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21.xml.rels" ContentType="application/vnd.openxmlformats-package.relationships+xml"/>
  <Override PartName="/xl/worksheets/_rels/sheet3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nfig" sheetId="2" state="visible" r:id="rId4"/>
    <sheet name="Entities" sheetId="3" state="visible" r:id="rId5"/>
    <sheet name="Risk Taxonomy" sheetId="4" state="visible" r:id="rId6"/>
    <sheet name="Factor Weights" sheetId="5" state="visible" r:id="rId7"/>
    <sheet name="Indicators" sheetId="6" state="visible" r:id="rId8"/>
    <sheet name="Indicator Data" sheetId="7" state="visible" r:id="rId9"/>
    <sheet name="Indicator Scores" sheetId="8" state="visible" r:id="rId10"/>
    <sheet name="FC Calculation" sheetId="9" state="visible" r:id="rId11"/>
    <sheet name="LxI Assessment" sheetId="10" state="visible" r:id="rId12"/>
    <sheet name="Inherent Summary" sheetId="11" state="visible" r:id="rId13"/>
    <sheet name="Inherent Dashboard" sheetId="12" state="visible" r:id="rId14"/>
    <sheet name="Residual Config" sheetId="13" state="visible" r:id="rId15"/>
    <sheet name="Control Library" sheetId="14" state="visible" r:id="rId16"/>
    <sheet name="Control Testing" sheetId="15" state="visible" r:id="rId17"/>
    <sheet name="Control Effectiveness" sheetId="16" state="visible" r:id="rId18"/>
    <sheet name="Control Mapping" sheetId="17" state="visible" r:id="rId19"/>
    <sheet name="Residual Calculation" sheetId="18" state="visible" r:id="rId20"/>
    <sheet name="Residual Summary" sheetId="19" state="visible" r:id="rId21"/>
    <sheet name="Appetite Monitor" sheetId="20" state="visible" r:id="rId22"/>
    <sheet name="Residual Dashboard" sheetId="21" state="visible" r:id="rId23"/>
    <sheet name="Checks" sheetId="22" state="visible" r:id="rId24"/>
  </sheets>
  <definedNames>
    <definedName function="false" hidden="true" localSheetId="16" name="_xlnm._FilterDatabase" vbProcedure="false">'Control Mapping'!$A$4:$AJ$83</definedName>
    <definedName function="false" hidden="true" localSheetId="14" name="_xlnm._FilterDatabase" vbProcedure="false">'Control Testing'!$A$4:$AE$1294</definedName>
    <definedName function="false" hidden="true" localSheetId="8" name="_xlnm._FilterDatabase" vbProcedure="false">'FC Calculation'!$A$4:$W$214</definedName>
    <definedName function="false" hidden="true" localSheetId="9" name="_xlnm._FilterDatabase" vbProcedure="false">'LxI Assessment'!$A$4:$V$394</definedName>
    <definedName function="false" hidden="true" localSheetId="17" name="_xlnm._FilterDatabase" vbProcedure="false">'Residual Calculation'!$A$4:$AD$604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Bands from Scope Document §8.2: 1.00–1.80 Low, 1.81–2.60 Medium-Low, 2.61–3.40 Medium, 3.41–4.20 Medium-High, 4.21–5.00 High.</t>
        </r>
      </text>
    </comment>
    <comment ref="E5" authorId="0">
      <text>
        <r>
          <rPr>
            <sz val="10"/>
            <rFont val="Arial"/>
            <family val="2"/>
          </rPr>
          <t xml:space="preserve">Proposed default L×I mapping: 1–4 Low, 5–8 Medium-Low, 9–12 Medium, 13–19 Medium-High, 20–25 High. To be confirmed by the Methodology Working Group.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Used only by the build script to generate illustrative sample data. Not used in any calculation.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Example: 12.4 = 12.4% of active customers rated high risk. Enter percentages as numbers (12.4), not fractions.</t>
        </r>
      </text>
    </comment>
  </commentList>
</comments>
</file>

<file path=xl/sharedStrings.xml><?xml version="1.0" encoding="utf-8"?>
<sst xmlns="http://schemas.openxmlformats.org/spreadsheetml/2006/main" count="13034" uniqueCount="4055">
  <si>
    <t xml:space="preserve">Arab Bank – EWRA Platform: Inherent and Residual Risk Rating Calculator</t>
  </si>
  <si>
    <t xml:space="preserve">Companion to the EWRA Platform Scope Document v1.0 (§7 taxonomy, §8 inherent risk methodology, §12 risk appetite). Classification: Confidential – Internal Use Only.</t>
  </si>
  <si>
    <t xml:space="preserve">Purpose</t>
  </si>
  <si>
    <t xml:space="preserve">Calculates the inherent risk rating (before controls) for all 20 Level-1 risks across 30 group entities, using the two methods in Scope Document §8: a factor-based model for financial-crime risks (FC-01 to FC-07) and a likelihood × impact model for regulatory and enterprise risks (RC-01 to ER-09).</t>
  </si>
  <si>
    <t xml:space="preserve">Status of data</t>
  </si>
  <si>
    <t xml:space="preserve">All entity data, indicator values and likelihood/impact scores are ILLUSTRATIVE SAMPLE DATA for design and testing. Entity names, tiers and thresholds are proposed defaults to be confirmed by Group Compliance and Group Risk during Discovery.</t>
  </si>
  <si>
    <t xml:space="preserve">Calculation flow</t>
  </si>
  <si>
    <t xml:space="preserve">1. Config sets scales, bands, aggregation method and LxI parameters.  2. Factor Weights sets the 5 factor weights per FC risk.  3. Indicators holds the indicator library, score thresholds and per-risk indicator weights.  4. Indicator Data holds raw values per entity.  5. Indicator Scores converts each value to a 1–5 score.  6. FC Calculation builds factor scores and the inherent score for 7 FC risks × 30 entities.  7. LxI Assessment scores 13 risks × 30 entities.  8. Inherent Summary, Dashboard and Checks consolidate and validate.</t>
  </si>
  <si>
    <t xml:space="preserve">Factor model</t>
  </si>
  <si>
    <t xml:space="preserve">Indicator score: 1 if below the 'Score 2 from' threshold, rising by one for each threshold met (max 5). Factor score = weighted average of indicator scores within the factor (indicator weights are relative, per risk; indicators with no data are excluded and the remainder reweighted, unless Config says otherwise). Inherent score = Σ factor weight × factor score, then the Config aggregation method is applied (weighted average, weighted with floor, or maximum).</t>
  </si>
  <si>
    <t xml:space="preserve">Floor rule</t>
  </si>
  <si>
    <t xml:space="preserve">With 'Weighted with floor', if any single factor scores at or above the trigger (default 5), the inherent score cannot be below the floor (default 4.00 = Medium-High). This stops one severe factor being averaged away.</t>
  </si>
  <si>
    <t xml:space="preserve">LxI model</t>
  </si>
  <si>
    <t xml:space="preserve">Impact = highest of the four impact dimensions (or weighted average, per Config). Inherent product = Likelihood × Impact (1–25), mapped to the 5-point scale using the L×I bands in Config. RC-04 Shariah applies only to entities flagged Islamic.</t>
  </si>
  <si>
    <t xml:space="preserve">Overrides</t>
  </si>
  <si>
    <t xml:space="preserve">A calculated rating may be moved by up to the Config maximum (default ±1 notch). The override applies only when 'HO approval' = Y, matching the maker-checker rule in Scope Document §8.4 and §13.4. Every override needs a justification.</t>
  </si>
  <si>
    <t xml:space="preserve">Residual model</t>
  </si>
  <si>
    <t xml:space="preserve">Residual = inherent exposure after tested controls (§10). Each control's effective rating (CE) is the worse of design and operating effectiveness from its latest test. A test counts only if Head Office accepted the evidence and it is not overdue; otherwise CE = 4 (Ineffective, 0% credit). Control environment per risk = contribution-weighted average CE of mapped, applicable controls, capped at Partially effective if any key control is Ineffective, and Ineffective if no key control applies.</t>
  </si>
  <si>
    <t xml:space="preserve">Residual methods</t>
  </si>
  <si>
    <t xml:space="preserve">Matrix (default): residual looked up from the inherent rating × control environment matrix in Residual Config. Numeric: residual score = inherent score × (1 − weighted mitigation credit), never more than 2 notches below inherent. Switch in Residual Config.</t>
  </si>
  <si>
    <t xml:space="preserve">Testing and evidence</t>
  </si>
  <si>
    <t xml:space="preserve">Control Testing holds one row per entity and control: owner, independent tester, design rating, test date, type, sample size vs §11.3 minimum, exceptions, result, evidence reference and HO evidence review. Next-test-due follows the §11.1 frequency table by tier, key flag and last result.</t>
  </si>
  <si>
    <t xml:space="preserve">Appetite</t>
  </si>
  <si>
    <t xml:space="preserve">Final residual rating is compared with each risk's maximum acceptable residual rating (§12): Within, Amber (one notch above) or Red (two or more notches above; optionally any excess on a zero-tolerance risk), with the §12.4 escalation route.</t>
  </si>
  <si>
    <t xml:space="preserve">Colour legend</t>
  </si>
  <si>
    <t xml:space="preserve">Blue text on light-yellow fill = input you may edit.  Black text = formula, do not edit.  Green text = link to another sheet.  Rating colours: green Low, light green Medium-Low, yellow Medium, orange Medium-High, red High.</t>
  </si>
  <si>
    <t xml:space="preserve">Sheet</t>
  </si>
  <si>
    <t xml:space="preserve">What it holds</t>
  </si>
  <si>
    <t xml:space="preserve">Edit?</t>
  </si>
  <si>
    <t xml:space="preserve">Config</t>
  </si>
  <si>
    <t xml:space="preserve">Rating scale, score bands, aggregation method, missing-data rule, LxI parameters, override limit</t>
  </si>
  <si>
    <t xml:space="preserve">Yes – yellow cells</t>
  </si>
  <si>
    <t xml:space="preserve">Entities</t>
  </si>
  <si>
    <t xml:space="preserve">30 group entities with region, type, tier, Islamic flag and aggregation weight</t>
  </si>
  <si>
    <t xml:space="preserve">Risk Taxonomy</t>
  </si>
  <si>
    <t xml:space="preserve">20 Level-1 risks, domain, method, owner and appetite reference</t>
  </si>
  <si>
    <t xml:space="preserve">Reference</t>
  </si>
  <si>
    <t xml:space="preserve">Factor Weights</t>
  </si>
  <si>
    <t xml:space="preserve">Factor weights for the 7 financial-crime risks (each row must total 100%)</t>
  </si>
  <si>
    <t xml:space="preserve">Indicators</t>
  </si>
  <si>
    <t xml:space="preserve">31 indicators: factor, unit, source, direction, thresholds and relative weight per FC risk</t>
  </si>
  <si>
    <t xml:space="preserve">Indicator Data</t>
  </si>
  <si>
    <t xml:space="preserve">Raw indicator values for each entity (one column per entity)</t>
  </si>
  <si>
    <t xml:space="preserve">Indicator Scores</t>
  </si>
  <si>
    <t xml:space="preserve">1–5 score for every indicator and entity</t>
  </si>
  <si>
    <t xml:space="preserve">No – formulas</t>
  </si>
  <si>
    <t xml:space="preserve">FC Calculation</t>
  </si>
  <si>
    <t xml:space="preserve">Factor scores, inherent score and rating for 7 FC risks × 30 entities, with overrides</t>
  </si>
  <si>
    <t xml:space="preserve">Override columns only</t>
  </si>
  <si>
    <t xml:space="preserve">LxI Assessment</t>
  </si>
  <si>
    <t xml:space="preserve">Likelihood, impact dimensions, product and rating for 13 risks × 30 entities, with overrides</t>
  </si>
  <si>
    <t xml:space="preserve">Yellow cells</t>
  </si>
  <si>
    <t xml:space="preserve">Inherent Summary</t>
  </si>
  <si>
    <t xml:space="preserve">Heat map of final inherent rating: 30 entities × 20 risks, with group averages</t>
  </si>
  <si>
    <t xml:space="preserve">Inherent Dashboard</t>
  </si>
  <si>
    <t xml:space="preserve">Headline figures and charts of group inherent risk</t>
  </si>
  <si>
    <t xml:space="preserve">Residual Config</t>
  </si>
  <si>
    <t xml:space="preserve">As-of date, residual method, control effectiveness scale and credits, residual matrix, testing frequency and sample sizes</t>
  </si>
  <si>
    <t xml:space="preserve">Control Library</t>
  </si>
  <si>
    <t xml:space="preserve">43 group controls: type, nature, frequency, key flag, line of defence, owner, applicability, risks mitigated, evidence expected</t>
  </si>
  <si>
    <t xml:space="preserve">Control Testing</t>
  </si>
  <si>
    <t xml:space="preserve">Testing log and evidence register: 30 entities × 43 controls, with status, effective CE and mitigation credit</t>
  </si>
  <si>
    <t xml:space="preserve">Control Effectiveness</t>
  </si>
  <si>
    <t xml:space="preserve">Effective CE rating for every control and entity</t>
  </si>
  <si>
    <t xml:space="preserve">Control Mapping</t>
  </si>
  <si>
    <t xml:space="preserve">Control-to-risk mapping with contribution weights; CE per entity for each mapping</t>
  </si>
  <si>
    <t xml:space="preserve">Mapping and weights only</t>
  </si>
  <si>
    <t xml:space="preserve">Residual Calculation</t>
  </si>
  <si>
    <t xml:space="preserve">Control environment, matrix and numeric residual, overrides and appetite status: 20 risks × 30 entities</t>
  </si>
  <si>
    <t xml:space="preserve">Residual Summary</t>
  </si>
  <si>
    <t xml:space="preserve">Residual heat map with group averages and comparison to inherent</t>
  </si>
  <si>
    <t xml:space="preserve">Appetite Monitor</t>
  </si>
  <si>
    <t xml:space="preserve">Entities Within / Amber / Red for each risk against appetite</t>
  </si>
  <si>
    <t xml:space="preserve">Residual Dashboard</t>
  </si>
  <si>
    <t xml:space="preserve">Control assurance figures and inherent-vs-residual and appetite charts</t>
  </si>
  <si>
    <t xml:space="preserve">Checks</t>
  </si>
  <si>
    <t xml:space="preserve">Validation of inherent and residual configuration, coverage, testing, overrides and appetite</t>
  </si>
  <si>
    <t xml:space="preserve">Configuration</t>
  </si>
  <si>
    <t xml:space="preserve">Head Office Administrator settings. Changes here flow through every calculation. Yellow cells are editable.</t>
  </si>
  <si>
    <t xml:space="preserve">1. Rating scale and score bands</t>
  </si>
  <si>
    <t xml:space="preserve">Lists (used by drop-downs)</t>
  </si>
  <si>
    <t xml:space="preserve">Score</t>
  </si>
  <si>
    <t xml:space="preserve">Rating</t>
  </si>
  <si>
    <t xml:space="preserve">Colour</t>
  </si>
  <si>
    <t xml:space="preserve">Factor model: inherent score from</t>
  </si>
  <si>
    <t xml:space="preserve">L×I model: product from</t>
  </si>
  <si>
    <t xml:space="preserve">Low</t>
  </si>
  <si>
    <t xml:space="preserve">Green</t>
  </si>
  <si>
    <t xml:space="preserve">Weighted average</t>
  </si>
  <si>
    <t xml:space="preserve">Medium-Low</t>
  </si>
  <si>
    <t xml:space="preserve">Light green</t>
  </si>
  <si>
    <t xml:space="preserve">Weighted with floor</t>
  </si>
  <si>
    <t xml:space="preserve">Medium</t>
  </si>
  <si>
    <t xml:space="preserve">Amber</t>
  </si>
  <si>
    <t xml:space="preserve">Maximum (worst-of)</t>
  </si>
  <si>
    <t xml:space="preserve">Medium-High</t>
  </si>
  <si>
    <t xml:space="preserve">Orange</t>
  </si>
  <si>
    <t xml:space="preserve">High</t>
  </si>
  <si>
    <t xml:space="preserve">Red</t>
  </si>
  <si>
    <t xml:space="preserve">Exclude and reweight</t>
  </si>
  <si>
    <t xml:space="preserve">Score as High (5)</t>
  </si>
  <si>
    <t xml:space="preserve">2. Factor model (FC-01 to FC-07)</t>
  </si>
  <si>
    <t xml:space="preserve">Aggregation method</t>
  </si>
  <si>
    <t xml:space="preserve">Weighted average | Weighted with floor | Maximum (worst-of). Scope Document §8.4.</t>
  </si>
  <si>
    <t xml:space="preserve">Highest dimension</t>
  </si>
  <si>
    <t xml:space="preserve">Floor trigger: any factor score at or above</t>
  </si>
  <si>
    <t xml:space="preserve">Used only with 'Weighted with floor'.</t>
  </si>
  <si>
    <t xml:space="preserve">Floor: minimum inherent score when triggered</t>
  </si>
  <si>
    <t xml:space="preserve">Default 4.00 = Medium-High.</t>
  </si>
  <si>
    <t xml:space="preserve">Missing indicator data</t>
  </si>
  <si>
    <t xml:space="preserve">Exclude and reweight | Score as High (5). Conservative option scores missing data as 5.</t>
  </si>
  <si>
    <t xml:space="preserve">Y</t>
  </si>
  <si>
    <t xml:space="preserve">N</t>
  </si>
  <si>
    <t xml:space="preserve">3. Likelihood × impact model (RC-01 to ER-09)</t>
  </si>
  <si>
    <t xml:space="preserve">Customer</t>
  </si>
  <si>
    <t xml:space="preserve">Impact aggregation</t>
  </si>
  <si>
    <t xml:space="preserve">Highest dimension | Weighted average. Scope Document §8.3 default is highest dimension.</t>
  </si>
  <si>
    <t xml:space="preserve">Geography</t>
  </si>
  <si>
    <t xml:space="preserve">Financial impact weight</t>
  </si>
  <si>
    <t xml:space="preserve">Products &amp; services</t>
  </si>
  <si>
    <t xml:space="preserve">Regulatory impact weight</t>
  </si>
  <si>
    <t xml:space="preserve">Delivery channels</t>
  </si>
  <si>
    <t xml:space="preserve">Reputational impact weight</t>
  </si>
  <si>
    <t xml:space="preserve">Transactions &amp; volumes</t>
  </si>
  <si>
    <t xml:space="preserve">Customer / operational impact weight</t>
  </si>
  <si>
    <t xml:space="preserve">Total (must be 100%)</t>
  </si>
  <si>
    <t xml:space="preserve">Used only with 'Weighted average'. Proposed default weights.</t>
  </si>
  <si>
    <t xml:space="preserve">Higher = riskier</t>
  </si>
  <si>
    <t xml:space="preserve">Lower = riskier</t>
  </si>
  <si>
    <t xml:space="preserve">4. Override governance</t>
  </si>
  <si>
    <t xml:space="preserve">Maximum override (notches)</t>
  </si>
  <si>
    <t xml:space="preserve">Scope Document §8.4: up to one notch, with justification and HO approval.</t>
  </si>
  <si>
    <t xml:space="preserve">Entity register (illustrative – confirm in Discovery)</t>
  </si>
  <si>
    <t xml:space="preserve">Per Scope Document §5.3–5.5. Aggregation weight drives the group weighted average (default: Tier 1 = 3, Tier 2 = 2, Tier 3 = 1).</t>
  </si>
  <si>
    <t xml:space="preserve">Entity code</t>
  </si>
  <si>
    <t xml:space="preserve">Entity</t>
  </si>
  <si>
    <t xml:space="preserve">Country</t>
  </si>
  <si>
    <t xml:space="preserve">Region</t>
  </si>
  <si>
    <t xml:space="preserve">Entity type</t>
  </si>
  <si>
    <t xml:space="preserve">Tier</t>
  </si>
  <si>
    <t xml:space="preserve">Islamic (Y/N)</t>
  </si>
  <si>
    <t xml:space="preserve">Profile (sample data only)</t>
  </si>
  <si>
    <t xml:space="preserve">Aggregation weight</t>
  </si>
  <si>
    <t xml:space="preserve">JO-HO</t>
  </si>
  <si>
    <t xml:space="preserve">Arab Bank plc – Jordan (HO and domestic network)</t>
  </si>
  <si>
    <t xml:space="preserve">Jordan</t>
  </si>
  <si>
    <t xml:space="preserve">Jordan (home)</t>
  </si>
  <si>
    <t xml:space="preserve">Head Office / branches</t>
  </si>
  <si>
    <t xml:space="preserve">Tier 1</t>
  </si>
  <si>
    <t xml:space="preserve">JO-IIAB</t>
  </si>
  <si>
    <t xml:space="preserve">Islamic International Arab Bank</t>
  </si>
  <si>
    <t xml:space="preserve">Subsidiary – Islamic bank</t>
  </si>
  <si>
    <t xml:space="preserve">JO-INV</t>
  </si>
  <si>
    <t xml:space="preserve">Al-Arabi Investment Group (AB Invest)</t>
  </si>
  <si>
    <t xml:space="preserve">Subsidiary – investment</t>
  </si>
  <si>
    <t xml:space="preserve">Tier 3</t>
  </si>
  <si>
    <t xml:space="preserve">JO-INS</t>
  </si>
  <si>
    <t xml:space="preserve">Insurance subsidiary – Jordan</t>
  </si>
  <si>
    <t xml:space="preserve">Subsidiary – insurance</t>
  </si>
  <si>
    <t xml:space="preserve">JO-LSG</t>
  </si>
  <si>
    <t xml:space="preserve">Leasing subsidiary – Jordan</t>
  </si>
  <si>
    <t xml:space="preserve">Subsidiary – leasing</t>
  </si>
  <si>
    <t xml:space="preserve">PS</t>
  </si>
  <si>
    <t xml:space="preserve">Arab Bank – Palestine</t>
  </si>
  <si>
    <t xml:space="preserve">Palestine</t>
  </si>
  <si>
    <t xml:space="preserve">Levant</t>
  </si>
  <si>
    <t xml:space="preserve">Foreign branch</t>
  </si>
  <si>
    <t xml:space="preserve">Higher</t>
  </si>
  <si>
    <t xml:space="preserve">PS-INV</t>
  </si>
  <si>
    <t xml:space="preserve">Al-Arabi Investment Group – Palestine</t>
  </si>
  <si>
    <t xml:space="preserve">LB</t>
  </si>
  <si>
    <t xml:space="preserve">Arab Bank – Lebanon</t>
  </si>
  <si>
    <t xml:space="preserve">Lebanon</t>
  </si>
  <si>
    <t xml:space="preserve">Tier 2</t>
  </si>
  <si>
    <t xml:space="preserve">SY</t>
  </si>
  <si>
    <t xml:space="preserve">Arab Bank – Syria</t>
  </si>
  <si>
    <t xml:space="preserve">Syria</t>
  </si>
  <si>
    <t xml:space="preserve">Subsidiary – bank</t>
  </si>
  <si>
    <t xml:space="preserve">AE</t>
  </si>
  <si>
    <t xml:space="preserve">Arab Bank – UAE</t>
  </si>
  <si>
    <t xml:space="preserve">UAE</t>
  </si>
  <si>
    <t xml:space="preserve">GCC</t>
  </si>
  <si>
    <t xml:space="preserve">BH</t>
  </si>
  <si>
    <t xml:space="preserve">Arab Bank – Bahrain</t>
  </si>
  <si>
    <t xml:space="preserve">Bahrain</t>
  </si>
  <si>
    <t xml:space="preserve">QA</t>
  </si>
  <si>
    <t xml:space="preserve">Arab Bank – Qatar</t>
  </si>
  <si>
    <t xml:space="preserve">Qatar</t>
  </si>
  <si>
    <t xml:space="preserve">SA</t>
  </si>
  <si>
    <t xml:space="preserve">Arab National Bank (affiliate)</t>
  </si>
  <si>
    <t xml:space="preserve">Saudi Arabia</t>
  </si>
  <si>
    <t xml:space="preserve">Affiliate</t>
  </si>
  <si>
    <t xml:space="preserve">OM</t>
  </si>
  <si>
    <t xml:space="preserve">Oman Arab Bank (affiliate)</t>
  </si>
  <si>
    <t xml:space="preserve">Oman</t>
  </si>
  <si>
    <t xml:space="preserve">IQ</t>
  </si>
  <si>
    <t xml:space="preserve">Arab Bank Iraq</t>
  </si>
  <si>
    <t xml:space="preserve">Iraq</t>
  </si>
  <si>
    <t xml:space="preserve">Iraq and Yemen</t>
  </si>
  <si>
    <t xml:space="preserve">YE</t>
  </si>
  <si>
    <t xml:space="preserve">Arab Bank – Yemen</t>
  </si>
  <si>
    <t xml:space="preserve">Yemen</t>
  </si>
  <si>
    <t xml:space="preserve">EG</t>
  </si>
  <si>
    <t xml:space="preserve">Arab Bank – Egypt</t>
  </si>
  <si>
    <t xml:space="preserve">Egypt</t>
  </si>
  <si>
    <t xml:space="preserve">North Africa</t>
  </si>
  <si>
    <t xml:space="preserve">DZ</t>
  </si>
  <si>
    <t xml:space="preserve">Arab Bank – Algeria</t>
  </si>
  <si>
    <t xml:space="preserve">Algeria</t>
  </si>
  <si>
    <t xml:space="preserve">MA</t>
  </si>
  <si>
    <t xml:space="preserve">Arab Bank – Morocco</t>
  </si>
  <si>
    <t xml:space="preserve">Morocco</t>
  </si>
  <si>
    <t xml:space="preserve">TN</t>
  </si>
  <si>
    <t xml:space="preserve">Arab Tunisian Bank</t>
  </si>
  <si>
    <t xml:space="preserve">Tunisia</t>
  </si>
  <si>
    <t xml:space="preserve">SD</t>
  </si>
  <si>
    <t xml:space="preserve">Arab Sudanese Bank</t>
  </si>
  <si>
    <t xml:space="preserve">Sudan</t>
  </si>
  <si>
    <t xml:space="preserve">GB</t>
  </si>
  <si>
    <t xml:space="preserve">Europe Arab Bank – United Kingdom</t>
  </si>
  <si>
    <t xml:space="preserve">United Kingdom</t>
  </si>
  <si>
    <t xml:space="preserve">Europe</t>
  </si>
  <si>
    <t xml:space="preserve">Lower</t>
  </si>
  <si>
    <t xml:space="preserve">FR</t>
  </si>
  <si>
    <t xml:space="preserve">Arab Bank – France</t>
  </si>
  <si>
    <t xml:space="preserve">France</t>
  </si>
  <si>
    <t xml:space="preserve">DE</t>
  </si>
  <si>
    <t xml:space="preserve">Arab Bank – Germany</t>
  </si>
  <si>
    <t xml:space="preserve">Germany</t>
  </si>
  <si>
    <t xml:space="preserve">IT</t>
  </si>
  <si>
    <t xml:space="preserve">Arab Bank – Italy</t>
  </si>
  <si>
    <t xml:space="preserve">Italy</t>
  </si>
  <si>
    <t xml:space="preserve">CH</t>
  </si>
  <si>
    <t xml:space="preserve">Arab Bank (Switzerland) – sister company</t>
  </si>
  <si>
    <t xml:space="preserve">Switzerland</t>
  </si>
  <si>
    <t xml:space="preserve">Sister company</t>
  </si>
  <si>
    <t xml:space="preserve">SG</t>
  </si>
  <si>
    <t xml:space="preserve">Arab Bank – Singapore</t>
  </si>
  <si>
    <t xml:space="preserve">Singapore</t>
  </si>
  <si>
    <t xml:space="preserve">Asia-Pacific</t>
  </si>
  <si>
    <t xml:space="preserve">CN</t>
  </si>
  <si>
    <t xml:space="preserve">Arab Bank – China</t>
  </si>
  <si>
    <t xml:space="preserve">China</t>
  </si>
  <si>
    <t xml:space="preserve">AU</t>
  </si>
  <si>
    <t xml:space="preserve">Arab Bank Australia</t>
  </si>
  <si>
    <t xml:space="preserve">Australia</t>
  </si>
  <si>
    <t xml:space="preserve">US</t>
  </si>
  <si>
    <t xml:space="preserve">Arab Bank – United States (if retained)</t>
  </si>
  <si>
    <t xml:space="preserve">United States</t>
  </si>
  <si>
    <t xml:space="preserve">Americas</t>
  </si>
  <si>
    <t xml:space="preserve">Level-1 risk taxonomy</t>
  </si>
  <si>
    <t xml:space="preserve">Scope Document §7 (taxonomy) and §12 (appetite). Appetite applies to residual risk and is shown here for reference.</t>
  </si>
  <si>
    <t xml:space="preserve">Code</t>
  </si>
  <si>
    <t xml:space="preserve">Level-1 risk</t>
  </si>
  <si>
    <t xml:space="preserve">Domain</t>
  </si>
  <si>
    <t xml:space="preserve">Inherent method</t>
  </si>
  <si>
    <t xml:space="preserve">Group owner</t>
  </si>
  <si>
    <t xml:space="preserve">Applies to</t>
  </si>
  <si>
    <t xml:space="preserve">Appetite level</t>
  </si>
  <si>
    <t xml:space="preserve">Max acceptable residual rating</t>
  </si>
  <si>
    <t xml:space="preserve">FC-01</t>
  </si>
  <si>
    <t xml:space="preserve">Money laundering</t>
  </si>
  <si>
    <t xml:space="preserve">A – Financial crime</t>
  </si>
  <si>
    <t xml:space="preserve">Factor-based</t>
  </si>
  <si>
    <t xml:space="preserve">Group MLRO</t>
  </si>
  <si>
    <t xml:space="preserve">All entities</t>
  </si>
  <si>
    <t xml:space="preserve">Very low</t>
  </si>
  <si>
    <t xml:space="preserve">FC-02</t>
  </si>
  <si>
    <t xml:space="preserve">Terrorist financing</t>
  </si>
  <si>
    <t xml:space="preserve">Zero tolerance</t>
  </si>
  <si>
    <t xml:space="preserve">FC-03</t>
  </si>
  <si>
    <t xml:space="preserve">Proliferation financing</t>
  </si>
  <si>
    <t xml:space="preserve">FC-04</t>
  </si>
  <si>
    <t xml:space="preserve">Sanctions</t>
  </si>
  <si>
    <t xml:space="preserve">Head of Group Sanctions</t>
  </si>
  <si>
    <t xml:space="preserve">FC-05</t>
  </si>
  <si>
    <t xml:space="preserve">Bribery and corruption</t>
  </si>
  <si>
    <t xml:space="preserve">Group CCO</t>
  </si>
  <si>
    <t xml:space="preserve">FC-06</t>
  </si>
  <si>
    <t xml:space="preserve">Fraud</t>
  </si>
  <si>
    <t xml:space="preserve">Head of Fraud Risk</t>
  </si>
  <si>
    <t xml:space="preserve">FC-07</t>
  </si>
  <si>
    <t xml:space="preserve">Tax evasion and tax transparency</t>
  </si>
  <si>
    <t xml:space="preserve">Zero tolerance (facilitation)</t>
  </si>
  <si>
    <t xml:space="preserve">RC-01</t>
  </si>
  <si>
    <t xml:space="preserve">Regulatory compliance</t>
  </si>
  <si>
    <t xml:space="preserve">B – Regulatory and conduct</t>
  </si>
  <si>
    <t xml:space="preserve">Likelihood × impact</t>
  </si>
  <si>
    <t xml:space="preserve">RC-02</t>
  </si>
  <si>
    <t xml:space="preserve">Conduct and consumer protection</t>
  </si>
  <si>
    <t xml:space="preserve">RC-03</t>
  </si>
  <si>
    <t xml:space="preserve">Data protection and privacy</t>
  </si>
  <si>
    <t xml:space="preserve">Group DPO</t>
  </si>
  <si>
    <t xml:space="preserve">RC-04</t>
  </si>
  <si>
    <t xml:space="preserve">Shariah non-compliance</t>
  </si>
  <si>
    <t xml:space="preserve">Shariah Supervisory Board Secretary</t>
  </si>
  <si>
    <t xml:space="preserve">Islamic entities only</t>
  </si>
  <si>
    <t xml:space="preserve">ER-01</t>
  </si>
  <si>
    <t xml:space="preserve">Credit risk</t>
  </si>
  <si>
    <t xml:space="preserve">C – Enterprise</t>
  </si>
  <si>
    <t xml:space="preserve">Group CRO</t>
  </si>
  <si>
    <t xml:space="preserve">Moderate</t>
  </si>
  <si>
    <t xml:space="preserve">ER-02</t>
  </si>
  <si>
    <t xml:space="preserve">Market risk</t>
  </si>
  <si>
    <t xml:space="preserve">ER-03</t>
  </si>
  <si>
    <t xml:space="preserve">Liquidity and funding risk</t>
  </si>
  <si>
    <t xml:space="preserve">Group Treasurer / CRO</t>
  </si>
  <si>
    <t xml:space="preserve">ER-04</t>
  </si>
  <si>
    <t xml:space="preserve">Operational risk</t>
  </si>
  <si>
    <t xml:space="preserve">Head of Operational Risk</t>
  </si>
  <si>
    <t xml:space="preserve">ER-05</t>
  </si>
  <si>
    <t xml:space="preserve">Cyber, information security and technology</t>
  </si>
  <si>
    <t xml:space="preserve">Group CISO / CIO</t>
  </si>
  <si>
    <t xml:space="preserve">ER-06</t>
  </si>
  <si>
    <t xml:space="preserve">Third-party and outsourcing</t>
  </si>
  <si>
    <t xml:space="preserve">Head of Procurement / ORM</t>
  </si>
  <si>
    <t xml:space="preserve">ER-07</t>
  </si>
  <si>
    <t xml:space="preserve">Legal and litigation</t>
  </si>
  <si>
    <t xml:space="preserve">Group General Counsel</t>
  </si>
  <si>
    <t xml:space="preserve">ER-08</t>
  </si>
  <si>
    <t xml:space="preserve">Reputational</t>
  </si>
  <si>
    <t xml:space="preserve">Group Head of Corporate Communications</t>
  </si>
  <si>
    <t xml:space="preserve">ER-09</t>
  </si>
  <si>
    <t xml:space="preserve">Strategic, business model and ESG</t>
  </si>
  <si>
    <t xml:space="preserve">Group Head of Strategy / Sustainability</t>
  </si>
  <si>
    <t xml:space="preserve">Factor weights – financial-crime risks</t>
  </si>
  <si>
    <t xml:space="preserve">Scope Document §8.2. Each row must total 100%; the ML row is the documented default, other rows are proposed defaults.</t>
  </si>
  <si>
    <t xml:space="preserve">Risk</t>
  </si>
  <si>
    <t xml:space="preserve">Total</t>
  </si>
  <si>
    <t xml:space="preserve">Check</t>
  </si>
  <si>
    <t xml:space="preserve">Indicator library, scoring thresholds and per-risk weights</t>
  </si>
  <si>
    <t xml:space="preserve">Score = 1 below 'Score 2 from', +1 for each threshold met. For 'Lower = riskier' enter thresholds in descending order. Weights are relative within each factor (0 = not used for that risk).</t>
  </si>
  <si>
    <t xml:space="preserve">ID</t>
  </si>
  <si>
    <t xml:space="preserve">Risk factor</t>
  </si>
  <si>
    <t xml:space="preserve">Indicator</t>
  </si>
  <si>
    <t xml:space="preserve">Unit</t>
  </si>
  <si>
    <t xml:space="preserve">Data source</t>
  </si>
  <si>
    <t xml:space="preserve">Direction</t>
  </si>
  <si>
    <t xml:space="preserve">Score 2 from</t>
  </si>
  <si>
    <t xml:space="preserve">Score 3 from</t>
  </si>
  <si>
    <t xml:space="preserve">Score 4 from</t>
  </si>
  <si>
    <t xml:space="preserve">Score 5 from</t>
  </si>
  <si>
    <t xml:space="preserve">Weight FC-01</t>
  </si>
  <si>
    <t xml:space="preserve">Weight FC-02</t>
  </si>
  <si>
    <t xml:space="preserve">Weight FC-03</t>
  </si>
  <si>
    <t xml:space="preserve">Weight FC-04</t>
  </si>
  <si>
    <t xml:space="preserve">Weight FC-05</t>
  </si>
  <si>
    <t xml:space="preserve">Weight FC-06</t>
  </si>
  <si>
    <t xml:space="preserve">Weight FC-07</t>
  </si>
  <si>
    <t xml:space="preserve">Thresholds ordered?</t>
  </si>
  <si>
    <t xml:space="preserve">C01</t>
  </si>
  <si>
    <t xml:space="preserve">% of customers rated high risk (CRR)</t>
  </si>
  <si>
    <t xml:space="preserve">%</t>
  </si>
  <si>
    <t xml:space="preserve">KYC / CRR system</t>
  </si>
  <si>
    <t xml:space="preserve">C02</t>
  </si>
  <si>
    <t xml:space="preserve">PEP relationships per 10,000 customers</t>
  </si>
  <si>
    <t xml:space="preserve">count</t>
  </si>
  <si>
    <t xml:space="preserve">C03</t>
  </si>
  <si>
    <t xml:space="preserve">% of customers that are NPOs / charities</t>
  </si>
  <si>
    <t xml:space="preserve">C04</t>
  </si>
  <si>
    <t xml:space="preserve">% non-resident customers</t>
  </si>
  <si>
    <t xml:space="preserve">Core banking</t>
  </si>
  <si>
    <t xml:space="preserve">C05</t>
  </si>
  <si>
    <t xml:space="preserve">% corporate customers with complex or opaque ownership</t>
  </si>
  <si>
    <t xml:space="preserve">C06</t>
  </si>
  <si>
    <t xml:space="preserve">% customers in cash-intensive businesses</t>
  </si>
  <si>
    <t xml:space="preserve">C07</t>
  </si>
  <si>
    <t xml:space="preserve">% customers that are government bodies or SOEs</t>
  </si>
  <si>
    <t xml:space="preserve">G01</t>
  </si>
  <si>
    <t xml:space="preserve">% cross-border value with FATF high-risk / increased-monitoring jurisdictions</t>
  </si>
  <si>
    <t xml:space="preserve">Payments / TM system</t>
  </si>
  <si>
    <t xml:space="preserve">G02</t>
  </si>
  <si>
    <t xml:space="preserve">% payment value involving sanctioned or high sanctions-risk jurisdictions</t>
  </si>
  <si>
    <t xml:space="preserve">Screening / payments</t>
  </si>
  <si>
    <t xml:space="preserve">G03</t>
  </si>
  <si>
    <t xml:space="preserve">Host-country national ML/TF risk (NRA-based, 1–5)</t>
  </si>
  <si>
    <t xml:space="preserve">score 1–5</t>
  </si>
  <si>
    <t xml:space="preserve">Reference data (HO)</t>
  </si>
  <si>
    <t xml:space="preserve">G04</t>
  </si>
  <si>
    <t xml:space="preserve">Host-country corruption risk (CPI-based, 1–5)</t>
  </si>
  <si>
    <t xml:space="preserve">G05</t>
  </si>
  <si>
    <t xml:space="preserve">% branches in border, free-zone or conflict-affected areas</t>
  </si>
  <si>
    <t xml:space="preserve">Branch register</t>
  </si>
  <si>
    <t xml:space="preserve">G06</t>
  </si>
  <si>
    <t xml:space="preserve">% non-resident customers from non-CRS jurisdictions</t>
  </si>
  <si>
    <t xml:space="preserve">KYC / tax system</t>
  </si>
  <si>
    <t xml:space="preserve">P01</t>
  </si>
  <si>
    <t xml:space="preserve">Trade finance volume (% of total assets)</t>
  </si>
  <si>
    <t xml:space="preserve">Trade finance system</t>
  </si>
  <si>
    <t xml:space="preserve">P02</t>
  </si>
  <si>
    <t xml:space="preserve">Number of respondent (correspondent) bank relationships</t>
  </si>
  <si>
    <t xml:space="preserve">FI relationship system</t>
  </si>
  <si>
    <t xml:space="preserve">P03</t>
  </si>
  <si>
    <t xml:space="preserve">Private banking / wealth AUM (% of deposits)</t>
  </si>
  <si>
    <t xml:space="preserve">Wealth platform</t>
  </si>
  <si>
    <t xml:space="preserve">P04</t>
  </si>
  <si>
    <t xml:space="preserve">Prepaid / stored-value cards (% of cards issued)</t>
  </si>
  <si>
    <t xml:space="preserve">Cards system</t>
  </si>
  <si>
    <t xml:space="preserve">P05</t>
  </si>
  <si>
    <t xml:space="preserve">Dual-use or strategic goods (% of trade transactions)</t>
  </si>
  <si>
    <t xml:space="preserve">P06</t>
  </si>
  <si>
    <t xml:space="preserve">Higher-risk product exposure: bearer, safe deposit, virtual assets (1–5)</t>
  </si>
  <si>
    <t xml:space="preserve">Product catalogue</t>
  </si>
  <si>
    <t xml:space="preserve">D01</t>
  </si>
  <si>
    <t xml:space="preserve">% accounts opened non-face-to-face</t>
  </si>
  <si>
    <t xml:space="preserve">Digital banking</t>
  </si>
  <si>
    <t xml:space="preserve">D02</t>
  </si>
  <si>
    <t xml:space="preserve">% customers introduced via agents or intermediaries</t>
  </si>
  <si>
    <t xml:space="preserve">CRM</t>
  </si>
  <si>
    <t xml:space="preserve">D03</t>
  </si>
  <si>
    <t xml:space="preserve">Real-time / digital payments (% of payment value)</t>
  </si>
  <si>
    <t xml:space="preserve">Payments</t>
  </si>
  <si>
    <t xml:space="preserve">D04</t>
  </si>
  <si>
    <t xml:space="preserve">Cash deposit machines and ATMs per branch</t>
  </si>
  <si>
    <t xml:space="preserve">Channel MIS</t>
  </si>
  <si>
    <t xml:space="preserve">D05</t>
  </si>
  <si>
    <t xml:space="preserve">Third parties with public-official contact acting for the bank</t>
  </si>
  <si>
    <t xml:space="preserve">Procurement register</t>
  </si>
  <si>
    <t xml:space="preserve">T01</t>
  </si>
  <si>
    <t xml:space="preserve">Cash deposits (% of total deposit inflows)</t>
  </si>
  <si>
    <t xml:space="preserve">T02</t>
  </si>
  <si>
    <t xml:space="preserve">Cross-border wires per month ('000)</t>
  </si>
  <si>
    <t xml:space="preserve">count ('000)</t>
  </si>
  <si>
    <t xml:space="preserve">Payments / SWIFT</t>
  </si>
  <si>
    <t xml:space="preserve">T03</t>
  </si>
  <si>
    <t xml:space="preserve">Transactions above USD 1m per month</t>
  </si>
  <si>
    <t xml:space="preserve">T04</t>
  </si>
  <si>
    <t xml:space="preserve">TM alerts per 1,000 customers per month</t>
  </si>
  <si>
    <t xml:space="preserve">AML TM system</t>
  </si>
  <si>
    <t xml:space="preserve">T05</t>
  </si>
  <si>
    <t xml:space="preserve">STRs filed per 10,000 customers per year</t>
  </si>
  <si>
    <t xml:space="preserve">Compliance case system</t>
  </si>
  <si>
    <t xml:space="preserve">T06</t>
  </si>
  <si>
    <t xml:space="preserve">Fraud cases per 10,000 customers per year</t>
  </si>
  <si>
    <t xml:space="preserve">Fraud system</t>
  </si>
  <si>
    <t xml:space="preserve">T07</t>
  </si>
  <si>
    <t xml:space="preserve">FATCA/CRS reportable accounts (% of accounts)</t>
  </si>
  <si>
    <t xml:space="preserve">Tax reporting system</t>
  </si>
  <si>
    <t xml:space="preserve">Raw indicator values by entity (ILLUSTRATIVE SAMPLE DATA)</t>
  </si>
  <si>
    <t xml:space="preserve">Replace with values from source systems or Country CO submissions for the assessment period. Leave a cell blank if data is unavailable; Config decides how blanks are treated.</t>
  </si>
  <si>
    <t xml:space="preserve">Indicator scores (1–5) by entity</t>
  </si>
  <si>
    <t xml:space="preserve">Formula sheet – do not edit. A '-' means no data and the indicator is excluded (when Config = Exclude and reweight).</t>
  </si>
  <si>
    <t xml:space="preserve">Inherent risk – factor-based model (FC-01 to FC-07)</t>
  </si>
  <si>
    <t xml:space="preserve">One row per entity and risk. Factor score = weighted average of that factor's indicator scores using the risk's indicator weights. Edit only the yellow override columns.</t>
  </si>
  <si>
    <t xml:space="preserve">Risk code</t>
  </si>
  <si>
    <t xml:space="preserve">Weighted score</t>
  </si>
  <si>
    <t xml:space="preserve">Highest factor</t>
  </si>
  <si>
    <t xml:space="preserve">Floor-adjusted score</t>
  </si>
  <si>
    <t xml:space="preserve">Calculated inherent score</t>
  </si>
  <si>
    <t xml:space="preserve">Calculated rating (1–5)</t>
  </si>
  <si>
    <t xml:space="preserve">Calculated rating</t>
  </si>
  <si>
    <t xml:space="preserve">Override (notches)</t>
  </si>
  <si>
    <t xml:space="preserve">Override justification</t>
  </si>
  <si>
    <t xml:space="preserve">HO approval (Y/N)</t>
  </si>
  <si>
    <t xml:space="preserve">Final score (1–5)</t>
  </si>
  <si>
    <t xml:space="preserve">Final rating</t>
  </si>
  <si>
    <t xml:space="preserve">Override status</t>
  </si>
  <si>
    <t xml:space="preserve">Data completeness</t>
  </si>
  <si>
    <t xml:space="preserve">Re-export hub exposure not captured by indicators; aligns with host NRA.</t>
  </si>
  <si>
    <t xml:space="preserve">Proposed: correspondent book reduced 40% after period end.</t>
  </si>
  <si>
    <t xml:space="preserve">Inherent risk – likelihood × impact model (RC-01 to ER-09)</t>
  </si>
  <si>
    <t xml:space="preserve">Scores 1–5 per Scope Document §8.3 definitions. Impact = highest dimension by default. ILLUSTRATIVE SAMPLE SCORES – replace with entity assessments.</t>
  </si>
  <si>
    <t xml:space="preserve">Applicable</t>
  </si>
  <si>
    <t xml:space="preserve">Likelihood (1–5)</t>
  </si>
  <si>
    <t xml:space="preserve">Impact: financial</t>
  </si>
  <si>
    <t xml:space="preserve">Impact: regulatory</t>
  </si>
  <si>
    <t xml:space="preserve">Impact: reputational</t>
  </si>
  <si>
    <t xml:space="preserve">Impact: customer / operational</t>
  </si>
  <si>
    <t xml:space="preserve">Impact (aggregated)</t>
  </si>
  <si>
    <t xml:space="preserve">L × I (1–25)</t>
  </si>
  <si>
    <t xml:space="preserve">Basis for assessment</t>
  </si>
  <si>
    <t xml:space="preserve">Example: two regulatory findings open from 2025 inspection; licence conditions under review.</t>
  </si>
  <si>
    <t xml:space="preserve">Capital controls and trapped liquidity not reflected in standard impact scale.</t>
  </si>
  <si>
    <t xml:space="preserve">Inherent risk heat map – final ratings (1 = Low … 5 = High)</t>
  </si>
  <si>
    <t xml:space="preserve">Final scores after approved overrides. Blank = not assessed or no data; N/A = risk not applicable to the entity.</t>
  </si>
  <si>
    <t xml:space="preserve">Highest</t>
  </si>
  <si>
    <t xml:space="preserve">Average</t>
  </si>
  <si>
    <t xml:space="preserve"># High</t>
  </si>
  <si>
    <t xml:space="preserve"># Medium-High</t>
  </si>
  <si>
    <t xml:space="preserve">Highest rating</t>
  </si>
  <si>
    <t xml:space="preserve">Group simple average</t>
  </si>
  <si>
    <t xml:space="preserve">Group weighted average (Entities weight)</t>
  </si>
  <si>
    <t xml:space="preserve">Group weighted rating</t>
  </si>
  <si>
    <t xml:space="preserve">Entities rated High (5)</t>
  </si>
  <si>
    <t xml:space="preserve">Entities rated Medium-High (4)</t>
  </si>
  <si>
    <t xml:space="preserve">Group inherent risk dashboard</t>
  </si>
  <si>
    <t xml:space="preserve">All figures are formulas over the Inherent Summary and calculation sheets.</t>
  </si>
  <si>
    <t xml:space="preserve">Entities in register</t>
  </si>
  <si>
    <t xml:space="preserve">Entity-risk ratings: High (5)</t>
  </si>
  <si>
    <t xml:space="preserve">Entity-risk ratings: Medium-High (4)</t>
  </si>
  <si>
    <t xml:space="preserve">Group weighted average inherent score (all risks)</t>
  </si>
  <si>
    <t xml:space="preserve">Overrides pending HO approval</t>
  </si>
  <si>
    <t xml:space="preserve">Overrides applied</t>
  </si>
  <si>
    <t xml:space="preserve">Workbook checks</t>
  </si>
  <si>
    <t xml:space="preserve">Group weighted avg</t>
  </si>
  <si>
    <t xml:space="preserve">Low (1)</t>
  </si>
  <si>
    <t xml:space="preserve">Medium-Low (2)</t>
  </si>
  <si>
    <t xml:space="preserve">Medium (3)</t>
  </si>
  <si>
    <t xml:space="preserve">Medium-High (4)</t>
  </si>
  <si>
    <t xml:space="preserve">High (5)</t>
  </si>
  <si>
    <t xml:space="preserve">Residual risk configuration</t>
  </si>
  <si>
    <t xml:space="preserve">Scope Document §10 (controls and residual engine) and §11 (testing). Yellow cells are editable by the HO Administrator.</t>
  </si>
  <si>
    <t xml:space="preserve">Lists</t>
  </si>
  <si>
    <t xml:space="preserve">Assessment as-of date</t>
  </si>
  <si>
    <t xml:space="preserve">Tests with a next-due date before this date are Overdue and earn no mitigation credit.</t>
  </si>
  <si>
    <t xml:space="preserve">Residual calculation method</t>
  </si>
  <si>
    <t xml:space="preserve">Matrix</t>
  </si>
  <si>
    <t xml:space="preserve">Matrix (§10.4 default) | Numeric (RRS = IRS × (1 − M), §10.4).</t>
  </si>
  <si>
    <t xml:space="preserve">Numeric method floor: max notches below inherent</t>
  </si>
  <si>
    <t xml:space="preserve">Residual can never fall more than this many notches below inherent.</t>
  </si>
  <si>
    <t xml:space="preserve">Key-control cap: environment no better than</t>
  </si>
  <si>
    <t xml:space="preserve">If any key control is Ineffective or untested, control environment is capped (3 = Partially effective).</t>
  </si>
  <si>
    <t xml:space="preserve">Zero-tolerance risks: any excess over appetite is Red</t>
  </si>
  <si>
    <t xml:space="preserve">Y = any residual above appetite on a zero-tolerance risk is Red. N (default) = notch rule only; §12.4 reserves automatic Red for zero-tolerance events.</t>
  </si>
  <si>
    <t xml:space="preserve">1. Control effectiveness scale (CE = worse of design and operating effectiveness)</t>
  </si>
  <si>
    <t xml:space="preserve">Test results</t>
  </si>
  <si>
    <t xml:space="preserve">Pass</t>
  </si>
  <si>
    <t xml:space="preserve">CE score</t>
  </si>
  <si>
    <t xml:space="preserve">Definition</t>
  </si>
  <si>
    <t xml:space="preserve">Mitigation credit</t>
  </si>
  <si>
    <t xml:space="preserve">Environment band: weighted CE from</t>
  </si>
  <si>
    <t xml:space="preserve">Pass with minor exceptions</t>
  </si>
  <si>
    <t xml:space="preserve">Effective</t>
  </si>
  <si>
    <t xml:space="preserve">Well designed, operating as intended, no exceptions in testing</t>
  </si>
  <si>
    <t xml:space="preserve">Fail – partial</t>
  </si>
  <si>
    <t xml:space="preserve">Largely effective</t>
  </si>
  <si>
    <t xml:space="preserve">Minor design or operating gaps; isolated exceptions, no material impact</t>
  </si>
  <si>
    <t xml:space="preserve">Fail</t>
  </si>
  <si>
    <t xml:space="preserve">Partially effective</t>
  </si>
  <si>
    <t xml:space="preserve">Material gaps; exceptions above tolerance; remediation required</t>
  </si>
  <si>
    <t xml:space="preserve">Ineffective</t>
  </si>
  <si>
    <t xml:space="preserve">Not designed to mitigate the risk, failed testing, or not tested / overdue</t>
  </si>
  <si>
    <t xml:space="preserve">Evidence review</t>
  </si>
  <si>
    <t xml:space="preserve">Accepted</t>
  </si>
  <si>
    <t xml:space="preserve">Not tested, overdue, or evidence not accepted → treated as 4 (Ineffective), 0% credit (§10.2).</t>
  </si>
  <si>
    <t xml:space="preserve">Rejected</t>
  </si>
  <si>
    <t xml:space="preserve">Pending</t>
  </si>
  <si>
    <t xml:space="preserve">2. Residual risk matrix (§10.4) – residual score for each inherent rating × control environment</t>
  </si>
  <si>
    <t xml:space="preserve">Inherent ↓ / Control environment →</t>
  </si>
  <si>
    <t xml:space="preserve">Largely eff.</t>
  </si>
  <si>
    <t xml:space="preserve">Partially eff.</t>
  </si>
  <si>
    <t xml:space="preserve">Methods</t>
  </si>
  <si>
    <t xml:space="preserve">Numeric</t>
  </si>
  <si>
    <t xml:space="preserve">Test types</t>
  </si>
  <si>
    <t xml:space="preserve">Design walkthrough</t>
  </si>
  <si>
    <t xml:space="preserve">Inspection of samples</t>
  </si>
  <si>
    <t xml:space="preserve">Re-performance</t>
  </si>
  <si>
    <t xml:space="preserve">Full-population data analytics</t>
  </si>
  <si>
    <t xml:space="preserve">Reliance on Internal Audit</t>
  </si>
  <si>
    <t xml:space="preserve">3. Testing frequency – months until next test (§11.1)</t>
  </si>
  <si>
    <t xml:space="preserve">Inquiry and observation</t>
  </si>
  <si>
    <t xml:space="preserve">Control category</t>
  </si>
  <si>
    <t xml:space="preserve">Key control – last rated Effective</t>
  </si>
  <si>
    <t xml:space="preserve">Non-bank entity types</t>
  </si>
  <si>
    <t xml:space="preserve">Key control – last rated Largely / Partially effective</t>
  </si>
  <si>
    <t xml:space="preserve">Key control – last rated Ineffective (re-test)</t>
  </si>
  <si>
    <t xml:space="preserve">Non-key control</t>
  </si>
  <si>
    <t xml:space="preserve">4. Minimum sample sizes (§11.3)</t>
  </si>
  <si>
    <t xml:space="preserve">Control frequency</t>
  </si>
  <si>
    <t xml:space="preserve">Minimum sample</t>
  </si>
  <si>
    <t xml:space="preserve">Exceptions allowed for 'Effective'</t>
  </si>
  <si>
    <t xml:space="preserve">Annual</t>
  </si>
  <si>
    <t xml:space="preserve">Quarterly</t>
  </si>
  <si>
    <t xml:space="preserve">Monthly</t>
  </si>
  <si>
    <t xml:space="preserve">Weekly</t>
  </si>
  <si>
    <t xml:space="preserve">Daily</t>
  </si>
  <si>
    <t xml:space="preserve">Multiple times per day</t>
  </si>
  <si>
    <t xml:space="preserve">Continuous</t>
  </si>
  <si>
    <t xml:space="preserve">Event-driven</t>
  </si>
  <si>
    <t xml:space="preserve">Group control library (Scope Document §10.1)</t>
  </si>
  <si>
    <t xml:space="preserve">Group controls inherited by every applicable entity. Key controls drive residual risk and have stricter testing frequency.</t>
  </si>
  <si>
    <t xml:space="preserve">Control ID</t>
  </si>
  <si>
    <t xml:space="preserve">Control</t>
  </si>
  <si>
    <t xml:space="preserve">Type</t>
  </si>
  <si>
    <t xml:space="preserve">Nature</t>
  </si>
  <si>
    <t xml:space="preserve">Frequency</t>
  </si>
  <si>
    <t xml:space="preserve">Key (Y/N)</t>
  </si>
  <si>
    <t xml:space="preserve">Line of defence</t>
  </si>
  <si>
    <t xml:space="preserve">Owner role</t>
  </si>
  <si>
    <t xml:space="preserve">Risks mitigated</t>
  </si>
  <si>
    <t xml:space="preserve">Evidence expected</t>
  </si>
  <si>
    <t xml:space="preserve">CTL-KYC-01</t>
  </si>
  <si>
    <t xml:space="preserve">Customer due diligence and ID verification at onboarding</t>
  </si>
  <si>
    <t xml:space="preserve">Preventive</t>
  </si>
  <si>
    <t xml:space="preserve">IT-dependent manual</t>
  </si>
  <si>
    <t xml:space="preserve">1st</t>
  </si>
  <si>
    <t xml:space="preserve">Head of Operations</t>
  </si>
  <si>
    <t xml:space="preserve">All</t>
  </si>
  <si>
    <t xml:space="preserve">FC-01, FC-02, FC-06, FC-07</t>
  </si>
  <si>
    <t xml:space="preserve">System report, sample of reviewed items with sign-off</t>
  </si>
  <si>
    <t xml:space="preserve">CTL-KYC-02</t>
  </si>
  <si>
    <t xml:space="preserve">Enhanced due diligence for high-risk customers and PEPs, senior approval</t>
  </si>
  <si>
    <t xml:space="preserve">Manual</t>
  </si>
  <si>
    <t xml:space="preserve">Country CO</t>
  </si>
  <si>
    <t xml:space="preserve">FC-01, FC-02, FC-05</t>
  </si>
  <si>
    <t xml:space="preserve">Sample of completed checklists, approvals and supporting documents</t>
  </si>
  <si>
    <t xml:space="preserve">CTL-KYC-03</t>
  </si>
  <si>
    <t xml:space="preserve">Ultimate beneficial owner identification and verification</t>
  </si>
  <si>
    <t xml:space="preserve">FC-01, FC-03, FC-04, FC-07</t>
  </si>
  <si>
    <t xml:space="preserve">CTL-KYC-04</t>
  </si>
  <si>
    <t xml:space="preserve">Periodic KYC review by customer risk rating</t>
  </si>
  <si>
    <t xml:space="preserve">Detective</t>
  </si>
  <si>
    <t xml:space="preserve">FC-01, FC-02, FC-07</t>
  </si>
  <si>
    <t xml:space="preserve">CTL-CRR-01</t>
  </si>
  <si>
    <t xml:space="preserve">Customer risk rating model and annual validation</t>
  </si>
  <si>
    <t xml:space="preserve">Directive</t>
  </si>
  <si>
    <t xml:space="preserve">Automated</t>
  </si>
  <si>
    <t xml:space="preserve">2nd</t>
  </si>
  <si>
    <t xml:space="preserve">FC-01, FC-02</t>
  </si>
  <si>
    <t xml:space="preserve">Rule/scenario configuration extract, exception report, change log</t>
  </si>
  <si>
    <t xml:space="preserve">CTL-TM-01</t>
  </si>
  <si>
    <t xml:space="preserve">Automated transaction monitoring scenarios and annual tuning</t>
  </si>
  <si>
    <t xml:space="preserve">Country MLRO</t>
  </si>
  <si>
    <t xml:space="preserve">Banks only</t>
  </si>
  <si>
    <t xml:space="preserve">FC-01, FC-02, FC-06</t>
  </si>
  <si>
    <t xml:space="preserve">CTL-TM-02</t>
  </si>
  <si>
    <t xml:space="preserve">Alert investigation and quality assurance within SLA</t>
  </si>
  <si>
    <t xml:space="preserve">CTL-STR-01</t>
  </si>
  <si>
    <t xml:space="preserve">STR decision and filing within regulatory deadline</t>
  </si>
  <si>
    <t xml:space="preserve">Corrective</t>
  </si>
  <si>
    <t xml:space="preserve">FC-01, FC-02, RC-01</t>
  </si>
  <si>
    <t xml:space="preserve">CTL-SAN-01</t>
  </si>
  <si>
    <t xml:space="preserve">Real-time payment and transaction sanctions screening</t>
  </si>
  <si>
    <t xml:space="preserve">Country Sanctions Officer</t>
  </si>
  <si>
    <t xml:space="preserve">FC-04, FC-03, FC-02</t>
  </si>
  <si>
    <t xml:space="preserve">CTL-SAN-02</t>
  </si>
  <si>
    <t xml:space="preserve">Customer and counterparty screening at onboarding and on list change</t>
  </si>
  <si>
    <t xml:space="preserve">CTL-SAN-03</t>
  </si>
  <si>
    <t xml:space="preserve">Sanctions list updates applied within 24 hours</t>
  </si>
  <si>
    <t xml:space="preserve">Country Head of IT</t>
  </si>
  <si>
    <t xml:space="preserve">CTL-TF-01</t>
  </si>
  <si>
    <t xml:space="preserve">NPO and charity enhanced due diligence</t>
  </si>
  <si>
    <t xml:space="preserve">Head of Retail</t>
  </si>
  <si>
    <t xml:space="preserve">CTL-TBML-01</t>
  </si>
  <si>
    <t xml:space="preserve">Trade-based ML red-flag review and pricing checks</t>
  </si>
  <si>
    <t xml:space="preserve">Head of Trade Finance</t>
  </si>
  <si>
    <t xml:space="preserve">FC-01, FC-03</t>
  </si>
  <si>
    <t xml:space="preserve">CTL-PF-01</t>
  </si>
  <si>
    <t xml:space="preserve">Dual-use goods, vessel and port screening</t>
  </si>
  <si>
    <t xml:space="preserve">FC-03, FC-04</t>
  </si>
  <si>
    <t xml:space="preserve">CTL-CB-01</t>
  </si>
  <si>
    <t xml:space="preserve">Correspondent bank due diligence (CBDDQ) and nesting detection</t>
  </si>
  <si>
    <t xml:space="preserve">Head of FI Banking</t>
  </si>
  <si>
    <t xml:space="preserve">FC-01, FC-04, FC-02</t>
  </si>
  <si>
    <t xml:space="preserve">CTL-PAY-01</t>
  </si>
  <si>
    <t xml:space="preserve">Payment transparency checks (FATF R.16)</t>
  </si>
  <si>
    <t xml:space="preserve">Head of Payments Operations</t>
  </si>
  <si>
    <t xml:space="preserve">FC-04, FC-01, FC-02</t>
  </si>
  <si>
    <t xml:space="preserve">CTL-ABC-01</t>
  </si>
  <si>
    <t xml:space="preserve">Third-party and intermediary anti-bribery due diligence</t>
  </si>
  <si>
    <t xml:space="preserve">Head of Procurement</t>
  </si>
  <si>
    <t xml:space="preserve">FC-05, ER-06</t>
  </si>
  <si>
    <t xml:space="preserve">CTL-ABC-02</t>
  </si>
  <si>
    <t xml:space="preserve">Gifts, hospitality and donations register with pre-approval</t>
  </si>
  <si>
    <t xml:space="preserve">CTL-FRD-01</t>
  </si>
  <si>
    <t xml:space="preserve">Real-time fraud monitoring for cards and digital channels</t>
  </si>
  <si>
    <t xml:space="preserve">CTL-FRD-02</t>
  </si>
  <si>
    <t xml:space="preserve">Maker-checker and dual control on payments and static data</t>
  </si>
  <si>
    <t xml:space="preserve">FC-06, ER-04</t>
  </si>
  <si>
    <t xml:space="preserve">CTL-FRD-03</t>
  </si>
  <si>
    <t xml:space="preserve">Mandatory consecutive leave and rotation for sensitive roles</t>
  </si>
  <si>
    <t xml:space="preserve">Country Head of HR</t>
  </si>
  <si>
    <t xml:space="preserve">FC-06, FC-05</t>
  </si>
  <si>
    <t xml:space="preserve">CTL-TAX-01</t>
  </si>
  <si>
    <t xml:space="preserve">FATCA/CRS self-certification and classification</t>
  </si>
  <si>
    <t xml:space="preserve">CTL-TAX-02</t>
  </si>
  <si>
    <t xml:space="preserve">FATCA/CRS reporting reconciliation and timely filing</t>
  </si>
  <si>
    <t xml:space="preserve">Country CFO</t>
  </si>
  <si>
    <t xml:space="preserve">FC-07, RC-01</t>
  </si>
  <si>
    <t xml:space="preserve">CTL-TRN-01</t>
  </si>
  <si>
    <t xml:space="preserve">Annual AML, sanctions and anti-bribery training</t>
  </si>
  <si>
    <t xml:space="preserve">FC-01, FC-04, FC-05</t>
  </si>
  <si>
    <t xml:space="preserve">CTL-REG-01</t>
  </si>
  <si>
    <t xml:space="preserve">Regulatory change management and obligations register</t>
  </si>
  <si>
    <t xml:space="preserve">CTL-REG-02</t>
  </si>
  <si>
    <t xml:space="preserve">Regulatory return review and senior sign-off</t>
  </si>
  <si>
    <t xml:space="preserve">CTL-CON-01</t>
  </si>
  <si>
    <t xml:space="preserve">New product approval and suitability assessment</t>
  </si>
  <si>
    <t xml:space="preserve">CTL-CON-02</t>
  </si>
  <si>
    <t xml:space="preserve">Complaints handling and root-cause analysis</t>
  </si>
  <si>
    <t xml:space="preserve">Head of Customer Experience</t>
  </si>
  <si>
    <t xml:space="preserve">RC-02, ER-08</t>
  </si>
  <si>
    <t xml:space="preserve">CTL-DP-01</t>
  </si>
  <si>
    <t xml:space="preserve">Data protection impact assessments and processing records</t>
  </si>
  <si>
    <t xml:space="preserve">Country DPO</t>
  </si>
  <si>
    <t xml:space="preserve">CTL-DP-02</t>
  </si>
  <si>
    <t xml:space="preserve">Data loss prevention and quarterly access recertification</t>
  </si>
  <si>
    <t xml:space="preserve">Country ISO</t>
  </si>
  <si>
    <t xml:space="preserve">RC-03, ER-05</t>
  </si>
  <si>
    <t xml:space="preserve">CTL-SH-01</t>
  </si>
  <si>
    <t xml:space="preserve">Shariah review of products and income purification</t>
  </si>
  <si>
    <t xml:space="preserve">Shariah Board Secretary</t>
  </si>
  <si>
    <t xml:space="preserve">Islamic only</t>
  </si>
  <si>
    <t xml:space="preserve">CTL-CR-01</t>
  </si>
  <si>
    <t xml:space="preserve">Credit approval authorities and committee review</t>
  </si>
  <si>
    <t xml:space="preserve">Country Head of Credit</t>
  </si>
  <si>
    <t xml:space="preserve">CTL-CR-02</t>
  </si>
  <si>
    <t xml:space="preserve">Collateral valuation and exposure limit monitoring</t>
  </si>
  <si>
    <t xml:space="preserve">Country CRO</t>
  </si>
  <si>
    <t xml:space="preserve">CTL-MR-01</t>
  </si>
  <si>
    <t xml:space="preserve">Market risk limits and daily VaR monitoring</t>
  </si>
  <si>
    <t xml:space="preserve">CTL-LQ-01</t>
  </si>
  <si>
    <t xml:space="preserve">Liquidity buffers, LCR/NSFR monitoring and contingency funding plan</t>
  </si>
  <si>
    <t xml:space="preserve">Country Treasurer</t>
  </si>
  <si>
    <t xml:space="preserve">CTL-OR-01</t>
  </si>
  <si>
    <t xml:space="preserve">Business continuity plans and annual testing</t>
  </si>
  <si>
    <t xml:space="preserve">Country BCM Lead</t>
  </si>
  <si>
    <t xml:space="preserve">ER-04, ER-05</t>
  </si>
  <si>
    <t xml:space="preserve">CTL-OR-02</t>
  </si>
  <si>
    <t xml:space="preserve">Operational loss event capture and RCSA</t>
  </si>
  <si>
    <t xml:space="preserve">CTL-CY-01</t>
  </si>
  <si>
    <t xml:space="preserve">Vulnerability and patch management</t>
  </si>
  <si>
    <t xml:space="preserve">CTL-CY-02</t>
  </si>
  <si>
    <t xml:space="preserve">Privileged access management and SOC monitoring</t>
  </si>
  <si>
    <t xml:space="preserve">ER-05, FC-06</t>
  </si>
  <si>
    <t xml:space="preserve">CTL-TP-01</t>
  </si>
  <si>
    <t xml:space="preserve">Critical vendor due diligence and tested exit plans</t>
  </si>
  <si>
    <t xml:space="preserve">CTL-LG-01</t>
  </si>
  <si>
    <t xml:space="preserve">Legal review of contracts and litigation register</t>
  </si>
  <si>
    <t xml:space="preserve">Country Legal Counsel</t>
  </si>
  <si>
    <t xml:space="preserve">CTL-RP-01</t>
  </si>
  <si>
    <t xml:space="preserve">Media monitoring and reputational-risk escalation</t>
  </si>
  <si>
    <t xml:space="preserve">Head of Corporate Communications</t>
  </si>
  <si>
    <t xml:space="preserve">CTL-ST-01</t>
  </si>
  <si>
    <t xml:space="preserve">Strategy execution monitoring and E&amp;S screening of lending</t>
  </si>
  <si>
    <t xml:space="preserve">Country CEO</t>
  </si>
  <si>
    <t xml:space="preserve">Control testing log and evidence register (ILLUSTRATIVE SAMPLE DATA)</t>
  </si>
  <si>
    <t xml:space="preserve">One row per entity and control: latest test. A test counts toward residual risk only when evidence is Accepted by Head Office and it is not overdue (§10.2, §11.6).</t>
  </si>
  <si>
    <t xml:space="preserve">Test ID</t>
  </si>
  <si>
    <t xml:space="preserve">Key</t>
  </si>
  <si>
    <t xml:space="preserve">Control owner</t>
  </si>
  <si>
    <t xml:space="preserve">Tester</t>
  </si>
  <si>
    <t xml:space="preserve">Independence</t>
  </si>
  <si>
    <t xml:space="preserve">Design effectiveness (1–4)</t>
  </si>
  <si>
    <t xml:space="preserve">Test date</t>
  </si>
  <si>
    <t xml:space="preserve">Test type</t>
  </si>
  <si>
    <t xml:space="preserve">Sample size</t>
  </si>
  <si>
    <t xml:space="preserve">Exceptions</t>
  </si>
  <si>
    <t xml:space="preserve">Test result</t>
  </si>
  <si>
    <t xml:space="preserve">Operating effectiveness (1–4)</t>
  </si>
  <si>
    <t xml:space="preserve">Evidence reference</t>
  </si>
  <si>
    <t xml:space="preserve">Evidence files</t>
  </si>
  <si>
    <t xml:space="preserve">HO evidence review</t>
  </si>
  <si>
    <t xml:space="preserve">Reviewer</t>
  </si>
  <si>
    <t xml:space="preserve">Next test due</t>
  </si>
  <si>
    <t xml:space="preserve">Test status</t>
  </si>
  <si>
    <t xml:space="preserve">Effective CE (1–4)</t>
  </si>
  <si>
    <t xml:space="preserve">Control effectiveness</t>
  </si>
  <si>
    <t xml:space="preserve">Sample adequate</t>
  </si>
  <si>
    <t xml:space="preserve">Tester comments</t>
  </si>
  <si>
    <t xml:space="preserve">T-0001</t>
  </si>
  <si>
    <t xml:space="preserve">Head of Operations – JO-HO</t>
  </si>
  <si>
    <t xml:space="preserve">Group CMT (Head Office)</t>
  </si>
  <si>
    <t xml:space="preserve">EV-JO-HO-CTL-KYC-01-202608</t>
  </si>
  <si>
    <t xml:space="preserve">HO Reviewer – Group Compliance</t>
  </si>
  <si>
    <t xml:space="preserve">T-0002</t>
  </si>
  <si>
    <t xml:space="preserve">Country CO – JO-HO</t>
  </si>
  <si>
    <t xml:space="preserve">EV-JO-HO-CTL-KYC-02-202609</t>
  </si>
  <si>
    <t xml:space="preserve">T-0003</t>
  </si>
  <si>
    <t xml:space="preserve">EV-JO-HO-CTL-KYC-03-202605</t>
  </si>
  <si>
    <t xml:space="preserve">HO Reviewer – Group Risk</t>
  </si>
  <si>
    <t xml:space="preserve">T-0004</t>
  </si>
  <si>
    <t xml:space="preserve">EV-JO-HO-CTL-KYC-04-202604</t>
  </si>
  <si>
    <t xml:space="preserve">T-0005</t>
  </si>
  <si>
    <t xml:space="preserve">Compliance Monitoring &amp; Testing – JO-HO</t>
  </si>
  <si>
    <t xml:space="preserve">EV-JO-HO-CTL-CRR-01-202512</t>
  </si>
  <si>
    <t xml:space="preserve">T-0006</t>
  </si>
  <si>
    <t xml:space="preserve">Country MLRO – JO-HO</t>
  </si>
  <si>
    <t xml:space="preserve">EV-JO-HO-CTL-TM-01-202608</t>
  </si>
  <si>
    <t xml:space="preserve">T-0007</t>
  </si>
  <si>
    <t xml:space="preserve">EV-JO-HO-CTL-TM-02-202609</t>
  </si>
  <si>
    <t xml:space="preserve">T-0008</t>
  </si>
  <si>
    <t xml:space="preserve">EV-JO-HO-CTL-STR-01-202607</t>
  </si>
  <si>
    <t xml:space="preserve">T-0009</t>
  </si>
  <si>
    <t xml:space="preserve">Country Sanctions Officer – JO-HO</t>
  </si>
  <si>
    <t xml:space="preserve">EV-JO-HO-CTL-SAN-01-202609</t>
  </si>
  <si>
    <t xml:space="preserve">T-0010</t>
  </si>
  <si>
    <t xml:space="preserve">EV-JO-HO-CTL-SAN-02-202608</t>
  </si>
  <si>
    <t xml:space="preserve">T-0011</t>
  </si>
  <si>
    <t xml:space="preserve">Country Head of IT – JO-HO</t>
  </si>
  <si>
    <t xml:space="preserve">EV-JO-HO-CTL-SAN-03-202608</t>
  </si>
  <si>
    <t xml:space="preserve">T-0012</t>
  </si>
  <si>
    <t xml:space="preserve">Head of Retail – JO-HO</t>
  </si>
  <si>
    <t xml:space="preserve">EV-JO-HO-CTL-TF-01-202608</t>
  </si>
  <si>
    <t xml:space="preserve">T-0013</t>
  </si>
  <si>
    <t xml:space="preserve">Head of Trade Finance – JO-HO</t>
  </si>
  <si>
    <t xml:space="preserve">EV-JO-HO-CTL-TBML-01-202608</t>
  </si>
  <si>
    <t xml:space="preserve">T-0014</t>
  </si>
  <si>
    <t xml:space="preserve">EV-JO-HO-CTL-PF-01-202609</t>
  </si>
  <si>
    <t xml:space="preserve">T-0015</t>
  </si>
  <si>
    <t xml:space="preserve">Head of FI Banking – JO-HO</t>
  </si>
  <si>
    <t xml:space="preserve">EV-JO-HO-CTL-CB-01-202606</t>
  </si>
  <si>
    <t xml:space="preserve">T-0016</t>
  </si>
  <si>
    <t xml:space="preserve">Head of Payments Operations – JO-HO</t>
  </si>
  <si>
    <t xml:space="preserve">EV-JO-HO-CTL-PAY-01-202609</t>
  </si>
  <si>
    <t xml:space="preserve">T-0017</t>
  </si>
  <si>
    <t xml:space="preserve">Head of Procurement – JO-HO</t>
  </si>
  <si>
    <t xml:space="preserve">EV-JO-HO-CTL-ABC-01-202605</t>
  </si>
  <si>
    <t xml:space="preserve">T-0018</t>
  </si>
  <si>
    <t xml:space="preserve">EV-JO-HO-CTL-ABC-02-202609</t>
  </si>
  <si>
    <t xml:space="preserve">T-0019</t>
  </si>
  <si>
    <t xml:space="preserve">Head of Fraud Risk – JO-HO</t>
  </si>
  <si>
    <t xml:space="preserve">EV-JO-HO-CTL-FRD-01-202609</t>
  </si>
  <si>
    <t xml:space="preserve">T-0020</t>
  </si>
  <si>
    <t xml:space="preserve">EV-JO-HO-CTL-FRD-02-202605</t>
  </si>
  <si>
    <t xml:space="preserve">T-0021</t>
  </si>
  <si>
    <t xml:space="preserve">Country Head of HR – JO-HO</t>
  </si>
  <si>
    <t xml:space="preserve">EV-JO-HO-CTL-FRD-03-202512</t>
  </si>
  <si>
    <t xml:space="preserve">T-0022</t>
  </si>
  <si>
    <t xml:space="preserve">EV-JO-HO-CTL-TAX-01-202608</t>
  </si>
  <si>
    <t xml:space="preserve">T-0023</t>
  </si>
  <si>
    <t xml:space="preserve">Country CFO – JO-HO</t>
  </si>
  <si>
    <t xml:space="preserve">EV-JO-HO-CTL-TAX-02-202604</t>
  </si>
  <si>
    <t xml:space="preserve">T-0024</t>
  </si>
  <si>
    <t xml:space="preserve">EV-JO-HO-CTL-TRN-01-202609</t>
  </si>
  <si>
    <t xml:space="preserve">T-0025</t>
  </si>
  <si>
    <t xml:space="preserve">EV-JO-HO-CTL-REG-01-202609</t>
  </si>
  <si>
    <t xml:space="preserve">T-0026</t>
  </si>
  <si>
    <t xml:space="preserve">EV-JO-HO-CTL-REG-02-202609</t>
  </si>
  <si>
    <t xml:space="preserve">T-0027</t>
  </si>
  <si>
    <t xml:space="preserve">EV-JO-HO-CTL-CON-01-202605</t>
  </si>
  <si>
    <t xml:space="preserve">T-0028</t>
  </si>
  <si>
    <t xml:space="preserve">Head of Customer Experience – JO-HO</t>
  </si>
  <si>
    <t xml:space="preserve">EV-JO-HO-CTL-CON-02-202606</t>
  </si>
  <si>
    <t xml:space="preserve">T-0029</t>
  </si>
  <si>
    <t xml:space="preserve">Country DPO – JO-HO</t>
  </si>
  <si>
    <t xml:space="preserve">EV-JO-HO-CTL-DP-01-202605</t>
  </si>
  <si>
    <t xml:space="preserve">T-0030</t>
  </si>
  <si>
    <t xml:space="preserve">Country ISO – JO-HO</t>
  </si>
  <si>
    <t xml:space="preserve">EV-JO-HO-CTL-DP-02-202607</t>
  </si>
  <si>
    <t xml:space="preserve">T-0031</t>
  </si>
  <si>
    <t xml:space="preserve">T-0032</t>
  </si>
  <si>
    <t xml:space="preserve">Country Head of Credit – JO-HO</t>
  </si>
  <si>
    <t xml:space="preserve">EV-JO-HO-CTL-CR-01-202609</t>
  </si>
  <si>
    <t xml:space="preserve">T-0033</t>
  </si>
  <si>
    <t xml:space="preserve">Country CRO – JO-HO</t>
  </si>
  <si>
    <t xml:space="preserve">EV-JO-HO-CTL-CR-02-202606</t>
  </si>
  <si>
    <t xml:space="preserve">T-0034</t>
  </si>
  <si>
    <t xml:space="preserve">EV-JO-HO-CTL-MR-01-202609</t>
  </si>
  <si>
    <t xml:space="preserve">T-0035</t>
  </si>
  <si>
    <t xml:space="preserve">Country Treasurer – JO-HO</t>
  </si>
  <si>
    <t xml:space="preserve">EV-JO-HO-CTL-LQ-01-202608</t>
  </si>
  <si>
    <t xml:space="preserve">T-0036</t>
  </si>
  <si>
    <t xml:space="preserve">Country BCM Lead – JO-HO</t>
  </si>
  <si>
    <t xml:space="preserve">EV-JO-HO-CTL-OR-01-202608</t>
  </si>
  <si>
    <t xml:space="preserve">T-0037</t>
  </si>
  <si>
    <t xml:space="preserve">EV-JO-HO-CTL-OR-02-202601</t>
  </si>
  <si>
    <t xml:space="preserve">T-0038</t>
  </si>
  <si>
    <t xml:space="preserve">EV-JO-HO-CTL-CY-01-202609</t>
  </si>
  <si>
    <t xml:space="preserve">T-0039</t>
  </si>
  <si>
    <t xml:space="preserve">EV-JO-HO-CTL-CY-02-202608</t>
  </si>
  <si>
    <t xml:space="preserve">T-0040</t>
  </si>
  <si>
    <t xml:space="preserve">EV-JO-HO-CTL-TP-01-202608</t>
  </si>
  <si>
    <t xml:space="preserve">T-0041</t>
  </si>
  <si>
    <t xml:space="preserve">Country Legal Counsel – JO-HO</t>
  </si>
  <si>
    <t xml:space="preserve">EV-JO-HO-CTL-LG-01-202609</t>
  </si>
  <si>
    <t xml:space="preserve">T-0042</t>
  </si>
  <si>
    <t xml:space="preserve">Head of Corporate Communications – JO-HO</t>
  </si>
  <si>
    <t xml:space="preserve">EV-JO-HO-CTL-RP-01-202607</t>
  </si>
  <si>
    <t xml:space="preserve">T-0043</t>
  </si>
  <si>
    <t xml:space="preserve">Country CEO – JO-HO</t>
  </si>
  <si>
    <t xml:space="preserve">EV-JO-HO-CTL-ST-01-202609</t>
  </si>
  <si>
    <t xml:space="preserve">T-0044</t>
  </si>
  <si>
    <t xml:space="preserve">Head of Operations – JO-IIAB</t>
  </si>
  <si>
    <t xml:space="preserve">EV-JO-IIAB-CTL-KYC-01-202608</t>
  </si>
  <si>
    <t xml:space="preserve">T-0045</t>
  </si>
  <si>
    <t xml:space="preserve">Country CO – JO-IIAB</t>
  </si>
  <si>
    <t xml:space="preserve">EV-JO-IIAB-CTL-KYC-02-202607</t>
  </si>
  <si>
    <t xml:space="preserve">T-0046</t>
  </si>
  <si>
    <t xml:space="preserve">EV-JO-IIAB-CTL-KYC-03-202605</t>
  </si>
  <si>
    <t xml:space="preserve">T-0047</t>
  </si>
  <si>
    <t xml:space="preserve">EV-JO-IIAB-CTL-KYC-04-202609</t>
  </si>
  <si>
    <t xml:space="preserve">T-0048</t>
  </si>
  <si>
    <t xml:space="preserve">Compliance Monitoring &amp; Testing – JO-IIAB</t>
  </si>
  <si>
    <t xml:space="preserve">EV-JO-IIAB-CTL-CRR-01-202605</t>
  </si>
  <si>
    <t xml:space="preserve">T-0049</t>
  </si>
  <si>
    <t xml:space="preserve">Country MLRO – JO-IIAB</t>
  </si>
  <si>
    <t xml:space="preserve">EV-JO-IIAB-CTL-TM-01-202608</t>
  </si>
  <si>
    <t xml:space="preserve">T-0050</t>
  </si>
  <si>
    <t xml:space="preserve">EV-JO-IIAB-CTL-TM-02-202608</t>
  </si>
  <si>
    <t xml:space="preserve">T-0051</t>
  </si>
  <si>
    <t xml:space="preserve">EV-JO-IIAB-CTL-STR-01-202608</t>
  </si>
  <si>
    <t xml:space="preserve">T-0052</t>
  </si>
  <si>
    <t xml:space="preserve">Country Sanctions Officer – JO-IIAB</t>
  </si>
  <si>
    <t xml:space="preserve">EV-JO-IIAB-CTL-SAN-01-202609</t>
  </si>
  <si>
    <t xml:space="preserve">T-0053</t>
  </si>
  <si>
    <t xml:space="preserve">EV-JO-IIAB-CTL-SAN-02-202608</t>
  </si>
  <si>
    <t xml:space="preserve">T-0054</t>
  </si>
  <si>
    <t xml:space="preserve">Country Head of IT – JO-IIAB</t>
  </si>
  <si>
    <t xml:space="preserve">EV-JO-IIAB-CTL-SAN-03-202605</t>
  </si>
  <si>
    <t xml:space="preserve">T-0055</t>
  </si>
  <si>
    <t xml:space="preserve">Head of Retail – JO-IIAB</t>
  </si>
  <si>
    <t xml:space="preserve">EV-JO-IIAB-CTL-TF-01-202608</t>
  </si>
  <si>
    <t xml:space="preserve">T-0056</t>
  </si>
  <si>
    <t xml:space="preserve">Head of Trade Finance – JO-IIAB</t>
  </si>
  <si>
    <t xml:space="preserve">EV-JO-IIAB-CTL-TBML-01-202608</t>
  </si>
  <si>
    <t xml:space="preserve">T-0057</t>
  </si>
  <si>
    <t xml:space="preserve">EV-JO-IIAB-CTL-PF-01-202608</t>
  </si>
  <si>
    <t xml:space="preserve">T-0058</t>
  </si>
  <si>
    <t xml:space="preserve">Head of FI Banking – JO-IIAB</t>
  </si>
  <si>
    <t xml:space="preserve">EV-JO-IIAB-CTL-CB-01-202609</t>
  </si>
  <si>
    <t xml:space="preserve">T-0059</t>
  </si>
  <si>
    <t xml:space="preserve">Head of Payments Operations – JO-IIAB</t>
  </si>
  <si>
    <t xml:space="preserve">EV-JO-IIAB-CTL-PAY-01-202605</t>
  </si>
  <si>
    <t xml:space="preserve">T-0060</t>
  </si>
  <si>
    <t xml:space="preserve">Head of Procurement – JO-IIAB</t>
  </si>
  <si>
    <t xml:space="preserve">EV-JO-IIAB-CTL-ABC-01-202608</t>
  </si>
  <si>
    <t xml:space="preserve">T-0061</t>
  </si>
  <si>
    <t xml:space="preserve">EV-JO-IIAB-CTL-ABC-02-202608</t>
  </si>
  <si>
    <t xml:space="preserve">T-0062</t>
  </si>
  <si>
    <t xml:space="preserve">Head of Fraud Risk – JO-IIAB</t>
  </si>
  <si>
    <t xml:space="preserve">EV-JO-IIAB-CTL-FRD-01-202609</t>
  </si>
  <si>
    <t xml:space="preserve">T-0063</t>
  </si>
  <si>
    <t xml:space="preserve">EV-JO-IIAB-CTL-FRD-02-202608</t>
  </si>
  <si>
    <t xml:space="preserve">T-0064</t>
  </si>
  <si>
    <t xml:space="preserve">Country Head of HR – JO-IIAB</t>
  </si>
  <si>
    <t xml:space="preserve">EV-JO-IIAB-CTL-FRD-03-202602</t>
  </si>
  <si>
    <t xml:space="preserve">T-0065</t>
  </si>
  <si>
    <t xml:space="preserve">EV-JO-IIAB-CTL-TAX-01-202606</t>
  </si>
  <si>
    <t xml:space="preserve">T-0066</t>
  </si>
  <si>
    <t xml:space="preserve">Country CFO – JO-IIAB</t>
  </si>
  <si>
    <t xml:space="preserve">EV-JO-IIAB-CTL-TAX-02-202604</t>
  </si>
  <si>
    <t xml:space="preserve">T-0067</t>
  </si>
  <si>
    <t xml:space="preserve">EV-JO-IIAB-CTL-TRN-01-202604</t>
  </si>
  <si>
    <t xml:space="preserve">T-0068</t>
  </si>
  <si>
    <t xml:space="preserve">EV-JO-IIAB-CTL-REG-01-202607</t>
  </si>
  <si>
    <t xml:space="preserve">T-0069</t>
  </si>
  <si>
    <t xml:space="preserve">EV-JO-IIAB-CTL-REG-02-202609</t>
  </si>
  <si>
    <t xml:space="preserve">T-0070</t>
  </si>
  <si>
    <t xml:space="preserve">EV-JO-IIAB-CTL-CON-01-202607</t>
  </si>
  <si>
    <t xml:space="preserve">T-0071</t>
  </si>
  <si>
    <t xml:space="preserve">Head of Customer Experience – JO-IIAB</t>
  </si>
  <si>
    <t xml:space="preserve">EV-JO-IIAB-CTL-CON-02-202601</t>
  </si>
  <si>
    <t xml:space="preserve">T-0072</t>
  </si>
  <si>
    <t xml:space="preserve">Country DPO – JO-IIAB</t>
  </si>
  <si>
    <t xml:space="preserve">EV-JO-IIAB-CTL-DP-01-202605</t>
  </si>
  <si>
    <t xml:space="preserve">T-0073</t>
  </si>
  <si>
    <t xml:space="preserve">Country ISO – JO-IIAB</t>
  </si>
  <si>
    <t xml:space="preserve">EV-JO-IIAB-CTL-DP-02-202606</t>
  </si>
  <si>
    <t xml:space="preserve">T-0074</t>
  </si>
  <si>
    <t xml:space="preserve">Shariah Board Secretary – JO-IIAB</t>
  </si>
  <si>
    <t xml:space="preserve">EV-JO-IIAB-CTL-SH-01-202605</t>
  </si>
  <si>
    <t xml:space="preserve">T-0075</t>
  </si>
  <si>
    <t xml:space="preserve">Country Head of Credit – JO-IIAB</t>
  </si>
  <si>
    <t xml:space="preserve">EV-JO-IIAB-CTL-CR-01-202605</t>
  </si>
  <si>
    <t xml:space="preserve">T-0076</t>
  </si>
  <si>
    <t xml:space="preserve">Country CRO – JO-IIAB</t>
  </si>
  <si>
    <t xml:space="preserve">EV-JO-IIAB-CTL-CR-02-202606</t>
  </si>
  <si>
    <t xml:space="preserve">T-0077</t>
  </si>
  <si>
    <t xml:space="preserve">EV-JO-IIAB-CTL-MR-01-202608</t>
  </si>
  <si>
    <t xml:space="preserve">T-0078</t>
  </si>
  <si>
    <t xml:space="preserve">Country Treasurer – JO-IIAB</t>
  </si>
  <si>
    <t xml:space="preserve">EV-JO-IIAB-CTL-LQ-01-202608</t>
  </si>
  <si>
    <t xml:space="preserve">T-0079</t>
  </si>
  <si>
    <t xml:space="preserve">Country BCM Lead – JO-IIAB</t>
  </si>
  <si>
    <t xml:space="preserve">EV-JO-IIAB-CTL-OR-01-202608</t>
  </si>
  <si>
    <t xml:space="preserve">T-0080</t>
  </si>
  <si>
    <t xml:space="preserve">EV-JO-IIAB-CTL-OR-02-202606</t>
  </si>
  <si>
    <t xml:space="preserve">T-0081</t>
  </si>
  <si>
    <t xml:space="preserve">EV-JO-IIAB-CTL-CY-01-202605</t>
  </si>
  <si>
    <t xml:space="preserve">T-0082</t>
  </si>
  <si>
    <t xml:space="preserve">EV-JO-IIAB-CTL-CY-02-202609</t>
  </si>
  <si>
    <t xml:space="preserve">T-0083</t>
  </si>
  <si>
    <t xml:space="preserve">EV-JO-IIAB-CTL-TP-01-202608</t>
  </si>
  <si>
    <t xml:space="preserve">T-0084</t>
  </si>
  <si>
    <t xml:space="preserve">Country Legal Counsel – JO-IIAB</t>
  </si>
  <si>
    <t xml:space="preserve">EV-JO-IIAB-CTL-LG-01-202608</t>
  </si>
  <si>
    <t xml:space="preserve">T-0085</t>
  </si>
  <si>
    <t xml:space="preserve">Head of Corporate Communications – JO-IIAB</t>
  </si>
  <si>
    <t xml:space="preserve">EV-JO-IIAB-CTL-RP-01-202609</t>
  </si>
  <si>
    <t xml:space="preserve">T-0086</t>
  </si>
  <si>
    <t xml:space="preserve">Country CEO – JO-IIAB</t>
  </si>
  <si>
    <t xml:space="preserve">EV-JO-IIAB-CTL-ST-01-202608</t>
  </si>
  <si>
    <t xml:space="preserve">T-0087</t>
  </si>
  <si>
    <t xml:space="preserve">Head of Operations – JO-INV</t>
  </si>
  <si>
    <t xml:space="preserve">Compliance Monitoring &amp; Testing – JO-INV</t>
  </si>
  <si>
    <t xml:space="preserve">EV-JO-INV-CTL-KYC-01-202608</t>
  </si>
  <si>
    <t xml:space="preserve">T-0088</t>
  </si>
  <si>
    <t xml:space="preserve">Country CO – JO-INV</t>
  </si>
  <si>
    <t xml:space="preserve">EV-JO-INV-CTL-KYC-02-202512</t>
  </si>
  <si>
    <t xml:space="preserve">T-0089</t>
  </si>
  <si>
    <t xml:space="preserve">EV-JO-INV-CTL-KYC-03-202512</t>
  </si>
  <si>
    <t xml:space="preserve">T-0090</t>
  </si>
  <si>
    <t xml:space="preserve">EV-JO-INV-CTL-KYC-04-202605</t>
  </si>
  <si>
    <t xml:space="preserve">T-0091</t>
  </si>
  <si>
    <t xml:space="preserve">EV-JO-INV-CTL-CRR-01-202412</t>
  </si>
  <si>
    <t xml:space="preserve">T-0092</t>
  </si>
  <si>
    <t xml:space="preserve">T-0093</t>
  </si>
  <si>
    <t xml:space="preserve">Country MLRO – JO-INV</t>
  </si>
  <si>
    <t xml:space="preserve">EV-JO-INV-CTL-TM-02-202609</t>
  </si>
  <si>
    <t xml:space="preserve">T-0094</t>
  </si>
  <si>
    <t xml:space="preserve">EV-JO-INV-CTL-STR-01-202609</t>
  </si>
  <si>
    <t xml:space="preserve">T-0095</t>
  </si>
  <si>
    <t xml:space="preserve">Country Sanctions Officer – JO-INV</t>
  </si>
  <si>
    <t xml:space="preserve">EV-JO-INV-CTL-SAN-01-202606</t>
  </si>
  <si>
    <t xml:space="preserve">T-0096</t>
  </si>
  <si>
    <t xml:space="preserve">EV-JO-INV-CTL-SAN-02-202605</t>
  </si>
  <si>
    <t xml:space="preserve">T-0097</t>
  </si>
  <si>
    <t xml:space="preserve">Country Head of IT – JO-INV</t>
  </si>
  <si>
    <t xml:space="preserve">EV-JO-INV-CTL-SAN-03-202601</t>
  </si>
  <si>
    <t xml:space="preserve">T-0098</t>
  </si>
  <si>
    <t xml:space="preserve">Head of Retail – JO-INV</t>
  </si>
  <si>
    <t xml:space="preserve">EV-JO-INV-CTL-TF-01-202601</t>
  </si>
  <si>
    <t xml:space="preserve">T-0099</t>
  </si>
  <si>
    <t xml:space="preserve">T-0100</t>
  </si>
  <si>
    <t xml:space="preserve">T-0101</t>
  </si>
  <si>
    <t xml:space="preserve">T-0102</t>
  </si>
  <si>
    <t xml:space="preserve">T-0103</t>
  </si>
  <si>
    <t xml:space="preserve">Head of Procurement – JO-INV</t>
  </si>
  <si>
    <t xml:space="preserve">EV-JO-INV-CTL-ABC-01-202606</t>
  </si>
  <si>
    <t xml:space="preserve">T-0104</t>
  </si>
  <si>
    <t xml:space="preserve">EV-JO-INV-CTL-ABC-02-202510</t>
  </si>
  <si>
    <t xml:space="preserve">T-0105</t>
  </si>
  <si>
    <t xml:space="preserve">T-0106</t>
  </si>
  <si>
    <t xml:space="preserve">EV-JO-INV-CTL-FRD-02-202606</t>
  </si>
  <si>
    <t xml:space="preserve">T-0107</t>
  </si>
  <si>
    <t xml:space="preserve">Country Head of HR – JO-INV</t>
  </si>
  <si>
    <t xml:space="preserve">EV-JO-INV-CTL-FRD-03-202606</t>
  </si>
  <si>
    <t xml:space="preserve">T-0108</t>
  </si>
  <si>
    <t xml:space="preserve">EV-JO-INV-CTL-TAX-01-202609</t>
  </si>
  <si>
    <t xml:space="preserve">T-0109</t>
  </si>
  <si>
    <t xml:space="preserve">Country CFO – JO-INV</t>
  </si>
  <si>
    <t xml:space="preserve">EV-JO-INV-CTL-TAX-02-202601</t>
  </si>
  <si>
    <t xml:space="preserve">T-0110</t>
  </si>
  <si>
    <t xml:space="preserve">EV-JO-INV-CTL-TRN-01-202607</t>
  </si>
  <si>
    <t xml:space="preserve">T-0111</t>
  </si>
  <si>
    <t xml:space="preserve">EV-JO-INV-CTL-REG-01-202609</t>
  </si>
  <si>
    <t xml:space="preserve">T-0112</t>
  </si>
  <si>
    <t xml:space="preserve">EV-JO-INV-CTL-REG-02-202608</t>
  </si>
  <si>
    <t xml:space="preserve">T-0113</t>
  </si>
  <si>
    <t xml:space="preserve">EV-JO-INV-CTL-CON-01-202609</t>
  </si>
  <si>
    <t xml:space="preserve">T-0114</t>
  </si>
  <si>
    <t xml:space="preserve">Head of Customer Experience – JO-INV</t>
  </si>
  <si>
    <t xml:space="preserve">EV-JO-INV-CTL-CON-02-202412</t>
  </si>
  <si>
    <t xml:space="preserve">T-0115</t>
  </si>
  <si>
    <t xml:space="preserve">Country DPO – JO-INV</t>
  </si>
  <si>
    <t xml:space="preserve">EV-JO-INV-CTL-DP-01-202606</t>
  </si>
  <si>
    <t xml:space="preserve">T-0116</t>
  </si>
  <si>
    <t xml:space="preserve">Country ISO – JO-INV</t>
  </si>
  <si>
    <t xml:space="preserve">EV-JO-INV-CTL-DP-02-202609</t>
  </si>
  <si>
    <t xml:space="preserve">T-0117</t>
  </si>
  <si>
    <t xml:space="preserve">T-0118</t>
  </si>
  <si>
    <t xml:space="preserve">Country Head of Credit – JO-INV</t>
  </si>
  <si>
    <t xml:space="preserve">EV-JO-INV-CTL-CR-01-202607</t>
  </si>
  <si>
    <t xml:space="preserve">T-0119</t>
  </si>
  <si>
    <t xml:space="preserve">Country CRO – JO-INV</t>
  </si>
  <si>
    <t xml:space="preserve">EV-JO-INV-CTL-CR-02-202607</t>
  </si>
  <si>
    <t xml:space="preserve">T-0120</t>
  </si>
  <si>
    <t xml:space="preserve">EV-JO-INV-CTL-MR-01-202605</t>
  </si>
  <si>
    <t xml:space="preserve">T-0121</t>
  </si>
  <si>
    <t xml:space="preserve">Country Treasurer – JO-INV</t>
  </si>
  <si>
    <t xml:space="preserve">EV-JO-INV-CTL-LQ-01-202608</t>
  </si>
  <si>
    <t xml:space="preserve">T-0122</t>
  </si>
  <si>
    <t xml:space="preserve">Country BCM Lead – JO-INV</t>
  </si>
  <si>
    <t xml:space="preserve">EV-JO-INV-CTL-OR-01-202512</t>
  </si>
  <si>
    <t xml:space="preserve">T-0123</t>
  </si>
  <si>
    <t xml:space="preserve">EV-JO-INV-CTL-OR-02-202509</t>
  </si>
  <si>
    <t xml:space="preserve">T-0124</t>
  </si>
  <si>
    <t xml:space="preserve">EV-JO-INV-CTL-CY-01-202607</t>
  </si>
  <si>
    <t xml:space="preserve">T-0125</t>
  </si>
  <si>
    <t xml:space="preserve">EV-JO-INV-CTL-CY-02-202609</t>
  </si>
  <si>
    <t xml:space="preserve">T-0126</t>
  </si>
  <si>
    <t xml:space="preserve">EV-JO-INV-CTL-TP-01-202609</t>
  </si>
  <si>
    <t xml:space="preserve">T-0127</t>
  </si>
  <si>
    <t xml:space="preserve">Country Legal Counsel – JO-INV</t>
  </si>
  <si>
    <t xml:space="preserve">EV-JO-INV-CTL-LG-01-202608</t>
  </si>
  <si>
    <t xml:space="preserve">T-0128</t>
  </si>
  <si>
    <t xml:space="preserve">Head of Corporate Communications – JO-INV</t>
  </si>
  <si>
    <t xml:space="preserve">EV-JO-INV-CTL-RP-01-202511</t>
  </si>
  <si>
    <t xml:space="preserve">T-0129</t>
  </si>
  <si>
    <t xml:space="preserve">Country CEO – JO-INV</t>
  </si>
  <si>
    <t xml:space="preserve">EV-JO-INV-CTL-ST-01-202606</t>
  </si>
  <si>
    <t xml:space="preserve">T-0130</t>
  </si>
  <si>
    <t xml:space="preserve">Head of Operations – JO-INS</t>
  </si>
  <si>
    <t xml:space="preserve">Compliance Monitoring &amp; Testing – JO-INS</t>
  </si>
  <si>
    <t xml:space="preserve">EV-JO-INS-CTL-KYC-01-202608</t>
  </si>
  <si>
    <t xml:space="preserve">T-0131</t>
  </si>
  <si>
    <t xml:space="preserve">Country CO – JO-INS</t>
  </si>
  <si>
    <t xml:space="preserve">EV-JO-INS-CTL-KYC-02-202606</t>
  </si>
  <si>
    <t xml:space="preserve">T-0132</t>
  </si>
  <si>
    <t xml:space="preserve">EV-JO-INS-CTL-KYC-03-202609</t>
  </si>
  <si>
    <t xml:space="preserve">T-0133</t>
  </si>
  <si>
    <t xml:space="preserve">EV-JO-INS-CTL-KYC-04-202608</t>
  </si>
  <si>
    <t xml:space="preserve">T-0134</t>
  </si>
  <si>
    <t xml:space="preserve">EV-JO-INS-CTL-CRR-01-202507</t>
  </si>
  <si>
    <t xml:space="preserve">T-0135</t>
  </si>
  <si>
    <t xml:space="preserve">T-0136</t>
  </si>
  <si>
    <t xml:space="preserve">Country MLRO – JO-INS</t>
  </si>
  <si>
    <t xml:space="preserve">EV-JO-INS-CTL-TM-02-202601</t>
  </si>
  <si>
    <t xml:space="preserve">T-0137</t>
  </si>
  <si>
    <t xml:space="preserve">T-0138</t>
  </si>
  <si>
    <t xml:space="preserve">Country Sanctions Officer – JO-INS</t>
  </si>
  <si>
    <t xml:space="preserve">EV-JO-INS-CTL-SAN-01-202608</t>
  </si>
  <si>
    <t xml:space="preserve">T-0139</t>
  </si>
  <si>
    <t xml:space="preserve">EV-JO-INS-CTL-SAN-02-202605</t>
  </si>
  <si>
    <t xml:space="preserve">T-0140</t>
  </si>
  <si>
    <t xml:space="preserve">Country Head of IT – JO-INS</t>
  </si>
  <si>
    <t xml:space="preserve">EV-JO-INS-CTL-SAN-03-202502</t>
  </si>
  <si>
    <t xml:space="preserve">T-0141</t>
  </si>
  <si>
    <t xml:space="preserve">Head of Retail – JO-INS</t>
  </si>
  <si>
    <t xml:space="preserve">EV-JO-INS-CTL-TF-01-202410</t>
  </si>
  <si>
    <t xml:space="preserve">T-0142</t>
  </si>
  <si>
    <t xml:space="preserve">T-0143</t>
  </si>
  <si>
    <t xml:space="preserve">T-0144</t>
  </si>
  <si>
    <t xml:space="preserve">T-0145</t>
  </si>
  <si>
    <t xml:space="preserve">T-0146</t>
  </si>
  <si>
    <t xml:space="preserve">Head of Procurement – JO-INS</t>
  </si>
  <si>
    <t xml:space="preserve">EV-JO-INS-CTL-ABC-01-202605</t>
  </si>
  <si>
    <t xml:space="preserve">T-0147</t>
  </si>
  <si>
    <t xml:space="preserve">EV-JO-INS-CTL-ABC-02-202606</t>
  </si>
  <si>
    <t xml:space="preserve">T-0148</t>
  </si>
  <si>
    <t xml:space="preserve">T-0149</t>
  </si>
  <si>
    <t xml:space="preserve">EV-JO-INS-CTL-FRD-02-202604</t>
  </si>
  <si>
    <t xml:space="preserve">T-0150</t>
  </si>
  <si>
    <t xml:space="preserve">Country Head of HR – JO-INS</t>
  </si>
  <si>
    <t xml:space="preserve">EV-JO-INS-CTL-FRD-03-202511</t>
  </si>
  <si>
    <t xml:space="preserve">T-0151</t>
  </si>
  <si>
    <t xml:space="preserve">EV-JO-INS-CTL-TAX-01-202512</t>
  </si>
  <si>
    <t xml:space="preserve">T-0152</t>
  </si>
  <si>
    <t xml:space="preserve">Country CFO – JO-INS</t>
  </si>
  <si>
    <t xml:space="preserve">EV-JO-INS-CTL-TAX-02-202506</t>
  </si>
  <si>
    <t xml:space="preserve">T-0153</t>
  </si>
  <si>
    <t xml:space="preserve">EV-JO-INS-CTL-TRN-01-202412</t>
  </si>
  <si>
    <t xml:space="preserve">T-0154</t>
  </si>
  <si>
    <t xml:space="preserve">EV-JO-INS-CTL-REG-01-202602</t>
  </si>
  <si>
    <t xml:space="preserve">T-0155</t>
  </si>
  <si>
    <t xml:space="preserve">EV-JO-INS-CTL-REG-02-202607</t>
  </si>
  <si>
    <t xml:space="preserve">T-0156</t>
  </si>
  <si>
    <t xml:space="preserve">EV-JO-INS-CTL-CON-01-202608</t>
  </si>
  <si>
    <t xml:space="preserve">T-0157</t>
  </si>
  <si>
    <t xml:space="preserve">Head of Customer Experience – JO-INS</t>
  </si>
  <si>
    <t xml:space="preserve">EV-JO-INS-CTL-CON-02-202503</t>
  </si>
  <si>
    <t xml:space="preserve">T-0158</t>
  </si>
  <si>
    <t xml:space="preserve">Country DPO – JO-INS</t>
  </si>
  <si>
    <t xml:space="preserve">EV-JO-INS-CTL-DP-01-202511</t>
  </si>
  <si>
    <t xml:space="preserve">T-0159</t>
  </si>
  <si>
    <t xml:space="preserve">Country ISO – JO-INS</t>
  </si>
  <si>
    <t xml:space="preserve">EV-JO-INS-CTL-DP-02-202608</t>
  </si>
  <si>
    <t xml:space="preserve">T-0160</t>
  </si>
  <si>
    <t xml:space="preserve">T-0161</t>
  </si>
  <si>
    <t xml:space="preserve">Country Head of Credit – JO-INS</t>
  </si>
  <si>
    <t xml:space="preserve">EV-JO-INS-CTL-CR-01-202511</t>
  </si>
  <si>
    <t xml:space="preserve">T-0162</t>
  </si>
  <si>
    <t xml:space="preserve">Country CRO – JO-INS</t>
  </si>
  <si>
    <t xml:space="preserve">EV-JO-INS-CTL-CR-02-202608</t>
  </si>
  <si>
    <t xml:space="preserve">T-0163</t>
  </si>
  <si>
    <t xml:space="preserve">EV-JO-INS-CTL-MR-01-202606</t>
  </si>
  <si>
    <t xml:space="preserve">T-0164</t>
  </si>
  <si>
    <t xml:space="preserve">Country Treasurer – JO-INS</t>
  </si>
  <si>
    <t xml:space="preserve">EV-JO-INS-CTL-LQ-01-202601</t>
  </si>
  <si>
    <t xml:space="preserve">T-0165</t>
  </si>
  <si>
    <t xml:space="preserve">Country BCM Lead – JO-INS</t>
  </si>
  <si>
    <t xml:space="preserve">EV-JO-INS-CTL-OR-01-202605</t>
  </si>
  <si>
    <t xml:space="preserve">T-0166</t>
  </si>
  <si>
    <t xml:space="preserve">EV-JO-INS-CTL-OR-02-202609</t>
  </si>
  <si>
    <t xml:space="preserve">T-0167</t>
  </si>
  <si>
    <t xml:space="preserve">EV-JO-INS-CTL-CY-01-202605</t>
  </si>
  <si>
    <t xml:space="preserve">T-0168</t>
  </si>
  <si>
    <t xml:space="preserve">EV-JO-INS-CTL-CY-02-202607</t>
  </si>
  <si>
    <t xml:space="preserve">T-0169</t>
  </si>
  <si>
    <t xml:space="preserve">EV-JO-INS-CTL-TP-01-202607</t>
  </si>
  <si>
    <t xml:space="preserve">T-0170</t>
  </si>
  <si>
    <t xml:space="preserve">Country Legal Counsel – JO-INS</t>
  </si>
  <si>
    <t xml:space="preserve">EV-JO-INS-CTL-LG-01-202605</t>
  </si>
  <si>
    <t xml:space="preserve">T-0171</t>
  </si>
  <si>
    <t xml:space="preserve">Head of Corporate Communications – JO-INS</t>
  </si>
  <si>
    <t xml:space="preserve">EV-JO-INS-CTL-RP-01-202605</t>
  </si>
  <si>
    <t xml:space="preserve">T-0172</t>
  </si>
  <si>
    <t xml:space="preserve">Country CEO – JO-INS</t>
  </si>
  <si>
    <t xml:space="preserve">EV-JO-INS-CTL-ST-01-202604</t>
  </si>
  <si>
    <t xml:space="preserve">T-0173</t>
  </si>
  <si>
    <t xml:space="preserve">Head of Operations – JO-LSG</t>
  </si>
  <si>
    <t xml:space="preserve">Compliance Monitoring &amp; Testing – JO-LSG</t>
  </si>
  <si>
    <t xml:space="preserve">EV-JO-LSG-CTL-KYC-01-202608</t>
  </si>
  <si>
    <t xml:space="preserve">T-0174</t>
  </si>
  <si>
    <t xml:space="preserve">Country CO – JO-LSG</t>
  </si>
  <si>
    <t xml:space="preserve">EV-JO-LSG-CTL-KYC-02-202608</t>
  </si>
  <si>
    <t xml:space="preserve">T-0175</t>
  </si>
  <si>
    <t xml:space="preserve">EV-JO-LSG-CTL-KYC-03-202604</t>
  </si>
  <si>
    <t xml:space="preserve">T-0176</t>
  </si>
  <si>
    <t xml:space="preserve">EV-JO-LSG-CTL-KYC-04-202609</t>
  </si>
  <si>
    <t xml:space="preserve">T-0177</t>
  </si>
  <si>
    <t xml:space="preserve">EV-JO-LSG-CTL-CRR-01-202503</t>
  </si>
  <si>
    <t xml:space="preserve">T-0178</t>
  </si>
  <si>
    <t xml:space="preserve">T-0179</t>
  </si>
  <si>
    <t xml:space="preserve">Country MLRO – JO-LSG</t>
  </si>
  <si>
    <t xml:space="preserve">EV-JO-LSG-CTL-TM-02-202512</t>
  </si>
  <si>
    <t xml:space="preserve">T-0180</t>
  </si>
  <si>
    <t xml:space="preserve">EV-JO-LSG-CTL-STR-01-202607</t>
  </si>
  <si>
    <t xml:space="preserve">T-0181</t>
  </si>
  <si>
    <t xml:space="preserve">Country Sanctions Officer – JO-LSG</t>
  </si>
  <si>
    <t xml:space="preserve">EV-JO-LSG-CTL-SAN-01-202605</t>
  </si>
  <si>
    <t xml:space="preserve">T-0182</t>
  </si>
  <si>
    <t xml:space="preserve">EV-JO-LSG-CTL-SAN-02-202609</t>
  </si>
  <si>
    <t xml:space="preserve">T-0183</t>
  </si>
  <si>
    <t xml:space="preserve">Country Head of IT – JO-LSG</t>
  </si>
  <si>
    <t xml:space="preserve">EV-JO-LSG-CTL-SAN-03-202512</t>
  </si>
  <si>
    <t xml:space="preserve">T-0184</t>
  </si>
  <si>
    <t xml:space="preserve">Head of Retail – JO-LSG</t>
  </si>
  <si>
    <t xml:space="preserve">EV-JO-LSG-CTL-TF-01-202503</t>
  </si>
  <si>
    <t xml:space="preserve">T-0185</t>
  </si>
  <si>
    <t xml:space="preserve">T-0186</t>
  </si>
  <si>
    <t xml:space="preserve">T-0187</t>
  </si>
  <si>
    <t xml:space="preserve">T-0188</t>
  </si>
  <si>
    <t xml:space="preserve">T-0189</t>
  </si>
  <si>
    <t xml:space="preserve">Head of Procurement – JO-LSG</t>
  </si>
  <si>
    <t xml:space="preserve">EV-JO-LSG-CTL-ABC-01-202602</t>
  </si>
  <si>
    <t xml:space="preserve">T-0190</t>
  </si>
  <si>
    <t xml:space="preserve">EV-JO-LSG-CTL-ABC-02-202504</t>
  </si>
  <si>
    <t xml:space="preserve">T-0191</t>
  </si>
  <si>
    <t xml:space="preserve">T-0192</t>
  </si>
  <si>
    <t xml:space="preserve">EV-JO-LSG-CTL-FRD-02-202607</t>
  </si>
  <si>
    <t xml:space="preserve">T-0193</t>
  </si>
  <si>
    <t xml:space="preserve">Country Head of HR – JO-LSG</t>
  </si>
  <si>
    <t xml:space="preserve">EV-JO-LSG-CTL-FRD-03-202411</t>
  </si>
  <si>
    <t xml:space="preserve">T-0194</t>
  </si>
  <si>
    <t xml:space="preserve">EV-JO-LSG-CTL-TAX-01-202604</t>
  </si>
  <si>
    <t xml:space="preserve">T-0195</t>
  </si>
  <si>
    <t xml:space="preserve">Country CFO – JO-LSG</t>
  </si>
  <si>
    <t xml:space="preserve">EV-JO-LSG-CTL-TAX-02-202604</t>
  </si>
  <si>
    <t xml:space="preserve">T-0196</t>
  </si>
  <si>
    <t xml:space="preserve">EV-JO-LSG-CTL-TRN-01-202502</t>
  </si>
  <si>
    <t xml:space="preserve">T-0197</t>
  </si>
  <si>
    <t xml:space="preserve">EV-JO-LSG-CTL-REG-01-202609</t>
  </si>
  <si>
    <t xml:space="preserve">T-0198</t>
  </si>
  <si>
    <t xml:space="preserve">EV-JO-LSG-CTL-REG-02-202608</t>
  </si>
  <si>
    <t xml:space="preserve">T-0199</t>
  </si>
  <si>
    <t xml:space="preserve">EV-JO-LSG-CTL-CON-01-202607</t>
  </si>
  <si>
    <t xml:space="preserve">T-0200</t>
  </si>
  <si>
    <t xml:space="preserve">Head of Customer Experience – JO-LSG</t>
  </si>
  <si>
    <t xml:space="preserve">EV-JO-LSG-CTL-CON-02-202609</t>
  </si>
  <si>
    <t xml:space="preserve">T-0201</t>
  </si>
  <si>
    <t xml:space="preserve">Country DPO – JO-LSG</t>
  </si>
  <si>
    <t xml:space="preserve">EV-JO-LSG-CTL-DP-01-202512</t>
  </si>
  <si>
    <t xml:space="preserve">T-0202</t>
  </si>
  <si>
    <t xml:space="preserve">Country ISO – JO-LSG</t>
  </si>
  <si>
    <t xml:space="preserve">EV-JO-LSG-CTL-DP-02-202511</t>
  </si>
  <si>
    <t xml:space="preserve">T-0203</t>
  </si>
  <si>
    <t xml:space="preserve">T-0204</t>
  </si>
  <si>
    <t xml:space="preserve">Country Head of Credit – JO-LSG</t>
  </si>
  <si>
    <t xml:space="preserve">EV-JO-LSG-CTL-CR-01-202606</t>
  </si>
  <si>
    <t xml:space="preserve">T-0205</t>
  </si>
  <si>
    <t xml:space="preserve">Country CRO – JO-LSG</t>
  </si>
  <si>
    <t xml:space="preserve">EV-JO-LSG-CTL-CR-02-202412</t>
  </si>
  <si>
    <t xml:space="preserve">T-0206</t>
  </si>
  <si>
    <t xml:space="preserve">EV-JO-LSG-CTL-MR-01-202601</t>
  </si>
  <si>
    <t xml:space="preserve">T-0207</t>
  </si>
  <si>
    <t xml:space="preserve">Country Treasurer – JO-LSG</t>
  </si>
  <si>
    <t xml:space="preserve">EV-JO-LSG-CTL-LQ-01-202605</t>
  </si>
  <si>
    <t xml:space="preserve">T-0208</t>
  </si>
  <si>
    <t xml:space="preserve">Country BCM Lead – JO-LSG</t>
  </si>
  <si>
    <t xml:space="preserve">EV-JO-LSG-CTL-OR-01-202604</t>
  </si>
  <si>
    <t xml:space="preserve">T-0209</t>
  </si>
  <si>
    <t xml:space="preserve">EV-JO-LSG-CTL-OR-02-202412</t>
  </si>
  <si>
    <t xml:space="preserve">T-0210</t>
  </si>
  <si>
    <t xml:space="preserve">EV-JO-LSG-CTL-CY-01-202607</t>
  </si>
  <si>
    <t xml:space="preserve">T-0211</t>
  </si>
  <si>
    <t xml:space="preserve">EV-JO-LSG-CTL-CY-02-202609</t>
  </si>
  <si>
    <t xml:space="preserve">T-0212</t>
  </si>
  <si>
    <t xml:space="preserve">EV-JO-LSG-CTL-TP-01-202603</t>
  </si>
  <si>
    <t xml:space="preserve">T-0213</t>
  </si>
  <si>
    <t xml:space="preserve">Country Legal Counsel – JO-LSG</t>
  </si>
  <si>
    <t xml:space="preserve">EV-JO-LSG-CTL-LG-01-202605</t>
  </si>
  <si>
    <t xml:space="preserve">T-0214</t>
  </si>
  <si>
    <t xml:space="preserve">Head of Corporate Communications – JO-LSG</t>
  </si>
  <si>
    <t xml:space="preserve">EV-JO-LSG-CTL-RP-01-202607</t>
  </si>
  <si>
    <t xml:space="preserve">T-0215</t>
  </si>
  <si>
    <t xml:space="preserve">Country CEO – JO-LSG</t>
  </si>
  <si>
    <t xml:space="preserve">EV-JO-LSG-CTL-ST-01-202512</t>
  </si>
  <si>
    <t xml:space="preserve">T-0216</t>
  </si>
  <si>
    <t xml:space="preserve">Head of Operations – PS</t>
  </si>
  <si>
    <t xml:space="preserve">EV-PS-CTL-KYC-01-202608</t>
  </si>
  <si>
    <t xml:space="preserve">T-0217</t>
  </si>
  <si>
    <t xml:space="preserve">Country CO – PS</t>
  </si>
  <si>
    <t xml:space="preserve">EV-PS-CTL-KYC-02-202609</t>
  </si>
  <si>
    <t xml:space="preserve">T-0218</t>
  </si>
  <si>
    <t xml:space="preserve">EV-PS-CTL-KYC-03-202608</t>
  </si>
  <si>
    <t xml:space="preserve">T-0219</t>
  </si>
  <si>
    <t xml:space="preserve">EV-PS-CTL-KYC-04-202608</t>
  </si>
  <si>
    <t xml:space="preserve">T-0220</t>
  </si>
  <si>
    <t xml:space="preserve">Compliance Monitoring &amp; Testing – PS</t>
  </si>
  <si>
    <t xml:space="preserve">EV-PS-CTL-CRR-01-202603</t>
  </si>
  <si>
    <t xml:space="preserve">T-0221</t>
  </si>
  <si>
    <t xml:space="preserve">Country MLRO – PS</t>
  </si>
  <si>
    <t xml:space="preserve">EV-PS-CTL-TM-01-202608</t>
  </si>
  <si>
    <t xml:space="preserve">T-0222</t>
  </si>
  <si>
    <t xml:space="preserve">EV-PS-CTL-TM-02-202608</t>
  </si>
  <si>
    <t xml:space="preserve">T-0223</t>
  </si>
  <si>
    <t xml:space="preserve">EV-PS-CTL-STR-01-202605</t>
  </si>
  <si>
    <t xml:space="preserve">T-0224</t>
  </si>
  <si>
    <t xml:space="preserve">Country Sanctions Officer – PS</t>
  </si>
  <si>
    <t xml:space="preserve">EV-PS-CTL-SAN-01-202608</t>
  </si>
  <si>
    <t xml:space="preserve">T-0225</t>
  </si>
  <si>
    <t xml:space="preserve">EV-PS-CTL-SAN-02-202608</t>
  </si>
  <si>
    <t xml:space="preserve">T-0226</t>
  </si>
  <si>
    <t xml:space="preserve">Country Head of IT – PS</t>
  </si>
  <si>
    <t xml:space="preserve">EV-PS-CTL-SAN-03-202602</t>
  </si>
  <si>
    <t xml:space="preserve">T-0227</t>
  </si>
  <si>
    <t xml:space="preserve">Head of Retail – PS</t>
  </si>
  <si>
    <t xml:space="preserve">EV-PS-CTL-TF-01-202609</t>
  </si>
  <si>
    <t xml:space="preserve">T-0228</t>
  </si>
  <si>
    <t xml:space="preserve">Head of Trade Finance – PS</t>
  </si>
  <si>
    <t xml:space="preserve">EV-PS-CTL-TBML-01-202608</t>
  </si>
  <si>
    <t xml:space="preserve">T-0229</t>
  </si>
  <si>
    <t xml:space="preserve">EV-PS-CTL-PF-01-202608</t>
  </si>
  <si>
    <t xml:space="preserve">T-0230</t>
  </si>
  <si>
    <t xml:space="preserve">Head of FI Banking – PS</t>
  </si>
  <si>
    <t xml:space="preserve">EV-PS-CTL-CB-01-202608</t>
  </si>
  <si>
    <t xml:space="preserve">T-0231</t>
  </si>
  <si>
    <t xml:space="preserve">Head of Payments Operations – PS</t>
  </si>
  <si>
    <t xml:space="preserve">EV-PS-CTL-PAY-01-202605</t>
  </si>
  <si>
    <t xml:space="preserve">T-0232</t>
  </si>
  <si>
    <t xml:space="preserve">Head of Procurement – PS</t>
  </si>
  <si>
    <t xml:space="preserve">EV-PS-CTL-ABC-01-202605</t>
  </si>
  <si>
    <t xml:space="preserve">T-0233</t>
  </si>
  <si>
    <t xml:space="preserve">T-0234</t>
  </si>
  <si>
    <t xml:space="preserve">Head of Fraud Risk – PS</t>
  </si>
  <si>
    <t xml:space="preserve">EV-PS-CTL-FRD-01-202608</t>
  </si>
  <si>
    <t xml:space="preserve">T-0235</t>
  </si>
  <si>
    <t xml:space="preserve">EV-PS-CTL-FRD-02-202608</t>
  </si>
  <si>
    <t xml:space="preserve">T-0236</t>
  </si>
  <si>
    <t xml:space="preserve">Country Head of HR – PS</t>
  </si>
  <si>
    <t xml:space="preserve">EV-PS-CTL-FRD-03-202510</t>
  </si>
  <si>
    <t xml:space="preserve">T-0237</t>
  </si>
  <si>
    <t xml:space="preserve">EV-PS-CTL-TAX-01-202609</t>
  </si>
  <si>
    <t xml:space="preserve">T-0238</t>
  </si>
  <si>
    <t xml:space="preserve">Country CFO – PS</t>
  </si>
  <si>
    <t xml:space="preserve">EV-PS-CTL-TAX-02-202605</t>
  </si>
  <si>
    <t xml:space="preserve">T-0239</t>
  </si>
  <si>
    <t xml:space="preserve">EV-PS-CTL-TRN-01-202601</t>
  </si>
  <si>
    <t xml:space="preserve">T-0240</t>
  </si>
  <si>
    <t xml:space="preserve">EV-PS-CTL-REG-01-202609</t>
  </si>
  <si>
    <t xml:space="preserve">T-0241</t>
  </si>
  <si>
    <t xml:space="preserve">EV-PS-CTL-REG-02-202608</t>
  </si>
  <si>
    <t xml:space="preserve">T-0242</t>
  </si>
  <si>
    <t xml:space="preserve">EV-PS-CTL-CON-01-202609</t>
  </si>
  <si>
    <t xml:space="preserve">T-0243</t>
  </si>
  <si>
    <t xml:space="preserve">Head of Customer Experience – PS</t>
  </si>
  <si>
    <t xml:space="preserve">EV-PS-CTL-CON-02-202601</t>
  </si>
  <si>
    <t xml:space="preserve">T-0244</t>
  </si>
  <si>
    <t xml:space="preserve">Country DPO – PS</t>
  </si>
  <si>
    <t xml:space="preserve">EV-PS-CTL-DP-01-202607</t>
  </si>
  <si>
    <t xml:space="preserve">T-0245</t>
  </si>
  <si>
    <t xml:space="preserve">Country ISO – PS</t>
  </si>
  <si>
    <t xml:space="preserve">EV-PS-CTL-DP-02-202607</t>
  </si>
  <si>
    <t xml:space="preserve">T-0246</t>
  </si>
  <si>
    <t xml:space="preserve">T-0247</t>
  </si>
  <si>
    <t xml:space="preserve">Country Head of Credit – PS</t>
  </si>
  <si>
    <t xml:space="preserve">EV-PS-CTL-CR-01-202609</t>
  </si>
  <si>
    <t xml:space="preserve">T-0248</t>
  </si>
  <si>
    <t xml:space="preserve">Country CRO – PS</t>
  </si>
  <si>
    <t xml:space="preserve">EV-PS-CTL-CR-02-202605</t>
  </si>
  <si>
    <t xml:space="preserve">T-0249</t>
  </si>
  <si>
    <t xml:space="preserve">EV-PS-CTL-MR-01-202607</t>
  </si>
  <si>
    <t xml:space="preserve">T-0250</t>
  </si>
  <si>
    <t xml:space="preserve">Country Treasurer – PS</t>
  </si>
  <si>
    <t xml:space="preserve">EV-PS-CTL-LQ-01-202605</t>
  </si>
  <si>
    <t xml:space="preserve">T-0251</t>
  </si>
  <si>
    <t xml:space="preserve">Country BCM Lead – PS</t>
  </si>
  <si>
    <t xml:space="preserve">EV-PS-CTL-OR-01-202609</t>
  </si>
  <si>
    <t xml:space="preserve">T-0252</t>
  </si>
  <si>
    <t xml:space="preserve">T-0253</t>
  </si>
  <si>
    <t xml:space="preserve">EV-PS-CTL-CY-01-202609</t>
  </si>
  <si>
    <t xml:space="preserve">T-0254</t>
  </si>
  <si>
    <t xml:space="preserve">EV-PS-CTL-CY-02-202609</t>
  </si>
  <si>
    <t xml:space="preserve">T-0255</t>
  </si>
  <si>
    <t xml:space="preserve">EV-PS-CTL-TP-01-202608</t>
  </si>
  <si>
    <t xml:space="preserve">T-0256</t>
  </si>
  <si>
    <t xml:space="preserve">Country Legal Counsel – PS</t>
  </si>
  <si>
    <t xml:space="preserve">EV-PS-CTL-LG-01-202609</t>
  </si>
  <si>
    <t xml:space="preserve">T-0257</t>
  </si>
  <si>
    <t xml:space="preserve">Head of Corporate Communications – PS</t>
  </si>
  <si>
    <t xml:space="preserve">T-0258</t>
  </si>
  <si>
    <t xml:space="preserve">Country CEO – PS</t>
  </si>
  <si>
    <t xml:space="preserve">EV-PS-CTL-ST-01-202607</t>
  </si>
  <si>
    <t xml:space="preserve">T-0259</t>
  </si>
  <si>
    <t xml:space="preserve">Head of Operations – PS-INV</t>
  </si>
  <si>
    <t xml:space="preserve">Compliance Monitoring &amp; Testing – PS-INV</t>
  </si>
  <si>
    <t xml:space="preserve">EV-PS-INV-CTL-KYC-01-202606</t>
  </si>
  <si>
    <t xml:space="preserve">T-0260</t>
  </si>
  <si>
    <t xml:space="preserve">Country CO – PS-INV</t>
  </si>
  <si>
    <t xml:space="preserve">EV-PS-INV-CTL-KYC-02-202606</t>
  </si>
  <si>
    <t xml:space="preserve">T-0261</t>
  </si>
  <si>
    <t xml:space="preserve">EV-PS-INV-CTL-KYC-03-202606</t>
  </si>
  <si>
    <t xml:space="preserve">T-0262</t>
  </si>
  <si>
    <t xml:space="preserve">EV-PS-INV-CTL-KYC-04-202605</t>
  </si>
  <si>
    <t xml:space="preserve">T-0263</t>
  </si>
  <si>
    <t xml:space="preserve">EV-PS-INV-CTL-CRR-01-202411</t>
  </si>
  <si>
    <t xml:space="preserve">T-0264</t>
  </si>
  <si>
    <t xml:space="preserve">T-0265</t>
  </si>
  <si>
    <t xml:space="preserve">Country MLRO – PS-INV</t>
  </si>
  <si>
    <t xml:space="preserve">EV-PS-INV-CTL-TM-02-202608</t>
  </si>
  <si>
    <t xml:space="preserve">T-0266</t>
  </si>
  <si>
    <t xml:space="preserve">EV-PS-INV-CTL-STR-01-202606</t>
  </si>
  <si>
    <t xml:space="preserve">T-0267</t>
  </si>
  <si>
    <t xml:space="preserve">Country Sanctions Officer – PS-INV</t>
  </si>
  <si>
    <t xml:space="preserve">EV-PS-INV-CTL-SAN-01-202608</t>
  </si>
  <si>
    <t xml:space="preserve">T-0268</t>
  </si>
  <si>
    <t xml:space="preserve">EV-PS-INV-CTL-SAN-02-202512</t>
  </si>
  <si>
    <t xml:space="preserve">T-0269</t>
  </si>
  <si>
    <t xml:space="preserve">Country Head of IT – PS-INV</t>
  </si>
  <si>
    <t xml:space="preserve">EV-PS-INV-CTL-SAN-03-202605</t>
  </si>
  <si>
    <t xml:space="preserve">T-0270</t>
  </si>
  <si>
    <t xml:space="preserve">Head of Retail – PS-INV</t>
  </si>
  <si>
    <t xml:space="preserve">EV-PS-INV-CTL-TF-01-202412</t>
  </si>
  <si>
    <t xml:space="preserve">T-0271</t>
  </si>
  <si>
    <t xml:space="preserve">T-0272</t>
  </si>
  <si>
    <t xml:space="preserve">T-0273</t>
  </si>
  <si>
    <t xml:space="preserve">T-0274</t>
  </si>
  <si>
    <t xml:space="preserve">T-0275</t>
  </si>
  <si>
    <t xml:space="preserve">Head of Procurement – PS-INV</t>
  </si>
  <si>
    <t xml:space="preserve">EV-PS-INV-CTL-ABC-01-202604</t>
  </si>
  <si>
    <t xml:space="preserve">T-0276</t>
  </si>
  <si>
    <t xml:space="preserve">EV-PS-INV-CTL-ABC-02-202408</t>
  </si>
  <si>
    <t xml:space="preserve">T-0277</t>
  </si>
  <si>
    <t xml:space="preserve">T-0278</t>
  </si>
  <si>
    <t xml:space="preserve">EV-PS-INV-CTL-FRD-02-202607</t>
  </si>
  <si>
    <t xml:space="preserve">T-0279</t>
  </si>
  <si>
    <t xml:space="preserve">Country Head of HR – PS-INV</t>
  </si>
  <si>
    <t xml:space="preserve">EV-PS-INV-CTL-FRD-03-202609</t>
  </si>
  <si>
    <t xml:space="preserve">T-0280</t>
  </si>
  <si>
    <t xml:space="preserve">EV-PS-INV-CTL-TAX-01-202606</t>
  </si>
  <si>
    <t xml:space="preserve">T-0281</t>
  </si>
  <si>
    <t xml:space="preserve">Country CFO – PS-INV</t>
  </si>
  <si>
    <t xml:space="preserve">EV-PS-INV-CTL-TAX-02-202603</t>
  </si>
  <si>
    <t xml:space="preserve">T-0282</t>
  </si>
  <si>
    <t xml:space="preserve">EV-PS-INV-CTL-TRN-01-202604</t>
  </si>
  <si>
    <t xml:space="preserve">T-0283</t>
  </si>
  <si>
    <t xml:space="preserve">EV-PS-INV-CTL-REG-01-202606</t>
  </si>
  <si>
    <t xml:space="preserve">T-0284</t>
  </si>
  <si>
    <t xml:space="preserve">EV-PS-INV-CTL-REG-02-202607</t>
  </si>
  <si>
    <t xml:space="preserve">T-0285</t>
  </si>
  <si>
    <t xml:space="preserve">EV-PS-INV-CTL-CON-01-202605</t>
  </si>
  <si>
    <t xml:space="preserve">T-0286</t>
  </si>
  <si>
    <t xml:space="preserve">Head of Customer Experience – PS-INV</t>
  </si>
  <si>
    <t xml:space="preserve">EV-PS-INV-CTL-CON-02-202408</t>
  </si>
  <si>
    <t xml:space="preserve">T-0287</t>
  </si>
  <si>
    <t xml:space="preserve">Country DPO – PS-INV</t>
  </si>
  <si>
    <t xml:space="preserve">EV-PS-INV-CTL-DP-01-202609</t>
  </si>
  <si>
    <t xml:space="preserve">T-0288</t>
  </si>
  <si>
    <t xml:space="preserve">Country ISO – PS-INV</t>
  </si>
  <si>
    <t xml:space="preserve">EV-PS-INV-CTL-DP-02-202607</t>
  </si>
  <si>
    <t xml:space="preserve">T-0289</t>
  </si>
  <si>
    <t xml:space="preserve">T-0290</t>
  </si>
  <si>
    <t xml:space="preserve">Country Head of Credit – PS-INV</t>
  </si>
  <si>
    <t xml:space="preserve">EV-PS-INV-CTL-CR-01-202609</t>
  </si>
  <si>
    <t xml:space="preserve">T-0291</t>
  </si>
  <si>
    <t xml:space="preserve">Country CRO – PS-INV</t>
  </si>
  <si>
    <t xml:space="preserve">EV-PS-INV-CTL-CR-02-202510</t>
  </si>
  <si>
    <t xml:space="preserve">T-0292</t>
  </si>
  <si>
    <t xml:space="preserve">EV-PS-INV-CTL-MR-01-202606</t>
  </si>
  <si>
    <t xml:space="preserve">T-0293</t>
  </si>
  <si>
    <t xml:space="preserve">Country Treasurer – PS-INV</t>
  </si>
  <si>
    <t xml:space="preserve">EV-PS-INV-CTL-LQ-01-202606</t>
  </si>
  <si>
    <t xml:space="preserve">T-0294</t>
  </si>
  <si>
    <t xml:space="preserve">Country BCM Lead – PS-INV</t>
  </si>
  <si>
    <t xml:space="preserve">EV-PS-INV-CTL-OR-01-202608</t>
  </si>
  <si>
    <t xml:space="preserve">T-0295</t>
  </si>
  <si>
    <t xml:space="preserve">EV-PS-INV-CTL-OR-02-202605</t>
  </si>
  <si>
    <t xml:space="preserve">T-0296</t>
  </si>
  <si>
    <t xml:space="preserve">EV-PS-INV-CTL-CY-01-202605</t>
  </si>
  <si>
    <t xml:space="preserve">T-0297</t>
  </si>
  <si>
    <t xml:space="preserve">EV-PS-INV-CTL-CY-02-202608</t>
  </si>
  <si>
    <t xml:space="preserve">T-0298</t>
  </si>
  <si>
    <t xml:space="preserve">EV-PS-INV-CTL-TP-01-202606</t>
  </si>
  <si>
    <t xml:space="preserve">T-0299</t>
  </si>
  <si>
    <t xml:space="preserve">Country Legal Counsel – PS-INV</t>
  </si>
  <si>
    <t xml:space="preserve">EV-PS-INV-CTL-LG-01-202606</t>
  </si>
  <si>
    <t xml:space="preserve">T-0300</t>
  </si>
  <si>
    <t xml:space="preserve">Head of Corporate Communications – PS-INV</t>
  </si>
  <si>
    <t xml:space="preserve">EV-PS-INV-CTL-RP-01-202607</t>
  </si>
  <si>
    <t xml:space="preserve">T-0301</t>
  </si>
  <si>
    <t xml:space="preserve">Country CEO – PS-INV</t>
  </si>
  <si>
    <t xml:space="preserve">EV-PS-INV-CTL-ST-01-202606</t>
  </si>
  <si>
    <t xml:space="preserve">T-0302</t>
  </si>
  <si>
    <t xml:space="preserve">Head of Operations – LB</t>
  </si>
  <si>
    <t xml:space="preserve">Compliance Monitoring &amp; Testing – LB</t>
  </si>
  <si>
    <t xml:space="preserve">EV-LB-CTL-KYC-01-202605</t>
  </si>
  <si>
    <t xml:space="preserve">T-0303</t>
  </si>
  <si>
    <t xml:space="preserve">Country CO – LB</t>
  </si>
  <si>
    <t xml:space="preserve">EV-LB-CTL-KYC-02-202609</t>
  </si>
  <si>
    <t xml:space="preserve">T-0304</t>
  </si>
  <si>
    <t xml:space="preserve">EV-LB-CTL-KYC-03-202607</t>
  </si>
  <si>
    <t xml:space="preserve">T-0305</t>
  </si>
  <si>
    <t xml:space="preserve">EV-LB-CTL-KYC-04-202605</t>
  </si>
  <si>
    <t xml:space="preserve">T-0306</t>
  </si>
  <si>
    <t xml:space="preserve">EV-LB-CTL-CRR-01-202512</t>
  </si>
  <si>
    <t xml:space="preserve">T-0307</t>
  </si>
  <si>
    <t xml:space="preserve">Country MLRO – LB</t>
  </si>
  <si>
    <t xml:space="preserve">EV-LB-CTL-TM-01-202606</t>
  </si>
  <si>
    <t xml:space="preserve">T-0308</t>
  </si>
  <si>
    <t xml:space="preserve">EV-LB-CTL-TM-02-202606</t>
  </si>
  <si>
    <t xml:space="preserve">T-0309</t>
  </si>
  <si>
    <t xml:space="preserve">EV-LB-CTL-STR-01-202606</t>
  </si>
  <si>
    <t xml:space="preserve">T-0310</t>
  </si>
  <si>
    <t xml:space="preserve">Country Sanctions Officer – LB</t>
  </si>
  <si>
    <t xml:space="preserve">EV-LB-CTL-SAN-01-202608</t>
  </si>
  <si>
    <t xml:space="preserve">T-0311</t>
  </si>
  <si>
    <t xml:space="preserve">EV-LB-CTL-SAN-02-202606</t>
  </si>
  <si>
    <t xml:space="preserve">T-0312</t>
  </si>
  <si>
    <t xml:space="preserve">Country Head of IT – LB</t>
  </si>
  <si>
    <t xml:space="preserve">EV-LB-CTL-SAN-03-202511</t>
  </si>
  <si>
    <t xml:space="preserve">T-0313</t>
  </si>
  <si>
    <t xml:space="preserve">Head of Retail – LB</t>
  </si>
  <si>
    <t xml:space="preserve">EV-LB-CTL-TF-01-202507</t>
  </si>
  <si>
    <t xml:space="preserve">T-0314</t>
  </si>
  <si>
    <t xml:space="preserve">Head of Trade Finance – LB</t>
  </si>
  <si>
    <t xml:space="preserve">EV-LB-CTL-TBML-01-202609</t>
  </si>
  <si>
    <t xml:space="preserve">T-0315</t>
  </si>
  <si>
    <t xml:space="preserve">EV-LB-CTL-PF-01-202607</t>
  </si>
  <si>
    <t xml:space="preserve">T-0316</t>
  </si>
  <si>
    <t xml:space="preserve">Head of FI Banking – LB</t>
  </si>
  <si>
    <t xml:space="preserve">EV-LB-CTL-CB-01-202609</t>
  </si>
  <si>
    <t xml:space="preserve">T-0317</t>
  </si>
  <si>
    <t xml:space="preserve">Head of Payments Operations – LB</t>
  </si>
  <si>
    <t xml:space="preserve">EV-LB-CTL-PAY-01-202601</t>
  </si>
  <si>
    <t xml:space="preserve">T-0318</t>
  </si>
  <si>
    <t xml:space="preserve">Head of Procurement – LB</t>
  </si>
  <si>
    <t xml:space="preserve">EV-LB-CTL-ABC-01-202604</t>
  </si>
  <si>
    <t xml:space="preserve">T-0319</t>
  </si>
  <si>
    <t xml:space="preserve">EV-LB-CTL-ABC-02-202605</t>
  </si>
  <si>
    <t xml:space="preserve">T-0320</t>
  </si>
  <si>
    <t xml:space="preserve">Head of Fraud Risk – LB</t>
  </si>
  <si>
    <t xml:space="preserve">EV-LB-CTL-FRD-01-202511</t>
  </si>
  <si>
    <t xml:space="preserve">T-0321</t>
  </si>
  <si>
    <t xml:space="preserve">EV-LB-CTL-FRD-02-202607</t>
  </si>
  <si>
    <t xml:space="preserve">T-0322</t>
  </si>
  <si>
    <t xml:space="preserve">Country Head of HR – LB</t>
  </si>
  <si>
    <t xml:space="preserve">EV-LB-CTL-FRD-03-202609</t>
  </si>
  <si>
    <t xml:space="preserve">T-0323</t>
  </si>
  <si>
    <t xml:space="preserve">EV-LB-CTL-TAX-01-202609</t>
  </si>
  <si>
    <t xml:space="preserve">T-0324</t>
  </si>
  <si>
    <t xml:space="preserve">Country CFO – LB</t>
  </si>
  <si>
    <t xml:space="preserve">EV-LB-CTL-TAX-02-202602</t>
  </si>
  <si>
    <t xml:space="preserve">T-0325</t>
  </si>
  <si>
    <t xml:space="preserve">EV-LB-CTL-TRN-01-202512</t>
  </si>
  <si>
    <t xml:space="preserve">T-0326</t>
  </si>
  <si>
    <t xml:space="preserve">EV-LB-CTL-REG-01-202608</t>
  </si>
  <si>
    <t xml:space="preserve">T-0327</t>
  </si>
  <si>
    <t xml:space="preserve">EV-LB-CTL-REG-02-202605</t>
  </si>
  <si>
    <t xml:space="preserve">T-0328</t>
  </si>
  <si>
    <t xml:space="preserve">EV-LB-CTL-CON-01-202604</t>
  </si>
  <si>
    <t xml:space="preserve">T-0329</t>
  </si>
  <si>
    <t xml:space="preserve">Head of Customer Experience – LB</t>
  </si>
  <si>
    <t xml:space="preserve">EV-LB-CTL-CON-02-202512</t>
  </si>
  <si>
    <t xml:space="preserve">T-0330</t>
  </si>
  <si>
    <t xml:space="preserve">Country DPO – LB</t>
  </si>
  <si>
    <t xml:space="preserve">EV-LB-CTL-DP-01-202605</t>
  </si>
  <si>
    <t xml:space="preserve">T-0331</t>
  </si>
  <si>
    <t xml:space="preserve">Country ISO – LB</t>
  </si>
  <si>
    <t xml:space="preserve">EV-LB-CTL-DP-02-202606</t>
  </si>
  <si>
    <t xml:space="preserve">T-0332</t>
  </si>
  <si>
    <t xml:space="preserve">T-0333</t>
  </si>
  <si>
    <t xml:space="preserve">Country Head of Credit – LB</t>
  </si>
  <si>
    <t xml:space="preserve">EV-LB-CTL-CR-01-202605</t>
  </si>
  <si>
    <t xml:space="preserve">T-0334</t>
  </si>
  <si>
    <t xml:space="preserve">Country CRO – LB</t>
  </si>
  <si>
    <t xml:space="preserve">EV-LB-CTL-CR-02-202607</t>
  </si>
  <si>
    <t xml:space="preserve">T-0335</t>
  </si>
  <si>
    <t xml:space="preserve">EV-LB-CTL-MR-01-202609</t>
  </si>
  <si>
    <t xml:space="preserve">T-0336</t>
  </si>
  <si>
    <t xml:space="preserve">Country Treasurer – LB</t>
  </si>
  <si>
    <t xml:space="preserve">T-0337</t>
  </si>
  <si>
    <t xml:space="preserve">Country BCM Lead – LB</t>
  </si>
  <si>
    <t xml:space="preserve">EV-LB-CTL-OR-01-202604</t>
  </si>
  <si>
    <t xml:space="preserve">T-0338</t>
  </si>
  <si>
    <t xml:space="preserve">EV-LB-CTL-OR-02-202510</t>
  </si>
  <si>
    <t xml:space="preserve">T-0339</t>
  </si>
  <si>
    <t xml:space="preserve">EV-LB-CTL-CY-01-202605</t>
  </si>
  <si>
    <t xml:space="preserve">T-0340</t>
  </si>
  <si>
    <t xml:space="preserve">EV-LB-CTL-CY-02-202606</t>
  </si>
  <si>
    <t xml:space="preserve">T-0341</t>
  </si>
  <si>
    <t xml:space="preserve">EV-LB-CTL-TP-01-202608</t>
  </si>
  <si>
    <t xml:space="preserve">T-0342</t>
  </si>
  <si>
    <t xml:space="preserve">Country Legal Counsel – LB</t>
  </si>
  <si>
    <t xml:space="preserve">EV-LB-CTL-LG-01-202608</t>
  </si>
  <si>
    <t xml:space="preserve">T-0343</t>
  </si>
  <si>
    <t xml:space="preserve">Head of Corporate Communications – LB</t>
  </si>
  <si>
    <t xml:space="preserve">EV-LB-CTL-RP-01-202512</t>
  </si>
  <si>
    <t xml:space="preserve">T-0344</t>
  </si>
  <si>
    <t xml:space="preserve">Country CEO – LB</t>
  </si>
  <si>
    <t xml:space="preserve">EV-LB-CTL-ST-01-202605</t>
  </si>
  <si>
    <t xml:space="preserve">T-0345</t>
  </si>
  <si>
    <t xml:space="preserve">Head of Operations – SY</t>
  </si>
  <si>
    <t xml:space="preserve">Compliance Monitoring &amp; Testing – SY</t>
  </si>
  <si>
    <t xml:space="preserve">EV-SY-CTL-KYC-01-202607</t>
  </si>
  <si>
    <t xml:space="preserve">T-0346</t>
  </si>
  <si>
    <t xml:space="preserve">Country CO – SY</t>
  </si>
  <si>
    <t xml:space="preserve">EV-SY-CTL-KYC-02-202606</t>
  </si>
  <si>
    <t xml:space="preserve">T-0347</t>
  </si>
  <si>
    <t xml:space="preserve">EV-SY-CTL-KYC-03-202608</t>
  </si>
  <si>
    <t xml:space="preserve">T-0348</t>
  </si>
  <si>
    <t xml:space="preserve">EV-SY-CTL-KYC-04-202605</t>
  </si>
  <si>
    <t xml:space="preserve">T-0349</t>
  </si>
  <si>
    <t xml:space="preserve">EV-SY-CTL-CRR-01-202510</t>
  </si>
  <si>
    <t xml:space="preserve">T-0350</t>
  </si>
  <si>
    <t xml:space="preserve">Country MLRO – SY</t>
  </si>
  <si>
    <t xml:space="preserve">EV-SY-CTL-TM-01-202608</t>
  </si>
  <si>
    <t xml:space="preserve">T-0351</t>
  </si>
  <si>
    <t xml:space="preserve">EV-SY-CTL-TM-02-202605</t>
  </si>
  <si>
    <t xml:space="preserve">T-0352</t>
  </si>
  <si>
    <t xml:space="preserve">EV-SY-CTL-STR-01-202606</t>
  </si>
  <si>
    <t xml:space="preserve">T-0353</t>
  </si>
  <si>
    <t xml:space="preserve">Country Sanctions Officer – SY</t>
  </si>
  <si>
    <t xml:space="preserve">EV-SY-CTL-SAN-01-202606</t>
  </si>
  <si>
    <t xml:space="preserve">T-0354</t>
  </si>
  <si>
    <t xml:space="preserve">EV-SY-CTL-SAN-02-202608</t>
  </si>
  <si>
    <t xml:space="preserve">T-0355</t>
  </si>
  <si>
    <t xml:space="preserve">Country Head of IT – SY</t>
  </si>
  <si>
    <t xml:space="preserve">EV-SY-CTL-SAN-03-202607</t>
  </si>
  <si>
    <t xml:space="preserve">T-0356</t>
  </si>
  <si>
    <t xml:space="preserve">Head of Retail – SY</t>
  </si>
  <si>
    <t xml:space="preserve">EV-SY-CTL-TF-01-202606</t>
  </si>
  <si>
    <t xml:space="preserve">T-0357</t>
  </si>
  <si>
    <t xml:space="preserve">Head of Trade Finance – SY</t>
  </si>
  <si>
    <t xml:space="preserve">EV-SY-CTL-TBML-01-202606</t>
  </si>
  <si>
    <t xml:space="preserve">T-0358</t>
  </si>
  <si>
    <t xml:space="preserve">EV-SY-CTL-PF-01-202607</t>
  </si>
  <si>
    <t xml:space="preserve">T-0359</t>
  </si>
  <si>
    <t xml:space="preserve">Head of FI Banking – SY</t>
  </si>
  <si>
    <t xml:space="preserve">EV-SY-CTL-CB-01-202605</t>
  </si>
  <si>
    <t xml:space="preserve">T-0360</t>
  </si>
  <si>
    <t xml:space="preserve">Head of Payments Operations – SY</t>
  </si>
  <si>
    <t xml:space="preserve">EV-SY-CTL-PAY-01-202510</t>
  </si>
  <si>
    <t xml:space="preserve">T-0361</t>
  </si>
  <si>
    <t xml:space="preserve">Head of Procurement – SY</t>
  </si>
  <si>
    <t xml:space="preserve">EV-SY-CTL-ABC-01-202605</t>
  </si>
  <si>
    <t xml:space="preserve">T-0362</t>
  </si>
  <si>
    <t xml:space="preserve">EV-SY-CTL-ABC-02-202604</t>
  </si>
  <si>
    <t xml:space="preserve">T-0363</t>
  </si>
  <si>
    <t xml:space="preserve">Head of Fraud Risk – SY</t>
  </si>
  <si>
    <t xml:space="preserve">EV-SY-CTL-FRD-01-202608</t>
  </si>
  <si>
    <t xml:space="preserve">T-0364</t>
  </si>
  <si>
    <t xml:space="preserve">EV-SY-CTL-FRD-02-202605</t>
  </si>
  <si>
    <t xml:space="preserve">T-0365</t>
  </si>
  <si>
    <t xml:space="preserve">Country Head of HR – SY</t>
  </si>
  <si>
    <t xml:space="preserve">EV-SY-CTL-FRD-03-202601</t>
  </si>
  <si>
    <t xml:space="preserve">T-0366</t>
  </si>
  <si>
    <t xml:space="preserve">EV-SY-CTL-TAX-01-202511</t>
  </si>
  <si>
    <t xml:space="preserve">T-0367</t>
  </si>
  <si>
    <t xml:space="preserve">Country CFO – SY</t>
  </si>
  <si>
    <t xml:space="preserve">EV-SY-CTL-TAX-02-202601</t>
  </si>
  <si>
    <t xml:space="preserve">T-0368</t>
  </si>
  <si>
    <t xml:space="preserve">EV-SY-CTL-TRN-01-202607</t>
  </si>
  <si>
    <t xml:space="preserve">T-0369</t>
  </si>
  <si>
    <t xml:space="preserve">EV-SY-CTL-REG-01-202606</t>
  </si>
  <si>
    <t xml:space="preserve">T-0370</t>
  </si>
  <si>
    <t xml:space="preserve">EV-SY-CTL-REG-02-202606</t>
  </si>
  <si>
    <t xml:space="preserve">T-0371</t>
  </si>
  <si>
    <t xml:space="preserve">EV-SY-CTL-CON-01-202606</t>
  </si>
  <si>
    <t xml:space="preserve">T-0372</t>
  </si>
  <si>
    <t xml:space="preserve">Head of Customer Experience – SY</t>
  </si>
  <si>
    <t xml:space="preserve">EV-SY-CTL-CON-02-202607</t>
  </si>
  <si>
    <t xml:space="preserve">T-0373</t>
  </si>
  <si>
    <t xml:space="preserve">Country DPO – SY</t>
  </si>
  <si>
    <t xml:space="preserve">EV-SY-CTL-DP-01-202609</t>
  </si>
  <si>
    <t xml:space="preserve">T-0374</t>
  </si>
  <si>
    <t xml:space="preserve">Country ISO – SY</t>
  </si>
  <si>
    <t xml:space="preserve">EV-SY-CTL-DP-02-202606</t>
  </si>
  <si>
    <t xml:space="preserve">T-0375</t>
  </si>
  <si>
    <t xml:space="preserve">T-0376</t>
  </si>
  <si>
    <t xml:space="preserve">Country Head of Credit – SY</t>
  </si>
  <si>
    <t xml:space="preserve">EV-SY-CTL-CR-01-202608</t>
  </si>
  <si>
    <t xml:space="preserve">T-0377</t>
  </si>
  <si>
    <t xml:space="preserve">Country CRO – SY</t>
  </si>
  <si>
    <t xml:space="preserve">EV-SY-CTL-CR-02-202512</t>
  </si>
  <si>
    <t xml:space="preserve">T-0378</t>
  </si>
  <si>
    <t xml:space="preserve">EV-SY-CTL-MR-01-202606</t>
  </si>
  <si>
    <t xml:space="preserve">T-0379</t>
  </si>
  <si>
    <t xml:space="preserve">Country Treasurer – SY</t>
  </si>
  <si>
    <t xml:space="preserve">EV-SY-CTL-LQ-01-202606</t>
  </si>
  <si>
    <t xml:space="preserve">T-0380</t>
  </si>
  <si>
    <t xml:space="preserve">Country BCM Lead – SY</t>
  </si>
  <si>
    <t xml:space="preserve">EV-SY-CTL-OR-01-202607</t>
  </si>
  <si>
    <t xml:space="preserve">T-0381</t>
  </si>
  <si>
    <t xml:space="preserve">EV-SY-CTL-OR-02-202607</t>
  </si>
  <si>
    <t xml:space="preserve">T-0382</t>
  </si>
  <si>
    <t xml:space="preserve">EV-SY-CTL-CY-01-202606</t>
  </si>
  <si>
    <t xml:space="preserve">T-0383</t>
  </si>
  <si>
    <t xml:space="preserve">EV-SY-CTL-CY-02-202510</t>
  </si>
  <si>
    <t xml:space="preserve">T-0384</t>
  </si>
  <si>
    <t xml:space="preserve">EV-SY-CTL-TP-01-202605</t>
  </si>
  <si>
    <t xml:space="preserve">T-0385</t>
  </si>
  <si>
    <t xml:space="preserve">Country Legal Counsel – SY</t>
  </si>
  <si>
    <t xml:space="preserve">EV-SY-CTL-LG-01-202607</t>
  </si>
  <si>
    <t xml:space="preserve">T-0386</t>
  </si>
  <si>
    <t xml:space="preserve">Head of Corporate Communications – SY</t>
  </si>
  <si>
    <t xml:space="preserve">EV-SY-CTL-RP-01-202606</t>
  </si>
  <si>
    <t xml:space="preserve">T-0387</t>
  </si>
  <si>
    <t xml:space="preserve">Country CEO – SY</t>
  </si>
  <si>
    <t xml:space="preserve">EV-SY-CTL-ST-01-202605</t>
  </si>
  <si>
    <t xml:space="preserve">T-0388</t>
  </si>
  <si>
    <t xml:space="preserve">Head of Operations – AE</t>
  </si>
  <si>
    <t xml:space="preserve">EV-AE-CTL-KYC-01-202607</t>
  </si>
  <si>
    <t xml:space="preserve">T-0389</t>
  </si>
  <si>
    <t xml:space="preserve">Country CO – AE</t>
  </si>
  <si>
    <t xml:space="preserve">EV-AE-CTL-KYC-02-202606</t>
  </si>
  <si>
    <t xml:space="preserve">T-0390</t>
  </si>
  <si>
    <t xml:space="preserve">EV-AE-CTL-KYC-03-202608</t>
  </si>
  <si>
    <t xml:space="preserve">T-0391</t>
  </si>
  <si>
    <t xml:space="preserve">EV-AE-CTL-KYC-04-202608</t>
  </si>
  <si>
    <t xml:space="preserve">T-0392</t>
  </si>
  <si>
    <t xml:space="preserve">Compliance Monitoring &amp; Testing – AE</t>
  </si>
  <si>
    <t xml:space="preserve">EV-AE-CTL-CRR-01-202604</t>
  </si>
  <si>
    <t xml:space="preserve">T-0393</t>
  </si>
  <si>
    <t xml:space="preserve">Country MLRO – AE</t>
  </si>
  <si>
    <t xml:space="preserve">EV-AE-CTL-TM-01-202607</t>
  </si>
  <si>
    <t xml:space="preserve">T-0394</t>
  </si>
  <si>
    <t xml:space="preserve">EV-AE-CTL-TM-02-202607</t>
  </si>
  <si>
    <t xml:space="preserve">T-0395</t>
  </si>
  <si>
    <t xml:space="preserve">EV-AE-CTL-STR-01-202609</t>
  </si>
  <si>
    <t xml:space="preserve">T-0396</t>
  </si>
  <si>
    <t xml:space="preserve">Country Sanctions Officer – AE</t>
  </si>
  <si>
    <t xml:space="preserve">EV-AE-CTL-SAN-01-202609</t>
  </si>
  <si>
    <t xml:space="preserve">T-0397</t>
  </si>
  <si>
    <t xml:space="preserve">EV-AE-CTL-SAN-02-202606</t>
  </si>
  <si>
    <t xml:space="preserve">T-0398</t>
  </si>
  <si>
    <t xml:space="preserve">Country Head of IT – AE</t>
  </si>
  <si>
    <t xml:space="preserve">EV-AE-CTL-SAN-03-202512</t>
  </si>
  <si>
    <t xml:space="preserve">T-0399</t>
  </si>
  <si>
    <t xml:space="preserve">Head of Retail – AE</t>
  </si>
  <si>
    <t xml:space="preserve">EV-AE-CTL-TF-01-202601</t>
  </si>
  <si>
    <t xml:space="preserve">T-0400</t>
  </si>
  <si>
    <t xml:space="preserve">Head of Trade Finance – AE</t>
  </si>
  <si>
    <t xml:space="preserve">EV-AE-CTL-TBML-01-202606</t>
  </si>
  <si>
    <t xml:space="preserve">T-0401</t>
  </si>
  <si>
    <t xml:space="preserve">EV-AE-CTL-PF-01-202608</t>
  </si>
  <si>
    <t xml:space="preserve">T-0402</t>
  </si>
  <si>
    <t xml:space="preserve">Head of FI Banking – AE</t>
  </si>
  <si>
    <t xml:space="preserve">EV-AE-CTL-CB-01-202605</t>
  </si>
  <si>
    <t xml:space="preserve">T-0403</t>
  </si>
  <si>
    <t xml:space="preserve">Head of Payments Operations – AE</t>
  </si>
  <si>
    <t xml:space="preserve">EV-AE-CTL-PAY-01-202609</t>
  </si>
  <si>
    <t xml:space="preserve">T-0404</t>
  </si>
  <si>
    <t xml:space="preserve">Head of Procurement – AE</t>
  </si>
  <si>
    <t xml:space="preserve">EV-AE-CTL-ABC-01-202607</t>
  </si>
  <si>
    <t xml:space="preserve">T-0405</t>
  </si>
  <si>
    <t xml:space="preserve">EV-AE-CTL-ABC-02-202608</t>
  </si>
  <si>
    <t xml:space="preserve">T-0406</t>
  </si>
  <si>
    <t xml:space="preserve">Head of Fraud Risk – AE</t>
  </si>
  <si>
    <t xml:space="preserve">EV-AE-CTL-FRD-01-202608</t>
  </si>
  <si>
    <t xml:space="preserve">T-0407</t>
  </si>
  <si>
    <t xml:space="preserve">EV-AE-CTL-FRD-02-202607</t>
  </si>
  <si>
    <t xml:space="preserve">T-0408</t>
  </si>
  <si>
    <t xml:space="preserve">Country Head of HR – AE</t>
  </si>
  <si>
    <t xml:space="preserve">EV-AE-CTL-FRD-03-202607</t>
  </si>
  <si>
    <t xml:space="preserve">T-0409</t>
  </si>
  <si>
    <t xml:space="preserve">EV-AE-CTL-TAX-01-202607</t>
  </si>
  <si>
    <t xml:space="preserve">T-0410</t>
  </si>
  <si>
    <t xml:space="preserve">Country CFO – AE</t>
  </si>
  <si>
    <t xml:space="preserve">EV-AE-CTL-TAX-02-202603</t>
  </si>
  <si>
    <t xml:space="preserve">T-0411</t>
  </si>
  <si>
    <t xml:space="preserve">EV-AE-CTL-TRN-01-202608</t>
  </si>
  <si>
    <t xml:space="preserve">T-0412</t>
  </si>
  <si>
    <t xml:space="preserve">EV-AE-CTL-REG-01-202607</t>
  </si>
  <si>
    <t xml:space="preserve">T-0413</t>
  </si>
  <si>
    <t xml:space="preserve">EV-AE-CTL-REG-02-202606</t>
  </si>
  <si>
    <t xml:space="preserve">T-0414</t>
  </si>
  <si>
    <t xml:space="preserve">EV-AE-CTL-CON-01-202608</t>
  </si>
  <si>
    <t xml:space="preserve">T-0415</t>
  </si>
  <si>
    <t xml:space="preserve">Head of Customer Experience – AE</t>
  </si>
  <si>
    <t xml:space="preserve">EV-AE-CTL-CON-02-202603</t>
  </si>
  <si>
    <t xml:space="preserve">T-0416</t>
  </si>
  <si>
    <t xml:space="preserve">Country DPO – AE</t>
  </si>
  <si>
    <t xml:space="preserve">EV-AE-CTL-DP-01-202607</t>
  </si>
  <si>
    <t xml:space="preserve">T-0417</t>
  </si>
  <si>
    <t xml:space="preserve">Country ISO – AE</t>
  </si>
  <si>
    <t xml:space="preserve">EV-AE-CTL-DP-02-202608</t>
  </si>
  <si>
    <t xml:space="preserve">T-0418</t>
  </si>
  <si>
    <t xml:space="preserve">T-0419</t>
  </si>
  <si>
    <t xml:space="preserve">Country Head of Credit – AE</t>
  </si>
  <si>
    <t xml:space="preserve">EV-AE-CTL-CR-01-202606</t>
  </si>
  <si>
    <t xml:space="preserve">T-0420</t>
  </si>
  <si>
    <t xml:space="preserve">Country CRO – AE</t>
  </si>
  <si>
    <t xml:space="preserve">EV-AE-CTL-CR-02-202606</t>
  </si>
  <si>
    <t xml:space="preserve">T-0421</t>
  </si>
  <si>
    <t xml:space="preserve">EV-AE-CTL-MR-01-202608</t>
  </si>
  <si>
    <t xml:space="preserve">T-0422</t>
  </si>
  <si>
    <t xml:space="preserve">Country Treasurer – AE</t>
  </si>
  <si>
    <t xml:space="preserve">EV-AE-CTL-LQ-01-202607</t>
  </si>
  <si>
    <t xml:space="preserve">T-0423</t>
  </si>
  <si>
    <t xml:space="preserve">Country BCM Lead – AE</t>
  </si>
  <si>
    <t xml:space="preserve">EV-AE-CTL-OR-01-202609</t>
  </si>
  <si>
    <t xml:space="preserve">T-0424</t>
  </si>
  <si>
    <t xml:space="preserve">EV-AE-CTL-OR-02-202510</t>
  </si>
  <si>
    <t xml:space="preserve">T-0425</t>
  </si>
  <si>
    <t xml:space="preserve">EV-AE-CTL-CY-01-202608</t>
  </si>
  <si>
    <t xml:space="preserve">T-0426</t>
  </si>
  <si>
    <t xml:space="preserve">EV-AE-CTL-CY-02-202608</t>
  </si>
  <si>
    <t xml:space="preserve">T-0427</t>
  </si>
  <si>
    <t xml:space="preserve">EV-AE-CTL-TP-01-202609</t>
  </si>
  <si>
    <t xml:space="preserve">T-0428</t>
  </si>
  <si>
    <t xml:space="preserve">Country Legal Counsel – AE</t>
  </si>
  <si>
    <t xml:space="preserve">EV-AE-CTL-LG-01-202608</t>
  </si>
  <si>
    <t xml:space="preserve">T-0429</t>
  </si>
  <si>
    <t xml:space="preserve">Head of Corporate Communications – AE</t>
  </si>
  <si>
    <t xml:space="preserve">EV-AE-CTL-RP-01-202608</t>
  </si>
  <si>
    <t xml:space="preserve">T-0430</t>
  </si>
  <si>
    <t xml:space="preserve">Country CEO – AE</t>
  </si>
  <si>
    <t xml:space="preserve">EV-AE-CTL-ST-01-202609</t>
  </si>
  <si>
    <t xml:space="preserve">T-0431</t>
  </si>
  <si>
    <t xml:space="preserve">Head of Operations – BH</t>
  </si>
  <si>
    <t xml:space="preserve">Compliance Monitoring &amp; Testing – BH</t>
  </si>
  <si>
    <t xml:space="preserve">EV-BH-CTL-KYC-01-202609</t>
  </si>
  <si>
    <t xml:space="preserve">T-0432</t>
  </si>
  <si>
    <t xml:space="preserve">Country CO – BH</t>
  </si>
  <si>
    <t xml:space="preserve">EV-BH-CTL-KYC-02-202608</t>
  </si>
  <si>
    <t xml:space="preserve">T-0433</t>
  </si>
  <si>
    <t xml:space="preserve">EV-BH-CTL-KYC-03-202605</t>
  </si>
  <si>
    <t xml:space="preserve">T-0434</t>
  </si>
  <si>
    <t xml:space="preserve">EV-BH-CTL-KYC-04-202607</t>
  </si>
  <si>
    <t xml:space="preserve">T-0435</t>
  </si>
  <si>
    <t xml:space="preserve">EV-BH-CTL-CRR-01-202603</t>
  </si>
  <si>
    <t xml:space="preserve">T-0436</t>
  </si>
  <si>
    <t xml:space="preserve">Country MLRO – BH</t>
  </si>
  <si>
    <t xml:space="preserve">EV-BH-CTL-TM-01-202608</t>
  </si>
  <si>
    <t xml:space="preserve">T-0437</t>
  </si>
  <si>
    <t xml:space="preserve">EV-BH-CTL-TM-02-202607</t>
  </si>
  <si>
    <t xml:space="preserve">T-0438</t>
  </si>
  <si>
    <t xml:space="preserve">EV-BH-CTL-STR-01-202606</t>
  </si>
  <si>
    <t xml:space="preserve">T-0439</t>
  </si>
  <si>
    <t xml:space="preserve">Country Sanctions Officer – BH</t>
  </si>
  <si>
    <t xml:space="preserve">EV-BH-CTL-SAN-01-202609</t>
  </si>
  <si>
    <t xml:space="preserve">T-0440</t>
  </si>
  <si>
    <t xml:space="preserve">EV-BH-CTL-SAN-02-202608</t>
  </si>
  <si>
    <t xml:space="preserve">T-0441</t>
  </si>
  <si>
    <t xml:space="preserve">Country Head of IT – BH</t>
  </si>
  <si>
    <t xml:space="preserve">EV-BH-CTL-SAN-03-202602</t>
  </si>
  <si>
    <t xml:space="preserve">T-0442</t>
  </si>
  <si>
    <t xml:space="preserve">Head of Retail – BH</t>
  </si>
  <si>
    <t xml:space="preserve">EV-BH-CTL-TF-01-202512</t>
  </si>
  <si>
    <t xml:space="preserve">T-0443</t>
  </si>
  <si>
    <t xml:space="preserve">Head of Trade Finance – BH</t>
  </si>
  <si>
    <t xml:space="preserve">EV-BH-CTL-TBML-01-202605</t>
  </si>
  <si>
    <t xml:space="preserve">T-0444</t>
  </si>
  <si>
    <t xml:space="preserve">EV-BH-CTL-PF-01-202606</t>
  </si>
  <si>
    <t xml:space="preserve">T-0445</t>
  </si>
  <si>
    <t xml:space="preserve">Head of FI Banking – BH</t>
  </si>
  <si>
    <t xml:space="preserve">EV-BH-CTL-CB-01-202608</t>
  </si>
  <si>
    <t xml:space="preserve">T-0446</t>
  </si>
  <si>
    <t xml:space="preserve">Head of Payments Operations – BH</t>
  </si>
  <si>
    <t xml:space="preserve">EV-BH-CTL-PAY-01-202601</t>
  </si>
  <si>
    <t xml:space="preserve">T-0447</t>
  </si>
  <si>
    <t xml:space="preserve">Head of Procurement – BH</t>
  </si>
  <si>
    <t xml:space="preserve">EV-BH-CTL-ABC-01-202606</t>
  </si>
  <si>
    <t xml:space="preserve">T-0448</t>
  </si>
  <si>
    <t xml:space="preserve">EV-BH-CTL-ABC-02-202608</t>
  </si>
  <si>
    <t xml:space="preserve">T-0449</t>
  </si>
  <si>
    <t xml:space="preserve">Head of Fraud Risk – BH</t>
  </si>
  <si>
    <t xml:space="preserve">EV-BH-CTL-FRD-01-202601</t>
  </si>
  <si>
    <t xml:space="preserve">T-0450</t>
  </si>
  <si>
    <t xml:space="preserve">EV-BH-CTL-FRD-02-202511</t>
  </si>
  <si>
    <t xml:space="preserve">T-0451</t>
  </si>
  <si>
    <t xml:space="preserve">Country Head of HR – BH</t>
  </si>
  <si>
    <t xml:space="preserve">EV-BH-CTL-FRD-03-202609</t>
  </si>
  <si>
    <t xml:space="preserve">T-0452</t>
  </si>
  <si>
    <t xml:space="preserve">EV-BH-CTL-TAX-01-202606</t>
  </si>
  <si>
    <t xml:space="preserve">T-0453</t>
  </si>
  <si>
    <t xml:space="preserve">Country CFO – BH</t>
  </si>
  <si>
    <t xml:space="preserve">EV-BH-CTL-TAX-02-202609</t>
  </si>
  <si>
    <t xml:space="preserve">T-0454</t>
  </si>
  <si>
    <t xml:space="preserve">EV-BH-CTL-TRN-01-202601</t>
  </si>
  <si>
    <t xml:space="preserve">T-0455</t>
  </si>
  <si>
    <t xml:space="preserve">EV-BH-CTL-REG-01-202606</t>
  </si>
  <si>
    <t xml:space="preserve">T-0456</t>
  </si>
  <si>
    <t xml:space="preserve">EV-BH-CTL-REG-02-202601</t>
  </si>
  <si>
    <t xml:space="preserve">T-0457</t>
  </si>
  <si>
    <t xml:space="preserve">EV-BH-CTL-CON-01-202605</t>
  </si>
  <si>
    <t xml:space="preserve">T-0458</t>
  </si>
  <si>
    <t xml:space="preserve">Head of Customer Experience – BH</t>
  </si>
  <si>
    <t xml:space="preserve">EV-BH-CTL-CON-02-202603</t>
  </si>
  <si>
    <t xml:space="preserve">T-0459</t>
  </si>
  <si>
    <t xml:space="preserve">Country DPO – BH</t>
  </si>
  <si>
    <t xml:space="preserve">EV-BH-CTL-DP-01-202605</t>
  </si>
  <si>
    <t xml:space="preserve">T-0460</t>
  </si>
  <si>
    <t xml:space="preserve">Country ISO – BH</t>
  </si>
  <si>
    <t xml:space="preserve">EV-BH-CTL-DP-02-202512</t>
  </si>
  <si>
    <t xml:space="preserve">T-0461</t>
  </si>
  <si>
    <t xml:space="preserve">T-0462</t>
  </si>
  <si>
    <t xml:space="preserve">Country Head of Credit – BH</t>
  </si>
  <si>
    <t xml:space="preserve">EV-BH-CTL-CR-01-202607</t>
  </si>
  <si>
    <t xml:space="preserve">T-0463</t>
  </si>
  <si>
    <t xml:space="preserve">Country CRO – BH</t>
  </si>
  <si>
    <t xml:space="preserve">EV-BH-CTL-CR-02-202608</t>
  </si>
  <si>
    <t xml:space="preserve">T-0464</t>
  </si>
  <si>
    <t xml:space="preserve">EV-BH-CTL-MR-01-202606</t>
  </si>
  <si>
    <t xml:space="preserve">T-0465</t>
  </si>
  <si>
    <t xml:space="preserve">Country Treasurer – BH</t>
  </si>
  <si>
    <t xml:space="preserve">EV-BH-CTL-LQ-01-202511</t>
  </si>
  <si>
    <t xml:space="preserve">T-0466</t>
  </si>
  <si>
    <t xml:space="preserve">Country BCM Lead – BH</t>
  </si>
  <si>
    <t xml:space="preserve">EV-BH-CTL-OR-01-202512</t>
  </si>
  <si>
    <t xml:space="preserve">T-0467</t>
  </si>
  <si>
    <t xml:space="preserve">EV-BH-CTL-OR-02-202602</t>
  </si>
  <si>
    <t xml:space="preserve">T-0468</t>
  </si>
  <si>
    <t xml:space="preserve">EV-BH-CTL-CY-01-202607</t>
  </si>
  <si>
    <t xml:space="preserve">T-0469</t>
  </si>
  <si>
    <t xml:space="preserve">EV-BH-CTL-CY-02-202605</t>
  </si>
  <si>
    <t xml:space="preserve">T-0470</t>
  </si>
  <si>
    <t xml:space="preserve">EV-BH-CTL-TP-01-202605</t>
  </si>
  <si>
    <t xml:space="preserve">T-0471</t>
  </si>
  <si>
    <t xml:space="preserve">Country Legal Counsel – BH</t>
  </si>
  <si>
    <t xml:space="preserve">EV-BH-CTL-LG-01-202608</t>
  </si>
  <si>
    <t xml:space="preserve">T-0472</t>
  </si>
  <si>
    <t xml:space="preserve">Head of Corporate Communications – BH</t>
  </si>
  <si>
    <t xml:space="preserve">EV-BH-CTL-RP-01-202603</t>
  </si>
  <si>
    <t xml:space="preserve">T-0473</t>
  </si>
  <si>
    <t xml:space="preserve">Country CEO – BH</t>
  </si>
  <si>
    <t xml:space="preserve">EV-BH-CTL-ST-01-202607</t>
  </si>
  <si>
    <t xml:space="preserve">T-0474</t>
  </si>
  <si>
    <t xml:space="preserve">Head of Operations – QA</t>
  </si>
  <si>
    <t xml:space="preserve">Compliance Monitoring &amp; Testing – QA</t>
  </si>
  <si>
    <t xml:space="preserve">EV-QA-CTL-KYC-01-202601</t>
  </si>
  <si>
    <t xml:space="preserve">T-0475</t>
  </si>
  <si>
    <t xml:space="preserve">Country CO – QA</t>
  </si>
  <si>
    <t xml:space="preserve">EV-QA-CTL-KYC-02-202605</t>
  </si>
  <si>
    <t xml:space="preserve">T-0476</t>
  </si>
  <si>
    <t xml:space="preserve">EV-QA-CTL-KYC-03-202607</t>
  </si>
  <si>
    <t xml:space="preserve">T-0477</t>
  </si>
  <si>
    <t xml:space="preserve">EV-QA-CTL-KYC-04-202510</t>
  </si>
  <si>
    <t xml:space="preserve">T-0478</t>
  </si>
  <si>
    <t xml:space="preserve">EV-QA-CTL-CRR-01-202605</t>
  </si>
  <si>
    <t xml:space="preserve">T-0479</t>
  </si>
  <si>
    <t xml:space="preserve">Country MLRO – QA</t>
  </si>
  <si>
    <t xml:space="preserve">EV-QA-CTL-TM-01-202606</t>
  </si>
  <si>
    <t xml:space="preserve">T-0480</t>
  </si>
  <si>
    <t xml:space="preserve">EV-QA-CTL-TM-02-202605</t>
  </si>
  <si>
    <t xml:space="preserve">T-0481</t>
  </si>
  <si>
    <t xml:space="preserve">EV-QA-CTL-STR-01-202508</t>
  </si>
  <si>
    <t xml:space="preserve">T-0482</t>
  </si>
  <si>
    <t xml:space="preserve">Country Sanctions Officer – QA</t>
  </si>
  <si>
    <t xml:space="preserve">EV-QA-CTL-SAN-01-202607</t>
  </si>
  <si>
    <t xml:space="preserve">T-0483</t>
  </si>
  <si>
    <t xml:space="preserve">T-0484</t>
  </si>
  <si>
    <t xml:space="preserve">Country Head of IT – QA</t>
  </si>
  <si>
    <t xml:space="preserve">EV-QA-CTL-SAN-03-202603</t>
  </si>
  <si>
    <t xml:space="preserve">T-0485</t>
  </si>
  <si>
    <t xml:space="preserve">Head of Retail – QA</t>
  </si>
  <si>
    <t xml:space="preserve">EV-QA-CTL-TF-01-202511</t>
  </si>
  <si>
    <t xml:space="preserve">T-0486</t>
  </si>
  <si>
    <t xml:space="preserve">Head of Trade Finance – QA</t>
  </si>
  <si>
    <t xml:space="preserve">EV-QA-CTL-TBML-01-202603</t>
  </si>
  <si>
    <t xml:space="preserve">T-0487</t>
  </si>
  <si>
    <t xml:space="preserve">T-0488</t>
  </si>
  <si>
    <t xml:space="preserve">Head of FI Banking – QA</t>
  </si>
  <si>
    <t xml:space="preserve">EV-QA-CTL-CB-01-202511</t>
  </si>
  <si>
    <t xml:space="preserve">T-0489</t>
  </si>
  <si>
    <t xml:space="preserve">Head of Payments Operations – QA</t>
  </si>
  <si>
    <t xml:space="preserve">EV-QA-CTL-PAY-01-202511</t>
  </si>
  <si>
    <t xml:space="preserve">T-0490</t>
  </si>
  <si>
    <t xml:space="preserve">Head of Procurement – QA</t>
  </si>
  <si>
    <t xml:space="preserve">EV-QA-CTL-ABC-01-202606</t>
  </si>
  <si>
    <t xml:space="preserve">T-0491</t>
  </si>
  <si>
    <t xml:space="preserve">EV-QA-CTL-ABC-02-202607</t>
  </si>
  <si>
    <t xml:space="preserve">T-0492</t>
  </si>
  <si>
    <t xml:space="preserve">Head of Fraud Risk – QA</t>
  </si>
  <si>
    <t xml:space="preserve">EV-QA-CTL-FRD-01-202606</t>
  </si>
  <si>
    <t xml:space="preserve">T-0493</t>
  </si>
  <si>
    <t xml:space="preserve">EV-QA-CTL-FRD-02-202606</t>
  </si>
  <si>
    <t xml:space="preserve">T-0494</t>
  </si>
  <si>
    <t xml:space="preserve">Country Head of HR – QA</t>
  </si>
  <si>
    <t xml:space="preserve">EV-QA-CTL-FRD-03-202609</t>
  </si>
  <si>
    <t xml:space="preserve">T-0495</t>
  </si>
  <si>
    <t xml:space="preserve">EV-QA-CTL-TAX-01-202609</t>
  </si>
  <si>
    <t xml:space="preserve">T-0496</t>
  </si>
  <si>
    <t xml:space="preserve">Country CFO – QA</t>
  </si>
  <si>
    <t xml:space="preserve">EV-QA-CTL-TAX-02-202602</t>
  </si>
  <si>
    <t xml:space="preserve">T-0497</t>
  </si>
  <si>
    <t xml:space="preserve">EV-QA-CTL-TRN-01-202605</t>
  </si>
  <si>
    <t xml:space="preserve">T-0498</t>
  </si>
  <si>
    <t xml:space="preserve">EV-QA-CTL-REG-01-202607</t>
  </si>
  <si>
    <t xml:space="preserve">T-0499</t>
  </si>
  <si>
    <t xml:space="preserve">EV-QA-CTL-REG-02-202601</t>
  </si>
  <si>
    <t xml:space="preserve">T-0500</t>
  </si>
  <si>
    <t xml:space="preserve">EV-QA-CTL-CON-01-202512</t>
  </si>
  <si>
    <t xml:space="preserve">T-0501</t>
  </si>
  <si>
    <t xml:space="preserve">Head of Customer Experience – QA</t>
  </si>
  <si>
    <t xml:space="preserve">EV-QA-CTL-CON-02-202512</t>
  </si>
  <si>
    <t xml:space="preserve">T-0502</t>
  </si>
  <si>
    <t xml:space="preserve">Country DPO – QA</t>
  </si>
  <si>
    <t xml:space="preserve">EV-QA-CTL-DP-01-202607</t>
  </si>
  <si>
    <t xml:space="preserve">T-0503</t>
  </si>
  <si>
    <t xml:space="preserve">Country ISO – QA</t>
  </si>
  <si>
    <t xml:space="preserve">EV-QA-CTL-DP-02-202606</t>
  </si>
  <si>
    <t xml:space="preserve">T-0504</t>
  </si>
  <si>
    <t xml:space="preserve">T-0505</t>
  </si>
  <si>
    <t xml:space="preserve">Country Head of Credit – QA</t>
  </si>
  <si>
    <t xml:space="preserve">EV-QA-CTL-CR-01-202609</t>
  </si>
  <si>
    <t xml:space="preserve">T-0506</t>
  </si>
  <si>
    <t xml:space="preserve">Country CRO – QA</t>
  </si>
  <si>
    <t xml:space="preserve">EV-QA-CTL-CR-02-202511</t>
  </si>
  <si>
    <t xml:space="preserve">T-0507</t>
  </si>
  <si>
    <t xml:space="preserve">EV-QA-CTL-MR-01-202607</t>
  </si>
  <si>
    <t xml:space="preserve">T-0508</t>
  </si>
  <si>
    <t xml:space="preserve">Country Treasurer – QA</t>
  </si>
  <si>
    <t xml:space="preserve">EV-QA-CTL-LQ-01-202601</t>
  </si>
  <si>
    <t xml:space="preserve">T-0509</t>
  </si>
  <si>
    <t xml:space="preserve">Country BCM Lead – QA</t>
  </si>
  <si>
    <t xml:space="preserve">EV-QA-CTL-OR-01-202605</t>
  </si>
  <si>
    <t xml:space="preserve">T-0510</t>
  </si>
  <si>
    <t xml:space="preserve">EV-QA-CTL-OR-02-202607</t>
  </si>
  <si>
    <t xml:space="preserve">T-0511</t>
  </si>
  <si>
    <t xml:space="preserve">EV-QA-CTL-CY-01-202603</t>
  </si>
  <si>
    <t xml:space="preserve">T-0512</t>
  </si>
  <si>
    <t xml:space="preserve">EV-QA-CTL-CY-02-202604</t>
  </si>
  <si>
    <t xml:space="preserve">T-0513</t>
  </si>
  <si>
    <t xml:space="preserve">EV-QA-CTL-TP-01-202607</t>
  </si>
  <si>
    <t xml:space="preserve">T-0514</t>
  </si>
  <si>
    <t xml:space="preserve">Country Legal Counsel – QA</t>
  </si>
  <si>
    <t xml:space="preserve">EV-QA-CTL-LG-01-202601</t>
  </si>
  <si>
    <t xml:space="preserve">T-0515</t>
  </si>
  <si>
    <t xml:space="preserve">Head of Corporate Communications – QA</t>
  </si>
  <si>
    <t xml:space="preserve">EV-QA-CTL-RP-01-202607</t>
  </si>
  <si>
    <t xml:space="preserve">T-0516</t>
  </si>
  <si>
    <t xml:space="preserve">Country CEO – QA</t>
  </si>
  <si>
    <t xml:space="preserve">EV-QA-CTL-ST-01-202607</t>
  </si>
  <si>
    <t xml:space="preserve">T-0517</t>
  </si>
  <si>
    <t xml:space="preserve">Head of Operations – SA</t>
  </si>
  <si>
    <t xml:space="preserve">Compliance Monitoring &amp; Testing – SA</t>
  </si>
  <si>
    <t xml:space="preserve">EV-SA-CTL-KYC-01-202609</t>
  </si>
  <si>
    <t xml:space="preserve">T-0518</t>
  </si>
  <si>
    <t xml:space="preserve">Country CO – SA</t>
  </si>
  <si>
    <t xml:space="preserve">EV-SA-CTL-KYC-02-202601</t>
  </si>
  <si>
    <t xml:space="preserve">T-0519</t>
  </si>
  <si>
    <t xml:space="preserve">EV-SA-CTL-KYC-03-202604</t>
  </si>
  <si>
    <t xml:space="preserve">T-0520</t>
  </si>
  <si>
    <t xml:space="preserve">EV-SA-CTL-KYC-04-202608</t>
  </si>
  <si>
    <t xml:space="preserve">T-0521</t>
  </si>
  <si>
    <t xml:space="preserve">EV-SA-CTL-CRR-01-202604</t>
  </si>
  <si>
    <t xml:space="preserve">T-0522</t>
  </si>
  <si>
    <t xml:space="preserve">Country MLRO – SA</t>
  </si>
  <si>
    <t xml:space="preserve">EV-SA-CTL-TM-01-202609</t>
  </si>
  <si>
    <t xml:space="preserve">T-0523</t>
  </si>
  <si>
    <t xml:space="preserve">EV-SA-CTL-TM-02-202609</t>
  </si>
  <si>
    <t xml:space="preserve">T-0524</t>
  </si>
  <si>
    <t xml:space="preserve">EV-SA-CTL-STR-01-202601</t>
  </si>
  <si>
    <t xml:space="preserve">T-0525</t>
  </si>
  <si>
    <t xml:space="preserve">Country Sanctions Officer – SA</t>
  </si>
  <si>
    <t xml:space="preserve">T-0526</t>
  </si>
  <si>
    <t xml:space="preserve">EV-SA-CTL-SAN-02-202602</t>
  </si>
  <si>
    <t xml:space="preserve">T-0527</t>
  </si>
  <si>
    <t xml:space="preserve">Country Head of IT – SA</t>
  </si>
  <si>
    <t xml:space="preserve">EV-SA-CTL-SAN-03-202605</t>
  </si>
  <si>
    <t xml:space="preserve">T-0528</t>
  </si>
  <si>
    <t xml:space="preserve">Head of Retail – SA</t>
  </si>
  <si>
    <t xml:space="preserve">EV-SA-CTL-TF-01-202608</t>
  </si>
  <si>
    <t xml:space="preserve">T-0529</t>
  </si>
  <si>
    <t xml:space="preserve">Head of Trade Finance – SA</t>
  </si>
  <si>
    <t xml:space="preserve">EV-SA-CTL-TBML-01-202512</t>
  </si>
  <si>
    <t xml:space="preserve">T-0530</t>
  </si>
  <si>
    <t xml:space="preserve">EV-SA-CTL-PF-01-202604</t>
  </si>
  <si>
    <t xml:space="preserve">T-0531</t>
  </si>
  <si>
    <t xml:space="preserve">Head of FI Banking – SA</t>
  </si>
  <si>
    <t xml:space="preserve">EV-SA-CTL-CB-01-202608</t>
  </si>
  <si>
    <t xml:space="preserve">T-0532</t>
  </si>
  <si>
    <t xml:space="preserve">Head of Payments Operations – SA</t>
  </si>
  <si>
    <t xml:space="preserve">EV-SA-CTL-PAY-01-202609</t>
  </si>
  <si>
    <t xml:space="preserve">T-0533</t>
  </si>
  <si>
    <t xml:space="preserve">Head of Procurement – SA</t>
  </si>
  <si>
    <t xml:space="preserve">EV-SA-CTL-ABC-01-202607</t>
  </si>
  <si>
    <t xml:space="preserve">T-0534</t>
  </si>
  <si>
    <t xml:space="preserve">EV-SA-CTL-ABC-02-202602</t>
  </si>
  <si>
    <t xml:space="preserve">T-0535</t>
  </si>
  <si>
    <t xml:space="preserve">Head of Fraud Risk – SA</t>
  </si>
  <si>
    <t xml:space="preserve">EV-SA-CTL-FRD-01-202609</t>
  </si>
  <si>
    <t xml:space="preserve">T-0536</t>
  </si>
  <si>
    <t xml:space="preserve">EV-SA-CTL-FRD-02-202604</t>
  </si>
  <si>
    <t xml:space="preserve">T-0537</t>
  </si>
  <si>
    <t xml:space="preserve">Country Head of HR – SA</t>
  </si>
  <si>
    <t xml:space="preserve">EV-SA-CTL-FRD-03-202511</t>
  </si>
  <si>
    <t xml:space="preserve">T-0538</t>
  </si>
  <si>
    <t xml:space="preserve">EV-SA-CTL-TAX-01-202606</t>
  </si>
  <si>
    <t xml:space="preserve">T-0539</t>
  </si>
  <si>
    <t xml:space="preserve">Country CFO – SA</t>
  </si>
  <si>
    <t xml:space="preserve">EV-SA-CTL-TAX-02-202603</t>
  </si>
  <si>
    <t xml:space="preserve">T-0540</t>
  </si>
  <si>
    <t xml:space="preserve">EV-SA-CTL-TRN-01-202511</t>
  </si>
  <si>
    <t xml:space="preserve">T-0541</t>
  </si>
  <si>
    <t xml:space="preserve">EV-SA-CTL-REG-01-202606</t>
  </si>
  <si>
    <t xml:space="preserve">T-0542</t>
  </si>
  <si>
    <t xml:space="preserve">EV-SA-CTL-REG-02-202603</t>
  </si>
  <si>
    <t xml:space="preserve">T-0543</t>
  </si>
  <si>
    <t xml:space="preserve">EV-SA-CTL-CON-01-202603</t>
  </si>
  <si>
    <t xml:space="preserve">T-0544</t>
  </si>
  <si>
    <t xml:space="preserve">Head of Customer Experience – SA</t>
  </si>
  <si>
    <t xml:space="preserve">EV-SA-CTL-CON-02-202605</t>
  </si>
  <si>
    <t xml:space="preserve">T-0545</t>
  </si>
  <si>
    <t xml:space="preserve">Country DPO – SA</t>
  </si>
  <si>
    <t xml:space="preserve">EV-SA-CTL-DP-01-202604</t>
  </si>
  <si>
    <t xml:space="preserve">T-0546</t>
  </si>
  <si>
    <t xml:space="preserve">Country ISO – SA</t>
  </si>
  <si>
    <t xml:space="preserve">EV-SA-CTL-DP-02-202607</t>
  </si>
  <si>
    <t xml:space="preserve">T-0547</t>
  </si>
  <si>
    <t xml:space="preserve">T-0548</t>
  </si>
  <si>
    <t xml:space="preserve">Country Head of Credit – SA</t>
  </si>
  <si>
    <t xml:space="preserve">EV-SA-CTL-CR-01-202606</t>
  </si>
  <si>
    <t xml:space="preserve">T-0549</t>
  </si>
  <si>
    <t xml:space="preserve">Country CRO – SA</t>
  </si>
  <si>
    <t xml:space="preserve">EV-SA-CTL-CR-02-202512</t>
  </si>
  <si>
    <t xml:space="preserve">T-0550</t>
  </si>
  <si>
    <t xml:space="preserve">EV-SA-CTL-MR-01-202607</t>
  </si>
  <si>
    <t xml:space="preserve">T-0551</t>
  </si>
  <si>
    <t xml:space="preserve">Country Treasurer – SA</t>
  </si>
  <si>
    <t xml:space="preserve">EV-SA-CTL-LQ-01-202511</t>
  </si>
  <si>
    <t xml:space="preserve">T-0552</t>
  </si>
  <si>
    <t xml:space="preserve">Country BCM Lead – SA</t>
  </si>
  <si>
    <t xml:space="preserve">EV-SA-CTL-OR-01-202605</t>
  </si>
  <si>
    <t xml:space="preserve">T-0553</t>
  </si>
  <si>
    <t xml:space="preserve">EV-SA-CTL-OR-02-202608</t>
  </si>
  <si>
    <t xml:space="preserve">T-0554</t>
  </si>
  <si>
    <t xml:space="preserve">EV-SA-CTL-CY-01-202606</t>
  </si>
  <si>
    <t xml:space="preserve">T-0555</t>
  </si>
  <si>
    <t xml:space="preserve">EV-SA-CTL-CY-02-202609</t>
  </si>
  <si>
    <t xml:space="preserve">T-0556</t>
  </si>
  <si>
    <t xml:space="preserve">EV-SA-CTL-TP-01-202605</t>
  </si>
  <si>
    <t xml:space="preserve">T-0557</t>
  </si>
  <si>
    <t xml:space="preserve">Country Legal Counsel – SA</t>
  </si>
  <si>
    <t xml:space="preserve">EV-SA-CTL-LG-01-202511</t>
  </si>
  <si>
    <t xml:space="preserve">T-0558</t>
  </si>
  <si>
    <t xml:space="preserve">Head of Corporate Communications – SA</t>
  </si>
  <si>
    <t xml:space="preserve">EV-SA-CTL-RP-01-202606</t>
  </si>
  <si>
    <t xml:space="preserve">T-0559</t>
  </si>
  <si>
    <t xml:space="preserve">Country CEO – SA</t>
  </si>
  <si>
    <t xml:space="preserve">EV-SA-CTL-ST-01-202609</t>
  </si>
  <si>
    <t xml:space="preserve">T-0560</t>
  </si>
  <si>
    <t xml:space="preserve">Head of Operations – OM</t>
  </si>
  <si>
    <t xml:space="preserve">Compliance Monitoring &amp; Testing – OM</t>
  </si>
  <si>
    <t xml:space="preserve">EV-OM-CTL-KYC-01-202609</t>
  </si>
  <si>
    <t xml:space="preserve">T-0561</t>
  </si>
  <si>
    <t xml:space="preserve">Country CO – OM</t>
  </si>
  <si>
    <t xml:space="preserve">EV-OM-CTL-KYC-02-202605</t>
  </si>
  <si>
    <t xml:space="preserve">T-0562</t>
  </si>
  <si>
    <t xml:space="preserve">EV-OM-CTL-KYC-03-202606</t>
  </si>
  <si>
    <t xml:space="preserve">T-0563</t>
  </si>
  <si>
    <t xml:space="preserve">EV-OM-CTL-KYC-04-202607</t>
  </si>
  <si>
    <t xml:space="preserve">T-0564</t>
  </si>
  <si>
    <t xml:space="preserve">EV-OM-CTL-CRR-01-202511</t>
  </si>
  <si>
    <t xml:space="preserve">T-0565</t>
  </si>
  <si>
    <t xml:space="preserve">Country MLRO – OM</t>
  </si>
  <si>
    <t xml:space="preserve">EV-OM-CTL-TM-01-202604</t>
  </si>
  <si>
    <t xml:space="preserve">T-0566</t>
  </si>
  <si>
    <t xml:space="preserve">EV-OM-CTL-TM-02-202607</t>
  </si>
  <si>
    <t xml:space="preserve">T-0567</t>
  </si>
  <si>
    <t xml:space="preserve">EV-OM-CTL-STR-01-202601</t>
  </si>
  <si>
    <t xml:space="preserve">T-0568</t>
  </si>
  <si>
    <t xml:space="preserve">Country Sanctions Officer – OM</t>
  </si>
  <si>
    <t xml:space="preserve">EV-OM-CTL-SAN-01-202605</t>
  </si>
  <si>
    <t xml:space="preserve">T-0569</t>
  </si>
  <si>
    <t xml:space="preserve">EV-OM-CTL-SAN-02-202608</t>
  </si>
  <si>
    <t xml:space="preserve">T-0570</t>
  </si>
  <si>
    <t xml:space="preserve">Country Head of IT – OM</t>
  </si>
  <si>
    <t xml:space="preserve">EV-OM-CTL-SAN-03-202607</t>
  </si>
  <si>
    <t xml:space="preserve">T-0571</t>
  </si>
  <si>
    <t xml:space="preserve">Head of Retail – OM</t>
  </si>
  <si>
    <t xml:space="preserve">EV-OM-CTL-TF-01-202601</t>
  </si>
  <si>
    <t xml:space="preserve">T-0572</t>
  </si>
  <si>
    <t xml:space="preserve">Head of Trade Finance – OM</t>
  </si>
  <si>
    <t xml:space="preserve">EV-OM-CTL-TBML-01-202605</t>
  </si>
  <si>
    <t xml:space="preserve">T-0573</t>
  </si>
  <si>
    <t xml:space="preserve">EV-OM-CTL-PF-01-202601</t>
  </si>
  <si>
    <t xml:space="preserve">T-0574</t>
  </si>
  <si>
    <t xml:space="preserve">Head of FI Banking – OM</t>
  </si>
  <si>
    <t xml:space="preserve">EV-OM-CTL-CB-01-202608</t>
  </si>
  <si>
    <t xml:space="preserve">T-0575</t>
  </si>
  <si>
    <t xml:space="preserve">Head of Payments Operations – OM</t>
  </si>
  <si>
    <t xml:space="preserve">EV-OM-CTL-PAY-01-202605</t>
  </si>
  <si>
    <t xml:space="preserve">T-0576</t>
  </si>
  <si>
    <t xml:space="preserve">Head of Procurement – OM</t>
  </si>
  <si>
    <t xml:space="preserve">EV-OM-CTL-ABC-01-202604</t>
  </si>
  <si>
    <t xml:space="preserve">T-0577</t>
  </si>
  <si>
    <t xml:space="preserve">EV-OM-CTL-ABC-02-202603</t>
  </si>
  <si>
    <t xml:space="preserve">T-0578</t>
  </si>
  <si>
    <t xml:space="preserve">Head of Fraud Risk – OM</t>
  </si>
  <si>
    <t xml:space="preserve">EV-OM-CTL-FRD-01-202609</t>
  </si>
  <si>
    <t xml:space="preserve">T-0579</t>
  </si>
  <si>
    <t xml:space="preserve">EV-OM-CTL-FRD-02-202608</t>
  </si>
  <si>
    <t xml:space="preserve">T-0580</t>
  </si>
  <si>
    <t xml:space="preserve">Country Head of HR – OM</t>
  </si>
  <si>
    <t xml:space="preserve">EV-OM-CTL-FRD-03-202512</t>
  </si>
  <si>
    <t xml:space="preserve">T-0581</t>
  </si>
  <si>
    <t xml:space="preserve">EV-OM-CTL-TAX-01-202607</t>
  </si>
  <si>
    <t xml:space="preserve">T-0582</t>
  </si>
  <si>
    <t xml:space="preserve">Country CFO – OM</t>
  </si>
  <si>
    <t xml:space="preserve">EV-OM-CTL-TAX-02-202607</t>
  </si>
  <si>
    <t xml:space="preserve">T-0583</t>
  </si>
  <si>
    <t xml:space="preserve">EV-OM-CTL-TRN-01-202606</t>
  </si>
  <si>
    <t xml:space="preserve">T-0584</t>
  </si>
  <si>
    <t xml:space="preserve">EV-OM-CTL-REG-01-202606</t>
  </si>
  <si>
    <t xml:space="preserve">T-0585</t>
  </si>
  <si>
    <t xml:space="preserve">EV-OM-CTL-REG-02-202608</t>
  </si>
  <si>
    <t xml:space="preserve">T-0586</t>
  </si>
  <si>
    <t xml:space="preserve">EV-OM-CTL-CON-01-202602</t>
  </si>
  <si>
    <t xml:space="preserve">T-0587</t>
  </si>
  <si>
    <t xml:space="preserve">Head of Customer Experience – OM</t>
  </si>
  <si>
    <t xml:space="preserve">EV-OM-CTL-CON-02-202608</t>
  </si>
  <si>
    <t xml:space="preserve">T-0588</t>
  </si>
  <si>
    <t xml:space="preserve">Country DPO – OM</t>
  </si>
  <si>
    <t xml:space="preserve">EV-OM-CTL-DP-01-202608</t>
  </si>
  <si>
    <t xml:space="preserve">T-0589</t>
  </si>
  <si>
    <t xml:space="preserve">Country ISO – OM</t>
  </si>
  <si>
    <t xml:space="preserve">EV-OM-CTL-DP-02-202511</t>
  </si>
  <si>
    <t xml:space="preserve">T-0590</t>
  </si>
  <si>
    <t xml:space="preserve">T-0591</t>
  </si>
  <si>
    <t xml:space="preserve">Country Head of Credit – OM</t>
  </si>
  <si>
    <t xml:space="preserve">EV-OM-CTL-CR-01-202603</t>
  </si>
  <si>
    <t xml:space="preserve">T-0592</t>
  </si>
  <si>
    <t xml:space="preserve">Country CRO – OM</t>
  </si>
  <si>
    <t xml:space="preserve">EV-OM-CTL-CR-02-202609</t>
  </si>
  <si>
    <t xml:space="preserve">T-0593</t>
  </si>
  <si>
    <t xml:space="preserve">EV-OM-CTL-MR-01-202511</t>
  </si>
  <si>
    <t xml:space="preserve">T-0594</t>
  </si>
  <si>
    <t xml:space="preserve">Country Treasurer – OM</t>
  </si>
  <si>
    <t xml:space="preserve">EV-OM-CTL-LQ-01-202601</t>
  </si>
  <si>
    <t xml:space="preserve">T-0595</t>
  </si>
  <si>
    <t xml:space="preserve">Country BCM Lead – OM</t>
  </si>
  <si>
    <t xml:space="preserve">EV-OM-CTL-OR-01-202605</t>
  </si>
  <si>
    <t xml:space="preserve">T-0596</t>
  </si>
  <si>
    <t xml:space="preserve">EV-OM-CTL-OR-02-202512</t>
  </si>
  <si>
    <t xml:space="preserve">T-0597</t>
  </si>
  <si>
    <t xml:space="preserve">EV-OM-CTL-CY-01-202609</t>
  </si>
  <si>
    <t xml:space="preserve">T-0598</t>
  </si>
  <si>
    <t xml:space="preserve">EV-OM-CTL-CY-02-202512</t>
  </si>
  <si>
    <t xml:space="preserve">T-0599</t>
  </si>
  <si>
    <t xml:space="preserve">EV-OM-CTL-TP-01-202607</t>
  </si>
  <si>
    <t xml:space="preserve">T-0600</t>
  </si>
  <si>
    <t xml:space="preserve">Country Legal Counsel – OM</t>
  </si>
  <si>
    <t xml:space="preserve">EV-OM-CTL-LG-01-202605</t>
  </si>
  <si>
    <t xml:space="preserve">T-0601</t>
  </si>
  <si>
    <t xml:space="preserve">Head of Corporate Communications – OM</t>
  </si>
  <si>
    <t xml:space="preserve">EV-OM-CTL-RP-01-202608</t>
  </si>
  <si>
    <t xml:space="preserve">T-0602</t>
  </si>
  <si>
    <t xml:space="preserve">Country CEO – OM</t>
  </si>
  <si>
    <t xml:space="preserve">EV-OM-CTL-ST-01-202607</t>
  </si>
  <si>
    <t xml:space="preserve">T-0603</t>
  </si>
  <si>
    <t xml:space="preserve">Head of Operations – IQ</t>
  </si>
  <si>
    <t xml:space="preserve">Compliance Monitoring &amp; Testing – IQ</t>
  </si>
  <si>
    <t xml:space="preserve">EV-IQ-CTL-KYC-01-202607</t>
  </si>
  <si>
    <t xml:space="preserve">T-0604</t>
  </si>
  <si>
    <t xml:space="preserve">Country CO – IQ</t>
  </si>
  <si>
    <t xml:space="preserve">EV-IQ-CTL-KYC-02-202608</t>
  </si>
  <si>
    <t xml:space="preserve">T-0605</t>
  </si>
  <si>
    <t xml:space="preserve">EV-IQ-CTL-KYC-03-202608</t>
  </si>
  <si>
    <t xml:space="preserve">T-0606</t>
  </si>
  <si>
    <t xml:space="preserve">EV-IQ-CTL-KYC-04-202608</t>
  </si>
  <si>
    <t xml:space="preserve">T-0607</t>
  </si>
  <si>
    <t xml:space="preserve">EV-IQ-CTL-CRR-01-202511</t>
  </si>
  <si>
    <t xml:space="preserve">T-0608</t>
  </si>
  <si>
    <t xml:space="preserve">Country MLRO – IQ</t>
  </si>
  <si>
    <t xml:space="preserve">EV-IQ-CTL-TM-01-202606</t>
  </si>
  <si>
    <t xml:space="preserve">T-0609</t>
  </si>
  <si>
    <t xml:space="preserve">EV-IQ-CTL-TM-02-202609</t>
  </si>
  <si>
    <t xml:space="preserve">T-0610</t>
  </si>
  <si>
    <t xml:space="preserve">EV-IQ-CTL-STR-01-202608</t>
  </si>
  <si>
    <t xml:space="preserve">T-0611</t>
  </si>
  <si>
    <t xml:space="preserve">Country Sanctions Officer – IQ</t>
  </si>
  <si>
    <t xml:space="preserve">EV-IQ-CTL-SAN-01-202607</t>
  </si>
  <si>
    <t xml:space="preserve">T-0612</t>
  </si>
  <si>
    <t xml:space="preserve">EV-IQ-CTL-SAN-02-202605</t>
  </si>
  <si>
    <t xml:space="preserve">T-0613</t>
  </si>
  <si>
    <t xml:space="preserve">Country Head of IT – IQ</t>
  </si>
  <si>
    <t xml:space="preserve">EV-IQ-CTL-SAN-03-202601</t>
  </si>
  <si>
    <t xml:space="preserve">T-0614</t>
  </si>
  <si>
    <t xml:space="preserve">Head of Retail – IQ</t>
  </si>
  <si>
    <t xml:space="preserve">EV-IQ-CTL-TF-01-202604</t>
  </si>
  <si>
    <t xml:space="preserve">T-0615</t>
  </si>
  <si>
    <t xml:space="preserve">Head of Trade Finance – IQ</t>
  </si>
  <si>
    <t xml:space="preserve">T-0616</t>
  </si>
  <si>
    <t xml:space="preserve">EV-IQ-CTL-PF-01-202609</t>
  </si>
  <si>
    <t xml:space="preserve">T-0617</t>
  </si>
  <si>
    <t xml:space="preserve">Head of FI Banking – IQ</t>
  </si>
  <si>
    <t xml:space="preserve">EV-IQ-CTL-CB-01-202608</t>
  </si>
  <si>
    <t xml:space="preserve">T-0618</t>
  </si>
  <si>
    <t xml:space="preserve">Head of Payments Operations – IQ</t>
  </si>
  <si>
    <t xml:space="preserve">EV-IQ-CTL-PAY-01-202511</t>
  </si>
  <si>
    <t xml:space="preserve">T-0619</t>
  </si>
  <si>
    <t xml:space="preserve">Head of Procurement – IQ</t>
  </si>
  <si>
    <t xml:space="preserve">EV-IQ-CTL-ABC-01-202605</t>
  </si>
  <si>
    <t xml:space="preserve">T-0620</t>
  </si>
  <si>
    <t xml:space="preserve">EV-IQ-CTL-ABC-02-202609</t>
  </si>
  <si>
    <t xml:space="preserve">T-0621</t>
  </si>
  <si>
    <t xml:space="preserve">Head of Fraud Risk – IQ</t>
  </si>
  <si>
    <t xml:space="preserve">EV-IQ-CTL-FRD-01-202606</t>
  </si>
  <si>
    <t xml:space="preserve">T-0622</t>
  </si>
  <si>
    <t xml:space="preserve">T-0623</t>
  </si>
  <si>
    <t xml:space="preserve">Country Head of HR – IQ</t>
  </si>
  <si>
    <t xml:space="preserve">EV-IQ-CTL-FRD-03-202604</t>
  </si>
  <si>
    <t xml:space="preserve">T-0624</t>
  </si>
  <si>
    <t xml:space="preserve">EV-IQ-CTL-TAX-01-202609</t>
  </si>
  <si>
    <t xml:space="preserve">T-0625</t>
  </si>
  <si>
    <t xml:space="preserve">Country CFO – IQ</t>
  </si>
  <si>
    <t xml:space="preserve">EV-IQ-CTL-TAX-02-202604</t>
  </si>
  <si>
    <t xml:space="preserve">T-0626</t>
  </si>
  <si>
    <t xml:space="preserve">EV-IQ-CTL-TRN-01-202606</t>
  </si>
  <si>
    <t xml:space="preserve">T-0627</t>
  </si>
  <si>
    <t xml:space="preserve">EV-IQ-CTL-REG-01-202608</t>
  </si>
  <si>
    <t xml:space="preserve">T-0628</t>
  </si>
  <si>
    <t xml:space="preserve">EV-IQ-CTL-REG-02-202608</t>
  </si>
  <si>
    <t xml:space="preserve">T-0629</t>
  </si>
  <si>
    <t xml:space="preserve">EV-IQ-CTL-CON-01-202608</t>
  </si>
  <si>
    <t xml:space="preserve">T-0630</t>
  </si>
  <si>
    <t xml:space="preserve">Head of Customer Experience – IQ</t>
  </si>
  <si>
    <t xml:space="preserve">EV-IQ-CTL-CON-02-202603</t>
  </si>
  <si>
    <t xml:space="preserve">T-0631</t>
  </si>
  <si>
    <t xml:space="preserve">Country DPO – IQ</t>
  </si>
  <si>
    <t xml:space="preserve">EV-IQ-CTL-DP-01-202606</t>
  </si>
  <si>
    <t xml:space="preserve">T-0632</t>
  </si>
  <si>
    <t xml:space="preserve">Country ISO – IQ</t>
  </si>
  <si>
    <t xml:space="preserve">EV-IQ-CTL-DP-02-202609</t>
  </si>
  <si>
    <t xml:space="preserve">T-0633</t>
  </si>
  <si>
    <t xml:space="preserve">T-0634</t>
  </si>
  <si>
    <t xml:space="preserve">Country Head of Credit – IQ</t>
  </si>
  <si>
    <t xml:space="preserve">EV-IQ-CTL-CR-01-202606</t>
  </si>
  <si>
    <t xml:space="preserve">T-0635</t>
  </si>
  <si>
    <t xml:space="preserve">Country CRO – IQ</t>
  </si>
  <si>
    <t xml:space="preserve">EV-IQ-CTL-CR-02-202608</t>
  </si>
  <si>
    <t xml:space="preserve">T-0636</t>
  </si>
  <si>
    <t xml:space="preserve">EV-IQ-CTL-MR-01-202601</t>
  </si>
  <si>
    <t xml:space="preserve">T-0637</t>
  </si>
  <si>
    <t xml:space="preserve">Country Treasurer – IQ</t>
  </si>
  <si>
    <t xml:space="preserve">EV-IQ-CTL-LQ-01-202606</t>
  </si>
  <si>
    <t xml:space="preserve">T-0638</t>
  </si>
  <si>
    <t xml:space="preserve">Country BCM Lead – IQ</t>
  </si>
  <si>
    <t xml:space="preserve">EV-IQ-CTL-OR-01-202606</t>
  </si>
  <si>
    <t xml:space="preserve">T-0639</t>
  </si>
  <si>
    <t xml:space="preserve">EV-IQ-CTL-OR-02-202604</t>
  </si>
  <si>
    <t xml:space="preserve">T-0640</t>
  </si>
  <si>
    <t xml:space="preserve">EV-IQ-CTL-CY-01-202606</t>
  </si>
  <si>
    <t xml:space="preserve">T-0641</t>
  </si>
  <si>
    <t xml:space="preserve">EV-IQ-CTL-CY-02-202606</t>
  </si>
  <si>
    <t xml:space="preserve">T-0642</t>
  </si>
  <si>
    <t xml:space="preserve">EV-IQ-CTL-TP-01-202511</t>
  </si>
  <si>
    <t xml:space="preserve">T-0643</t>
  </si>
  <si>
    <t xml:space="preserve">Country Legal Counsel – IQ</t>
  </si>
  <si>
    <t xml:space="preserve">EV-IQ-CTL-LG-01-202608</t>
  </si>
  <si>
    <t xml:space="preserve">T-0644</t>
  </si>
  <si>
    <t xml:space="preserve">Head of Corporate Communications – IQ</t>
  </si>
  <si>
    <t xml:space="preserve">EV-IQ-CTL-RP-01-202605</t>
  </si>
  <si>
    <t xml:space="preserve">T-0645</t>
  </si>
  <si>
    <t xml:space="preserve">Country CEO – IQ</t>
  </si>
  <si>
    <t xml:space="preserve">EV-IQ-CTL-ST-01-202601</t>
  </si>
  <si>
    <t xml:space="preserve">T-0646</t>
  </si>
  <si>
    <t xml:space="preserve">Head of Operations – YE</t>
  </si>
  <si>
    <t xml:space="preserve">Compliance Monitoring &amp; Testing – YE</t>
  </si>
  <si>
    <t xml:space="preserve">EV-YE-CTL-KYC-01-202601</t>
  </si>
  <si>
    <t xml:space="preserve">T-0647</t>
  </si>
  <si>
    <t xml:space="preserve">Country CO – YE</t>
  </si>
  <si>
    <t xml:space="preserve">EV-YE-CTL-KYC-02-202609</t>
  </si>
  <si>
    <t xml:space="preserve">T-0648</t>
  </si>
  <si>
    <t xml:space="preserve">EV-YE-CTL-KYC-03-202601</t>
  </si>
  <si>
    <t xml:space="preserve">T-0649</t>
  </si>
  <si>
    <t xml:space="preserve">EV-YE-CTL-KYC-04-202606</t>
  </si>
  <si>
    <t xml:space="preserve">T-0650</t>
  </si>
  <si>
    <t xml:space="preserve">EV-YE-CTL-CRR-01-202609</t>
  </si>
  <si>
    <t xml:space="preserve">T-0651</t>
  </si>
  <si>
    <t xml:space="preserve">Country MLRO – YE</t>
  </si>
  <si>
    <t xml:space="preserve">EV-YE-CTL-TM-01-202607</t>
  </si>
  <si>
    <t xml:space="preserve">T-0652</t>
  </si>
  <si>
    <t xml:space="preserve">EV-YE-CTL-TM-02-202605</t>
  </si>
  <si>
    <t xml:space="preserve">T-0653</t>
  </si>
  <si>
    <t xml:space="preserve">EV-YE-CTL-STR-01-202606</t>
  </si>
  <si>
    <t xml:space="preserve">T-0654</t>
  </si>
  <si>
    <t xml:space="preserve">Country Sanctions Officer – YE</t>
  </si>
  <si>
    <t xml:space="preserve">EV-YE-CTL-SAN-01-202607</t>
  </si>
  <si>
    <t xml:space="preserve">T-0655</t>
  </si>
  <si>
    <t xml:space="preserve">EV-YE-CTL-SAN-02-202609</t>
  </si>
  <si>
    <t xml:space="preserve">T-0656</t>
  </si>
  <si>
    <t xml:space="preserve">Country Head of IT – YE</t>
  </si>
  <si>
    <t xml:space="preserve">EV-YE-CTL-SAN-03-202602</t>
  </si>
  <si>
    <t xml:space="preserve">T-0657</t>
  </si>
  <si>
    <t xml:space="preserve">Head of Retail – YE</t>
  </si>
  <si>
    <t xml:space="preserve">EV-YE-CTL-TF-01-202504</t>
  </si>
  <si>
    <t xml:space="preserve">T-0658</t>
  </si>
  <si>
    <t xml:space="preserve">Head of Trade Finance – YE</t>
  </si>
  <si>
    <t xml:space="preserve">EV-YE-CTL-TBML-01-202606</t>
  </si>
  <si>
    <t xml:space="preserve">T-0659</t>
  </si>
  <si>
    <t xml:space="preserve">EV-YE-CTL-PF-01-202602</t>
  </si>
  <si>
    <t xml:space="preserve">T-0660</t>
  </si>
  <si>
    <t xml:space="preserve">Head of FI Banking – YE</t>
  </si>
  <si>
    <t xml:space="preserve">EV-YE-CTL-CB-01-202607</t>
  </si>
  <si>
    <t xml:space="preserve">T-0661</t>
  </si>
  <si>
    <t xml:space="preserve">Head of Payments Operations – YE</t>
  </si>
  <si>
    <t xml:space="preserve">EV-YE-CTL-PAY-01-202412</t>
  </si>
  <si>
    <t xml:space="preserve">T-0662</t>
  </si>
  <si>
    <t xml:space="preserve">Head of Procurement – YE</t>
  </si>
  <si>
    <t xml:space="preserve">EV-YE-CTL-ABC-01-202607</t>
  </si>
  <si>
    <t xml:space="preserve">T-0663</t>
  </si>
  <si>
    <t xml:space="preserve">EV-YE-CTL-ABC-02-202504</t>
  </si>
  <si>
    <t xml:space="preserve">T-0664</t>
  </si>
  <si>
    <t xml:space="preserve">Head of Fraud Risk – YE</t>
  </si>
  <si>
    <t xml:space="preserve">EV-YE-CTL-FRD-01-202608</t>
  </si>
  <si>
    <t xml:space="preserve">T-0665</t>
  </si>
  <si>
    <t xml:space="preserve">EV-YE-CTL-FRD-02-202604</t>
  </si>
  <si>
    <t xml:space="preserve">T-0666</t>
  </si>
  <si>
    <t xml:space="preserve">Country Head of HR – YE</t>
  </si>
  <si>
    <t xml:space="preserve">EV-YE-CTL-FRD-03-202609</t>
  </si>
  <si>
    <t xml:space="preserve">T-0667</t>
  </si>
  <si>
    <t xml:space="preserve">EV-YE-CTL-TAX-01-202607</t>
  </si>
  <si>
    <t xml:space="preserve">T-0668</t>
  </si>
  <si>
    <t xml:space="preserve">Country CFO – YE</t>
  </si>
  <si>
    <t xml:space="preserve">EV-YE-CTL-TAX-02-202601</t>
  </si>
  <si>
    <t xml:space="preserve">T-0669</t>
  </si>
  <si>
    <t xml:space="preserve">EV-YE-CTL-TRN-01-202601</t>
  </si>
  <si>
    <t xml:space="preserve">T-0670</t>
  </si>
  <si>
    <t xml:space="preserve">EV-YE-CTL-REG-01-202605</t>
  </si>
  <si>
    <t xml:space="preserve">T-0671</t>
  </si>
  <si>
    <t xml:space="preserve">EV-YE-CTL-REG-02-202605</t>
  </si>
  <si>
    <t xml:space="preserve">T-0672</t>
  </si>
  <si>
    <t xml:space="preserve">EV-YE-CTL-CON-01-202607</t>
  </si>
  <si>
    <t xml:space="preserve">T-0673</t>
  </si>
  <si>
    <t xml:space="preserve">Head of Customer Experience – YE</t>
  </si>
  <si>
    <t xml:space="preserve">EV-YE-CTL-CON-02-202605</t>
  </si>
  <si>
    <t xml:space="preserve">T-0674</t>
  </si>
  <si>
    <t xml:space="preserve">Country DPO – YE</t>
  </si>
  <si>
    <t xml:space="preserve">EV-YE-CTL-DP-01-202609</t>
  </si>
  <si>
    <t xml:space="preserve">T-0675</t>
  </si>
  <si>
    <t xml:space="preserve">Country ISO – YE</t>
  </si>
  <si>
    <t xml:space="preserve">EV-YE-CTL-DP-02-202604</t>
  </si>
  <si>
    <t xml:space="preserve">T-0676</t>
  </si>
  <si>
    <t xml:space="preserve">T-0677</t>
  </si>
  <si>
    <t xml:space="preserve">Country Head of Credit – YE</t>
  </si>
  <si>
    <t xml:space="preserve">EV-YE-CTL-CR-01-202608</t>
  </si>
  <si>
    <t xml:space="preserve">T-0678</t>
  </si>
  <si>
    <t xml:space="preserve">Country CRO – YE</t>
  </si>
  <si>
    <t xml:space="preserve">EV-YE-CTL-CR-02-202507</t>
  </si>
  <si>
    <t xml:space="preserve">T-0679</t>
  </si>
  <si>
    <t xml:space="preserve">EV-YE-CTL-MR-01-202604</t>
  </si>
  <si>
    <t xml:space="preserve">T-0680</t>
  </si>
  <si>
    <t xml:space="preserve">Country Treasurer – YE</t>
  </si>
  <si>
    <t xml:space="preserve">EV-YE-CTL-LQ-01-202604</t>
  </si>
  <si>
    <t xml:space="preserve">T-0681</t>
  </si>
  <si>
    <t xml:space="preserve">Country BCM Lead – YE</t>
  </si>
  <si>
    <t xml:space="preserve">EV-YE-CTL-OR-01-202607</t>
  </si>
  <si>
    <t xml:space="preserve">T-0682</t>
  </si>
  <si>
    <t xml:space="preserve">EV-YE-CTL-OR-02-202604</t>
  </si>
  <si>
    <t xml:space="preserve">T-0683</t>
  </si>
  <si>
    <t xml:space="preserve">EV-YE-CTL-CY-01-202609</t>
  </si>
  <si>
    <t xml:space="preserve">T-0684</t>
  </si>
  <si>
    <t xml:space="preserve">EV-YE-CTL-CY-02-202608</t>
  </si>
  <si>
    <t xml:space="preserve">T-0685</t>
  </si>
  <si>
    <t xml:space="preserve">EV-YE-CTL-TP-01-202608</t>
  </si>
  <si>
    <t xml:space="preserve">T-0686</t>
  </si>
  <si>
    <t xml:space="preserve">Country Legal Counsel – YE</t>
  </si>
  <si>
    <t xml:space="preserve">EV-YE-CTL-LG-01-202606</t>
  </si>
  <si>
    <t xml:space="preserve">T-0687</t>
  </si>
  <si>
    <t xml:space="preserve">Head of Corporate Communications – YE</t>
  </si>
  <si>
    <t xml:space="preserve">EV-YE-CTL-RP-01-202605</t>
  </si>
  <si>
    <t xml:space="preserve">T-0688</t>
  </si>
  <si>
    <t xml:space="preserve">Country CEO – YE</t>
  </si>
  <si>
    <t xml:space="preserve">EV-YE-CTL-ST-01-202607</t>
  </si>
  <si>
    <t xml:space="preserve">T-0689</t>
  </si>
  <si>
    <t xml:space="preserve">Head of Operations – EG</t>
  </si>
  <si>
    <t xml:space="preserve">EV-EG-CTL-KYC-01-202607</t>
  </si>
  <si>
    <t xml:space="preserve">T-0690</t>
  </si>
  <si>
    <t xml:space="preserve">Country CO – EG</t>
  </si>
  <si>
    <t xml:space="preserve">EV-EG-CTL-KYC-02-202608</t>
  </si>
  <si>
    <t xml:space="preserve">T-0691</t>
  </si>
  <si>
    <t xml:space="preserve">EV-EG-CTL-KYC-03-202609</t>
  </si>
  <si>
    <t xml:space="preserve">T-0692</t>
  </si>
  <si>
    <t xml:space="preserve">EV-EG-CTL-KYC-04-202605</t>
  </si>
  <si>
    <t xml:space="preserve">T-0693</t>
  </si>
  <si>
    <t xml:space="preserve">Compliance Monitoring &amp; Testing – EG</t>
  </si>
  <si>
    <t xml:space="preserve">EV-EG-CTL-CRR-01-202510</t>
  </si>
  <si>
    <t xml:space="preserve">T-0694</t>
  </si>
  <si>
    <t xml:space="preserve">Country MLRO – EG</t>
  </si>
  <si>
    <t xml:space="preserve">EV-EG-CTL-TM-01-202608</t>
  </si>
  <si>
    <t xml:space="preserve">T-0695</t>
  </si>
  <si>
    <t xml:space="preserve">EV-EG-CTL-TM-02-202608</t>
  </si>
  <si>
    <t xml:space="preserve">T-0696</t>
  </si>
  <si>
    <t xml:space="preserve">EV-EG-CTL-STR-01-202609</t>
  </si>
  <si>
    <t xml:space="preserve">T-0697</t>
  </si>
  <si>
    <t xml:space="preserve">Country Sanctions Officer – EG</t>
  </si>
  <si>
    <t xml:space="preserve">EV-EG-CTL-SAN-01-202609</t>
  </si>
  <si>
    <t xml:space="preserve">T-0698</t>
  </si>
  <si>
    <t xml:space="preserve">EV-EG-CTL-SAN-02-202605</t>
  </si>
  <si>
    <t xml:space="preserve">T-0699</t>
  </si>
  <si>
    <t xml:space="preserve">Country Head of IT – EG</t>
  </si>
  <si>
    <t xml:space="preserve">EV-EG-CTL-SAN-03-202609</t>
  </si>
  <si>
    <t xml:space="preserve">T-0700</t>
  </si>
  <si>
    <t xml:space="preserve">Head of Retail – EG</t>
  </si>
  <si>
    <t xml:space="preserve">EV-EG-CTL-TF-01-202606</t>
  </si>
  <si>
    <t xml:space="preserve">T-0701</t>
  </si>
  <si>
    <t xml:space="preserve">Head of Trade Finance – EG</t>
  </si>
  <si>
    <t xml:space="preserve">EV-EG-CTL-TBML-01-202604</t>
  </si>
  <si>
    <t xml:space="preserve">T-0702</t>
  </si>
  <si>
    <t xml:space="preserve">EV-EG-CTL-PF-01-202608</t>
  </si>
  <si>
    <t xml:space="preserve">T-0703</t>
  </si>
  <si>
    <t xml:space="preserve">Head of FI Banking – EG</t>
  </si>
  <si>
    <t xml:space="preserve">EV-EG-CTL-CB-01-202609</t>
  </si>
  <si>
    <t xml:space="preserve">T-0704</t>
  </si>
  <si>
    <t xml:space="preserve">Head of Payments Operations – EG</t>
  </si>
  <si>
    <t xml:space="preserve">EV-EG-CTL-PAY-01-202607</t>
  </si>
  <si>
    <t xml:space="preserve">T-0705</t>
  </si>
  <si>
    <t xml:space="preserve">Head of Procurement – EG</t>
  </si>
  <si>
    <t xml:space="preserve">EV-EG-CTL-ABC-01-202608</t>
  </si>
  <si>
    <t xml:space="preserve">T-0706</t>
  </si>
  <si>
    <t xml:space="preserve">EV-EG-CTL-ABC-02-202512</t>
  </si>
  <si>
    <t xml:space="preserve">T-0707</t>
  </si>
  <si>
    <t xml:space="preserve">Head of Fraud Risk – EG</t>
  </si>
  <si>
    <t xml:space="preserve">EV-EG-CTL-FRD-01-202608</t>
  </si>
  <si>
    <t xml:space="preserve">T-0708</t>
  </si>
  <si>
    <t xml:space="preserve">EV-EG-CTL-FRD-02-202609</t>
  </si>
  <si>
    <t xml:space="preserve">T-0709</t>
  </si>
  <si>
    <t xml:space="preserve">Country Head of HR – EG</t>
  </si>
  <si>
    <t xml:space="preserve">EV-EG-CTL-FRD-03-202602</t>
  </si>
  <si>
    <t xml:space="preserve">T-0710</t>
  </si>
  <si>
    <t xml:space="preserve">EV-EG-CTL-TAX-01-202609</t>
  </si>
  <si>
    <t xml:space="preserve">T-0711</t>
  </si>
  <si>
    <t xml:space="preserve">Country CFO – EG</t>
  </si>
  <si>
    <t xml:space="preserve">EV-EG-CTL-TAX-02-202602</t>
  </si>
  <si>
    <t xml:space="preserve">T-0712</t>
  </si>
  <si>
    <t xml:space="preserve">EV-EG-CTL-TRN-01-202510</t>
  </si>
  <si>
    <t xml:space="preserve">T-0713</t>
  </si>
  <si>
    <t xml:space="preserve">EV-EG-CTL-REG-01-202607</t>
  </si>
  <si>
    <t xml:space="preserve">T-0714</t>
  </si>
  <si>
    <t xml:space="preserve">EV-EG-CTL-REG-02-202608</t>
  </si>
  <si>
    <t xml:space="preserve">T-0715</t>
  </si>
  <si>
    <t xml:space="preserve">EV-EG-CTL-CON-01-202608</t>
  </si>
  <si>
    <t xml:space="preserve">T-0716</t>
  </si>
  <si>
    <t xml:space="preserve">Head of Customer Experience – EG</t>
  </si>
  <si>
    <t xml:space="preserve">EV-EG-CTL-CON-02-202607</t>
  </si>
  <si>
    <t xml:space="preserve">T-0717</t>
  </si>
  <si>
    <t xml:space="preserve">Country DPO – EG</t>
  </si>
  <si>
    <t xml:space="preserve">EV-EG-CTL-DP-01-202608</t>
  </si>
  <si>
    <t xml:space="preserve">T-0718</t>
  </si>
  <si>
    <t xml:space="preserve">Country ISO – EG</t>
  </si>
  <si>
    <t xml:space="preserve">EV-EG-CTL-DP-02-202606</t>
  </si>
  <si>
    <t xml:space="preserve">T-0719</t>
  </si>
  <si>
    <t xml:space="preserve">T-0720</t>
  </si>
  <si>
    <t xml:space="preserve">Country Head of Credit – EG</t>
  </si>
  <si>
    <t xml:space="preserve">EV-EG-CTL-CR-01-202609</t>
  </si>
  <si>
    <t xml:space="preserve">T-0721</t>
  </si>
  <si>
    <t xml:space="preserve">Country CRO – EG</t>
  </si>
  <si>
    <t xml:space="preserve">EV-EG-CTL-CR-02-202601</t>
  </si>
  <si>
    <t xml:space="preserve">T-0722</t>
  </si>
  <si>
    <t xml:space="preserve">EV-EG-CTL-MR-01-202605</t>
  </si>
  <si>
    <t xml:space="preserve">T-0723</t>
  </si>
  <si>
    <t xml:space="preserve">Country Treasurer – EG</t>
  </si>
  <si>
    <t xml:space="preserve">EV-EG-CTL-LQ-01-202604</t>
  </si>
  <si>
    <t xml:space="preserve">T-0724</t>
  </si>
  <si>
    <t xml:space="preserve">Country BCM Lead – EG</t>
  </si>
  <si>
    <t xml:space="preserve">EV-EG-CTL-OR-01-202609</t>
  </si>
  <si>
    <t xml:space="preserve">T-0725</t>
  </si>
  <si>
    <t xml:space="preserve">EV-EG-CTL-OR-02-202604</t>
  </si>
  <si>
    <t xml:space="preserve">T-0726</t>
  </si>
  <si>
    <t xml:space="preserve">EV-EG-CTL-CY-01-202606</t>
  </si>
  <si>
    <t xml:space="preserve">T-0727</t>
  </si>
  <si>
    <t xml:space="preserve">EV-EG-CTL-CY-02-202608</t>
  </si>
  <si>
    <t xml:space="preserve">T-0728</t>
  </si>
  <si>
    <t xml:space="preserve">EV-EG-CTL-TP-01-202608</t>
  </si>
  <si>
    <t xml:space="preserve">T-0729</t>
  </si>
  <si>
    <t xml:space="preserve">Country Legal Counsel – EG</t>
  </si>
  <si>
    <t xml:space="preserve">EV-EG-CTL-LG-01-202609</t>
  </si>
  <si>
    <t xml:space="preserve">T-0730</t>
  </si>
  <si>
    <t xml:space="preserve">Head of Corporate Communications – EG</t>
  </si>
  <si>
    <t xml:space="preserve">EV-EG-CTL-RP-01-202609</t>
  </si>
  <si>
    <t xml:space="preserve">T-0731</t>
  </si>
  <si>
    <t xml:space="preserve">Country CEO – EG</t>
  </si>
  <si>
    <t xml:space="preserve">EV-EG-CTL-ST-01-202606</t>
  </si>
  <si>
    <t xml:space="preserve">T-0732</t>
  </si>
  <si>
    <t xml:space="preserve">Head of Operations – DZ</t>
  </si>
  <si>
    <t xml:space="preserve">Compliance Monitoring &amp; Testing – DZ</t>
  </si>
  <si>
    <t xml:space="preserve">EV-DZ-CTL-KYC-01-202609</t>
  </si>
  <si>
    <t xml:space="preserve">T-0733</t>
  </si>
  <si>
    <t xml:space="preserve">Country CO – DZ</t>
  </si>
  <si>
    <t xml:space="preserve">EV-DZ-CTL-KYC-02-202606</t>
  </si>
  <si>
    <t xml:space="preserve">T-0734</t>
  </si>
  <si>
    <t xml:space="preserve">EV-DZ-CTL-KYC-03-202602</t>
  </si>
  <si>
    <t xml:space="preserve">T-0735</t>
  </si>
  <si>
    <t xml:space="preserve">EV-DZ-CTL-KYC-04-202609</t>
  </si>
  <si>
    <t xml:space="preserve">T-0736</t>
  </si>
  <si>
    <t xml:space="preserve">EV-DZ-CTL-CRR-01-202512</t>
  </si>
  <si>
    <t xml:space="preserve">T-0737</t>
  </si>
  <si>
    <t xml:space="preserve">Country MLRO – DZ</t>
  </si>
  <si>
    <t xml:space="preserve">EV-DZ-CTL-TM-01-202604</t>
  </si>
  <si>
    <t xml:space="preserve">T-0738</t>
  </si>
  <si>
    <t xml:space="preserve">EV-DZ-CTL-TM-02-202609</t>
  </si>
  <si>
    <t xml:space="preserve">T-0739</t>
  </si>
  <si>
    <t xml:space="preserve">EV-DZ-CTL-STR-01-202607</t>
  </si>
  <si>
    <t xml:space="preserve">T-0740</t>
  </si>
  <si>
    <t xml:space="preserve">Country Sanctions Officer – DZ</t>
  </si>
  <si>
    <t xml:space="preserve">EV-DZ-CTL-SAN-01-202609</t>
  </si>
  <si>
    <t xml:space="preserve">T-0741</t>
  </si>
  <si>
    <t xml:space="preserve">EV-DZ-CTL-SAN-02-202605</t>
  </si>
  <si>
    <t xml:space="preserve">T-0742</t>
  </si>
  <si>
    <t xml:space="preserve">Country Head of IT – DZ</t>
  </si>
  <si>
    <t xml:space="preserve">EV-DZ-CTL-SAN-03-202511</t>
  </si>
  <si>
    <t xml:space="preserve">T-0743</t>
  </si>
  <si>
    <t xml:space="preserve">Head of Retail – DZ</t>
  </si>
  <si>
    <t xml:space="preserve">EV-DZ-CTL-TF-01-202608</t>
  </si>
  <si>
    <t xml:space="preserve">T-0744</t>
  </si>
  <si>
    <t xml:space="preserve">Head of Trade Finance – DZ</t>
  </si>
  <si>
    <t xml:space="preserve">EV-DZ-CTL-TBML-01-202606</t>
  </si>
  <si>
    <t xml:space="preserve">T-0745</t>
  </si>
  <si>
    <t xml:space="preserve">EV-DZ-CTL-PF-01-202508</t>
  </si>
  <si>
    <t xml:space="preserve">T-0746</t>
  </si>
  <si>
    <t xml:space="preserve">Head of FI Banking – DZ</t>
  </si>
  <si>
    <t xml:space="preserve">EV-DZ-CTL-CB-01-202605</t>
  </si>
  <si>
    <t xml:space="preserve">T-0747</t>
  </si>
  <si>
    <t xml:space="preserve">Head of Payments Operations – DZ</t>
  </si>
  <si>
    <t xml:space="preserve">EV-DZ-CTL-PAY-01-202601</t>
  </si>
  <si>
    <t xml:space="preserve">T-0748</t>
  </si>
  <si>
    <t xml:space="preserve">Head of Procurement – DZ</t>
  </si>
  <si>
    <t xml:space="preserve">EV-DZ-CTL-ABC-01-202605</t>
  </si>
  <si>
    <t xml:space="preserve">T-0749</t>
  </si>
  <si>
    <t xml:space="preserve">EV-DZ-CTL-ABC-02-202604</t>
  </si>
  <si>
    <t xml:space="preserve">T-0750</t>
  </si>
  <si>
    <t xml:space="preserve">Head of Fraud Risk – DZ</t>
  </si>
  <si>
    <t xml:space="preserve">EV-DZ-CTL-FRD-01-202603</t>
  </si>
  <si>
    <t xml:space="preserve">T-0751</t>
  </si>
  <si>
    <t xml:space="preserve">EV-DZ-CTL-FRD-02-202507</t>
  </si>
  <si>
    <t xml:space="preserve">T-0752</t>
  </si>
  <si>
    <t xml:space="preserve">Country Head of HR – DZ</t>
  </si>
  <si>
    <t xml:space="preserve">EV-DZ-CTL-FRD-03-202604</t>
  </si>
  <si>
    <t xml:space="preserve">T-0753</t>
  </si>
  <si>
    <t xml:space="preserve">EV-DZ-CTL-TAX-01-202609</t>
  </si>
  <si>
    <t xml:space="preserve">T-0754</t>
  </si>
  <si>
    <t xml:space="preserve">Country CFO – DZ</t>
  </si>
  <si>
    <t xml:space="preserve">EV-DZ-CTL-TAX-02-202511</t>
  </si>
  <si>
    <t xml:space="preserve">T-0755</t>
  </si>
  <si>
    <t xml:space="preserve">EV-DZ-CTL-TRN-01-202608</t>
  </si>
  <si>
    <t xml:space="preserve">T-0756</t>
  </si>
  <si>
    <t xml:space="preserve">EV-DZ-CTL-REG-01-202607</t>
  </si>
  <si>
    <t xml:space="preserve">T-0757</t>
  </si>
  <si>
    <t xml:space="preserve">EV-DZ-CTL-REG-02-202605</t>
  </si>
  <si>
    <t xml:space="preserve">T-0758</t>
  </si>
  <si>
    <t xml:space="preserve">EV-DZ-CTL-CON-01-202606</t>
  </si>
  <si>
    <t xml:space="preserve">T-0759</t>
  </si>
  <si>
    <t xml:space="preserve">Head of Customer Experience – DZ</t>
  </si>
  <si>
    <t xml:space="preserve">EV-DZ-CTL-CON-02-202512</t>
  </si>
  <si>
    <t xml:space="preserve">T-0760</t>
  </si>
  <si>
    <t xml:space="preserve">Country DPO – DZ</t>
  </si>
  <si>
    <t xml:space="preserve">EV-DZ-CTL-DP-01-202512</t>
  </si>
  <si>
    <t xml:space="preserve">T-0761</t>
  </si>
  <si>
    <t xml:space="preserve">Country ISO – DZ</t>
  </si>
  <si>
    <t xml:space="preserve">EV-DZ-CTL-DP-02-202606</t>
  </si>
  <si>
    <t xml:space="preserve">T-0762</t>
  </si>
  <si>
    <t xml:space="preserve">T-0763</t>
  </si>
  <si>
    <t xml:space="preserve">Country Head of Credit – DZ</t>
  </si>
  <si>
    <t xml:space="preserve">EV-DZ-CTL-CR-01-202606</t>
  </si>
  <si>
    <t xml:space="preserve">T-0764</t>
  </si>
  <si>
    <t xml:space="preserve">Country CRO – DZ</t>
  </si>
  <si>
    <t xml:space="preserve">EV-DZ-CTL-CR-02-202602</t>
  </si>
  <si>
    <t xml:space="preserve">T-0765</t>
  </si>
  <si>
    <t xml:space="preserve">EV-DZ-CTL-MR-01-202606</t>
  </si>
  <si>
    <t xml:space="preserve">T-0766</t>
  </si>
  <si>
    <t xml:space="preserve">Country Treasurer – DZ</t>
  </si>
  <si>
    <t xml:space="preserve">EV-DZ-CTL-LQ-01-202609</t>
  </si>
  <si>
    <t xml:space="preserve">T-0767</t>
  </si>
  <si>
    <t xml:space="preserve">Country BCM Lead – DZ</t>
  </si>
  <si>
    <t xml:space="preserve">EV-DZ-CTL-OR-01-202605</t>
  </si>
  <si>
    <t xml:space="preserve">T-0768</t>
  </si>
  <si>
    <t xml:space="preserve">EV-DZ-CTL-OR-02-202512</t>
  </si>
  <si>
    <t xml:space="preserve">T-0769</t>
  </si>
  <si>
    <t xml:space="preserve">EV-DZ-CTL-CY-01-202608</t>
  </si>
  <si>
    <t xml:space="preserve">T-0770</t>
  </si>
  <si>
    <t xml:space="preserve">EV-DZ-CTL-CY-02-202603</t>
  </si>
  <si>
    <t xml:space="preserve">T-0771</t>
  </si>
  <si>
    <t xml:space="preserve">EV-DZ-CTL-TP-01-202508</t>
  </si>
  <si>
    <t xml:space="preserve">T-0772</t>
  </si>
  <si>
    <t xml:space="preserve">Country Legal Counsel – DZ</t>
  </si>
  <si>
    <t xml:space="preserve">EV-DZ-CTL-LG-01-202605</t>
  </si>
  <si>
    <t xml:space="preserve">T-0773</t>
  </si>
  <si>
    <t xml:space="preserve">Head of Corporate Communications – DZ</t>
  </si>
  <si>
    <t xml:space="preserve">EV-DZ-CTL-RP-01-202606</t>
  </si>
  <si>
    <t xml:space="preserve">T-0774</t>
  </si>
  <si>
    <t xml:space="preserve">Country CEO – DZ</t>
  </si>
  <si>
    <t xml:space="preserve">EV-DZ-CTL-ST-01-202604</t>
  </si>
  <si>
    <t xml:space="preserve">T-0775</t>
  </si>
  <si>
    <t xml:space="preserve">Head of Operations – MA</t>
  </si>
  <si>
    <t xml:space="preserve">Compliance Monitoring &amp; Testing – MA</t>
  </si>
  <si>
    <t xml:space="preserve">EV-MA-CTL-KYC-01-202605</t>
  </si>
  <si>
    <t xml:space="preserve">T-0776</t>
  </si>
  <si>
    <t xml:space="preserve">Country CO – MA</t>
  </si>
  <si>
    <t xml:space="preserve">EV-MA-CTL-KYC-02-202603</t>
  </si>
  <si>
    <t xml:space="preserve">T-0777</t>
  </si>
  <si>
    <t xml:space="preserve">EV-MA-CTL-KYC-03-202608</t>
  </si>
  <si>
    <t xml:space="preserve">T-0778</t>
  </si>
  <si>
    <t xml:space="preserve">EV-MA-CTL-KYC-04-202605</t>
  </si>
  <si>
    <t xml:space="preserve">T-0779</t>
  </si>
  <si>
    <t xml:space="preserve">EV-MA-CTL-CRR-01-202410</t>
  </si>
  <si>
    <t xml:space="preserve">T-0780</t>
  </si>
  <si>
    <t xml:space="preserve">Country MLRO – MA</t>
  </si>
  <si>
    <t xml:space="preserve">EV-MA-CTL-TM-01-202607</t>
  </si>
  <si>
    <t xml:space="preserve">T-0781</t>
  </si>
  <si>
    <t xml:space="preserve">EV-MA-CTL-TM-02-202607</t>
  </si>
  <si>
    <t xml:space="preserve">T-0782</t>
  </si>
  <si>
    <t xml:space="preserve">EV-MA-CTL-STR-01-202607</t>
  </si>
  <si>
    <t xml:space="preserve">T-0783</t>
  </si>
  <si>
    <t xml:space="preserve">Country Sanctions Officer – MA</t>
  </si>
  <si>
    <t xml:space="preserve">EV-MA-CTL-SAN-01-202609</t>
  </si>
  <si>
    <t xml:space="preserve">T-0784</t>
  </si>
  <si>
    <t xml:space="preserve">EV-MA-CTL-SAN-02-202606</t>
  </si>
  <si>
    <t xml:space="preserve">T-0785</t>
  </si>
  <si>
    <t xml:space="preserve">Country Head of IT – MA</t>
  </si>
  <si>
    <t xml:space="preserve">EV-MA-CTL-SAN-03-202512</t>
  </si>
  <si>
    <t xml:space="preserve">T-0786</t>
  </si>
  <si>
    <t xml:space="preserve">Head of Retail – MA</t>
  </si>
  <si>
    <t xml:space="preserve">EV-MA-CTL-TF-01-202501</t>
  </si>
  <si>
    <t xml:space="preserve">T-0787</t>
  </si>
  <si>
    <t xml:space="preserve">Head of Trade Finance – MA</t>
  </si>
  <si>
    <t xml:space="preserve">EV-MA-CTL-TBML-01-202607</t>
  </si>
  <si>
    <t xml:space="preserve">T-0788</t>
  </si>
  <si>
    <t xml:space="preserve">EV-MA-CTL-PF-01-202606</t>
  </si>
  <si>
    <t xml:space="preserve">T-0789</t>
  </si>
  <si>
    <t xml:space="preserve">Head of FI Banking – MA</t>
  </si>
  <si>
    <t xml:space="preserve">EV-MA-CTL-CB-01-202605</t>
  </si>
  <si>
    <t xml:space="preserve">T-0790</t>
  </si>
  <si>
    <t xml:space="preserve">Head of Payments Operations – MA</t>
  </si>
  <si>
    <t xml:space="preserve">EV-MA-CTL-PAY-01-202604</t>
  </si>
  <si>
    <t xml:space="preserve">T-0791</t>
  </si>
  <si>
    <t xml:space="preserve">Head of Procurement – MA</t>
  </si>
  <si>
    <t xml:space="preserve">EV-MA-CTL-ABC-01-202607</t>
  </si>
  <si>
    <t xml:space="preserve">T-0792</t>
  </si>
  <si>
    <t xml:space="preserve">EV-MA-CTL-ABC-02-202605</t>
  </si>
  <si>
    <t xml:space="preserve">T-0793</t>
  </si>
  <si>
    <t xml:space="preserve">Head of Fraud Risk – MA</t>
  </si>
  <si>
    <t xml:space="preserve">EV-MA-CTL-FRD-01-202608</t>
  </si>
  <si>
    <t xml:space="preserve">T-0794</t>
  </si>
  <si>
    <t xml:space="preserve">EV-MA-CTL-FRD-02-202605</t>
  </si>
  <si>
    <t xml:space="preserve">T-0795</t>
  </si>
  <si>
    <t xml:space="preserve">Country Head of HR – MA</t>
  </si>
  <si>
    <t xml:space="preserve">EV-MA-CTL-FRD-03-202601</t>
  </si>
  <si>
    <t xml:space="preserve">T-0796</t>
  </si>
  <si>
    <t xml:space="preserve">EV-MA-CTL-TAX-01-202606</t>
  </si>
  <si>
    <t xml:space="preserve">T-0797</t>
  </si>
  <si>
    <t xml:space="preserve">Country CFO – MA</t>
  </si>
  <si>
    <t xml:space="preserve">EV-MA-CTL-TAX-02-202606</t>
  </si>
  <si>
    <t xml:space="preserve">T-0798</t>
  </si>
  <si>
    <t xml:space="preserve">EV-MA-CTL-TRN-01-202606</t>
  </si>
  <si>
    <t xml:space="preserve">T-0799</t>
  </si>
  <si>
    <t xml:space="preserve">T-0800</t>
  </si>
  <si>
    <t xml:space="preserve">EV-MA-CTL-REG-02-202605</t>
  </si>
  <si>
    <t xml:space="preserve">T-0801</t>
  </si>
  <si>
    <t xml:space="preserve">EV-MA-CTL-CON-01-202607</t>
  </si>
  <si>
    <t xml:space="preserve">T-0802</t>
  </si>
  <si>
    <t xml:space="preserve">Head of Customer Experience – MA</t>
  </si>
  <si>
    <t xml:space="preserve">EV-MA-CTL-CON-02-202605</t>
  </si>
  <si>
    <t xml:space="preserve">T-0803</t>
  </si>
  <si>
    <t xml:space="preserve">Country DPO – MA</t>
  </si>
  <si>
    <t xml:space="preserve">EV-MA-CTL-DP-01-202511</t>
  </si>
  <si>
    <t xml:space="preserve">T-0804</t>
  </si>
  <si>
    <t xml:space="preserve">Country ISO – MA</t>
  </si>
  <si>
    <t xml:space="preserve">EV-MA-CTL-DP-02-202510</t>
  </si>
  <si>
    <t xml:space="preserve">T-0805</t>
  </si>
  <si>
    <t xml:space="preserve">T-0806</t>
  </si>
  <si>
    <t xml:space="preserve">Country Head of Credit – MA</t>
  </si>
  <si>
    <t xml:space="preserve">EV-MA-CTL-CR-01-202607</t>
  </si>
  <si>
    <t xml:space="preserve">T-0807</t>
  </si>
  <si>
    <t xml:space="preserve">Country CRO – MA</t>
  </si>
  <si>
    <t xml:space="preserve">EV-MA-CTL-CR-02-202603</t>
  </si>
  <si>
    <t xml:space="preserve">T-0808</t>
  </si>
  <si>
    <t xml:space="preserve">EV-MA-CTL-MR-01-202604</t>
  </si>
  <si>
    <t xml:space="preserve">T-0809</t>
  </si>
  <si>
    <t xml:space="preserve">Country Treasurer – MA</t>
  </si>
  <si>
    <t xml:space="preserve">EV-MA-CTL-LQ-01-202607</t>
  </si>
  <si>
    <t xml:space="preserve">T-0810</t>
  </si>
  <si>
    <t xml:space="preserve">Country BCM Lead – MA</t>
  </si>
  <si>
    <t xml:space="preserve">EV-MA-CTL-OR-01-202603</t>
  </si>
  <si>
    <t xml:space="preserve">T-0811</t>
  </si>
  <si>
    <t xml:space="preserve">EV-MA-CTL-OR-02-202504</t>
  </si>
  <si>
    <t xml:space="preserve">T-0812</t>
  </si>
  <si>
    <t xml:space="preserve">EV-MA-CTL-CY-01-202607</t>
  </si>
  <si>
    <t xml:space="preserve">T-0813</t>
  </si>
  <si>
    <t xml:space="preserve">EV-MA-CTL-CY-02-202607</t>
  </si>
  <si>
    <t xml:space="preserve">T-0814</t>
  </si>
  <si>
    <t xml:space="preserve">T-0815</t>
  </si>
  <si>
    <t xml:space="preserve">Country Legal Counsel – MA</t>
  </si>
  <si>
    <t xml:space="preserve">EV-MA-CTL-LG-01-202604</t>
  </si>
  <si>
    <t xml:space="preserve">T-0816</t>
  </si>
  <si>
    <t xml:space="preserve">Head of Corporate Communications – MA</t>
  </si>
  <si>
    <t xml:space="preserve">EV-MA-CTL-RP-01-202602</t>
  </si>
  <si>
    <t xml:space="preserve">T-0817</t>
  </si>
  <si>
    <t xml:space="preserve">Country CEO – MA</t>
  </si>
  <si>
    <t xml:space="preserve">EV-MA-CTL-ST-01-202605</t>
  </si>
  <si>
    <t xml:space="preserve">T-0818</t>
  </si>
  <si>
    <t xml:space="preserve">Head of Operations – TN</t>
  </si>
  <si>
    <t xml:space="preserve">Compliance Monitoring &amp; Testing – TN</t>
  </si>
  <si>
    <t xml:space="preserve">EV-TN-CTL-KYC-01-202607</t>
  </si>
  <si>
    <t xml:space="preserve">T-0819</t>
  </si>
  <si>
    <t xml:space="preserve">Country CO – TN</t>
  </si>
  <si>
    <t xml:space="preserve">EV-TN-CTL-KYC-02-202606</t>
  </si>
  <si>
    <t xml:space="preserve">T-0820</t>
  </si>
  <si>
    <t xml:space="preserve">EV-TN-CTL-KYC-03-202607</t>
  </si>
  <si>
    <t xml:space="preserve">T-0821</t>
  </si>
  <si>
    <t xml:space="preserve">EV-TN-CTL-KYC-04-202601</t>
  </si>
  <si>
    <t xml:space="preserve">T-0822</t>
  </si>
  <si>
    <t xml:space="preserve">EV-TN-CTL-CRR-01-202602</t>
  </si>
  <si>
    <t xml:space="preserve">T-0823</t>
  </si>
  <si>
    <t xml:space="preserve">Country MLRO – TN</t>
  </si>
  <si>
    <t xml:space="preserve">EV-TN-CTL-TM-01-202609</t>
  </si>
  <si>
    <t xml:space="preserve">T-0824</t>
  </si>
  <si>
    <t xml:space="preserve">EV-TN-CTL-TM-02-202605</t>
  </si>
  <si>
    <t xml:space="preserve">T-0825</t>
  </si>
  <si>
    <t xml:space="preserve">EV-TN-CTL-STR-01-202601</t>
  </si>
  <si>
    <t xml:space="preserve">T-0826</t>
  </si>
  <si>
    <t xml:space="preserve">Country Sanctions Officer – TN</t>
  </si>
  <si>
    <t xml:space="preserve">EV-TN-CTL-SAN-01-202608</t>
  </si>
  <si>
    <t xml:space="preserve">T-0827</t>
  </si>
  <si>
    <t xml:space="preserve">EV-TN-CTL-SAN-02-202608</t>
  </si>
  <si>
    <t xml:space="preserve">T-0828</t>
  </si>
  <si>
    <t xml:space="preserve">Country Head of IT – TN</t>
  </si>
  <si>
    <t xml:space="preserve">EV-TN-CTL-SAN-03-202606</t>
  </si>
  <si>
    <t xml:space="preserve">T-0829</t>
  </si>
  <si>
    <t xml:space="preserve">Head of Retail – TN</t>
  </si>
  <si>
    <t xml:space="preserve">EV-TN-CTL-TF-01-202603</t>
  </si>
  <si>
    <t xml:space="preserve">T-0830</t>
  </si>
  <si>
    <t xml:space="preserve">Head of Trade Finance – TN</t>
  </si>
  <si>
    <t xml:space="preserve">EV-TN-CTL-TBML-01-202605</t>
  </si>
  <si>
    <t xml:space="preserve">T-0831</t>
  </si>
  <si>
    <t xml:space="preserve">EV-TN-CTL-PF-01-202604</t>
  </si>
  <si>
    <t xml:space="preserve">T-0832</t>
  </si>
  <si>
    <t xml:space="preserve">Head of FI Banking – TN</t>
  </si>
  <si>
    <t xml:space="preserve">EV-TN-CTL-CB-01-202609</t>
  </si>
  <si>
    <t xml:space="preserve">T-0833</t>
  </si>
  <si>
    <t xml:space="preserve">Head of Payments Operations – TN</t>
  </si>
  <si>
    <t xml:space="preserve">EV-TN-CTL-PAY-01-202512</t>
  </si>
  <si>
    <t xml:space="preserve">T-0834</t>
  </si>
  <si>
    <t xml:space="preserve">Head of Procurement – TN</t>
  </si>
  <si>
    <t xml:space="preserve">EV-TN-CTL-ABC-01-202605</t>
  </si>
  <si>
    <t xml:space="preserve">T-0835</t>
  </si>
  <si>
    <t xml:space="preserve">EV-TN-CTL-ABC-02-202604</t>
  </si>
  <si>
    <t xml:space="preserve">T-0836</t>
  </si>
  <si>
    <t xml:space="preserve">Head of Fraud Risk – TN</t>
  </si>
  <si>
    <t xml:space="preserve">EV-TN-CTL-FRD-01-202606</t>
  </si>
  <si>
    <t xml:space="preserve">T-0837</t>
  </si>
  <si>
    <t xml:space="preserve">EV-TN-CTL-FRD-02-202511</t>
  </si>
  <si>
    <t xml:space="preserve">T-0838</t>
  </si>
  <si>
    <t xml:space="preserve">Country Head of HR – TN</t>
  </si>
  <si>
    <t xml:space="preserve">EV-TN-CTL-FRD-03-202603</t>
  </si>
  <si>
    <t xml:space="preserve">T-0839</t>
  </si>
  <si>
    <t xml:space="preserve">EV-TN-CTL-TAX-01-202608</t>
  </si>
  <si>
    <t xml:space="preserve">T-0840</t>
  </si>
  <si>
    <t xml:space="preserve">Country CFO – TN</t>
  </si>
  <si>
    <t xml:space="preserve">EV-TN-CTL-TAX-02-202602</t>
  </si>
  <si>
    <t xml:space="preserve">T-0841</t>
  </si>
  <si>
    <t xml:space="preserve">EV-TN-CTL-TRN-01-202511</t>
  </si>
  <si>
    <t xml:space="preserve">T-0842</t>
  </si>
  <si>
    <t xml:space="preserve">EV-TN-CTL-REG-01-202606</t>
  </si>
  <si>
    <t xml:space="preserve">T-0843</t>
  </si>
  <si>
    <t xml:space="preserve">EV-TN-CTL-REG-02-202606</t>
  </si>
  <si>
    <t xml:space="preserve">T-0844</t>
  </si>
  <si>
    <t xml:space="preserve">EV-TN-CTL-CON-01-202608</t>
  </si>
  <si>
    <t xml:space="preserve">T-0845</t>
  </si>
  <si>
    <t xml:space="preserve">Head of Customer Experience – TN</t>
  </si>
  <si>
    <t xml:space="preserve">EV-TN-CTL-CON-02-202609</t>
  </si>
  <si>
    <t xml:space="preserve">T-0846</t>
  </si>
  <si>
    <t xml:space="preserve">Country DPO – TN</t>
  </si>
  <si>
    <t xml:space="preserve">EV-TN-CTL-DP-01-202606</t>
  </si>
  <si>
    <t xml:space="preserve">T-0847</t>
  </si>
  <si>
    <t xml:space="preserve">Country ISO – TN</t>
  </si>
  <si>
    <t xml:space="preserve">EV-TN-CTL-DP-02-202607</t>
  </si>
  <si>
    <t xml:space="preserve">T-0848</t>
  </si>
  <si>
    <t xml:space="preserve">T-0849</t>
  </si>
  <si>
    <t xml:space="preserve">Country Head of Credit – TN</t>
  </si>
  <si>
    <t xml:space="preserve">EV-TN-CTL-CR-01-202607</t>
  </si>
  <si>
    <t xml:space="preserve">T-0850</t>
  </si>
  <si>
    <t xml:space="preserve">Country CRO – TN</t>
  </si>
  <si>
    <t xml:space="preserve">EV-TN-CTL-CR-02-202603</t>
  </si>
  <si>
    <t xml:space="preserve">T-0851</t>
  </si>
  <si>
    <t xml:space="preserve">EV-TN-CTL-MR-01-202605</t>
  </si>
  <si>
    <t xml:space="preserve">T-0852</t>
  </si>
  <si>
    <t xml:space="preserve">Country Treasurer – TN</t>
  </si>
  <si>
    <t xml:space="preserve">EV-TN-CTL-LQ-01-202603</t>
  </si>
  <si>
    <t xml:space="preserve">T-0853</t>
  </si>
  <si>
    <t xml:space="preserve">Country BCM Lead – TN</t>
  </si>
  <si>
    <t xml:space="preserve">EV-TN-CTL-OR-01-202605</t>
  </si>
  <si>
    <t xml:space="preserve">T-0854</t>
  </si>
  <si>
    <t xml:space="preserve">EV-TN-CTL-OR-02-202603</t>
  </si>
  <si>
    <t xml:space="preserve">T-0855</t>
  </si>
  <si>
    <t xml:space="preserve">EV-TN-CTL-CY-01-202605</t>
  </si>
  <si>
    <t xml:space="preserve">T-0856</t>
  </si>
  <si>
    <t xml:space="preserve">EV-TN-CTL-CY-02-202609</t>
  </si>
  <si>
    <t xml:space="preserve">T-0857</t>
  </si>
  <si>
    <t xml:space="preserve">T-0858</t>
  </si>
  <si>
    <t xml:space="preserve">Country Legal Counsel – TN</t>
  </si>
  <si>
    <t xml:space="preserve">EV-TN-CTL-LG-01-202601</t>
  </si>
  <si>
    <t xml:space="preserve">T-0859</t>
  </si>
  <si>
    <t xml:space="preserve">Head of Corporate Communications – TN</t>
  </si>
  <si>
    <t xml:space="preserve">EV-TN-CTL-RP-01-202608</t>
  </si>
  <si>
    <t xml:space="preserve">T-0860</t>
  </si>
  <si>
    <t xml:space="preserve">Country CEO – TN</t>
  </si>
  <si>
    <t xml:space="preserve">EV-TN-CTL-ST-01-202606</t>
  </si>
  <si>
    <t xml:space="preserve">T-0861</t>
  </si>
  <si>
    <t xml:space="preserve">Head of Operations – SD</t>
  </si>
  <si>
    <t xml:space="preserve">Compliance Monitoring &amp; Testing – SD</t>
  </si>
  <si>
    <t xml:space="preserve">EV-SD-CTL-KYC-01-202609</t>
  </si>
  <si>
    <t xml:space="preserve">T-0862</t>
  </si>
  <si>
    <t xml:space="preserve">Country CO – SD</t>
  </si>
  <si>
    <t xml:space="preserve">EV-SD-CTL-KYC-02-202604</t>
  </si>
  <si>
    <t xml:space="preserve">T-0863</t>
  </si>
  <si>
    <t xml:space="preserve">EV-SD-CTL-KYC-03-202606</t>
  </si>
  <si>
    <t xml:space="preserve">T-0864</t>
  </si>
  <si>
    <t xml:space="preserve">EV-SD-CTL-KYC-04-202608</t>
  </si>
  <si>
    <t xml:space="preserve">T-0865</t>
  </si>
  <si>
    <t xml:space="preserve">EV-SD-CTL-CRR-01-202501</t>
  </si>
  <si>
    <t xml:space="preserve">T-0866</t>
  </si>
  <si>
    <t xml:space="preserve">Country MLRO – SD</t>
  </si>
  <si>
    <t xml:space="preserve">EV-SD-CTL-TM-01-202605</t>
  </si>
  <si>
    <t xml:space="preserve">T-0867</t>
  </si>
  <si>
    <t xml:space="preserve">EV-SD-CTL-TM-02-202601</t>
  </si>
  <si>
    <t xml:space="preserve">T-0868</t>
  </si>
  <si>
    <t xml:space="preserve">EV-SD-CTL-STR-01-202605</t>
  </si>
  <si>
    <t xml:space="preserve">T-0869</t>
  </si>
  <si>
    <t xml:space="preserve">Country Sanctions Officer – SD</t>
  </si>
  <si>
    <t xml:space="preserve">EV-SD-CTL-SAN-01-202605</t>
  </si>
  <si>
    <t xml:space="preserve">T-0870</t>
  </si>
  <si>
    <t xml:space="preserve">EV-SD-CTL-SAN-02-202608</t>
  </si>
  <si>
    <t xml:space="preserve">T-0871</t>
  </si>
  <si>
    <t xml:space="preserve">Country Head of IT – SD</t>
  </si>
  <si>
    <t xml:space="preserve">EV-SD-CTL-SAN-03-202606</t>
  </si>
  <si>
    <t xml:space="preserve">T-0872</t>
  </si>
  <si>
    <t xml:space="preserve">Head of Retail – SD</t>
  </si>
  <si>
    <t xml:space="preserve">EV-SD-CTL-TF-01-202503</t>
  </si>
  <si>
    <t xml:space="preserve">T-0873</t>
  </si>
  <si>
    <t xml:space="preserve">Head of Trade Finance – SD</t>
  </si>
  <si>
    <t xml:space="preserve">EV-SD-CTL-TBML-01-202604</t>
  </si>
  <si>
    <t xml:space="preserve">T-0874</t>
  </si>
  <si>
    <t xml:space="preserve">EV-SD-CTL-PF-01-202606</t>
  </si>
  <si>
    <t xml:space="preserve">T-0875</t>
  </si>
  <si>
    <t xml:space="preserve">Head of FI Banking – SD</t>
  </si>
  <si>
    <t xml:space="preserve">EV-SD-CTL-CB-01-202607</t>
  </si>
  <si>
    <t xml:space="preserve">T-0876</t>
  </si>
  <si>
    <t xml:space="preserve">Head of Payments Operations – SD</t>
  </si>
  <si>
    <t xml:space="preserve">EV-SD-CTL-PAY-01-202503</t>
  </si>
  <si>
    <t xml:space="preserve">T-0877</t>
  </si>
  <si>
    <t xml:space="preserve">Head of Procurement – SD</t>
  </si>
  <si>
    <t xml:space="preserve">EV-SD-CTL-ABC-01-202606</t>
  </si>
  <si>
    <t xml:space="preserve">T-0878</t>
  </si>
  <si>
    <t xml:space="preserve">T-0879</t>
  </si>
  <si>
    <t xml:space="preserve">Head of Fraud Risk – SD</t>
  </si>
  <si>
    <t xml:space="preserve">EV-SD-CTL-FRD-01-202608</t>
  </si>
  <si>
    <t xml:space="preserve">T-0880</t>
  </si>
  <si>
    <t xml:space="preserve">EV-SD-CTL-FRD-02-202605</t>
  </si>
  <si>
    <t xml:space="preserve">T-0881</t>
  </si>
  <si>
    <t xml:space="preserve">Country Head of HR – SD</t>
  </si>
  <si>
    <t xml:space="preserve">EV-SD-CTL-FRD-03-202505</t>
  </si>
  <si>
    <t xml:space="preserve">T-0882</t>
  </si>
  <si>
    <t xml:space="preserve">EV-SD-CTL-TAX-01-202604</t>
  </si>
  <si>
    <t xml:space="preserve">T-0883</t>
  </si>
  <si>
    <t xml:space="preserve">Country CFO – SD</t>
  </si>
  <si>
    <t xml:space="preserve">EV-SD-CTL-TAX-02-202602</t>
  </si>
  <si>
    <t xml:space="preserve">T-0884</t>
  </si>
  <si>
    <t xml:space="preserve">EV-SD-CTL-TRN-01-202506</t>
  </si>
  <si>
    <t xml:space="preserve">T-0885</t>
  </si>
  <si>
    <t xml:space="preserve">EV-SD-CTL-REG-01-202604</t>
  </si>
  <si>
    <t xml:space="preserve">T-0886</t>
  </si>
  <si>
    <t xml:space="preserve">EV-SD-CTL-REG-02-202607</t>
  </si>
  <si>
    <t xml:space="preserve">T-0887</t>
  </si>
  <si>
    <t xml:space="preserve">EV-SD-CTL-CON-01-202605</t>
  </si>
  <si>
    <t xml:space="preserve">T-0888</t>
  </si>
  <si>
    <t xml:space="preserve">Head of Customer Experience – SD</t>
  </si>
  <si>
    <t xml:space="preserve">EV-SD-CTL-CON-02-202502</t>
  </si>
  <si>
    <t xml:space="preserve">T-0889</t>
  </si>
  <si>
    <t xml:space="preserve">Country DPO – SD</t>
  </si>
  <si>
    <t xml:space="preserve">EV-SD-CTL-DP-01-202609</t>
  </si>
  <si>
    <t xml:space="preserve">T-0890</t>
  </si>
  <si>
    <t xml:space="preserve">Country ISO – SD</t>
  </si>
  <si>
    <t xml:space="preserve">EV-SD-CTL-DP-02-202604</t>
  </si>
  <si>
    <t xml:space="preserve">T-0891</t>
  </si>
  <si>
    <t xml:space="preserve">T-0892</t>
  </si>
  <si>
    <t xml:space="preserve">Country Head of Credit – SD</t>
  </si>
  <si>
    <t xml:space="preserve">EV-SD-CTL-CR-01-202605</t>
  </si>
  <si>
    <t xml:space="preserve">T-0893</t>
  </si>
  <si>
    <t xml:space="preserve">Country CRO – SD</t>
  </si>
  <si>
    <t xml:space="preserve">EV-SD-CTL-CR-02-202501</t>
  </si>
  <si>
    <t xml:space="preserve">T-0894</t>
  </si>
  <si>
    <t xml:space="preserve">EV-SD-CTL-MR-01-202606</t>
  </si>
  <si>
    <t xml:space="preserve">T-0895</t>
  </si>
  <si>
    <t xml:space="preserve">Country Treasurer – SD</t>
  </si>
  <si>
    <t xml:space="preserve">EV-SD-CTL-LQ-01-202609</t>
  </si>
  <si>
    <t xml:space="preserve">T-0896</t>
  </si>
  <si>
    <t xml:space="preserve">Country BCM Lead – SD</t>
  </si>
  <si>
    <t xml:space="preserve">EV-SD-CTL-OR-01-202605</t>
  </si>
  <si>
    <t xml:space="preserve">T-0897</t>
  </si>
  <si>
    <t xml:space="preserve">EV-SD-CTL-OR-02-202512</t>
  </si>
  <si>
    <t xml:space="preserve">T-0898</t>
  </si>
  <si>
    <t xml:space="preserve">EV-SD-CTL-CY-01-202608</t>
  </si>
  <si>
    <t xml:space="preserve">T-0899</t>
  </si>
  <si>
    <t xml:space="preserve">EV-SD-CTL-CY-02-202608</t>
  </si>
  <si>
    <t xml:space="preserve">T-0900</t>
  </si>
  <si>
    <t xml:space="preserve">EV-SD-CTL-TP-01-202609</t>
  </si>
  <si>
    <t xml:space="preserve">T-0901</t>
  </si>
  <si>
    <t xml:space="preserve">Country Legal Counsel – SD</t>
  </si>
  <si>
    <t xml:space="preserve">EV-SD-CTL-LG-01-202605</t>
  </si>
  <si>
    <t xml:space="preserve">T-0902</t>
  </si>
  <si>
    <t xml:space="preserve">Head of Corporate Communications – SD</t>
  </si>
  <si>
    <t xml:space="preserve">EV-SD-CTL-RP-01-202606</t>
  </si>
  <si>
    <t xml:space="preserve">T-0903</t>
  </si>
  <si>
    <t xml:space="preserve">Country CEO – SD</t>
  </si>
  <si>
    <t xml:space="preserve">EV-SD-CTL-ST-01-202607</t>
  </si>
  <si>
    <t xml:space="preserve">T-0904</t>
  </si>
  <si>
    <t xml:space="preserve">Head of Operations – GB</t>
  </si>
  <si>
    <t xml:space="preserve">EV-GB-CTL-KYC-01-202609</t>
  </si>
  <si>
    <t xml:space="preserve">T-0905</t>
  </si>
  <si>
    <t xml:space="preserve">Country CO – GB</t>
  </si>
  <si>
    <t xml:space="preserve">EV-GB-CTL-KYC-02-202608</t>
  </si>
  <si>
    <t xml:space="preserve">T-0906</t>
  </si>
  <si>
    <t xml:space="preserve">EV-GB-CTL-KYC-03-202608</t>
  </si>
  <si>
    <t xml:space="preserve">T-0907</t>
  </si>
  <si>
    <t xml:space="preserve">EV-GB-CTL-KYC-04-202605</t>
  </si>
  <si>
    <t xml:space="preserve">T-0908</t>
  </si>
  <si>
    <t xml:space="preserve">Compliance Monitoring &amp; Testing – GB</t>
  </si>
  <si>
    <t xml:space="preserve">EV-GB-CTL-CRR-01-202609</t>
  </si>
  <si>
    <t xml:space="preserve">T-0909</t>
  </si>
  <si>
    <t xml:space="preserve">Country MLRO – GB</t>
  </si>
  <si>
    <t xml:space="preserve">EV-GB-CTL-TM-01-202608</t>
  </si>
  <si>
    <t xml:space="preserve">T-0910</t>
  </si>
  <si>
    <t xml:space="preserve">EV-GB-CTL-TM-02-202609</t>
  </si>
  <si>
    <t xml:space="preserve">T-0911</t>
  </si>
  <si>
    <t xml:space="preserve">EV-GB-CTL-STR-01-202604</t>
  </si>
  <si>
    <t xml:space="preserve">T-0912</t>
  </si>
  <si>
    <t xml:space="preserve">Country Sanctions Officer – GB</t>
  </si>
  <si>
    <t xml:space="preserve">EV-GB-CTL-SAN-01-202605</t>
  </si>
  <si>
    <t xml:space="preserve">T-0913</t>
  </si>
  <si>
    <t xml:space="preserve">EV-GB-CTL-SAN-02-202609</t>
  </si>
  <si>
    <t xml:space="preserve">T-0914</t>
  </si>
  <si>
    <t xml:space="preserve">Country Head of IT – GB</t>
  </si>
  <si>
    <t xml:space="preserve">EV-GB-CTL-SAN-03-202604</t>
  </si>
  <si>
    <t xml:space="preserve">T-0915</t>
  </si>
  <si>
    <t xml:space="preserve">Head of Retail – GB</t>
  </si>
  <si>
    <t xml:space="preserve">EV-GB-CTL-TF-01-202605</t>
  </si>
  <si>
    <t xml:space="preserve">T-0916</t>
  </si>
  <si>
    <t xml:space="preserve">Head of Trade Finance – GB</t>
  </si>
  <si>
    <t xml:space="preserve">EV-GB-CTL-TBML-01-202608</t>
  </si>
  <si>
    <t xml:space="preserve">T-0917</t>
  </si>
  <si>
    <t xml:space="preserve">EV-GB-CTL-PF-01-202605</t>
  </si>
  <si>
    <t xml:space="preserve">T-0918</t>
  </si>
  <si>
    <t xml:space="preserve">Head of FI Banking – GB</t>
  </si>
  <si>
    <t xml:space="preserve">EV-GB-CTL-CB-01-202607</t>
  </si>
  <si>
    <t xml:space="preserve">T-0919</t>
  </si>
  <si>
    <t xml:space="preserve">Head of Payments Operations – GB</t>
  </si>
  <si>
    <t xml:space="preserve">EV-GB-CTL-PAY-01-202606</t>
  </si>
  <si>
    <t xml:space="preserve">T-0920</t>
  </si>
  <si>
    <t xml:space="preserve">Head of Procurement – GB</t>
  </si>
  <si>
    <t xml:space="preserve">EV-GB-CTL-ABC-01-202607</t>
  </si>
  <si>
    <t xml:space="preserve">T-0921</t>
  </si>
  <si>
    <t xml:space="preserve">EV-GB-CTL-ABC-02-202601</t>
  </si>
  <si>
    <t xml:space="preserve">T-0922</t>
  </si>
  <si>
    <t xml:space="preserve">Head of Fraud Risk – GB</t>
  </si>
  <si>
    <t xml:space="preserve">EV-GB-CTL-FRD-01-202609</t>
  </si>
  <si>
    <t xml:space="preserve">T-0923</t>
  </si>
  <si>
    <t xml:space="preserve">EV-GB-CTL-FRD-02-202605</t>
  </si>
  <si>
    <t xml:space="preserve">T-0924</t>
  </si>
  <si>
    <t xml:space="preserve">Country Head of HR – GB</t>
  </si>
  <si>
    <t xml:space="preserve">EV-GB-CTL-FRD-03-202603</t>
  </si>
  <si>
    <t xml:space="preserve">T-0925</t>
  </si>
  <si>
    <t xml:space="preserve">EV-GB-CTL-TAX-01-202606</t>
  </si>
  <si>
    <t xml:space="preserve">T-0926</t>
  </si>
  <si>
    <t xml:space="preserve">Country CFO – GB</t>
  </si>
  <si>
    <t xml:space="preserve">EV-GB-CTL-TAX-02-202601</t>
  </si>
  <si>
    <t xml:space="preserve">T-0927</t>
  </si>
  <si>
    <t xml:space="preserve">EV-GB-CTL-TRN-01-202602</t>
  </si>
  <si>
    <t xml:space="preserve">T-0928</t>
  </si>
  <si>
    <t xml:space="preserve">EV-GB-CTL-REG-01-202609</t>
  </si>
  <si>
    <t xml:space="preserve">T-0929</t>
  </si>
  <si>
    <t xml:space="preserve">EV-GB-CTL-REG-02-202604</t>
  </si>
  <si>
    <t xml:space="preserve">T-0930</t>
  </si>
  <si>
    <t xml:space="preserve">EV-GB-CTL-CON-01-202608</t>
  </si>
  <si>
    <t xml:space="preserve">T-0931</t>
  </si>
  <si>
    <t xml:space="preserve">Head of Customer Experience – GB</t>
  </si>
  <si>
    <t xml:space="preserve">EV-GB-CTL-CON-02-202609</t>
  </si>
  <si>
    <t xml:space="preserve">T-0932</t>
  </si>
  <si>
    <t xml:space="preserve">Country DPO – GB</t>
  </si>
  <si>
    <t xml:space="preserve">T-0933</t>
  </si>
  <si>
    <t xml:space="preserve">Country ISO – GB</t>
  </si>
  <si>
    <t xml:space="preserve">EV-GB-CTL-DP-02-202608</t>
  </si>
  <si>
    <t xml:space="preserve">T-0934</t>
  </si>
  <si>
    <t xml:space="preserve">T-0935</t>
  </si>
  <si>
    <t xml:space="preserve">Country Head of Credit – GB</t>
  </si>
  <si>
    <t xml:space="preserve">EV-GB-CTL-CR-01-202609</t>
  </si>
  <si>
    <t xml:space="preserve">T-0936</t>
  </si>
  <si>
    <t xml:space="preserve">Country CRO – GB</t>
  </si>
  <si>
    <t xml:space="preserve">EV-GB-CTL-CR-02-202604</t>
  </si>
  <si>
    <t xml:space="preserve">T-0937</t>
  </si>
  <si>
    <t xml:space="preserve">EV-GB-CTL-MR-01-202607</t>
  </si>
  <si>
    <t xml:space="preserve">T-0938</t>
  </si>
  <si>
    <t xml:space="preserve">Country Treasurer – GB</t>
  </si>
  <si>
    <t xml:space="preserve">EV-GB-CTL-LQ-01-202609</t>
  </si>
  <si>
    <t xml:space="preserve">T-0939</t>
  </si>
  <si>
    <t xml:space="preserve">Country BCM Lead – GB</t>
  </si>
  <si>
    <t xml:space="preserve">EV-GB-CTL-OR-01-202608</t>
  </si>
  <si>
    <t xml:space="preserve">T-0940</t>
  </si>
  <si>
    <t xml:space="preserve">EV-GB-CTL-OR-02-202511</t>
  </si>
  <si>
    <t xml:space="preserve">T-0941</t>
  </si>
  <si>
    <t xml:space="preserve">EV-GB-CTL-CY-01-202609</t>
  </si>
  <si>
    <t xml:space="preserve">T-0942</t>
  </si>
  <si>
    <t xml:space="preserve">EV-GB-CTL-CY-02-202607</t>
  </si>
  <si>
    <t xml:space="preserve">T-0943</t>
  </si>
  <si>
    <t xml:space="preserve">EV-GB-CTL-TP-01-202605</t>
  </si>
  <si>
    <t xml:space="preserve">T-0944</t>
  </si>
  <si>
    <t xml:space="preserve">Country Legal Counsel – GB</t>
  </si>
  <si>
    <t xml:space="preserve">EV-GB-CTL-LG-01-202601</t>
  </si>
  <si>
    <t xml:space="preserve">T-0945</t>
  </si>
  <si>
    <t xml:space="preserve">Head of Corporate Communications – GB</t>
  </si>
  <si>
    <t xml:space="preserve">EV-GB-CTL-RP-01-202605</t>
  </si>
  <si>
    <t xml:space="preserve">T-0946</t>
  </si>
  <si>
    <t xml:space="preserve">Country CEO – GB</t>
  </si>
  <si>
    <t xml:space="preserve">EV-GB-CTL-ST-01-202605</t>
  </si>
  <si>
    <t xml:space="preserve">T-0947</t>
  </si>
  <si>
    <t xml:space="preserve">Head of Operations – FR</t>
  </si>
  <si>
    <t xml:space="preserve">Compliance Monitoring &amp; Testing – FR</t>
  </si>
  <si>
    <t xml:space="preserve">EV-FR-CTL-KYC-01-202603</t>
  </si>
  <si>
    <t xml:space="preserve">T-0948</t>
  </si>
  <si>
    <t xml:space="preserve">Country CO – FR</t>
  </si>
  <si>
    <t xml:space="preserve">EV-FR-CTL-KYC-02-202607</t>
  </si>
  <si>
    <t xml:space="preserve">T-0949</t>
  </si>
  <si>
    <t xml:space="preserve">EV-FR-CTL-KYC-03-202604</t>
  </si>
  <si>
    <t xml:space="preserve">T-0950</t>
  </si>
  <si>
    <t xml:space="preserve">EV-FR-CTL-KYC-04-202507</t>
  </si>
  <si>
    <t xml:space="preserve">T-0951</t>
  </si>
  <si>
    <t xml:space="preserve">EV-FR-CTL-CRR-01-202604</t>
  </si>
  <si>
    <t xml:space="preserve">T-0952</t>
  </si>
  <si>
    <t xml:space="preserve">Country MLRO – FR</t>
  </si>
  <si>
    <t xml:space="preserve">EV-FR-CTL-TM-01-202609</t>
  </si>
  <si>
    <t xml:space="preserve">T-0953</t>
  </si>
  <si>
    <t xml:space="preserve">EV-FR-CTL-TM-02-202605</t>
  </si>
  <si>
    <t xml:space="preserve">T-0954</t>
  </si>
  <si>
    <t xml:space="preserve">EV-FR-CTL-STR-01-202605</t>
  </si>
  <si>
    <t xml:space="preserve">T-0955</t>
  </si>
  <si>
    <t xml:space="preserve">Country Sanctions Officer – FR</t>
  </si>
  <si>
    <t xml:space="preserve">EV-FR-CTL-SAN-01-202606</t>
  </si>
  <si>
    <t xml:space="preserve">T-0956</t>
  </si>
  <si>
    <t xml:space="preserve">EV-FR-CTL-SAN-02-202605</t>
  </si>
  <si>
    <t xml:space="preserve">T-0957</t>
  </si>
  <si>
    <t xml:space="preserve">Country Head of IT – FR</t>
  </si>
  <si>
    <t xml:space="preserve">EV-FR-CTL-SAN-03-202609</t>
  </si>
  <si>
    <t xml:space="preserve">T-0958</t>
  </si>
  <si>
    <t xml:space="preserve">Head of Retail – FR</t>
  </si>
  <si>
    <t xml:space="preserve">EV-FR-CTL-TF-01-202510</t>
  </si>
  <si>
    <t xml:space="preserve">T-0959</t>
  </si>
  <si>
    <t xml:space="preserve">Head of Trade Finance – FR</t>
  </si>
  <si>
    <t xml:space="preserve">EV-FR-CTL-TBML-01-202603</t>
  </si>
  <si>
    <t xml:space="preserve">T-0960</t>
  </si>
  <si>
    <t xml:space="preserve">EV-FR-CTL-PF-01-202609</t>
  </si>
  <si>
    <t xml:space="preserve">T-0961</t>
  </si>
  <si>
    <t xml:space="preserve">Head of FI Banking – FR</t>
  </si>
  <si>
    <t xml:space="preserve">EV-FR-CTL-CB-01-202608</t>
  </si>
  <si>
    <t xml:space="preserve">T-0962</t>
  </si>
  <si>
    <t xml:space="preserve">Head of Payments Operations – FR</t>
  </si>
  <si>
    <t xml:space="preserve">EV-FR-CTL-PAY-01-202606</t>
  </si>
  <si>
    <t xml:space="preserve">T-0963</t>
  </si>
  <si>
    <t xml:space="preserve">Head of Procurement – FR</t>
  </si>
  <si>
    <t xml:space="preserve">EV-FR-CTL-ABC-01-202608</t>
  </si>
  <si>
    <t xml:space="preserve">T-0964</t>
  </si>
  <si>
    <t xml:space="preserve">EV-FR-CTL-ABC-02-202508</t>
  </si>
  <si>
    <t xml:space="preserve">T-0965</t>
  </si>
  <si>
    <t xml:space="preserve">Head of Fraud Risk – FR</t>
  </si>
  <si>
    <t xml:space="preserve">EV-FR-CTL-FRD-01-202602</t>
  </si>
  <si>
    <t xml:space="preserve">T-0966</t>
  </si>
  <si>
    <t xml:space="preserve">EV-FR-CTL-FRD-02-202601</t>
  </si>
  <si>
    <t xml:space="preserve">T-0967</t>
  </si>
  <si>
    <t xml:space="preserve">Country Head of HR – FR</t>
  </si>
  <si>
    <t xml:space="preserve">EV-FR-CTL-FRD-03-202606</t>
  </si>
  <si>
    <t xml:space="preserve">T-0968</t>
  </si>
  <si>
    <t xml:space="preserve">EV-FR-CTL-TAX-01-202606</t>
  </si>
  <si>
    <t xml:space="preserve">T-0969</t>
  </si>
  <si>
    <t xml:space="preserve">Country CFO – FR</t>
  </si>
  <si>
    <t xml:space="preserve">EV-FR-CTL-TAX-02-202606</t>
  </si>
  <si>
    <t xml:space="preserve">T-0970</t>
  </si>
  <si>
    <t xml:space="preserve">EV-FR-CTL-TRN-01-202605</t>
  </si>
  <si>
    <t xml:space="preserve">T-0971</t>
  </si>
  <si>
    <t xml:space="preserve">EV-FR-CTL-REG-01-202609</t>
  </si>
  <si>
    <t xml:space="preserve">T-0972</t>
  </si>
  <si>
    <t xml:space="preserve">EV-FR-CTL-REG-02-202605</t>
  </si>
  <si>
    <t xml:space="preserve">T-0973</t>
  </si>
  <si>
    <t xml:space="preserve">EV-FR-CTL-CON-01-202609</t>
  </si>
  <si>
    <t xml:space="preserve">T-0974</t>
  </si>
  <si>
    <t xml:space="preserve">Head of Customer Experience – FR</t>
  </si>
  <si>
    <t xml:space="preserve">EV-FR-CTL-CON-02-202608</t>
  </si>
  <si>
    <t xml:space="preserve">T-0975</t>
  </si>
  <si>
    <t xml:space="preserve">Country DPO – FR</t>
  </si>
  <si>
    <t xml:space="preserve">EV-FR-CTL-DP-01-202609</t>
  </si>
  <si>
    <t xml:space="preserve">T-0976</t>
  </si>
  <si>
    <t xml:space="preserve">Country ISO – FR</t>
  </si>
  <si>
    <t xml:space="preserve">T-0977</t>
  </si>
  <si>
    <t xml:space="preserve">T-0978</t>
  </si>
  <si>
    <t xml:space="preserve">Country Head of Credit – FR</t>
  </si>
  <si>
    <t xml:space="preserve">EV-FR-CTL-CR-01-202608</t>
  </si>
  <si>
    <t xml:space="preserve">T-0979</t>
  </si>
  <si>
    <t xml:space="preserve">Country CRO – FR</t>
  </si>
  <si>
    <t xml:space="preserve">EV-FR-CTL-CR-02-202511</t>
  </si>
  <si>
    <t xml:space="preserve">T-0980</t>
  </si>
  <si>
    <t xml:space="preserve">EV-FR-CTL-MR-01-202604</t>
  </si>
  <si>
    <t xml:space="preserve">T-0981</t>
  </si>
  <si>
    <t xml:space="preserve">Country Treasurer – FR</t>
  </si>
  <si>
    <t xml:space="preserve">T-0982</t>
  </si>
  <si>
    <t xml:space="preserve">Country BCM Lead – FR</t>
  </si>
  <si>
    <t xml:space="preserve">EV-FR-CTL-OR-01-202609</t>
  </si>
  <si>
    <t xml:space="preserve">T-0983</t>
  </si>
  <si>
    <t xml:space="preserve">EV-FR-CTL-OR-02-202607</t>
  </si>
  <si>
    <t xml:space="preserve">T-0984</t>
  </si>
  <si>
    <t xml:space="preserve">EV-FR-CTL-CY-01-202605</t>
  </si>
  <si>
    <t xml:space="preserve">T-0985</t>
  </si>
  <si>
    <t xml:space="preserve">EV-FR-CTL-CY-02-202605</t>
  </si>
  <si>
    <t xml:space="preserve">T-0986</t>
  </si>
  <si>
    <t xml:space="preserve">EV-FR-CTL-TP-01-202601</t>
  </si>
  <si>
    <t xml:space="preserve">T-0987</t>
  </si>
  <si>
    <t xml:space="preserve">Country Legal Counsel – FR</t>
  </si>
  <si>
    <t xml:space="preserve">EV-FR-CTL-LG-01-202511</t>
  </si>
  <si>
    <t xml:space="preserve">T-0988</t>
  </si>
  <si>
    <t xml:space="preserve">Head of Corporate Communications – FR</t>
  </si>
  <si>
    <t xml:space="preserve">EV-FR-CTL-RP-01-202609</t>
  </si>
  <si>
    <t xml:space="preserve">T-0989</t>
  </si>
  <si>
    <t xml:space="preserve">Country CEO – FR</t>
  </si>
  <si>
    <t xml:space="preserve">EV-FR-CTL-ST-01-202607</t>
  </si>
  <si>
    <t xml:space="preserve">T-0990</t>
  </si>
  <si>
    <t xml:space="preserve">Head of Operations – DE</t>
  </si>
  <si>
    <t xml:space="preserve">Compliance Monitoring &amp; Testing – DE</t>
  </si>
  <si>
    <t xml:space="preserve">EV-DE-CTL-KYC-01-202607</t>
  </si>
  <si>
    <t xml:space="preserve">T-0991</t>
  </si>
  <si>
    <t xml:space="preserve">Country CO – DE</t>
  </si>
  <si>
    <t xml:space="preserve">EV-DE-CTL-KYC-02-202608</t>
  </si>
  <si>
    <t xml:space="preserve">T-0992</t>
  </si>
  <si>
    <t xml:space="preserve">EV-DE-CTL-KYC-03-202606</t>
  </si>
  <si>
    <t xml:space="preserve">T-0993</t>
  </si>
  <si>
    <t xml:space="preserve">EV-DE-CTL-KYC-04-202604</t>
  </si>
  <si>
    <t xml:space="preserve">T-0994</t>
  </si>
  <si>
    <t xml:space="preserve">EV-DE-CTL-CRR-01-202603</t>
  </si>
  <si>
    <t xml:space="preserve">T-0995</t>
  </si>
  <si>
    <t xml:space="preserve">Country MLRO – DE</t>
  </si>
  <si>
    <t xml:space="preserve">EV-DE-CTL-TM-01-202603</t>
  </si>
  <si>
    <t xml:space="preserve">T-0996</t>
  </si>
  <si>
    <t xml:space="preserve">EV-DE-CTL-TM-02-202608</t>
  </si>
  <si>
    <t xml:space="preserve">T-0997</t>
  </si>
  <si>
    <t xml:space="preserve">EV-DE-CTL-STR-01-202606</t>
  </si>
  <si>
    <t xml:space="preserve">T-0998</t>
  </si>
  <si>
    <t xml:space="preserve">Country Sanctions Officer – DE</t>
  </si>
  <si>
    <t xml:space="preserve">EV-DE-CTL-SAN-01-202602</t>
  </si>
  <si>
    <t xml:space="preserve">T-0999</t>
  </si>
  <si>
    <t xml:space="preserve">EV-DE-CTL-SAN-02-202607</t>
  </si>
  <si>
    <t xml:space="preserve">T-1000</t>
  </si>
  <si>
    <t xml:space="preserve">Country Head of IT – DE</t>
  </si>
  <si>
    <t xml:space="preserve">EV-DE-CTL-SAN-03-202604</t>
  </si>
  <si>
    <t xml:space="preserve">T-1001</t>
  </si>
  <si>
    <t xml:space="preserve">Head of Retail – DE</t>
  </si>
  <si>
    <t xml:space="preserve">EV-DE-CTL-TF-01-202507</t>
  </si>
  <si>
    <t xml:space="preserve">T-1002</t>
  </si>
  <si>
    <t xml:space="preserve">Head of Trade Finance – DE</t>
  </si>
  <si>
    <t xml:space="preserve">EV-DE-CTL-TBML-01-202608</t>
  </si>
  <si>
    <t xml:space="preserve">T-1003</t>
  </si>
  <si>
    <t xml:space="preserve">EV-DE-CTL-PF-01-202604</t>
  </si>
  <si>
    <t xml:space="preserve">T-1004</t>
  </si>
  <si>
    <t xml:space="preserve">Head of FI Banking – DE</t>
  </si>
  <si>
    <t xml:space="preserve">EV-DE-CTL-CB-01-202603</t>
  </si>
  <si>
    <t xml:space="preserve">T-1005</t>
  </si>
  <si>
    <t xml:space="preserve">Head of Payments Operations – DE</t>
  </si>
  <si>
    <t xml:space="preserve">EV-DE-CTL-PAY-01-202502</t>
  </si>
  <si>
    <t xml:space="preserve">T-1006</t>
  </si>
  <si>
    <t xml:space="preserve">Head of Procurement – DE</t>
  </si>
  <si>
    <t xml:space="preserve">EV-DE-CTL-ABC-01-202512</t>
  </si>
  <si>
    <t xml:space="preserve">T-1007</t>
  </si>
  <si>
    <t xml:space="preserve">EV-DE-CTL-ABC-02-202603</t>
  </si>
  <si>
    <t xml:space="preserve">T-1008</t>
  </si>
  <si>
    <t xml:space="preserve">Head of Fraud Risk – DE</t>
  </si>
  <si>
    <t xml:space="preserve">EV-DE-CTL-FRD-01-202605</t>
  </si>
  <si>
    <t xml:space="preserve">T-1009</t>
  </si>
  <si>
    <t xml:space="preserve">EV-DE-CTL-FRD-02-202604</t>
  </si>
  <si>
    <t xml:space="preserve">T-1010</t>
  </si>
  <si>
    <t xml:space="preserve">Country Head of HR – DE</t>
  </si>
  <si>
    <t xml:space="preserve">EV-DE-CTL-FRD-03-202509</t>
  </si>
  <si>
    <t xml:space="preserve">T-1011</t>
  </si>
  <si>
    <t xml:space="preserve">EV-DE-CTL-TAX-01-202606</t>
  </si>
  <si>
    <t xml:space="preserve">T-1012</t>
  </si>
  <si>
    <t xml:space="preserve">Country CFO – DE</t>
  </si>
  <si>
    <t xml:space="preserve">EV-DE-CTL-TAX-02-202510</t>
  </si>
  <si>
    <t xml:space="preserve">T-1013</t>
  </si>
  <si>
    <t xml:space="preserve">EV-DE-CTL-TRN-01-202411</t>
  </si>
  <si>
    <t xml:space="preserve">T-1014</t>
  </si>
  <si>
    <t xml:space="preserve">EV-DE-CTL-REG-01-202605</t>
  </si>
  <si>
    <t xml:space="preserve">T-1015</t>
  </si>
  <si>
    <t xml:space="preserve">EV-DE-CTL-REG-02-202606</t>
  </si>
  <si>
    <t xml:space="preserve">T-1016</t>
  </si>
  <si>
    <t xml:space="preserve">EV-DE-CTL-CON-01-202606</t>
  </si>
  <si>
    <t xml:space="preserve">T-1017</t>
  </si>
  <si>
    <t xml:space="preserve">Head of Customer Experience – DE</t>
  </si>
  <si>
    <t xml:space="preserve">EV-DE-CTL-CON-02-202602</t>
  </si>
  <si>
    <t xml:space="preserve">T-1018</t>
  </si>
  <si>
    <t xml:space="preserve">Country DPO – DE</t>
  </si>
  <si>
    <t xml:space="preserve">EV-DE-CTL-DP-01-202606</t>
  </si>
  <si>
    <t xml:space="preserve">T-1019</t>
  </si>
  <si>
    <t xml:space="preserve">Country ISO – DE</t>
  </si>
  <si>
    <t xml:space="preserve">EV-DE-CTL-DP-02-202511</t>
  </si>
  <si>
    <t xml:space="preserve">T-1020</t>
  </si>
  <si>
    <t xml:space="preserve">T-1021</t>
  </si>
  <si>
    <t xml:space="preserve">Country Head of Credit – DE</t>
  </si>
  <si>
    <t xml:space="preserve">EV-DE-CTL-CR-01-202608</t>
  </si>
  <si>
    <t xml:space="preserve">T-1022</t>
  </si>
  <si>
    <t xml:space="preserve">Country CRO – DE</t>
  </si>
  <si>
    <t xml:space="preserve">EV-DE-CTL-CR-02-202512</t>
  </si>
  <si>
    <t xml:space="preserve">T-1023</t>
  </si>
  <si>
    <t xml:space="preserve">EV-DE-CTL-MR-01-202608</t>
  </si>
  <si>
    <t xml:space="preserve">T-1024</t>
  </si>
  <si>
    <t xml:space="preserve">Country Treasurer – DE</t>
  </si>
  <si>
    <t xml:space="preserve">EV-DE-CTL-LQ-01-202606</t>
  </si>
  <si>
    <t xml:space="preserve">T-1025</t>
  </si>
  <si>
    <t xml:space="preserve">Country BCM Lead – DE</t>
  </si>
  <si>
    <t xml:space="preserve">EV-DE-CTL-OR-01-202601</t>
  </si>
  <si>
    <t xml:space="preserve">T-1026</t>
  </si>
  <si>
    <t xml:space="preserve">EV-DE-CTL-OR-02-202603</t>
  </si>
  <si>
    <t xml:space="preserve">T-1027</t>
  </si>
  <si>
    <t xml:space="preserve">EV-DE-CTL-CY-01-202607</t>
  </si>
  <si>
    <t xml:space="preserve">T-1028</t>
  </si>
  <si>
    <t xml:space="preserve">EV-DE-CTL-CY-02-202603</t>
  </si>
  <si>
    <t xml:space="preserve">T-1029</t>
  </si>
  <si>
    <t xml:space="preserve">EV-DE-CTL-TP-01-202606</t>
  </si>
  <si>
    <t xml:space="preserve">T-1030</t>
  </si>
  <si>
    <t xml:space="preserve">Country Legal Counsel – DE</t>
  </si>
  <si>
    <t xml:space="preserve">EV-DE-CTL-LG-01-202604</t>
  </si>
  <si>
    <t xml:space="preserve">T-1031</t>
  </si>
  <si>
    <t xml:space="preserve">Head of Corporate Communications – DE</t>
  </si>
  <si>
    <t xml:space="preserve">EV-DE-CTL-RP-01-202605</t>
  </si>
  <si>
    <t xml:space="preserve">T-1032</t>
  </si>
  <si>
    <t xml:space="preserve">Country CEO – DE</t>
  </si>
  <si>
    <t xml:space="preserve">EV-DE-CTL-ST-01-202606</t>
  </si>
  <si>
    <t xml:space="preserve">T-1033</t>
  </si>
  <si>
    <t xml:space="preserve">Head of Operations – IT</t>
  </si>
  <si>
    <t xml:space="preserve">Compliance Monitoring &amp; Testing – IT</t>
  </si>
  <si>
    <t xml:space="preserve">EV-IT-CTL-KYC-01-202604</t>
  </si>
  <si>
    <t xml:space="preserve">T-1034</t>
  </si>
  <si>
    <t xml:space="preserve">Country CO – IT</t>
  </si>
  <si>
    <t xml:space="preserve">EV-IT-CTL-KYC-02-202608</t>
  </si>
  <si>
    <t xml:space="preserve">T-1035</t>
  </si>
  <si>
    <t xml:space="preserve">EV-IT-CTL-KYC-03-202608</t>
  </si>
  <si>
    <t xml:space="preserve">T-1036</t>
  </si>
  <si>
    <t xml:space="preserve">EV-IT-CTL-KYC-04-202604</t>
  </si>
  <si>
    <t xml:space="preserve">T-1037</t>
  </si>
  <si>
    <t xml:space="preserve">EV-IT-CTL-CRR-01-202407</t>
  </si>
  <si>
    <t xml:space="preserve">T-1038</t>
  </si>
  <si>
    <t xml:space="preserve">Country MLRO – IT</t>
  </si>
  <si>
    <t xml:space="preserve">EV-IT-CTL-TM-01-202607</t>
  </si>
  <si>
    <t xml:space="preserve">T-1039</t>
  </si>
  <si>
    <t xml:space="preserve">EV-IT-CTL-TM-02-202609</t>
  </si>
  <si>
    <t xml:space="preserve">T-1040</t>
  </si>
  <si>
    <t xml:space="preserve">EV-IT-CTL-STR-01-202604</t>
  </si>
  <si>
    <t xml:space="preserve">T-1041</t>
  </si>
  <si>
    <t xml:space="preserve">Country Sanctions Officer – IT</t>
  </si>
  <si>
    <t xml:space="preserve">EV-IT-CTL-SAN-01-202601</t>
  </si>
  <si>
    <t xml:space="preserve">T-1042</t>
  </si>
  <si>
    <t xml:space="preserve">EV-IT-CTL-SAN-02-202608</t>
  </si>
  <si>
    <t xml:space="preserve">T-1043</t>
  </si>
  <si>
    <t xml:space="preserve">Country Head of IT – IT</t>
  </si>
  <si>
    <t xml:space="preserve">EV-IT-CTL-SAN-03-202408</t>
  </si>
  <si>
    <t xml:space="preserve">T-1044</t>
  </si>
  <si>
    <t xml:space="preserve">Head of Retail – IT</t>
  </si>
  <si>
    <t xml:space="preserve">EV-IT-CTL-TF-01-202608</t>
  </si>
  <si>
    <t xml:space="preserve">T-1045</t>
  </si>
  <si>
    <t xml:space="preserve">Head of Trade Finance – IT</t>
  </si>
  <si>
    <t xml:space="preserve">EV-IT-CTL-TBML-01-202609</t>
  </si>
  <si>
    <t xml:space="preserve">T-1046</t>
  </si>
  <si>
    <t xml:space="preserve">EV-IT-CTL-PF-01-202602</t>
  </si>
  <si>
    <t xml:space="preserve">T-1047</t>
  </si>
  <si>
    <t xml:space="preserve">Head of FI Banking – IT</t>
  </si>
  <si>
    <t xml:space="preserve">EV-IT-CTL-CB-01-202608</t>
  </si>
  <si>
    <t xml:space="preserve">T-1048</t>
  </si>
  <si>
    <t xml:space="preserve">Head of Payments Operations – IT</t>
  </si>
  <si>
    <t xml:space="preserve">EV-IT-CTL-PAY-01-202510</t>
  </si>
  <si>
    <t xml:space="preserve">T-1049</t>
  </si>
  <si>
    <t xml:space="preserve">Head of Procurement – IT</t>
  </si>
  <si>
    <t xml:space="preserve">EV-IT-CTL-ABC-01-202507</t>
  </si>
  <si>
    <t xml:space="preserve">T-1050</t>
  </si>
  <si>
    <t xml:space="preserve">EV-IT-CTL-ABC-02-202604</t>
  </si>
  <si>
    <t xml:space="preserve">T-1051</t>
  </si>
  <si>
    <t xml:space="preserve">Head of Fraud Risk – IT</t>
  </si>
  <si>
    <t xml:space="preserve">EV-IT-CTL-FRD-01-202512</t>
  </si>
  <si>
    <t xml:space="preserve">T-1052</t>
  </si>
  <si>
    <t xml:space="preserve">EV-IT-CTL-FRD-02-202601</t>
  </si>
  <si>
    <t xml:space="preserve">T-1053</t>
  </si>
  <si>
    <t xml:space="preserve">Country Head of HR – IT</t>
  </si>
  <si>
    <t xml:space="preserve">EV-IT-CTL-FRD-03-202602</t>
  </si>
  <si>
    <t xml:space="preserve">T-1054</t>
  </si>
  <si>
    <t xml:space="preserve">EV-IT-CTL-TAX-01-202607</t>
  </si>
  <si>
    <t xml:space="preserve">T-1055</t>
  </si>
  <si>
    <t xml:space="preserve">Country CFO – IT</t>
  </si>
  <si>
    <t xml:space="preserve">EV-IT-CTL-TAX-02-202603</t>
  </si>
  <si>
    <t xml:space="preserve">T-1056</t>
  </si>
  <si>
    <t xml:space="preserve">EV-IT-CTL-TRN-01-202501</t>
  </si>
  <si>
    <t xml:space="preserve">T-1057</t>
  </si>
  <si>
    <t xml:space="preserve">EV-IT-CTL-REG-01-202607</t>
  </si>
  <si>
    <t xml:space="preserve">T-1058</t>
  </si>
  <si>
    <t xml:space="preserve">EV-IT-CTL-REG-02-202601</t>
  </si>
  <si>
    <t xml:space="preserve">T-1059</t>
  </si>
  <si>
    <t xml:space="preserve">EV-IT-CTL-CON-01-202512</t>
  </si>
  <si>
    <t xml:space="preserve">T-1060</t>
  </si>
  <si>
    <t xml:space="preserve">Head of Customer Experience – IT</t>
  </si>
  <si>
    <t xml:space="preserve">EV-IT-CTL-CON-02-202504</t>
  </si>
  <si>
    <t xml:space="preserve">T-1061</t>
  </si>
  <si>
    <t xml:space="preserve">Country DPO – IT</t>
  </si>
  <si>
    <t xml:space="preserve">EV-IT-CTL-DP-01-202603</t>
  </si>
  <si>
    <t xml:space="preserve">T-1062</t>
  </si>
  <si>
    <t xml:space="preserve">Country ISO – IT</t>
  </si>
  <si>
    <t xml:space="preserve">EV-IT-CTL-DP-02-202602</t>
  </si>
  <si>
    <t xml:space="preserve">T-1063</t>
  </si>
  <si>
    <t xml:space="preserve">T-1064</t>
  </si>
  <si>
    <t xml:space="preserve">Country Head of Credit – IT</t>
  </si>
  <si>
    <t xml:space="preserve">EV-IT-CTL-CR-01-202606</t>
  </si>
  <si>
    <t xml:space="preserve">T-1065</t>
  </si>
  <si>
    <t xml:space="preserve">Country CRO – IT</t>
  </si>
  <si>
    <t xml:space="preserve">EV-IT-CTL-CR-02-202604</t>
  </si>
  <si>
    <t xml:space="preserve">T-1066</t>
  </si>
  <si>
    <t xml:space="preserve">EV-IT-CTL-MR-01-202609</t>
  </si>
  <si>
    <t xml:space="preserve">T-1067</t>
  </si>
  <si>
    <t xml:space="preserve">Country Treasurer – IT</t>
  </si>
  <si>
    <t xml:space="preserve">EV-IT-CTL-LQ-01-202607</t>
  </si>
  <si>
    <t xml:space="preserve">T-1068</t>
  </si>
  <si>
    <t xml:space="preserve">Country BCM Lead – IT</t>
  </si>
  <si>
    <t xml:space="preserve">EV-IT-CTL-OR-01-202606</t>
  </si>
  <si>
    <t xml:space="preserve">T-1069</t>
  </si>
  <si>
    <t xml:space="preserve">EV-IT-CTL-OR-02-202407</t>
  </si>
  <si>
    <t xml:space="preserve">T-1070</t>
  </si>
  <si>
    <t xml:space="preserve">EV-IT-CTL-CY-01-202607</t>
  </si>
  <si>
    <t xml:space="preserve">T-1071</t>
  </si>
  <si>
    <t xml:space="preserve">EV-IT-CTL-CY-02-202601</t>
  </si>
  <si>
    <t xml:space="preserve">T-1072</t>
  </si>
  <si>
    <t xml:space="preserve">EV-IT-CTL-TP-01-202608</t>
  </si>
  <si>
    <t xml:space="preserve">T-1073</t>
  </si>
  <si>
    <t xml:space="preserve">Country Legal Counsel – IT</t>
  </si>
  <si>
    <t xml:space="preserve">EV-IT-CTL-LG-01-202608</t>
  </si>
  <si>
    <t xml:space="preserve">T-1074</t>
  </si>
  <si>
    <t xml:space="preserve">Head of Corporate Communications – IT</t>
  </si>
  <si>
    <t xml:space="preserve">EV-IT-CTL-RP-01-202606</t>
  </si>
  <si>
    <t xml:space="preserve">T-1075</t>
  </si>
  <si>
    <t xml:space="preserve">Country CEO – IT</t>
  </si>
  <si>
    <t xml:space="preserve">EV-IT-CTL-ST-01-202512</t>
  </si>
  <si>
    <t xml:space="preserve">T-1076</t>
  </si>
  <si>
    <t xml:space="preserve">Head of Operations – CH</t>
  </si>
  <si>
    <t xml:space="preserve">EV-CH-CTL-KYC-01-202608</t>
  </si>
  <si>
    <t xml:space="preserve">T-1077</t>
  </si>
  <si>
    <t xml:space="preserve">Country CO – CH</t>
  </si>
  <si>
    <t xml:space="preserve">EV-CH-CTL-KYC-02-202607</t>
  </si>
  <si>
    <t xml:space="preserve">T-1078</t>
  </si>
  <si>
    <t xml:space="preserve">EV-CH-CTL-KYC-03-202608</t>
  </si>
  <si>
    <t xml:space="preserve">T-1079</t>
  </si>
  <si>
    <t xml:space="preserve">EV-CH-CTL-KYC-04-202608</t>
  </si>
  <si>
    <t xml:space="preserve">T-1080</t>
  </si>
  <si>
    <t xml:space="preserve">Compliance Monitoring &amp; Testing – CH</t>
  </si>
  <si>
    <t xml:space="preserve">EV-CH-CTL-CRR-01-202603</t>
  </si>
  <si>
    <t xml:space="preserve">T-1081</t>
  </si>
  <si>
    <t xml:space="preserve">Country MLRO – CH</t>
  </si>
  <si>
    <t xml:space="preserve">EV-CH-CTL-TM-01-202608</t>
  </si>
  <si>
    <t xml:space="preserve">T-1082</t>
  </si>
  <si>
    <t xml:space="preserve">EV-CH-CTL-TM-02-202609</t>
  </si>
  <si>
    <t xml:space="preserve">T-1083</t>
  </si>
  <si>
    <t xml:space="preserve">EV-CH-CTL-STR-01-202608</t>
  </si>
  <si>
    <t xml:space="preserve">T-1084</t>
  </si>
  <si>
    <t xml:space="preserve">Country Sanctions Officer – CH</t>
  </si>
  <si>
    <t xml:space="preserve">EV-CH-CTL-SAN-01-202609</t>
  </si>
  <si>
    <t xml:space="preserve">T-1085</t>
  </si>
  <si>
    <t xml:space="preserve">EV-CH-CTL-SAN-02-202608</t>
  </si>
  <si>
    <t xml:space="preserve">T-1086</t>
  </si>
  <si>
    <t xml:space="preserve">Country Head of IT – CH</t>
  </si>
  <si>
    <t xml:space="preserve">EV-CH-CTL-SAN-03-202602</t>
  </si>
  <si>
    <t xml:space="preserve">T-1087</t>
  </si>
  <si>
    <t xml:space="preserve">Head of Retail – CH</t>
  </si>
  <si>
    <t xml:space="preserve">EV-CH-CTL-TF-01-202603</t>
  </si>
  <si>
    <t xml:space="preserve">T-1088</t>
  </si>
  <si>
    <t xml:space="preserve">Head of Trade Finance – CH</t>
  </si>
  <si>
    <t xml:space="preserve">EV-CH-CTL-TBML-01-202608</t>
  </si>
  <si>
    <t xml:space="preserve">T-1089</t>
  </si>
  <si>
    <t xml:space="preserve">EV-CH-CTL-PF-01-202605</t>
  </si>
  <si>
    <t xml:space="preserve">T-1090</t>
  </si>
  <si>
    <t xml:space="preserve">Head of FI Banking – CH</t>
  </si>
  <si>
    <t xml:space="preserve">EV-CH-CTL-CB-01-202607</t>
  </si>
  <si>
    <t xml:space="preserve">T-1091</t>
  </si>
  <si>
    <t xml:space="preserve">Head of Payments Operations – CH</t>
  </si>
  <si>
    <t xml:space="preserve">EV-CH-CTL-PAY-01-202606</t>
  </si>
  <si>
    <t xml:space="preserve">T-1092</t>
  </si>
  <si>
    <t xml:space="preserve">Head of Procurement – CH</t>
  </si>
  <si>
    <t xml:space="preserve">EV-CH-CTL-ABC-01-202609</t>
  </si>
  <si>
    <t xml:space="preserve">T-1093</t>
  </si>
  <si>
    <t xml:space="preserve">EV-CH-CTL-ABC-02-202605</t>
  </si>
  <si>
    <t xml:space="preserve">T-1094</t>
  </si>
  <si>
    <t xml:space="preserve">Head of Fraud Risk – CH</t>
  </si>
  <si>
    <t xml:space="preserve">EV-CH-CTL-FRD-01-202605</t>
  </si>
  <si>
    <t xml:space="preserve">T-1095</t>
  </si>
  <si>
    <t xml:space="preserve">EV-CH-CTL-FRD-02-202608</t>
  </si>
  <si>
    <t xml:space="preserve">T-1096</t>
  </si>
  <si>
    <t xml:space="preserve">Country Head of HR – CH</t>
  </si>
  <si>
    <t xml:space="preserve">EV-CH-CTL-FRD-03-202604</t>
  </si>
  <si>
    <t xml:space="preserve">T-1097</t>
  </si>
  <si>
    <t xml:space="preserve">EV-CH-CTL-TAX-01-202609</t>
  </si>
  <si>
    <t xml:space="preserve">T-1098</t>
  </si>
  <si>
    <t xml:space="preserve">Country CFO – CH</t>
  </si>
  <si>
    <t xml:space="preserve">EV-CH-CTL-TAX-02-202605</t>
  </si>
  <si>
    <t xml:space="preserve">T-1099</t>
  </si>
  <si>
    <t xml:space="preserve">EV-CH-CTL-TRN-01-202601</t>
  </si>
  <si>
    <t xml:space="preserve">T-1100</t>
  </si>
  <si>
    <t xml:space="preserve">EV-CH-CTL-REG-01-202608</t>
  </si>
  <si>
    <t xml:space="preserve">T-1101</t>
  </si>
  <si>
    <t xml:space="preserve">EV-CH-CTL-REG-02-202606</t>
  </si>
  <si>
    <t xml:space="preserve">T-1102</t>
  </si>
  <si>
    <t xml:space="preserve">EV-CH-CTL-CON-01-202606</t>
  </si>
  <si>
    <t xml:space="preserve">T-1103</t>
  </si>
  <si>
    <t xml:space="preserve">Head of Customer Experience – CH</t>
  </si>
  <si>
    <t xml:space="preserve">EV-CH-CTL-CON-02-202609</t>
  </si>
  <si>
    <t xml:space="preserve">T-1104</t>
  </si>
  <si>
    <t xml:space="preserve">Country DPO – CH</t>
  </si>
  <si>
    <t xml:space="preserve">EV-CH-CTL-DP-01-202607</t>
  </si>
  <si>
    <t xml:space="preserve">T-1105</t>
  </si>
  <si>
    <t xml:space="preserve">Country ISO – CH</t>
  </si>
  <si>
    <t xml:space="preserve">EV-CH-CTL-DP-02-202605</t>
  </si>
  <si>
    <t xml:space="preserve">T-1106</t>
  </si>
  <si>
    <t xml:space="preserve">T-1107</t>
  </si>
  <si>
    <t xml:space="preserve">Country Head of Credit – CH</t>
  </si>
  <si>
    <t xml:space="preserve">EV-CH-CTL-CR-01-202607</t>
  </si>
  <si>
    <t xml:space="preserve">T-1108</t>
  </si>
  <si>
    <t xml:space="preserve">Country CRO – CH</t>
  </si>
  <si>
    <t xml:space="preserve">EV-CH-CTL-CR-02-202601</t>
  </si>
  <si>
    <t xml:space="preserve">T-1109</t>
  </si>
  <si>
    <t xml:space="preserve">EV-CH-CTL-MR-01-202608</t>
  </si>
  <si>
    <t xml:space="preserve">T-1110</t>
  </si>
  <si>
    <t xml:space="preserve">Country Treasurer – CH</t>
  </si>
  <si>
    <t xml:space="preserve">EV-CH-CTL-LQ-01-202607</t>
  </si>
  <si>
    <t xml:space="preserve">T-1111</t>
  </si>
  <si>
    <t xml:space="preserve">Country BCM Lead – CH</t>
  </si>
  <si>
    <t xml:space="preserve">EV-CH-CTL-OR-01-202608</t>
  </si>
  <si>
    <t xml:space="preserve">T-1112</t>
  </si>
  <si>
    <t xml:space="preserve">EV-CH-CTL-OR-02-202605</t>
  </si>
  <si>
    <t xml:space="preserve">T-1113</t>
  </si>
  <si>
    <t xml:space="preserve">EV-CH-CTL-CY-01-202606</t>
  </si>
  <si>
    <t xml:space="preserve">T-1114</t>
  </si>
  <si>
    <t xml:space="preserve">EV-CH-CTL-CY-02-202605</t>
  </si>
  <si>
    <t xml:space="preserve">T-1115</t>
  </si>
  <si>
    <t xml:space="preserve">EV-CH-CTL-TP-01-202605</t>
  </si>
  <si>
    <t xml:space="preserve">T-1116</t>
  </si>
  <si>
    <t xml:space="preserve">Country Legal Counsel – CH</t>
  </si>
  <si>
    <t xml:space="preserve">EV-CH-CTL-LG-01-202608</t>
  </si>
  <si>
    <t xml:space="preserve">T-1117</t>
  </si>
  <si>
    <t xml:space="preserve">Head of Corporate Communications – CH</t>
  </si>
  <si>
    <t xml:space="preserve">EV-CH-CTL-RP-01-202604</t>
  </si>
  <si>
    <t xml:space="preserve">T-1118</t>
  </si>
  <si>
    <t xml:space="preserve">Country CEO – CH</t>
  </si>
  <si>
    <t xml:space="preserve">EV-CH-CTL-ST-01-202607</t>
  </si>
  <si>
    <t xml:space="preserve">T-1119</t>
  </si>
  <si>
    <t xml:space="preserve">Head of Operations – SG</t>
  </si>
  <si>
    <t xml:space="preserve">Compliance Monitoring &amp; Testing – SG</t>
  </si>
  <si>
    <t xml:space="preserve">EV-SG-CTL-KYC-01-202605</t>
  </si>
  <si>
    <t xml:space="preserve">T-1120</t>
  </si>
  <si>
    <t xml:space="preserve">Country CO – SG</t>
  </si>
  <si>
    <t xml:space="preserve">EV-SG-CTL-KYC-02-202607</t>
  </si>
  <si>
    <t xml:space="preserve">T-1121</t>
  </si>
  <si>
    <t xml:space="preserve">EV-SG-CTL-KYC-03-202512</t>
  </si>
  <si>
    <t xml:space="preserve">T-1122</t>
  </si>
  <si>
    <t xml:space="preserve">EV-SG-CTL-KYC-04-202608</t>
  </si>
  <si>
    <t xml:space="preserve">T-1123</t>
  </si>
  <si>
    <t xml:space="preserve">EV-SG-CTL-CRR-01-202608</t>
  </si>
  <si>
    <t xml:space="preserve">T-1124</t>
  </si>
  <si>
    <t xml:space="preserve">Country MLRO – SG</t>
  </si>
  <si>
    <t xml:space="preserve">EV-SG-CTL-TM-01-202607</t>
  </si>
  <si>
    <t xml:space="preserve">T-1125</t>
  </si>
  <si>
    <t xml:space="preserve">EV-SG-CTL-TM-02-202608</t>
  </si>
  <si>
    <t xml:space="preserve">T-1126</t>
  </si>
  <si>
    <t xml:space="preserve">EV-SG-CTL-STR-01-202603</t>
  </si>
  <si>
    <t xml:space="preserve">T-1127</t>
  </si>
  <si>
    <t xml:space="preserve">Country Sanctions Officer – SG</t>
  </si>
  <si>
    <t xml:space="preserve">EV-SG-CTL-SAN-01-202602</t>
  </si>
  <si>
    <t xml:space="preserve">T-1128</t>
  </si>
  <si>
    <t xml:space="preserve">EV-SG-CTL-SAN-02-202604</t>
  </si>
  <si>
    <t xml:space="preserve">T-1129</t>
  </si>
  <si>
    <t xml:space="preserve">Country Head of IT – SG</t>
  </si>
  <si>
    <t xml:space="preserve">EV-SG-CTL-SAN-03-202601</t>
  </si>
  <si>
    <t xml:space="preserve">T-1130</t>
  </si>
  <si>
    <t xml:space="preserve">Head of Retail – SG</t>
  </si>
  <si>
    <t xml:space="preserve">EV-SG-CTL-TF-01-202512</t>
  </si>
  <si>
    <t xml:space="preserve">T-1131</t>
  </si>
  <si>
    <t xml:space="preserve">Head of Trade Finance – SG</t>
  </si>
  <si>
    <t xml:space="preserve">EV-SG-CTL-TBML-01-202609</t>
  </si>
  <si>
    <t xml:space="preserve">T-1132</t>
  </si>
  <si>
    <t xml:space="preserve">EV-SG-CTL-PF-01-202606</t>
  </si>
  <si>
    <t xml:space="preserve">T-1133</t>
  </si>
  <si>
    <t xml:space="preserve">Head of FI Banking – SG</t>
  </si>
  <si>
    <t xml:space="preserve">EV-SG-CTL-CB-01-202602</t>
  </si>
  <si>
    <t xml:space="preserve">T-1134</t>
  </si>
  <si>
    <t xml:space="preserve">Head of Payments Operations – SG</t>
  </si>
  <si>
    <t xml:space="preserve">EV-SG-CTL-PAY-01-202512</t>
  </si>
  <si>
    <t xml:space="preserve">T-1135</t>
  </si>
  <si>
    <t xml:space="preserve">Head of Procurement – SG</t>
  </si>
  <si>
    <t xml:space="preserve">EV-SG-CTL-ABC-01-202608</t>
  </si>
  <si>
    <t xml:space="preserve">T-1136</t>
  </si>
  <si>
    <t xml:space="preserve">EV-SG-CTL-ABC-02-202605</t>
  </si>
  <si>
    <t xml:space="preserve">T-1137</t>
  </si>
  <si>
    <t xml:space="preserve">Head of Fraud Risk – SG</t>
  </si>
  <si>
    <t xml:space="preserve">EV-SG-CTL-FRD-01-202601</t>
  </si>
  <si>
    <t xml:space="preserve">T-1138</t>
  </si>
  <si>
    <t xml:space="preserve">EV-SG-CTL-FRD-02-202605</t>
  </si>
  <si>
    <t xml:space="preserve">T-1139</t>
  </si>
  <si>
    <t xml:space="preserve">Country Head of HR – SG</t>
  </si>
  <si>
    <t xml:space="preserve">EV-SG-CTL-FRD-03-202607</t>
  </si>
  <si>
    <t xml:space="preserve">T-1140</t>
  </si>
  <si>
    <t xml:space="preserve">EV-SG-CTL-TAX-01-202604</t>
  </si>
  <si>
    <t xml:space="preserve">T-1141</t>
  </si>
  <si>
    <t xml:space="preserve">Country CFO – SG</t>
  </si>
  <si>
    <t xml:space="preserve">EV-SG-CTL-TAX-02-202601</t>
  </si>
  <si>
    <t xml:space="preserve">T-1142</t>
  </si>
  <si>
    <t xml:space="preserve">EV-SG-CTL-TRN-01-202608</t>
  </si>
  <si>
    <t xml:space="preserve">T-1143</t>
  </si>
  <si>
    <t xml:space="preserve">EV-SG-CTL-REG-01-202608</t>
  </si>
  <si>
    <t xml:space="preserve">T-1144</t>
  </si>
  <si>
    <t xml:space="preserve">EV-SG-CTL-REG-02-202607</t>
  </si>
  <si>
    <t xml:space="preserve">T-1145</t>
  </si>
  <si>
    <t xml:space="preserve">EV-SG-CTL-CON-01-202602</t>
  </si>
  <si>
    <t xml:space="preserve">T-1146</t>
  </si>
  <si>
    <t xml:space="preserve">Head of Customer Experience – SG</t>
  </si>
  <si>
    <t xml:space="preserve">EV-SG-CTL-CON-02-202510</t>
  </si>
  <si>
    <t xml:space="preserve">T-1147</t>
  </si>
  <si>
    <t xml:space="preserve">Country DPO – SG</t>
  </si>
  <si>
    <t xml:space="preserve">EV-SG-CTL-DP-01-202607</t>
  </si>
  <si>
    <t xml:space="preserve">T-1148</t>
  </si>
  <si>
    <t xml:space="preserve">Country ISO – SG</t>
  </si>
  <si>
    <t xml:space="preserve">EV-SG-CTL-DP-02-202605</t>
  </si>
  <si>
    <t xml:space="preserve">T-1149</t>
  </si>
  <si>
    <t xml:space="preserve">T-1150</t>
  </si>
  <si>
    <t xml:space="preserve">Country Head of Credit – SG</t>
  </si>
  <si>
    <t xml:space="preserve">EV-SG-CTL-CR-01-202607</t>
  </si>
  <si>
    <t xml:space="preserve">T-1151</t>
  </si>
  <si>
    <t xml:space="preserve">Country CRO – SG</t>
  </si>
  <si>
    <t xml:space="preserve">EV-SG-CTL-CR-02-202605</t>
  </si>
  <si>
    <t xml:space="preserve">T-1152</t>
  </si>
  <si>
    <t xml:space="preserve">EV-SG-CTL-MR-01-202609</t>
  </si>
  <si>
    <t xml:space="preserve">T-1153</t>
  </si>
  <si>
    <t xml:space="preserve">Country Treasurer – SG</t>
  </si>
  <si>
    <t xml:space="preserve">EV-SG-CTL-LQ-01-202510</t>
  </si>
  <si>
    <t xml:space="preserve">T-1154</t>
  </si>
  <si>
    <t xml:space="preserve">Country BCM Lead – SG</t>
  </si>
  <si>
    <t xml:space="preserve">EV-SG-CTL-OR-01-202608</t>
  </si>
  <si>
    <t xml:space="preserve">T-1155</t>
  </si>
  <si>
    <t xml:space="preserve">EV-SG-CTL-OR-02-202605</t>
  </si>
  <si>
    <t xml:space="preserve">T-1156</t>
  </si>
  <si>
    <t xml:space="preserve">EV-SG-CTL-CY-01-202603</t>
  </si>
  <si>
    <t xml:space="preserve">T-1157</t>
  </si>
  <si>
    <t xml:space="preserve">EV-SG-CTL-CY-02-202607</t>
  </si>
  <si>
    <t xml:space="preserve">T-1158</t>
  </si>
  <si>
    <t xml:space="preserve">EV-SG-CTL-TP-01-202512</t>
  </si>
  <si>
    <t xml:space="preserve">T-1159</t>
  </si>
  <si>
    <t xml:space="preserve">Country Legal Counsel – SG</t>
  </si>
  <si>
    <t xml:space="preserve">EV-SG-CTL-LG-01-202606</t>
  </si>
  <si>
    <t xml:space="preserve">T-1160</t>
  </si>
  <si>
    <t xml:space="preserve">Head of Corporate Communications – SG</t>
  </si>
  <si>
    <t xml:space="preserve">EV-SG-CTL-RP-01-202603</t>
  </si>
  <si>
    <t xml:space="preserve">T-1161</t>
  </si>
  <si>
    <t xml:space="preserve">Country CEO – SG</t>
  </si>
  <si>
    <t xml:space="preserve">EV-SG-CTL-ST-01-202512</t>
  </si>
  <si>
    <t xml:space="preserve">T-1162</t>
  </si>
  <si>
    <t xml:space="preserve">Head of Operations – CN</t>
  </si>
  <si>
    <t xml:space="preserve">Compliance Monitoring &amp; Testing – CN</t>
  </si>
  <si>
    <t xml:space="preserve">EV-CN-CTL-KYC-01-202512</t>
  </si>
  <si>
    <t xml:space="preserve">T-1163</t>
  </si>
  <si>
    <t xml:space="preserve">Country CO – CN</t>
  </si>
  <si>
    <t xml:space="preserve">EV-CN-CTL-KYC-02-202603</t>
  </si>
  <si>
    <t xml:space="preserve">T-1164</t>
  </si>
  <si>
    <t xml:space="preserve">EV-CN-CTL-KYC-03-202603</t>
  </si>
  <si>
    <t xml:space="preserve">T-1165</t>
  </si>
  <si>
    <t xml:space="preserve">EV-CN-CTL-KYC-04-202512</t>
  </si>
  <si>
    <t xml:space="preserve">T-1166</t>
  </si>
  <si>
    <t xml:space="preserve">EV-CN-CTL-CRR-01-202609</t>
  </si>
  <si>
    <t xml:space="preserve">T-1167</t>
  </si>
  <si>
    <t xml:space="preserve">Country MLRO – CN</t>
  </si>
  <si>
    <t xml:space="preserve">EV-CN-CTL-TM-01-202512</t>
  </si>
  <si>
    <t xml:space="preserve">T-1168</t>
  </si>
  <si>
    <t xml:space="preserve">EV-CN-CTL-TM-02-202609</t>
  </si>
  <si>
    <t xml:space="preserve">T-1169</t>
  </si>
  <si>
    <t xml:space="preserve">EV-CN-CTL-STR-01-202512</t>
  </si>
  <si>
    <t xml:space="preserve">T-1170</t>
  </si>
  <si>
    <t xml:space="preserve">Country Sanctions Officer – CN</t>
  </si>
  <si>
    <t xml:space="preserve">EV-CN-CTL-SAN-01-202601</t>
  </si>
  <si>
    <t xml:space="preserve">T-1171</t>
  </si>
  <si>
    <t xml:space="preserve">EV-CN-CTL-SAN-02-202609</t>
  </si>
  <si>
    <t xml:space="preserve">T-1172</t>
  </si>
  <si>
    <t xml:space="preserve">Country Head of IT – CN</t>
  </si>
  <si>
    <t xml:space="preserve">EV-CN-CTL-SAN-03-202605</t>
  </si>
  <si>
    <t xml:space="preserve">T-1173</t>
  </si>
  <si>
    <t xml:space="preserve">Head of Retail – CN</t>
  </si>
  <si>
    <t xml:space="preserve">EV-CN-CTL-TF-01-202604</t>
  </si>
  <si>
    <t xml:space="preserve">T-1174</t>
  </si>
  <si>
    <t xml:space="preserve">Head of Trade Finance – CN</t>
  </si>
  <si>
    <t xml:space="preserve">EV-CN-CTL-TBML-01-202604</t>
  </si>
  <si>
    <t xml:space="preserve">T-1175</t>
  </si>
  <si>
    <t xml:space="preserve">EV-CN-CTL-PF-01-202512</t>
  </si>
  <si>
    <t xml:space="preserve">T-1176</t>
  </si>
  <si>
    <t xml:space="preserve">Head of FI Banking – CN</t>
  </si>
  <si>
    <t xml:space="preserve">EV-CN-CTL-CB-01-202609</t>
  </si>
  <si>
    <t xml:space="preserve">T-1177</t>
  </si>
  <si>
    <t xml:space="preserve">Head of Payments Operations – CN</t>
  </si>
  <si>
    <t xml:space="preserve">EV-CN-CTL-PAY-01-202411</t>
  </si>
  <si>
    <t xml:space="preserve">T-1178</t>
  </si>
  <si>
    <t xml:space="preserve">Head of Procurement – CN</t>
  </si>
  <si>
    <t xml:space="preserve">EV-CN-CTL-ABC-01-202608</t>
  </si>
  <si>
    <t xml:space="preserve">T-1179</t>
  </si>
  <si>
    <t xml:space="preserve">EV-CN-CTL-ABC-02-202502</t>
  </si>
  <si>
    <t xml:space="preserve">T-1180</t>
  </si>
  <si>
    <t xml:space="preserve">Head of Fraud Risk – CN</t>
  </si>
  <si>
    <t xml:space="preserve">EV-CN-CTL-FRD-01-202604</t>
  </si>
  <si>
    <t xml:space="preserve">T-1181</t>
  </si>
  <si>
    <t xml:space="preserve">EV-CN-CTL-FRD-02-202607</t>
  </si>
  <si>
    <t xml:space="preserve">T-1182</t>
  </si>
  <si>
    <t xml:space="preserve">Country Head of HR – CN</t>
  </si>
  <si>
    <t xml:space="preserve">EV-CN-CTL-FRD-03-202609</t>
  </si>
  <si>
    <t xml:space="preserve">T-1183</t>
  </si>
  <si>
    <t xml:space="preserve">EV-CN-CTL-TAX-01-202605</t>
  </si>
  <si>
    <t xml:space="preserve">T-1184</t>
  </si>
  <si>
    <t xml:space="preserve">Country CFO – CN</t>
  </si>
  <si>
    <t xml:space="preserve">EV-CN-CTL-TAX-02-202508</t>
  </si>
  <si>
    <t xml:space="preserve">T-1185</t>
  </si>
  <si>
    <t xml:space="preserve">EV-CN-CTL-TRN-01-202504</t>
  </si>
  <si>
    <t xml:space="preserve">T-1186</t>
  </si>
  <si>
    <t xml:space="preserve">EV-CN-CTL-REG-01-202602</t>
  </si>
  <si>
    <t xml:space="preserve">T-1187</t>
  </si>
  <si>
    <t xml:space="preserve">EV-CN-CTL-REG-02-202605</t>
  </si>
  <si>
    <t xml:space="preserve">T-1188</t>
  </si>
  <si>
    <t xml:space="preserve">EV-CN-CTL-CON-01-202511</t>
  </si>
  <si>
    <t xml:space="preserve">T-1189</t>
  </si>
  <si>
    <t xml:space="preserve">Head of Customer Experience – CN</t>
  </si>
  <si>
    <t xml:space="preserve">EV-CN-CTL-CON-02-202410</t>
  </si>
  <si>
    <t xml:space="preserve">T-1190</t>
  </si>
  <si>
    <t xml:space="preserve">Country DPO – CN</t>
  </si>
  <si>
    <t xml:space="preserve">EV-CN-CTL-DP-01-202607</t>
  </si>
  <si>
    <t xml:space="preserve">T-1191</t>
  </si>
  <si>
    <t xml:space="preserve">Country ISO – CN</t>
  </si>
  <si>
    <t xml:space="preserve">EV-CN-CTL-DP-02-202604</t>
  </si>
  <si>
    <t xml:space="preserve">T-1192</t>
  </si>
  <si>
    <t xml:space="preserve">T-1193</t>
  </si>
  <si>
    <t xml:space="preserve">Country Head of Credit – CN</t>
  </si>
  <si>
    <t xml:space="preserve">EV-CN-CTL-CR-01-202608</t>
  </si>
  <si>
    <t xml:space="preserve">T-1194</t>
  </si>
  <si>
    <t xml:space="preserve">Country CRO – CN</t>
  </si>
  <si>
    <t xml:space="preserve">EV-CN-CTL-CR-02-202503</t>
  </si>
  <si>
    <t xml:space="preserve">T-1195</t>
  </si>
  <si>
    <t xml:space="preserve">EV-CN-CTL-MR-01-202603</t>
  </si>
  <si>
    <t xml:space="preserve">T-1196</t>
  </si>
  <si>
    <t xml:space="preserve">Country Treasurer – CN</t>
  </si>
  <si>
    <t xml:space="preserve">EV-CN-CTL-LQ-01-202607</t>
  </si>
  <si>
    <t xml:space="preserve">T-1197</t>
  </si>
  <si>
    <t xml:space="preserve">Country BCM Lead – CN</t>
  </si>
  <si>
    <t xml:space="preserve">EV-CN-CTL-OR-01-202609</t>
  </si>
  <si>
    <t xml:space="preserve">T-1198</t>
  </si>
  <si>
    <t xml:space="preserve">EV-CN-CTL-OR-02-202603</t>
  </si>
  <si>
    <t xml:space="preserve">T-1199</t>
  </si>
  <si>
    <t xml:space="preserve">EV-CN-CTL-CY-01-202609</t>
  </si>
  <si>
    <t xml:space="preserve">T-1200</t>
  </si>
  <si>
    <t xml:space="preserve">EV-CN-CTL-CY-02-202609</t>
  </si>
  <si>
    <t xml:space="preserve">T-1201</t>
  </si>
  <si>
    <t xml:space="preserve">EV-CN-CTL-TP-01-202607</t>
  </si>
  <si>
    <t xml:space="preserve">T-1202</t>
  </si>
  <si>
    <t xml:space="preserve">Country Legal Counsel – CN</t>
  </si>
  <si>
    <t xml:space="preserve">EV-CN-CTL-LG-01-202605</t>
  </si>
  <si>
    <t xml:space="preserve">T-1203</t>
  </si>
  <si>
    <t xml:space="preserve">Head of Corporate Communications – CN</t>
  </si>
  <si>
    <t xml:space="preserve">EV-CN-CTL-RP-01-202601</t>
  </si>
  <si>
    <t xml:space="preserve">T-1204</t>
  </si>
  <si>
    <t xml:space="preserve">Country CEO – CN</t>
  </si>
  <si>
    <t xml:space="preserve">EV-CN-CTL-ST-01-202607</t>
  </si>
  <si>
    <t xml:space="preserve">T-1205</t>
  </si>
  <si>
    <t xml:space="preserve">Head of Operations – AU</t>
  </si>
  <si>
    <t xml:space="preserve">Compliance Monitoring &amp; Testing – AU</t>
  </si>
  <si>
    <t xml:space="preserve">EV-AU-CTL-KYC-01-202602</t>
  </si>
  <si>
    <t xml:space="preserve">T-1206</t>
  </si>
  <si>
    <t xml:space="preserve">Country CO – AU</t>
  </si>
  <si>
    <t xml:space="preserve">EV-AU-CTL-KYC-02-202606</t>
  </si>
  <si>
    <t xml:space="preserve">T-1207</t>
  </si>
  <si>
    <t xml:space="preserve">EV-AU-CTL-KYC-03-202604</t>
  </si>
  <si>
    <t xml:space="preserve">T-1208</t>
  </si>
  <si>
    <t xml:space="preserve">EV-AU-CTL-KYC-04-202608</t>
  </si>
  <si>
    <t xml:space="preserve">T-1209</t>
  </si>
  <si>
    <t xml:space="preserve">EV-AU-CTL-CRR-01-202602</t>
  </si>
  <si>
    <t xml:space="preserve">T-1210</t>
  </si>
  <si>
    <t xml:space="preserve">Country MLRO – AU</t>
  </si>
  <si>
    <t xml:space="preserve">EV-AU-CTL-TM-01-202607</t>
  </si>
  <si>
    <t xml:space="preserve">T-1211</t>
  </si>
  <si>
    <t xml:space="preserve">EV-AU-CTL-TM-02-202609</t>
  </si>
  <si>
    <t xml:space="preserve">T-1212</t>
  </si>
  <si>
    <t xml:space="preserve">EV-AU-CTL-STR-01-202607</t>
  </si>
  <si>
    <t xml:space="preserve">T-1213</t>
  </si>
  <si>
    <t xml:space="preserve">Country Sanctions Officer – AU</t>
  </si>
  <si>
    <t xml:space="preserve">EV-AU-CTL-SAN-01-202602</t>
  </si>
  <si>
    <t xml:space="preserve">T-1214</t>
  </si>
  <si>
    <t xml:space="preserve">EV-AU-CTL-SAN-02-202607</t>
  </si>
  <si>
    <t xml:space="preserve">T-1215</t>
  </si>
  <si>
    <t xml:space="preserve">Country Head of IT – AU</t>
  </si>
  <si>
    <t xml:space="preserve">EV-AU-CTL-SAN-03-202608</t>
  </si>
  <si>
    <t xml:space="preserve">T-1216</t>
  </si>
  <si>
    <t xml:space="preserve">Head of Retail – AU</t>
  </si>
  <si>
    <t xml:space="preserve">EV-AU-CTL-TF-01-202512</t>
  </si>
  <si>
    <t xml:space="preserve">T-1217</t>
  </si>
  <si>
    <t xml:space="preserve">Head of Trade Finance – AU</t>
  </si>
  <si>
    <t xml:space="preserve">EV-AU-CTL-TBML-01-202603</t>
  </si>
  <si>
    <t xml:space="preserve">T-1218</t>
  </si>
  <si>
    <t xml:space="preserve">EV-AU-CTL-PF-01-202608</t>
  </si>
  <si>
    <t xml:space="preserve">T-1219</t>
  </si>
  <si>
    <t xml:space="preserve">Head of FI Banking – AU</t>
  </si>
  <si>
    <t xml:space="preserve">EV-AU-CTL-CB-01-202603</t>
  </si>
  <si>
    <t xml:space="preserve">T-1220</t>
  </si>
  <si>
    <t xml:space="preserve">Head of Payments Operations – AU</t>
  </si>
  <si>
    <t xml:space="preserve">EV-AU-CTL-PAY-01-202606</t>
  </si>
  <si>
    <t xml:space="preserve">T-1221</t>
  </si>
  <si>
    <t xml:space="preserve">Head of Procurement – AU</t>
  </si>
  <si>
    <t xml:space="preserve">EV-AU-CTL-ABC-01-202601</t>
  </si>
  <si>
    <t xml:space="preserve">T-1222</t>
  </si>
  <si>
    <t xml:space="preserve">EV-AU-CTL-ABC-02-202606</t>
  </si>
  <si>
    <t xml:space="preserve">T-1223</t>
  </si>
  <si>
    <t xml:space="preserve">Head of Fraud Risk – AU</t>
  </si>
  <si>
    <t xml:space="preserve">EV-AU-CTL-FRD-01-202606</t>
  </si>
  <si>
    <t xml:space="preserve">T-1224</t>
  </si>
  <si>
    <t xml:space="preserve">EV-AU-CTL-FRD-02-202608</t>
  </si>
  <si>
    <t xml:space="preserve">T-1225</t>
  </si>
  <si>
    <t xml:space="preserve">Country Head of HR – AU</t>
  </si>
  <si>
    <t xml:space="preserve">EV-AU-CTL-FRD-03-202511</t>
  </si>
  <si>
    <t xml:space="preserve">T-1226</t>
  </si>
  <si>
    <t xml:space="preserve">EV-AU-CTL-TAX-01-202607</t>
  </si>
  <si>
    <t xml:space="preserve">T-1227</t>
  </si>
  <si>
    <t xml:space="preserve">Country CFO – AU</t>
  </si>
  <si>
    <t xml:space="preserve">EV-AU-CTL-TAX-02-202601</t>
  </si>
  <si>
    <t xml:space="preserve">T-1228</t>
  </si>
  <si>
    <t xml:space="preserve">EV-AU-CTL-TRN-01-202510</t>
  </si>
  <si>
    <t xml:space="preserve">T-1229</t>
  </si>
  <si>
    <t xml:space="preserve">EV-AU-CTL-REG-01-202511</t>
  </si>
  <si>
    <t xml:space="preserve">T-1230</t>
  </si>
  <si>
    <t xml:space="preserve">EV-AU-CTL-REG-02-202510</t>
  </si>
  <si>
    <t xml:space="preserve">T-1231</t>
  </si>
  <si>
    <t xml:space="preserve">EV-AU-CTL-CON-01-202603</t>
  </si>
  <si>
    <t xml:space="preserve">T-1232</t>
  </si>
  <si>
    <t xml:space="preserve">Head of Customer Experience – AU</t>
  </si>
  <si>
    <t xml:space="preserve">EV-AU-CTL-CON-02-202604</t>
  </si>
  <si>
    <t xml:space="preserve">T-1233</t>
  </si>
  <si>
    <t xml:space="preserve">Country DPO – AU</t>
  </si>
  <si>
    <t xml:space="preserve">EV-AU-CTL-DP-01-202604</t>
  </si>
  <si>
    <t xml:space="preserve">T-1234</t>
  </si>
  <si>
    <t xml:space="preserve">Country ISO – AU</t>
  </si>
  <si>
    <t xml:space="preserve">EV-AU-CTL-DP-02-202511</t>
  </si>
  <si>
    <t xml:space="preserve">T-1235</t>
  </si>
  <si>
    <t xml:space="preserve">T-1236</t>
  </si>
  <si>
    <t xml:space="preserve">Country Head of Credit – AU</t>
  </si>
  <si>
    <t xml:space="preserve">EV-AU-CTL-CR-01-202512</t>
  </si>
  <si>
    <t xml:space="preserve">T-1237</t>
  </si>
  <si>
    <t xml:space="preserve">Country CRO – AU</t>
  </si>
  <si>
    <t xml:space="preserve">EV-AU-CTL-CR-02-202607</t>
  </si>
  <si>
    <t xml:space="preserve">T-1238</t>
  </si>
  <si>
    <t xml:space="preserve">EV-AU-CTL-MR-01-202606</t>
  </si>
  <si>
    <t xml:space="preserve">T-1239</t>
  </si>
  <si>
    <t xml:space="preserve">Country Treasurer – AU</t>
  </si>
  <si>
    <t xml:space="preserve">EV-AU-CTL-LQ-01-202607</t>
  </si>
  <si>
    <t xml:space="preserve">T-1240</t>
  </si>
  <si>
    <t xml:space="preserve">Country BCM Lead – AU</t>
  </si>
  <si>
    <t xml:space="preserve">EV-AU-CTL-OR-01-202510</t>
  </si>
  <si>
    <t xml:space="preserve">T-1241</t>
  </si>
  <si>
    <t xml:space="preserve">EV-AU-CTL-OR-02-202607</t>
  </si>
  <si>
    <t xml:space="preserve">T-1242</t>
  </si>
  <si>
    <t xml:space="preserve">EV-AU-CTL-CY-01-202605</t>
  </si>
  <si>
    <t xml:space="preserve">T-1243</t>
  </si>
  <si>
    <t xml:space="preserve">EV-AU-CTL-CY-02-202512</t>
  </si>
  <si>
    <t xml:space="preserve">T-1244</t>
  </si>
  <si>
    <t xml:space="preserve">EV-AU-CTL-TP-01-202602</t>
  </si>
  <si>
    <t xml:space="preserve">T-1245</t>
  </si>
  <si>
    <t xml:space="preserve">Country Legal Counsel – AU</t>
  </si>
  <si>
    <t xml:space="preserve">EV-AU-CTL-LG-01-202608</t>
  </si>
  <si>
    <t xml:space="preserve">T-1246</t>
  </si>
  <si>
    <t xml:space="preserve">Head of Corporate Communications – AU</t>
  </si>
  <si>
    <t xml:space="preserve">EV-AU-CTL-RP-01-202609</t>
  </si>
  <si>
    <t xml:space="preserve">T-1247</t>
  </si>
  <si>
    <t xml:space="preserve">Country CEO – AU</t>
  </si>
  <si>
    <t xml:space="preserve">EV-AU-CTL-ST-01-202608</t>
  </si>
  <si>
    <t xml:space="preserve">T-1248</t>
  </si>
  <si>
    <t xml:space="preserve">Head of Operations – US</t>
  </si>
  <si>
    <t xml:space="preserve">Compliance Monitoring &amp; Testing – US</t>
  </si>
  <si>
    <t xml:space="preserve">EV-US-CTL-KYC-01-202603</t>
  </si>
  <si>
    <t xml:space="preserve">T-1249</t>
  </si>
  <si>
    <t xml:space="preserve">Country CO – US</t>
  </si>
  <si>
    <t xml:space="preserve">EV-US-CTL-KYC-02-202606</t>
  </si>
  <si>
    <t xml:space="preserve">T-1250</t>
  </si>
  <si>
    <t xml:space="preserve">EV-US-CTL-KYC-03-202604</t>
  </si>
  <si>
    <t xml:space="preserve">T-1251</t>
  </si>
  <si>
    <t xml:space="preserve">EV-US-CTL-KYC-04-202607</t>
  </si>
  <si>
    <t xml:space="preserve">T-1252</t>
  </si>
  <si>
    <t xml:space="preserve">EV-US-CTL-CRR-01-202601</t>
  </si>
  <si>
    <t xml:space="preserve">T-1253</t>
  </si>
  <si>
    <t xml:space="preserve">Country MLRO – US</t>
  </si>
  <si>
    <t xml:space="preserve">EV-US-CTL-TM-01-202605</t>
  </si>
  <si>
    <t xml:space="preserve">T-1254</t>
  </si>
  <si>
    <t xml:space="preserve">EV-US-CTL-TM-02-202603</t>
  </si>
  <si>
    <t xml:space="preserve">T-1255</t>
  </si>
  <si>
    <t xml:space="preserve">EV-US-CTL-STR-01-202606</t>
  </si>
  <si>
    <t xml:space="preserve">T-1256</t>
  </si>
  <si>
    <t xml:space="preserve">Country Sanctions Officer – US</t>
  </si>
  <si>
    <t xml:space="preserve">EV-US-CTL-SAN-01-202604</t>
  </si>
  <si>
    <t xml:space="preserve">T-1257</t>
  </si>
  <si>
    <t xml:space="preserve">EV-US-CTL-SAN-02-202512</t>
  </si>
  <si>
    <t xml:space="preserve">T-1258</t>
  </si>
  <si>
    <t xml:space="preserve">Country Head of IT – US</t>
  </si>
  <si>
    <t xml:space="preserve">EV-US-CTL-SAN-03-202602</t>
  </si>
  <si>
    <t xml:space="preserve">T-1259</t>
  </si>
  <si>
    <t xml:space="preserve">Head of Retail – US</t>
  </si>
  <si>
    <t xml:space="preserve">EV-US-CTL-TF-01-202501</t>
  </si>
  <si>
    <t xml:space="preserve">T-1260</t>
  </si>
  <si>
    <t xml:space="preserve">Head of Trade Finance – US</t>
  </si>
  <si>
    <t xml:space="preserve">EV-US-CTL-TBML-01-202605</t>
  </si>
  <si>
    <t xml:space="preserve">T-1261</t>
  </si>
  <si>
    <t xml:space="preserve">EV-US-CTL-PF-01-202606</t>
  </si>
  <si>
    <t xml:space="preserve">T-1262</t>
  </si>
  <si>
    <t xml:space="preserve">Head of FI Banking – US</t>
  </si>
  <si>
    <t xml:space="preserve">EV-US-CTL-CB-01-202601</t>
  </si>
  <si>
    <t xml:space="preserve">T-1263</t>
  </si>
  <si>
    <t xml:space="preserve">Head of Payments Operations – US</t>
  </si>
  <si>
    <t xml:space="preserve">EV-US-CTL-PAY-01-202502</t>
  </si>
  <si>
    <t xml:space="preserve">T-1264</t>
  </si>
  <si>
    <t xml:space="preserve">Head of Procurement – US</t>
  </si>
  <si>
    <t xml:space="preserve">EV-US-CTL-ABC-01-202602</t>
  </si>
  <si>
    <t xml:space="preserve">T-1265</t>
  </si>
  <si>
    <t xml:space="preserve">EV-US-CTL-ABC-02-202507</t>
  </si>
  <si>
    <t xml:space="preserve">T-1266</t>
  </si>
  <si>
    <t xml:space="preserve">Head of Fraud Risk – US</t>
  </si>
  <si>
    <t xml:space="preserve">EV-US-CTL-FRD-01-202607</t>
  </si>
  <si>
    <t xml:space="preserve">T-1267</t>
  </si>
  <si>
    <t xml:space="preserve">EV-US-CTL-FRD-02-202603</t>
  </si>
  <si>
    <t xml:space="preserve">T-1268</t>
  </si>
  <si>
    <t xml:space="preserve">Country Head of HR – US</t>
  </si>
  <si>
    <t xml:space="preserve">EV-US-CTL-FRD-03-202508</t>
  </si>
  <si>
    <t xml:space="preserve">T-1269</t>
  </si>
  <si>
    <t xml:space="preserve">EV-US-CTL-TAX-01-202510</t>
  </si>
  <si>
    <t xml:space="preserve">T-1270</t>
  </si>
  <si>
    <t xml:space="preserve">Country CFO – US</t>
  </si>
  <si>
    <t xml:space="preserve">EV-US-CTL-TAX-02-202511</t>
  </si>
  <si>
    <t xml:space="preserve">T-1271</t>
  </si>
  <si>
    <t xml:space="preserve">EV-US-CTL-TRN-01-202506</t>
  </si>
  <si>
    <t xml:space="preserve">T-1272</t>
  </si>
  <si>
    <t xml:space="preserve">EV-US-CTL-REG-01-202608</t>
  </si>
  <si>
    <t xml:space="preserve">T-1273</t>
  </si>
  <si>
    <t xml:space="preserve">EV-US-CTL-REG-02-202606</t>
  </si>
  <si>
    <t xml:space="preserve">T-1274</t>
  </si>
  <si>
    <t xml:space="preserve">EV-US-CTL-CON-01-202510</t>
  </si>
  <si>
    <t xml:space="preserve">T-1275</t>
  </si>
  <si>
    <t xml:space="preserve">Head of Customer Experience – US</t>
  </si>
  <si>
    <t xml:space="preserve">EV-US-CTL-CON-02-202501</t>
  </si>
  <si>
    <t xml:space="preserve">T-1276</t>
  </si>
  <si>
    <t xml:space="preserve">Country DPO – US</t>
  </si>
  <si>
    <t xml:space="preserve">EV-US-CTL-DP-01-202604</t>
  </si>
  <si>
    <t xml:space="preserve">T-1277</t>
  </si>
  <si>
    <t xml:space="preserve">Country ISO – US</t>
  </si>
  <si>
    <t xml:space="preserve">EV-US-CTL-DP-02-202607</t>
  </si>
  <si>
    <t xml:space="preserve">T-1278</t>
  </si>
  <si>
    <t xml:space="preserve">T-1279</t>
  </si>
  <si>
    <t xml:space="preserve">Country Head of Credit – US</t>
  </si>
  <si>
    <t xml:space="preserve">EV-US-CTL-CR-01-202603</t>
  </si>
  <si>
    <t xml:space="preserve">T-1280</t>
  </si>
  <si>
    <t xml:space="preserve">Country CRO – US</t>
  </si>
  <si>
    <t xml:space="preserve">EV-US-CTL-CR-02-202503</t>
  </si>
  <si>
    <t xml:space="preserve">T-1281</t>
  </si>
  <si>
    <t xml:space="preserve">EV-US-CTL-MR-01-202609</t>
  </si>
  <si>
    <t xml:space="preserve">T-1282</t>
  </si>
  <si>
    <t xml:space="preserve">Country Treasurer – US</t>
  </si>
  <si>
    <t xml:space="preserve">EV-US-CTL-LQ-01-202605</t>
  </si>
  <si>
    <t xml:space="preserve">T-1283</t>
  </si>
  <si>
    <t xml:space="preserve">Country BCM Lead – US</t>
  </si>
  <si>
    <t xml:space="preserve">EV-US-CTL-OR-01-202511</t>
  </si>
  <si>
    <t xml:space="preserve">T-1284</t>
  </si>
  <si>
    <t xml:space="preserve">EV-US-CTL-OR-02-202504</t>
  </si>
  <si>
    <t xml:space="preserve">T-1285</t>
  </si>
  <si>
    <t xml:space="preserve">EV-US-CTL-CY-01-202603</t>
  </si>
  <si>
    <t xml:space="preserve">T-1286</t>
  </si>
  <si>
    <t xml:space="preserve">EV-US-CTL-CY-02-202605</t>
  </si>
  <si>
    <t xml:space="preserve">T-1287</t>
  </si>
  <si>
    <t xml:space="preserve">EV-US-CTL-TP-01-202603</t>
  </si>
  <si>
    <t xml:space="preserve">T-1288</t>
  </si>
  <si>
    <t xml:space="preserve">Country Legal Counsel – US</t>
  </si>
  <si>
    <t xml:space="preserve">EV-US-CTL-LG-01-202604</t>
  </si>
  <si>
    <t xml:space="preserve">T-1289</t>
  </si>
  <si>
    <t xml:space="preserve">Head of Corporate Communications – US</t>
  </si>
  <si>
    <t xml:space="preserve">EV-US-CTL-RP-01-202609</t>
  </si>
  <si>
    <t xml:space="preserve">T-1290</t>
  </si>
  <si>
    <t xml:space="preserve">Country CEO – US</t>
  </si>
  <si>
    <t xml:space="preserve">EV-US-CTL-ST-01-202609</t>
  </si>
  <si>
    <t xml:space="preserve">Effective control rating by entity (1 Effective … 4 Ineffective)</t>
  </si>
  <si>
    <t xml:space="preserve">Formula sheet. From the latest test in Control Testing; untested, overdue or unaccepted tests count as 4. N/A = control not applicable to the entity.</t>
  </si>
  <si>
    <t xml:space="preserve">Control-to-risk mapping and contribution weights (§10.1, §10.3)</t>
  </si>
  <si>
    <t xml:space="preserve">Weights are relative within each risk. Entity columns show each mapped control's effective rating for that entity (0 / N/A = not applicable, excluded and reweighted).</t>
  </si>
  <si>
    <t xml:space="preserve">Contribution weight</t>
  </si>
  <si>
    <t xml:space="preserve">Residual risk calculation – 20 risks × 30 entities (§10.3–10.5, §12)</t>
  </si>
  <si>
    <t xml:space="preserve">Inherent rating from the inherent sheets, control environment from tested controls, residual by the Config method, then overrides and appetite. Edit only yellow override cells.</t>
  </si>
  <si>
    <t xml:space="preserve">Inherent score</t>
  </si>
  <si>
    <t xml:space="preserve">Inherent rating (1–5)</t>
  </si>
  <si>
    <t xml:space="preserve">Inherent rating</t>
  </si>
  <si>
    <t xml:space="preserve">Mapped controls (applicable)</t>
  </si>
  <si>
    <t xml:space="preserve">Key controls (applicable)</t>
  </si>
  <si>
    <t xml:space="preserve">Key controls ineffective / untested</t>
  </si>
  <si>
    <t xml:space="preserve">Weighted CE score</t>
  </si>
  <si>
    <t xml:space="preserve">Control environment (1–4)</t>
  </si>
  <si>
    <t xml:space="preserve">Control environment</t>
  </si>
  <si>
    <t xml:space="preserve">Residual – matrix (1–5)</t>
  </si>
  <si>
    <t xml:space="preserve">Residual – numeric score</t>
  </si>
  <si>
    <t xml:space="preserve">Residual – numeric rating (floored)</t>
  </si>
  <si>
    <t xml:space="preserve">Calculated residual (1–5)</t>
  </si>
  <si>
    <t xml:space="preserve">Calculated residual rating</t>
  </si>
  <si>
    <t xml:space="preserve">Final residual (1–5)</t>
  </si>
  <si>
    <t xml:space="preserve">Final residual rating</t>
  </si>
  <si>
    <t xml:space="preserve">Max acceptable residual</t>
  </si>
  <si>
    <t xml:space="preserve">Appetite status</t>
  </si>
  <si>
    <t xml:space="preserve">Escalation required (§12.4)</t>
  </si>
  <si>
    <t xml:space="preserve">Proposed: USD clearing moved to HO screening hub.</t>
  </si>
  <si>
    <t xml:space="preserve">New TM platform live from Aug 2026; tests post-implementation all passed.</t>
  </si>
  <si>
    <t xml:space="preserve">Residual risk heat map – final ratings (1 = Low … 5 = High)</t>
  </si>
  <si>
    <t xml:space="preserve">Final residual after approved overrides. Footer compares group residual with group inherent. N/A = risk not applicable to the entity.</t>
  </si>
  <si>
    <t xml:space="preserve"># Amber</t>
  </si>
  <si>
    <t xml:space="preserve"># Red</t>
  </si>
  <si>
    <t xml:space="preserve">Group simple average – residual</t>
  </si>
  <si>
    <t xml:space="preserve">Group weighted average – residual</t>
  </si>
  <si>
    <t xml:space="preserve">Group weighted rating – residual</t>
  </si>
  <si>
    <t xml:space="preserve">Group weighted average – inherent</t>
  </si>
  <si>
    <t xml:space="preserve">Reduction from controls (notches)</t>
  </si>
  <si>
    <t xml:space="preserve">Entities outside appetite (Amber + Red)</t>
  </si>
  <si>
    <t xml:space="preserve">Residual risk against risk appetite (§12)</t>
  </si>
  <si>
    <t xml:space="preserve">Within = at or below the maximum acceptable residual rating. Amber = one notch above. Red = two or more notches above (or any excess on a zero-tolerance risk, if switched on in Residual Config).</t>
  </si>
  <si>
    <t xml:space="preserve">Entities within</t>
  </si>
  <si>
    <t xml:space="preserve">Not applicable</t>
  </si>
  <si>
    <t xml:space="preserve">Group weighted residual</t>
  </si>
  <si>
    <t xml:space="preserve">Group status</t>
  </si>
  <si>
    <t xml:space="preserve">Group residual risk and control assurance dashboard</t>
  </si>
  <si>
    <t xml:space="preserve">All figures are formulas over the residual, testing and summary sheets.</t>
  </si>
  <si>
    <t xml:space="preserve">Applicable control tests</t>
  </si>
  <si>
    <t xml:space="preserve">Tests current and evidence accepted</t>
  </si>
  <si>
    <t xml:space="preserve">% of applicable tests current</t>
  </si>
  <si>
    <t xml:space="preserve">Key control tests current</t>
  </si>
  <si>
    <t xml:space="preserve">Overdue tests</t>
  </si>
  <si>
    <t xml:space="preserve">Not tested</t>
  </si>
  <si>
    <t xml:space="preserve">Evidence pending HO review</t>
  </si>
  <si>
    <t xml:space="preserve">Evidence rejected</t>
  </si>
  <si>
    <t xml:space="preserve">Entity-risk residual ratings: High (5)</t>
  </si>
  <si>
    <t xml:space="preserve">Entity-risk residual ratings outside appetite: Amber</t>
  </si>
  <si>
    <t xml:space="preserve">Entity-risk residual ratings outside appetite: Red</t>
  </si>
  <si>
    <t xml:space="preserve">Group weighted residual (all risks)</t>
  </si>
  <si>
    <t xml:space="preserve">Group weighted inherent (all risks)</t>
  </si>
  <si>
    <t xml:space="preserve">Residual overrides pending HO approval</t>
  </si>
  <si>
    <t xml:space="preserve">Inherent (group wtd)</t>
  </si>
  <si>
    <t xml:space="preserve">Residual (group wtd)</t>
  </si>
  <si>
    <t xml:space="preserve">Within</t>
  </si>
  <si>
    <t xml:space="preserve">Every check should read OK before results are submitted to Head Office.</t>
  </si>
  <si>
    <t xml:space="preserve">Overall status</t>
  </si>
  <si>
    <t xml:space="preserve">#</t>
  </si>
  <si>
    <t xml:space="preserve">Result</t>
  </si>
  <si>
    <t xml:space="preserve">Detail</t>
  </si>
  <si>
    <t xml:space="preserve">Factor weights total 100% for every FC risk</t>
  </si>
  <si>
    <t xml:space="preserve">Indicator thresholds in the right order</t>
  </si>
  <si>
    <t xml:space="preserve">Every weighted factor has at least one weighted indicator</t>
  </si>
  <si>
    <t xml:space="preserve">LxI impact weights total 100%</t>
  </si>
  <si>
    <t xml:space="preserve">Rating band lower bounds ascending</t>
  </si>
  <si>
    <t xml:space="preserve">Missing indicator values</t>
  </si>
  <si>
    <t xml:space="preserve">FC rows with no data</t>
  </si>
  <si>
    <t xml:space="preserve">Applicable LxI rows not yet assessed</t>
  </si>
  <si>
    <t xml:space="preserve">Overrides without justification</t>
  </si>
  <si>
    <t xml:space="preserve">Control credits fall as effectiveness worsens; environment bands ascending</t>
  </si>
  <si>
    <t xml:space="preserve">Residual matrix: never improves as inherent rises or controls weaken</t>
  </si>
  <si>
    <t xml:space="preserve">Every risk has at least one key control mapped</t>
  </si>
  <si>
    <t xml:space="preserve">Mapped control IDs exist in the library</t>
  </si>
  <si>
    <t xml:space="preserve">Tester independence (tester ≠ control owner)</t>
  </si>
  <si>
    <t xml:space="preserve">Applicable tests not current (overdue, untested, evidence not accepted)</t>
  </si>
  <si>
    <t xml:space="preserve">Sample sizes below §11.3 minimum</t>
  </si>
  <si>
    <t xml:space="preserve">Residual overrides without justification</t>
  </si>
  <si>
    <t xml:space="preserve">Residual ratings outside appetite (escalate per §12.4)</t>
  </si>
  <si>
    <t xml:space="preserve">Indicator coverage grid (number of indicators with weight &gt; 0 for each FC risk and factor)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</si>
</sst>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0"/>
    <numFmt numFmtId="167" formatCode="0%"/>
    <numFmt numFmtId="168" formatCode="0.0"/>
    <numFmt numFmtId="169" formatCode="#,##0.##"/>
    <numFmt numFmtId="170" formatCode="#,##0.00"/>
    <numFmt numFmtId="171" formatCode="0;\-0;\-"/>
    <numFmt numFmtId="172" formatCode="0.00;\-0.00;\-"/>
    <numFmt numFmtId="173" formatCode="\+0;\-0;0"/>
    <numFmt numFmtId="174" formatCode="@"/>
    <numFmt numFmtId="175" formatCode="dd\-mmm\-yyyy"/>
    <numFmt numFmtId="176" formatCode="0;\-0;&quot;N/A&quot;"/>
    <numFmt numFmtId="17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9F9F9"/>
      </patternFill>
    </fill>
    <fill>
      <patternFill patternType="solid">
        <fgColor rgb="FF63BE7B"/>
        <bgColor rgb="FF339966"/>
      </patternFill>
    </fill>
    <fill>
      <patternFill patternType="solid">
        <fgColor rgb="FFC6E0B4"/>
        <bgColor rgb="FFD9D9D9"/>
      </patternFill>
    </fill>
    <fill>
      <patternFill patternType="solid">
        <fgColor rgb="FFFFEB84"/>
        <bgColor rgb="FFFFF2CC"/>
      </patternFill>
    </fill>
    <fill>
      <patternFill patternType="solid">
        <fgColor rgb="FFF4B183"/>
        <bgColor rgb="FFFF99CC"/>
      </patternFill>
    </fill>
    <fill>
      <patternFill patternType="solid">
        <fgColor rgb="FFF8696B"/>
        <bgColor rgb="FFFF6600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3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5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5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7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>
          <bgColor rgb="FF63BE7B"/>
        </patternFill>
      </fill>
    </dxf>
    <dxf>
      <fill>
        <patternFill>
          <bgColor rgb="FFC6E0B4"/>
        </patternFill>
      </fill>
    </dxf>
    <dxf>
      <fill>
        <patternFill>
          <bgColor rgb="FFFFEB84"/>
        </patternFill>
      </fill>
    </dxf>
    <dxf>
      <fill>
        <patternFill>
          <bgColor rgb="FFF4B183"/>
        </patternFill>
      </fill>
    </dxf>
    <dxf>
      <fill>
        <patternFill>
          <bgColor rgb="FFF8696B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9E1F2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0B4"/>
      <rgbColor rgb="FFFFEB84"/>
      <rgbColor rgb="FF99CCFF"/>
      <rgbColor rgb="FFFF99CC"/>
      <rgbColor rgb="FFCC99FF"/>
      <rgbColor rgb="FFF4B183"/>
      <rgbColor rgb="FF3366FF"/>
      <rgbColor rgb="FF63BE7B"/>
      <rgbColor rgb="FF99CC0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Group weighted average inherent score by risk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'Inherent Dashboard'!C13</c:f>
              <c:strCache>
                <c:ptCount val="1"/>
                <c:pt idx="0">
                  <c:v>Group weighted avg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'Inherent Dashboard'!$A$14:$A$33</c:f>
              <c:strCache>
                <c:ptCount val="20"/>
                <c:pt idx="0">
                  <c:v>FC-01</c:v>
                </c:pt>
                <c:pt idx="1">
                  <c:v>FC-02</c:v>
                </c:pt>
                <c:pt idx="2">
                  <c:v>FC-03</c:v>
                </c:pt>
                <c:pt idx="3">
                  <c:v>FC-04</c:v>
                </c:pt>
                <c:pt idx="4">
                  <c:v>FC-05</c:v>
                </c:pt>
                <c:pt idx="5">
                  <c:v>FC-06</c:v>
                </c:pt>
                <c:pt idx="6">
                  <c:v>FC-07</c:v>
                </c:pt>
                <c:pt idx="7">
                  <c:v>RC-01</c:v>
                </c:pt>
                <c:pt idx="8">
                  <c:v>RC-02</c:v>
                </c:pt>
                <c:pt idx="9">
                  <c:v>RC-03</c:v>
                </c:pt>
                <c:pt idx="10">
                  <c:v>RC-04</c:v>
                </c:pt>
                <c:pt idx="11">
                  <c:v>ER-01</c:v>
                </c:pt>
                <c:pt idx="12">
                  <c:v>ER-02</c:v>
                </c:pt>
                <c:pt idx="13">
                  <c:v>ER-03</c:v>
                </c:pt>
                <c:pt idx="14">
                  <c:v>ER-04</c:v>
                </c:pt>
                <c:pt idx="15">
                  <c:v>ER-05</c:v>
                </c:pt>
                <c:pt idx="16">
                  <c:v>ER-06</c:v>
                </c:pt>
                <c:pt idx="17">
                  <c:v>ER-07</c:v>
                </c:pt>
                <c:pt idx="18">
                  <c:v>ER-08</c:v>
                </c:pt>
                <c:pt idx="19">
                  <c:v>ER-09</c:v>
                </c:pt>
              </c:strCache>
            </c:strRef>
          </c:cat>
          <c:val>
            <c:numRef>
              <c:f>'Inherent Dashboard'!$C$14:$C$33</c:f>
              <c:numCache>
                <c:formatCode>0.00</c:formatCode>
                <c:ptCount val="20"/>
                <c:pt idx="0">
                  <c:v>2.75</c:v>
                </c:pt>
                <c:pt idx="1">
                  <c:v>2.67857142857143</c:v>
                </c:pt>
                <c:pt idx="2">
                  <c:v>2.66071428571429</c:v>
                </c:pt>
                <c:pt idx="3">
                  <c:v>2.75</c:v>
                </c:pt>
                <c:pt idx="4">
                  <c:v>2.71428571428571</c:v>
                </c:pt>
                <c:pt idx="5">
                  <c:v>2.75</c:v>
                </c:pt>
                <c:pt idx="6">
                  <c:v>2.78571428571429</c:v>
                </c:pt>
                <c:pt idx="7">
                  <c:v>3.21428571428571</c:v>
                </c:pt>
                <c:pt idx="8">
                  <c:v>2.73214285714286</c:v>
                </c:pt>
                <c:pt idx="9">
                  <c:v>2.80357142857143</c:v>
                </c:pt>
                <c:pt idx="10">
                  <c:v>2</c:v>
                </c:pt>
                <c:pt idx="11">
                  <c:v>3.07142857142857</c:v>
                </c:pt>
                <c:pt idx="12">
                  <c:v>2.83928571428571</c:v>
                </c:pt>
                <c:pt idx="13">
                  <c:v>2.98214285714286</c:v>
                </c:pt>
                <c:pt idx="14">
                  <c:v>3.05357142857143</c:v>
                </c:pt>
                <c:pt idx="15">
                  <c:v>3.16071428571429</c:v>
                </c:pt>
                <c:pt idx="16">
                  <c:v>2.82142857142857</c:v>
                </c:pt>
                <c:pt idx="17">
                  <c:v>2.44642857142857</c:v>
                </c:pt>
                <c:pt idx="18">
                  <c:v>2.98214285714286</c:v>
                </c:pt>
                <c:pt idx="19">
                  <c:v>2.69642857142857</c:v>
                </c:pt>
              </c:numCache>
            </c:numRef>
          </c:val>
        </c:ser>
        <c:gapWidth val="40"/>
        <c:overlap val="0"/>
        <c:axId val="48167603"/>
        <c:axId val="7688361"/>
      </c:barChart>
      <c:catAx>
        <c:axId val="4816760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8361"/>
        <c:crosses val="autoZero"/>
        <c:auto val="1"/>
        <c:lblAlgn val="ctr"/>
        <c:lblOffset val="100"/>
        <c:noMultiLvlLbl val="0"/>
      </c:catAx>
      <c:valAx>
        <c:axId val="7688361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 (1–5)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67603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entity ratings by risk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'Inherent Dashboard'!D13</c:f>
              <c:strCache>
                <c:ptCount val="1"/>
                <c:pt idx="0">
                  <c:v>Low (1)</c:v>
                </c:pt>
              </c:strCache>
            </c:strRef>
          </c:tx>
          <c:spPr>
            <a:solidFill>
              <a:srgbClr val="63be7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'Inherent Dashboard'!$A$14:$A$33</c:f>
              <c:strCache>
                <c:ptCount val="20"/>
                <c:pt idx="0">
                  <c:v>FC-01</c:v>
                </c:pt>
                <c:pt idx="1">
                  <c:v>FC-02</c:v>
                </c:pt>
                <c:pt idx="2">
                  <c:v>FC-03</c:v>
                </c:pt>
                <c:pt idx="3">
                  <c:v>FC-04</c:v>
                </c:pt>
                <c:pt idx="4">
                  <c:v>FC-05</c:v>
                </c:pt>
                <c:pt idx="5">
                  <c:v>FC-06</c:v>
                </c:pt>
                <c:pt idx="6">
                  <c:v>FC-07</c:v>
                </c:pt>
                <c:pt idx="7">
                  <c:v>RC-01</c:v>
                </c:pt>
                <c:pt idx="8">
                  <c:v>RC-02</c:v>
                </c:pt>
                <c:pt idx="9">
                  <c:v>RC-03</c:v>
                </c:pt>
                <c:pt idx="10">
                  <c:v>RC-04</c:v>
                </c:pt>
                <c:pt idx="11">
                  <c:v>ER-01</c:v>
                </c:pt>
                <c:pt idx="12">
                  <c:v>ER-02</c:v>
                </c:pt>
                <c:pt idx="13">
                  <c:v>ER-03</c:v>
                </c:pt>
                <c:pt idx="14">
                  <c:v>ER-04</c:v>
                </c:pt>
                <c:pt idx="15">
                  <c:v>ER-05</c:v>
                </c:pt>
                <c:pt idx="16">
                  <c:v>ER-06</c:v>
                </c:pt>
                <c:pt idx="17">
                  <c:v>ER-07</c:v>
                </c:pt>
                <c:pt idx="18">
                  <c:v>ER-08</c:v>
                </c:pt>
                <c:pt idx="19">
                  <c:v>ER-09</c:v>
                </c:pt>
              </c:strCache>
            </c:strRef>
          </c:cat>
          <c:val>
            <c:numRef>
              <c:f>'Inherent Dashboard'!$D$14:$D$33</c:f>
              <c:numCache>
                <c:formatCode>0</c:formatCode>
                <c:ptCount val="20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0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1</c:v>
                </c:pt>
                <c:pt idx="19">
                  <c:v>6</c:v>
                </c:pt>
              </c:numCache>
            </c:numRef>
          </c:val>
        </c:ser>
        <c:ser>
          <c:idx val="1"/>
          <c:order val="1"/>
          <c:tx>
            <c:strRef>
              <c:f>'Inherent Dashboard'!E13</c:f>
              <c:strCache>
                <c:ptCount val="1"/>
                <c:pt idx="0">
                  <c:v>Medium-Low (2)</c:v>
                </c:pt>
              </c:strCache>
            </c:strRef>
          </c:tx>
          <c:spPr>
            <a:solidFill>
              <a:srgbClr val="c6e0b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'Inherent Dashboard'!$A$14:$A$33</c:f>
              <c:strCache>
                <c:ptCount val="20"/>
                <c:pt idx="0">
                  <c:v>FC-01</c:v>
                </c:pt>
                <c:pt idx="1">
                  <c:v>FC-02</c:v>
                </c:pt>
                <c:pt idx="2">
                  <c:v>FC-03</c:v>
                </c:pt>
                <c:pt idx="3">
                  <c:v>FC-04</c:v>
                </c:pt>
                <c:pt idx="4">
                  <c:v>FC-05</c:v>
                </c:pt>
                <c:pt idx="5">
                  <c:v>FC-06</c:v>
                </c:pt>
                <c:pt idx="6">
                  <c:v>FC-07</c:v>
                </c:pt>
                <c:pt idx="7">
                  <c:v>RC-01</c:v>
                </c:pt>
                <c:pt idx="8">
                  <c:v>RC-02</c:v>
                </c:pt>
                <c:pt idx="9">
                  <c:v>RC-03</c:v>
                </c:pt>
                <c:pt idx="10">
                  <c:v>RC-04</c:v>
                </c:pt>
                <c:pt idx="11">
                  <c:v>ER-01</c:v>
                </c:pt>
                <c:pt idx="12">
                  <c:v>ER-02</c:v>
                </c:pt>
                <c:pt idx="13">
                  <c:v>ER-03</c:v>
                </c:pt>
                <c:pt idx="14">
                  <c:v>ER-04</c:v>
                </c:pt>
                <c:pt idx="15">
                  <c:v>ER-05</c:v>
                </c:pt>
                <c:pt idx="16">
                  <c:v>ER-06</c:v>
                </c:pt>
                <c:pt idx="17">
                  <c:v>ER-07</c:v>
                </c:pt>
                <c:pt idx="18">
                  <c:v>ER-08</c:v>
                </c:pt>
                <c:pt idx="19">
                  <c:v>ER-09</c:v>
                </c:pt>
              </c:strCache>
            </c:strRef>
          </c:cat>
          <c:val>
            <c:numRef>
              <c:f>'Inherent Dashboard'!$E$14:$E$33</c:f>
              <c:numCache>
                <c:formatCode>0</c:formatCode>
                <c:ptCount val="20"/>
                <c:pt idx="0">
                  <c:v>6</c:v>
                </c:pt>
                <c:pt idx="1">
                  <c:v>7</c:v>
                </c:pt>
                <c:pt idx="2">
                  <c:v>9</c:v>
                </c:pt>
                <c:pt idx="3">
                  <c:v>7</c:v>
                </c:pt>
                <c:pt idx="4">
                  <c:v>9</c:v>
                </c:pt>
                <c:pt idx="5">
                  <c:v>8</c:v>
                </c:pt>
                <c:pt idx="6">
                  <c:v>6</c:v>
                </c:pt>
                <c:pt idx="7">
                  <c:v>3</c:v>
                </c:pt>
                <c:pt idx="8">
                  <c:v>6</c:v>
                </c:pt>
                <c:pt idx="9">
                  <c:v>8</c:v>
                </c:pt>
                <c:pt idx="10">
                  <c:v>1</c:v>
                </c:pt>
                <c:pt idx="11">
                  <c:v>7</c:v>
                </c:pt>
                <c:pt idx="12">
                  <c:v>9</c:v>
                </c:pt>
                <c:pt idx="13">
                  <c:v>8</c:v>
                </c:pt>
                <c:pt idx="14">
                  <c:v>6</c:v>
                </c:pt>
                <c:pt idx="15">
                  <c:v>2</c:v>
                </c:pt>
                <c:pt idx="16">
                  <c:v>5</c:v>
                </c:pt>
                <c:pt idx="17">
                  <c:v>9</c:v>
                </c:pt>
                <c:pt idx="18">
                  <c:v>10</c:v>
                </c:pt>
                <c:pt idx="19">
                  <c:v>9</c:v>
                </c:pt>
              </c:numCache>
            </c:numRef>
          </c:val>
        </c:ser>
        <c:ser>
          <c:idx val="2"/>
          <c:order val="2"/>
          <c:tx>
            <c:strRef>
              <c:f>'Inherent Dashboard'!F13</c:f>
              <c:strCache>
                <c:ptCount val="1"/>
                <c:pt idx="0">
                  <c:v>Medium (3)</c:v>
                </c:pt>
              </c:strCache>
            </c:strRef>
          </c:tx>
          <c:spPr>
            <a:solidFill>
              <a:srgbClr val="ffeb8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'Inherent Dashboard'!$A$14:$A$33</c:f>
              <c:strCache>
                <c:ptCount val="20"/>
                <c:pt idx="0">
                  <c:v>FC-01</c:v>
                </c:pt>
                <c:pt idx="1">
                  <c:v>FC-02</c:v>
                </c:pt>
                <c:pt idx="2">
                  <c:v>FC-03</c:v>
                </c:pt>
                <c:pt idx="3">
                  <c:v>FC-04</c:v>
                </c:pt>
                <c:pt idx="4">
                  <c:v>FC-05</c:v>
                </c:pt>
                <c:pt idx="5">
                  <c:v>FC-06</c:v>
                </c:pt>
                <c:pt idx="6">
                  <c:v>FC-07</c:v>
                </c:pt>
                <c:pt idx="7">
                  <c:v>RC-01</c:v>
                </c:pt>
                <c:pt idx="8">
                  <c:v>RC-02</c:v>
                </c:pt>
                <c:pt idx="9">
                  <c:v>RC-03</c:v>
                </c:pt>
                <c:pt idx="10">
                  <c:v>RC-04</c:v>
                </c:pt>
                <c:pt idx="11">
                  <c:v>ER-01</c:v>
                </c:pt>
                <c:pt idx="12">
                  <c:v>ER-02</c:v>
                </c:pt>
                <c:pt idx="13">
                  <c:v>ER-03</c:v>
                </c:pt>
                <c:pt idx="14">
                  <c:v>ER-04</c:v>
                </c:pt>
                <c:pt idx="15">
                  <c:v>ER-05</c:v>
                </c:pt>
                <c:pt idx="16">
                  <c:v>ER-06</c:v>
                </c:pt>
                <c:pt idx="17">
                  <c:v>ER-07</c:v>
                </c:pt>
                <c:pt idx="18">
                  <c:v>ER-08</c:v>
                </c:pt>
                <c:pt idx="19">
                  <c:v>ER-09</c:v>
                </c:pt>
              </c:strCache>
            </c:strRef>
          </c:cat>
          <c:val>
            <c:numRef>
              <c:f>'Inherent Dashboard'!$F$14:$F$33</c:f>
              <c:numCache>
                <c:formatCode>0</c:formatCode>
                <c:ptCount val="20"/>
                <c:pt idx="0">
                  <c:v>12</c:v>
                </c:pt>
                <c:pt idx="1">
                  <c:v>11</c:v>
                </c:pt>
                <c:pt idx="2">
                  <c:v>11</c:v>
                </c:pt>
                <c:pt idx="3">
                  <c:v>13</c:v>
                </c:pt>
                <c:pt idx="4">
                  <c:v>10</c:v>
                </c:pt>
                <c:pt idx="5">
                  <c:v>12</c:v>
                </c:pt>
                <c:pt idx="6">
                  <c:v>13</c:v>
                </c:pt>
                <c:pt idx="7">
                  <c:v>11</c:v>
                </c:pt>
                <c:pt idx="8">
                  <c:v>13</c:v>
                </c:pt>
                <c:pt idx="9">
                  <c:v>8</c:v>
                </c:pt>
                <c:pt idx="10">
                  <c:v>0</c:v>
                </c:pt>
                <c:pt idx="11">
                  <c:v>9</c:v>
                </c:pt>
                <c:pt idx="12">
                  <c:v>11</c:v>
                </c:pt>
                <c:pt idx="13">
                  <c:v>11</c:v>
                </c:pt>
                <c:pt idx="14">
                  <c:v>13</c:v>
                </c:pt>
                <c:pt idx="15">
                  <c:v>13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8</c:v>
                </c:pt>
              </c:numCache>
            </c:numRef>
          </c:val>
        </c:ser>
        <c:ser>
          <c:idx val="3"/>
          <c:order val="3"/>
          <c:tx>
            <c:strRef>
              <c:f>'Inherent Dashboard'!G13</c:f>
              <c:strCache>
                <c:ptCount val="1"/>
                <c:pt idx="0">
                  <c:v>Medium-High (4)</c:v>
                </c:pt>
              </c:strCache>
            </c:strRef>
          </c:tx>
          <c:spPr>
            <a:solidFill>
              <a:srgbClr val="f4b18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'Inherent Dashboard'!$A$14:$A$33</c:f>
              <c:strCache>
                <c:ptCount val="20"/>
                <c:pt idx="0">
                  <c:v>FC-01</c:v>
                </c:pt>
                <c:pt idx="1">
                  <c:v>FC-02</c:v>
                </c:pt>
                <c:pt idx="2">
                  <c:v>FC-03</c:v>
                </c:pt>
                <c:pt idx="3">
                  <c:v>FC-04</c:v>
                </c:pt>
                <c:pt idx="4">
                  <c:v>FC-05</c:v>
                </c:pt>
                <c:pt idx="5">
                  <c:v>FC-06</c:v>
                </c:pt>
                <c:pt idx="6">
                  <c:v>FC-07</c:v>
                </c:pt>
                <c:pt idx="7">
                  <c:v>RC-01</c:v>
                </c:pt>
                <c:pt idx="8">
                  <c:v>RC-02</c:v>
                </c:pt>
                <c:pt idx="9">
                  <c:v>RC-03</c:v>
                </c:pt>
                <c:pt idx="10">
                  <c:v>RC-04</c:v>
                </c:pt>
                <c:pt idx="11">
                  <c:v>ER-01</c:v>
                </c:pt>
                <c:pt idx="12">
                  <c:v>ER-02</c:v>
                </c:pt>
                <c:pt idx="13">
                  <c:v>ER-03</c:v>
                </c:pt>
                <c:pt idx="14">
                  <c:v>ER-04</c:v>
                </c:pt>
                <c:pt idx="15">
                  <c:v>ER-05</c:v>
                </c:pt>
                <c:pt idx="16">
                  <c:v>ER-06</c:v>
                </c:pt>
                <c:pt idx="17">
                  <c:v>ER-07</c:v>
                </c:pt>
                <c:pt idx="18">
                  <c:v>ER-08</c:v>
                </c:pt>
                <c:pt idx="19">
                  <c:v>ER-09</c:v>
                </c:pt>
              </c:strCache>
            </c:strRef>
          </c:cat>
          <c:val>
            <c:numRef>
              <c:f>'Inherent Dashboard'!$G$14:$G$33</c:f>
              <c:numCache>
                <c:formatCode>0</c:formatCode>
                <c:ptCount val="20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5</c:v>
                </c:pt>
                <c:pt idx="6">
                  <c:v>7</c:v>
                </c:pt>
                <c:pt idx="7">
                  <c:v>3</c:v>
                </c:pt>
                <c:pt idx="8">
                  <c:v>2</c:v>
                </c:pt>
                <c:pt idx="9">
                  <c:v>6</c:v>
                </c:pt>
                <c:pt idx="10">
                  <c:v>0</c:v>
                </c:pt>
                <c:pt idx="11">
                  <c:v>6</c:v>
                </c:pt>
                <c:pt idx="12">
                  <c:v>5</c:v>
                </c:pt>
                <c:pt idx="13">
                  <c:v>3</c:v>
                </c:pt>
                <c:pt idx="14">
                  <c:v>6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7</c:v>
                </c:pt>
                <c:pt idx="19">
                  <c:v>3</c:v>
                </c:pt>
              </c:numCache>
            </c:numRef>
          </c:val>
        </c:ser>
        <c:ser>
          <c:idx val="4"/>
          <c:order val="4"/>
          <c:tx>
            <c:strRef>
              <c:f>'Inherent Dashboard'!H13</c:f>
              <c:strCache>
                <c:ptCount val="1"/>
                <c:pt idx="0">
                  <c:v>High (5)</c:v>
                </c:pt>
              </c:strCache>
            </c:strRef>
          </c:tx>
          <c:spPr>
            <a:solidFill>
              <a:srgbClr val="f869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'Inherent Dashboard'!$A$14:$A$33</c:f>
              <c:strCache>
                <c:ptCount val="20"/>
                <c:pt idx="0">
                  <c:v>FC-01</c:v>
                </c:pt>
                <c:pt idx="1">
                  <c:v>FC-02</c:v>
                </c:pt>
                <c:pt idx="2">
                  <c:v>FC-03</c:v>
                </c:pt>
                <c:pt idx="3">
                  <c:v>FC-04</c:v>
                </c:pt>
                <c:pt idx="4">
                  <c:v>FC-05</c:v>
                </c:pt>
                <c:pt idx="5">
                  <c:v>FC-06</c:v>
                </c:pt>
                <c:pt idx="6">
                  <c:v>FC-07</c:v>
                </c:pt>
                <c:pt idx="7">
                  <c:v>RC-01</c:v>
                </c:pt>
                <c:pt idx="8">
                  <c:v>RC-02</c:v>
                </c:pt>
                <c:pt idx="9">
                  <c:v>RC-03</c:v>
                </c:pt>
                <c:pt idx="10">
                  <c:v>RC-04</c:v>
                </c:pt>
                <c:pt idx="11">
                  <c:v>ER-01</c:v>
                </c:pt>
                <c:pt idx="12">
                  <c:v>ER-02</c:v>
                </c:pt>
                <c:pt idx="13">
                  <c:v>ER-03</c:v>
                </c:pt>
                <c:pt idx="14">
                  <c:v>ER-04</c:v>
                </c:pt>
                <c:pt idx="15">
                  <c:v>ER-05</c:v>
                </c:pt>
                <c:pt idx="16">
                  <c:v>ER-06</c:v>
                </c:pt>
                <c:pt idx="17">
                  <c:v>ER-07</c:v>
                </c:pt>
                <c:pt idx="18">
                  <c:v>ER-08</c:v>
                </c:pt>
                <c:pt idx="19">
                  <c:v>ER-09</c:v>
                </c:pt>
              </c:strCache>
            </c:strRef>
          </c:cat>
          <c:val>
            <c:numRef>
              <c:f>'Inherent Dashboard'!$H$14:$H$33</c:f>
              <c:numCache>
                <c:formatCode>0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8</c:v>
                </c:pt>
                <c:pt idx="8">
                  <c:v>3</c:v>
                </c:pt>
                <c:pt idx="9">
                  <c:v>3</c:v>
                </c:pt>
                <c:pt idx="10">
                  <c:v>0</c:v>
                </c:pt>
                <c:pt idx="11">
                  <c:v>5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  <c:pt idx="15">
                  <c:v>6</c:v>
                </c:pt>
                <c:pt idx="16">
                  <c:v>4</c:v>
                </c:pt>
                <c:pt idx="17">
                  <c:v>1</c:v>
                </c:pt>
                <c:pt idx="18">
                  <c:v>2</c:v>
                </c:pt>
                <c:pt idx="19">
                  <c:v>4</c:v>
                </c:pt>
              </c:numCache>
            </c:numRef>
          </c:val>
        </c:ser>
        <c:gapWidth val="40"/>
        <c:overlap val="100"/>
        <c:axId val="57912244"/>
        <c:axId val="82342026"/>
      </c:barChart>
      <c:catAx>
        <c:axId val="5791224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42026"/>
        <c:crosses val="autoZero"/>
        <c:auto val="1"/>
        <c:lblAlgn val="ctr"/>
        <c:lblOffset val="100"/>
        <c:noMultiLvlLbl val="0"/>
      </c:catAx>
      <c:valAx>
        <c:axId val="823420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entities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122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Inherent vs residual – group weighted average by risk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'Residual Dashboard'!C20</c:f>
              <c:strCache>
                <c:ptCount val="1"/>
                <c:pt idx="0">
                  <c:v>Inherent (group wtd)</c:v>
                </c:pt>
              </c:strCache>
            </c:strRef>
          </c:tx>
          <c:spPr>
            <a:solidFill>
              <a:srgbClr val="f4b18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'Residual Dashboard'!$A$21:$A$40</c:f>
              <c:strCache>
                <c:ptCount val="20"/>
                <c:pt idx="0">
                  <c:v>FC-01</c:v>
                </c:pt>
                <c:pt idx="1">
                  <c:v>FC-02</c:v>
                </c:pt>
                <c:pt idx="2">
                  <c:v>FC-03</c:v>
                </c:pt>
                <c:pt idx="3">
                  <c:v>FC-04</c:v>
                </c:pt>
                <c:pt idx="4">
                  <c:v>FC-05</c:v>
                </c:pt>
                <c:pt idx="5">
                  <c:v>FC-06</c:v>
                </c:pt>
                <c:pt idx="6">
                  <c:v>FC-07</c:v>
                </c:pt>
                <c:pt idx="7">
                  <c:v>RC-01</c:v>
                </c:pt>
                <c:pt idx="8">
                  <c:v>RC-02</c:v>
                </c:pt>
                <c:pt idx="9">
                  <c:v>RC-03</c:v>
                </c:pt>
                <c:pt idx="10">
                  <c:v>RC-04</c:v>
                </c:pt>
                <c:pt idx="11">
                  <c:v>ER-01</c:v>
                </c:pt>
                <c:pt idx="12">
                  <c:v>ER-02</c:v>
                </c:pt>
                <c:pt idx="13">
                  <c:v>ER-03</c:v>
                </c:pt>
                <c:pt idx="14">
                  <c:v>ER-04</c:v>
                </c:pt>
                <c:pt idx="15">
                  <c:v>ER-05</c:v>
                </c:pt>
                <c:pt idx="16">
                  <c:v>ER-06</c:v>
                </c:pt>
                <c:pt idx="17">
                  <c:v>ER-07</c:v>
                </c:pt>
                <c:pt idx="18">
                  <c:v>ER-08</c:v>
                </c:pt>
                <c:pt idx="19">
                  <c:v>ER-09</c:v>
                </c:pt>
              </c:strCache>
            </c:strRef>
          </c:cat>
          <c:val>
            <c:numRef>
              <c:f>'Residual Dashboard'!$C$21:$C$40</c:f>
              <c:numCache>
                <c:formatCode>0.00</c:formatCode>
                <c:ptCount val="20"/>
                <c:pt idx="0">
                  <c:v>2.75</c:v>
                </c:pt>
                <c:pt idx="1">
                  <c:v>2.67857142857143</c:v>
                </c:pt>
                <c:pt idx="2">
                  <c:v>2.66071428571429</c:v>
                </c:pt>
                <c:pt idx="3">
                  <c:v>2.75</c:v>
                </c:pt>
                <c:pt idx="4">
                  <c:v>2.71428571428571</c:v>
                </c:pt>
                <c:pt idx="5">
                  <c:v>2.75</c:v>
                </c:pt>
                <c:pt idx="6">
                  <c:v>2.78571428571429</c:v>
                </c:pt>
                <c:pt idx="7">
                  <c:v>3.21428571428571</c:v>
                </c:pt>
                <c:pt idx="8">
                  <c:v>2.73214285714286</c:v>
                </c:pt>
                <c:pt idx="9">
                  <c:v>2.80357142857143</c:v>
                </c:pt>
                <c:pt idx="10">
                  <c:v>2</c:v>
                </c:pt>
                <c:pt idx="11">
                  <c:v>3.07142857142857</c:v>
                </c:pt>
                <c:pt idx="12">
                  <c:v>2.83928571428571</c:v>
                </c:pt>
                <c:pt idx="13">
                  <c:v>2.98214285714286</c:v>
                </c:pt>
                <c:pt idx="14">
                  <c:v>3.05357142857143</c:v>
                </c:pt>
                <c:pt idx="15">
                  <c:v>3.16071428571429</c:v>
                </c:pt>
                <c:pt idx="16">
                  <c:v>2.82142857142857</c:v>
                </c:pt>
                <c:pt idx="17">
                  <c:v>2.44642857142857</c:v>
                </c:pt>
                <c:pt idx="18">
                  <c:v>2.98214285714286</c:v>
                </c:pt>
                <c:pt idx="19">
                  <c:v>2.69642857142857</c:v>
                </c:pt>
              </c:numCache>
            </c:numRef>
          </c:val>
        </c:ser>
        <c:ser>
          <c:idx val="1"/>
          <c:order val="1"/>
          <c:tx>
            <c:strRef>
              <c:f>'Residual Dashboard'!D20</c:f>
              <c:strCache>
                <c:ptCount val="1"/>
                <c:pt idx="0">
                  <c:v>Residual (group wtd)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'Residual Dashboard'!$A$21:$A$40</c:f>
              <c:strCache>
                <c:ptCount val="20"/>
                <c:pt idx="0">
                  <c:v>FC-01</c:v>
                </c:pt>
                <c:pt idx="1">
                  <c:v>FC-02</c:v>
                </c:pt>
                <c:pt idx="2">
                  <c:v>FC-03</c:v>
                </c:pt>
                <c:pt idx="3">
                  <c:v>FC-04</c:v>
                </c:pt>
                <c:pt idx="4">
                  <c:v>FC-05</c:v>
                </c:pt>
                <c:pt idx="5">
                  <c:v>FC-06</c:v>
                </c:pt>
                <c:pt idx="6">
                  <c:v>FC-07</c:v>
                </c:pt>
                <c:pt idx="7">
                  <c:v>RC-01</c:v>
                </c:pt>
                <c:pt idx="8">
                  <c:v>RC-02</c:v>
                </c:pt>
                <c:pt idx="9">
                  <c:v>RC-03</c:v>
                </c:pt>
                <c:pt idx="10">
                  <c:v>RC-04</c:v>
                </c:pt>
                <c:pt idx="11">
                  <c:v>ER-01</c:v>
                </c:pt>
                <c:pt idx="12">
                  <c:v>ER-02</c:v>
                </c:pt>
                <c:pt idx="13">
                  <c:v>ER-03</c:v>
                </c:pt>
                <c:pt idx="14">
                  <c:v>ER-04</c:v>
                </c:pt>
                <c:pt idx="15">
                  <c:v>ER-05</c:v>
                </c:pt>
                <c:pt idx="16">
                  <c:v>ER-06</c:v>
                </c:pt>
                <c:pt idx="17">
                  <c:v>ER-07</c:v>
                </c:pt>
                <c:pt idx="18">
                  <c:v>ER-08</c:v>
                </c:pt>
                <c:pt idx="19">
                  <c:v>ER-09</c:v>
                </c:pt>
              </c:strCache>
            </c:strRef>
          </c:cat>
          <c:val>
            <c:numRef>
              <c:f>'Residual Dashboard'!$D$21:$D$40</c:f>
              <c:numCache>
                <c:formatCode>0.00</c:formatCode>
                <c:ptCount val="20"/>
                <c:pt idx="0">
                  <c:v>2.26785714285714</c:v>
                </c:pt>
                <c:pt idx="1">
                  <c:v>2.33928571428571</c:v>
                </c:pt>
                <c:pt idx="2">
                  <c:v>2.21428571428571</c:v>
                </c:pt>
                <c:pt idx="3">
                  <c:v>2.30357142857143</c:v>
                </c:pt>
                <c:pt idx="4">
                  <c:v>2.07142857142857</c:v>
                </c:pt>
                <c:pt idx="5">
                  <c:v>2.23214285714286</c:v>
                </c:pt>
                <c:pt idx="6">
                  <c:v>2.21428571428571</c:v>
                </c:pt>
                <c:pt idx="7">
                  <c:v>2.60714285714286</c:v>
                </c:pt>
                <c:pt idx="8">
                  <c:v>1.92857142857143</c:v>
                </c:pt>
                <c:pt idx="9">
                  <c:v>2.375</c:v>
                </c:pt>
                <c:pt idx="10">
                  <c:v>1</c:v>
                </c:pt>
                <c:pt idx="11">
                  <c:v>2.08928571428571</c:v>
                </c:pt>
                <c:pt idx="12">
                  <c:v>2.19642857142857</c:v>
                </c:pt>
                <c:pt idx="13">
                  <c:v>2.01785714285714</c:v>
                </c:pt>
                <c:pt idx="14">
                  <c:v>2.25</c:v>
                </c:pt>
                <c:pt idx="15">
                  <c:v>2.48214285714286</c:v>
                </c:pt>
                <c:pt idx="16">
                  <c:v>2.33928571428571</c:v>
                </c:pt>
                <c:pt idx="17">
                  <c:v>1.83928571428571</c:v>
                </c:pt>
                <c:pt idx="18">
                  <c:v>2.08928571428571</c:v>
                </c:pt>
                <c:pt idx="19">
                  <c:v>2.03571428571429</c:v>
                </c:pt>
              </c:numCache>
            </c:numRef>
          </c:val>
        </c:ser>
        <c:gapWidth val="40"/>
        <c:overlap val="0"/>
        <c:axId val="54125134"/>
        <c:axId val="20780471"/>
      </c:barChart>
      <c:catAx>
        <c:axId val="5412513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780471"/>
        <c:crosses val="autoZero"/>
        <c:auto val="1"/>
        <c:lblAlgn val="ctr"/>
        <c:lblOffset val="100"/>
        <c:noMultiLvlLbl val="0"/>
      </c:catAx>
      <c:valAx>
        <c:axId val="20780471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 (1–5)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25134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Residual vs appetite – number of entities by risk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'Residual Dashboard'!E20</c:f>
              <c:strCache>
                <c:ptCount val="1"/>
                <c:pt idx="0">
                  <c:v>Within</c:v>
                </c:pt>
              </c:strCache>
            </c:strRef>
          </c:tx>
          <c:spPr>
            <a:solidFill>
              <a:srgbClr val="63be7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'Residual Dashboard'!$A$21:$A$40</c:f>
              <c:strCache>
                <c:ptCount val="20"/>
                <c:pt idx="0">
                  <c:v>FC-01</c:v>
                </c:pt>
                <c:pt idx="1">
                  <c:v>FC-02</c:v>
                </c:pt>
                <c:pt idx="2">
                  <c:v>FC-03</c:v>
                </c:pt>
                <c:pt idx="3">
                  <c:v>FC-04</c:v>
                </c:pt>
                <c:pt idx="4">
                  <c:v>FC-05</c:v>
                </c:pt>
                <c:pt idx="5">
                  <c:v>FC-06</c:v>
                </c:pt>
                <c:pt idx="6">
                  <c:v>FC-07</c:v>
                </c:pt>
                <c:pt idx="7">
                  <c:v>RC-01</c:v>
                </c:pt>
                <c:pt idx="8">
                  <c:v>RC-02</c:v>
                </c:pt>
                <c:pt idx="9">
                  <c:v>RC-03</c:v>
                </c:pt>
                <c:pt idx="10">
                  <c:v>RC-04</c:v>
                </c:pt>
                <c:pt idx="11">
                  <c:v>ER-01</c:v>
                </c:pt>
                <c:pt idx="12">
                  <c:v>ER-02</c:v>
                </c:pt>
                <c:pt idx="13">
                  <c:v>ER-03</c:v>
                </c:pt>
                <c:pt idx="14">
                  <c:v>ER-04</c:v>
                </c:pt>
                <c:pt idx="15">
                  <c:v>ER-05</c:v>
                </c:pt>
                <c:pt idx="16">
                  <c:v>ER-06</c:v>
                </c:pt>
                <c:pt idx="17">
                  <c:v>ER-07</c:v>
                </c:pt>
                <c:pt idx="18">
                  <c:v>ER-08</c:v>
                </c:pt>
                <c:pt idx="19">
                  <c:v>ER-09</c:v>
                </c:pt>
              </c:strCache>
            </c:strRef>
          </c:cat>
          <c:val>
            <c:numRef>
              <c:f>'Residual Dashboard'!$E$21:$E$40</c:f>
              <c:numCache>
                <c:formatCode>0</c:formatCode>
                <c:ptCount val="20"/>
                <c:pt idx="0">
                  <c:v>16</c:v>
                </c:pt>
                <c:pt idx="1">
                  <c:v>9</c:v>
                </c:pt>
                <c:pt idx="2">
                  <c:v>10</c:v>
                </c:pt>
                <c:pt idx="3">
                  <c:v>9</c:v>
                </c:pt>
                <c:pt idx="4">
                  <c:v>11</c:v>
                </c:pt>
                <c:pt idx="5">
                  <c:v>27</c:v>
                </c:pt>
                <c:pt idx="6">
                  <c:v>9</c:v>
                </c:pt>
                <c:pt idx="7">
                  <c:v>14</c:v>
                </c:pt>
                <c:pt idx="8">
                  <c:v>25</c:v>
                </c:pt>
                <c:pt idx="9">
                  <c:v>18</c:v>
                </c:pt>
                <c:pt idx="10">
                  <c:v>1</c:v>
                </c:pt>
                <c:pt idx="11">
                  <c:v>28</c:v>
                </c:pt>
                <c:pt idx="12">
                  <c:v>29</c:v>
                </c:pt>
                <c:pt idx="13">
                  <c:v>25</c:v>
                </c:pt>
                <c:pt idx="14">
                  <c:v>24</c:v>
                </c:pt>
                <c:pt idx="15">
                  <c:v>18</c:v>
                </c:pt>
                <c:pt idx="16">
                  <c:v>22</c:v>
                </c:pt>
                <c:pt idx="17">
                  <c:v>24</c:v>
                </c:pt>
                <c:pt idx="18">
                  <c:v>25</c:v>
                </c:pt>
                <c:pt idx="19">
                  <c:v>29</c:v>
                </c:pt>
              </c:numCache>
            </c:numRef>
          </c:val>
        </c:ser>
        <c:ser>
          <c:idx val="1"/>
          <c:order val="1"/>
          <c:tx>
            <c:strRef>
              <c:f>'Residual Dashboard'!F20</c:f>
              <c:strCache>
                <c:ptCount val="1"/>
                <c:pt idx="0">
                  <c:v>Amber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'Residual Dashboard'!$A$21:$A$40</c:f>
              <c:strCache>
                <c:ptCount val="20"/>
                <c:pt idx="0">
                  <c:v>FC-01</c:v>
                </c:pt>
                <c:pt idx="1">
                  <c:v>FC-02</c:v>
                </c:pt>
                <c:pt idx="2">
                  <c:v>FC-03</c:v>
                </c:pt>
                <c:pt idx="3">
                  <c:v>FC-04</c:v>
                </c:pt>
                <c:pt idx="4">
                  <c:v>FC-05</c:v>
                </c:pt>
                <c:pt idx="5">
                  <c:v>FC-06</c:v>
                </c:pt>
                <c:pt idx="6">
                  <c:v>FC-07</c:v>
                </c:pt>
                <c:pt idx="7">
                  <c:v>RC-01</c:v>
                </c:pt>
                <c:pt idx="8">
                  <c:v>RC-02</c:v>
                </c:pt>
                <c:pt idx="9">
                  <c:v>RC-03</c:v>
                </c:pt>
                <c:pt idx="10">
                  <c:v>RC-04</c:v>
                </c:pt>
                <c:pt idx="11">
                  <c:v>ER-01</c:v>
                </c:pt>
                <c:pt idx="12">
                  <c:v>ER-02</c:v>
                </c:pt>
                <c:pt idx="13">
                  <c:v>ER-03</c:v>
                </c:pt>
                <c:pt idx="14">
                  <c:v>ER-04</c:v>
                </c:pt>
                <c:pt idx="15">
                  <c:v>ER-05</c:v>
                </c:pt>
                <c:pt idx="16">
                  <c:v>ER-06</c:v>
                </c:pt>
                <c:pt idx="17">
                  <c:v>ER-07</c:v>
                </c:pt>
                <c:pt idx="18">
                  <c:v>ER-08</c:v>
                </c:pt>
                <c:pt idx="19">
                  <c:v>ER-09</c:v>
                </c:pt>
              </c:strCache>
            </c:strRef>
          </c:cat>
          <c:val>
            <c:numRef>
              <c:f>'Residual Dashboard'!$F$21:$F$40</c:f>
              <c:numCache>
                <c:formatCode>0</c:formatCode>
                <c:ptCount val="20"/>
                <c:pt idx="0">
                  <c:v>9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8</c:v>
                </c:pt>
                <c:pt idx="5">
                  <c:v>2</c:v>
                </c:pt>
                <c:pt idx="6">
                  <c:v>10</c:v>
                </c:pt>
                <c:pt idx="7">
                  <c:v>8</c:v>
                </c:pt>
                <c:pt idx="8">
                  <c:v>4</c:v>
                </c:pt>
                <c:pt idx="9">
                  <c:v>5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3</c:v>
                </c:pt>
                <c:pt idx="18">
                  <c:v>3</c:v>
                </c:pt>
                <c:pt idx="19">
                  <c:v>1</c:v>
                </c:pt>
              </c:numCache>
            </c:numRef>
          </c:val>
        </c:ser>
        <c:ser>
          <c:idx val="2"/>
          <c:order val="2"/>
          <c:tx>
            <c:strRef>
              <c:f>'Residual Dashboard'!G20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f869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'Residual Dashboard'!$A$21:$A$40</c:f>
              <c:strCache>
                <c:ptCount val="20"/>
                <c:pt idx="0">
                  <c:v>FC-01</c:v>
                </c:pt>
                <c:pt idx="1">
                  <c:v>FC-02</c:v>
                </c:pt>
                <c:pt idx="2">
                  <c:v>FC-03</c:v>
                </c:pt>
                <c:pt idx="3">
                  <c:v>FC-04</c:v>
                </c:pt>
                <c:pt idx="4">
                  <c:v>FC-05</c:v>
                </c:pt>
                <c:pt idx="5">
                  <c:v>FC-06</c:v>
                </c:pt>
                <c:pt idx="6">
                  <c:v>FC-07</c:v>
                </c:pt>
                <c:pt idx="7">
                  <c:v>RC-01</c:v>
                </c:pt>
                <c:pt idx="8">
                  <c:v>RC-02</c:v>
                </c:pt>
                <c:pt idx="9">
                  <c:v>RC-03</c:v>
                </c:pt>
                <c:pt idx="10">
                  <c:v>RC-04</c:v>
                </c:pt>
                <c:pt idx="11">
                  <c:v>ER-01</c:v>
                </c:pt>
                <c:pt idx="12">
                  <c:v>ER-02</c:v>
                </c:pt>
                <c:pt idx="13">
                  <c:v>ER-03</c:v>
                </c:pt>
                <c:pt idx="14">
                  <c:v>ER-04</c:v>
                </c:pt>
                <c:pt idx="15">
                  <c:v>ER-05</c:v>
                </c:pt>
                <c:pt idx="16">
                  <c:v>ER-06</c:v>
                </c:pt>
                <c:pt idx="17">
                  <c:v>ER-07</c:v>
                </c:pt>
                <c:pt idx="18">
                  <c:v>ER-08</c:v>
                </c:pt>
                <c:pt idx="19">
                  <c:v>ER-09</c:v>
                </c:pt>
              </c:strCache>
            </c:strRef>
          </c:cat>
          <c:val>
            <c:numRef>
              <c:f>'Residual Dashboard'!$G$21:$G$40</c:f>
              <c:numCache>
                <c:formatCode>0</c:formatCode>
                <c:ptCount val="20"/>
                <c:pt idx="0">
                  <c:v>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11</c:v>
                </c:pt>
                <c:pt idx="5">
                  <c:v>1</c:v>
                </c:pt>
                <c:pt idx="6">
                  <c:v>11</c:v>
                </c:pt>
                <c:pt idx="7">
                  <c:v>8</c:v>
                </c:pt>
                <c:pt idx="8">
                  <c:v>1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6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</c:numCache>
            </c:numRef>
          </c:val>
        </c:ser>
        <c:gapWidth val="40"/>
        <c:overlap val="100"/>
        <c:axId val="33916354"/>
        <c:axId val="54053046"/>
      </c:barChart>
      <c:catAx>
        <c:axId val="3391635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53046"/>
        <c:crosses val="autoZero"/>
        <c:auto val="1"/>
        <c:lblAlgn val="ctr"/>
        <c:lblOffset val="100"/>
        <c:noMultiLvlLbl val="0"/>
      </c:catAx>
      <c:valAx>
        <c:axId val="540530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entities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163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160560</xdr:rowOff>
    </xdr:from>
    <xdr:to>
      <xdr:col>19</xdr:col>
      <xdr:colOff>364680</xdr:colOff>
      <xdr:row>25</xdr:row>
      <xdr:rowOff>77760</xdr:rowOff>
    </xdr:to>
    <xdr:graphicFrame>
      <xdr:nvGraphicFramePr>
        <xdr:cNvPr id="0" name="Chart 1"/>
        <xdr:cNvGraphicFramePr/>
      </xdr:nvGraphicFramePr>
      <xdr:xfrm>
        <a:off x="11959560" y="380880"/>
        <a:ext cx="64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28</xdr:row>
      <xdr:rowOff>160560</xdr:rowOff>
    </xdr:from>
    <xdr:to>
      <xdr:col>19</xdr:col>
      <xdr:colOff>364680</xdr:colOff>
      <xdr:row>53</xdr:row>
      <xdr:rowOff>77760</xdr:rowOff>
    </xdr:to>
    <xdr:graphicFrame>
      <xdr:nvGraphicFramePr>
        <xdr:cNvPr id="1" name="Chart 2"/>
        <xdr:cNvGraphicFramePr/>
      </xdr:nvGraphicFramePr>
      <xdr:xfrm>
        <a:off x="11959560" y="5715000"/>
        <a:ext cx="64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160560</xdr:rowOff>
    </xdr:from>
    <xdr:to>
      <xdr:col>18</xdr:col>
      <xdr:colOff>364320</xdr:colOff>
      <xdr:row>27</xdr:row>
      <xdr:rowOff>56520</xdr:rowOff>
    </xdr:to>
    <xdr:graphicFrame>
      <xdr:nvGraphicFramePr>
        <xdr:cNvPr id="2" name="Chart 1"/>
        <xdr:cNvGraphicFramePr/>
      </xdr:nvGraphicFramePr>
      <xdr:xfrm>
        <a:off x="10831680" y="38088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30</xdr:row>
      <xdr:rowOff>160560</xdr:rowOff>
    </xdr:from>
    <xdr:to>
      <xdr:col>18</xdr:col>
      <xdr:colOff>364320</xdr:colOff>
      <xdr:row>57</xdr:row>
      <xdr:rowOff>56520</xdr:rowOff>
    </xdr:to>
    <xdr:graphicFrame>
      <xdr:nvGraphicFramePr>
        <xdr:cNvPr id="3" name="Chart 2"/>
        <xdr:cNvGraphicFramePr/>
      </xdr:nvGraphicFramePr>
      <xdr:xfrm>
        <a:off x="10831680" y="609588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60" hidden="false" customHeight="true" outlineLevel="0" collapsed="false">
      <c r="A4" s="3" t="s">
        <v>2</v>
      </c>
      <c r="B4" s="4" t="s">
        <v>3</v>
      </c>
    </row>
    <row r="5" customFormat="false" ht="45" hidden="false" customHeight="true" outlineLevel="0" collapsed="false">
      <c r="A5" s="3" t="s">
        <v>4</v>
      </c>
      <c r="B5" s="4" t="s">
        <v>5</v>
      </c>
    </row>
    <row r="6" customFormat="false" ht="90" hidden="false" customHeight="true" outlineLevel="0" collapsed="false">
      <c r="A6" s="3" t="s">
        <v>6</v>
      </c>
      <c r="B6" s="4" t="s">
        <v>7</v>
      </c>
    </row>
    <row r="7" customFormat="false" ht="75" hidden="false" customHeight="true" outlineLevel="0" collapsed="false">
      <c r="A7" s="3" t="s">
        <v>8</v>
      </c>
      <c r="B7" s="4" t="s">
        <v>9</v>
      </c>
    </row>
    <row r="8" customFormat="false" ht="45" hidden="false" customHeight="true" outlineLevel="0" collapsed="false">
      <c r="A8" s="3" t="s">
        <v>10</v>
      </c>
      <c r="B8" s="4" t="s">
        <v>11</v>
      </c>
    </row>
    <row r="9" customFormat="false" ht="45" hidden="false" customHeight="true" outlineLevel="0" collapsed="false">
      <c r="A9" s="3" t="s">
        <v>12</v>
      </c>
      <c r="B9" s="4" t="s">
        <v>13</v>
      </c>
    </row>
    <row r="10" customFormat="false" ht="45" hidden="false" customHeight="true" outlineLevel="0" collapsed="false">
      <c r="A10" s="3" t="s">
        <v>14</v>
      </c>
      <c r="B10" s="4" t="s">
        <v>15</v>
      </c>
    </row>
    <row r="11" customFormat="false" ht="90" hidden="false" customHeight="true" outlineLevel="0" collapsed="false">
      <c r="A11" s="3" t="s">
        <v>16</v>
      </c>
      <c r="B11" s="4" t="s">
        <v>17</v>
      </c>
    </row>
    <row r="12" customFormat="false" ht="45" hidden="false" customHeight="true" outlineLevel="0" collapsed="false">
      <c r="A12" s="3" t="s">
        <v>18</v>
      </c>
      <c r="B12" s="4" t="s">
        <v>19</v>
      </c>
    </row>
    <row r="13" customFormat="false" ht="60" hidden="false" customHeight="true" outlineLevel="0" collapsed="false">
      <c r="A13" s="3" t="s">
        <v>20</v>
      </c>
      <c r="B13" s="4" t="s">
        <v>21</v>
      </c>
    </row>
    <row r="14" customFormat="false" ht="45" hidden="false" customHeight="true" outlineLevel="0" collapsed="false">
      <c r="A14" s="3" t="s">
        <v>22</v>
      </c>
      <c r="B14" s="4" t="s">
        <v>23</v>
      </c>
    </row>
    <row r="15" customFormat="false" ht="45" hidden="false" customHeight="true" outlineLevel="0" collapsed="false">
      <c r="A15" s="3" t="s">
        <v>24</v>
      </c>
      <c r="B15" s="4" t="s">
        <v>25</v>
      </c>
    </row>
    <row r="17" customFormat="false" ht="15" hidden="false" customHeight="false" outlineLevel="0" collapsed="false">
      <c r="A17" s="5" t="s">
        <v>26</v>
      </c>
      <c r="B17" s="5" t="s">
        <v>27</v>
      </c>
      <c r="C17" s="5" t="s">
        <v>28</v>
      </c>
    </row>
    <row r="18" customFormat="false" ht="15" hidden="false" customHeight="false" outlineLevel="0" collapsed="false">
      <c r="A18" s="4" t="s">
        <v>29</v>
      </c>
      <c r="B18" s="4" t="s">
        <v>30</v>
      </c>
      <c r="C18" s="4" t="s">
        <v>31</v>
      </c>
    </row>
    <row r="19" customFormat="false" ht="15" hidden="false" customHeight="false" outlineLevel="0" collapsed="false">
      <c r="A19" s="4" t="s">
        <v>32</v>
      </c>
      <c r="B19" s="4" t="s">
        <v>33</v>
      </c>
      <c r="C19" s="4" t="s">
        <v>31</v>
      </c>
    </row>
    <row r="20" customFormat="false" ht="15" hidden="false" customHeight="false" outlineLevel="0" collapsed="false">
      <c r="A20" s="4" t="s">
        <v>34</v>
      </c>
      <c r="B20" s="4" t="s">
        <v>35</v>
      </c>
      <c r="C20" s="4" t="s">
        <v>36</v>
      </c>
    </row>
    <row r="21" customFormat="false" ht="15" hidden="false" customHeight="false" outlineLevel="0" collapsed="false">
      <c r="A21" s="4" t="s">
        <v>37</v>
      </c>
      <c r="B21" s="4" t="s">
        <v>38</v>
      </c>
      <c r="C21" s="4" t="s">
        <v>31</v>
      </c>
    </row>
    <row r="22" customFormat="false" ht="15" hidden="false" customHeight="false" outlineLevel="0" collapsed="false">
      <c r="A22" s="4" t="s">
        <v>39</v>
      </c>
      <c r="B22" s="4" t="s">
        <v>40</v>
      </c>
      <c r="C22" s="4" t="s">
        <v>31</v>
      </c>
    </row>
    <row r="23" customFormat="false" ht="15" hidden="false" customHeight="false" outlineLevel="0" collapsed="false">
      <c r="A23" s="4" t="s">
        <v>41</v>
      </c>
      <c r="B23" s="4" t="s">
        <v>42</v>
      </c>
      <c r="C23" s="4" t="s">
        <v>31</v>
      </c>
    </row>
    <row r="24" customFormat="false" ht="15" hidden="false" customHeight="false" outlineLevel="0" collapsed="false">
      <c r="A24" s="4" t="s">
        <v>43</v>
      </c>
      <c r="B24" s="4" t="s">
        <v>44</v>
      </c>
      <c r="C24" s="4" t="s">
        <v>45</v>
      </c>
    </row>
    <row r="25" customFormat="false" ht="15" hidden="false" customHeight="false" outlineLevel="0" collapsed="false">
      <c r="A25" s="4" t="s">
        <v>46</v>
      </c>
      <c r="B25" s="4" t="s">
        <v>47</v>
      </c>
      <c r="C25" s="4" t="s">
        <v>48</v>
      </c>
    </row>
    <row r="26" customFormat="false" ht="15" hidden="false" customHeight="false" outlineLevel="0" collapsed="false">
      <c r="A26" s="4" t="s">
        <v>49</v>
      </c>
      <c r="B26" s="4" t="s">
        <v>50</v>
      </c>
      <c r="C26" s="4" t="s">
        <v>51</v>
      </c>
    </row>
    <row r="27" customFormat="false" ht="15" hidden="false" customHeight="false" outlineLevel="0" collapsed="false">
      <c r="A27" s="4" t="s">
        <v>52</v>
      </c>
      <c r="B27" s="4" t="s">
        <v>53</v>
      </c>
      <c r="C27" s="4" t="s">
        <v>45</v>
      </c>
    </row>
    <row r="28" customFormat="false" ht="15" hidden="false" customHeight="false" outlineLevel="0" collapsed="false">
      <c r="A28" s="4" t="s">
        <v>54</v>
      </c>
      <c r="B28" s="4" t="s">
        <v>55</v>
      </c>
      <c r="C28" s="4" t="s">
        <v>45</v>
      </c>
    </row>
    <row r="29" customFormat="false" ht="15" hidden="false" customHeight="false" outlineLevel="0" collapsed="false">
      <c r="A29" s="4" t="s">
        <v>56</v>
      </c>
      <c r="B29" s="4" t="s">
        <v>57</v>
      </c>
      <c r="C29" s="4" t="s">
        <v>31</v>
      </c>
    </row>
    <row r="30" customFormat="false" ht="15" hidden="false" customHeight="false" outlineLevel="0" collapsed="false">
      <c r="A30" s="4" t="s">
        <v>58</v>
      </c>
      <c r="B30" s="4" t="s">
        <v>59</v>
      </c>
      <c r="C30" s="4" t="s">
        <v>31</v>
      </c>
    </row>
    <row r="31" customFormat="false" ht="15" hidden="false" customHeight="false" outlineLevel="0" collapsed="false">
      <c r="A31" s="4" t="s">
        <v>60</v>
      </c>
      <c r="B31" s="4" t="s">
        <v>61</v>
      </c>
      <c r="C31" s="4" t="s">
        <v>31</v>
      </c>
    </row>
    <row r="32" customFormat="false" ht="15" hidden="false" customHeight="false" outlineLevel="0" collapsed="false">
      <c r="A32" s="4" t="s">
        <v>62</v>
      </c>
      <c r="B32" s="4" t="s">
        <v>63</v>
      </c>
      <c r="C32" s="4" t="s">
        <v>45</v>
      </c>
    </row>
    <row r="33" customFormat="false" ht="15" hidden="false" customHeight="false" outlineLevel="0" collapsed="false">
      <c r="A33" s="4" t="s">
        <v>64</v>
      </c>
      <c r="B33" s="4" t="s">
        <v>65</v>
      </c>
      <c r="C33" s="4" t="s">
        <v>66</v>
      </c>
    </row>
    <row r="34" customFormat="false" ht="15" hidden="false" customHeight="false" outlineLevel="0" collapsed="false">
      <c r="A34" s="4" t="s">
        <v>67</v>
      </c>
      <c r="B34" s="4" t="s">
        <v>68</v>
      </c>
      <c r="C34" s="4" t="s">
        <v>48</v>
      </c>
    </row>
    <row r="35" customFormat="false" ht="15" hidden="false" customHeight="false" outlineLevel="0" collapsed="false">
      <c r="A35" s="4" t="s">
        <v>69</v>
      </c>
      <c r="B35" s="4" t="s">
        <v>70</v>
      </c>
      <c r="C35" s="4" t="s">
        <v>45</v>
      </c>
    </row>
    <row r="36" customFormat="false" ht="15" hidden="false" customHeight="false" outlineLevel="0" collapsed="false">
      <c r="A36" s="4" t="s">
        <v>71</v>
      </c>
      <c r="B36" s="4" t="s">
        <v>72</v>
      </c>
      <c r="C36" s="4" t="s">
        <v>45</v>
      </c>
    </row>
    <row r="37" customFormat="false" ht="15" hidden="false" customHeight="false" outlineLevel="0" collapsed="false">
      <c r="A37" s="4" t="s">
        <v>73</v>
      </c>
      <c r="B37" s="4" t="s">
        <v>74</v>
      </c>
      <c r="C37" s="4" t="s">
        <v>45</v>
      </c>
    </row>
    <row r="38" customFormat="false" ht="15" hidden="false" customHeight="false" outlineLevel="0" collapsed="false">
      <c r="A38" s="4" t="s">
        <v>75</v>
      </c>
      <c r="B38" s="4" t="s">
        <v>76</v>
      </c>
      <c r="C38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5" min="4" style="0" width="20"/>
    <col collapsed="false" customWidth="true" hidden="false" outlineLevel="0" max="6" min="6" style="0" width="30"/>
    <col collapsed="false" customWidth="true" hidden="false" outlineLevel="0" max="7" min="7" style="0" width="3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3" customFormat="false" ht="15" hidden="false" customHeight="false" outlineLevel="0" collapsed="false">
      <c r="A3" s="6" t="s">
        <v>79</v>
      </c>
      <c r="H3" s="6" t="s">
        <v>80</v>
      </c>
    </row>
    <row r="4" customFormat="false" ht="23.85" hidden="false" customHeight="false" outlineLevel="0" collapsed="false">
      <c r="A4" s="5" t="s">
        <v>81</v>
      </c>
      <c r="B4" s="5" t="s">
        <v>82</v>
      </c>
      <c r="C4" s="5" t="s">
        <v>83</v>
      </c>
      <c r="D4" s="5" t="s">
        <v>84</v>
      </c>
      <c r="E4" s="5" t="s">
        <v>85</v>
      </c>
    </row>
    <row r="5" customFormat="false" ht="15" hidden="false" customHeight="false" outlineLevel="0" collapsed="false">
      <c r="A5" s="7" t="n">
        <v>1</v>
      </c>
      <c r="B5" s="8" t="s">
        <v>86</v>
      </c>
      <c r="C5" s="9" t="s">
        <v>87</v>
      </c>
      <c r="D5" s="10" t="n">
        <v>1</v>
      </c>
      <c r="E5" s="11" t="n">
        <v>1</v>
      </c>
      <c r="H5" s="12" t="s">
        <v>88</v>
      </c>
    </row>
    <row r="6" customFormat="false" ht="15" hidden="false" customHeight="false" outlineLevel="0" collapsed="false">
      <c r="A6" s="7" t="n">
        <v>2</v>
      </c>
      <c r="B6" s="8" t="s">
        <v>89</v>
      </c>
      <c r="C6" s="13" t="s">
        <v>90</v>
      </c>
      <c r="D6" s="10" t="n">
        <v>1.81</v>
      </c>
      <c r="E6" s="11" t="n">
        <v>5</v>
      </c>
      <c r="H6" s="12" t="s">
        <v>91</v>
      </c>
    </row>
    <row r="7" customFormat="false" ht="15" hidden="false" customHeight="false" outlineLevel="0" collapsed="false">
      <c r="A7" s="7" t="n">
        <v>3</v>
      </c>
      <c r="B7" s="8" t="s">
        <v>92</v>
      </c>
      <c r="C7" s="14" t="s">
        <v>93</v>
      </c>
      <c r="D7" s="10" t="n">
        <v>2.61</v>
      </c>
      <c r="E7" s="11" t="n">
        <v>9</v>
      </c>
      <c r="H7" s="12" t="s">
        <v>94</v>
      </c>
    </row>
    <row r="8" customFormat="false" ht="15" hidden="false" customHeight="false" outlineLevel="0" collapsed="false">
      <c r="A8" s="7" t="n">
        <v>4</v>
      </c>
      <c r="B8" s="8" t="s">
        <v>95</v>
      </c>
      <c r="C8" s="15" t="s">
        <v>96</v>
      </c>
      <c r="D8" s="10" t="n">
        <v>3.41</v>
      </c>
      <c r="E8" s="11" t="n">
        <v>13</v>
      </c>
    </row>
    <row r="9" customFormat="false" ht="15" hidden="false" customHeight="false" outlineLevel="0" collapsed="false">
      <c r="A9" s="7" t="n">
        <v>5</v>
      </c>
      <c r="B9" s="8" t="s">
        <v>97</v>
      </c>
      <c r="C9" s="16" t="s">
        <v>98</v>
      </c>
      <c r="D9" s="10" t="n">
        <v>4.21</v>
      </c>
      <c r="E9" s="11" t="n">
        <v>20</v>
      </c>
      <c r="H9" s="12" t="s">
        <v>99</v>
      </c>
    </row>
    <row r="10" customFormat="false" ht="15" hidden="false" customHeight="false" outlineLevel="0" collapsed="false">
      <c r="H10" s="12" t="s">
        <v>100</v>
      </c>
    </row>
    <row r="11" customFormat="false" ht="15" hidden="false" customHeight="false" outlineLevel="0" collapsed="false">
      <c r="A11" s="6" t="s">
        <v>101</v>
      </c>
    </row>
    <row r="12" customFormat="false" ht="15" hidden="false" customHeight="true" outlineLevel="0" collapsed="false">
      <c r="A12" s="3" t="s">
        <v>102</v>
      </c>
      <c r="C12" s="8" t="s">
        <v>91</v>
      </c>
      <c r="D12" s="4" t="s">
        <v>103</v>
      </c>
      <c r="E12" s="4"/>
      <c r="F12" s="4"/>
      <c r="H12" s="12" t="s">
        <v>104</v>
      </c>
    </row>
    <row r="13" customFormat="false" ht="15" hidden="false" customHeight="true" outlineLevel="0" collapsed="false">
      <c r="A13" s="3" t="s">
        <v>105</v>
      </c>
      <c r="C13" s="10" t="n">
        <v>5</v>
      </c>
      <c r="D13" s="4" t="s">
        <v>106</v>
      </c>
      <c r="E13" s="4"/>
      <c r="F13" s="4"/>
      <c r="H13" s="12" t="s">
        <v>88</v>
      </c>
    </row>
    <row r="14" customFormat="false" ht="15" hidden="false" customHeight="true" outlineLevel="0" collapsed="false">
      <c r="A14" s="3" t="s">
        <v>107</v>
      </c>
      <c r="C14" s="10" t="n">
        <v>4</v>
      </c>
      <c r="D14" s="4" t="s">
        <v>108</v>
      </c>
      <c r="E14" s="4"/>
      <c r="F14" s="4"/>
    </row>
    <row r="15" customFormat="false" ht="23.85" hidden="false" customHeight="true" outlineLevel="0" collapsed="false">
      <c r="A15" s="3" t="s">
        <v>109</v>
      </c>
      <c r="C15" s="8" t="s">
        <v>99</v>
      </c>
      <c r="D15" s="4" t="s">
        <v>110</v>
      </c>
      <c r="E15" s="4"/>
      <c r="F15" s="4"/>
      <c r="H15" s="12" t="s">
        <v>111</v>
      </c>
    </row>
    <row r="16" customFormat="false" ht="15" hidden="false" customHeight="false" outlineLevel="0" collapsed="false">
      <c r="H16" s="12" t="s">
        <v>112</v>
      </c>
    </row>
    <row r="18" customFormat="false" ht="15" hidden="false" customHeight="false" outlineLevel="0" collapsed="false">
      <c r="A18" s="6" t="s">
        <v>113</v>
      </c>
      <c r="H18" s="12" t="s">
        <v>114</v>
      </c>
    </row>
    <row r="19" customFormat="false" ht="23.85" hidden="false" customHeight="true" outlineLevel="0" collapsed="false">
      <c r="A19" s="3" t="s">
        <v>115</v>
      </c>
      <c r="C19" s="8" t="s">
        <v>104</v>
      </c>
      <c r="D19" s="4" t="s">
        <v>116</v>
      </c>
      <c r="E19" s="4"/>
      <c r="F19" s="4"/>
      <c r="H19" s="12" t="s">
        <v>117</v>
      </c>
    </row>
    <row r="20" customFormat="false" ht="15" hidden="false" customHeight="false" outlineLevel="0" collapsed="false">
      <c r="A20" s="12" t="s">
        <v>118</v>
      </c>
      <c r="C20" s="17" t="n">
        <v>0.35</v>
      </c>
      <c r="H20" s="12" t="s">
        <v>119</v>
      </c>
    </row>
    <row r="21" customFormat="false" ht="15" hidden="false" customHeight="false" outlineLevel="0" collapsed="false">
      <c r="A21" s="12" t="s">
        <v>120</v>
      </c>
      <c r="C21" s="17" t="n">
        <v>0.3</v>
      </c>
      <c r="H21" s="12" t="s">
        <v>121</v>
      </c>
    </row>
    <row r="22" customFormat="false" ht="15" hidden="false" customHeight="false" outlineLevel="0" collapsed="false">
      <c r="A22" s="12" t="s">
        <v>122</v>
      </c>
      <c r="C22" s="17" t="n">
        <v>0.2</v>
      </c>
      <c r="H22" s="12" t="s">
        <v>123</v>
      </c>
    </row>
    <row r="23" customFormat="false" ht="15" hidden="false" customHeight="false" outlineLevel="0" collapsed="false">
      <c r="A23" s="12" t="s">
        <v>124</v>
      </c>
      <c r="C23" s="17" t="n">
        <v>0.15</v>
      </c>
    </row>
    <row r="24" customFormat="false" ht="15" hidden="false" customHeight="false" outlineLevel="0" collapsed="false">
      <c r="A24" s="3" t="s">
        <v>125</v>
      </c>
      <c r="C24" s="18" t="n">
        <f aca="false">SUM(C20:C23)</f>
        <v>1</v>
      </c>
      <c r="D24" s="12" t="s">
        <v>126</v>
      </c>
      <c r="H24" s="12" t="s">
        <v>127</v>
      </c>
    </row>
    <row r="25" customFormat="false" ht="15" hidden="false" customHeight="false" outlineLevel="0" collapsed="false">
      <c r="H25" s="12" t="s">
        <v>128</v>
      </c>
    </row>
    <row r="26" customFormat="false" ht="15" hidden="false" customHeight="false" outlineLevel="0" collapsed="false">
      <c r="A26" s="6" t="s">
        <v>129</v>
      </c>
    </row>
    <row r="27" customFormat="false" ht="15" hidden="false" customHeight="false" outlineLevel="0" collapsed="false">
      <c r="A27" s="3" t="s">
        <v>130</v>
      </c>
      <c r="C27" s="11" t="n">
        <v>1</v>
      </c>
      <c r="D27" s="12" t="s">
        <v>131</v>
      </c>
      <c r="E27" s="12"/>
      <c r="F27" s="12"/>
    </row>
  </sheetData>
  <mergeCells count="6">
    <mergeCell ref="D12:F12"/>
    <mergeCell ref="D13:F13"/>
    <mergeCell ref="D14:F14"/>
    <mergeCell ref="D15:F15"/>
    <mergeCell ref="D19:F19"/>
    <mergeCell ref="D27:F27"/>
  </mergeCells>
  <dataValidations count="3">
    <dataValidation allowBlank="false" errorStyle="stop" operator="between" showDropDown="false" showErrorMessage="false" showInputMessage="false" sqref="C12" type="list">
      <formula1>Config!$H$5:$H$7</formula1>
      <formula2>0</formula2>
    </dataValidation>
    <dataValidation allowBlank="false" errorStyle="stop" operator="between" showDropDown="false" showErrorMessage="false" showInputMessage="false" sqref="C15" type="list">
      <formula1>Config!$H$9:$H$10</formula1>
      <formula2>0</formula2>
    </dataValidation>
    <dataValidation allowBlank="false" errorStyle="stop" operator="between" showDropDown="false" showErrorMessage="false" showInputMessage="false" sqref="C19" type="list">
      <formula1>Config!$H$12:$H$13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24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4" customFormat="false" ht="23.85" hidden="false" customHeight="false" outlineLevel="0" collapsed="false">
      <c r="A4" s="5" t="s">
        <v>134</v>
      </c>
      <c r="B4" s="5" t="s">
        <v>135</v>
      </c>
      <c r="C4" s="5" t="s">
        <v>136</v>
      </c>
      <c r="D4" s="5" t="s">
        <v>137</v>
      </c>
      <c r="E4" s="5" t="s">
        <v>138</v>
      </c>
      <c r="F4" s="5" t="s">
        <v>139</v>
      </c>
      <c r="G4" s="5" t="s">
        <v>140</v>
      </c>
      <c r="H4" s="5" t="s">
        <v>141</v>
      </c>
      <c r="I4" s="5" t="s">
        <v>142</v>
      </c>
    </row>
    <row r="5" customFormat="false" ht="15" hidden="false" customHeight="false" outlineLevel="0" collapsed="false">
      <c r="A5" s="8" t="s">
        <v>143</v>
      </c>
      <c r="B5" s="8" t="s">
        <v>144</v>
      </c>
      <c r="C5" s="8" t="s">
        <v>145</v>
      </c>
      <c r="D5" s="8" t="s">
        <v>146</v>
      </c>
      <c r="E5" s="8" t="s">
        <v>147</v>
      </c>
      <c r="F5" s="8" t="s">
        <v>148</v>
      </c>
      <c r="G5" s="8" t="s">
        <v>112</v>
      </c>
      <c r="H5" s="12" t="s">
        <v>92</v>
      </c>
      <c r="I5" s="19" t="n">
        <v>3</v>
      </c>
    </row>
    <row r="6" customFormat="false" ht="15" hidden="false" customHeight="false" outlineLevel="0" collapsed="false">
      <c r="A6" s="8" t="s">
        <v>149</v>
      </c>
      <c r="B6" s="8" t="s">
        <v>150</v>
      </c>
      <c r="C6" s="8" t="s">
        <v>145</v>
      </c>
      <c r="D6" s="8" t="s">
        <v>146</v>
      </c>
      <c r="E6" s="8" t="s">
        <v>151</v>
      </c>
      <c r="F6" s="8" t="s">
        <v>148</v>
      </c>
      <c r="G6" s="8" t="s">
        <v>111</v>
      </c>
      <c r="H6" s="12" t="s">
        <v>92</v>
      </c>
      <c r="I6" s="19" t="n">
        <v>3</v>
      </c>
    </row>
    <row r="7" customFormat="false" ht="15" hidden="false" customHeight="false" outlineLevel="0" collapsed="false">
      <c r="A7" s="8" t="s">
        <v>152</v>
      </c>
      <c r="B7" s="8" t="s">
        <v>153</v>
      </c>
      <c r="C7" s="8" t="s">
        <v>145</v>
      </c>
      <c r="D7" s="8" t="s">
        <v>146</v>
      </c>
      <c r="E7" s="8" t="s">
        <v>154</v>
      </c>
      <c r="F7" s="8" t="s">
        <v>155</v>
      </c>
      <c r="G7" s="8" t="s">
        <v>112</v>
      </c>
      <c r="H7" s="12" t="s">
        <v>92</v>
      </c>
      <c r="I7" s="19" t="n">
        <v>1</v>
      </c>
    </row>
    <row r="8" customFormat="false" ht="15" hidden="false" customHeight="false" outlineLevel="0" collapsed="false">
      <c r="A8" s="8" t="s">
        <v>156</v>
      </c>
      <c r="B8" s="8" t="s">
        <v>157</v>
      </c>
      <c r="C8" s="8" t="s">
        <v>145</v>
      </c>
      <c r="D8" s="8" t="s">
        <v>146</v>
      </c>
      <c r="E8" s="8" t="s">
        <v>158</v>
      </c>
      <c r="F8" s="8" t="s">
        <v>155</v>
      </c>
      <c r="G8" s="8" t="s">
        <v>112</v>
      </c>
      <c r="H8" s="12" t="s">
        <v>92</v>
      </c>
      <c r="I8" s="19" t="n">
        <v>1</v>
      </c>
    </row>
    <row r="9" customFormat="false" ht="15" hidden="false" customHeight="false" outlineLevel="0" collapsed="false">
      <c r="A9" s="8" t="s">
        <v>159</v>
      </c>
      <c r="B9" s="8" t="s">
        <v>160</v>
      </c>
      <c r="C9" s="8" t="s">
        <v>145</v>
      </c>
      <c r="D9" s="8" t="s">
        <v>146</v>
      </c>
      <c r="E9" s="8" t="s">
        <v>161</v>
      </c>
      <c r="F9" s="8" t="s">
        <v>155</v>
      </c>
      <c r="G9" s="8" t="s">
        <v>112</v>
      </c>
      <c r="H9" s="12" t="s">
        <v>92</v>
      </c>
      <c r="I9" s="19" t="n">
        <v>1</v>
      </c>
    </row>
    <row r="10" customFormat="false" ht="15" hidden="false" customHeight="false" outlineLevel="0" collapsed="false">
      <c r="A10" s="8" t="s">
        <v>162</v>
      </c>
      <c r="B10" s="8" t="s">
        <v>163</v>
      </c>
      <c r="C10" s="8" t="s">
        <v>164</v>
      </c>
      <c r="D10" s="8" t="s">
        <v>165</v>
      </c>
      <c r="E10" s="8" t="s">
        <v>166</v>
      </c>
      <c r="F10" s="8" t="s">
        <v>148</v>
      </c>
      <c r="G10" s="8" t="s">
        <v>112</v>
      </c>
      <c r="H10" s="12" t="s">
        <v>167</v>
      </c>
      <c r="I10" s="19" t="n">
        <v>3</v>
      </c>
    </row>
    <row r="11" customFormat="false" ht="15" hidden="false" customHeight="false" outlineLevel="0" collapsed="false">
      <c r="A11" s="8" t="s">
        <v>168</v>
      </c>
      <c r="B11" s="8" t="s">
        <v>169</v>
      </c>
      <c r="C11" s="8" t="s">
        <v>164</v>
      </c>
      <c r="D11" s="8" t="s">
        <v>165</v>
      </c>
      <c r="E11" s="8" t="s">
        <v>154</v>
      </c>
      <c r="F11" s="8" t="s">
        <v>155</v>
      </c>
      <c r="G11" s="8" t="s">
        <v>112</v>
      </c>
      <c r="H11" s="12" t="s">
        <v>167</v>
      </c>
      <c r="I11" s="19" t="n">
        <v>1</v>
      </c>
    </row>
    <row r="12" customFormat="false" ht="15" hidden="false" customHeight="false" outlineLevel="0" collapsed="false">
      <c r="A12" s="8" t="s">
        <v>170</v>
      </c>
      <c r="B12" s="8" t="s">
        <v>171</v>
      </c>
      <c r="C12" s="8" t="s">
        <v>172</v>
      </c>
      <c r="D12" s="8" t="s">
        <v>165</v>
      </c>
      <c r="E12" s="8" t="s">
        <v>166</v>
      </c>
      <c r="F12" s="8" t="s">
        <v>173</v>
      </c>
      <c r="G12" s="8" t="s">
        <v>112</v>
      </c>
      <c r="H12" s="12" t="s">
        <v>167</v>
      </c>
      <c r="I12" s="19" t="n">
        <v>2</v>
      </c>
    </row>
    <row r="13" customFormat="false" ht="15" hidden="false" customHeight="false" outlineLevel="0" collapsed="false">
      <c r="A13" s="8" t="s">
        <v>174</v>
      </c>
      <c r="B13" s="8" t="s">
        <v>175</v>
      </c>
      <c r="C13" s="8" t="s">
        <v>176</v>
      </c>
      <c r="D13" s="8" t="s">
        <v>165</v>
      </c>
      <c r="E13" s="8" t="s">
        <v>177</v>
      </c>
      <c r="F13" s="8" t="s">
        <v>173</v>
      </c>
      <c r="G13" s="8" t="s">
        <v>112</v>
      </c>
      <c r="H13" s="12" t="s">
        <v>167</v>
      </c>
      <c r="I13" s="19" t="n">
        <v>2</v>
      </c>
    </row>
    <row r="14" customFormat="false" ht="15" hidden="false" customHeight="false" outlineLevel="0" collapsed="false">
      <c r="A14" s="8" t="s">
        <v>178</v>
      </c>
      <c r="B14" s="8" t="s">
        <v>179</v>
      </c>
      <c r="C14" s="8" t="s">
        <v>180</v>
      </c>
      <c r="D14" s="8" t="s">
        <v>181</v>
      </c>
      <c r="E14" s="8" t="s">
        <v>166</v>
      </c>
      <c r="F14" s="8" t="s">
        <v>148</v>
      </c>
      <c r="G14" s="8" t="s">
        <v>112</v>
      </c>
      <c r="H14" s="12" t="s">
        <v>92</v>
      </c>
      <c r="I14" s="19" t="n">
        <v>3</v>
      </c>
    </row>
    <row r="15" customFormat="false" ht="15" hidden="false" customHeight="false" outlineLevel="0" collapsed="false">
      <c r="A15" s="8" t="s">
        <v>182</v>
      </c>
      <c r="B15" s="8" t="s">
        <v>183</v>
      </c>
      <c r="C15" s="8" t="s">
        <v>184</v>
      </c>
      <c r="D15" s="8" t="s">
        <v>181</v>
      </c>
      <c r="E15" s="8" t="s">
        <v>166</v>
      </c>
      <c r="F15" s="8" t="s">
        <v>173</v>
      </c>
      <c r="G15" s="8" t="s">
        <v>112</v>
      </c>
      <c r="H15" s="12" t="s">
        <v>92</v>
      </c>
      <c r="I15" s="19" t="n">
        <v>2</v>
      </c>
    </row>
    <row r="16" customFormat="false" ht="15" hidden="false" customHeight="false" outlineLevel="0" collapsed="false">
      <c r="A16" s="8" t="s">
        <v>185</v>
      </c>
      <c r="B16" s="8" t="s">
        <v>186</v>
      </c>
      <c r="C16" s="8" t="s">
        <v>187</v>
      </c>
      <c r="D16" s="8" t="s">
        <v>181</v>
      </c>
      <c r="E16" s="8" t="s">
        <v>166</v>
      </c>
      <c r="F16" s="8" t="s">
        <v>173</v>
      </c>
      <c r="G16" s="8" t="s">
        <v>112</v>
      </c>
      <c r="H16" s="12" t="s">
        <v>92</v>
      </c>
      <c r="I16" s="19" t="n">
        <v>2</v>
      </c>
    </row>
    <row r="17" customFormat="false" ht="15" hidden="false" customHeight="false" outlineLevel="0" collapsed="false">
      <c r="A17" s="8" t="s">
        <v>188</v>
      </c>
      <c r="B17" s="8" t="s">
        <v>189</v>
      </c>
      <c r="C17" s="8" t="s">
        <v>190</v>
      </c>
      <c r="D17" s="8" t="s">
        <v>181</v>
      </c>
      <c r="E17" s="8" t="s">
        <v>191</v>
      </c>
      <c r="F17" s="8" t="s">
        <v>173</v>
      </c>
      <c r="G17" s="8" t="s">
        <v>112</v>
      </c>
      <c r="H17" s="12" t="s">
        <v>92</v>
      </c>
      <c r="I17" s="19" t="n">
        <v>2</v>
      </c>
    </row>
    <row r="18" customFormat="false" ht="15" hidden="false" customHeight="false" outlineLevel="0" collapsed="false">
      <c r="A18" s="8" t="s">
        <v>192</v>
      </c>
      <c r="B18" s="8" t="s">
        <v>193</v>
      </c>
      <c r="C18" s="8" t="s">
        <v>194</v>
      </c>
      <c r="D18" s="8" t="s">
        <v>181</v>
      </c>
      <c r="E18" s="8" t="s">
        <v>191</v>
      </c>
      <c r="F18" s="8" t="s">
        <v>173</v>
      </c>
      <c r="G18" s="8" t="s">
        <v>112</v>
      </c>
      <c r="H18" s="12" t="s">
        <v>92</v>
      </c>
      <c r="I18" s="19" t="n">
        <v>2</v>
      </c>
    </row>
    <row r="19" customFormat="false" ht="15" hidden="false" customHeight="false" outlineLevel="0" collapsed="false">
      <c r="A19" s="8" t="s">
        <v>195</v>
      </c>
      <c r="B19" s="8" t="s">
        <v>196</v>
      </c>
      <c r="C19" s="8" t="s">
        <v>197</v>
      </c>
      <c r="D19" s="8" t="s">
        <v>198</v>
      </c>
      <c r="E19" s="8" t="s">
        <v>177</v>
      </c>
      <c r="F19" s="8" t="s">
        <v>173</v>
      </c>
      <c r="G19" s="8" t="s">
        <v>112</v>
      </c>
      <c r="H19" s="12" t="s">
        <v>167</v>
      </c>
      <c r="I19" s="19" t="n">
        <v>2</v>
      </c>
    </row>
    <row r="20" customFormat="false" ht="15" hidden="false" customHeight="false" outlineLevel="0" collapsed="false">
      <c r="A20" s="8" t="s">
        <v>199</v>
      </c>
      <c r="B20" s="8" t="s">
        <v>200</v>
      </c>
      <c r="C20" s="8" t="s">
        <v>201</v>
      </c>
      <c r="D20" s="8" t="s">
        <v>198</v>
      </c>
      <c r="E20" s="8" t="s">
        <v>166</v>
      </c>
      <c r="F20" s="8" t="s">
        <v>155</v>
      </c>
      <c r="G20" s="8" t="s">
        <v>112</v>
      </c>
      <c r="H20" s="12" t="s">
        <v>167</v>
      </c>
      <c r="I20" s="19" t="n">
        <v>1</v>
      </c>
    </row>
    <row r="21" customFormat="false" ht="15" hidden="false" customHeight="false" outlineLevel="0" collapsed="false">
      <c r="A21" s="8" t="s">
        <v>202</v>
      </c>
      <c r="B21" s="8" t="s">
        <v>203</v>
      </c>
      <c r="C21" s="8" t="s">
        <v>204</v>
      </c>
      <c r="D21" s="8" t="s">
        <v>205</v>
      </c>
      <c r="E21" s="8" t="s">
        <v>166</v>
      </c>
      <c r="F21" s="8" t="s">
        <v>148</v>
      </c>
      <c r="G21" s="8" t="s">
        <v>112</v>
      </c>
      <c r="H21" s="12" t="s">
        <v>92</v>
      </c>
      <c r="I21" s="19" t="n">
        <v>3</v>
      </c>
    </row>
    <row r="22" customFormat="false" ht="15" hidden="false" customHeight="false" outlineLevel="0" collapsed="false">
      <c r="A22" s="8" t="s">
        <v>206</v>
      </c>
      <c r="B22" s="8" t="s">
        <v>207</v>
      </c>
      <c r="C22" s="8" t="s">
        <v>208</v>
      </c>
      <c r="D22" s="8" t="s">
        <v>205</v>
      </c>
      <c r="E22" s="8" t="s">
        <v>166</v>
      </c>
      <c r="F22" s="8" t="s">
        <v>173</v>
      </c>
      <c r="G22" s="8" t="s">
        <v>112</v>
      </c>
      <c r="H22" s="12" t="s">
        <v>92</v>
      </c>
      <c r="I22" s="19" t="n">
        <v>2</v>
      </c>
    </row>
    <row r="23" customFormat="false" ht="15" hidden="false" customHeight="false" outlineLevel="0" collapsed="false">
      <c r="A23" s="8" t="s">
        <v>209</v>
      </c>
      <c r="B23" s="8" t="s">
        <v>210</v>
      </c>
      <c r="C23" s="8" t="s">
        <v>211</v>
      </c>
      <c r="D23" s="8" t="s">
        <v>205</v>
      </c>
      <c r="E23" s="8" t="s">
        <v>166</v>
      </c>
      <c r="F23" s="8" t="s">
        <v>155</v>
      </c>
      <c r="G23" s="8" t="s">
        <v>112</v>
      </c>
      <c r="H23" s="12" t="s">
        <v>92</v>
      </c>
      <c r="I23" s="19" t="n">
        <v>1</v>
      </c>
    </row>
    <row r="24" customFormat="false" ht="15" hidden="false" customHeight="false" outlineLevel="0" collapsed="false">
      <c r="A24" s="8" t="s">
        <v>212</v>
      </c>
      <c r="B24" s="8" t="s">
        <v>213</v>
      </c>
      <c r="C24" s="8" t="s">
        <v>214</v>
      </c>
      <c r="D24" s="8" t="s">
        <v>205</v>
      </c>
      <c r="E24" s="8" t="s">
        <v>177</v>
      </c>
      <c r="F24" s="8" t="s">
        <v>173</v>
      </c>
      <c r="G24" s="8" t="s">
        <v>112</v>
      </c>
      <c r="H24" s="12" t="s">
        <v>92</v>
      </c>
      <c r="I24" s="19" t="n">
        <v>2</v>
      </c>
    </row>
    <row r="25" customFormat="false" ht="15" hidden="false" customHeight="false" outlineLevel="0" collapsed="false">
      <c r="A25" s="8" t="s">
        <v>215</v>
      </c>
      <c r="B25" s="8" t="s">
        <v>216</v>
      </c>
      <c r="C25" s="8" t="s">
        <v>217</v>
      </c>
      <c r="D25" s="8" t="s">
        <v>205</v>
      </c>
      <c r="E25" s="8" t="s">
        <v>177</v>
      </c>
      <c r="F25" s="8" t="s">
        <v>155</v>
      </c>
      <c r="G25" s="8" t="s">
        <v>112</v>
      </c>
      <c r="H25" s="12" t="s">
        <v>167</v>
      </c>
      <c r="I25" s="19" t="n">
        <v>1</v>
      </c>
    </row>
    <row r="26" customFormat="false" ht="15" hidden="false" customHeight="false" outlineLevel="0" collapsed="false">
      <c r="A26" s="8" t="s">
        <v>218</v>
      </c>
      <c r="B26" s="8" t="s">
        <v>219</v>
      </c>
      <c r="C26" s="8" t="s">
        <v>220</v>
      </c>
      <c r="D26" s="8" t="s">
        <v>221</v>
      </c>
      <c r="E26" s="8" t="s">
        <v>177</v>
      </c>
      <c r="F26" s="8" t="s">
        <v>148</v>
      </c>
      <c r="G26" s="8" t="s">
        <v>112</v>
      </c>
      <c r="H26" s="12" t="s">
        <v>222</v>
      </c>
      <c r="I26" s="19" t="n">
        <v>3</v>
      </c>
    </row>
    <row r="27" customFormat="false" ht="15" hidden="false" customHeight="false" outlineLevel="0" collapsed="false">
      <c r="A27" s="8" t="s">
        <v>223</v>
      </c>
      <c r="B27" s="8" t="s">
        <v>224</v>
      </c>
      <c r="C27" s="8" t="s">
        <v>225</v>
      </c>
      <c r="D27" s="8" t="s">
        <v>221</v>
      </c>
      <c r="E27" s="8" t="s">
        <v>166</v>
      </c>
      <c r="F27" s="8" t="s">
        <v>173</v>
      </c>
      <c r="G27" s="8" t="s">
        <v>112</v>
      </c>
      <c r="H27" s="12" t="s">
        <v>222</v>
      </c>
      <c r="I27" s="19" t="n">
        <v>2</v>
      </c>
    </row>
    <row r="28" customFormat="false" ht="15" hidden="false" customHeight="false" outlineLevel="0" collapsed="false">
      <c r="A28" s="8" t="s">
        <v>226</v>
      </c>
      <c r="B28" s="8" t="s">
        <v>227</v>
      </c>
      <c r="C28" s="8" t="s">
        <v>228</v>
      </c>
      <c r="D28" s="8" t="s">
        <v>221</v>
      </c>
      <c r="E28" s="8" t="s">
        <v>166</v>
      </c>
      <c r="F28" s="8" t="s">
        <v>155</v>
      </c>
      <c r="G28" s="8" t="s">
        <v>112</v>
      </c>
      <c r="H28" s="12" t="s">
        <v>222</v>
      </c>
      <c r="I28" s="19" t="n">
        <v>1</v>
      </c>
    </row>
    <row r="29" customFormat="false" ht="15" hidden="false" customHeight="false" outlineLevel="0" collapsed="false">
      <c r="A29" s="8" t="s">
        <v>229</v>
      </c>
      <c r="B29" s="8" t="s">
        <v>230</v>
      </c>
      <c r="C29" s="8" t="s">
        <v>231</v>
      </c>
      <c r="D29" s="8" t="s">
        <v>221</v>
      </c>
      <c r="E29" s="8" t="s">
        <v>166</v>
      </c>
      <c r="F29" s="8" t="s">
        <v>155</v>
      </c>
      <c r="G29" s="8" t="s">
        <v>112</v>
      </c>
      <c r="H29" s="12" t="s">
        <v>222</v>
      </c>
      <c r="I29" s="19" t="n">
        <v>1</v>
      </c>
    </row>
    <row r="30" customFormat="false" ht="15" hidden="false" customHeight="false" outlineLevel="0" collapsed="false">
      <c r="A30" s="8" t="s">
        <v>232</v>
      </c>
      <c r="B30" s="8" t="s">
        <v>233</v>
      </c>
      <c r="C30" s="8" t="s">
        <v>234</v>
      </c>
      <c r="D30" s="8" t="s">
        <v>221</v>
      </c>
      <c r="E30" s="8" t="s">
        <v>235</v>
      </c>
      <c r="F30" s="8" t="s">
        <v>148</v>
      </c>
      <c r="G30" s="8" t="s">
        <v>112</v>
      </c>
      <c r="H30" s="12" t="s">
        <v>222</v>
      </c>
      <c r="I30" s="19" t="n">
        <v>3</v>
      </c>
    </row>
    <row r="31" customFormat="false" ht="15" hidden="false" customHeight="false" outlineLevel="0" collapsed="false">
      <c r="A31" s="8" t="s">
        <v>236</v>
      </c>
      <c r="B31" s="8" t="s">
        <v>237</v>
      </c>
      <c r="C31" s="8" t="s">
        <v>238</v>
      </c>
      <c r="D31" s="8" t="s">
        <v>239</v>
      </c>
      <c r="E31" s="8" t="s">
        <v>166</v>
      </c>
      <c r="F31" s="8" t="s">
        <v>173</v>
      </c>
      <c r="G31" s="8" t="s">
        <v>112</v>
      </c>
      <c r="H31" s="12" t="s">
        <v>222</v>
      </c>
      <c r="I31" s="19" t="n">
        <v>2</v>
      </c>
    </row>
    <row r="32" customFormat="false" ht="15" hidden="false" customHeight="false" outlineLevel="0" collapsed="false">
      <c r="A32" s="8" t="s">
        <v>240</v>
      </c>
      <c r="B32" s="8" t="s">
        <v>241</v>
      </c>
      <c r="C32" s="8" t="s">
        <v>242</v>
      </c>
      <c r="D32" s="8" t="s">
        <v>239</v>
      </c>
      <c r="E32" s="8" t="s">
        <v>166</v>
      </c>
      <c r="F32" s="8" t="s">
        <v>155</v>
      </c>
      <c r="G32" s="8" t="s">
        <v>112</v>
      </c>
      <c r="H32" s="12" t="s">
        <v>222</v>
      </c>
      <c r="I32" s="19" t="n">
        <v>1</v>
      </c>
    </row>
    <row r="33" customFormat="false" ht="15" hidden="false" customHeight="false" outlineLevel="0" collapsed="false">
      <c r="A33" s="8" t="s">
        <v>243</v>
      </c>
      <c r="B33" s="8" t="s">
        <v>244</v>
      </c>
      <c r="C33" s="8" t="s">
        <v>245</v>
      </c>
      <c r="D33" s="8" t="s">
        <v>239</v>
      </c>
      <c r="E33" s="8" t="s">
        <v>177</v>
      </c>
      <c r="F33" s="8" t="s">
        <v>173</v>
      </c>
      <c r="G33" s="8" t="s">
        <v>112</v>
      </c>
      <c r="H33" s="12" t="s">
        <v>222</v>
      </c>
      <c r="I33" s="19" t="n">
        <v>2</v>
      </c>
    </row>
    <row r="34" customFormat="false" ht="15" hidden="false" customHeight="false" outlineLevel="0" collapsed="false">
      <c r="A34" s="8" t="s">
        <v>246</v>
      </c>
      <c r="B34" s="8" t="s">
        <v>247</v>
      </c>
      <c r="C34" s="8" t="s">
        <v>248</v>
      </c>
      <c r="D34" s="8" t="s">
        <v>249</v>
      </c>
      <c r="E34" s="8" t="s">
        <v>166</v>
      </c>
      <c r="F34" s="8" t="s">
        <v>155</v>
      </c>
      <c r="G34" s="8" t="s">
        <v>112</v>
      </c>
      <c r="H34" s="12" t="s">
        <v>222</v>
      </c>
      <c r="I34" s="19" t="n">
        <v>1</v>
      </c>
    </row>
  </sheetData>
  <dataValidations count="2">
    <dataValidation allowBlank="false" errorStyle="stop" operator="between" showDropDown="false" showErrorMessage="false" showInputMessage="false" sqref="F5:F34" type="list">
      <formula1>"Tier 1,Tier 2,Tier 3"</formula1>
      <formula2>0</formula2>
    </dataValidation>
    <dataValidation allowBlank="false" errorStyle="stop" operator="between" showDropDown="false" showErrorMessage="false" showInputMessage="false" sqref="G5:G34" type="list">
      <formula1>Config!$H$15:$H$16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250</v>
      </c>
    </row>
    <row r="2" customFormat="false" ht="15" hidden="false" customHeight="false" outlineLevel="0" collapsed="false">
      <c r="A2" s="2" t="s">
        <v>251</v>
      </c>
    </row>
    <row r="4" customFormat="false" ht="23.85" hidden="false" customHeight="false" outlineLevel="0" collapsed="false">
      <c r="A4" s="5" t="s">
        <v>252</v>
      </c>
      <c r="B4" s="5" t="s">
        <v>253</v>
      </c>
      <c r="C4" s="5" t="s">
        <v>254</v>
      </c>
      <c r="D4" s="5" t="s">
        <v>255</v>
      </c>
      <c r="E4" s="5" t="s">
        <v>256</v>
      </c>
      <c r="F4" s="5" t="s">
        <v>257</v>
      </c>
      <c r="G4" s="5" t="s">
        <v>258</v>
      </c>
      <c r="H4" s="5" t="s">
        <v>259</v>
      </c>
    </row>
    <row r="5" customFormat="false" ht="15" hidden="false" customHeight="false" outlineLevel="0" collapsed="false">
      <c r="A5" s="4" t="s">
        <v>260</v>
      </c>
      <c r="B5" s="4" t="s">
        <v>261</v>
      </c>
      <c r="C5" s="4" t="s">
        <v>262</v>
      </c>
      <c r="D5" s="4" t="s">
        <v>263</v>
      </c>
      <c r="E5" s="4" t="s">
        <v>264</v>
      </c>
      <c r="F5" s="4" t="s">
        <v>265</v>
      </c>
      <c r="G5" s="4" t="s">
        <v>266</v>
      </c>
      <c r="H5" s="4" t="s">
        <v>89</v>
      </c>
    </row>
    <row r="6" customFormat="false" ht="15" hidden="false" customHeight="false" outlineLevel="0" collapsed="false">
      <c r="A6" s="4" t="s">
        <v>267</v>
      </c>
      <c r="B6" s="4" t="s">
        <v>268</v>
      </c>
      <c r="C6" s="4" t="s">
        <v>262</v>
      </c>
      <c r="D6" s="4" t="s">
        <v>263</v>
      </c>
      <c r="E6" s="4" t="s">
        <v>264</v>
      </c>
      <c r="F6" s="4" t="s">
        <v>265</v>
      </c>
      <c r="G6" s="4" t="s">
        <v>269</v>
      </c>
      <c r="H6" s="4" t="s">
        <v>86</v>
      </c>
    </row>
    <row r="7" customFormat="false" ht="15" hidden="false" customHeight="false" outlineLevel="0" collapsed="false">
      <c r="A7" s="4" t="s">
        <v>270</v>
      </c>
      <c r="B7" s="4" t="s">
        <v>271</v>
      </c>
      <c r="C7" s="4" t="s">
        <v>262</v>
      </c>
      <c r="D7" s="4" t="s">
        <v>263</v>
      </c>
      <c r="E7" s="4" t="s">
        <v>264</v>
      </c>
      <c r="F7" s="4" t="s">
        <v>265</v>
      </c>
      <c r="G7" s="4" t="s">
        <v>269</v>
      </c>
      <c r="H7" s="4" t="s">
        <v>86</v>
      </c>
    </row>
    <row r="8" customFormat="false" ht="15" hidden="false" customHeight="false" outlineLevel="0" collapsed="false">
      <c r="A8" s="4" t="s">
        <v>272</v>
      </c>
      <c r="B8" s="4" t="s">
        <v>273</v>
      </c>
      <c r="C8" s="4" t="s">
        <v>262</v>
      </c>
      <c r="D8" s="4" t="s">
        <v>263</v>
      </c>
      <c r="E8" s="4" t="s">
        <v>274</v>
      </c>
      <c r="F8" s="4" t="s">
        <v>265</v>
      </c>
      <c r="G8" s="4" t="s">
        <v>269</v>
      </c>
      <c r="H8" s="4" t="s">
        <v>86</v>
      </c>
    </row>
    <row r="9" customFormat="false" ht="15" hidden="false" customHeight="false" outlineLevel="0" collapsed="false">
      <c r="A9" s="4" t="s">
        <v>275</v>
      </c>
      <c r="B9" s="4" t="s">
        <v>276</v>
      </c>
      <c r="C9" s="4" t="s">
        <v>262</v>
      </c>
      <c r="D9" s="4" t="s">
        <v>263</v>
      </c>
      <c r="E9" s="4" t="s">
        <v>277</v>
      </c>
      <c r="F9" s="4" t="s">
        <v>265</v>
      </c>
      <c r="G9" s="4" t="s">
        <v>269</v>
      </c>
      <c r="H9" s="4" t="s">
        <v>86</v>
      </c>
    </row>
    <row r="10" customFormat="false" ht="15" hidden="false" customHeight="false" outlineLevel="0" collapsed="false">
      <c r="A10" s="4" t="s">
        <v>278</v>
      </c>
      <c r="B10" s="4" t="s">
        <v>279</v>
      </c>
      <c r="C10" s="4" t="s">
        <v>262</v>
      </c>
      <c r="D10" s="4" t="s">
        <v>263</v>
      </c>
      <c r="E10" s="4" t="s">
        <v>280</v>
      </c>
      <c r="F10" s="4" t="s">
        <v>265</v>
      </c>
      <c r="G10" s="4" t="s">
        <v>86</v>
      </c>
      <c r="H10" s="4" t="s">
        <v>92</v>
      </c>
    </row>
    <row r="11" customFormat="false" ht="15" hidden="false" customHeight="false" outlineLevel="0" collapsed="false">
      <c r="A11" s="4" t="s">
        <v>281</v>
      </c>
      <c r="B11" s="4" t="s">
        <v>282</v>
      </c>
      <c r="C11" s="4" t="s">
        <v>262</v>
      </c>
      <c r="D11" s="4" t="s">
        <v>263</v>
      </c>
      <c r="E11" s="4" t="s">
        <v>277</v>
      </c>
      <c r="F11" s="4" t="s">
        <v>265</v>
      </c>
      <c r="G11" s="4" t="s">
        <v>283</v>
      </c>
      <c r="H11" s="4" t="s">
        <v>86</v>
      </c>
    </row>
    <row r="12" customFormat="false" ht="15" hidden="false" customHeight="false" outlineLevel="0" collapsed="false">
      <c r="A12" s="4" t="s">
        <v>284</v>
      </c>
      <c r="B12" s="4" t="s">
        <v>285</v>
      </c>
      <c r="C12" s="4" t="s">
        <v>286</v>
      </c>
      <c r="D12" s="4" t="s">
        <v>287</v>
      </c>
      <c r="E12" s="4" t="s">
        <v>277</v>
      </c>
      <c r="F12" s="4" t="s">
        <v>265</v>
      </c>
      <c r="G12" s="4" t="s">
        <v>266</v>
      </c>
      <c r="H12" s="4" t="s">
        <v>89</v>
      </c>
    </row>
    <row r="13" customFormat="false" ht="15" hidden="false" customHeight="false" outlineLevel="0" collapsed="false">
      <c r="A13" s="4" t="s">
        <v>288</v>
      </c>
      <c r="B13" s="4" t="s">
        <v>289</v>
      </c>
      <c r="C13" s="4" t="s">
        <v>286</v>
      </c>
      <c r="D13" s="4" t="s">
        <v>287</v>
      </c>
      <c r="E13" s="4" t="s">
        <v>277</v>
      </c>
      <c r="F13" s="4" t="s">
        <v>265</v>
      </c>
      <c r="G13" s="4" t="s">
        <v>86</v>
      </c>
      <c r="H13" s="4" t="s">
        <v>92</v>
      </c>
    </row>
    <row r="14" customFormat="false" ht="15" hidden="false" customHeight="false" outlineLevel="0" collapsed="false">
      <c r="A14" s="4" t="s">
        <v>290</v>
      </c>
      <c r="B14" s="4" t="s">
        <v>291</v>
      </c>
      <c r="C14" s="4" t="s">
        <v>286</v>
      </c>
      <c r="D14" s="4" t="s">
        <v>287</v>
      </c>
      <c r="E14" s="4" t="s">
        <v>292</v>
      </c>
      <c r="F14" s="4" t="s">
        <v>265</v>
      </c>
      <c r="G14" s="4" t="s">
        <v>266</v>
      </c>
      <c r="H14" s="4" t="s">
        <v>89</v>
      </c>
    </row>
    <row r="15" customFormat="false" ht="15" hidden="false" customHeight="false" outlineLevel="0" collapsed="false">
      <c r="A15" s="4" t="s">
        <v>293</v>
      </c>
      <c r="B15" s="4" t="s">
        <v>294</v>
      </c>
      <c r="C15" s="4" t="s">
        <v>286</v>
      </c>
      <c r="D15" s="4" t="s">
        <v>287</v>
      </c>
      <c r="E15" s="4" t="s">
        <v>295</v>
      </c>
      <c r="F15" s="4" t="s">
        <v>296</v>
      </c>
      <c r="G15" s="4" t="s">
        <v>266</v>
      </c>
      <c r="H15" s="4" t="s">
        <v>89</v>
      </c>
    </row>
    <row r="16" customFormat="false" ht="15" hidden="false" customHeight="false" outlineLevel="0" collapsed="false">
      <c r="A16" s="4" t="s">
        <v>297</v>
      </c>
      <c r="B16" s="4" t="s">
        <v>298</v>
      </c>
      <c r="C16" s="4" t="s">
        <v>299</v>
      </c>
      <c r="D16" s="4" t="s">
        <v>287</v>
      </c>
      <c r="E16" s="4" t="s">
        <v>300</v>
      </c>
      <c r="F16" s="4" t="s">
        <v>265</v>
      </c>
      <c r="G16" s="4" t="s">
        <v>301</v>
      </c>
      <c r="H16" s="4" t="s">
        <v>95</v>
      </c>
    </row>
    <row r="17" customFormat="false" ht="15" hidden="false" customHeight="false" outlineLevel="0" collapsed="false">
      <c r="A17" s="4" t="s">
        <v>302</v>
      </c>
      <c r="B17" s="4" t="s">
        <v>303</v>
      </c>
      <c r="C17" s="4" t="s">
        <v>299</v>
      </c>
      <c r="D17" s="4" t="s">
        <v>287</v>
      </c>
      <c r="E17" s="4" t="s">
        <v>300</v>
      </c>
      <c r="F17" s="4" t="s">
        <v>265</v>
      </c>
      <c r="G17" s="4" t="s">
        <v>301</v>
      </c>
      <c r="H17" s="4" t="s">
        <v>95</v>
      </c>
    </row>
    <row r="18" customFormat="false" ht="15" hidden="false" customHeight="false" outlineLevel="0" collapsed="false">
      <c r="A18" s="4" t="s">
        <v>304</v>
      </c>
      <c r="B18" s="4" t="s">
        <v>305</v>
      </c>
      <c r="C18" s="4" t="s">
        <v>299</v>
      </c>
      <c r="D18" s="4" t="s">
        <v>287</v>
      </c>
      <c r="E18" s="4" t="s">
        <v>306</v>
      </c>
      <c r="F18" s="4" t="s">
        <v>265</v>
      </c>
      <c r="G18" s="4" t="s">
        <v>86</v>
      </c>
      <c r="H18" s="4" t="s">
        <v>92</v>
      </c>
    </row>
    <row r="19" customFormat="false" ht="15" hidden="false" customHeight="false" outlineLevel="0" collapsed="false">
      <c r="A19" s="4" t="s">
        <v>307</v>
      </c>
      <c r="B19" s="4" t="s">
        <v>308</v>
      </c>
      <c r="C19" s="4" t="s">
        <v>299</v>
      </c>
      <c r="D19" s="4" t="s">
        <v>287</v>
      </c>
      <c r="E19" s="4" t="s">
        <v>309</v>
      </c>
      <c r="F19" s="4" t="s">
        <v>265</v>
      </c>
      <c r="G19" s="4" t="s">
        <v>86</v>
      </c>
      <c r="H19" s="4" t="s">
        <v>92</v>
      </c>
    </row>
    <row r="20" customFormat="false" ht="15" hidden="false" customHeight="false" outlineLevel="0" collapsed="false">
      <c r="A20" s="4" t="s">
        <v>310</v>
      </c>
      <c r="B20" s="4" t="s">
        <v>311</v>
      </c>
      <c r="C20" s="4" t="s">
        <v>299</v>
      </c>
      <c r="D20" s="4" t="s">
        <v>287</v>
      </c>
      <c r="E20" s="4" t="s">
        <v>312</v>
      </c>
      <c r="F20" s="4" t="s">
        <v>265</v>
      </c>
      <c r="G20" s="4" t="s">
        <v>266</v>
      </c>
      <c r="H20" s="4" t="s">
        <v>89</v>
      </c>
    </row>
    <row r="21" customFormat="false" ht="15" hidden="false" customHeight="false" outlineLevel="0" collapsed="false">
      <c r="A21" s="4" t="s">
        <v>313</v>
      </c>
      <c r="B21" s="4" t="s">
        <v>314</v>
      </c>
      <c r="C21" s="4" t="s">
        <v>299</v>
      </c>
      <c r="D21" s="4" t="s">
        <v>287</v>
      </c>
      <c r="E21" s="4" t="s">
        <v>315</v>
      </c>
      <c r="F21" s="4" t="s">
        <v>265</v>
      </c>
      <c r="G21" s="4" t="s">
        <v>86</v>
      </c>
      <c r="H21" s="4" t="s">
        <v>92</v>
      </c>
    </row>
    <row r="22" customFormat="false" ht="15" hidden="false" customHeight="false" outlineLevel="0" collapsed="false">
      <c r="A22" s="4" t="s">
        <v>316</v>
      </c>
      <c r="B22" s="4" t="s">
        <v>317</v>
      </c>
      <c r="C22" s="4" t="s">
        <v>299</v>
      </c>
      <c r="D22" s="4" t="s">
        <v>287</v>
      </c>
      <c r="E22" s="4" t="s">
        <v>318</v>
      </c>
      <c r="F22" s="4" t="s">
        <v>265</v>
      </c>
      <c r="G22" s="4" t="s">
        <v>266</v>
      </c>
      <c r="H22" s="4" t="s">
        <v>89</v>
      </c>
    </row>
    <row r="23" customFormat="false" ht="23.85" hidden="false" customHeight="false" outlineLevel="0" collapsed="false">
      <c r="A23" s="4" t="s">
        <v>319</v>
      </c>
      <c r="B23" s="4" t="s">
        <v>320</v>
      </c>
      <c r="C23" s="4" t="s">
        <v>299</v>
      </c>
      <c r="D23" s="4" t="s">
        <v>287</v>
      </c>
      <c r="E23" s="4" t="s">
        <v>321</v>
      </c>
      <c r="F23" s="4" t="s">
        <v>265</v>
      </c>
      <c r="G23" s="4" t="s">
        <v>86</v>
      </c>
      <c r="H23" s="4" t="s">
        <v>92</v>
      </c>
    </row>
    <row r="24" customFormat="false" ht="15" hidden="false" customHeight="false" outlineLevel="0" collapsed="false">
      <c r="A24" s="4" t="s">
        <v>322</v>
      </c>
      <c r="B24" s="4" t="s">
        <v>323</v>
      </c>
      <c r="C24" s="4" t="s">
        <v>299</v>
      </c>
      <c r="D24" s="4" t="s">
        <v>287</v>
      </c>
      <c r="E24" s="4" t="s">
        <v>324</v>
      </c>
      <c r="F24" s="4" t="s">
        <v>265</v>
      </c>
      <c r="G24" s="4" t="s">
        <v>301</v>
      </c>
      <c r="H24" s="4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7" min="3" style="0" width="13"/>
    <col collapsed="false" customWidth="true" hidden="false" outlineLevel="0" max="8" min="8" style="0" width="10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325</v>
      </c>
    </row>
    <row r="2" customFormat="false" ht="15" hidden="false" customHeight="false" outlineLevel="0" collapsed="false">
      <c r="A2" s="2" t="s">
        <v>326</v>
      </c>
    </row>
    <row r="4" customFormat="false" ht="30" hidden="false" customHeight="true" outlineLevel="0" collapsed="false">
      <c r="A4" s="5" t="s">
        <v>252</v>
      </c>
      <c r="B4" s="5" t="s">
        <v>327</v>
      </c>
      <c r="C4" s="5" t="s">
        <v>114</v>
      </c>
      <c r="D4" s="5" t="s">
        <v>117</v>
      </c>
      <c r="E4" s="5" t="s">
        <v>119</v>
      </c>
      <c r="F4" s="5" t="s">
        <v>121</v>
      </c>
      <c r="G4" s="5" t="s">
        <v>123</v>
      </c>
      <c r="H4" s="5" t="s">
        <v>328</v>
      </c>
      <c r="I4" s="5" t="s">
        <v>329</v>
      </c>
    </row>
    <row r="5" customFormat="false" ht="15" hidden="false" customHeight="false" outlineLevel="0" collapsed="false">
      <c r="A5" s="12" t="s">
        <v>260</v>
      </c>
      <c r="B5" s="12" t="s">
        <v>261</v>
      </c>
      <c r="C5" s="20" t="n">
        <v>0.3</v>
      </c>
      <c r="D5" s="20" t="n">
        <v>0.25</v>
      </c>
      <c r="E5" s="20" t="n">
        <v>0.2</v>
      </c>
      <c r="F5" s="20" t="n">
        <v>0.15</v>
      </c>
      <c r="G5" s="20" t="n">
        <v>0.1</v>
      </c>
      <c r="H5" s="21" t="n">
        <f aca="false">SUM(C5:G5)</f>
        <v>1</v>
      </c>
      <c r="I5" s="7" t="str">
        <f aca="false">IF(ROUND(H5,4)=1,"OK","Must total 100%")</f>
        <v>OK</v>
      </c>
    </row>
    <row r="6" customFormat="false" ht="15" hidden="false" customHeight="false" outlineLevel="0" collapsed="false">
      <c r="A6" s="12" t="s">
        <v>267</v>
      </c>
      <c r="B6" s="12" t="s">
        <v>268</v>
      </c>
      <c r="C6" s="20" t="n">
        <v>0.25</v>
      </c>
      <c r="D6" s="20" t="n">
        <v>0.3</v>
      </c>
      <c r="E6" s="20" t="n">
        <v>0.15</v>
      </c>
      <c r="F6" s="20" t="n">
        <v>0.1</v>
      </c>
      <c r="G6" s="20" t="n">
        <v>0.2</v>
      </c>
      <c r="H6" s="21" t="n">
        <f aca="false">SUM(C6:G6)</f>
        <v>1</v>
      </c>
      <c r="I6" s="7" t="str">
        <f aca="false">IF(ROUND(H6,4)=1,"OK","Must total 100%")</f>
        <v>OK</v>
      </c>
    </row>
    <row r="7" customFormat="false" ht="15" hidden="false" customHeight="false" outlineLevel="0" collapsed="false">
      <c r="A7" s="12" t="s">
        <v>270</v>
      </c>
      <c r="B7" s="12" t="s">
        <v>271</v>
      </c>
      <c r="C7" s="20" t="n">
        <v>0.15</v>
      </c>
      <c r="D7" s="20" t="n">
        <v>0.3</v>
      </c>
      <c r="E7" s="20" t="n">
        <v>0.3</v>
      </c>
      <c r="F7" s="20" t="n">
        <v>0.05</v>
      </c>
      <c r="G7" s="20" t="n">
        <v>0.2</v>
      </c>
      <c r="H7" s="21" t="n">
        <f aca="false">SUM(C7:G7)</f>
        <v>1</v>
      </c>
      <c r="I7" s="7" t="str">
        <f aca="false">IF(ROUND(H7,4)=1,"OK","Must total 100%")</f>
        <v>OK</v>
      </c>
    </row>
    <row r="8" customFormat="false" ht="15" hidden="false" customHeight="false" outlineLevel="0" collapsed="false">
      <c r="A8" s="12" t="s">
        <v>272</v>
      </c>
      <c r="B8" s="12" t="s">
        <v>273</v>
      </c>
      <c r="C8" s="20" t="n">
        <v>0.15</v>
      </c>
      <c r="D8" s="20" t="n">
        <v>0.4</v>
      </c>
      <c r="E8" s="20" t="n">
        <v>0.2</v>
      </c>
      <c r="F8" s="20" t="n">
        <v>0.05</v>
      </c>
      <c r="G8" s="20" t="n">
        <v>0.2</v>
      </c>
      <c r="H8" s="21" t="n">
        <f aca="false">SUM(C8:G8)</f>
        <v>1</v>
      </c>
      <c r="I8" s="7" t="str">
        <f aca="false">IF(ROUND(H8,4)=1,"OK","Must total 100%")</f>
        <v>OK</v>
      </c>
    </row>
    <row r="9" customFormat="false" ht="15" hidden="false" customHeight="false" outlineLevel="0" collapsed="false">
      <c r="A9" s="12" t="s">
        <v>275</v>
      </c>
      <c r="B9" s="12" t="s">
        <v>276</v>
      </c>
      <c r="C9" s="20" t="n">
        <v>0.3</v>
      </c>
      <c r="D9" s="20" t="n">
        <v>0.25</v>
      </c>
      <c r="E9" s="20" t="n">
        <v>0.15</v>
      </c>
      <c r="F9" s="20" t="n">
        <v>0.2</v>
      </c>
      <c r="G9" s="20" t="n">
        <v>0.1</v>
      </c>
      <c r="H9" s="21" t="n">
        <f aca="false">SUM(C9:G9)</f>
        <v>1</v>
      </c>
      <c r="I9" s="7" t="str">
        <f aca="false">IF(ROUND(H9,4)=1,"OK","Must total 100%")</f>
        <v>OK</v>
      </c>
    </row>
    <row r="10" customFormat="false" ht="15" hidden="false" customHeight="false" outlineLevel="0" collapsed="false">
      <c r="A10" s="12" t="s">
        <v>278</v>
      </c>
      <c r="B10" s="12" t="s">
        <v>279</v>
      </c>
      <c r="C10" s="20" t="n">
        <v>0.2</v>
      </c>
      <c r="D10" s="20" t="n">
        <v>0.1</v>
      </c>
      <c r="E10" s="20" t="n">
        <v>0.2</v>
      </c>
      <c r="F10" s="20" t="n">
        <v>0.3</v>
      </c>
      <c r="G10" s="20" t="n">
        <v>0.2</v>
      </c>
      <c r="H10" s="21" t="n">
        <f aca="false">SUM(C10:G10)</f>
        <v>1</v>
      </c>
      <c r="I10" s="7" t="str">
        <f aca="false">IF(ROUND(H10,4)=1,"OK","Must total 100%")</f>
        <v>OK</v>
      </c>
    </row>
    <row r="11" customFormat="false" ht="15" hidden="false" customHeight="false" outlineLevel="0" collapsed="false">
      <c r="A11" s="12" t="s">
        <v>281</v>
      </c>
      <c r="B11" s="12" t="s">
        <v>282</v>
      </c>
      <c r="C11" s="20" t="n">
        <v>0.35</v>
      </c>
      <c r="D11" s="20" t="n">
        <v>0.25</v>
      </c>
      <c r="E11" s="20" t="n">
        <v>0.2</v>
      </c>
      <c r="F11" s="20" t="n">
        <v>0.1</v>
      </c>
      <c r="G11" s="20" t="n">
        <v>0.1</v>
      </c>
      <c r="H11" s="21" t="n">
        <f aca="false">SUM(C11:G11)</f>
        <v>1</v>
      </c>
      <c r="I11" s="7" t="str">
        <f aca="false">IF(ROUND(H11,4)=1,"OK","Must total 100%")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10" min="7" style="0" width="10"/>
    <col collapsed="false" customWidth="true" hidden="false" outlineLevel="0" max="17" min="11" style="0" width="9"/>
    <col collapsed="false" customWidth="true" hidden="false" outlineLevel="0" max="18" min="18" style="0" width="12"/>
  </cols>
  <sheetData>
    <row r="1" customFormat="false" ht="17.35" hidden="false" customHeight="false" outlineLevel="0" collapsed="false">
      <c r="A1" s="1" t="s">
        <v>330</v>
      </c>
    </row>
    <row r="2" customFormat="false" ht="15" hidden="false" customHeight="false" outlineLevel="0" collapsed="false">
      <c r="A2" s="2" t="s">
        <v>331</v>
      </c>
    </row>
    <row r="4" customFormat="false" ht="30" hidden="false" customHeight="true" outlineLevel="0" collapsed="false">
      <c r="A4" s="5" t="s">
        <v>332</v>
      </c>
      <c r="B4" s="5" t="s">
        <v>333</v>
      </c>
      <c r="C4" s="5" t="s">
        <v>334</v>
      </c>
      <c r="D4" s="5" t="s">
        <v>335</v>
      </c>
      <c r="E4" s="5" t="s">
        <v>336</v>
      </c>
      <c r="F4" s="5" t="s">
        <v>337</v>
      </c>
      <c r="G4" s="5" t="s">
        <v>338</v>
      </c>
      <c r="H4" s="5" t="s">
        <v>339</v>
      </c>
      <c r="I4" s="5" t="s">
        <v>340</v>
      </c>
      <c r="J4" s="5" t="s">
        <v>341</v>
      </c>
      <c r="K4" s="5" t="s">
        <v>342</v>
      </c>
      <c r="L4" s="5" t="s">
        <v>343</v>
      </c>
      <c r="M4" s="5" t="s">
        <v>344</v>
      </c>
      <c r="N4" s="5" t="s">
        <v>345</v>
      </c>
      <c r="O4" s="5" t="s">
        <v>346</v>
      </c>
      <c r="P4" s="5" t="s">
        <v>347</v>
      </c>
      <c r="Q4" s="5" t="s">
        <v>348</v>
      </c>
      <c r="R4" s="5" t="s">
        <v>349</v>
      </c>
    </row>
    <row r="5" customFormat="false" ht="15" hidden="false" customHeight="false" outlineLevel="0" collapsed="false">
      <c r="A5" s="12" t="s">
        <v>350</v>
      </c>
      <c r="B5" s="8" t="s">
        <v>114</v>
      </c>
      <c r="C5" s="22" t="s">
        <v>351</v>
      </c>
      <c r="D5" s="8" t="s">
        <v>352</v>
      </c>
      <c r="E5" s="8" t="s">
        <v>353</v>
      </c>
      <c r="F5" s="8" t="s">
        <v>127</v>
      </c>
      <c r="G5" s="23" t="n">
        <v>2</v>
      </c>
      <c r="H5" s="23" t="n">
        <v>5</v>
      </c>
      <c r="I5" s="23" t="n">
        <v>10</v>
      </c>
      <c r="J5" s="23" t="n">
        <v>20</v>
      </c>
      <c r="K5" s="24" t="n">
        <v>3</v>
      </c>
      <c r="L5" s="24" t="n">
        <v>2</v>
      </c>
      <c r="M5" s="24" t="n">
        <v>1</v>
      </c>
      <c r="N5" s="24" t="n">
        <v>1</v>
      </c>
      <c r="O5" s="24" t="n">
        <v>1</v>
      </c>
      <c r="P5" s="24" t="n">
        <v>1</v>
      </c>
      <c r="Q5" s="24" t="n">
        <v>1</v>
      </c>
      <c r="R5" s="7" t="str">
        <f aca="false">IF(F5="Higher = riskier",IF(AND(G5&lt;H5,H5&lt;I5,I5&lt;J5),"OK","Check order"),IF(AND(G5&gt;H5,H5&gt;I5,I5&gt;J5),"OK","Check order"))</f>
        <v>OK</v>
      </c>
    </row>
    <row r="6" customFormat="false" ht="15" hidden="false" customHeight="false" outlineLevel="0" collapsed="false">
      <c r="A6" s="12" t="s">
        <v>354</v>
      </c>
      <c r="B6" s="8" t="s">
        <v>114</v>
      </c>
      <c r="C6" s="22" t="s">
        <v>355</v>
      </c>
      <c r="D6" s="8" t="s">
        <v>356</v>
      </c>
      <c r="E6" s="8" t="s">
        <v>353</v>
      </c>
      <c r="F6" s="8" t="s">
        <v>127</v>
      </c>
      <c r="G6" s="23" t="n">
        <v>1</v>
      </c>
      <c r="H6" s="23" t="n">
        <v>3</v>
      </c>
      <c r="I6" s="23" t="n">
        <v>6</v>
      </c>
      <c r="J6" s="23" t="n">
        <v>10</v>
      </c>
      <c r="K6" s="24" t="n">
        <v>2</v>
      </c>
      <c r="L6" s="24" t="n">
        <v>1</v>
      </c>
      <c r="M6" s="24" t="n">
        <v>0</v>
      </c>
      <c r="N6" s="24" t="n">
        <v>1</v>
      </c>
      <c r="O6" s="24" t="n">
        <v>3</v>
      </c>
      <c r="P6" s="24" t="n">
        <v>0</v>
      </c>
      <c r="Q6" s="24" t="n">
        <v>1</v>
      </c>
      <c r="R6" s="7" t="str">
        <f aca="false">IF(F6="Higher = riskier",IF(AND(G6&lt;H6,H6&lt;I6,I6&lt;J6),"OK","Check order"),IF(AND(G6&gt;H6,H6&gt;I6,I6&gt;J6),"OK","Check order"))</f>
        <v>OK</v>
      </c>
    </row>
    <row r="7" customFormat="false" ht="15" hidden="false" customHeight="false" outlineLevel="0" collapsed="false">
      <c r="A7" s="12" t="s">
        <v>357</v>
      </c>
      <c r="B7" s="8" t="s">
        <v>114</v>
      </c>
      <c r="C7" s="22" t="s">
        <v>358</v>
      </c>
      <c r="D7" s="8" t="s">
        <v>352</v>
      </c>
      <c r="E7" s="8" t="s">
        <v>353</v>
      </c>
      <c r="F7" s="8" t="s">
        <v>127</v>
      </c>
      <c r="G7" s="25" t="n">
        <v>0.2</v>
      </c>
      <c r="H7" s="25" t="n">
        <v>0.5</v>
      </c>
      <c r="I7" s="23" t="n">
        <v>1</v>
      </c>
      <c r="J7" s="23" t="n">
        <v>2</v>
      </c>
      <c r="K7" s="24" t="n">
        <v>1</v>
      </c>
      <c r="L7" s="24" t="n">
        <v>3</v>
      </c>
      <c r="M7" s="24" t="n">
        <v>0</v>
      </c>
      <c r="N7" s="24" t="n">
        <v>0</v>
      </c>
      <c r="O7" s="24" t="n">
        <v>1</v>
      </c>
      <c r="P7" s="24" t="n">
        <v>0</v>
      </c>
      <c r="Q7" s="24" t="n">
        <v>0</v>
      </c>
      <c r="R7" s="7" t="str">
        <f aca="false">IF(F7="Higher = riskier",IF(AND(G7&lt;H7,H7&lt;I7,I7&lt;J7),"OK","Check order"),IF(AND(G7&gt;H7,H7&gt;I7,I7&gt;J7),"OK","Check order"))</f>
        <v>OK</v>
      </c>
    </row>
    <row r="8" customFormat="false" ht="15" hidden="false" customHeight="false" outlineLevel="0" collapsed="false">
      <c r="A8" s="12" t="s">
        <v>359</v>
      </c>
      <c r="B8" s="8" t="s">
        <v>114</v>
      </c>
      <c r="C8" s="22" t="s">
        <v>360</v>
      </c>
      <c r="D8" s="8" t="s">
        <v>352</v>
      </c>
      <c r="E8" s="8" t="s">
        <v>361</v>
      </c>
      <c r="F8" s="8" t="s">
        <v>127</v>
      </c>
      <c r="G8" s="23" t="n">
        <v>5</v>
      </c>
      <c r="H8" s="23" t="n">
        <v>10</v>
      </c>
      <c r="I8" s="23" t="n">
        <v>20</v>
      </c>
      <c r="J8" s="23" t="n">
        <v>35</v>
      </c>
      <c r="K8" s="24" t="n">
        <v>2</v>
      </c>
      <c r="L8" s="24" t="n">
        <v>2</v>
      </c>
      <c r="M8" s="24" t="n">
        <v>1</v>
      </c>
      <c r="N8" s="24" t="n">
        <v>2</v>
      </c>
      <c r="O8" s="24" t="n">
        <v>0</v>
      </c>
      <c r="P8" s="24" t="n">
        <v>1</v>
      </c>
      <c r="Q8" s="24" t="n">
        <v>3</v>
      </c>
      <c r="R8" s="7" t="str">
        <f aca="false">IF(F8="Higher = riskier",IF(AND(G8&lt;H8,H8&lt;I8,I8&lt;J8),"OK","Check order"),IF(AND(G8&gt;H8,H8&gt;I8,I8&gt;J8),"OK","Check order"))</f>
        <v>OK</v>
      </c>
    </row>
    <row r="9" customFormat="false" ht="15" hidden="false" customHeight="false" outlineLevel="0" collapsed="false">
      <c r="A9" s="12" t="s">
        <v>362</v>
      </c>
      <c r="B9" s="8" t="s">
        <v>114</v>
      </c>
      <c r="C9" s="22" t="s">
        <v>363</v>
      </c>
      <c r="D9" s="8" t="s">
        <v>352</v>
      </c>
      <c r="E9" s="8" t="s">
        <v>353</v>
      </c>
      <c r="F9" s="8" t="s">
        <v>127</v>
      </c>
      <c r="G9" s="23" t="n">
        <v>2</v>
      </c>
      <c r="H9" s="23" t="n">
        <v>5</v>
      </c>
      <c r="I9" s="23" t="n">
        <v>10</v>
      </c>
      <c r="J9" s="23" t="n">
        <v>20</v>
      </c>
      <c r="K9" s="24" t="n">
        <v>2</v>
      </c>
      <c r="L9" s="24" t="n">
        <v>1</v>
      </c>
      <c r="M9" s="24" t="n">
        <v>2</v>
      </c>
      <c r="N9" s="24" t="n">
        <v>2</v>
      </c>
      <c r="O9" s="24" t="n">
        <v>1</v>
      </c>
      <c r="P9" s="24" t="n">
        <v>0</v>
      </c>
      <c r="Q9" s="24" t="n">
        <v>3</v>
      </c>
      <c r="R9" s="7" t="str">
        <f aca="false">IF(F9="Higher = riskier",IF(AND(G9&lt;H9,H9&lt;I9,I9&lt;J9),"OK","Check order"),IF(AND(G9&gt;H9,H9&gt;I9,I9&gt;J9),"OK","Check order"))</f>
        <v>OK</v>
      </c>
    </row>
    <row r="10" customFormat="false" ht="15" hidden="false" customHeight="false" outlineLevel="0" collapsed="false">
      <c r="A10" s="12" t="s">
        <v>364</v>
      </c>
      <c r="B10" s="8" t="s">
        <v>114</v>
      </c>
      <c r="C10" s="22" t="s">
        <v>365</v>
      </c>
      <c r="D10" s="8" t="s">
        <v>352</v>
      </c>
      <c r="E10" s="8" t="s">
        <v>353</v>
      </c>
      <c r="F10" s="8" t="s">
        <v>127</v>
      </c>
      <c r="G10" s="23" t="n">
        <v>3</v>
      </c>
      <c r="H10" s="23" t="n">
        <v>7</v>
      </c>
      <c r="I10" s="23" t="n">
        <v>12</v>
      </c>
      <c r="J10" s="23" t="n">
        <v>20</v>
      </c>
      <c r="K10" s="24" t="n">
        <v>2</v>
      </c>
      <c r="L10" s="24" t="n">
        <v>1</v>
      </c>
      <c r="M10" s="24" t="n">
        <v>0</v>
      </c>
      <c r="N10" s="24" t="n">
        <v>0</v>
      </c>
      <c r="O10" s="24" t="n">
        <v>0</v>
      </c>
      <c r="P10" s="24" t="n">
        <v>1</v>
      </c>
      <c r="Q10" s="24" t="n">
        <v>1</v>
      </c>
      <c r="R10" s="7" t="str">
        <f aca="false">IF(F10="Higher = riskier",IF(AND(G10&lt;H10,H10&lt;I10,I10&lt;J10),"OK","Check order"),IF(AND(G10&gt;H10,H10&gt;I10,I10&gt;J10),"OK","Check order"))</f>
        <v>OK</v>
      </c>
    </row>
    <row r="11" customFormat="false" ht="15" hidden="false" customHeight="false" outlineLevel="0" collapsed="false">
      <c r="A11" s="12" t="s">
        <v>366</v>
      </c>
      <c r="B11" s="8" t="s">
        <v>114</v>
      </c>
      <c r="C11" s="22" t="s">
        <v>367</v>
      </c>
      <c r="D11" s="8" t="s">
        <v>352</v>
      </c>
      <c r="E11" s="8" t="s">
        <v>361</v>
      </c>
      <c r="F11" s="8" t="s">
        <v>127</v>
      </c>
      <c r="G11" s="23" t="n">
        <v>1</v>
      </c>
      <c r="H11" s="23" t="n">
        <v>3</v>
      </c>
      <c r="I11" s="23" t="n">
        <v>6</v>
      </c>
      <c r="J11" s="23" t="n">
        <v>10</v>
      </c>
      <c r="K11" s="24" t="n">
        <v>0</v>
      </c>
      <c r="L11" s="24" t="n">
        <v>0</v>
      </c>
      <c r="M11" s="24" t="n">
        <v>0</v>
      </c>
      <c r="N11" s="24" t="n">
        <v>1</v>
      </c>
      <c r="O11" s="24" t="n">
        <v>3</v>
      </c>
      <c r="P11" s="24" t="n">
        <v>0</v>
      </c>
      <c r="Q11" s="24" t="n">
        <v>0</v>
      </c>
      <c r="R11" s="7" t="str">
        <f aca="false">IF(F11="Higher = riskier",IF(AND(G11&lt;H11,H11&lt;I11,I11&lt;J11),"OK","Check order"),IF(AND(G11&gt;H11,H11&gt;I11,I11&gt;J11),"OK","Check order"))</f>
        <v>OK</v>
      </c>
    </row>
    <row r="12" customFormat="false" ht="23.85" hidden="false" customHeight="false" outlineLevel="0" collapsed="false">
      <c r="A12" s="12" t="s">
        <v>368</v>
      </c>
      <c r="B12" s="8" t="s">
        <v>117</v>
      </c>
      <c r="C12" s="22" t="s">
        <v>369</v>
      </c>
      <c r="D12" s="8" t="s">
        <v>352</v>
      </c>
      <c r="E12" s="8" t="s">
        <v>370</v>
      </c>
      <c r="F12" s="8" t="s">
        <v>127</v>
      </c>
      <c r="G12" s="25" t="n">
        <v>0.5</v>
      </c>
      <c r="H12" s="23" t="n">
        <v>2</v>
      </c>
      <c r="I12" s="23" t="n">
        <v>5</v>
      </c>
      <c r="J12" s="23" t="n">
        <v>10</v>
      </c>
      <c r="K12" s="24" t="n">
        <v>3</v>
      </c>
      <c r="L12" s="24" t="n">
        <v>3</v>
      </c>
      <c r="M12" s="24" t="n">
        <v>3</v>
      </c>
      <c r="N12" s="24" t="n">
        <v>2</v>
      </c>
      <c r="O12" s="24" t="n">
        <v>1</v>
      </c>
      <c r="P12" s="24" t="n">
        <v>1</v>
      </c>
      <c r="Q12" s="24" t="n">
        <v>1</v>
      </c>
      <c r="R12" s="7" t="str">
        <f aca="false">IF(F12="Higher = riskier",IF(AND(G12&lt;H12,H12&lt;I12,I12&lt;J12),"OK","Check order"),IF(AND(G12&gt;H12,H12&gt;I12,I12&gt;J12),"OK","Check order"))</f>
        <v>OK</v>
      </c>
    </row>
    <row r="13" customFormat="false" ht="23.85" hidden="false" customHeight="false" outlineLevel="0" collapsed="false">
      <c r="A13" s="12" t="s">
        <v>371</v>
      </c>
      <c r="B13" s="8" t="s">
        <v>117</v>
      </c>
      <c r="C13" s="22" t="s">
        <v>372</v>
      </c>
      <c r="D13" s="8" t="s">
        <v>352</v>
      </c>
      <c r="E13" s="8" t="s">
        <v>373</v>
      </c>
      <c r="F13" s="8" t="s">
        <v>127</v>
      </c>
      <c r="G13" s="25" t="n">
        <v>0.01</v>
      </c>
      <c r="H13" s="25" t="n">
        <v>0.1</v>
      </c>
      <c r="I13" s="25" t="n">
        <v>0.5</v>
      </c>
      <c r="J13" s="23" t="n">
        <v>1</v>
      </c>
      <c r="K13" s="24" t="n">
        <v>1</v>
      </c>
      <c r="L13" s="24" t="n">
        <v>1</v>
      </c>
      <c r="M13" s="24" t="n">
        <v>3</v>
      </c>
      <c r="N13" s="24" t="n">
        <v>3</v>
      </c>
      <c r="O13" s="24" t="n">
        <v>0</v>
      </c>
      <c r="P13" s="24" t="n">
        <v>0</v>
      </c>
      <c r="Q13" s="24" t="n">
        <v>0</v>
      </c>
      <c r="R13" s="7" t="str">
        <f aca="false">IF(F13="Higher = riskier",IF(AND(G13&lt;H13,H13&lt;I13,I13&lt;J13),"OK","Check order"),IF(AND(G13&gt;H13,H13&gt;I13,I13&gt;J13),"OK","Check order"))</f>
        <v>OK</v>
      </c>
    </row>
    <row r="14" customFormat="false" ht="15" hidden="false" customHeight="false" outlineLevel="0" collapsed="false">
      <c r="A14" s="12" t="s">
        <v>374</v>
      </c>
      <c r="B14" s="8" t="s">
        <v>117</v>
      </c>
      <c r="C14" s="22" t="s">
        <v>375</v>
      </c>
      <c r="D14" s="8" t="s">
        <v>376</v>
      </c>
      <c r="E14" s="8" t="s">
        <v>377</v>
      </c>
      <c r="F14" s="8" t="s">
        <v>127</v>
      </c>
      <c r="G14" s="23" t="n">
        <v>2</v>
      </c>
      <c r="H14" s="23" t="n">
        <v>3</v>
      </c>
      <c r="I14" s="23" t="n">
        <v>4</v>
      </c>
      <c r="J14" s="23" t="n">
        <v>5</v>
      </c>
      <c r="K14" s="24" t="n">
        <v>2</v>
      </c>
      <c r="L14" s="24" t="n">
        <v>2</v>
      </c>
      <c r="M14" s="24" t="n">
        <v>1</v>
      </c>
      <c r="N14" s="24" t="n">
        <v>1</v>
      </c>
      <c r="O14" s="24" t="n">
        <v>1</v>
      </c>
      <c r="P14" s="24" t="n">
        <v>1</v>
      </c>
      <c r="Q14" s="24" t="n">
        <v>1</v>
      </c>
      <c r="R14" s="7" t="str">
        <f aca="false">IF(F14="Higher = riskier",IF(AND(G14&lt;H14,H14&lt;I14,I14&lt;J14),"OK","Check order"),IF(AND(G14&gt;H14,H14&gt;I14,I14&gt;J14),"OK","Check order"))</f>
        <v>OK</v>
      </c>
    </row>
    <row r="15" customFormat="false" ht="15" hidden="false" customHeight="false" outlineLevel="0" collapsed="false">
      <c r="A15" s="12" t="s">
        <v>378</v>
      </c>
      <c r="B15" s="8" t="s">
        <v>117</v>
      </c>
      <c r="C15" s="22" t="s">
        <v>379</v>
      </c>
      <c r="D15" s="8" t="s">
        <v>376</v>
      </c>
      <c r="E15" s="8" t="s">
        <v>377</v>
      </c>
      <c r="F15" s="8" t="s">
        <v>127</v>
      </c>
      <c r="G15" s="23" t="n">
        <v>2</v>
      </c>
      <c r="H15" s="23" t="n">
        <v>3</v>
      </c>
      <c r="I15" s="23" t="n">
        <v>4</v>
      </c>
      <c r="J15" s="23" t="n">
        <v>5</v>
      </c>
      <c r="K15" s="24" t="n">
        <v>1</v>
      </c>
      <c r="L15" s="24" t="n">
        <v>0</v>
      </c>
      <c r="M15" s="24" t="n">
        <v>0</v>
      </c>
      <c r="N15" s="24" t="n">
        <v>0</v>
      </c>
      <c r="O15" s="24" t="n">
        <v>3</v>
      </c>
      <c r="P15" s="24" t="n">
        <v>1</v>
      </c>
      <c r="Q15" s="24" t="n">
        <v>1</v>
      </c>
      <c r="R15" s="7" t="str">
        <f aca="false">IF(F15="Higher = riskier",IF(AND(G15&lt;H15,H15&lt;I15,I15&lt;J15),"OK","Check order"),IF(AND(G15&gt;H15,H15&gt;I15,I15&gt;J15),"OK","Check order"))</f>
        <v>OK</v>
      </c>
    </row>
    <row r="16" customFormat="false" ht="15" hidden="false" customHeight="false" outlineLevel="0" collapsed="false">
      <c r="A16" s="12" t="s">
        <v>380</v>
      </c>
      <c r="B16" s="8" t="s">
        <v>117</v>
      </c>
      <c r="C16" s="22" t="s">
        <v>381</v>
      </c>
      <c r="D16" s="8" t="s">
        <v>352</v>
      </c>
      <c r="E16" s="8" t="s">
        <v>382</v>
      </c>
      <c r="F16" s="8" t="s">
        <v>127</v>
      </c>
      <c r="G16" s="23" t="n">
        <v>2</v>
      </c>
      <c r="H16" s="23" t="n">
        <v>5</v>
      </c>
      <c r="I16" s="23" t="n">
        <v>10</v>
      </c>
      <c r="J16" s="23" t="n">
        <v>20</v>
      </c>
      <c r="K16" s="24" t="n">
        <v>1</v>
      </c>
      <c r="L16" s="24" t="n">
        <v>3</v>
      </c>
      <c r="M16" s="24" t="n">
        <v>1</v>
      </c>
      <c r="N16" s="24" t="n">
        <v>1</v>
      </c>
      <c r="O16" s="24" t="n">
        <v>0</v>
      </c>
      <c r="P16" s="24" t="n">
        <v>1</v>
      </c>
      <c r="Q16" s="24" t="n">
        <v>0</v>
      </c>
      <c r="R16" s="7" t="str">
        <f aca="false">IF(F16="Higher = riskier",IF(AND(G16&lt;H16,H16&lt;I16,I16&lt;J16),"OK","Check order"),IF(AND(G16&gt;H16,H16&gt;I16,I16&gt;J16),"OK","Check order"))</f>
        <v>OK</v>
      </c>
    </row>
    <row r="17" customFormat="false" ht="15" hidden="false" customHeight="false" outlineLevel="0" collapsed="false">
      <c r="A17" s="12" t="s">
        <v>383</v>
      </c>
      <c r="B17" s="8" t="s">
        <v>117</v>
      </c>
      <c r="C17" s="22" t="s">
        <v>384</v>
      </c>
      <c r="D17" s="8" t="s">
        <v>352</v>
      </c>
      <c r="E17" s="8" t="s">
        <v>385</v>
      </c>
      <c r="F17" s="8" t="s">
        <v>127</v>
      </c>
      <c r="G17" s="23" t="n">
        <v>5</v>
      </c>
      <c r="H17" s="23" t="n">
        <v>10</v>
      </c>
      <c r="I17" s="23" t="n">
        <v>20</v>
      </c>
      <c r="J17" s="23" t="n">
        <v>35</v>
      </c>
      <c r="K17" s="24" t="n">
        <v>1</v>
      </c>
      <c r="L17" s="24" t="n">
        <v>0</v>
      </c>
      <c r="M17" s="24" t="n">
        <v>0</v>
      </c>
      <c r="N17" s="24" t="n">
        <v>0</v>
      </c>
      <c r="O17" s="24" t="n">
        <v>0</v>
      </c>
      <c r="P17" s="24" t="n">
        <v>0</v>
      </c>
      <c r="Q17" s="24" t="n">
        <v>3</v>
      </c>
      <c r="R17" s="7" t="str">
        <f aca="false">IF(F17="Higher = riskier",IF(AND(G17&lt;H17,H17&lt;I17,I17&lt;J17),"OK","Check order"),IF(AND(G17&gt;H17,H17&gt;I17,I17&gt;J17),"OK","Check order"))</f>
        <v>OK</v>
      </c>
    </row>
    <row r="18" customFormat="false" ht="15" hidden="false" customHeight="false" outlineLevel="0" collapsed="false">
      <c r="A18" s="12" t="s">
        <v>386</v>
      </c>
      <c r="B18" s="8" t="s">
        <v>119</v>
      </c>
      <c r="C18" s="22" t="s">
        <v>387</v>
      </c>
      <c r="D18" s="8" t="s">
        <v>352</v>
      </c>
      <c r="E18" s="8" t="s">
        <v>388</v>
      </c>
      <c r="F18" s="8" t="s">
        <v>127</v>
      </c>
      <c r="G18" s="23" t="n">
        <v>2</v>
      </c>
      <c r="H18" s="23" t="n">
        <v>5</v>
      </c>
      <c r="I18" s="23" t="n">
        <v>10</v>
      </c>
      <c r="J18" s="23" t="n">
        <v>20</v>
      </c>
      <c r="K18" s="24" t="n">
        <v>2</v>
      </c>
      <c r="L18" s="24" t="n">
        <v>1</v>
      </c>
      <c r="M18" s="24" t="n">
        <v>3</v>
      </c>
      <c r="N18" s="24" t="n">
        <v>2</v>
      </c>
      <c r="O18" s="24" t="n">
        <v>1</v>
      </c>
      <c r="P18" s="24" t="n">
        <v>1</v>
      </c>
      <c r="Q18" s="24" t="n">
        <v>0</v>
      </c>
      <c r="R18" s="7" t="str">
        <f aca="false">IF(F18="Higher = riskier",IF(AND(G18&lt;H18,H18&lt;I18,I18&lt;J18),"OK","Check order"),IF(AND(G18&gt;H18,H18&gt;I18,I18&gt;J18),"OK","Check order"))</f>
        <v>OK</v>
      </c>
    </row>
    <row r="19" customFormat="false" ht="15" hidden="false" customHeight="false" outlineLevel="0" collapsed="false">
      <c r="A19" s="12" t="s">
        <v>389</v>
      </c>
      <c r="B19" s="8" t="s">
        <v>119</v>
      </c>
      <c r="C19" s="22" t="s">
        <v>390</v>
      </c>
      <c r="D19" s="8" t="s">
        <v>356</v>
      </c>
      <c r="E19" s="8" t="s">
        <v>391</v>
      </c>
      <c r="F19" s="8" t="s">
        <v>127</v>
      </c>
      <c r="G19" s="23" t="n">
        <v>5</v>
      </c>
      <c r="H19" s="23" t="n">
        <v>15</v>
      </c>
      <c r="I19" s="23" t="n">
        <v>30</v>
      </c>
      <c r="J19" s="23" t="n">
        <v>60</v>
      </c>
      <c r="K19" s="24" t="n">
        <v>2</v>
      </c>
      <c r="L19" s="24" t="n">
        <v>2</v>
      </c>
      <c r="M19" s="24" t="n">
        <v>2</v>
      </c>
      <c r="N19" s="24" t="n">
        <v>2</v>
      </c>
      <c r="O19" s="24" t="n">
        <v>0</v>
      </c>
      <c r="P19" s="24" t="n">
        <v>0</v>
      </c>
      <c r="Q19" s="24" t="n">
        <v>1</v>
      </c>
      <c r="R19" s="7" t="str">
        <f aca="false">IF(F19="Higher = riskier",IF(AND(G19&lt;H19,H19&lt;I19,I19&lt;J19),"OK","Check order"),IF(AND(G19&gt;H19,H19&gt;I19,I19&gt;J19),"OK","Check order"))</f>
        <v>OK</v>
      </c>
    </row>
    <row r="20" customFormat="false" ht="15" hidden="false" customHeight="false" outlineLevel="0" collapsed="false">
      <c r="A20" s="12" t="s">
        <v>392</v>
      </c>
      <c r="B20" s="8" t="s">
        <v>119</v>
      </c>
      <c r="C20" s="22" t="s">
        <v>393</v>
      </c>
      <c r="D20" s="8" t="s">
        <v>352</v>
      </c>
      <c r="E20" s="8" t="s">
        <v>394</v>
      </c>
      <c r="F20" s="8" t="s">
        <v>127</v>
      </c>
      <c r="G20" s="23" t="n">
        <v>1</v>
      </c>
      <c r="H20" s="23" t="n">
        <v>5</v>
      </c>
      <c r="I20" s="23" t="n">
        <v>10</v>
      </c>
      <c r="J20" s="23" t="n">
        <v>20</v>
      </c>
      <c r="K20" s="24" t="n">
        <v>2</v>
      </c>
      <c r="L20" s="24" t="n">
        <v>0</v>
      </c>
      <c r="M20" s="24" t="n">
        <v>0</v>
      </c>
      <c r="N20" s="24" t="n">
        <v>1</v>
      </c>
      <c r="O20" s="24" t="n">
        <v>1</v>
      </c>
      <c r="P20" s="24" t="n">
        <v>0</v>
      </c>
      <c r="Q20" s="24" t="n">
        <v>3</v>
      </c>
      <c r="R20" s="7" t="str">
        <f aca="false">IF(F20="Higher = riskier",IF(AND(G20&lt;H20,H20&lt;I20,I20&lt;J20),"OK","Check order"),IF(AND(G20&gt;H20,H20&gt;I20,I20&gt;J20),"OK","Check order"))</f>
        <v>OK</v>
      </c>
    </row>
    <row r="21" customFormat="false" ht="15" hidden="false" customHeight="false" outlineLevel="0" collapsed="false">
      <c r="A21" s="12" t="s">
        <v>395</v>
      </c>
      <c r="B21" s="8" t="s">
        <v>119</v>
      </c>
      <c r="C21" s="22" t="s">
        <v>396</v>
      </c>
      <c r="D21" s="8" t="s">
        <v>352</v>
      </c>
      <c r="E21" s="8" t="s">
        <v>397</v>
      </c>
      <c r="F21" s="8" t="s">
        <v>127</v>
      </c>
      <c r="G21" s="23" t="n">
        <v>2</v>
      </c>
      <c r="H21" s="23" t="n">
        <v>5</v>
      </c>
      <c r="I21" s="23" t="n">
        <v>10</v>
      </c>
      <c r="J21" s="23" t="n">
        <v>20</v>
      </c>
      <c r="K21" s="24" t="n">
        <v>1</v>
      </c>
      <c r="L21" s="24" t="n">
        <v>2</v>
      </c>
      <c r="M21" s="24" t="n">
        <v>0</v>
      </c>
      <c r="N21" s="24" t="n">
        <v>0</v>
      </c>
      <c r="O21" s="24" t="n">
        <v>0</v>
      </c>
      <c r="P21" s="24" t="n">
        <v>2</v>
      </c>
      <c r="Q21" s="24" t="n">
        <v>0</v>
      </c>
      <c r="R21" s="7" t="str">
        <f aca="false">IF(F21="Higher = riskier",IF(AND(G21&lt;H21,H21&lt;I21,I21&lt;J21),"OK","Check order"),IF(AND(G21&gt;H21,H21&gt;I21,I21&gt;J21),"OK","Check order"))</f>
        <v>OK</v>
      </c>
    </row>
    <row r="22" customFormat="false" ht="15" hidden="false" customHeight="false" outlineLevel="0" collapsed="false">
      <c r="A22" s="12" t="s">
        <v>398</v>
      </c>
      <c r="B22" s="8" t="s">
        <v>119</v>
      </c>
      <c r="C22" s="22" t="s">
        <v>399</v>
      </c>
      <c r="D22" s="8" t="s">
        <v>352</v>
      </c>
      <c r="E22" s="8" t="s">
        <v>388</v>
      </c>
      <c r="F22" s="8" t="s">
        <v>127</v>
      </c>
      <c r="G22" s="25" t="n">
        <v>0.5</v>
      </c>
      <c r="H22" s="23" t="n">
        <v>1</v>
      </c>
      <c r="I22" s="23" t="n">
        <v>5</v>
      </c>
      <c r="J22" s="23" t="n">
        <v>10</v>
      </c>
      <c r="K22" s="24" t="n">
        <v>1</v>
      </c>
      <c r="L22" s="24" t="n">
        <v>0</v>
      </c>
      <c r="M22" s="24" t="n">
        <v>3</v>
      </c>
      <c r="N22" s="24" t="n">
        <v>2</v>
      </c>
      <c r="O22" s="24" t="n">
        <v>0</v>
      </c>
      <c r="P22" s="24" t="n">
        <v>0</v>
      </c>
      <c r="Q22" s="24" t="n">
        <v>0</v>
      </c>
      <c r="R22" s="7" t="str">
        <f aca="false">IF(F22="Higher = riskier",IF(AND(G22&lt;H22,H22&lt;I22,I22&lt;J22),"OK","Check order"),IF(AND(G22&gt;H22,H22&gt;I22,I22&gt;J22),"OK","Check order"))</f>
        <v>OK</v>
      </c>
    </row>
    <row r="23" customFormat="false" ht="23.85" hidden="false" customHeight="false" outlineLevel="0" collapsed="false">
      <c r="A23" s="12" t="s">
        <v>400</v>
      </c>
      <c r="B23" s="8" t="s">
        <v>119</v>
      </c>
      <c r="C23" s="22" t="s">
        <v>401</v>
      </c>
      <c r="D23" s="8" t="s">
        <v>376</v>
      </c>
      <c r="E23" s="8" t="s">
        <v>402</v>
      </c>
      <c r="F23" s="8" t="s">
        <v>127</v>
      </c>
      <c r="G23" s="23" t="n">
        <v>2</v>
      </c>
      <c r="H23" s="23" t="n">
        <v>3</v>
      </c>
      <c r="I23" s="23" t="n">
        <v>4</v>
      </c>
      <c r="J23" s="23" t="n">
        <v>5</v>
      </c>
      <c r="K23" s="24" t="n">
        <v>2</v>
      </c>
      <c r="L23" s="24" t="n">
        <v>1</v>
      </c>
      <c r="M23" s="24" t="n">
        <v>1</v>
      </c>
      <c r="N23" s="24" t="n">
        <v>1</v>
      </c>
      <c r="O23" s="24" t="n">
        <v>0</v>
      </c>
      <c r="P23" s="24" t="n">
        <v>2</v>
      </c>
      <c r="Q23" s="24" t="n">
        <v>2</v>
      </c>
      <c r="R23" s="7" t="str">
        <f aca="false">IF(F23="Higher = riskier",IF(AND(G23&lt;H23,H23&lt;I23,I23&lt;J23),"OK","Check order"),IF(AND(G23&gt;H23,H23&gt;I23,I23&gt;J23),"OK","Check order"))</f>
        <v>OK</v>
      </c>
    </row>
    <row r="24" customFormat="false" ht="15" hidden="false" customHeight="false" outlineLevel="0" collapsed="false">
      <c r="A24" s="12" t="s">
        <v>403</v>
      </c>
      <c r="B24" s="8" t="s">
        <v>121</v>
      </c>
      <c r="C24" s="22" t="s">
        <v>404</v>
      </c>
      <c r="D24" s="8" t="s">
        <v>352</v>
      </c>
      <c r="E24" s="8" t="s">
        <v>405</v>
      </c>
      <c r="F24" s="8" t="s">
        <v>127</v>
      </c>
      <c r="G24" s="23" t="n">
        <v>10</v>
      </c>
      <c r="H24" s="23" t="n">
        <v>25</v>
      </c>
      <c r="I24" s="23" t="n">
        <v>40</v>
      </c>
      <c r="J24" s="23" t="n">
        <v>60</v>
      </c>
      <c r="K24" s="24" t="n">
        <v>2</v>
      </c>
      <c r="L24" s="24" t="n">
        <v>1</v>
      </c>
      <c r="M24" s="24" t="n">
        <v>0</v>
      </c>
      <c r="N24" s="24" t="n">
        <v>0</v>
      </c>
      <c r="O24" s="24" t="n">
        <v>0</v>
      </c>
      <c r="P24" s="24" t="n">
        <v>3</v>
      </c>
      <c r="Q24" s="24" t="n">
        <v>2</v>
      </c>
      <c r="R24" s="7" t="str">
        <f aca="false">IF(F24="Higher = riskier",IF(AND(G24&lt;H24,H24&lt;I24,I24&lt;J24),"OK","Check order"),IF(AND(G24&gt;H24,H24&gt;I24,I24&gt;J24),"OK","Check order"))</f>
        <v>OK</v>
      </c>
    </row>
    <row r="25" customFormat="false" ht="15" hidden="false" customHeight="false" outlineLevel="0" collapsed="false">
      <c r="A25" s="12" t="s">
        <v>406</v>
      </c>
      <c r="B25" s="8" t="s">
        <v>121</v>
      </c>
      <c r="C25" s="22" t="s">
        <v>407</v>
      </c>
      <c r="D25" s="8" t="s">
        <v>352</v>
      </c>
      <c r="E25" s="8" t="s">
        <v>408</v>
      </c>
      <c r="F25" s="8" t="s">
        <v>127</v>
      </c>
      <c r="G25" s="23" t="n">
        <v>2</v>
      </c>
      <c r="H25" s="23" t="n">
        <v>5</v>
      </c>
      <c r="I25" s="23" t="n">
        <v>10</v>
      </c>
      <c r="J25" s="23" t="n">
        <v>20</v>
      </c>
      <c r="K25" s="24" t="n">
        <v>2</v>
      </c>
      <c r="L25" s="24" t="n">
        <v>2</v>
      </c>
      <c r="M25" s="24" t="n">
        <v>2</v>
      </c>
      <c r="N25" s="24" t="n">
        <v>1</v>
      </c>
      <c r="O25" s="24" t="n">
        <v>2</v>
      </c>
      <c r="P25" s="24" t="n">
        <v>1</v>
      </c>
      <c r="Q25" s="24" t="n">
        <v>2</v>
      </c>
      <c r="R25" s="7" t="str">
        <f aca="false">IF(F25="Higher = riskier",IF(AND(G25&lt;H25,H25&lt;I25,I25&lt;J25),"OK","Check order"),IF(AND(G25&gt;H25,H25&gt;I25,I25&gt;J25),"OK","Check order"))</f>
        <v>OK</v>
      </c>
    </row>
    <row r="26" customFormat="false" ht="15" hidden="false" customHeight="false" outlineLevel="0" collapsed="false">
      <c r="A26" s="12" t="s">
        <v>409</v>
      </c>
      <c r="B26" s="8" t="s">
        <v>121</v>
      </c>
      <c r="C26" s="22" t="s">
        <v>410</v>
      </c>
      <c r="D26" s="8" t="s">
        <v>352</v>
      </c>
      <c r="E26" s="8" t="s">
        <v>411</v>
      </c>
      <c r="F26" s="8" t="s">
        <v>127</v>
      </c>
      <c r="G26" s="23" t="n">
        <v>10</v>
      </c>
      <c r="H26" s="23" t="n">
        <v>25</v>
      </c>
      <c r="I26" s="23" t="n">
        <v>40</v>
      </c>
      <c r="J26" s="23" t="n">
        <v>60</v>
      </c>
      <c r="K26" s="24" t="n">
        <v>2</v>
      </c>
      <c r="L26" s="24" t="n">
        <v>2</v>
      </c>
      <c r="M26" s="24" t="n">
        <v>1</v>
      </c>
      <c r="N26" s="24" t="n">
        <v>2</v>
      </c>
      <c r="O26" s="24" t="n">
        <v>0</v>
      </c>
      <c r="P26" s="24" t="n">
        <v>3</v>
      </c>
      <c r="Q26" s="24" t="n">
        <v>0</v>
      </c>
      <c r="R26" s="7" t="str">
        <f aca="false">IF(F26="Higher = riskier",IF(AND(G26&lt;H26,H26&lt;I26,I26&lt;J26),"OK","Check order"),IF(AND(G26&gt;H26,H26&gt;I26,I26&gt;J26),"OK","Check order"))</f>
        <v>OK</v>
      </c>
    </row>
    <row r="27" customFormat="false" ht="15" hidden="false" customHeight="false" outlineLevel="0" collapsed="false">
      <c r="A27" s="12" t="s">
        <v>412</v>
      </c>
      <c r="B27" s="8" t="s">
        <v>121</v>
      </c>
      <c r="C27" s="22" t="s">
        <v>413</v>
      </c>
      <c r="D27" s="8" t="s">
        <v>356</v>
      </c>
      <c r="E27" s="8" t="s">
        <v>414</v>
      </c>
      <c r="F27" s="8" t="s">
        <v>127</v>
      </c>
      <c r="G27" s="23" t="n">
        <v>1</v>
      </c>
      <c r="H27" s="23" t="n">
        <v>2</v>
      </c>
      <c r="I27" s="23" t="n">
        <v>3</v>
      </c>
      <c r="J27" s="23" t="n">
        <v>5</v>
      </c>
      <c r="K27" s="24" t="n">
        <v>1</v>
      </c>
      <c r="L27" s="24" t="n">
        <v>1</v>
      </c>
      <c r="M27" s="24" t="n">
        <v>0</v>
      </c>
      <c r="N27" s="24" t="n">
        <v>0</v>
      </c>
      <c r="O27" s="24" t="n">
        <v>0</v>
      </c>
      <c r="P27" s="24" t="n">
        <v>2</v>
      </c>
      <c r="Q27" s="24" t="n">
        <v>0</v>
      </c>
      <c r="R27" s="7" t="str">
        <f aca="false">IF(F27="Higher = riskier",IF(AND(G27&lt;H27,H27&lt;I27,I27&lt;J27),"OK","Check order"),IF(AND(G27&gt;H27,H27&gt;I27,I27&gt;J27),"OK","Check order"))</f>
        <v>OK</v>
      </c>
    </row>
    <row r="28" customFormat="false" ht="15" hidden="false" customHeight="false" outlineLevel="0" collapsed="false">
      <c r="A28" s="12" t="s">
        <v>415</v>
      </c>
      <c r="B28" s="8" t="s">
        <v>121</v>
      </c>
      <c r="C28" s="22" t="s">
        <v>416</v>
      </c>
      <c r="D28" s="8" t="s">
        <v>356</v>
      </c>
      <c r="E28" s="8" t="s">
        <v>417</v>
      </c>
      <c r="F28" s="8" t="s">
        <v>127</v>
      </c>
      <c r="G28" s="23" t="n">
        <v>1</v>
      </c>
      <c r="H28" s="23" t="n">
        <v>5</v>
      </c>
      <c r="I28" s="23" t="n">
        <v>10</v>
      </c>
      <c r="J28" s="23" t="n">
        <v>20</v>
      </c>
      <c r="K28" s="24" t="n">
        <v>0</v>
      </c>
      <c r="L28" s="24" t="n">
        <v>0</v>
      </c>
      <c r="M28" s="24" t="n">
        <v>0</v>
      </c>
      <c r="N28" s="24" t="n">
        <v>0</v>
      </c>
      <c r="O28" s="24" t="n">
        <v>3</v>
      </c>
      <c r="P28" s="24" t="n">
        <v>0</v>
      </c>
      <c r="Q28" s="24" t="n">
        <v>0</v>
      </c>
      <c r="R28" s="7" t="str">
        <f aca="false">IF(F28="Higher = riskier",IF(AND(G28&lt;H28,H28&lt;I28,I28&lt;J28),"OK","Check order"),IF(AND(G28&gt;H28,H28&gt;I28,I28&gt;J28),"OK","Check order"))</f>
        <v>OK</v>
      </c>
    </row>
    <row r="29" customFormat="false" ht="15" hidden="false" customHeight="false" outlineLevel="0" collapsed="false">
      <c r="A29" s="12" t="s">
        <v>418</v>
      </c>
      <c r="B29" s="8" t="s">
        <v>123</v>
      </c>
      <c r="C29" s="22" t="s">
        <v>419</v>
      </c>
      <c r="D29" s="8" t="s">
        <v>352</v>
      </c>
      <c r="E29" s="8" t="s">
        <v>361</v>
      </c>
      <c r="F29" s="8" t="s">
        <v>127</v>
      </c>
      <c r="G29" s="23" t="n">
        <v>5</v>
      </c>
      <c r="H29" s="23" t="n">
        <v>10</v>
      </c>
      <c r="I29" s="23" t="n">
        <v>20</v>
      </c>
      <c r="J29" s="23" t="n">
        <v>35</v>
      </c>
      <c r="K29" s="24" t="n">
        <v>3</v>
      </c>
      <c r="L29" s="24" t="n">
        <v>2</v>
      </c>
      <c r="M29" s="24" t="n">
        <v>0</v>
      </c>
      <c r="N29" s="24" t="n">
        <v>0</v>
      </c>
      <c r="O29" s="24" t="n">
        <v>0</v>
      </c>
      <c r="P29" s="24" t="n">
        <v>1</v>
      </c>
      <c r="Q29" s="24" t="n">
        <v>1</v>
      </c>
      <c r="R29" s="7" t="str">
        <f aca="false">IF(F29="Higher = riskier",IF(AND(G29&lt;H29,H29&lt;I29,I29&lt;J29),"OK","Check order"),IF(AND(G29&gt;H29,H29&gt;I29,I29&gt;J29),"OK","Check order"))</f>
        <v>OK</v>
      </c>
    </row>
    <row r="30" customFormat="false" ht="15" hidden="false" customHeight="false" outlineLevel="0" collapsed="false">
      <c r="A30" s="12" t="s">
        <v>420</v>
      </c>
      <c r="B30" s="8" t="s">
        <v>123</v>
      </c>
      <c r="C30" s="22" t="s">
        <v>421</v>
      </c>
      <c r="D30" s="8" t="s">
        <v>422</v>
      </c>
      <c r="E30" s="8" t="s">
        <v>423</v>
      </c>
      <c r="F30" s="8" t="s">
        <v>127</v>
      </c>
      <c r="G30" s="23" t="n">
        <v>5</v>
      </c>
      <c r="H30" s="23" t="n">
        <v>20</v>
      </c>
      <c r="I30" s="23" t="n">
        <v>50</v>
      </c>
      <c r="J30" s="23" t="n">
        <v>100</v>
      </c>
      <c r="K30" s="24" t="n">
        <v>2</v>
      </c>
      <c r="L30" s="24" t="n">
        <v>2</v>
      </c>
      <c r="M30" s="24" t="n">
        <v>2</v>
      </c>
      <c r="N30" s="24" t="n">
        <v>3</v>
      </c>
      <c r="O30" s="24" t="n">
        <v>0</v>
      </c>
      <c r="P30" s="24" t="n">
        <v>1</v>
      </c>
      <c r="Q30" s="24" t="n">
        <v>1</v>
      </c>
      <c r="R30" s="7" t="str">
        <f aca="false">IF(F30="Higher = riskier",IF(AND(G30&lt;H30,H30&lt;I30,I30&lt;J30),"OK","Check order"),IF(AND(G30&gt;H30,H30&gt;I30,I30&gt;J30),"OK","Check order"))</f>
        <v>OK</v>
      </c>
    </row>
    <row r="31" customFormat="false" ht="15" hidden="false" customHeight="false" outlineLevel="0" collapsed="false">
      <c r="A31" s="12" t="s">
        <v>424</v>
      </c>
      <c r="B31" s="8" t="s">
        <v>123</v>
      </c>
      <c r="C31" s="22" t="s">
        <v>425</v>
      </c>
      <c r="D31" s="8" t="s">
        <v>356</v>
      </c>
      <c r="E31" s="8" t="s">
        <v>361</v>
      </c>
      <c r="F31" s="8" t="s">
        <v>127</v>
      </c>
      <c r="G31" s="23" t="n">
        <v>20</v>
      </c>
      <c r="H31" s="23" t="n">
        <v>100</v>
      </c>
      <c r="I31" s="23" t="n">
        <v>300</v>
      </c>
      <c r="J31" s="23" t="n">
        <v>600</v>
      </c>
      <c r="K31" s="24" t="n">
        <v>1</v>
      </c>
      <c r="L31" s="24" t="n">
        <v>0</v>
      </c>
      <c r="M31" s="24" t="n">
        <v>2</v>
      </c>
      <c r="N31" s="24" t="n">
        <v>2</v>
      </c>
      <c r="O31" s="24" t="n">
        <v>2</v>
      </c>
      <c r="P31" s="24" t="n">
        <v>0</v>
      </c>
      <c r="Q31" s="24" t="n">
        <v>0</v>
      </c>
      <c r="R31" s="7" t="str">
        <f aca="false">IF(F31="Higher = riskier",IF(AND(G31&lt;H31,H31&lt;I31,I31&lt;J31),"OK","Check order"),IF(AND(G31&gt;H31,H31&gt;I31,I31&gt;J31),"OK","Check order"))</f>
        <v>OK</v>
      </c>
    </row>
    <row r="32" customFormat="false" ht="15" hidden="false" customHeight="false" outlineLevel="0" collapsed="false">
      <c r="A32" s="12" t="s">
        <v>426</v>
      </c>
      <c r="B32" s="8" t="s">
        <v>123</v>
      </c>
      <c r="C32" s="22" t="s">
        <v>427</v>
      </c>
      <c r="D32" s="8" t="s">
        <v>356</v>
      </c>
      <c r="E32" s="8" t="s">
        <v>428</v>
      </c>
      <c r="F32" s="8" t="s">
        <v>127</v>
      </c>
      <c r="G32" s="23" t="n">
        <v>2</v>
      </c>
      <c r="H32" s="23" t="n">
        <v>5</v>
      </c>
      <c r="I32" s="23" t="n">
        <v>10</v>
      </c>
      <c r="J32" s="23" t="n">
        <v>20</v>
      </c>
      <c r="K32" s="24" t="n">
        <v>2</v>
      </c>
      <c r="L32" s="24" t="n">
        <v>1</v>
      </c>
      <c r="M32" s="24" t="n">
        <v>0</v>
      </c>
      <c r="N32" s="24" t="n">
        <v>0</v>
      </c>
      <c r="O32" s="24" t="n">
        <v>0</v>
      </c>
      <c r="P32" s="24" t="n">
        <v>0</v>
      </c>
      <c r="Q32" s="24" t="n">
        <v>0</v>
      </c>
      <c r="R32" s="7" t="str">
        <f aca="false">IF(F32="Higher = riskier",IF(AND(G32&lt;H32,H32&lt;I32,I32&lt;J32),"OK","Check order"),IF(AND(G32&gt;H32,H32&gt;I32,I32&gt;J32),"OK","Check order"))</f>
        <v>OK</v>
      </c>
    </row>
    <row r="33" customFormat="false" ht="15" hidden="false" customHeight="false" outlineLevel="0" collapsed="false">
      <c r="A33" s="12" t="s">
        <v>429</v>
      </c>
      <c r="B33" s="8" t="s">
        <v>123</v>
      </c>
      <c r="C33" s="22" t="s">
        <v>430</v>
      </c>
      <c r="D33" s="8" t="s">
        <v>356</v>
      </c>
      <c r="E33" s="8" t="s">
        <v>431</v>
      </c>
      <c r="F33" s="8" t="s">
        <v>127</v>
      </c>
      <c r="G33" s="23" t="n">
        <v>1</v>
      </c>
      <c r="H33" s="23" t="n">
        <v>3</v>
      </c>
      <c r="I33" s="23" t="n">
        <v>6</v>
      </c>
      <c r="J33" s="23" t="n">
        <v>10</v>
      </c>
      <c r="K33" s="24" t="n">
        <v>2</v>
      </c>
      <c r="L33" s="24" t="n">
        <v>2</v>
      </c>
      <c r="M33" s="24" t="n">
        <v>0</v>
      </c>
      <c r="N33" s="24" t="n">
        <v>0</v>
      </c>
      <c r="O33" s="24" t="n">
        <v>0</v>
      </c>
      <c r="P33" s="24" t="n">
        <v>0</v>
      </c>
      <c r="Q33" s="24" t="n">
        <v>0</v>
      </c>
      <c r="R33" s="7" t="str">
        <f aca="false">IF(F33="Higher = riskier",IF(AND(G33&lt;H33,H33&lt;I33,I33&lt;J33),"OK","Check order"),IF(AND(G33&gt;H33,H33&gt;I33,I33&gt;J33),"OK","Check order"))</f>
        <v>OK</v>
      </c>
    </row>
    <row r="34" customFormat="false" ht="15" hidden="false" customHeight="false" outlineLevel="0" collapsed="false">
      <c r="A34" s="12" t="s">
        <v>432</v>
      </c>
      <c r="B34" s="8" t="s">
        <v>123</v>
      </c>
      <c r="C34" s="22" t="s">
        <v>433</v>
      </c>
      <c r="D34" s="8" t="s">
        <v>356</v>
      </c>
      <c r="E34" s="8" t="s">
        <v>434</v>
      </c>
      <c r="F34" s="8" t="s">
        <v>127</v>
      </c>
      <c r="G34" s="23" t="n">
        <v>1</v>
      </c>
      <c r="H34" s="23" t="n">
        <v>3</v>
      </c>
      <c r="I34" s="23" t="n">
        <v>6</v>
      </c>
      <c r="J34" s="23" t="n">
        <v>10</v>
      </c>
      <c r="K34" s="24" t="n">
        <v>0</v>
      </c>
      <c r="L34" s="24" t="n">
        <v>0</v>
      </c>
      <c r="M34" s="24" t="n">
        <v>0</v>
      </c>
      <c r="N34" s="24" t="n">
        <v>0</v>
      </c>
      <c r="O34" s="24" t="n">
        <v>0</v>
      </c>
      <c r="P34" s="24" t="n">
        <v>3</v>
      </c>
      <c r="Q34" s="24" t="n">
        <v>0</v>
      </c>
      <c r="R34" s="7" t="str">
        <f aca="false">IF(F34="Higher = riskier",IF(AND(G34&lt;H34,H34&lt;I34,I34&lt;J34),"OK","Check order"),IF(AND(G34&gt;H34,H34&gt;I34,I34&gt;J34),"OK","Check order"))</f>
        <v>OK</v>
      </c>
    </row>
    <row r="35" customFormat="false" ht="15" hidden="false" customHeight="false" outlineLevel="0" collapsed="false">
      <c r="A35" s="12" t="s">
        <v>435</v>
      </c>
      <c r="B35" s="8" t="s">
        <v>123</v>
      </c>
      <c r="C35" s="22" t="s">
        <v>436</v>
      </c>
      <c r="D35" s="8" t="s">
        <v>352</v>
      </c>
      <c r="E35" s="8" t="s">
        <v>437</v>
      </c>
      <c r="F35" s="8" t="s">
        <v>127</v>
      </c>
      <c r="G35" s="23" t="n">
        <v>1</v>
      </c>
      <c r="H35" s="23" t="n">
        <v>3</v>
      </c>
      <c r="I35" s="23" t="n">
        <v>6</v>
      </c>
      <c r="J35" s="23" t="n">
        <v>10</v>
      </c>
      <c r="K35" s="24" t="n">
        <v>0</v>
      </c>
      <c r="L35" s="24" t="n">
        <v>0</v>
      </c>
      <c r="M35" s="24" t="n">
        <v>0</v>
      </c>
      <c r="N35" s="24" t="n">
        <v>0</v>
      </c>
      <c r="O35" s="24" t="n">
        <v>0</v>
      </c>
      <c r="P35" s="24" t="n">
        <v>0</v>
      </c>
      <c r="Q35" s="24" t="n">
        <v>3</v>
      </c>
      <c r="R35" s="7" t="str">
        <f aca="false">IF(F35="Higher = riskier",IF(AND(G35&lt;H35,H35&lt;I35,I35&lt;J35),"OK","Check order"),IF(AND(G35&gt;H35,H35&gt;I35,I35&gt;J35),"OK","Check order"))</f>
        <v>OK</v>
      </c>
    </row>
  </sheetData>
  <dataValidations count="2">
    <dataValidation allowBlank="false" errorStyle="stop" operator="between" showDropDown="false" showErrorMessage="false" showInputMessage="false" sqref="B5:B35" type="list">
      <formula1>Config!$H$18:$H$22</formula1>
      <formula2>0</formula2>
    </dataValidation>
    <dataValidation allowBlank="false" errorStyle="stop" operator="between" showDropDown="false" showErrorMessage="false" showInputMessage="false" sqref="F5:F35" type="list">
      <formula1>Config!$H$24:$H$25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33" min="4" style="0" width="9"/>
  </cols>
  <sheetData>
    <row r="1" customFormat="false" ht="17.35" hidden="false" customHeight="false" outlineLevel="0" collapsed="false">
      <c r="A1" s="1" t="s">
        <v>438</v>
      </c>
    </row>
    <row r="2" customFormat="false" ht="15" hidden="false" customHeight="false" outlineLevel="0" collapsed="false">
      <c r="A2" s="2" t="s">
        <v>439</v>
      </c>
    </row>
    <row r="4" customFormat="false" ht="27.75" hidden="false" customHeight="true" outlineLevel="0" collapsed="false">
      <c r="A4" s="5" t="s">
        <v>332</v>
      </c>
      <c r="B4" s="5" t="s">
        <v>334</v>
      </c>
      <c r="C4" s="5" t="s">
        <v>335</v>
      </c>
      <c r="D4" s="5" t="str">
        <f aca="false">Entities!A5</f>
        <v>JO-HO</v>
      </c>
      <c r="E4" s="5" t="str">
        <f aca="false">Entities!A6</f>
        <v>JO-IIAB</v>
      </c>
      <c r="F4" s="5" t="str">
        <f aca="false">Entities!A7</f>
        <v>JO-INV</v>
      </c>
      <c r="G4" s="5" t="str">
        <f aca="false">Entities!A8</f>
        <v>JO-INS</v>
      </c>
      <c r="H4" s="5" t="str">
        <f aca="false">Entities!A9</f>
        <v>JO-LSG</v>
      </c>
      <c r="I4" s="5" t="str">
        <f aca="false">Entities!A10</f>
        <v>PS</v>
      </c>
      <c r="J4" s="5" t="str">
        <f aca="false">Entities!A11</f>
        <v>PS-INV</v>
      </c>
      <c r="K4" s="5" t="str">
        <f aca="false">Entities!A12</f>
        <v>LB</v>
      </c>
      <c r="L4" s="5" t="str">
        <f aca="false">Entities!A13</f>
        <v>SY</v>
      </c>
      <c r="M4" s="5" t="str">
        <f aca="false">Entities!A14</f>
        <v>AE</v>
      </c>
      <c r="N4" s="5" t="str">
        <f aca="false">Entities!A15</f>
        <v>BH</v>
      </c>
      <c r="O4" s="5" t="str">
        <f aca="false">Entities!A16</f>
        <v>QA</v>
      </c>
      <c r="P4" s="5" t="str">
        <f aca="false">Entities!A17</f>
        <v>SA</v>
      </c>
      <c r="Q4" s="5" t="str">
        <f aca="false">Entities!A18</f>
        <v>OM</v>
      </c>
      <c r="R4" s="5" t="str">
        <f aca="false">Entities!A19</f>
        <v>IQ</v>
      </c>
      <c r="S4" s="5" t="str">
        <f aca="false">Entities!A20</f>
        <v>YE</v>
      </c>
      <c r="T4" s="5" t="str">
        <f aca="false">Entities!A21</f>
        <v>EG</v>
      </c>
      <c r="U4" s="5" t="str">
        <f aca="false">Entities!A22</f>
        <v>DZ</v>
      </c>
      <c r="V4" s="5" t="str">
        <f aca="false">Entities!A23</f>
        <v>MA</v>
      </c>
      <c r="W4" s="5" t="str">
        <f aca="false">Entities!A24</f>
        <v>TN</v>
      </c>
      <c r="X4" s="5" t="str">
        <f aca="false">Entities!A25</f>
        <v>SD</v>
      </c>
      <c r="Y4" s="5" t="str">
        <f aca="false">Entities!A26</f>
        <v>GB</v>
      </c>
      <c r="Z4" s="5" t="str">
        <f aca="false">Entities!A27</f>
        <v>FR</v>
      </c>
      <c r="AA4" s="5" t="str">
        <f aca="false">Entities!A28</f>
        <v>DE</v>
      </c>
      <c r="AB4" s="5" t="str">
        <f aca="false">Entities!A29</f>
        <v>IT</v>
      </c>
      <c r="AC4" s="5" t="str">
        <f aca="false">Entities!A30</f>
        <v>CH</v>
      </c>
      <c r="AD4" s="5" t="str">
        <f aca="false">Entities!A31</f>
        <v>SG</v>
      </c>
      <c r="AE4" s="5" t="str">
        <f aca="false">Entities!A32</f>
        <v>CN</v>
      </c>
      <c r="AF4" s="5" t="str">
        <f aca="false">Entities!A33</f>
        <v>AU</v>
      </c>
      <c r="AG4" s="5" t="str">
        <f aca="false">Entities!A34</f>
        <v>US</v>
      </c>
    </row>
    <row r="5" customFormat="false" ht="15" hidden="false" customHeight="false" outlineLevel="0" collapsed="false">
      <c r="A5" s="26" t="str">
        <f aca="false">Indicators!A5</f>
        <v>C01</v>
      </c>
      <c r="B5" s="26" t="str">
        <f aca="false">Indicators!C5</f>
        <v>% of customers rated high risk (CRR)</v>
      </c>
      <c r="C5" s="26" t="str">
        <f aca="false">Indicators!D5</f>
        <v>%</v>
      </c>
      <c r="D5" s="23" t="n">
        <v>14.91</v>
      </c>
      <c r="E5" s="23" t="n">
        <v>9.26</v>
      </c>
      <c r="F5" s="23" t="n">
        <v>0.16</v>
      </c>
      <c r="G5" s="23" t="n">
        <v>15.49</v>
      </c>
      <c r="H5" s="23" t="n">
        <v>12.22</v>
      </c>
      <c r="I5" s="23" t="n">
        <v>11.18</v>
      </c>
      <c r="J5" s="23" t="n">
        <v>5.71</v>
      </c>
      <c r="K5" s="23" t="n">
        <v>9.01</v>
      </c>
      <c r="L5" s="23" t="n">
        <v>19.46</v>
      </c>
      <c r="M5" s="23" t="n">
        <v>8.24</v>
      </c>
      <c r="N5" s="23" t="n">
        <v>3.76</v>
      </c>
      <c r="O5" s="23" t="n">
        <v>11.46</v>
      </c>
      <c r="P5" s="23" t="n">
        <v>4.75</v>
      </c>
      <c r="Q5" s="23" t="n">
        <v>5.64</v>
      </c>
      <c r="R5" s="23" t="n">
        <v>2.25</v>
      </c>
      <c r="S5" s="23" t="n">
        <v>18.28</v>
      </c>
      <c r="T5" s="23" t="n">
        <v>8.99</v>
      </c>
      <c r="U5" s="23" t="n">
        <v>6.87</v>
      </c>
      <c r="V5" s="23" t="n">
        <v>7.28</v>
      </c>
      <c r="W5" s="23" t="n">
        <v>6.81</v>
      </c>
      <c r="X5" s="23" t="n">
        <v>31.17</v>
      </c>
      <c r="Y5" s="23" t="n">
        <v>3.81</v>
      </c>
      <c r="Z5" s="23" t="n">
        <v>4.57</v>
      </c>
      <c r="AA5" s="23" t="n">
        <v>0.8</v>
      </c>
      <c r="AB5" s="23" t="n">
        <v>14.26</v>
      </c>
      <c r="AC5" s="23" t="n">
        <v>0.13</v>
      </c>
      <c r="AD5" s="23" t="n">
        <v>2.45</v>
      </c>
      <c r="AE5" s="23" t="n">
        <v>2.86</v>
      </c>
      <c r="AF5" s="23" t="n">
        <v>2.66</v>
      </c>
      <c r="AG5" s="23" t="n">
        <v>2.48</v>
      </c>
    </row>
    <row r="6" customFormat="false" ht="15" hidden="false" customHeight="false" outlineLevel="0" collapsed="false">
      <c r="A6" s="26" t="str">
        <f aca="false">Indicators!A6</f>
        <v>C02</v>
      </c>
      <c r="B6" s="26" t="str">
        <f aca="false">Indicators!C6</f>
        <v>PEP relationships per 10,000 customers</v>
      </c>
      <c r="C6" s="26" t="str">
        <f aca="false">Indicators!D6</f>
        <v>count</v>
      </c>
      <c r="D6" s="23" t="n">
        <v>9</v>
      </c>
      <c r="E6" s="23" t="n">
        <v>8</v>
      </c>
      <c r="F6" s="23" t="n">
        <v>2.54</v>
      </c>
      <c r="G6" s="23" t="n">
        <v>9</v>
      </c>
      <c r="H6" s="23" t="n">
        <v>0.93</v>
      </c>
      <c r="I6" s="23" t="n">
        <v>9</v>
      </c>
      <c r="J6" s="23" t="n">
        <v>13</v>
      </c>
      <c r="K6" s="23" t="n">
        <v>8</v>
      </c>
      <c r="L6" s="23" t="n">
        <v>8</v>
      </c>
      <c r="M6" s="23" t="n">
        <v>2.79</v>
      </c>
      <c r="N6" s="23" t="n">
        <v>3.74</v>
      </c>
      <c r="O6" s="23" t="n">
        <v>0.71</v>
      </c>
      <c r="P6" s="23" t="n">
        <v>2.18</v>
      </c>
      <c r="Q6" s="23" t="n">
        <v>4.54</v>
      </c>
      <c r="R6" s="23" t="n">
        <v>7</v>
      </c>
      <c r="S6" s="23" t="n">
        <v>13</v>
      </c>
      <c r="T6" s="23" t="n">
        <v>0.25</v>
      </c>
      <c r="U6" s="23" t="n">
        <v>4.24</v>
      </c>
      <c r="V6" s="23" t="n">
        <v>5</v>
      </c>
      <c r="W6" s="23" t="n">
        <v>5</v>
      </c>
      <c r="X6" s="23" t="n">
        <v>4.19</v>
      </c>
      <c r="Y6" s="23" t="n">
        <v>0.52</v>
      </c>
      <c r="Z6" s="23" t="n">
        <v>0.77</v>
      </c>
      <c r="AA6" s="23" t="n">
        <v>1.53</v>
      </c>
      <c r="AB6" s="23" t="n">
        <v>1.1</v>
      </c>
      <c r="AC6" s="23" t="n">
        <v>1.95</v>
      </c>
      <c r="AD6" s="23" t="n">
        <v>0.73</v>
      </c>
      <c r="AE6" s="23" t="n">
        <v>0.31</v>
      </c>
      <c r="AF6" s="23" t="n">
        <v>0.78</v>
      </c>
      <c r="AG6" s="23" t="n">
        <v>0.11</v>
      </c>
    </row>
    <row r="7" customFormat="false" ht="15" hidden="false" customHeight="false" outlineLevel="0" collapsed="false">
      <c r="A7" s="26" t="str">
        <f aca="false">Indicators!A7</f>
        <v>C03</v>
      </c>
      <c r="B7" s="26" t="str">
        <f aca="false">Indicators!C7</f>
        <v>% of customers that are NPOs / charities</v>
      </c>
      <c r="C7" s="26" t="str">
        <f aca="false">Indicators!D7</f>
        <v>%</v>
      </c>
      <c r="D7" s="23" t="n">
        <v>0.79</v>
      </c>
      <c r="E7" s="23" t="n">
        <v>1.46</v>
      </c>
      <c r="F7" s="23" t="n">
        <v>0</v>
      </c>
      <c r="G7" s="23" t="n">
        <v>0</v>
      </c>
      <c r="H7" s="23" t="n">
        <v>0</v>
      </c>
      <c r="I7" s="23" t="n">
        <v>0.3</v>
      </c>
      <c r="J7" s="23" t="n">
        <v>0</v>
      </c>
      <c r="K7" s="23" t="n">
        <v>0.54</v>
      </c>
      <c r="L7" s="23" t="n">
        <v>2.46</v>
      </c>
      <c r="M7" s="23" t="n">
        <v>1.87</v>
      </c>
      <c r="N7" s="23" t="n">
        <v>1.04</v>
      </c>
      <c r="O7" s="23" t="n">
        <v>0.24</v>
      </c>
      <c r="P7" s="23" t="n">
        <v>1.71</v>
      </c>
      <c r="Q7" s="23" t="n">
        <v>0.62</v>
      </c>
      <c r="R7" s="23" t="n">
        <v>3.01</v>
      </c>
      <c r="S7" s="23" t="n">
        <v>0.83</v>
      </c>
      <c r="T7" s="23" t="n">
        <v>0.64</v>
      </c>
      <c r="U7" s="23" t="n">
        <v>1.6</v>
      </c>
      <c r="V7" s="23" t="n">
        <v>1.41</v>
      </c>
      <c r="W7" s="23" t="n">
        <v>0.71</v>
      </c>
      <c r="X7" s="23" t="n">
        <v>3.18</v>
      </c>
      <c r="Y7" s="23" t="n">
        <v>1.95</v>
      </c>
      <c r="Z7" s="23" t="n">
        <v>0.01</v>
      </c>
      <c r="AA7" s="23" t="n">
        <v>0.19</v>
      </c>
      <c r="AB7" s="23" t="n">
        <v>0.34</v>
      </c>
      <c r="AC7" s="23" t="n">
        <v>0.16</v>
      </c>
      <c r="AD7" s="23" t="n">
        <v>0.26</v>
      </c>
      <c r="AE7" s="23" t="n">
        <v>0.22</v>
      </c>
      <c r="AF7" s="23" t="n">
        <v>0.03</v>
      </c>
      <c r="AG7" s="23" t="n">
        <v>0.12</v>
      </c>
    </row>
    <row r="8" customFormat="false" ht="15" hidden="false" customHeight="false" outlineLevel="0" collapsed="false">
      <c r="A8" s="26" t="str">
        <f aca="false">Indicators!A8</f>
        <v>C04</v>
      </c>
      <c r="B8" s="26" t="str">
        <f aca="false">Indicators!C8</f>
        <v>% non-resident customers</v>
      </c>
      <c r="C8" s="26" t="str">
        <f aca="false">Indicators!D8</f>
        <v>%</v>
      </c>
      <c r="D8" s="23" t="n">
        <v>15.34</v>
      </c>
      <c r="E8" s="23" t="n">
        <v>16.02</v>
      </c>
      <c r="F8" s="23" t="n">
        <v>17.22</v>
      </c>
      <c r="G8" s="23" t="n">
        <v>14.16</v>
      </c>
      <c r="H8" s="23" t="n">
        <v>25.83</v>
      </c>
      <c r="I8" s="23" t="n">
        <v>17.49</v>
      </c>
      <c r="J8" s="23" t="n">
        <v>23.77</v>
      </c>
      <c r="K8" s="23" t="n">
        <v>11.32</v>
      </c>
      <c r="L8" s="23" t="n">
        <v>15.92</v>
      </c>
      <c r="M8" s="23" t="n">
        <v>29.55</v>
      </c>
      <c r="N8" s="23" t="n">
        <v>7.35</v>
      </c>
      <c r="O8" s="23" t="n">
        <v>10.59</v>
      </c>
      <c r="P8" s="23" t="n">
        <v>21.66</v>
      </c>
      <c r="Q8" s="23" t="n">
        <v>21.02</v>
      </c>
      <c r="R8" s="23" t="n">
        <v>31.48</v>
      </c>
      <c r="S8" s="23" t="n">
        <v>27.08</v>
      </c>
      <c r="T8" s="23" t="n">
        <v>6.5</v>
      </c>
      <c r="U8" s="23" t="n">
        <v>31.44</v>
      </c>
      <c r="V8" s="23" t="n">
        <v>10.66</v>
      </c>
      <c r="W8" s="23" t="n">
        <v>7.73</v>
      </c>
      <c r="X8" s="23" t="n">
        <v>38.46</v>
      </c>
      <c r="Y8" s="23" t="n">
        <v>3.52</v>
      </c>
      <c r="Z8" s="23" t="n">
        <v>7.87</v>
      </c>
      <c r="AA8" s="23" t="n">
        <v>5.44</v>
      </c>
      <c r="AB8" s="23" t="n">
        <v>4.76</v>
      </c>
      <c r="AC8" s="23" t="n">
        <v>10.97</v>
      </c>
      <c r="AD8" s="23" t="n">
        <v>7.24</v>
      </c>
      <c r="AE8" s="23" t="n">
        <v>11.14</v>
      </c>
      <c r="AF8" s="23" t="n">
        <v>0.86</v>
      </c>
      <c r="AG8" s="23" t="n">
        <v>6.22</v>
      </c>
    </row>
    <row r="9" customFormat="false" ht="15" hidden="false" customHeight="false" outlineLevel="0" collapsed="false">
      <c r="A9" s="26" t="str">
        <f aca="false">Indicators!A9</f>
        <v>C05</v>
      </c>
      <c r="B9" s="26" t="str">
        <f aca="false">Indicators!C9</f>
        <v>% corporate customers with complex or opaque ownership</v>
      </c>
      <c r="C9" s="26" t="str">
        <f aca="false">Indicators!D9</f>
        <v>%</v>
      </c>
      <c r="D9" s="23" t="n">
        <v>8.51</v>
      </c>
      <c r="E9" s="23" t="n">
        <v>25.48</v>
      </c>
      <c r="F9" s="23" t="n">
        <v>19.18</v>
      </c>
      <c r="G9" s="23" t="n">
        <v>13.23</v>
      </c>
      <c r="H9" s="23" t="n">
        <v>4.27</v>
      </c>
      <c r="I9" s="23" t="n">
        <v>7.95</v>
      </c>
      <c r="J9" s="23" t="n">
        <v>7.85</v>
      </c>
      <c r="K9" s="23" t="n">
        <v>28.87</v>
      </c>
      <c r="L9" s="23" t="n">
        <v>18.73</v>
      </c>
      <c r="M9" s="23" t="n">
        <v>1.07</v>
      </c>
      <c r="N9" s="23" t="n">
        <v>12.44</v>
      </c>
      <c r="O9" s="23" t="n">
        <v>3.93</v>
      </c>
      <c r="P9" s="23" t="n">
        <v>15.97</v>
      </c>
      <c r="Q9" s="23" t="n">
        <v>7.89</v>
      </c>
      <c r="R9" s="23" t="n">
        <v>3.59</v>
      </c>
      <c r="S9" s="23" t="n">
        <v>5.55</v>
      </c>
      <c r="T9" s="23" t="n">
        <v>5.15</v>
      </c>
      <c r="U9" s="23" t="n">
        <v>3.62</v>
      </c>
      <c r="V9" s="23" t="n">
        <v>7.04</v>
      </c>
      <c r="W9" s="23" t="n">
        <v>3.04</v>
      </c>
      <c r="X9" s="23" t="n">
        <v>14.35</v>
      </c>
      <c r="Y9" s="23" t="n">
        <v>7.27</v>
      </c>
      <c r="Z9" s="23" t="n">
        <v>0.93</v>
      </c>
      <c r="AA9" s="23" t="n">
        <v>0.09</v>
      </c>
      <c r="AB9" s="23" t="n">
        <v>5.96</v>
      </c>
      <c r="AC9" s="23" t="n">
        <v>3.22</v>
      </c>
      <c r="AD9" s="23" t="n">
        <v>8.28</v>
      </c>
      <c r="AE9" s="23" t="n">
        <v>1.43</v>
      </c>
      <c r="AF9" s="23" t="n">
        <v>3.51</v>
      </c>
      <c r="AG9" s="23" t="n">
        <v>0.78</v>
      </c>
    </row>
    <row r="10" customFormat="false" ht="15" hidden="false" customHeight="false" outlineLevel="0" collapsed="false">
      <c r="A10" s="26" t="str">
        <f aca="false">Indicators!A10</f>
        <v>C06</v>
      </c>
      <c r="B10" s="26" t="str">
        <f aca="false">Indicators!C10</f>
        <v>% customers in cash-intensive businesses</v>
      </c>
      <c r="C10" s="26" t="str">
        <f aca="false">Indicators!D10</f>
        <v>%</v>
      </c>
      <c r="D10" s="23" t="n">
        <v>5.96</v>
      </c>
      <c r="E10" s="23" t="n">
        <v>2.9</v>
      </c>
      <c r="F10" s="23" t="n">
        <v>3.6</v>
      </c>
      <c r="G10" s="23" t="n">
        <v>3.27</v>
      </c>
      <c r="H10" s="23" t="n">
        <v>19.31</v>
      </c>
      <c r="I10" s="23" t="n">
        <v>11.4</v>
      </c>
      <c r="J10" s="23" t="n">
        <v>30.07</v>
      </c>
      <c r="K10" s="23" t="n">
        <v>13.65</v>
      </c>
      <c r="L10" s="23" t="n">
        <v>12.92</v>
      </c>
      <c r="M10" s="23" t="n">
        <v>8.57</v>
      </c>
      <c r="N10" s="23" t="n">
        <v>10.59</v>
      </c>
      <c r="O10" s="23" t="n">
        <v>19.15</v>
      </c>
      <c r="P10" s="23" t="n">
        <v>7.75</v>
      </c>
      <c r="Q10" s="23" t="n">
        <v>18.88</v>
      </c>
      <c r="R10" s="23" t="n">
        <v>7.17</v>
      </c>
      <c r="S10" s="23" t="n">
        <v>31.59</v>
      </c>
      <c r="T10" s="23" t="n">
        <v>13.62</v>
      </c>
      <c r="U10" s="23" t="n">
        <v>6.34</v>
      </c>
      <c r="V10" s="23" t="n">
        <v>4.35</v>
      </c>
      <c r="W10" s="23" t="n">
        <v>8.67</v>
      </c>
      <c r="X10" s="23" t="n">
        <v>16.36</v>
      </c>
      <c r="Y10" s="23" t="n">
        <v>7.72</v>
      </c>
      <c r="Z10" s="23" t="n">
        <v>3.46</v>
      </c>
      <c r="AA10" s="23" t="n">
        <v>4.3</v>
      </c>
      <c r="AB10" s="23" t="n">
        <v>4.2</v>
      </c>
      <c r="AC10" s="23" t="n">
        <v>0.4</v>
      </c>
      <c r="AD10" s="23" t="n">
        <v>1.75</v>
      </c>
      <c r="AE10" s="23" t="n">
        <v>3.75</v>
      </c>
      <c r="AF10" s="23" t="n">
        <v>10.16</v>
      </c>
      <c r="AG10" s="23" t="n">
        <v>0.13</v>
      </c>
    </row>
    <row r="11" customFormat="false" ht="15" hidden="false" customHeight="false" outlineLevel="0" collapsed="false">
      <c r="A11" s="26" t="str">
        <f aca="false">Indicators!A11</f>
        <v>C07</v>
      </c>
      <c r="B11" s="26" t="str">
        <f aca="false">Indicators!C11</f>
        <v>% customers that are government bodies or SOEs</v>
      </c>
      <c r="C11" s="26" t="str">
        <f aca="false">Indicators!D11</f>
        <v>%</v>
      </c>
      <c r="D11" s="23" t="n">
        <v>3.69</v>
      </c>
      <c r="E11" s="23" t="n">
        <v>4.57</v>
      </c>
      <c r="F11" s="23" t="n">
        <v>1.61</v>
      </c>
      <c r="G11" s="23" t="n">
        <v>1.77</v>
      </c>
      <c r="H11" s="23" t="n">
        <v>1.68</v>
      </c>
      <c r="I11" s="23" t="n">
        <v>7.76</v>
      </c>
      <c r="J11" s="23" t="n">
        <v>5.77</v>
      </c>
      <c r="K11" s="23" t="n">
        <v>9.23</v>
      </c>
      <c r="L11" s="23" t="n">
        <v>4.97</v>
      </c>
      <c r="M11" s="23" t="n">
        <v>9.51</v>
      </c>
      <c r="N11" s="23" t="n">
        <v>5.43</v>
      </c>
      <c r="O11" s="23" t="n">
        <v>3.52</v>
      </c>
      <c r="P11" s="23" t="n">
        <v>3.55</v>
      </c>
      <c r="Q11" s="23" t="n">
        <v>8.73</v>
      </c>
      <c r="R11" s="23" t="n">
        <v>14.16</v>
      </c>
      <c r="S11" s="23" t="n">
        <v>7.89</v>
      </c>
      <c r="T11" s="23" t="n">
        <v>2.47</v>
      </c>
      <c r="U11" s="23" t="n">
        <v>6.11</v>
      </c>
      <c r="V11" s="23" t="n">
        <v>8.29</v>
      </c>
      <c r="W11" s="23" t="n">
        <v>1.49</v>
      </c>
      <c r="X11" s="23" t="n">
        <v>13.82</v>
      </c>
      <c r="Y11" s="23" t="n">
        <v>0.45</v>
      </c>
      <c r="Z11" s="23" t="n">
        <v>5.76</v>
      </c>
      <c r="AA11" s="23" t="n">
        <v>0.79</v>
      </c>
      <c r="AB11" s="23" t="n">
        <v>5</v>
      </c>
      <c r="AC11" s="23" t="n">
        <v>4.68</v>
      </c>
      <c r="AD11" s="23" t="n">
        <v>1.12</v>
      </c>
      <c r="AE11" s="23" t="n">
        <v>2.71</v>
      </c>
      <c r="AF11" s="23" t="n">
        <v>0.88</v>
      </c>
      <c r="AG11" s="23" t="n">
        <v>0.24</v>
      </c>
    </row>
    <row r="12" customFormat="false" ht="15" hidden="false" customHeight="false" outlineLevel="0" collapsed="false">
      <c r="A12" s="26" t="str">
        <f aca="false">Indicators!A12</f>
        <v>G01</v>
      </c>
      <c r="B12" s="26" t="str">
        <f aca="false">Indicators!C12</f>
        <v>% cross-border value with FATF high-risk / increased-monitoring jurisdictions</v>
      </c>
      <c r="C12" s="26" t="str">
        <f aca="false">Indicators!D12</f>
        <v>%</v>
      </c>
      <c r="D12" s="23" t="n">
        <v>1.4</v>
      </c>
      <c r="E12" s="23" t="n">
        <v>0.95</v>
      </c>
      <c r="F12" s="23" t="n">
        <v>0.47</v>
      </c>
      <c r="G12" s="23" t="n">
        <v>2.13</v>
      </c>
      <c r="H12" s="23" t="n">
        <v>3.66</v>
      </c>
      <c r="I12" s="23" t="n">
        <v>15.87</v>
      </c>
      <c r="J12" s="23" t="n">
        <v>7.47</v>
      </c>
      <c r="K12" s="23" t="n">
        <v>4.77</v>
      </c>
      <c r="L12" s="23" t="n">
        <v>7.19</v>
      </c>
      <c r="M12" s="23" t="n">
        <v>3.62</v>
      </c>
      <c r="N12" s="23" t="n">
        <v>3.16</v>
      </c>
      <c r="O12" s="23" t="n">
        <v>3.03</v>
      </c>
      <c r="P12" s="23" t="n">
        <v>9.55</v>
      </c>
      <c r="Q12" s="23" t="n">
        <v>0.97</v>
      </c>
      <c r="R12" s="23" t="n">
        <v>9.04</v>
      </c>
      <c r="S12" s="23" t="n">
        <v>3.49</v>
      </c>
      <c r="T12" s="23" t="n">
        <v>0.2</v>
      </c>
      <c r="U12" s="23" t="n">
        <v>3.79</v>
      </c>
      <c r="V12" s="23" t="n">
        <v>8.8</v>
      </c>
      <c r="W12" s="23" t="n">
        <v>1.18</v>
      </c>
      <c r="X12" s="23" t="n">
        <v>4.27</v>
      </c>
      <c r="Y12" s="23" t="n">
        <v>4.07</v>
      </c>
      <c r="Z12" s="23" t="n">
        <v>0.13</v>
      </c>
      <c r="AA12" s="23" t="n">
        <v>1.25</v>
      </c>
      <c r="AB12" s="23" t="n">
        <v>1.51</v>
      </c>
      <c r="AC12" s="23" t="n">
        <v>1.84</v>
      </c>
      <c r="AD12" s="23" t="n">
        <v>0.49</v>
      </c>
      <c r="AE12" s="23" t="n">
        <v>0.35</v>
      </c>
      <c r="AF12" s="23" t="n">
        <v>1.65</v>
      </c>
      <c r="AG12" s="23" t="n">
        <v>1.29</v>
      </c>
    </row>
    <row r="13" customFormat="false" ht="15" hidden="false" customHeight="false" outlineLevel="0" collapsed="false">
      <c r="A13" s="26" t="str">
        <f aca="false">Indicators!A13</f>
        <v>G02</v>
      </c>
      <c r="B13" s="26" t="str">
        <f aca="false">Indicators!C13</f>
        <v>% payment value involving sanctioned or high sanctions-risk jurisdictions</v>
      </c>
      <c r="C13" s="26" t="str">
        <f aca="false">Indicators!D13</f>
        <v>%</v>
      </c>
      <c r="D13" s="23" t="n">
        <v>0.72</v>
      </c>
      <c r="E13" s="23" t="n">
        <v>0.08</v>
      </c>
      <c r="F13" s="23" t="n">
        <v>0.05</v>
      </c>
      <c r="G13" s="23" t="n">
        <v>1.33</v>
      </c>
      <c r="H13" s="23" t="n">
        <v>0.76</v>
      </c>
      <c r="I13" s="23" t="n">
        <v>1.52</v>
      </c>
      <c r="J13" s="23" t="n">
        <v>0.86</v>
      </c>
      <c r="K13" s="23" t="n">
        <v>0.68</v>
      </c>
      <c r="L13" s="23" t="n">
        <v>0.87</v>
      </c>
      <c r="M13" s="23" t="n">
        <v>0.2</v>
      </c>
      <c r="N13" s="23" t="n">
        <v>0.26</v>
      </c>
      <c r="O13" s="23" t="n">
        <v>0.72</v>
      </c>
      <c r="P13" s="23" t="n">
        <v>0.48</v>
      </c>
      <c r="Q13" s="23" t="n">
        <v>0.93</v>
      </c>
      <c r="R13" s="23" t="n">
        <v>0.09</v>
      </c>
      <c r="S13" s="23" t="n">
        <v>1.21</v>
      </c>
      <c r="T13" s="23" t="n">
        <v>0.58</v>
      </c>
      <c r="U13" s="23" t="n">
        <v>0.28</v>
      </c>
      <c r="V13" s="23" t="n">
        <v>0.41</v>
      </c>
      <c r="W13" s="23" t="n">
        <v>0.34</v>
      </c>
      <c r="X13" s="23" t="n">
        <v>0.88</v>
      </c>
      <c r="Y13" s="23" t="n">
        <v>0</v>
      </c>
      <c r="Z13" s="23" t="n">
        <v>0.03</v>
      </c>
      <c r="AA13" s="23" t="n">
        <v>0.01</v>
      </c>
      <c r="AB13" s="23" t="n">
        <v>0.07</v>
      </c>
      <c r="AC13" s="23" t="n">
        <v>0.01</v>
      </c>
      <c r="AD13" s="23" t="n">
        <v>0.78</v>
      </c>
      <c r="AE13" s="23" t="n">
        <v>0.09</v>
      </c>
      <c r="AF13" s="23" t="n">
        <v>0</v>
      </c>
      <c r="AG13" s="23" t="n">
        <v>0.08</v>
      </c>
    </row>
    <row r="14" customFormat="false" ht="15" hidden="false" customHeight="false" outlineLevel="0" collapsed="false">
      <c r="A14" s="26" t="str">
        <f aca="false">Indicators!A14</f>
        <v>G03</v>
      </c>
      <c r="B14" s="26" t="str">
        <f aca="false">Indicators!C14</f>
        <v>Host-country national ML/TF risk (NRA-based, 1–5)</v>
      </c>
      <c r="C14" s="26" t="str">
        <f aca="false">Indicators!D14</f>
        <v>score 1–5</v>
      </c>
      <c r="D14" s="23" t="n">
        <v>4</v>
      </c>
      <c r="E14" s="23" t="n">
        <v>2</v>
      </c>
      <c r="F14" s="23" t="n">
        <v>3</v>
      </c>
      <c r="G14" s="23" t="n">
        <v>3</v>
      </c>
      <c r="H14" s="23" t="n">
        <v>4</v>
      </c>
      <c r="I14" s="23" t="n">
        <v>4</v>
      </c>
      <c r="J14" s="23" t="n">
        <v>5</v>
      </c>
      <c r="K14" s="23" t="n">
        <v>5</v>
      </c>
      <c r="L14" s="23" t="n">
        <v>4</v>
      </c>
      <c r="M14" s="23" t="n">
        <v>3</v>
      </c>
      <c r="N14" s="23" t="n">
        <v>3</v>
      </c>
      <c r="O14" s="23" t="n">
        <v>3</v>
      </c>
      <c r="P14" s="23" t="n">
        <v>3</v>
      </c>
      <c r="Q14" s="23" t="n">
        <v>3</v>
      </c>
      <c r="R14" s="23" t="n">
        <v>4</v>
      </c>
      <c r="S14" s="23" t="n">
        <v>5</v>
      </c>
      <c r="T14" s="23" t="n">
        <v>2</v>
      </c>
      <c r="U14" s="23" t="n">
        <v>3</v>
      </c>
      <c r="V14" s="23" t="n">
        <v>4</v>
      </c>
      <c r="W14" s="23" t="n">
        <v>3</v>
      </c>
      <c r="X14" s="23" t="n">
        <v>5</v>
      </c>
      <c r="Y14" s="23" t="n">
        <v>3</v>
      </c>
      <c r="Z14" s="23" t="n">
        <v>2</v>
      </c>
      <c r="AA14" s="23" t="n">
        <v>2</v>
      </c>
      <c r="AB14" s="23" t="n">
        <v>2</v>
      </c>
      <c r="AC14" s="23" t="n">
        <v>3</v>
      </c>
      <c r="AD14" s="23" t="n">
        <v>3</v>
      </c>
      <c r="AE14" s="23" t="n">
        <v>1</v>
      </c>
      <c r="AF14" s="23" t="n">
        <v>2</v>
      </c>
      <c r="AG14" s="23" t="n">
        <v>3</v>
      </c>
    </row>
    <row r="15" customFormat="false" ht="15" hidden="false" customHeight="false" outlineLevel="0" collapsed="false">
      <c r="A15" s="26" t="str">
        <f aca="false">Indicators!A15</f>
        <v>G04</v>
      </c>
      <c r="B15" s="26" t="str">
        <f aca="false">Indicators!C15</f>
        <v>Host-country corruption risk (CPI-based, 1–5)</v>
      </c>
      <c r="C15" s="26" t="str">
        <f aca="false">Indicators!D15</f>
        <v>score 1–5</v>
      </c>
      <c r="D15" s="23" t="n">
        <v>3</v>
      </c>
      <c r="E15" s="23" t="n">
        <v>3</v>
      </c>
      <c r="F15" s="23" t="n">
        <v>3</v>
      </c>
      <c r="G15" s="23" t="n">
        <v>3</v>
      </c>
      <c r="H15" s="23" t="n">
        <v>4</v>
      </c>
      <c r="I15" s="23" t="n">
        <v>4</v>
      </c>
      <c r="J15" s="23" t="n">
        <v>4</v>
      </c>
      <c r="K15" s="23" t="n">
        <v>4</v>
      </c>
      <c r="L15" s="23" t="n">
        <v>5</v>
      </c>
      <c r="M15" s="23" t="n">
        <v>4</v>
      </c>
      <c r="N15" s="23" t="n">
        <v>4</v>
      </c>
      <c r="O15" s="23" t="n">
        <v>3</v>
      </c>
      <c r="P15" s="23" t="n">
        <v>2</v>
      </c>
      <c r="Q15" s="23" t="n">
        <v>3</v>
      </c>
      <c r="R15" s="23" t="n">
        <v>5</v>
      </c>
      <c r="S15" s="23" t="n">
        <v>4</v>
      </c>
      <c r="T15" s="23" t="n">
        <v>3</v>
      </c>
      <c r="U15" s="23" t="n">
        <v>3</v>
      </c>
      <c r="V15" s="23" t="n">
        <v>3</v>
      </c>
      <c r="W15" s="23" t="n">
        <v>3</v>
      </c>
      <c r="X15" s="23" t="n">
        <v>4</v>
      </c>
      <c r="Y15" s="23" t="n">
        <v>3</v>
      </c>
      <c r="Z15" s="23" t="n">
        <v>3</v>
      </c>
      <c r="AA15" s="23" t="n">
        <v>2</v>
      </c>
      <c r="AB15" s="23" t="n">
        <v>3</v>
      </c>
      <c r="AC15" s="23" t="n">
        <v>2</v>
      </c>
      <c r="AD15" s="23" t="n">
        <v>2</v>
      </c>
      <c r="AE15" s="23" t="n">
        <v>2</v>
      </c>
      <c r="AF15" s="23" t="n">
        <v>2</v>
      </c>
      <c r="AG15" s="23" t="n">
        <v>2</v>
      </c>
    </row>
    <row r="16" customFormat="false" ht="15" hidden="false" customHeight="false" outlineLevel="0" collapsed="false">
      <c r="A16" s="26" t="str">
        <f aca="false">Indicators!A16</f>
        <v>G05</v>
      </c>
      <c r="B16" s="26" t="str">
        <f aca="false">Indicators!C16</f>
        <v>% branches in border, free-zone or conflict-affected areas</v>
      </c>
      <c r="C16" s="26" t="str">
        <f aca="false">Indicators!D16</f>
        <v>%</v>
      </c>
      <c r="D16" s="23" t="n">
        <v>3.97</v>
      </c>
      <c r="E16" s="23" t="n">
        <v>12.83</v>
      </c>
      <c r="F16" s="23" t="n">
        <v>9.6</v>
      </c>
      <c r="G16" s="23" t="n">
        <v>8.41</v>
      </c>
      <c r="H16" s="23" t="n">
        <v>2.62</v>
      </c>
      <c r="I16" s="23" t="n">
        <v>3.13</v>
      </c>
      <c r="J16" s="23" t="n">
        <v>20.14</v>
      </c>
      <c r="K16" s="23" t="n">
        <v>14.88</v>
      </c>
      <c r="L16" s="23" t="n">
        <v>23.74</v>
      </c>
      <c r="M16" s="23" t="n">
        <v>0.93</v>
      </c>
      <c r="N16" s="23" t="n">
        <v>8.17</v>
      </c>
      <c r="O16" s="23" t="n">
        <v>8.08</v>
      </c>
      <c r="P16" s="23" t="n">
        <v>1.55</v>
      </c>
      <c r="Q16" s="23" t="n">
        <v>0.82</v>
      </c>
      <c r="R16" s="23" t="n">
        <v>8.12</v>
      </c>
      <c r="S16" s="23" t="n">
        <v>13.62</v>
      </c>
      <c r="T16" s="23" t="n">
        <v>7.89</v>
      </c>
      <c r="U16" s="23" t="n">
        <v>5.41</v>
      </c>
      <c r="V16" s="23" t="n">
        <v>4.18</v>
      </c>
      <c r="W16" s="23" t="n">
        <v>11.12</v>
      </c>
      <c r="X16" s="23" t="n">
        <v>28.88</v>
      </c>
      <c r="Y16" s="23" t="n">
        <v>2.92</v>
      </c>
      <c r="Z16" s="23" t="n">
        <v>3.99</v>
      </c>
      <c r="AA16" s="23" t="n">
        <v>0.11</v>
      </c>
      <c r="AB16" s="23" t="n">
        <v>0.6</v>
      </c>
      <c r="AC16" s="23" t="n">
        <v>0.51</v>
      </c>
      <c r="AD16" s="23" t="n">
        <v>2.35</v>
      </c>
      <c r="AE16" s="23" t="n">
        <v>9.13</v>
      </c>
      <c r="AF16" s="23" t="n">
        <v>2.5</v>
      </c>
      <c r="AG16" s="23" t="n">
        <v>0.01</v>
      </c>
    </row>
    <row r="17" customFormat="false" ht="15" hidden="false" customHeight="false" outlineLevel="0" collapsed="false">
      <c r="A17" s="26" t="str">
        <f aca="false">Indicators!A17</f>
        <v>G06</v>
      </c>
      <c r="B17" s="26" t="str">
        <f aca="false">Indicators!C17</f>
        <v>% non-resident customers from non-CRS jurisdictions</v>
      </c>
      <c r="C17" s="26" t="str">
        <f aca="false">Indicators!D17</f>
        <v>%</v>
      </c>
      <c r="D17" s="23" t="n">
        <v>19.41</v>
      </c>
      <c r="E17" s="23" t="n">
        <v>6.29</v>
      </c>
      <c r="F17" s="23" t="n">
        <v>32.53</v>
      </c>
      <c r="G17" s="23" t="n">
        <v>9.21</v>
      </c>
      <c r="H17" s="23" t="n">
        <v>6.41</v>
      </c>
      <c r="I17" s="23" t="n">
        <v>50.44</v>
      </c>
      <c r="J17" s="23" t="n">
        <v>55.37</v>
      </c>
      <c r="K17" s="23" t="n">
        <v>21.22</v>
      </c>
      <c r="L17" s="23" t="n">
        <v>24.65</v>
      </c>
      <c r="M17" s="23" t="n">
        <v>32.72</v>
      </c>
      <c r="N17" s="23" t="n">
        <v>6.43</v>
      </c>
      <c r="O17" s="23" t="n">
        <v>14.7</v>
      </c>
      <c r="P17" s="23" t="n">
        <v>10.09</v>
      </c>
      <c r="Q17" s="23" t="n">
        <v>14.69</v>
      </c>
      <c r="R17" s="23" t="n">
        <v>21.3</v>
      </c>
      <c r="S17" s="23" t="n">
        <v>23.5</v>
      </c>
      <c r="T17" s="23" t="n">
        <v>7.96</v>
      </c>
      <c r="U17" s="23" t="n">
        <v>10.97</v>
      </c>
      <c r="V17" s="23" t="n">
        <v>7.77</v>
      </c>
      <c r="W17" s="23" t="n">
        <v>13.18</v>
      </c>
      <c r="X17" s="23" t="n">
        <v>24.6</v>
      </c>
      <c r="Y17" s="23" t="n">
        <v>1.46</v>
      </c>
      <c r="Z17" s="23" t="n">
        <v>15.06</v>
      </c>
      <c r="AA17" s="23" t="n">
        <v>4.24</v>
      </c>
      <c r="AB17" s="23" t="n">
        <v>5.02</v>
      </c>
      <c r="AC17" s="23" t="n">
        <v>9.34</v>
      </c>
      <c r="AD17" s="23" t="n">
        <v>10.52</v>
      </c>
      <c r="AE17" s="23" t="n">
        <v>12.17</v>
      </c>
      <c r="AF17" s="23" t="n">
        <v>6.56</v>
      </c>
      <c r="AG17" s="23" t="n">
        <v>6.63</v>
      </c>
    </row>
    <row r="18" customFormat="false" ht="15" hidden="false" customHeight="false" outlineLevel="0" collapsed="false">
      <c r="A18" s="26" t="str">
        <f aca="false">Indicators!A18</f>
        <v>P01</v>
      </c>
      <c r="B18" s="26" t="str">
        <f aca="false">Indicators!C18</f>
        <v>Trade finance volume (% of total assets)</v>
      </c>
      <c r="C18" s="26" t="str">
        <f aca="false">Indicators!D18</f>
        <v>%</v>
      </c>
      <c r="D18" s="23" t="n">
        <v>9.46</v>
      </c>
      <c r="E18" s="23" t="n">
        <v>15.73</v>
      </c>
      <c r="F18" s="23" t="n">
        <v>0</v>
      </c>
      <c r="G18" s="23" t="n">
        <v>0</v>
      </c>
      <c r="H18" s="23" t="n">
        <v>0</v>
      </c>
      <c r="I18" s="23" t="n">
        <v>14.19</v>
      </c>
      <c r="J18" s="23" t="n">
        <v>0</v>
      </c>
      <c r="K18" s="23" t="n">
        <v>12.51</v>
      </c>
      <c r="L18" s="23" t="n">
        <v>14.86</v>
      </c>
      <c r="M18" s="23" t="n">
        <v>6.06</v>
      </c>
      <c r="N18" s="23" t="n">
        <v>0.95</v>
      </c>
      <c r="O18" s="23" t="n">
        <v>6.06</v>
      </c>
      <c r="P18" s="23" t="n">
        <v>15</v>
      </c>
      <c r="Q18" s="23" t="n">
        <v>4.23</v>
      </c>
      <c r="R18" s="23" t="n">
        <v>16.26</v>
      </c>
      <c r="S18" s="23" t="n">
        <v>16.53</v>
      </c>
      <c r="T18" s="23" t="n">
        <v>2.88</v>
      </c>
      <c r="U18" s="23" t="n">
        <v>7.89</v>
      </c>
      <c r="V18" s="23" t="n">
        <v>7.97</v>
      </c>
      <c r="W18" s="23" t="n">
        <v>9.15</v>
      </c>
      <c r="X18" s="23" t="n">
        <v>17.32</v>
      </c>
      <c r="Y18" s="23" t="n">
        <v>9</v>
      </c>
      <c r="Z18" s="23" t="n">
        <v>6.69</v>
      </c>
      <c r="AA18" s="23" t="n">
        <v>3.67</v>
      </c>
      <c r="AB18" s="23" t="n">
        <v>2.08</v>
      </c>
      <c r="AC18" s="23" t="n">
        <v>4.8</v>
      </c>
      <c r="AD18" s="23" t="n">
        <v>5.51</v>
      </c>
      <c r="AE18" s="23" t="n">
        <v>0.66</v>
      </c>
      <c r="AF18" s="23" t="n">
        <v>1.33</v>
      </c>
      <c r="AG18" s="23" t="n">
        <v>0.69</v>
      </c>
    </row>
    <row r="19" customFormat="false" ht="15" hidden="false" customHeight="false" outlineLevel="0" collapsed="false">
      <c r="A19" s="26" t="str">
        <f aca="false">Indicators!A19</f>
        <v>P02</v>
      </c>
      <c r="B19" s="26" t="str">
        <f aca="false">Indicators!C19</f>
        <v>Number of respondent (correspondent) bank relationships</v>
      </c>
      <c r="C19" s="26" t="str">
        <f aca="false">Indicators!D19</f>
        <v>count</v>
      </c>
      <c r="D19" s="23" t="n">
        <v>45</v>
      </c>
      <c r="E19" s="23" t="n">
        <v>22</v>
      </c>
      <c r="F19" s="23" t="n">
        <v>0</v>
      </c>
      <c r="G19" s="23" t="n">
        <v>0</v>
      </c>
      <c r="H19" s="23" t="n">
        <v>0</v>
      </c>
      <c r="I19" s="23" t="n">
        <v>70</v>
      </c>
      <c r="J19" s="23" t="n">
        <v>0</v>
      </c>
      <c r="K19" s="23" t="n">
        <v>16</v>
      </c>
      <c r="L19" s="23" t="n">
        <v>25</v>
      </c>
      <c r="M19" s="23" t="n">
        <v>17</v>
      </c>
      <c r="N19" s="23" t="n">
        <v>45</v>
      </c>
      <c r="O19" s="23" t="n">
        <v>20</v>
      </c>
      <c r="P19" s="23" t="n">
        <v>44</v>
      </c>
      <c r="Q19" s="23" t="n">
        <v>11</v>
      </c>
      <c r="R19" s="23" t="n">
        <v>48</v>
      </c>
      <c r="S19" s="23" t="n">
        <v>80</v>
      </c>
      <c r="T19" s="23" t="n">
        <v>3.4</v>
      </c>
      <c r="U19" s="23" t="n">
        <v>24</v>
      </c>
      <c r="V19" s="23" t="n">
        <v>13</v>
      </c>
      <c r="W19" s="23" t="n">
        <v>50</v>
      </c>
      <c r="X19" s="23" t="n">
        <v>33</v>
      </c>
      <c r="Y19" s="23" t="n">
        <v>4.54</v>
      </c>
      <c r="Z19" s="23" t="n">
        <v>3.15</v>
      </c>
      <c r="AA19" s="23" t="n">
        <v>8</v>
      </c>
      <c r="AB19" s="23" t="n">
        <v>0.24</v>
      </c>
      <c r="AC19" s="23" t="n">
        <v>13</v>
      </c>
      <c r="AD19" s="23" t="n">
        <v>8</v>
      </c>
      <c r="AE19" s="23" t="n">
        <v>1.8</v>
      </c>
      <c r="AF19" s="23" t="n">
        <v>9</v>
      </c>
      <c r="AG19" s="23" t="n">
        <v>9</v>
      </c>
    </row>
    <row r="20" customFormat="false" ht="15" hidden="false" customHeight="false" outlineLevel="0" collapsed="false">
      <c r="A20" s="26" t="str">
        <f aca="false">Indicators!A20</f>
        <v>P03</v>
      </c>
      <c r="B20" s="26" t="str">
        <f aca="false">Indicators!C20</f>
        <v>Private banking / wealth AUM (% of deposits)</v>
      </c>
      <c r="C20" s="26" t="str">
        <f aca="false">Indicators!D20</f>
        <v>%</v>
      </c>
      <c r="D20" s="23" t="n">
        <v>0.07</v>
      </c>
      <c r="E20" s="23" t="n">
        <v>4.59</v>
      </c>
      <c r="F20" s="23" t="n">
        <v>3.61</v>
      </c>
      <c r="G20" s="23" t="n">
        <v>17.54</v>
      </c>
      <c r="H20" s="23" t="n">
        <v>5.49</v>
      </c>
      <c r="I20" s="23" t="n">
        <v>19.2</v>
      </c>
      <c r="J20" s="23" t="n">
        <v>16.52</v>
      </c>
      <c r="K20" s="23" t="n">
        <v>5.78</v>
      </c>
      <c r="L20" s="23" t="n">
        <v>30.29</v>
      </c>
      <c r="M20" s="23" t="n">
        <v>5.09</v>
      </c>
      <c r="N20" s="23" t="n">
        <v>6.56</v>
      </c>
      <c r="O20" s="23" t="n">
        <v>3.91</v>
      </c>
      <c r="P20" s="23" t="n">
        <v>1.54</v>
      </c>
      <c r="Q20" s="23" t="n">
        <v>1.06</v>
      </c>
      <c r="R20" s="23" t="n">
        <v>10.42</v>
      </c>
      <c r="S20" s="23" t="n">
        <v>19.34</v>
      </c>
      <c r="T20" s="23" t="n">
        <v>2.36</v>
      </c>
      <c r="U20" s="23" t="n">
        <v>14</v>
      </c>
      <c r="V20" s="23" t="n">
        <v>12.98</v>
      </c>
      <c r="W20" s="23" t="n">
        <v>5.37</v>
      </c>
      <c r="X20" s="23" t="n">
        <v>14.48</v>
      </c>
      <c r="Y20" s="23" t="n">
        <v>0.86</v>
      </c>
      <c r="Z20" s="23" t="n">
        <v>8.91</v>
      </c>
      <c r="AA20" s="23" t="n">
        <v>2.05</v>
      </c>
      <c r="AB20" s="23" t="n">
        <v>0.3</v>
      </c>
      <c r="AC20" s="23" t="n">
        <v>4.07</v>
      </c>
      <c r="AD20" s="23" t="n">
        <v>5.85</v>
      </c>
      <c r="AE20" s="23" t="n">
        <v>0.4</v>
      </c>
      <c r="AF20" s="23" t="n">
        <v>9.01</v>
      </c>
      <c r="AG20" s="23" t="n">
        <v>0.55</v>
      </c>
    </row>
    <row r="21" customFormat="false" ht="15" hidden="false" customHeight="false" outlineLevel="0" collapsed="false">
      <c r="A21" s="26" t="str">
        <f aca="false">Indicators!A21</f>
        <v>P04</v>
      </c>
      <c r="B21" s="26" t="str">
        <f aca="false">Indicators!C21</f>
        <v>Prepaid / stored-value cards (% of cards issued)</v>
      </c>
      <c r="C21" s="26" t="str">
        <f aca="false">Indicators!D21</f>
        <v>%</v>
      </c>
      <c r="D21" s="23" t="n">
        <v>2.85</v>
      </c>
      <c r="E21" s="23" t="n">
        <v>6.25</v>
      </c>
      <c r="F21" s="23" t="n">
        <v>0</v>
      </c>
      <c r="G21" s="23" t="n">
        <v>0</v>
      </c>
      <c r="H21" s="23" t="n">
        <v>0</v>
      </c>
      <c r="I21" s="23" t="n">
        <v>17.37</v>
      </c>
      <c r="J21" s="23" t="n">
        <v>0</v>
      </c>
      <c r="K21" s="23" t="n">
        <v>6.41</v>
      </c>
      <c r="L21" s="23" t="n">
        <v>17.74</v>
      </c>
      <c r="M21" s="23" t="n">
        <v>2.61</v>
      </c>
      <c r="N21" s="23" t="n">
        <v>2.53</v>
      </c>
      <c r="O21" s="23" t="n">
        <v>5.74</v>
      </c>
      <c r="P21" s="23" t="n">
        <v>9.65</v>
      </c>
      <c r="Q21" s="23" t="n">
        <v>4.74</v>
      </c>
      <c r="R21" s="23" t="n">
        <v>28.41</v>
      </c>
      <c r="S21" s="23" t="n">
        <v>24.11</v>
      </c>
      <c r="T21" s="23" t="n">
        <v>7.44</v>
      </c>
      <c r="U21" s="23" t="n">
        <v>6.54</v>
      </c>
      <c r="V21" s="23" t="n">
        <v>5.87</v>
      </c>
      <c r="W21" s="23" t="n">
        <v>5.85</v>
      </c>
      <c r="X21" s="23" t="n">
        <v>20.9</v>
      </c>
      <c r="Y21" s="23" t="n">
        <v>8.14</v>
      </c>
      <c r="Z21" s="23" t="n">
        <v>0.6</v>
      </c>
      <c r="AA21" s="23" t="n">
        <v>8.26</v>
      </c>
      <c r="AB21" s="23" t="n">
        <v>2.02</v>
      </c>
      <c r="AC21" s="23" t="n">
        <v>3.5</v>
      </c>
      <c r="AD21" s="23" t="n">
        <v>0.86</v>
      </c>
      <c r="AE21" s="23" t="n">
        <v>1.07</v>
      </c>
      <c r="AF21" s="23" t="n">
        <v>7.95</v>
      </c>
      <c r="AG21" s="23" t="n">
        <v>2.51</v>
      </c>
    </row>
    <row r="22" customFormat="false" ht="15" hidden="false" customHeight="false" outlineLevel="0" collapsed="false">
      <c r="A22" s="26" t="str">
        <f aca="false">Indicators!A22</f>
        <v>P05</v>
      </c>
      <c r="B22" s="26" t="str">
        <f aca="false">Indicators!C22</f>
        <v>Dual-use or strategic goods (% of trade transactions)</v>
      </c>
      <c r="C22" s="26" t="str">
        <f aca="false">Indicators!D22</f>
        <v>%</v>
      </c>
      <c r="D22" s="23" t="n">
        <v>7.2</v>
      </c>
      <c r="E22" s="23" t="n">
        <v>0.9</v>
      </c>
      <c r="F22" s="23" t="n">
        <v>0</v>
      </c>
      <c r="G22" s="23" t="n">
        <v>0</v>
      </c>
      <c r="H22" s="23" t="n">
        <v>0</v>
      </c>
      <c r="I22" s="23" t="n">
        <v>6.53</v>
      </c>
      <c r="J22" s="23" t="n">
        <v>0</v>
      </c>
      <c r="K22" s="23" t="n">
        <v>4.79</v>
      </c>
      <c r="L22" s="23" t="n">
        <v>11.32</v>
      </c>
      <c r="M22" s="23" t="n">
        <v>0.8</v>
      </c>
      <c r="N22" s="23" t="n">
        <v>9.75</v>
      </c>
      <c r="O22" s="23" t="n">
        <v>0.52</v>
      </c>
      <c r="P22" s="23" t="n">
        <v>0.72</v>
      </c>
      <c r="Q22" s="23" t="n">
        <v>2.82</v>
      </c>
      <c r="R22" s="23" t="n">
        <v>7.62</v>
      </c>
      <c r="S22" s="23" t="n">
        <v>7.83</v>
      </c>
      <c r="T22" s="23" t="n">
        <v>0.52</v>
      </c>
      <c r="U22" s="23" t="n">
        <v>1.26</v>
      </c>
      <c r="V22" s="23" t="n">
        <v>0.7</v>
      </c>
      <c r="W22" s="23" t="n">
        <v>0.96</v>
      </c>
      <c r="X22" s="23" t="n">
        <v>15.97</v>
      </c>
      <c r="Y22" s="23" t="n">
        <v>0.97</v>
      </c>
      <c r="Z22" s="23" t="n">
        <v>0.21</v>
      </c>
      <c r="AA22" s="23" t="n">
        <v>2.07</v>
      </c>
      <c r="AB22" s="23" t="n">
        <v>0.58</v>
      </c>
      <c r="AC22" s="23" t="n">
        <v>3.27</v>
      </c>
      <c r="AD22" s="23" t="n">
        <v>0.46</v>
      </c>
      <c r="AE22" s="23" t="n">
        <v>0.6</v>
      </c>
      <c r="AF22" s="23" t="n">
        <v>0.93</v>
      </c>
      <c r="AG22" s="23" t="n">
        <v>0.28</v>
      </c>
    </row>
    <row r="23" customFormat="false" ht="15" hidden="false" customHeight="false" outlineLevel="0" collapsed="false">
      <c r="A23" s="26" t="str">
        <f aca="false">Indicators!A23</f>
        <v>P06</v>
      </c>
      <c r="B23" s="26" t="str">
        <f aca="false">Indicators!C23</f>
        <v>Higher-risk product exposure: bearer, safe deposit, virtual assets (1–5)</v>
      </c>
      <c r="C23" s="26" t="str">
        <f aca="false">Indicators!D23</f>
        <v>score 1–5</v>
      </c>
      <c r="D23" s="23" t="n">
        <v>4</v>
      </c>
      <c r="E23" s="23" t="n">
        <v>3</v>
      </c>
      <c r="F23" s="23" t="n">
        <v>3</v>
      </c>
      <c r="G23" s="23" t="n">
        <v>3</v>
      </c>
      <c r="H23" s="23" t="n">
        <v>4</v>
      </c>
      <c r="I23" s="23" t="n">
        <v>5</v>
      </c>
      <c r="J23" s="23" t="n">
        <v>5</v>
      </c>
      <c r="K23" s="23" t="n">
        <v>4</v>
      </c>
      <c r="L23" s="23" t="n">
        <v>4</v>
      </c>
      <c r="M23" s="23" t="n">
        <v>3</v>
      </c>
      <c r="N23" s="23" t="n">
        <v>3</v>
      </c>
      <c r="O23" s="23" t="n">
        <v>4</v>
      </c>
      <c r="P23" s="23" t="n">
        <v>2</v>
      </c>
      <c r="Q23" s="23" t="n">
        <v>3</v>
      </c>
      <c r="R23" s="23" t="n">
        <v>4</v>
      </c>
      <c r="S23" s="23" t="n">
        <v>4</v>
      </c>
      <c r="T23" s="23" t="n">
        <v>3</v>
      </c>
      <c r="U23" s="23" t="n">
        <v>3</v>
      </c>
      <c r="V23" s="23" t="n">
        <v>4</v>
      </c>
      <c r="W23" s="23" t="n">
        <v>2</v>
      </c>
      <c r="X23" s="23" t="n">
        <v>4</v>
      </c>
      <c r="Y23" s="23" t="n">
        <v>2</v>
      </c>
      <c r="Z23" s="23" t="n">
        <v>2</v>
      </c>
      <c r="AA23" s="23" t="n">
        <v>2</v>
      </c>
      <c r="AB23" s="23" t="n">
        <v>2</v>
      </c>
      <c r="AC23" s="23" t="n">
        <v>2</v>
      </c>
      <c r="AD23" s="23" t="n">
        <v>3</v>
      </c>
      <c r="AE23" s="23" t="n">
        <v>2</v>
      </c>
      <c r="AF23" s="23" t="n">
        <v>2</v>
      </c>
      <c r="AG23" s="23" t="n">
        <v>1</v>
      </c>
    </row>
    <row r="24" customFormat="false" ht="15" hidden="false" customHeight="false" outlineLevel="0" collapsed="false">
      <c r="A24" s="26" t="str">
        <f aca="false">Indicators!A24</f>
        <v>D01</v>
      </c>
      <c r="B24" s="26" t="str">
        <f aca="false">Indicators!C24</f>
        <v>% accounts opened non-face-to-face</v>
      </c>
      <c r="C24" s="26" t="str">
        <f aca="false">Indicators!D24</f>
        <v>%</v>
      </c>
      <c r="D24" s="23" t="n">
        <v>18.37</v>
      </c>
      <c r="E24" s="23" t="n">
        <v>37.88</v>
      </c>
      <c r="F24" s="23" t="n">
        <v>57.2</v>
      </c>
      <c r="G24" s="23" t="n">
        <v>1.57</v>
      </c>
      <c r="H24" s="23" t="n">
        <v>27.43</v>
      </c>
      <c r="I24" s="23" t="n">
        <v>46.44</v>
      </c>
      <c r="J24" s="23" t="n">
        <v>37.87</v>
      </c>
      <c r="K24" s="23" t="n">
        <v>60.34</v>
      </c>
      <c r="L24" s="23" t="n">
        <v>36.18</v>
      </c>
      <c r="M24" s="23" t="n">
        <v>50.13</v>
      </c>
      <c r="N24" s="23" t="n">
        <v>13.73</v>
      </c>
      <c r="O24" s="23" t="n">
        <v>33.32</v>
      </c>
      <c r="P24" s="23" t="n">
        <v>23.5</v>
      </c>
      <c r="Q24" s="23" t="n">
        <v>32.4</v>
      </c>
      <c r="R24" s="23" t="n">
        <v>50.16</v>
      </c>
      <c r="S24" s="23" t="n">
        <v>57.71</v>
      </c>
      <c r="T24" s="23" t="n">
        <v>12.46</v>
      </c>
      <c r="U24" s="23" t="n">
        <v>33.91</v>
      </c>
      <c r="V24" s="23" t="n">
        <v>32.49</v>
      </c>
      <c r="W24" s="23" t="n">
        <v>18.88</v>
      </c>
      <c r="X24" s="23" t="n">
        <v>69.95</v>
      </c>
      <c r="Y24" s="23" t="n">
        <v>14.62</v>
      </c>
      <c r="Z24" s="23" t="n">
        <v>16.27</v>
      </c>
      <c r="AA24" s="23" t="n">
        <v>5.07</v>
      </c>
      <c r="AB24" s="23" t="n">
        <v>26.23</v>
      </c>
      <c r="AC24" s="23" t="n">
        <v>11.32</v>
      </c>
      <c r="AD24" s="23" t="n">
        <v>23.64</v>
      </c>
      <c r="AE24" s="23" t="n">
        <v>9</v>
      </c>
      <c r="AF24" s="23" t="n">
        <v>2.5</v>
      </c>
      <c r="AG24" s="23" t="n">
        <v>18.42</v>
      </c>
    </row>
    <row r="25" customFormat="false" ht="15" hidden="false" customHeight="false" outlineLevel="0" collapsed="false">
      <c r="A25" s="26" t="str">
        <f aca="false">Indicators!A25</f>
        <v>D02</v>
      </c>
      <c r="B25" s="26" t="str">
        <f aca="false">Indicators!C25</f>
        <v>% customers introduced via agents or intermediaries</v>
      </c>
      <c r="C25" s="26" t="str">
        <f aca="false">Indicators!D25</f>
        <v>%</v>
      </c>
      <c r="D25" s="23" t="n">
        <v>13.49</v>
      </c>
      <c r="E25" s="23" t="n">
        <v>4.41</v>
      </c>
      <c r="F25" s="23" t="n">
        <v>2.89</v>
      </c>
      <c r="G25" s="23" t="n">
        <v>9.05</v>
      </c>
      <c r="H25" s="23" t="n">
        <v>28.21</v>
      </c>
      <c r="I25" s="23" t="n">
        <v>5.54</v>
      </c>
      <c r="J25" s="23" t="n">
        <v>4.76</v>
      </c>
      <c r="K25" s="23" t="n">
        <v>27.27</v>
      </c>
      <c r="L25" s="23" t="n">
        <v>6.83</v>
      </c>
      <c r="M25" s="23" t="n">
        <v>5.05</v>
      </c>
      <c r="N25" s="23" t="n">
        <v>26.25</v>
      </c>
      <c r="O25" s="23" t="n">
        <v>8.38</v>
      </c>
      <c r="P25" s="23" t="n">
        <v>2.74</v>
      </c>
      <c r="Q25" s="23" t="n">
        <v>6.28</v>
      </c>
      <c r="R25" s="23" t="n">
        <v>13.38</v>
      </c>
      <c r="S25" s="23" t="n">
        <v>27.29</v>
      </c>
      <c r="T25" s="23" t="n">
        <v>3.29</v>
      </c>
      <c r="U25" s="23" t="n">
        <v>5.48</v>
      </c>
      <c r="V25" s="23" t="n">
        <v>4.52</v>
      </c>
      <c r="W25" s="23" t="n">
        <v>7.48</v>
      </c>
      <c r="X25" s="23" t="n">
        <v>10.89</v>
      </c>
      <c r="Y25" s="23" t="n">
        <v>6.21</v>
      </c>
      <c r="Z25" s="23" t="n">
        <v>3.07</v>
      </c>
      <c r="AA25" s="23" t="n">
        <v>4.08</v>
      </c>
      <c r="AB25" s="23" t="n">
        <v>1.78</v>
      </c>
      <c r="AC25" s="23" t="n">
        <v>6.28</v>
      </c>
      <c r="AD25" s="23" t="n">
        <v>3.15</v>
      </c>
      <c r="AE25" s="23" t="n">
        <v>4.71</v>
      </c>
      <c r="AF25" s="23" t="n">
        <v>0.08</v>
      </c>
      <c r="AG25" s="23" t="n">
        <v>3.54</v>
      </c>
    </row>
    <row r="26" customFormat="false" ht="15" hidden="false" customHeight="false" outlineLevel="0" collapsed="false">
      <c r="A26" s="26" t="str">
        <f aca="false">Indicators!A26</f>
        <v>D03</v>
      </c>
      <c r="B26" s="26" t="str">
        <f aca="false">Indicators!C26</f>
        <v>Real-time / digital payments (% of payment value)</v>
      </c>
      <c r="C26" s="26" t="str">
        <f aca="false">Indicators!D26</f>
        <v>%</v>
      </c>
      <c r="D26" s="23" t="n">
        <v>31</v>
      </c>
      <c r="E26" s="23" t="n">
        <v>11.43</v>
      </c>
      <c r="F26" s="23" t="n">
        <v>5.1</v>
      </c>
      <c r="G26" s="23" t="n">
        <v>16</v>
      </c>
      <c r="H26" s="23" t="n">
        <v>27.63</v>
      </c>
      <c r="I26" s="23" t="n">
        <v>51.64</v>
      </c>
      <c r="J26" s="23" t="n">
        <v>68.37</v>
      </c>
      <c r="K26" s="23" t="n">
        <v>36.53</v>
      </c>
      <c r="L26" s="23" t="n">
        <v>65.56</v>
      </c>
      <c r="M26" s="23" t="n">
        <v>28.12</v>
      </c>
      <c r="N26" s="23" t="n">
        <v>15.55</v>
      </c>
      <c r="O26" s="23" t="n">
        <v>35.75</v>
      </c>
      <c r="P26" s="23" t="n">
        <v>19.89</v>
      </c>
      <c r="Q26" s="23" t="n">
        <v>0.26</v>
      </c>
      <c r="R26" s="23" t="n">
        <v>50.09</v>
      </c>
      <c r="S26" s="23" t="n">
        <v>26.61</v>
      </c>
      <c r="T26" s="23" t="n">
        <v>30.33</v>
      </c>
      <c r="U26" s="23" t="n">
        <v>56.43</v>
      </c>
      <c r="V26" s="23" t="n">
        <v>43.91</v>
      </c>
      <c r="W26" s="23" t="n">
        <v>11.57</v>
      </c>
      <c r="X26" s="23" t="n">
        <v>79.41</v>
      </c>
      <c r="Y26" s="23" t="n">
        <v>34.7</v>
      </c>
      <c r="Z26" s="23" t="n">
        <v>13.12</v>
      </c>
      <c r="AA26" s="23" t="n">
        <v>11.87</v>
      </c>
      <c r="AB26" s="23" t="n">
        <v>12.59</v>
      </c>
      <c r="AC26" s="23" t="n">
        <v>6.7</v>
      </c>
      <c r="AD26" s="23" t="n">
        <v>0.32</v>
      </c>
      <c r="AE26" s="23" t="n">
        <v>12.27</v>
      </c>
      <c r="AF26" s="23" t="n">
        <v>8.13</v>
      </c>
      <c r="AG26" s="23"/>
    </row>
    <row r="27" customFormat="false" ht="15" hidden="false" customHeight="false" outlineLevel="0" collapsed="false">
      <c r="A27" s="26" t="str">
        <f aca="false">Indicators!A27</f>
        <v>D04</v>
      </c>
      <c r="B27" s="26" t="str">
        <f aca="false">Indicators!C27</f>
        <v>Cash deposit machines and ATMs per branch</v>
      </c>
      <c r="C27" s="26" t="str">
        <f aca="false">Indicators!D27</f>
        <v>count</v>
      </c>
      <c r="D27" s="23" t="n">
        <v>1.48</v>
      </c>
      <c r="E27" s="23" t="n">
        <v>7</v>
      </c>
      <c r="F27" s="23" t="n">
        <v>0</v>
      </c>
      <c r="G27" s="23" t="n">
        <v>0</v>
      </c>
      <c r="H27" s="23" t="n">
        <v>0</v>
      </c>
      <c r="I27" s="23" t="n">
        <v>6</v>
      </c>
      <c r="J27" s="23" t="n">
        <v>0</v>
      </c>
      <c r="K27" s="23" t="n">
        <v>4.71</v>
      </c>
      <c r="L27" s="23" t="n">
        <v>3.24</v>
      </c>
      <c r="M27" s="23" t="n">
        <v>2.44</v>
      </c>
      <c r="N27" s="23" t="n">
        <v>3.41</v>
      </c>
      <c r="O27" s="23" t="n">
        <v>1.16</v>
      </c>
      <c r="P27" s="23" t="n">
        <v>1.79</v>
      </c>
      <c r="Q27" s="23" t="n">
        <v>2.57</v>
      </c>
      <c r="R27" s="23" t="n">
        <v>3.03</v>
      </c>
      <c r="S27" s="23" t="n">
        <v>3.24</v>
      </c>
      <c r="T27" s="23" t="n">
        <v>1.29</v>
      </c>
      <c r="U27" s="23" t="n">
        <v>4.05</v>
      </c>
      <c r="V27" s="23" t="n">
        <v>3.84</v>
      </c>
      <c r="W27" s="23" t="n">
        <v>1.4</v>
      </c>
      <c r="X27" s="23" t="n">
        <v>7</v>
      </c>
      <c r="Y27" s="23" t="n">
        <v>0.53</v>
      </c>
      <c r="Z27" s="23" t="n">
        <v>0.75</v>
      </c>
      <c r="AA27" s="23" t="n">
        <v>0.79</v>
      </c>
      <c r="AB27" s="23" t="n">
        <v>0.08</v>
      </c>
      <c r="AC27" s="23" t="n">
        <v>1.65</v>
      </c>
      <c r="AD27" s="23" t="n">
        <v>0.84</v>
      </c>
      <c r="AE27" s="23" t="n">
        <v>1.34</v>
      </c>
      <c r="AF27" s="23" t="n">
        <v>1.21</v>
      </c>
      <c r="AG27" s="23" t="n">
        <v>1.88</v>
      </c>
    </row>
    <row r="28" customFormat="false" ht="15" hidden="false" customHeight="false" outlineLevel="0" collapsed="false">
      <c r="A28" s="26" t="str">
        <f aca="false">Indicators!A28</f>
        <v>D05</v>
      </c>
      <c r="B28" s="26" t="str">
        <f aca="false">Indicators!C28</f>
        <v>Third parties with public-official contact acting for the bank</v>
      </c>
      <c r="C28" s="26" t="str">
        <f aca="false">Indicators!D28</f>
        <v>count</v>
      </c>
      <c r="D28" s="23" t="n">
        <v>11</v>
      </c>
      <c r="E28" s="23" t="n">
        <v>7</v>
      </c>
      <c r="F28" s="23" t="n">
        <v>12</v>
      </c>
      <c r="G28" s="23" t="n">
        <v>5</v>
      </c>
      <c r="H28" s="23" t="n">
        <v>0.62</v>
      </c>
      <c r="I28" s="23" t="n">
        <v>28</v>
      </c>
      <c r="J28" s="23" t="n">
        <v>22</v>
      </c>
      <c r="K28" s="23" t="n">
        <v>22</v>
      </c>
      <c r="L28" s="23" t="n">
        <v>6</v>
      </c>
      <c r="M28" s="23" t="n">
        <v>2.21</v>
      </c>
      <c r="N28" s="23" t="n">
        <v>14</v>
      </c>
      <c r="O28" s="23" t="n">
        <v>7</v>
      </c>
      <c r="P28" s="23" t="n">
        <v>8</v>
      </c>
      <c r="Q28" s="23" t="n">
        <v>0.12</v>
      </c>
      <c r="R28" s="23" t="n">
        <v>14</v>
      </c>
      <c r="S28" s="23" t="n">
        <v>14</v>
      </c>
      <c r="T28" s="23" t="n">
        <v>5</v>
      </c>
      <c r="U28" s="23" t="n">
        <v>1.49</v>
      </c>
      <c r="V28" s="23" t="n">
        <v>2.4</v>
      </c>
      <c r="W28" s="23" t="n">
        <v>31</v>
      </c>
      <c r="X28" s="23" t="n">
        <v>26</v>
      </c>
      <c r="Y28" s="23" t="n">
        <v>0.83</v>
      </c>
      <c r="Z28" s="23" t="n">
        <v>0.94</v>
      </c>
      <c r="AA28" s="23" t="n">
        <v>0.94</v>
      </c>
      <c r="AB28" s="23" t="n">
        <v>0.98</v>
      </c>
      <c r="AC28" s="23" t="n">
        <v>4.18</v>
      </c>
      <c r="AD28" s="23" t="n">
        <v>2.57</v>
      </c>
      <c r="AE28" s="23" t="n">
        <v>3.8</v>
      </c>
      <c r="AF28" s="23" t="n">
        <v>0.22</v>
      </c>
      <c r="AG28" s="23" t="n">
        <v>0.11</v>
      </c>
    </row>
    <row r="29" customFormat="false" ht="15" hidden="false" customHeight="false" outlineLevel="0" collapsed="false">
      <c r="A29" s="26" t="str">
        <f aca="false">Indicators!A29</f>
        <v>T01</v>
      </c>
      <c r="B29" s="26" t="str">
        <f aca="false">Indicators!C29</f>
        <v>Cash deposits (% of total deposit inflows)</v>
      </c>
      <c r="C29" s="26" t="str">
        <f aca="false">Indicators!D29</f>
        <v>%</v>
      </c>
      <c r="D29" s="23" t="n">
        <v>2.94</v>
      </c>
      <c r="E29" s="23" t="n">
        <v>9.63</v>
      </c>
      <c r="F29" s="23" t="n">
        <v>18.52</v>
      </c>
      <c r="G29" s="23" t="n">
        <v>12.53</v>
      </c>
      <c r="H29" s="23" t="n">
        <v>9.02</v>
      </c>
      <c r="I29" s="23" t="n">
        <v>28.27</v>
      </c>
      <c r="J29" s="23" t="n">
        <v>13.45</v>
      </c>
      <c r="K29" s="23" t="n">
        <v>27.38</v>
      </c>
      <c r="L29" s="23" t="n">
        <v>52.66</v>
      </c>
      <c r="M29" s="23" t="n">
        <v>7.72</v>
      </c>
      <c r="N29" s="23" t="n">
        <v>15.06</v>
      </c>
      <c r="O29" s="23" t="n">
        <v>26.19</v>
      </c>
      <c r="P29" s="23" t="n">
        <v>6.33</v>
      </c>
      <c r="Q29" s="23" t="n">
        <v>13.54</v>
      </c>
      <c r="R29" s="23" t="n">
        <v>38.75</v>
      </c>
      <c r="S29" s="23" t="n">
        <v>23.6</v>
      </c>
      <c r="T29" s="23" t="n">
        <v>6.43</v>
      </c>
      <c r="U29" s="23" t="n">
        <v>13.33</v>
      </c>
      <c r="V29" s="23" t="n">
        <v>1.53</v>
      </c>
      <c r="W29" s="23" t="n">
        <v>51.68</v>
      </c>
      <c r="X29" s="23" t="n">
        <v>11.32</v>
      </c>
      <c r="Y29" s="23" t="n">
        <v>2.82</v>
      </c>
      <c r="Z29" s="23" t="n">
        <v>8.43</v>
      </c>
      <c r="AA29" s="23" t="n">
        <v>7.97</v>
      </c>
      <c r="AB29" s="23" t="n">
        <v>3.45</v>
      </c>
      <c r="AC29" s="23" t="n">
        <v>8.6</v>
      </c>
      <c r="AD29" s="23" t="n">
        <v>7.54</v>
      </c>
      <c r="AE29" s="23" t="n">
        <v>5.4</v>
      </c>
      <c r="AF29" s="23" t="n">
        <v>1.67</v>
      </c>
      <c r="AG29" s="23" t="n">
        <v>0.13</v>
      </c>
    </row>
    <row r="30" customFormat="false" ht="15" hidden="false" customHeight="false" outlineLevel="0" collapsed="false">
      <c r="A30" s="26" t="str">
        <f aca="false">Indicators!A30</f>
        <v>T02</v>
      </c>
      <c r="B30" s="26" t="str">
        <f aca="false">Indicators!C30</f>
        <v>Cross-border wires per month ('000)</v>
      </c>
      <c r="C30" s="26" t="str">
        <f aca="false">Indicators!D30</f>
        <v>count ('000)</v>
      </c>
      <c r="D30" s="23" t="n">
        <v>34</v>
      </c>
      <c r="E30" s="23" t="n">
        <v>73</v>
      </c>
      <c r="F30" s="23" t="n">
        <v>0</v>
      </c>
      <c r="G30" s="23" t="n">
        <v>0</v>
      </c>
      <c r="H30" s="23" t="n">
        <v>0</v>
      </c>
      <c r="I30" s="23" t="n">
        <v>67</v>
      </c>
      <c r="J30" s="23" t="n">
        <v>0</v>
      </c>
      <c r="K30" s="23" t="n">
        <v>110</v>
      </c>
      <c r="L30" s="23" t="n">
        <v>71</v>
      </c>
      <c r="M30" s="23" t="n">
        <v>13</v>
      </c>
      <c r="N30" s="23" t="n">
        <v>75</v>
      </c>
      <c r="O30" s="23" t="n">
        <v>27</v>
      </c>
      <c r="P30" s="23" t="n">
        <v>21</v>
      </c>
      <c r="Q30" s="23" t="n">
        <v>25</v>
      </c>
      <c r="R30" s="23" t="n">
        <v>114</v>
      </c>
      <c r="S30" s="23" t="n">
        <v>24</v>
      </c>
      <c r="T30" s="23" t="n">
        <v>11</v>
      </c>
      <c r="U30" s="23" t="n">
        <v>45</v>
      </c>
      <c r="V30" s="23" t="n">
        <v>45</v>
      </c>
      <c r="W30" s="23" t="n">
        <v>85</v>
      </c>
      <c r="X30" s="23" t="n">
        <v>109</v>
      </c>
      <c r="Y30" s="23" t="n">
        <v>3.38</v>
      </c>
      <c r="Z30" s="23" t="n">
        <v>16</v>
      </c>
      <c r="AA30" s="23" t="n">
        <v>0.04</v>
      </c>
      <c r="AB30" s="23" t="n">
        <v>16</v>
      </c>
      <c r="AC30" s="23" t="n">
        <v>2.53</v>
      </c>
      <c r="AD30" s="23" t="n">
        <v>10</v>
      </c>
      <c r="AE30" s="23" t="n">
        <v>3.19</v>
      </c>
      <c r="AF30" s="23" t="n">
        <v>1.39</v>
      </c>
      <c r="AG30" s="23" t="n">
        <v>2.45</v>
      </c>
    </row>
    <row r="31" customFormat="false" ht="15" hidden="false" customHeight="false" outlineLevel="0" collapsed="false">
      <c r="A31" s="26" t="str">
        <f aca="false">Indicators!A31</f>
        <v>T03</v>
      </c>
      <c r="B31" s="26" t="str">
        <f aca="false">Indicators!C31</f>
        <v>Transactions above USD 1m per month</v>
      </c>
      <c r="C31" s="26" t="str">
        <f aca="false">Indicators!D31</f>
        <v>count</v>
      </c>
      <c r="D31" s="23" t="n">
        <v>181</v>
      </c>
      <c r="E31" s="23" t="n">
        <v>25</v>
      </c>
      <c r="F31" s="23" t="n">
        <v>110</v>
      </c>
      <c r="G31" s="23" t="n">
        <v>443</v>
      </c>
      <c r="H31" s="23" t="n">
        <v>156</v>
      </c>
      <c r="I31" s="23" t="n">
        <v>421</v>
      </c>
      <c r="J31" s="23" t="n">
        <v>192</v>
      </c>
      <c r="K31" s="23" t="n">
        <v>919</v>
      </c>
      <c r="L31" s="23" t="n">
        <v>684</v>
      </c>
      <c r="M31" s="23" t="n">
        <v>2.12</v>
      </c>
      <c r="N31" s="23" t="n">
        <v>270</v>
      </c>
      <c r="O31" s="23" t="n">
        <v>95</v>
      </c>
      <c r="P31" s="23" t="n">
        <v>279</v>
      </c>
      <c r="Q31" s="23" t="n">
        <v>179</v>
      </c>
      <c r="R31" s="23" t="n">
        <v>165</v>
      </c>
      <c r="S31" s="23" t="n">
        <v>482</v>
      </c>
      <c r="T31" s="23" t="n">
        <v>454</v>
      </c>
      <c r="U31" s="23" t="n">
        <v>329</v>
      </c>
      <c r="V31" s="23" t="n">
        <v>217</v>
      </c>
      <c r="W31" s="23" t="n">
        <v>175</v>
      </c>
      <c r="X31" s="23" t="n">
        <v>176</v>
      </c>
      <c r="Y31" s="23" t="n">
        <v>25</v>
      </c>
      <c r="Z31" s="23" t="n">
        <v>46</v>
      </c>
      <c r="AA31" s="23" t="n">
        <v>64</v>
      </c>
      <c r="AB31" s="23" t="n">
        <v>55</v>
      </c>
      <c r="AC31" s="23" t="n">
        <v>133</v>
      </c>
      <c r="AD31" s="23" t="n">
        <v>33</v>
      </c>
      <c r="AE31" s="23" t="n">
        <v>84</v>
      </c>
      <c r="AF31" s="23" t="n">
        <v>0.21</v>
      </c>
      <c r="AG31" s="23"/>
    </row>
    <row r="32" customFormat="false" ht="15" hidden="false" customHeight="false" outlineLevel="0" collapsed="false">
      <c r="A32" s="26" t="str">
        <f aca="false">Indicators!A32</f>
        <v>T04</v>
      </c>
      <c r="B32" s="26" t="str">
        <f aca="false">Indicators!C32</f>
        <v>TM alerts per 1,000 customers per month</v>
      </c>
      <c r="C32" s="26" t="str">
        <f aca="false">Indicators!D32</f>
        <v>count</v>
      </c>
      <c r="D32" s="23" t="n">
        <v>4.69</v>
      </c>
      <c r="E32" s="23" t="n">
        <v>5</v>
      </c>
      <c r="F32" s="23" t="n">
        <v>4.23</v>
      </c>
      <c r="G32" s="23" t="n">
        <v>7</v>
      </c>
      <c r="H32" s="23" t="n">
        <v>5</v>
      </c>
      <c r="I32" s="23" t="n">
        <v>23</v>
      </c>
      <c r="J32" s="23" t="n">
        <v>9</v>
      </c>
      <c r="K32" s="23" t="n">
        <v>3.87</v>
      </c>
      <c r="L32" s="23" t="n">
        <v>32</v>
      </c>
      <c r="M32" s="23" t="n">
        <v>6</v>
      </c>
      <c r="N32" s="23" t="n">
        <v>3.42</v>
      </c>
      <c r="O32" s="23" t="n">
        <v>10</v>
      </c>
      <c r="P32" s="23" t="n">
        <v>8</v>
      </c>
      <c r="Q32" s="23" t="n">
        <v>10</v>
      </c>
      <c r="R32" s="23" t="n">
        <v>13</v>
      </c>
      <c r="S32" s="23" t="n">
        <v>21</v>
      </c>
      <c r="T32" s="23" t="n">
        <v>9</v>
      </c>
      <c r="U32" s="23" t="n">
        <v>14</v>
      </c>
      <c r="V32" s="23" t="n">
        <v>24</v>
      </c>
      <c r="W32" s="23" t="n">
        <v>15</v>
      </c>
      <c r="X32" s="23" t="n">
        <v>16</v>
      </c>
      <c r="Y32" s="23" t="n">
        <v>0.4</v>
      </c>
      <c r="Z32" s="23" t="n">
        <v>0.17</v>
      </c>
      <c r="AA32" s="23" t="n">
        <v>10</v>
      </c>
      <c r="AB32" s="23" t="n">
        <v>0.04</v>
      </c>
      <c r="AC32" s="23" t="n">
        <v>8</v>
      </c>
      <c r="AD32" s="23" t="n">
        <v>2.62</v>
      </c>
      <c r="AE32" s="23" t="n">
        <v>6</v>
      </c>
      <c r="AF32" s="23" t="n">
        <v>7</v>
      </c>
      <c r="AG32" s="23" t="n">
        <v>9</v>
      </c>
    </row>
    <row r="33" customFormat="false" ht="15" hidden="false" customHeight="false" outlineLevel="0" collapsed="false">
      <c r="A33" s="26" t="str">
        <f aca="false">Indicators!A33</f>
        <v>T05</v>
      </c>
      <c r="B33" s="26" t="str">
        <f aca="false">Indicators!C33</f>
        <v>STRs filed per 10,000 customers per year</v>
      </c>
      <c r="C33" s="26" t="str">
        <f aca="false">Indicators!D33</f>
        <v>count</v>
      </c>
      <c r="D33" s="23" t="n">
        <v>1.05</v>
      </c>
      <c r="E33" s="23" t="n">
        <v>9</v>
      </c>
      <c r="F33" s="23" t="n">
        <v>3.07</v>
      </c>
      <c r="G33" s="23" t="n">
        <v>1.63</v>
      </c>
      <c r="H33" s="23" t="n">
        <v>4.19</v>
      </c>
      <c r="I33" s="23" t="n">
        <v>14</v>
      </c>
      <c r="J33" s="23" t="n">
        <v>8</v>
      </c>
      <c r="K33" s="23" t="n">
        <v>6</v>
      </c>
      <c r="L33" s="23" t="n">
        <v>7</v>
      </c>
      <c r="M33" s="23" t="n">
        <v>9</v>
      </c>
      <c r="N33" s="23" t="n">
        <v>0.32</v>
      </c>
      <c r="O33" s="23" t="n">
        <v>4.22</v>
      </c>
      <c r="P33" s="23" t="n">
        <v>2.12</v>
      </c>
      <c r="Q33" s="23" t="n">
        <v>4.15</v>
      </c>
      <c r="R33" s="23" t="n">
        <v>6</v>
      </c>
      <c r="S33" s="23" t="n">
        <v>9</v>
      </c>
      <c r="T33" s="23" t="n">
        <v>4.91</v>
      </c>
      <c r="U33" s="23" t="n">
        <v>6</v>
      </c>
      <c r="V33" s="23" t="n">
        <v>2.24</v>
      </c>
      <c r="W33" s="23" t="n">
        <v>10</v>
      </c>
      <c r="X33" s="23" t="n">
        <v>9</v>
      </c>
      <c r="Y33" s="23" t="n">
        <v>0.92</v>
      </c>
      <c r="Z33" s="23" t="n">
        <v>1.15</v>
      </c>
      <c r="AA33" s="23" t="n">
        <v>1.08</v>
      </c>
      <c r="AB33" s="23" t="n">
        <v>0.71</v>
      </c>
      <c r="AC33" s="23" t="n">
        <v>2.9</v>
      </c>
      <c r="AD33" s="23" t="n">
        <v>0.57</v>
      </c>
      <c r="AE33" s="23" t="n">
        <v>0.56</v>
      </c>
      <c r="AF33" s="23" t="n">
        <v>0.22</v>
      </c>
      <c r="AG33" s="23" t="n">
        <v>1.32</v>
      </c>
    </row>
    <row r="34" customFormat="false" ht="15" hidden="false" customHeight="false" outlineLevel="0" collapsed="false">
      <c r="A34" s="26" t="str">
        <f aca="false">Indicators!A34</f>
        <v>T06</v>
      </c>
      <c r="B34" s="26" t="str">
        <f aca="false">Indicators!C34</f>
        <v>Fraud cases per 10,000 customers per year</v>
      </c>
      <c r="C34" s="26" t="str">
        <f aca="false">Indicators!D34</f>
        <v>count</v>
      </c>
      <c r="D34" s="23" t="n">
        <v>3.65</v>
      </c>
      <c r="E34" s="23" t="n">
        <v>1.03</v>
      </c>
      <c r="F34" s="23" t="n">
        <v>1.59</v>
      </c>
      <c r="G34" s="23" t="n">
        <v>2.55</v>
      </c>
      <c r="H34" s="23" t="n">
        <v>8</v>
      </c>
      <c r="I34" s="23" t="n">
        <v>16</v>
      </c>
      <c r="J34" s="23" t="n">
        <v>7</v>
      </c>
      <c r="K34" s="23" t="n">
        <v>7</v>
      </c>
      <c r="L34" s="23" t="n">
        <v>8</v>
      </c>
      <c r="M34" s="23" t="n">
        <v>15</v>
      </c>
      <c r="N34" s="23" t="n">
        <v>2.93</v>
      </c>
      <c r="O34" s="23" t="n">
        <v>0.69</v>
      </c>
      <c r="P34" s="23" t="n">
        <v>8</v>
      </c>
      <c r="Q34" s="23" t="n">
        <v>3.76</v>
      </c>
      <c r="R34" s="23" t="n">
        <v>7</v>
      </c>
      <c r="S34" s="23" t="n">
        <v>7</v>
      </c>
      <c r="T34" s="23" t="n">
        <v>6</v>
      </c>
      <c r="U34" s="23" t="n">
        <v>8</v>
      </c>
      <c r="V34" s="23" t="n">
        <v>14</v>
      </c>
      <c r="W34" s="23" t="n">
        <v>6</v>
      </c>
      <c r="X34" s="23" t="n">
        <v>10</v>
      </c>
      <c r="Y34" s="23" t="n">
        <v>0.78</v>
      </c>
      <c r="Z34" s="23" t="n">
        <v>1.34</v>
      </c>
      <c r="AA34" s="23" t="n">
        <v>0.02</v>
      </c>
      <c r="AB34" s="23" t="n">
        <v>2.13</v>
      </c>
      <c r="AC34" s="23" t="n">
        <v>5</v>
      </c>
      <c r="AD34" s="23" t="n">
        <v>2.17</v>
      </c>
      <c r="AE34" s="23" t="n">
        <v>1.42</v>
      </c>
      <c r="AF34" s="23" t="n">
        <v>1.39</v>
      </c>
      <c r="AG34" s="23" t="n">
        <v>6</v>
      </c>
    </row>
    <row r="35" customFormat="false" ht="15" hidden="false" customHeight="false" outlineLevel="0" collapsed="false">
      <c r="A35" s="26" t="str">
        <f aca="false">Indicators!A35</f>
        <v>T07</v>
      </c>
      <c r="B35" s="26" t="str">
        <f aca="false">Indicators!C35</f>
        <v>FATCA/CRS reportable accounts (% of accounts)</v>
      </c>
      <c r="C35" s="26" t="str">
        <f aca="false">Indicators!D35</f>
        <v>%</v>
      </c>
      <c r="D35" s="23" t="n">
        <v>5.03</v>
      </c>
      <c r="E35" s="23" t="n">
        <v>3</v>
      </c>
      <c r="F35" s="23" t="n">
        <v>3.94</v>
      </c>
      <c r="G35" s="23" t="n">
        <v>5.29</v>
      </c>
      <c r="H35" s="23" t="n">
        <v>1.03</v>
      </c>
      <c r="I35" s="23" t="n">
        <v>6.97</v>
      </c>
      <c r="J35" s="23" t="n">
        <v>14.88</v>
      </c>
      <c r="K35" s="23" t="n">
        <v>10.93</v>
      </c>
      <c r="L35" s="23" t="n">
        <v>8.72</v>
      </c>
      <c r="M35" s="23" t="n">
        <v>4.89</v>
      </c>
      <c r="N35" s="23" t="n">
        <v>2.05</v>
      </c>
      <c r="O35" s="23" t="n">
        <v>9.68</v>
      </c>
      <c r="P35" s="23" t="n">
        <v>5.59</v>
      </c>
      <c r="Q35" s="23" t="n">
        <v>5.31</v>
      </c>
      <c r="R35" s="23" t="n">
        <v>9.57</v>
      </c>
      <c r="S35" s="23" t="n">
        <v>7.04</v>
      </c>
      <c r="T35" s="23" t="n">
        <v>0.34</v>
      </c>
      <c r="U35" s="23" t="n">
        <v>9.77</v>
      </c>
      <c r="V35" s="23" t="n">
        <v>1.9</v>
      </c>
      <c r="W35" s="23" t="n">
        <v>2.08</v>
      </c>
      <c r="X35" s="23" t="n">
        <v>2.15</v>
      </c>
      <c r="Y35" s="23" t="n">
        <v>0.53</v>
      </c>
      <c r="Z35" s="23" t="n">
        <v>0.3</v>
      </c>
      <c r="AA35" s="23" t="n">
        <v>1.1</v>
      </c>
      <c r="AB35" s="23" t="n">
        <v>0.83</v>
      </c>
      <c r="AC35" s="23" t="n">
        <v>1.26</v>
      </c>
      <c r="AD35" s="23" t="n">
        <v>0.12</v>
      </c>
      <c r="AE35" s="23" t="n">
        <v>0.5</v>
      </c>
      <c r="AF35" s="23" t="n">
        <v>0.66</v>
      </c>
      <c r="AG35" s="23" t="n">
        <v>2.22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33" min="4" style="0" width="9"/>
  </cols>
  <sheetData>
    <row r="1" customFormat="false" ht="17.35" hidden="false" customHeight="false" outlineLevel="0" collapsed="false">
      <c r="A1" s="1" t="s">
        <v>440</v>
      </c>
    </row>
    <row r="2" customFormat="false" ht="15" hidden="false" customHeight="false" outlineLevel="0" collapsed="false">
      <c r="A2" s="2" t="s">
        <v>441</v>
      </c>
    </row>
    <row r="4" customFormat="false" ht="27.75" hidden="false" customHeight="true" outlineLevel="0" collapsed="false">
      <c r="A4" s="5" t="s">
        <v>332</v>
      </c>
      <c r="B4" s="5" t="s">
        <v>334</v>
      </c>
      <c r="C4" s="5" t="s">
        <v>335</v>
      </c>
      <c r="D4" s="5" t="str">
        <f aca="false">Entities!A5</f>
        <v>JO-HO</v>
      </c>
      <c r="E4" s="5" t="str">
        <f aca="false">Entities!A6</f>
        <v>JO-IIAB</v>
      </c>
      <c r="F4" s="5" t="str">
        <f aca="false">Entities!A7</f>
        <v>JO-INV</v>
      </c>
      <c r="G4" s="5" t="str">
        <f aca="false">Entities!A8</f>
        <v>JO-INS</v>
      </c>
      <c r="H4" s="5" t="str">
        <f aca="false">Entities!A9</f>
        <v>JO-LSG</v>
      </c>
      <c r="I4" s="5" t="str">
        <f aca="false">Entities!A10</f>
        <v>PS</v>
      </c>
      <c r="J4" s="5" t="str">
        <f aca="false">Entities!A11</f>
        <v>PS-INV</v>
      </c>
      <c r="K4" s="5" t="str">
        <f aca="false">Entities!A12</f>
        <v>LB</v>
      </c>
      <c r="L4" s="5" t="str">
        <f aca="false">Entities!A13</f>
        <v>SY</v>
      </c>
      <c r="M4" s="5" t="str">
        <f aca="false">Entities!A14</f>
        <v>AE</v>
      </c>
      <c r="N4" s="5" t="str">
        <f aca="false">Entities!A15</f>
        <v>BH</v>
      </c>
      <c r="O4" s="5" t="str">
        <f aca="false">Entities!A16</f>
        <v>QA</v>
      </c>
      <c r="P4" s="5" t="str">
        <f aca="false">Entities!A17</f>
        <v>SA</v>
      </c>
      <c r="Q4" s="5" t="str">
        <f aca="false">Entities!A18</f>
        <v>OM</v>
      </c>
      <c r="R4" s="5" t="str">
        <f aca="false">Entities!A19</f>
        <v>IQ</v>
      </c>
      <c r="S4" s="5" t="str">
        <f aca="false">Entities!A20</f>
        <v>YE</v>
      </c>
      <c r="T4" s="5" t="str">
        <f aca="false">Entities!A21</f>
        <v>EG</v>
      </c>
      <c r="U4" s="5" t="str">
        <f aca="false">Entities!A22</f>
        <v>DZ</v>
      </c>
      <c r="V4" s="5" t="str">
        <f aca="false">Entities!A23</f>
        <v>MA</v>
      </c>
      <c r="W4" s="5" t="str">
        <f aca="false">Entities!A24</f>
        <v>TN</v>
      </c>
      <c r="X4" s="5" t="str">
        <f aca="false">Entities!A25</f>
        <v>SD</v>
      </c>
      <c r="Y4" s="5" t="str">
        <f aca="false">Entities!A26</f>
        <v>GB</v>
      </c>
      <c r="Z4" s="5" t="str">
        <f aca="false">Entities!A27</f>
        <v>FR</v>
      </c>
      <c r="AA4" s="5" t="str">
        <f aca="false">Entities!A28</f>
        <v>DE</v>
      </c>
      <c r="AB4" s="5" t="str">
        <f aca="false">Entities!A29</f>
        <v>IT</v>
      </c>
      <c r="AC4" s="5" t="str">
        <f aca="false">Entities!A30</f>
        <v>CH</v>
      </c>
      <c r="AD4" s="5" t="str">
        <f aca="false">Entities!A31</f>
        <v>SG</v>
      </c>
      <c r="AE4" s="5" t="str">
        <f aca="false">Entities!A32</f>
        <v>CN</v>
      </c>
      <c r="AF4" s="5" t="str">
        <f aca="false">Entities!A33</f>
        <v>AU</v>
      </c>
      <c r="AG4" s="5" t="str">
        <f aca="false">Entities!A34</f>
        <v>US</v>
      </c>
    </row>
    <row r="5" customFormat="false" ht="15" hidden="false" customHeight="false" outlineLevel="0" collapsed="false">
      <c r="A5" s="26" t="str">
        <f aca="false">Indicators!A5</f>
        <v>C01</v>
      </c>
      <c r="B5" s="26" t="str">
        <f aca="false">Indicators!C5</f>
        <v>% of customers rated high risk (CRR)</v>
      </c>
      <c r="C5" s="26" t="str">
        <f aca="false">Indicators!D5</f>
        <v>%</v>
      </c>
      <c r="D5" s="27" t="n">
        <f aca="false">IF('Indicator Data'!D5="",IF(Config!$C$15="Score as High (5)",5,0),IF(Indicators!$F5="Higher = riskier",1+('Indicator Data'!D5&gt;=Indicators!$G5)+('Indicator Data'!D5&gt;=Indicators!$H5)+('Indicator Data'!D5&gt;=Indicators!$I5)+('Indicator Data'!D5&gt;=Indicators!$J5),1+('Indicator Data'!D5&lt;=Indicators!$G5)+('Indicator Data'!D5&lt;=Indicators!$H5)+('Indicator Data'!D5&lt;=Indicators!$I5)+('Indicator Data'!D5&lt;=Indicators!$J5)))</f>
        <v>4</v>
      </c>
      <c r="E5" s="27" t="n">
        <f aca="false">IF('Indicator Data'!E5="",IF(Config!$C$15="Score as High (5)",5,0),IF(Indicators!$F5="Higher = riskier",1+('Indicator Data'!E5&gt;=Indicators!$G5)+('Indicator Data'!E5&gt;=Indicators!$H5)+('Indicator Data'!E5&gt;=Indicators!$I5)+('Indicator Data'!E5&gt;=Indicators!$J5),1+('Indicator Data'!E5&lt;=Indicators!$G5)+('Indicator Data'!E5&lt;=Indicators!$H5)+('Indicator Data'!E5&lt;=Indicators!$I5)+('Indicator Data'!E5&lt;=Indicators!$J5)))</f>
        <v>3</v>
      </c>
      <c r="F5" s="27" t="n">
        <f aca="false">IF('Indicator Data'!F5="",IF(Config!$C$15="Score as High (5)",5,0),IF(Indicators!$F5="Higher = riskier",1+('Indicator Data'!F5&gt;=Indicators!$G5)+('Indicator Data'!F5&gt;=Indicators!$H5)+('Indicator Data'!F5&gt;=Indicators!$I5)+('Indicator Data'!F5&gt;=Indicators!$J5),1+('Indicator Data'!F5&lt;=Indicators!$G5)+('Indicator Data'!F5&lt;=Indicators!$H5)+('Indicator Data'!F5&lt;=Indicators!$I5)+('Indicator Data'!F5&lt;=Indicators!$J5)))</f>
        <v>1</v>
      </c>
      <c r="G5" s="27" t="n">
        <f aca="false">IF('Indicator Data'!G5="",IF(Config!$C$15="Score as High (5)",5,0),IF(Indicators!$F5="Higher = riskier",1+('Indicator Data'!G5&gt;=Indicators!$G5)+('Indicator Data'!G5&gt;=Indicators!$H5)+('Indicator Data'!G5&gt;=Indicators!$I5)+('Indicator Data'!G5&gt;=Indicators!$J5),1+('Indicator Data'!G5&lt;=Indicators!$G5)+('Indicator Data'!G5&lt;=Indicators!$H5)+('Indicator Data'!G5&lt;=Indicators!$I5)+('Indicator Data'!G5&lt;=Indicators!$J5)))</f>
        <v>4</v>
      </c>
      <c r="H5" s="27" t="n">
        <f aca="false">IF('Indicator Data'!H5="",IF(Config!$C$15="Score as High (5)",5,0),IF(Indicators!$F5="Higher = riskier",1+('Indicator Data'!H5&gt;=Indicators!$G5)+('Indicator Data'!H5&gt;=Indicators!$H5)+('Indicator Data'!H5&gt;=Indicators!$I5)+('Indicator Data'!H5&gt;=Indicators!$J5),1+('Indicator Data'!H5&lt;=Indicators!$G5)+('Indicator Data'!H5&lt;=Indicators!$H5)+('Indicator Data'!H5&lt;=Indicators!$I5)+('Indicator Data'!H5&lt;=Indicators!$J5)))</f>
        <v>4</v>
      </c>
      <c r="I5" s="27" t="n">
        <f aca="false">IF('Indicator Data'!I5="",IF(Config!$C$15="Score as High (5)",5,0),IF(Indicators!$F5="Higher = riskier",1+('Indicator Data'!I5&gt;=Indicators!$G5)+('Indicator Data'!I5&gt;=Indicators!$H5)+('Indicator Data'!I5&gt;=Indicators!$I5)+('Indicator Data'!I5&gt;=Indicators!$J5),1+('Indicator Data'!I5&lt;=Indicators!$G5)+('Indicator Data'!I5&lt;=Indicators!$H5)+('Indicator Data'!I5&lt;=Indicators!$I5)+('Indicator Data'!I5&lt;=Indicators!$J5)))</f>
        <v>4</v>
      </c>
      <c r="J5" s="27" t="n">
        <f aca="false">IF('Indicator Data'!J5="",IF(Config!$C$15="Score as High (5)",5,0),IF(Indicators!$F5="Higher = riskier",1+('Indicator Data'!J5&gt;=Indicators!$G5)+('Indicator Data'!J5&gt;=Indicators!$H5)+('Indicator Data'!J5&gt;=Indicators!$I5)+('Indicator Data'!J5&gt;=Indicators!$J5),1+('Indicator Data'!J5&lt;=Indicators!$G5)+('Indicator Data'!J5&lt;=Indicators!$H5)+('Indicator Data'!J5&lt;=Indicators!$I5)+('Indicator Data'!J5&lt;=Indicators!$J5)))</f>
        <v>3</v>
      </c>
      <c r="K5" s="27" t="n">
        <f aca="false">IF('Indicator Data'!K5="",IF(Config!$C$15="Score as High (5)",5,0),IF(Indicators!$F5="Higher = riskier",1+('Indicator Data'!K5&gt;=Indicators!$G5)+('Indicator Data'!K5&gt;=Indicators!$H5)+('Indicator Data'!K5&gt;=Indicators!$I5)+('Indicator Data'!K5&gt;=Indicators!$J5),1+('Indicator Data'!K5&lt;=Indicators!$G5)+('Indicator Data'!K5&lt;=Indicators!$H5)+('Indicator Data'!K5&lt;=Indicators!$I5)+('Indicator Data'!K5&lt;=Indicators!$J5)))</f>
        <v>3</v>
      </c>
      <c r="L5" s="27" t="n">
        <f aca="false">IF('Indicator Data'!L5="",IF(Config!$C$15="Score as High (5)",5,0),IF(Indicators!$F5="Higher = riskier",1+('Indicator Data'!L5&gt;=Indicators!$G5)+('Indicator Data'!L5&gt;=Indicators!$H5)+('Indicator Data'!L5&gt;=Indicators!$I5)+('Indicator Data'!L5&gt;=Indicators!$J5),1+('Indicator Data'!L5&lt;=Indicators!$G5)+('Indicator Data'!L5&lt;=Indicators!$H5)+('Indicator Data'!L5&lt;=Indicators!$I5)+('Indicator Data'!L5&lt;=Indicators!$J5)))</f>
        <v>4</v>
      </c>
      <c r="M5" s="27" t="n">
        <f aca="false">IF('Indicator Data'!M5="",IF(Config!$C$15="Score as High (5)",5,0),IF(Indicators!$F5="Higher = riskier",1+('Indicator Data'!M5&gt;=Indicators!$G5)+('Indicator Data'!M5&gt;=Indicators!$H5)+('Indicator Data'!M5&gt;=Indicators!$I5)+('Indicator Data'!M5&gt;=Indicators!$J5),1+('Indicator Data'!M5&lt;=Indicators!$G5)+('Indicator Data'!M5&lt;=Indicators!$H5)+('Indicator Data'!M5&lt;=Indicators!$I5)+('Indicator Data'!M5&lt;=Indicators!$J5)))</f>
        <v>3</v>
      </c>
      <c r="N5" s="27" t="n">
        <f aca="false">IF('Indicator Data'!N5="",IF(Config!$C$15="Score as High (5)",5,0),IF(Indicators!$F5="Higher = riskier",1+('Indicator Data'!N5&gt;=Indicators!$G5)+('Indicator Data'!N5&gt;=Indicators!$H5)+('Indicator Data'!N5&gt;=Indicators!$I5)+('Indicator Data'!N5&gt;=Indicators!$J5),1+('Indicator Data'!N5&lt;=Indicators!$G5)+('Indicator Data'!N5&lt;=Indicators!$H5)+('Indicator Data'!N5&lt;=Indicators!$I5)+('Indicator Data'!N5&lt;=Indicators!$J5)))</f>
        <v>2</v>
      </c>
      <c r="O5" s="27" t="n">
        <f aca="false">IF('Indicator Data'!O5="",IF(Config!$C$15="Score as High (5)",5,0),IF(Indicators!$F5="Higher = riskier",1+('Indicator Data'!O5&gt;=Indicators!$G5)+('Indicator Data'!O5&gt;=Indicators!$H5)+('Indicator Data'!O5&gt;=Indicators!$I5)+('Indicator Data'!O5&gt;=Indicators!$J5),1+('Indicator Data'!O5&lt;=Indicators!$G5)+('Indicator Data'!O5&lt;=Indicators!$H5)+('Indicator Data'!O5&lt;=Indicators!$I5)+('Indicator Data'!O5&lt;=Indicators!$J5)))</f>
        <v>4</v>
      </c>
      <c r="P5" s="27" t="n">
        <f aca="false">IF('Indicator Data'!P5="",IF(Config!$C$15="Score as High (5)",5,0),IF(Indicators!$F5="Higher = riskier",1+('Indicator Data'!P5&gt;=Indicators!$G5)+('Indicator Data'!P5&gt;=Indicators!$H5)+('Indicator Data'!P5&gt;=Indicators!$I5)+('Indicator Data'!P5&gt;=Indicators!$J5),1+('Indicator Data'!P5&lt;=Indicators!$G5)+('Indicator Data'!P5&lt;=Indicators!$H5)+('Indicator Data'!P5&lt;=Indicators!$I5)+('Indicator Data'!P5&lt;=Indicators!$J5)))</f>
        <v>2</v>
      </c>
      <c r="Q5" s="27" t="n">
        <f aca="false">IF('Indicator Data'!Q5="",IF(Config!$C$15="Score as High (5)",5,0),IF(Indicators!$F5="Higher = riskier",1+('Indicator Data'!Q5&gt;=Indicators!$G5)+('Indicator Data'!Q5&gt;=Indicators!$H5)+('Indicator Data'!Q5&gt;=Indicators!$I5)+('Indicator Data'!Q5&gt;=Indicators!$J5),1+('Indicator Data'!Q5&lt;=Indicators!$G5)+('Indicator Data'!Q5&lt;=Indicators!$H5)+('Indicator Data'!Q5&lt;=Indicators!$I5)+('Indicator Data'!Q5&lt;=Indicators!$J5)))</f>
        <v>3</v>
      </c>
      <c r="R5" s="27" t="n">
        <f aca="false">IF('Indicator Data'!R5="",IF(Config!$C$15="Score as High (5)",5,0),IF(Indicators!$F5="Higher = riskier",1+('Indicator Data'!R5&gt;=Indicators!$G5)+('Indicator Data'!R5&gt;=Indicators!$H5)+('Indicator Data'!R5&gt;=Indicators!$I5)+('Indicator Data'!R5&gt;=Indicators!$J5),1+('Indicator Data'!R5&lt;=Indicators!$G5)+('Indicator Data'!R5&lt;=Indicators!$H5)+('Indicator Data'!R5&lt;=Indicators!$I5)+('Indicator Data'!R5&lt;=Indicators!$J5)))</f>
        <v>2</v>
      </c>
      <c r="S5" s="27" t="n">
        <f aca="false">IF('Indicator Data'!S5="",IF(Config!$C$15="Score as High (5)",5,0),IF(Indicators!$F5="Higher = riskier",1+('Indicator Data'!S5&gt;=Indicators!$G5)+('Indicator Data'!S5&gt;=Indicators!$H5)+('Indicator Data'!S5&gt;=Indicators!$I5)+('Indicator Data'!S5&gt;=Indicators!$J5),1+('Indicator Data'!S5&lt;=Indicators!$G5)+('Indicator Data'!S5&lt;=Indicators!$H5)+('Indicator Data'!S5&lt;=Indicators!$I5)+('Indicator Data'!S5&lt;=Indicators!$J5)))</f>
        <v>4</v>
      </c>
      <c r="T5" s="27" t="n">
        <f aca="false">IF('Indicator Data'!T5="",IF(Config!$C$15="Score as High (5)",5,0),IF(Indicators!$F5="Higher = riskier",1+('Indicator Data'!T5&gt;=Indicators!$G5)+('Indicator Data'!T5&gt;=Indicators!$H5)+('Indicator Data'!T5&gt;=Indicators!$I5)+('Indicator Data'!T5&gt;=Indicators!$J5),1+('Indicator Data'!T5&lt;=Indicators!$G5)+('Indicator Data'!T5&lt;=Indicators!$H5)+('Indicator Data'!T5&lt;=Indicators!$I5)+('Indicator Data'!T5&lt;=Indicators!$J5)))</f>
        <v>3</v>
      </c>
      <c r="U5" s="27" t="n">
        <f aca="false">IF('Indicator Data'!U5="",IF(Config!$C$15="Score as High (5)",5,0),IF(Indicators!$F5="Higher = riskier",1+('Indicator Data'!U5&gt;=Indicators!$G5)+('Indicator Data'!U5&gt;=Indicators!$H5)+('Indicator Data'!U5&gt;=Indicators!$I5)+('Indicator Data'!U5&gt;=Indicators!$J5),1+('Indicator Data'!U5&lt;=Indicators!$G5)+('Indicator Data'!U5&lt;=Indicators!$H5)+('Indicator Data'!U5&lt;=Indicators!$I5)+('Indicator Data'!U5&lt;=Indicators!$J5)))</f>
        <v>3</v>
      </c>
      <c r="V5" s="27" t="n">
        <f aca="false">IF('Indicator Data'!V5="",IF(Config!$C$15="Score as High (5)",5,0),IF(Indicators!$F5="Higher = riskier",1+('Indicator Data'!V5&gt;=Indicators!$G5)+('Indicator Data'!V5&gt;=Indicators!$H5)+('Indicator Data'!V5&gt;=Indicators!$I5)+('Indicator Data'!V5&gt;=Indicators!$J5),1+('Indicator Data'!V5&lt;=Indicators!$G5)+('Indicator Data'!V5&lt;=Indicators!$H5)+('Indicator Data'!V5&lt;=Indicators!$I5)+('Indicator Data'!V5&lt;=Indicators!$J5)))</f>
        <v>3</v>
      </c>
      <c r="W5" s="27" t="n">
        <f aca="false">IF('Indicator Data'!W5="",IF(Config!$C$15="Score as High (5)",5,0),IF(Indicators!$F5="Higher = riskier",1+('Indicator Data'!W5&gt;=Indicators!$G5)+('Indicator Data'!W5&gt;=Indicators!$H5)+('Indicator Data'!W5&gt;=Indicators!$I5)+('Indicator Data'!W5&gt;=Indicators!$J5),1+('Indicator Data'!W5&lt;=Indicators!$G5)+('Indicator Data'!W5&lt;=Indicators!$H5)+('Indicator Data'!W5&lt;=Indicators!$I5)+('Indicator Data'!W5&lt;=Indicators!$J5)))</f>
        <v>3</v>
      </c>
      <c r="X5" s="27" t="n">
        <f aca="false">IF('Indicator Data'!X5="",IF(Config!$C$15="Score as High (5)",5,0),IF(Indicators!$F5="Higher = riskier",1+('Indicator Data'!X5&gt;=Indicators!$G5)+('Indicator Data'!X5&gt;=Indicators!$H5)+('Indicator Data'!X5&gt;=Indicators!$I5)+('Indicator Data'!X5&gt;=Indicators!$J5),1+('Indicator Data'!X5&lt;=Indicators!$G5)+('Indicator Data'!X5&lt;=Indicators!$H5)+('Indicator Data'!X5&lt;=Indicators!$I5)+('Indicator Data'!X5&lt;=Indicators!$J5)))</f>
        <v>5</v>
      </c>
      <c r="Y5" s="27" t="n">
        <f aca="false">IF('Indicator Data'!Y5="",IF(Config!$C$15="Score as High (5)",5,0),IF(Indicators!$F5="Higher = riskier",1+('Indicator Data'!Y5&gt;=Indicators!$G5)+('Indicator Data'!Y5&gt;=Indicators!$H5)+('Indicator Data'!Y5&gt;=Indicators!$I5)+('Indicator Data'!Y5&gt;=Indicators!$J5),1+('Indicator Data'!Y5&lt;=Indicators!$G5)+('Indicator Data'!Y5&lt;=Indicators!$H5)+('Indicator Data'!Y5&lt;=Indicators!$I5)+('Indicator Data'!Y5&lt;=Indicators!$J5)))</f>
        <v>2</v>
      </c>
      <c r="Z5" s="27" t="n">
        <f aca="false">IF('Indicator Data'!Z5="",IF(Config!$C$15="Score as High (5)",5,0),IF(Indicators!$F5="Higher = riskier",1+('Indicator Data'!Z5&gt;=Indicators!$G5)+('Indicator Data'!Z5&gt;=Indicators!$H5)+('Indicator Data'!Z5&gt;=Indicators!$I5)+('Indicator Data'!Z5&gt;=Indicators!$J5),1+('Indicator Data'!Z5&lt;=Indicators!$G5)+('Indicator Data'!Z5&lt;=Indicators!$H5)+('Indicator Data'!Z5&lt;=Indicators!$I5)+('Indicator Data'!Z5&lt;=Indicators!$J5)))</f>
        <v>2</v>
      </c>
      <c r="AA5" s="27" t="n">
        <f aca="false">IF('Indicator Data'!AA5="",IF(Config!$C$15="Score as High (5)",5,0),IF(Indicators!$F5="Higher = riskier",1+('Indicator Data'!AA5&gt;=Indicators!$G5)+('Indicator Data'!AA5&gt;=Indicators!$H5)+('Indicator Data'!AA5&gt;=Indicators!$I5)+('Indicator Data'!AA5&gt;=Indicators!$J5),1+('Indicator Data'!AA5&lt;=Indicators!$G5)+('Indicator Data'!AA5&lt;=Indicators!$H5)+('Indicator Data'!AA5&lt;=Indicators!$I5)+('Indicator Data'!AA5&lt;=Indicators!$J5)))</f>
        <v>1</v>
      </c>
      <c r="AB5" s="27" t="n">
        <f aca="false">IF('Indicator Data'!AB5="",IF(Config!$C$15="Score as High (5)",5,0),IF(Indicators!$F5="Higher = riskier",1+('Indicator Data'!AB5&gt;=Indicators!$G5)+('Indicator Data'!AB5&gt;=Indicators!$H5)+('Indicator Data'!AB5&gt;=Indicators!$I5)+('Indicator Data'!AB5&gt;=Indicators!$J5),1+('Indicator Data'!AB5&lt;=Indicators!$G5)+('Indicator Data'!AB5&lt;=Indicators!$H5)+('Indicator Data'!AB5&lt;=Indicators!$I5)+('Indicator Data'!AB5&lt;=Indicators!$J5)))</f>
        <v>4</v>
      </c>
      <c r="AC5" s="27" t="n">
        <f aca="false">IF('Indicator Data'!AC5="",IF(Config!$C$15="Score as High (5)",5,0),IF(Indicators!$F5="Higher = riskier",1+('Indicator Data'!AC5&gt;=Indicators!$G5)+('Indicator Data'!AC5&gt;=Indicators!$H5)+('Indicator Data'!AC5&gt;=Indicators!$I5)+('Indicator Data'!AC5&gt;=Indicators!$J5),1+('Indicator Data'!AC5&lt;=Indicators!$G5)+('Indicator Data'!AC5&lt;=Indicators!$H5)+('Indicator Data'!AC5&lt;=Indicators!$I5)+('Indicator Data'!AC5&lt;=Indicators!$J5)))</f>
        <v>1</v>
      </c>
      <c r="AD5" s="27" t="n">
        <f aca="false">IF('Indicator Data'!AD5="",IF(Config!$C$15="Score as High (5)",5,0),IF(Indicators!$F5="Higher = riskier",1+('Indicator Data'!AD5&gt;=Indicators!$G5)+('Indicator Data'!AD5&gt;=Indicators!$H5)+('Indicator Data'!AD5&gt;=Indicators!$I5)+('Indicator Data'!AD5&gt;=Indicators!$J5),1+('Indicator Data'!AD5&lt;=Indicators!$G5)+('Indicator Data'!AD5&lt;=Indicators!$H5)+('Indicator Data'!AD5&lt;=Indicators!$I5)+('Indicator Data'!AD5&lt;=Indicators!$J5)))</f>
        <v>2</v>
      </c>
      <c r="AE5" s="27" t="n">
        <f aca="false">IF('Indicator Data'!AE5="",IF(Config!$C$15="Score as High (5)",5,0),IF(Indicators!$F5="Higher = riskier",1+('Indicator Data'!AE5&gt;=Indicators!$G5)+('Indicator Data'!AE5&gt;=Indicators!$H5)+('Indicator Data'!AE5&gt;=Indicators!$I5)+('Indicator Data'!AE5&gt;=Indicators!$J5),1+('Indicator Data'!AE5&lt;=Indicators!$G5)+('Indicator Data'!AE5&lt;=Indicators!$H5)+('Indicator Data'!AE5&lt;=Indicators!$I5)+('Indicator Data'!AE5&lt;=Indicators!$J5)))</f>
        <v>2</v>
      </c>
      <c r="AF5" s="27" t="n">
        <f aca="false">IF('Indicator Data'!AF5="",IF(Config!$C$15="Score as High (5)",5,0),IF(Indicators!$F5="Higher = riskier",1+('Indicator Data'!AF5&gt;=Indicators!$G5)+('Indicator Data'!AF5&gt;=Indicators!$H5)+('Indicator Data'!AF5&gt;=Indicators!$I5)+('Indicator Data'!AF5&gt;=Indicators!$J5),1+('Indicator Data'!AF5&lt;=Indicators!$G5)+('Indicator Data'!AF5&lt;=Indicators!$H5)+('Indicator Data'!AF5&lt;=Indicators!$I5)+('Indicator Data'!AF5&lt;=Indicators!$J5)))</f>
        <v>2</v>
      </c>
      <c r="AG5" s="27" t="n">
        <f aca="false">IF('Indicator Data'!AG5="",IF(Config!$C$15="Score as High (5)",5,0),IF(Indicators!$F5="Higher = riskier",1+('Indicator Data'!AG5&gt;=Indicators!$G5)+('Indicator Data'!AG5&gt;=Indicators!$H5)+('Indicator Data'!AG5&gt;=Indicators!$I5)+('Indicator Data'!AG5&gt;=Indicators!$J5),1+('Indicator Data'!AG5&lt;=Indicators!$G5)+('Indicator Data'!AG5&lt;=Indicators!$H5)+('Indicator Data'!AG5&lt;=Indicators!$I5)+('Indicator Data'!AG5&lt;=Indicators!$J5)))</f>
        <v>2</v>
      </c>
    </row>
    <row r="6" customFormat="false" ht="15" hidden="false" customHeight="false" outlineLevel="0" collapsed="false">
      <c r="A6" s="26" t="str">
        <f aca="false">Indicators!A6</f>
        <v>C02</v>
      </c>
      <c r="B6" s="26" t="str">
        <f aca="false">Indicators!C6</f>
        <v>PEP relationships per 10,000 customers</v>
      </c>
      <c r="C6" s="26" t="str">
        <f aca="false">Indicators!D6</f>
        <v>count</v>
      </c>
      <c r="D6" s="27" t="n">
        <f aca="false">IF('Indicator Data'!D6="",IF(Config!$C$15="Score as High (5)",5,0),IF(Indicators!$F6="Higher = riskier",1+('Indicator Data'!D6&gt;=Indicators!$G6)+('Indicator Data'!D6&gt;=Indicators!$H6)+('Indicator Data'!D6&gt;=Indicators!$I6)+('Indicator Data'!D6&gt;=Indicators!$J6),1+('Indicator Data'!D6&lt;=Indicators!$G6)+('Indicator Data'!D6&lt;=Indicators!$H6)+('Indicator Data'!D6&lt;=Indicators!$I6)+('Indicator Data'!D6&lt;=Indicators!$J6)))</f>
        <v>4</v>
      </c>
      <c r="E6" s="27" t="n">
        <f aca="false">IF('Indicator Data'!E6="",IF(Config!$C$15="Score as High (5)",5,0),IF(Indicators!$F6="Higher = riskier",1+('Indicator Data'!E6&gt;=Indicators!$G6)+('Indicator Data'!E6&gt;=Indicators!$H6)+('Indicator Data'!E6&gt;=Indicators!$I6)+('Indicator Data'!E6&gt;=Indicators!$J6),1+('Indicator Data'!E6&lt;=Indicators!$G6)+('Indicator Data'!E6&lt;=Indicators!$H6)+('Indicator Data'!E6&lt;=Indicators!$I6)+('Indicator Data'!E6&lt;=Indicators!$J6)))</f>
        <v>4</v>
      </c>
      <c r="F6" s="27" t="n">
        <f aca="false">IF('Indicator Data'!F6="",IF(Config!$C$15="Score as High (5)",5,0),IF(Indicators!$F6="Higher = riskier",1+('Indicator Data'!F6&gt;=Indicators!$G6)+('Indicator Data'!F6&gt;=Indicators!$H6)+('Indicator Data'!F6&gt;=Indicators!$I6)+('Indicator Data'!F6&gt;=Indicators!$J6),1+('Indicator Data'!F6&lt;=Indicators!$G6)+('Indicator Data'!F6&lt;=Indicators!$H6)+('Indicator Data'!F6&lt;=Indicators!$I6)+('Indicator Data'!F6&lt;=Indicators!$J6)))</f>
        <v>2</v>
      </c>
      <c r="G6" s="27" t="n">
        <f aca="false">IF('Indicator Data'!G6="",IF(Config!$C$15="Score as High (5)",5,0),IF(Indicators!$F6="Higher = riskier",1+('Indicator Data'!G6&gt;=Indicators!$G6)+('Indicator Data'!G6&gt;=Indicators!$H6)+('Indicator Data'!G6&gt;=Indicators!$I6)+('Indicator Data'!G6&gt;=Indicators!$J6),1+('Indicator Data'!G6&lt;=Indicators!$G6)+('Indicator Data'!G6&lt;=Indicators!$H6)+('Indicator Data'!G6&lt;=Indicators!$I6)+('Indicator Data'!G6&lt;=Indicators!$J6)))</f>
        <v>4</v>
      </c>
      <c r="H6" s="27" t="n">
        <f aca="false">IF('Indicator Data'!H6="",IF(Config!$C$15="Score as High (5)",5,0),IF(Indicators!$F6="Higher = riskier",1+('Indicator Data'!H6&gt;=Indicators!$G6)+('Indicator Data'!H6&gt;=Indicators!$H6)+('Indicator Data'!H6&gt;=Indicators!$I6)+('Indicator Data'!H6&gt;=Indicators!$J6),1+('Indicator Data'!H6&lt;=Indicators!$G6)+('Indicator Data'!H6&lt;=Indicators!$H6)+('Indicator Data'!H6&lt;=Indicators!$I6)+('Indicator Data'!H6&lt;=Indicators!$J6)))</f>
        <v>1</v>
      </c>
      <c r="I6" s="27" t="n">
        <f aca="false">IF('Indicator Data'!I6="",IF(Config!$C$15="Score as High (5)",5,0),IF(Indicators!$F6="Higher = riskier",1+('Indicator Data'!I6&gt;=Indicators!$G6)+('Indicator Data'!I6&gt;=Indicators!$H6)+('Indicator Data'!I6&gt;=Indicators!$I6)+('Indicator Data'!I6&gt;=Indicators!$J6),1+('Indicator Data'!I6&lt;=Indicators!$G6)+('Indicator Data'!I6&lt;=Indicators!$H6)+('Indicator Data'!I6&lt;=Indicators!$I6)+('Indicator Data'!I6&lt;=Indicators!$J6)))</f>
        <v>4</v>
      </c>
      <c r="J6" s="27" t="n">
        <f aca="false">IF('Indicator Data'!J6="",IF(Config!$C$15="Score as High (5)",5,0),IF(Indicators!$F6="Higher = riskier",1+('Indicator Data'!J6&gt;=Indicators!$G6)+('Indicator Data'!J6&gt;=Indicators!$H6)+('Indicator Data'!J6&gt;=Indicators!$I6)+('Indicator Data'!J6&gt;=Indicators!$J6),1+('Indicator Data'!J6&lt;=Indicators!$G6)+('Indicator Data'!J6&lt;=Indicators!$H6)+('Indicator Data'!J6&lt;=Indicators!$I6)+('Indicator Data'!J6&lt;=Indicators!$J6)))</f>
        <v>5</v>
      </c>
      <c r="K6" s="27" t="n">
        <f aca="false">IF('Indicator Data'!K6="",IF(Config!$C$15="Score as High (5)",5,0),IF(Indicators!$F6="Higher = riskier",1+('Indicator Data'!K6&gt;=Indicators!$G6)+('Indicator Data'!K6&gt;=Indicators!$H6)+('Indicator Data'!K6&gt;=Indicators!$I6)+('Indicator Data'!K6&gt;=Indicators!$J6),1+('Indicator Data'!K6&lt;=Indicators!$G6)+('Indicator Data'!K6&lt;=Indicators!$H6)+('Indicator Data'!K6&lt;=Indicators!$I6)+('Indicator Data'!K6&lt;=Indicators!$J6)))</f>
        <v>4</v>
      </c>
      <c r="L6" s="27" t="n">
        <f aca="false">IF('Indicator Data'!L6="",IF(Config!$C$15="Score as High (5)",5,0),IF(Indicators!$F6="Higher = riskier",1+('Indicator Data'!L6&gt;=Indicators!$G6)+('Indicator Data'!L6&gt;=Indicators!$H6)+('Indicator Data'!L6&gt;=Indicators!$I6)+('Indicator Data'!L6&gt;=Indicators!$J6),1+('Indicator Data'!L6&lt;=Indicators!$G6)+('Indicator Data'!L6&lt;=Indicators!$H6)+('Indicator Data'!L6&lt;=Indicators!$I6)+('Indicator Data'!L6&lt;=Indicators!$J6)))</f>
        <v>4</v>
      </c>
      <c r="M6" s="27" t="n">
        <f aca="false">IF('Indicator Data'!M6="",IF(Config!$C$15="Score as High (5)",5,0),IF(Indicators!$F6="Higher = riskier",1+('Indicator Data'!M6&gt;=Indicators!$G6)+('Indicator Data'!M6&gt;=Indicators!$H6)+('Indicator Data'!M6&gt;=Indicators!$I6)+('Indicator Data'!M6&gt;=Indicators!$J6),1+('Indicator Data'!M6&lt;=Indicators!$G6)+('Indicator Data'!M6&lt;=Indicators!$H6)+('Indicator Data'!M6&lt;=Indicators!$I6)+('Indicator Data'!M6&lt;=Indicators!$J6)))</f>
        <v>2</v>
      </c>
      <c r="N6" s="27" t="n">
        <f aca="false">IF('Indicator Data'!N6="",IF(Config!$C$15="Score as High (5)",5,0),IF(Indicators!$F6="Higher = riskier",1+('Indicator Data'!N6&gt;=Indicators!$G6)+('Indicator Data'!N6&gt;=Indicators!$H6)+('Indicator Data'!N6&gt;=Indicators!$I6)+('Indicator Data'!N6&gt;=Indicators!$J6),1+('Indicator Data'!N6&lt;=Indicators!$G6)+('Indicator Data'!N6&lt;=Indicators!$H6)+('Indicator Data'!N6&lt;=Indicators!$I6)+('Indicator Data'!N6&lt;=Indicators!$J6)))</f>
        <v>3</v>
      </c>
      <c r="O6" s="27" t="n">
        <f aca="false">IF('Indicator Data'!O6="",IF(Config!$C$15="Score as High (5)",5,0),IF(Indicators!$F6="Higher = riskier",1+('Indicator Data'!O6&gt;=Indicators!$G6)+('Indicator Data'!O6&gt;=Indicators!$H6)+('Indicator Data'!O6&gt;=Indicators!$I6)+('Indicator Data'!O6&gt;=Indicators!$J6),1+('Indicator Data'!O6&lt;=Indicators!$G6)+('Indicator Data'!O6&lt;=Indicators!$H6)+('Indicator Data'!O6&lt;=Indicators!$I6)+('Indicator Data'!O6&lt;=Indicators!$J6)))</f>
        <v>1</v>
      </c>
      <c r="P6" s="27" t="n">
        <f aca="false">IF('Indicator Data'!P6="",IF(Config!$C$15="Score as High (5)",5,0),IF(Indicators!$F6="Higher = riskier",1+('Indicator Data'!P6&gt;=Indicators!$G6)+('Indicator Data'!P6&gt;=Indicators!$H6)+('Indicator Data'!P6&gt;=Indicators!$I6)+('Indicator Data'!P6&gt;=Indicators!$J6),1+('Indicator Data'!P6&lt;=Indicators!$G6)+('Indicator Data'!P6&lt;=Indicators!$H6)+('Indicator Data'!P6&lt;=Indicators!$I6)+('Indicator Data'!P6&lt;=Indicators!$J6)))</f>
        <v>2</v>
      </c>
      <c r="Q6" s="27" t="n">
        <f aca="false">IF('Indicator Data'!Q6="",IF(Config!$C$15="Score as High (5)",5,0),IF(Indicators!$F6="Higher = riskier",1+('Indicator Data'!Q6&gt;=Indicators!$G6)+('Indicator Data'!Q6&gt;=Indicators!$H6)+('Indicator Data'!Q6&gt;=Indicators!$I6)+('Indicator Data'!Q6&gt;=Indicators!$J6),1+('Indicator Data'!Q6&lt;=Indicators!$G6)+('Indicator Data'!Q6&lt;=Indicators!$H6)+('Indicator Data'!Q6&lt;=Indicators!$I6)+('Indicator Data'!Q6&lt;=Indicators!$J6)))</f>
        <v>3</v>
      </c>
      <c r="R6" s="27" t="n">
        <f aca="false">IF('Indicator Data'!R6="",IF(Config!$C$15="Score as High (5)",5,0),IF(Indicators!$F6="Higher = riskier",1+('Indicator Data'!R6&gt;=Indicators!$G6)+('Indicator Data'!R6&gt;=Indicators!$H6)+('Indicator Data'!R6&gt;=Indicators!$I6)+('Indicator Data'!R6&gt;=Indicators!$J6),1+('Indicator Data'!R6&lt;=Indicators!$G6)+('Indicator Data'!R6&lt;=Indicators!$H6)+('Indicator Data'!R6&lt;=Indicators!$I6)+('Indicator Data'!R6&lt;=Indicators!$J6)))</f>
        <v>4</v>
      </c>
      <c r="S6" s="27" t="n">
        <f aca="false">IF('Indicator Data'!S6="",IF(Config!$C$15="Score as High (5)",5,0),IF(Indicators!$F6="Higher = riskier",1+('Indicator Data'!S6&gt;=Indicators!$G6)+('Indicator Data'!S6&gt;=Indicators!$H6)+('Indicator Data'!S6&gt;=Indicators!$I6)+('Indicator Data'!S6&gt;=Indicators!$J6),1+('Indicator Data'!S6&lt;=Indicators!$G6)+('Indicator Data'!S6&lt;=Indicators!$H6)+('Indicator Data'!S6&lt;=Indicators!$I6)+('Indicator Data'!S6&lt;=Indicators!$J6)))</f>
        <v>5</v>
      </c>
      <c r="T6" s="27" t="n">
        <f aca="false">IF('Indicator Data'!T6="",IF(Config!$C$15="Score as High (5)",5,0),IF(Indicators!$F6="Higher = riskier",1+('Indicator Data'!T6&gt;=Indicators!$G6)+('Indicator Data'!T6&gt;=Indicators!$H6)+('Indicator Data'!T6&gt;=Indicators!$I6)+('Indicator Data'!T6&gt;=Indicators!$J6),1+('Indicator Data'!T6&lt;=Indicators!$G6)+('Indicator Data'!T6&lt;=Indicators!$H6)+('Indicator Data'!T6&lt;=Indicators!$I6)+('Indicator Data'!T6&lt;=Indicators!$J6)))</f>
        <v>1</v>
      </c>
      <c r="U6" s="27" t="n">
        <f aca="false">IF('Indicator Data'!U6="",IF(Config!$C$15="Score as High (5)",5,0),IF(Indicators!$F6="Higher = riskier",1+('Indicator Data'!U6&gt;=Indicators!$G6)+('Indicator Data'!U6&gt;=Indicators!$H6)+('Indicator Data'!U6&gt;=Indicators!$I6)+('Indicator Data'!U6&gt;=Indicators!$J6),1+('Indicator Data'!U6&lt;=Indicators!$G6)+('Indicator Data'!U6&lt;=Indicators!$H6)+('Indicator Data'!U6&lt;=Indicators!$I6)+('Indicator Data'!U6&lt;=Indicators!$J6)))</f>
        <v>3</v>
      </c>
      <c r="V6" s="27" t="n">
        <f aca="false">IF('Indicator Data'!V6="",IF(Config!$C$15="Score as High (5)",5,0),IF(Indicators!$F6="Higher = riskier",1+('Indicator Data'!V6&gt;=Indicators!$G6)+('Indicator Data'!V6&gt;=Indicators!$H6)+('Indicator Data'!V6&gt;=Indicators!$I6)+('Indicator Data'!V6&gt;=Indicators!$J6),1+('Indicator Data'!V6&lt;=Indicators!$G6)+('Indicator Data'!V6&lt;=Indicators!$H6)+('Indicator Data'!V6&lt;=Indicators!$I6)+('Indicator Data'!V6&lt;=Indicators!$J6)))</f>
        <v>3</v>
      </c>
      <c r="W6" s="27" t="n">
        <f aca="false">IF('Indicator Data'!W6="",IF(Config!$C$15="Score as High (5)",5,0),IF(Indicators!$F6="Higher = riskier",1+('Indicator Data'!W6&gt;=Indicators!$G6)+('Indicator Data'!W6&gt;=Indicators!$H6)+('Indicator Data'!W6&gt;=Indicators!$I6)+('Indicator Data'!W6&gt;=Indicators!$J6),1+('Indicator Data'!W6&lt;=Indicators!$G6)+('Indicator Data'!W6&lt;=Indicators!$H6)+('Indicator Data'!W6&lt;=Indicators!$I6)+('Indicator Data'!W6&lt;=Indicators!$J6)))</f>
        <v>3</v>
      </c>
      <c r="X6" s="27" t="n">
        <f aca="false">IF('Indicator Data'!X6="",IF(Config!$C$15="Score as High (5)",5,0),IF(Indicators!$F6="Higher = riskier",1+('Indicator Data'!X6&gt;=Indicators!$G6)+('Indicator Data'!X6&gt;=Indicators!$H6)+('Indicator Data'!X6&gt;=Indicators!$I6)+('Indicator Data'!X6&gt;=Indicators!$J6),1+('Indicator Data'!X6&lt;=Indicators!$G6)+('Indicator Data'!X6&lt;=Indicators!$H6)+('Indicator Data'!X6&lt;=Indicators!$I6)+('Indicator Data'!X6&lt;=Indicators!$J6)))</f>
        <v>3</v>
      </c>
      <c r="Y6" s="27" t="n">
        <f aca="false">IF('Indicator Data'!Y6="",IF(Config!$C$15="Score as High (5)",5,0),IF(Indicators!$F6="Higher = riskier",1+('Indicator Data'!Y6&gt;=Indicators!$G6)+('Indicator Data'!Y6&gt;=Indicators!$H6)+('Indicator Data'!Y6&gt;=Indicators!$I6)+('Indicator Data'!Y6&gt;=Indicators!$J6),1+('Indicator Data'!Y6&lt;=Indicators!$G6)+('Indicator Data'!Y6&lt;=Indicators!$H6)+('Indicator Data'!Y6&lt;=Indicators!$I6)+('Indicator Data'!Y6&lt;=Indicators!$J6)))</f>
        <v>1</v>
      </c>
      <c r="Z6" s="27" t="n">
        <f aca="false">IF('Indicator Data'!Z6="",IF(Config!$C$15="Score as High (5)",5,0),IF(Indicators!$F6="Higher = riskier",1+('Indicator Data'!Z6&gt;=Indicators!$G6)+('Indicator Data'!Z6&gt;=Indicators!$H6)+('Indicator Data'!Z6&gt;=Indicators!$I6)+('Indicator Data'!Z6&gt;=Indicators!$J6),1+('Indicator Data'!Z6&lt;=Indicators!$G6)+('Indicator Data'!Z6&lt;=Indicators!$H6)+('Indicator Data'!Z6&lt;=Indicators!$I6)+('Indicator Data'!Z6&lt;=Indicators!$J6)))</f>
        <v>1</v>
      </c>
      <c r="AA6" s="27" t="n">
        <f aca="false">IF('Indicator Data'!AA6="",IF(Config!$C$15="Score as High (5)",5,0),IF(Indicators!$F6="Higher = riskier",1+('Indicator Data'!AA6&gt;=Indicators!$G6)+('Indicator Data'!AA6&gt;=Indicators!$H6)+('Indicator Data'!AA6&gt;=Indicators!$I6)+('Indicator Data'!AA6&gt;=Indicators!$J6),1+('Indicator Data'!AA6&lt;=Indicators!$G6)+('Indicator Data'!AA6&lt;=Indicators!$H6)+('Indicator Data'!AA6&lt;=Indicators!$I6)+('Indicator Data'!AA6&lt;=Indicators!$J6)))</f>
        <v>2</v>
      </c>
      <c r="AB6" s="27" t="n">
        <f aca="false">IF('Indicator Data'!AB6="",IF(Config!$C$15="Score as High (5)",5,0),IF(Indicators!$F6="Higher = riskier",1+('Indicator Data'!AB6&gt;=Indicators!$G6)+('Indicator Data'!AB6&gt;=Indicators!$H6)+('Indicator Data'!AB6&gt;=Indicators!$I6)+('Indicator Data'!AB6&gt;=Indicators!$J6),1+('Indicator Data'!AB6&lt;=Indicators!$G6)+('Indicator Data'!AB6&lt;=Indicators!$H6)+('Indicator Data'!AB6&lt;=Indicators!$I6)+('Indicator Data'!AB6&lt;=Indicators!$J6)))</f>
        <v>2</v>
      </c>
      <c r="AC6" s="27" t="n">
        <f aca="false">IF('Indicator Data'!AC6="",IF(Config!$C$15="Score as High (5)",5,0),IF(Indicators!$F6="Higher = riskier",1+('Indicator Data'!AC6&gt;=Indicators!$G6)+('Indicator Data'!AC6&gt;=Indicators!$H6)+('Indicator Data'!AC6&gt;=Indicators!$I6)+('Indicator Data'!AC6&gt;=Indicators!$J6),1+('Indicator Data'!AC6&lt;=Indicators!$G6)+('Indicator Data'!AC6&lt;=Indicators!$H6)+('Indicator Data'!AC6&lt;=Indicators!$I6)+('Indicator Data'!AC6&lt;=Indicators!$J6)))</f>
        <v>2</v>
      </c>
      <c r="AD6" s="27" t="n">
        <f aca="false">IF('Indicator Data'!AD6="",IF(Config!$C$15="Score as High (5)",5,0),IF(Indicators!$F6="Higher = riskier",1+('Indicator Data'!AD6&gt;=Indicators!$G6)+('Indicator Data'!AD6&gt;=Indicators!$H6)+('Indicator Data'!AD6&gt;=Indicators!$I6)+('Indicator Data'!AD6&gt;=Indicators!$J6),1+('Indicator Data'!AD6&lt;=Indicators!$G6)+('Indicator Data'!AD6&lt;=Indicators!$H6)+('Indicator Data'!AD6&lt;=Indicators!$I6)+('Indicator Data'!AD6&lt;=Indicators!$J6)))</f>
        <v>1</v>
      </c>
      <c r="AE6" s="27" t="n">
        <f aca="false">IF('Indicator Data'!AE6="",IF(Config!$C$15="Score as High (5)",5,0),IF(Indicators!$F6="Higher = riskier",1+('Indicator Data'!AE6&gt;=Indicators!$G6)+('Indicator Data'!AE6&gt;=Indicators!$H6)+('Indicator Data'!AE6&gt;=Indicators!$I6)+('Indicator Data'!AE6&gt;=Indicators!$J6),1+('Indicator Data'!AE6&lt;=Indicators!$G6)+('Indicator Data'!AE6&lt;=Indicators!$H6)+('Indicator Data'!AE6&lt;=Indicators!$I6)+('Indicator Data'!AE6&lt;=Indicators!$J6)))</f>
        <v>1</v>
      </c>
      <c r="AF6" s="27" t="n">
        <f aca="false">IF('Indicator Data'!AF6="",IF(Config!$C$15="Score as High (5)",5,0),IF(Indicators!$F6="Higher = riskier",1+('Indicator Data'!AF6&gt;=Indicators!$G6)+('Indicator Data'!AF6&gt;=Indicators!$H6)+('Indicator Data'!AF6&gt;=Indicators!$I6)+('Indicator Data'!AF6&gt;=Indicators!$J6),1+('Indicator Data'!AF6&lt;=Indicators!$G6)+('Indicator Data'!AF6&lt;=Indicators!$H6)+('Indicator Data'!AF6&lt;=Indicators!$I6)+('Indicator Data'!AF6&lt;=Indicators!$J6)))</f>
        <v>1</v>
      </c>
      <c r="AG6" s="27" t="n">
        <f aca="false">IF('Indicator Data'!AG6="",IF(Config!$C$15="Score as High (5)",5,0),IF(Indicators!$F6="Higher = riskier",1+('Indicator Data'!AG6&gt;=Indicators!$G6)+('Indicator Data'!AG6&gt;=Indicators!$H6)+('Indicator Data'!AG6&gt;=Indicators!$I6)+('Indicator Data'!AG6&gt;=Indicators!$J6),1+('Indicator Data'!AG6&lt;=Indicators!$G6)+('Indicator Data'!AG6&lt;=Indicators!$H6)+('Indicator Data'!AG6&lt;=Indicators!$I6)+('Indicator Data'!AG6&lt;=Indicators!$J6)))</f>
        <v>1</v>
      </c>
    </row>
    <row r="7" customFormat="false" ht="15" hidden="false" customHeight="false" outlineLevel="0" collapsed="false">
      <c r="A7" s="26" t="str">
        <f aca="false">Indicators!A7</f>
        <v>C03</v>
      </c>
      <c r="B7" s="26" t="str">
        <f aca="false">Indicators!C7</f>
        <v>% of customers that are NPOs / charities</v>
      </c>
      <c r="C7" s="26" t="str">
        <f aca="false">Indicators!D7</f>
        <v>%</v>
      </c>
      <c r="D7" s="27" t="n">
        <f aca="false">IF('Indicator Data'!D7="",IF(Config!$C$15="Score as High (5)",5,0),IF(Indicators!$F7="Higher = riskier",1+('Indicator Data'!D7&gt;=Indicators!$G7)+('Indicator Data'!D7&gt;=Indicators!$H7)+('Indicator Data'!D7&gt;=Indicators!$I7)+('Indicator Data'!D7&gt;=Indicators!$J7),1+('Indicator Data'!D7&lt;=Indicators!$G7)+('Indicator Data'!D7&lt;=Indicators!$H7)+('Indicator Data'!D7&lt;=Indicators!$I7)+('Indicator Data'!D7&lt;=Indicators!$J7)))</f>
        <v>3</v>
      </c>
      <c r="E7" s="27" t="n">
        <f aca="false">IF('Indicator Data'!E7="",IF(Config!$C$15="Score as High (5)",5,0),IF(Indicators!$F7="Higher = riskier",1+('Indicator Data'!E7&gt;=Indicators!$G7)+('Indicator Data'!E7&gt;=Indicators!$H7)+('Indicator Data'!E7&gt;=Indicators!$I7)+('Indicator Data'!E7&gt;=Indicators!$J7),1+('Indicator Data'!E7&lt;=Indicators!$G7)+('Indicator Data'!E7&lt;=Indicators!$H7)+('Indicator Data'!E7&lt;=Indicators!$I7)+('Indicator Data'!E7&lt;=Indicators!$J7)))</f>
        <v>4</v>
      </c>
      <c r="F7" s="27" t="n">
        <f aca="false">IF('Indicator Data'!F7="",IF(Config!$C$15="Score as High (5)",5,0),IF(Indicators!$F7="Higher = riskier",1+('Indicator Data'!F7&gt;=Indicators!$G7)+('Indicator Data'!F7&gt;=Indicators!$H7)+('Indicator Data'!F7&gt;=Indicators!$I7)+('Indicator Data'!F7&gt;=Indicators!$J7),1+('Indicator Data'!F7&lt;=Indicators!$G7)+('Indicator Data'!F7&lt;=Indicators!$H7)+('Indicator Data'!F7&lt;=Indicators!$I7)+('Indicator Data'!F7&lt;=Indicators!$J7)))</f>
        <v>1</v>
      </c>
      <c r="G7" s="27" t="n">
        <f aca="false">IF('Indicator Data'!G7="",IF(Config!$C$15="Score as High (5)",5,0),IF(Indicators!$F7="Higher = riskier",1+('Indicator Data'!G7&gt;=Indicators!$G7)+('Indicator Data'!G7&gt;=Indicators!$H7)+('Indicator Data'!G7&gt;=Indicators!$I7)+('Indicator Data'!G7&gt;=Indicators!$J7),1+('Indicator Data'!G7&lt;=Indicators!$G7)+('Indicator Data'!G7&lt;=Indicators!$H7)+('Indicator Data'!G7&lt;=Indicators!$I7)+('Indicator Data'!G7&lt;=Indicators!$J7)))</f>
        <v>1</v>
      </c>
      <c r="H7" s="27" t="n">
        <f aca="false">IF('Indicator Data'!H7="",IF(Config!$C$15="Score as High (5)",5,0),IF(Indicators!$F7="Higher = riskier",1+('Indicator Data'!H7&gt;=Indicators!$G7)+('Indicator Data'!H7&gt;=Indicators!$H7)+('Indicator Data'!H7&gt;=Indicators!$I7)+('Indicator Data'!H7&gt;=Indicators!$J7),1+('Indicator Data'!H7&lt;=Indicators!$G7)+('Indicator Data'!H7&lt;=Indicators!$H7)+('Indicator Data'!H7&lt;=Indicators!$I7)+('Indicator Data'!H7&lt;=Indicators!$J7)))</f>
        <v>1</v>
      </c>
      <c r="I7" s="27" t="n">
        <f aca="false">IF('Indicator Data'!I7="",IF(Config!$C$15="Score as High (5)",5,0),IF(Indicators!$F7="Higher = riskier",1+('Indicator Data'!I7&gt;=Indicators!$G7)+('Indicator Data'!I7&gt;=Indicators!$H7)+('Indicator Data'!I7&gt;=Indicators!$I7)+('Indicator Data'!I7&gt;=Indicators!$J7),1+('Indicator Data'!I7&lt;=Indicators!$G7)+('Indicator Data'!I7&lt;=Indicators!$H7)+('Indicator Data'!I7&lt;=Indicators!$I7)+('Indicator Data'!I7&lt;=Indicators!$J7)))</f>
        <v>2</v>
      </c>
      <c r="J7" s="27" t="n">
        <f aca="false">IF('Indicator Data'!J7="",IF(Config!$C$15="Score as High (5)",5,0),IF(Indicators!$F7="Higher = riskier",1+('Indicator Data'!J7&gt;=Indicators!$G7)+('Indicator Data'!J7&gt;=Indicators!$H7)+('Indicator Data'!J7&gt;=Indicators!$I7)+('Indicator Data'!J7&gt;=Indicators!$J7),1+('Indicator Data'!J7&lt;=Indicators!$G7)+('Indicator Data'!J7&lt;=Indicators!$H7)+('Indicator Data'!J7&lt;=Indicators!$I7)+('Indicator Data'!J7&lt;=Indicators!$J7)))</f>
        <v>1</v>
      </c>
      <c r="K7" s="27" t="n">
        <f aca="false">IF('Indicator Data'!K7="",IF(Config!$C$15="Score as High (5)",5,0),IF(Indicators!$F7="Higher = riskier",1+('Indicator Data'!K7&gt;=Indicators!$G7)+('Indicator Data'!K7&gt;=Indicators!$H7)+('Indicator Data'!K7&gt;=Indicators!$I7)+('Indicator Data'!K7&gt;=Indicators!$J7),1+('Indicator Data'!K7&lt;=Indicators!$G7)+('Indicator Data'!K7&lt;=Indicators!$H7)+('Indicator Data'!K7&lt;=Indicators!$I7)+('Indicator Data'!K7&lt;=Indicators!$J7)))</f>
        <v>3</v>
      </c>
      <c r="L7" s="27" t="n">
        <f aca="false">IF('Indicator Data'!L7="",IF(Config!$C$15="Score as High (5)",5,0),IF(Indicators!$F7="Higher = riskier",1+('Indicator Data'!L7&gt;=Indicators!$G7)+('Indicator Data'!L7&gt;=Indicators!$H7)+('Indicator Data'!L7&gt;=Indicators!$I7)+('Indicator Data'!L7&gt;=Indicators!$J7),1+('Indicator Data'!L7&lt;=Indicators!$G7)+('Indicator Data'!L7&lt;=Indicators!$H7)+('Indicator Data'!L7&lt;=Indicators!$I7)+('Indicator Data'!L7&lt;=Indicators!$J7)))</f>
        <v>5</v>
      </c>
      <c r="M7" s="27" t="n">
        <f aca="false">IF('Indicator Data'!M7="",IF(Config!$C$15="Score as High (5)",5,0),IF(Indicators!$F7="Higher = riskier",1+('Indicator Data'!M7&gt;=Indicators!$G7)+('Indicator Data'!M7&gt;=Indicators!$H7)+('Indicator Data'!M7&gt;=Indicators!$I7)+('Indicator Data'!M7&gt;=Indicators!$J7),1+('Indicator Data'!M7&lt;=Indicators!$G7)+('Indicator Data'!M7&lt;=Indicators!$H7)+('Indicator Data'!M7&lt;=Indicators!$I7)+('Indicator Data'!M7&lt;=Indicators!$J7)))</f>
        <v>4</v>
      </c>
      <c r="N7" s="27" t="n">
        <f aca="false">IF('Indicator Data'!N7="",IF(Config!$C$15="Score as High (5)",5,0),IF(Indicators!$F7="Higher = riskier",1+('Indicator Data'!N7&gt;=Indicators!$G7)+('Indicator Data'!N7&gt;=Indicators!$H7)+('Indicator Data'!N7&gt;=Indicators!$I7)+('Indicator Data'!N7&gt;=Indicators!$J7),1+('Indicator Data'!N7&lt;=Indicators!$G7)+('Indicator Data'!N7&lt;=Indicators!$H7)+('Indicator Data'!N7&lt;=Indicators!$I7)+('Indicator Data'!N7&lt;=Indicators!$J7)))</f>
        <v>4</v>
      </c>
      <c r="O7" s="27" t="n">
        <f aca="false">IF('Indicator Data'!O7="",IF(Config!$C$15="Score as High (5)",5,0),IF(Indicators!$F7="Higher = riskier",1+('Indicator Data'!O7&gt;=Indicators!$G7)+('Indicator Data'!O7&gt;=Indicators!$H7)+('Indicator Data'!O7&gt;=Indicators!$I7)+('Indicator Data'!O7&gt;=Indicators!$J7),1+('Indicator Data'!O7&lt;=Indicators!$G7)+('Indicator Data'!O7&lt;=Indicators!$H7)+('Indicator Data'!O7&lt;=Indicators!$I7)+('Indicator Data'!O7&lt;=Indicators!$J7)))</f>
        <v>2</v>
      </c>
      <c r="P7" s="27" t="n">
        <f aca="false">IF('Indicator Data'!P7="",IF(Config!$C$15="Score as High (5)",5,0),IF(Indicators!$F7="Higher = riskier",1+('Indicator Data'!P7&gt;=Indicators!$G7)+('Indicator Data'!P7&gt;=Indicators!$H7)+('Indicator Data'!P7&gt;=Indicators!$I7)+('Indicator Data'!P7&gt;=Indicators!$J7),1+('Indicator Data'!P7&lt;=Indicators!$G7)+('Indicator Data'!P7&lt;=Indicators!$H7)+('Indicator Data'!P7&lt;=Indicators!$I7)+('Indicator Data'!P7&lt;=Indicators!$J7)))</f>
        <v>4</v>
      </c>
      <c r="Q7" s="27" t="n">
        <f aca="false">IF('Indicator Data'!Q7="",IF(Config!$C$15="Score as High (5)",5,0),IF(Indicators!$F7="Higher = riskier",1+('Indicator Data'!Q7&gt;=Indicators!$G7)+('Indicator Data'!Q7&gt;=Indicators!$H7)+('Indicator Data'!Q7&gt;=Indicators!$I7)+('Indicator Data'!Q7&gt;=Indicators!$J7),1+('Indicator Data'!Q7&lt;=Indicators!$G7)+('Indicator Data'!Q7&lt;=Indicators!$H7)+('Indicator Data'!Q7&lt;=Indicators!$I7)+('Indicator Data'!Q7&lt;=Indicators!$J7)))</f>
        <v>3</v>
      </c>
      <c r="R7" s="27" t="n">
        <f aca="false">IF('Indicator Data'!R7="",IF(Config!$C$15="Score as High (5)",5,0),IF(Indicators!$F7="Higher = riskier",1+('Indicator Data'!R7&gt;=Indicators!$G7)+('Indicator Data'!R7&gt;=Indicators!$H7)+('Indicator Data'!R7&gt;=Indicators!$I7)+('Indicator Data'!R7&gt;=Indicators!$J7),1+('Indicator Data'!R7&lt;=Indicators!$G7)+('Indicator Data'!R7&lt;=Indicators!$H7)+('Indicator Data'!R7&lt;=Indicators!$I7)+('Indicator Data'!R7&lt;=Indicators!$J7)))</f>
        <v>5</v>
      </c>
      <c r="S7" s="27" t="n">
        <f aca="false">IF('Indicator Data'!S7="",IF(Config!$C$15="Score as High (5)",5,0),IF(Indicators!$F7="Higher = riskier",1+('Indicator Data'!S7&gt;=Indicators!$G7)+('Indicator Data'!S7&gt;=Indicators!$H7)+('Indicator Data'!S7&gt;=Indicators!$I7)+('Indicator Data'!S7&gt;=Indicators!$J7),1+('Indicator Data'!S7&lt;=Indicators!$G7)+('Indicator Data'!S7&lt;=Indicators!$H7)+('Indicator Data'!S7&lt;=Indicators!$I7)+('Indicator Data'!S7&lt;=Indicators!$J7)))</f>
        <v>3</v>
      </c>
      <c r="T7" s="27" t="n">
        <f aca="false">IF('Indicator Data'!T7="",IF(Config!$C$15="Score as High (5)",5,0),IF(Indicators!$F7="Higher = riskier",1+('Indicator Data'!T7&gt;=Indicators!$G7)+('Indicator Data'!T7&gt;=Indicators!$H7)+('Indicator Data'!T7&gt;=Indicators!$I7)+('Indicator Data'!T7&gt;=Indicators!$J7),1+('Indicator Data'!T7&lt;=Indicators!$G7)+('Indicator Data'!T7&lt;=Indicators!$H7)+('Indicator Data'!T7&lt;=Indicators!$I7)+('Indicator Data'!T7&lt;=Indicators!$J7)))</f>
        <v>3</v>
      </c>
      <c r="U7" s="27" t="n">
        <f aca="false">IF('Indicator Data'!U7="",IF(Config!$C$15="Score as High (5)",5,0),IF(Indicators!$F7="Higher = riskier",1+('Indicator Data'!U7&gt;=Indicators!$G7)+('Indicator Data'!U7&gt;=Indicators!$H7)+('Indicator Data'!U7&gt;=Indicators!$I7)+('Indicator Data'!U7&gt;=Indicators!$J7),1+('Indicator Data'!U7&lt;=Indicators!$G7)+('Indicator Data'!U7&lt;=Indicators!$H7)+('Indicator Data'!U7&lt;=Indicators!$I7)+('Indicator Data'!U7&lt;=Indicators!$J7)))</f>
        <v>4</v>
      </c>
      <c r="V7" s="27" t="n">
        <f aca="false">IF('Indicator Data'!V7="",IF(Config!$C$15="Score as High (5)",5,0),IF(Indicators!$F7="Higher = riskier",1+('Indicator Data'!V7&gt;=Indicators!$G7)+('Indicator Data'!V7&gt;=Indicators!$H7)+('Indicator Data'!V7&gt;=Indicators!$I7)+('Indicator Data'!V7&gt;=Indicators!$J7),1+('Indicator Data'!V7&lt;=Indicators!$G7)+('Indicator Data'!V7&lt;=Indicators!$H7)+('Indicator Data'!V7&lt;=Indicators!$I7)+('Indicator Data'!V7&lt;=Indicators!$J7)))</f>
        <v>4</v>
      </c>
      <c r="W7" s="27" t="n">
        <f aca="false">IF('Indicator Data'!W7="",IF(Config!$C$15="Score as High (5)",5,0),IF(Indicators!$F7="Higher = riskier",1+('Indicator Data'!W7&gt;=Indicators!$G7)+('Indicator Data'!W7&gt;=Indicators!$H7)+('Indicator Data'!W7&gt;=Indicators!$I7)+('Indicator Data'!W7&gt;=Indicators!$J7),1+('Indicator Data'!W7&lt;=Indicators!$G7)+('Indicator Data'!W7&lt;=Indicators!$H7)+('Indicator Data'!W7&lt;=Indicators!$I7)+('Indicator Data'!W7&lt;=Indicators!$J7)))</f>
        <v>3</v>
      </c>
      <c r="X7" s="27" t="n">
        <f aca="false">IF('Indicator Data'!X7="",IF(Config!$C$15="Score as High (5)",5,0),IF(Indicators!$F7="Higher = riskier",1+('Indicator Data'!X7&gt;=Indicators!$G7)+('Indicator Data'!X7&gt;=Indicators!$H7)+('Indicator Data'!X7&gt;=Indicators!$I7)+('Indicator Data'!X7&gt;=Indicators!$J7),1+('Indicator Data'!X7&lt;=Indicators!$G7)+('Indicator Data'!X7&lt;=Indicators!$H7)+('Indicator Data'!X7&lt;=Indicators!$I7)+('Indicator Data'!X7&lt;=Indicators!$J7)))</f>
        <v>5</v>
      </c>
      <c r="Y7" s="27" t="n">
        <f aca="false">IF('Indicator Data'!Y7="",IF(Config!$C$15="Score as High (5)",5,0),IF(Indicators!$F7="Higher = riskier",1+('Indicator Data'!Y7&gt;=Indicators!$G7)+('Indicator Data'!Y7&gt;=Indicators!$H7)+('Indicator Data'!Y7&gt;=Indicators!$I7)+('Indicator Data'!Y7&gt;=Indicators!$J7),1+('Indicator Data'!Y7&lt;=Indicators!$G7)+('Indicator Data'!Y7&lt;=Indicators!$H7)+('Indicator Data'!Y7&lt;=Indicators!$I7)+('Indicator Data'!Y7&lt;=Indicators!$J7)))</f>
        <v>4</v>
      </c>
      <c r="Z7" s="27" t="n">
        <f aca="false">IF('Indicator Data'!Z7="",IF(Config!$C$15="Score as High (5)",5,0),IF(Indicators!$F7="Higher = riskier",1+('Indicator Data'!Z7&gt;=Indicators!$G7)+('Indicator Data'!Z7&gt;=Indicators!$H7)+('Indicator Data'!Z7&gt;=Indicators!$I7)+('Indicator Data'!Z7&gt;=Indicators!$J7),1+('Indicator Data'!Z7&lt;=Indicators!$G7)+('Indicator Data'!Z7&lt;=Indicators!$H7)+('Indicator Data'!Z7&lt;=Indicators!$I7)+('Indicator Data'!Z7&lt;=Indicators!$J7)))</f>
        <v>1</v>
      </c>
      <c r="AA7" s="27" t="n">
        <f aca="false">IF('Indicator Data'!AA7="",IF(Config!$C$15="Score as High (5)",5,0),IF(Indicators!$F7="Higher = riskier",1+('Indicator Data'!AA7&gt;=Indicators!$G7)+('Indicator Data'!AA7&gt;=Indicators!$H7)+('Indicator Data'!AA7&gt;=Indicators!$I7)+('Indicator Data'!AA7&gt;=Indicators!$J7),1+('Indicator Data'!AA7&lt;=Indicators!$G7)+('Indicator Data'!AA7&lt;=Indicators!$H7)+('Indicator Data'!AA7&lt;=Indicators!$I7)+('Indicator Data'!AA7&lt;=Indicators!$J7)))</f>
        <v>1</v>
      </c>
      <c r="AB7" s="27" t="n">
        <f aca="false">IF('Indicator Data'!AB7="",IF(Config!$C$15="Score as High (5)",5,0),IF(Indicators!$F7="Higher = riskier",1+('Indicator Data'!AB7&gt;=Indicators!$G7)+('Indicator Data'!AB7&gt;=Indicators!$H7)+('Indicator Data'!AB7&gt;=Indicators!$I7)+('Indicator Data'!AB7&gt;=Indicators!$J7),1+('Indicator Data'!AB7&lt;=Indicators!$G7)+('Indicator Data'!AB7&lt;=Indicators!$H7)+('Indicator Data'!AB7&lt;=Indicators!$I7)+('Indicator Data'!AB7&lt;=Indicators!$J7)))</f>
        <v>2</v>
      </c>
      <c r="AC7" s="27" t="n">
        <f aca="false">IF('Indicator Data'!AC7="",IF(Config!$C$15="Score as High (5)",5,0),IF(Indicators!$F7="Higher = riskier",1+('Indicator Data'!AC7&gt;=Indicators!$G7)+('Indicator Data'!AC7&gt;=Indicators!$H7)+('Indicator Data'!AC7&gt;=Indicators!$I7)+('Indicator Data'!AC7&gt;=Indicators!$J7),1+('Indicator Data'!AC7&lt;=Indicators!$G7)+('Indicator Data'!AC7&lt;=Indicators!$H7)+('Indicator Data'!AC7&lt;=Indicators!$I7)+('Indicator Data'!AC7&lt;=Indicators!$J7)))</f>
        <v>1</v>
      </c>
      <c r="AD7" s="27" t="n">
        <f aca="false">IF('Indicator Data'!AD7="",IF(Config!$C$15="Score as High (5)",5,0),IF(Indicators!$F7="Higher = riskier",1+('Indicator Data'!AD7&gt;=Indicators!$G7)+('Indicator Data'!AD7&gt;=Indicators!$H7)+('Indicator Data'!AD7&gt;=Indicators!$I7)+('Indicator Data'!AD7&gt;=Indicators!$J7),1+('Indicator Data'!AD7&lt;=Indicators!$G7)+('Indicator Data'!AD7&lt;=Indicators!$H7)+('Indicator Data'!AD7&lt;=Indicators!$I7)+('Indicator Data'!AD7&lt;=Indicators!$J7)))</f>
        <v>2</v>
      </c>
      <c r="AE7" s="27" t="n">
        <f aca="false">IF('Indicator Data'!AE7="",IF(Config!$C$15="Score as High (5)",5,0),IF(Indicators!$F7="Higher = riskier",1+('Indicator Data'!AE7&gt;=Indicators!$G7)+('Indicator Data'!AE7&gt;=Indicators!$H7)+('Indicator Data'!AE7&gt;=Indicators!$I7)+('Indicator Data'!AE7&gt;=Indicators!$J7),1+('Indicator Data'!AE7&lt;=Indicators!$G7)+('Indicator Data'!AE7&lt;=Indicators!$H7)+('Indicator Data'!AE7&lt;=Indicators!$I7)+('Indicator Data'!AE7&lt;=Indicators!$J7)))</f>
        <v>2</v>
      </c>
      <c r="AF7" s="27" t="n">
        <f aca="false">IF('Indicator Data'!AF7="",IF(Config!$C$15="Score as High (5)",5,0),IF(Indicators!$F7="Higher = riskier",1+('Indicator Data'!AF7&gt;=Indicators!$G7)+('Indicator Data'!AF7&gt;=Indicators!$H7)+('Indicator Data'!AF7&gt;=Indicators!$I7)+('Indicator Data'!AF7&gt;=Indicators!$J7),1+('Indicator Data'!AF7&lt;=Indicators!$G7)+('Indicator Data'!AF7&lt;=Indicators!$H7)+('Indicator Data'!AF7&lt;=Indicators!$I7)+('Indicator Data'!AF7&lt;=Indicators!$J7)))</f>
        <v>1</v>
      </c>
      <c r="AG7" s="27" t="n">
        <f aca="false">IF('Indicator Data'!AG7="",IF(Config!$C$15="Score as High (5)",5,0),IF(Indicators!$F7="Higher = riskier",1+('Indicator Data'!AG7&gt;=Indicators!$G7)+('Indicator Data'!AG7&gt;=Indicators!$H7)+('Indicator Data'!AG7&gt;=Indicators!$I7)+('Indicator Data'!AG7&gt;=Indicators!$J7),1+('Indicator Data'!AG7&lt;=Indicators!$G7)+('Indicator Data'!AG7&lt;=Indicators!$H7)+('Indicator Data'!AG7&lt;=Indicators!$I7)+('Indicator Data'!AG7&lt;=Indicators!$J7)))</f>
        <v>1</v>
      </c>
    </row>
    <row r="8" customFormat="false" ht="15" hidden="false" customHeight="false" outlineLevel="0" collapsed="false">
      <c r="A8" s="26" t="str">
        <f aca="false">Indicators!A8</f>
        <v>C04</v>
      </c>
      <c r="B8" s="26" t="str">
        <f aca="false">Indicators!C8</f>
        <v>% non-resident customers</v>
      </c>
      <c r="C8" s="26" t="str">
        <f aca="false">Indicators!D8</f>
        <v>%</v>
      </c>
      <c r="D8" s="27" t="n">
        <f aca="false">IF('Indicator Data'!D8="",IF(Config!$C$15="Score as High (5)",5,0),IF(Indicators!$F8="Higher = riskier",1+('Indicator Data'!D8&gt;=Indicators!$G8)+('Indicator Data'!D8&gt;=Indicators!$H8)+('Indicator Data'!D8&gt;=Indicators!$I8)+('Indicator Data'!D8&gt;=Indicators!$J8),1+('Indicator Data'!D8&lt;=Indicators!$G8)+('Indicator Data'!D8&lt;=Indicators!$H8)+('Indicator Data'!D8&lt;=Indicators!$I8)+('Indicator Data'!D8&lt;=Indicators!$J8)))</f>
        <v>3</v>
      </c>
      <c r="E8" s="27" t="n">
        <f aca="false">IF('Indicator Data'!E8="",IF(Config!$C$15="Score as High (5)",5,0),IF(Indicators!$F8="Higher = riskier",1+('Indicator Data'!E8&gt;=Indicators!$G8)+('Indicator Data'!E8&gt;=Indicators!$H8)+('Indicator Data'!E8&gt;=Indicators!$I8)+('Indicator Data'!E8&gt;=Indicators!$J8),1+('Indicator Data'!E8&lt;=Indicators!$G8)+('Indicator Data'!E8&lt;=Indicators!$H8)+('Indicator Data'!E8&lt;=Indicators!$I8)+('Indicator Data'!E8&lt;=Indicators!$J8)))</f>
        <v>3</v>
      </c>
      <c r="F8" s="27" t="n">
        <f aca="false">IF('Indicator Data'!F8="",IF(Config!$C$15="Score as High (5)",5,0),IF(Indicators!$F8="Higher = riskier",1+('Indicator Data'!F8&gt;=Indicators!$G8)+('Indicator Data'!F8&gt;=Indicators!$H8)+('Indicator Data'!F8&gt;=Indicators!$I8)+('Indicator Data'!F8&gt;=Indicators!$J8),1+('Indicator Data'!F8&lt;=Indicators!$G8)+('Indicator Data'!F8&lt;=Indicators!$H8)+('Indicator Data'!F8&lt;=Indicators!$I8)+('Indicator Data'!F8&lt;=Indicators!$J8)))</f>
        <v>3</v>
      </c>
      <c r="G8" s="27" t="n">
        <f aca="false">IF('Indicator Data'!G8="",IF(Config!$C$15="Score as High (5)",5,0),IF(Indicators!$F8="Higher = riskier",1+('Indicator Data'!G8&gt;=Indicators!$G8)+('Indicator Data'!G8&gt;=Indicators!$H8)+('Indicator Data'!G8&gt;=Indicators!$I8)+('Indicator Data'!G8&gt;=Indicators!$J8),1+('Indicator Data'!G8&lt;=Indicators!$G8)+('Indicator Data'!G8&lt;=Indicators!$H8)+('Indicator Data'!G8&lt;=Indicators!$I8)+('Indicator Data'!G8&lt;=Indicators!$J8)))</f>
        <v>3</v>
      </c>
      <c r="H8" s="27" t="n">
        <f aca="false">IF('Indicator Data'!H8="",IF(Config!$C$15="Score as High (5)",5,0),IF(Indicators!$F8="Higher = riskier",1+('Indicator Data'!H8&gt;=Indicators!$G8)+('Indicator Data'!H8&gt;=Indicators!$H8)+('Indicator Data'!H8&gt;=Indicators!$I8)+('Indicator Data'!H8&gt;=Indicators!$J8),1+('Indicator Data'!H8&lt;=Indicators!$G8)+('Indicator Data'!H8&lt;=Indicators!$H8)+('Indicator Data'!H8&lt;=Indicators!$I8)+('Indicator Data'!H8&lt;=Indicators!$J8)))</f>
        <v>4</v>
      </c>
      <c r="I8" s="27" t="n">
        <f aca="false">IF('Indicator Data'!I8="",IF(Config!$C$15="Score as High (5)",5,0),IF(Indicators!$F8="Higher = riskier",1+('Indicator Data'!I8&gt;=Indicators!$G8)+('Indicator Data'!I8&gt;=Indicators!$H8)+('Indicator Data'!I8&gt;=Indicators!$I8)+('Indicator Data'!I8&gt;=Indicators!$J8),1+('Indicator Data'!I8&lt;=Indicators!$G8)+('Indicator Data'!I8&lt;=Indicators!$H8)+('Indicator Data'!I8&lt;=Indicators!$I8)+('Indicator Data'!I8&lt;=Indicators!$J8)))</f>
        <v>3</v>
      </c>
      <c r="J8" s="27" t="n">
        <f aca="false">IF('Indicator Data'!J8="",IF(Config!$C$15="Score as High (5)",5,0),IF(Indicators!$F8="Higher = riskier",1+('Indicator Data'!J8&gt;=Indicators!$G8)+('Indicator Data'!J8&gt;=Indicators!$H8)+('Indicator Data'!J8&gt;=Indicators!$I8)+('Indicator Data'!J8&gt;=Indicators!$J8),1+('Indicator Data'!J8&lt;=Indicators!$G8)+('Indicator Data'!J8&lt;=Indicators!$H8)+('Indicator Data'!J8&lt;=Indicators!$I8)+('Indicator Data'!J8&lt;=Indicators!$J8)))</f>
        <v>4</v>
      </c>
      <c r="K8" s="27" t="n">
        <f aca="false">IF('Indicator Data'!K8="",IF(Config!$C$15="Score as High (5)",5,0),IF(Indicators!$F8="Higher = riskier",1+('Indicator Data'!K8&gt;=Indicators!$G8)+('Indicator Data'!K8&gt;=Indicators!$H8)+('Indicator Data'!K8&gt;=Indicators!$I8)+('Indicator Data'!K8&gt;=Indicators!$J8),1+('Indicator Data'!K8&lt;=Indicators!$G8)+('Indicator Data'!K8&lt;=Indicators!$H8)+('Indicator Data'!K8&lt;=Indicators!$I8)+('Indicator Data'!K8&lt;=Indicators!$J8)))</f>
        <v>3</v>
      </c>
      <c r="L8" s="27" t="n">
        <f aca="false">IF('Indicator Data'!L8="",IF(Config!$C$15="Score as High (5)",5,0),IF(Indicators!$F8="Higher = riskier",1+('Indicator Data'!L8&gt;=Indicators!$G8)+('Indicator Data'!L8&gt;=Indicators!$H8)+('Indicator Data'!L8&gt;=Indicators!$I8)+('Indicator Data'!L8&gt;=Indicators!$J8),1+('Indicator Data'!L8&lt;=Indicators!$G8)+('Indicator Data'!L8&lt;=Indicators!$H8)+('Indicator Data'!L8&lt;=Indicators!$I8)+('Indicator Data'!L8&lt;=Indicators!$J8)))</f>
        <v>3</v>
      </c>
      <c r="M8" s="27" t="n">
        <f aca="false">IF('Indicator Data'!M8="",IF(Config!$C$15="Score as High (5)",5,0),IF(Indicators!$F8="Higher = riskier",1+('Indicator Data'!M8&gt;=Indicators!$G8)+('Indicator Data'!M8&gt;=Indicators!$H8)+('Indicator Data'!M8&gt;=Indicators!$I8)+('Indicator Data'!M8&gt;=Indicators!$J8),1+('Indicator Data'!M8&lt;=Indicators!$G8)+('Indicator Data'!M8&lt;=Indicators!$H8)+('Indicator Data'!M8&lt;=Indicators!$I8)+('Indicator Data'!M8&lt;=Indicators!$J8)))</f>
        <v>4</v>
      </c>
      <c r="N8" s="27" t="n">
        <f aca="false">IF('Indicator Data'!N8="",IF(Config!$C$15="Score as High (5)",5,0),IF(Indicators!$F8="Higher = riskier",1+('Indicator Data'!N8&gt;=Indicators!$G8)+('Indicator Data'!N8&gt;=Indicators!$H8)+('Indicator Data'!N8&gt;=Indicators!$I8)+('Indicator Data'!N8&gt;=Indicators!$J8),1+('Indicator Data'!N8&lt;=Indicators!$G8)+('Indicator Data'!N8&lt;=Indicators!$H8)+('Indicator Data'!N8&lt;=Indicators!$I8)+('Indicator Data'!N8&lt;=Indicators!$J8)))</f>
        <v>2</v>
      </c>
      <c r="O8" s="27" t="n">
        <f aca="false">IF('Indicator Data'!O8="",IF(Config!$C$15="Score as High (5)",5,0),IF(Indicators!$F8="Higher = riskier",1+('Indicator Data'!O8&gt;=Indicators!$G8)+('Indicator Data'!O8&gt;=Indicators!$H8)+('Indicator Data'!O8&gt;=Indicators!$I8)+('Indicator Data'!O8&gt;=Indicators!$J8),1+('Indicator Data'!O8&lt;=Indicators!$G8)+('Indicator Data'!O8&lt;=Indicators!$H8)+('Indicator Data'!O8&lt;=Indicators!$I8)+('Indicator Data'!O8&lt;=Indicators!$J8)))</f>
        <v>3</v>
      </c>
      <c r="P8" s="27" t="n">
        <f aca="false">IF('Indicator Data'!P8="",IF(Config!$C$15="Score as High (5)",5,0),IF(Indicators!$F8="Higher = riskier",1+('Indicator Data'!P8&gt;=Indicators!$G8)+('Indicator Data'!P8&gt;=Indicators!$H8)+('Indicator Data'!P8&gt;=Indicators!$I8)+('Indicator Data'!P8&gt;=Indicators!$J8),1+('Indicator Data'!P8&lt;=Indicators!$G8)+('Indicator Data'!P8&lt;=Indicators!$H8)+('Indicator Data'!P8&lt;=Indicators!$I8)+('Indicator Data'!P8&lt;=Indicators!$J8)))</f>
        <v>4</v>
      </c>
      <c r="Q8" s="27" t="n">
        <f aca="false">IF('Indicator Data'!Q8="",IF(Config!$C$15="Score as High (5)",5,0),IF(Indicators!$F8="Higher = riskier",1+('Indicator Data'!Q8&gt;=Indicators!$G8)+('Indicator Data'!Q8&gt;=Indicators!$H8)+('Indicator Data'!Q8&gt;=Indicators!$I8)+('Indicator Data'!Q8&gt;=Indicators!$J8),1+('Indicator Data'!Q8&lt;=Indicators!$G8)+('Indicator Data'!Q8&lt;=Indicators!$H8)+('Indicator Data'!Q8&lt;=Indicators!$I8)+('Indicator Data'!Q8&lt;=Indicators!$J8)))</f>
        <v>4</v>
      </c>
      <c r="R8" s="27" t="n">
        <f aca="false">IF('Indicator Data'!R8="",IF(Config!$C$15="Score as High (5)",5,0),IF(Indicators!$F8="Higher = riskier",1+('Indicator Data'!R8&gt;=Indicators!$G8)+('Indicator Data'!R8&gt;=Indicators!$H8)+('Indicator Data'!R8&gt;=Indicators!$I8)+('Indicator Data'!R8&gt;=Indicators!$J8),1+('Indicator Data'!R8&lt;=Indicators!$G8)+('Indicator Data'!R8&lt;=Indicators!$H8)+('Indicator Data'!R8&lt;=Indicators!$I8)+('Indicator Data'!R8&lt;=Indicators!$J8)))</f>
        <v>4</v>
      </c>
      <c r="S8" s="27" t="n">
        <f aca="false">IF('Indicator Data'!S8="",IF(Config!$C$15="Score as High (5)",5,0),IF(Indicators!$F8="Higher = riskier",1+('Indicator Data'!S8&gt;=Indicators!$G8)+('Indicator Data'!S8&gt;=Indicators!$H8)+('Indicator Data'!S8&gt;=Indicators!$I8)+('Indicator Data'!S8&gt;=Indicators!$J8),1+('Indicator Data'!S8&lt;=Indicators!$G8)+('Indicator Data'!S8&lt;=Indicators!$H8)+('Indicator Data'!S8&lt;=Indicators!$I8)+('Indicator Data'!S8&lt;=Indicators!$J8)))</f>
        <v>4</v>
      </c>
      <c r="T8" s="27" t="n">
        <f aca="false">IF('Indicator Data'!T8="",IF(Config!$C$15="Score as High (5)",5,0),IF(Indicators!$F8="Higher = riskier",1+('Indicator Data'!T8&gt;=Indicators!$G8)+('Indicator Data'!T8&gt;=Indicators!$H8)+('Indicator Data'!T8&gt;=Indicators!$I8)+('Indicator Data'!T8&gt;=Indicators!$J8),1+('Indicator Data'!T8&lt;=Indicators!$G8)+('Indicator Data'!T8&lt;=Indicators!$H8)+('Indicator Data'!T8&lt;=Indicators!$I8)+('Indicator Data'!T8&lt;=Indicators!$J8)))</f>
        <v>2</v>
      </c>
      <c r="U8" s="27" t="n">
        <f aca="false">IF('Indicator Data'!U8="",IF(Config!$C$15="Score as High (5)",5,0),IF(Indicators!$F8="Higher = riskier",1+('Indicator Data'!U8&gt;=Indicators!$G8)+('Indicator Data'!U8&gt;=Indicators!$H8)+('Indicator Data'!U8&gt;=Indicators!$I8)+('Indicator Data'!U8&gt;=Indicators!$J8),1+('Indicator Data'!U8&lt;=Indicators!$G8)+('Indicator Data'!U8&lt;=Indicators!$H8)+('Indicator Data'!U8&lt;=Indicators!$I8)+('Indicator Data'!U8&lt;=Indicators!$J8)))</f>
        <v>4</v>
      </c>
      <c r="V8" s="27" t="n">
        <f aca="false">IF('Indicator Data'!V8="",IF(Config!$C$15="Score as High (5)",5,0),IF(Indicators!$F8="Higher = riskier",1+('Indicator Data'!V8&gt;=Indicators!$G8)+('Indicator Data'!V8&gt;=Indicators!$H8)+('Indicator Data'!V8&gt;=Indicators!$I8)+('Indicator Data'!V8&gt;=Indicators!$J8),1+('Indicator Data'!V8&lt;=Indicators!$G8)+('Indicator Data'!V8&lt;=Indicators!$H8)+('Indicator Data'!V8&lt;=Indicators!$I8)+('Indicator Data'!V8&lt;=Indicators!$J8)))</f>
        <v>3</v>
      </c>
      <c r="W8" s="27" t="n">
        <f aca="false">IF('Indicator Data'!W8="",IF(Config!$C$15="Score as High (5)",5,0),IF(Indicators!$F8="Higher = riskier",1+('Indicator Data'!W8&gt;=Indicators!$G8)+('Indicator Data'!W8&gt;=Indicators!$H8)+('Indicator Data'!W8&gt;=Indicators!$I8)+('Indicator Data'!W8&gt;=Indicators!$J8),1+('Indicator Data'!W8&lt;=Indicators!$G8)+('Indicator Data'!W8&lt;=Indicators!$H8)+('Indicator Data'!W8&lt;=Indicators!$I8)+('Indicator Data'!W8&lt;=Indicators!$J8)))</f>
        <v>2</v>
      </c>
      <c r="X8" s="27" t="n">
        <f aca="false">IF('Indicator Data'!X8="",IF(Config!$C$15="Score as High (5)",5,0),IF(Indicators!$F8="Higher = riskier",1+('Indicator Data'!X8&gt;=Indicators!$G8)+('Indicator Data'!X8&gt;=Indicators!$H8)+('Indicator Data'!X8&gt;=Indicators!$I8)+('Indicator Data'!X8&gt;=Indicators!$J8),1+('Indicator Data'!X8&lt;=Indicators!$G8)+('Indicator Data'!X8&lt;=Indicators!$H8)+('Indicator Data'!X8&lt;=Indicators!$I8)+('Indicator Data'!X8&lt;=Indicators!$J8)))</f>
        <v>5</v>
      </c>
      <c r="Y8" s="27" t="n">
        <f aca="false">IF('Indicator Data'!Y8="",IF(Config!$C$15="Score as High (5)",5,0),IF(Indicators!$F8="Higher = riskier",1+('Indicator Data'!Y8&gt;=Indicators!$G8)+('Indicator Data'!Y8&gt;=Indicators!$H8)+('Indicator Data'!Y8&gt;=Indicators!$I8)+('Indicator Data'!Y8&gt;=Indicators!$J8),1+('Indicator Data'!Y8&lt;=Indicators!$G8)+('Indicator Data'!Y8&lt;=Indicators!$H8)+('Indicator Data'!Y8&lt;=Indicators!$I8)+('Indicator Data'!Y8&lt;=Indicators!$J8)))</f>
        <v>1</v>
      </c>
      <c r="Z8" s="27" t="n">
        <f aca="false">IF('Indicator Data'!Z8="",IF(Config!$C$15="Score as High (5)",5,0),IF(Indicators!$F8="Higher = riskier",1+('Indicator Data'!Z8&gt;=Indicators!$G8)+('Indicator Data'!Z8&gt;=Indicators!$H8)+('Indicator Data'!Z8&gt;=Indicators!$I8)+('Indicator Data'!Z8&gt;=Indicators!$J8),1+('Indicator Data'!Z8&lt;=Indicators!$G8)+('Indicator Data'!Z8&lt;=Indicators!$H8)+('Indicator Data'!Z8&lt;=Indicators!$I8)+('Indicator Data'!Z8&lt;=Indicators!$J8)))</f>
        <v>2</v>
      </c>
      <c r="AA8" s="27" t="n">
        <f aca="false">IF('Indicator Data'!AA8="",IF(Config!$C$15="Score as High (5)",5,0),IF(Indicators!$F8="Higher = riskier",1+('Indicator Data'!AA8&gt;=Indicators!$G8)+('Indicator Data'!AA8&gt;=Indicators!$H8)+('Indicator Data'!AA8&gt;=Indicators!$I8)+('Indicator Data'!AA8&gt;=Indicators!$J8),1+('Indicator Data'!AA8&lt;=Indicators!$G8)+('Indicator Data'!AA8&lt;=Indicators!$H8)+('Indicator Data'!AA8&lt;=Indicators!$I8)+('Indicator Data'!AA8&lt;=Indicators!$J8)))</f>
        <v>2</v>
      </c>
      <c r="AB8" s="27" t="n">
        <f aca="false">IF('Indicator Data'!AB8="",IF(Config!$C$15="Score as High (5)",5,0),IF(Indicators!$F8="Higher = riskier",1+('Indicator Data'!AB8&gt;=Indicators!$G8)+('Indicator Data'!AB8&gt;=Indicators!$H8)+('Indicator Data'!AB8&gt;=Indicators!$I8)+('Indicator Data'!AB8&gt;=Indicators!$J8),1+('Indicator Data'!AB8&lt;=Indicators!$G8)+('Indicator Data'!AB8&lt;=Indicators!$H8)+('Indicator Data'!AB8&lt;=Indicators!$I8)+('Indicator Data'!AB8&lt;=Indicators!$J8)))</f>
        <v>1</v>
      </c>
      <c r="AC8" s="27" t="n">
        <f aca="false">IF('Indicator Data'!AC8="",IF(Config!$C$15="Score as High (5)",5,0),IF(Indicators!$F8="Higher = riskier",1+('Indicator Data'!AC8&gt;=Indicators!$G8)+('Indicator Data'!AC8&gt;=Indicators!$H8)+('Indicator Data'!AC8&gt;=Indicators!$I8)+('Indicator Data'!AC8&gt;=Indicators!$J8),1+('Indicator Data'!AC8&lt;=Indicators!$G8)+('Indicator Data'!AC8&lt;=Indicators!$H8)+('Indicator Data'!AC8&lt;=Indicators!$I8)+('Indicator Data'!AC8&lt;=Indicators!$J8)))</f>
        <v>3</v>
      </c>
      <c r="AD8" s="27" t="n">
        <f aca="false">IF('Indicator Data'!AD8="",IF(Config!$C$15="Score as High (5)",5,0),IF(Indicators!$F8="Higher = riskier",1+('Indicator Data'!AD8&gt;=Indicators!$G8)+('Indicator Data'!AD8&gt;=Indicators!$H8)+('Indicator Data'!AD8&gt;=Indicators!$I8)+('Indicator Data'!AD8&gt;=Indicators!$J8),1+('Indicator Data'!AD8&lt;=Indicators!$G8)+('Indicator Data'!AD8&lt;=Indicators!$H8)+('Indicator Data'!AD8&lt;=Indicators!$I8)+('Indicator Data'!AD8&lt;=Indicators!$J8)))</f>
        <v>2</v>
      </c>
      <c r="AE8" s="27" t="n">
        <f aca="false">IF('Indicator Data'!AE8="",IF(Config!$C$15="Score as High (5)",5,0),IF(Indicators!$F8="Higher = riskier",1+('Indicator Data'!AE8&gt;=Indicators!$G8)+('Indicator Data'!AE8&gt;=Indicators!$H8)+('Indicator Data'!AE8&gt;=Indicators!$I8)+('Indicator Data'!AE8&gt;=Indicators!$J8),1+('Indicator Data'!AE8&lt;=Indicators!$G8)+('Indicator Data'!AE8&lt;=Indicators!$H8)+('Indicator Data'!AE8&lt;=Indicators!$I8)+('Indicator Data'!AE8&lt;=Indicators!$J8)))</f>
        <v>3</v>
      </c>
      <c r="AF8" s="27" t="n">
        <f aca="false">IF('Indicator Data'!AF8="",IF(Config!$C$15="Score as High (5)",5,0),IF(Indicators!$F8="Higher = riskier",1+('Indicator Data'!AF8&gt;=Indicators!$G8)+('Indicator Data'!AF8&gt;=Indicators!$H8)+('Indicator Data'!AF8&gt;=Indicators!$I8)+('Indicator Data'!AF8&gt;=Indicators!$J8),1+('Indicator Data'!AF8&lt;=Indicators!$G8)+('Indicator Data'!AF8&lt;=Indicators!$H8)+('Indicator Data'!AF8&lt;=Indicators!$I8)+('Indicator Data'!AF8&lt;=Indicators!$J8)))</f>
        <v>1</v>
      </c>
      <c r="AG8" s="27" t="n">
        <f aca="false">IF('Indicator Data'!AG8="",IF(Config!$C$15="Score as High (5)",5,0),IF(Indicators!$F8="Higher = riskier",1+('Indicator Data'!AG8&gt;=Indicators!$G8)+('Indicator Data'!AG8&gt;=Indicators!$H8)+('Indicator Data'!AG8&gt;=Indicators!$I8)+('Indicator Data'!AG8&gt;=Indicators!$J8),1+('Indicator Data'!AG8&lt;=Indicators!$G8)+('Indicator Data'!AG8&lt;=Indicators!$H8)+('Indicator Data'!AG8&lt;=Indicators!$I8)+('Indicator Data'!AG8&lt;=Indicators!$J8)))</f>
        <v>2</v>
      </c>
    </row>
    <row r="9" customFormat="false" ht="15" hidden="false" customHeight="false" outlineLevel="0" collapsed="false">
      <c r="A9" s="26" t="str">
        <f aca="false">Indicators!A9</f>
        <v>C05</v>
      </c>
      <c r="B9" s="26" t="str">
        <f aca="false">Indicators!C9</f>
        <v>% corporate customers with complex or opaque ownership</v>
      </c>
      <c r="C9" s="26" t="str">
        <f aca="false">Indicators!D9</f>
        <v>%</v>
      </c>
      <c r="D9" s="27" t="n">
        <f aca="false">IF('Indicator Data'!D9="",IF(Config!$C$15="Score as High (5)",5,0),IF(Indicators!$F9="Higher = riskier",1+('Indicator Data'!D9&gt;=Indicators!$G9)+('Indicator Data'!D9&gt;=Indicators!$H9)+('Indicator Data'!D9&gt;=Indicators!$I9)+('Indicator Data'!D9&gt;=Indicators!$J9),1+('Indicator Data'!D9&lt;=Indicators!$G9)+('Indicator Data'!D9&lt;=Indicators!$H9)+('Indicator Data'!D9&lt;=Indicators!$I9)+('Indicator Data'!D9&lt;=Indicators!$J9)))</f>
        <v>3</v>
      </c>
      <c r="E9" s="27" t="n">
        <f aca="false">IF('Indicator Data'!E9="",IF(Config!$C$15="Score as High (5)",5,0),IF(Indicators!$F9="Higher = riskier",1+('Indicator Data'!E9&gt;=Indicators!$G9)+('Indicator Data'!E9&gt;=Indicators!$H9)+('Indicator Data'!E9&gt;=Indicators!$I9)+('Indicator Data'!E9&gt;=Indicators!$J9),1+('Indicator Data'!E9&lt;=Indicators!$G9)+('Indicator Data'!E9&lt;=Indicators!$H9)+('Indicator Data'!E9&lt;=Indicators!$I9)+('Indicator Data'!E9&lt;=Indicators!$J9)))</f>
        <v>5</v>
      </c>
      <c r="F9" s="27" t="n">
        <f aca="false">IF('Indicator Data'!F9="",IF(Config!$C$15="Score as High (5)",5,0),IF(Indicators!$F9="Higher = riskier",1+('Indicator Data'!F9&gt;=Indicators!$G9)+('Indicator Data'!F9&gt;=Indicators!$H9)+('Indicator Data'!F9&gt;=Indicators!$I9)+('Indicator Data'!F9&gt;=Indicators!$J9),1+('Indicator Data'!F9&lt;=Indicators!$G9)+('Indicator Data'!F9&lt;=Indicators!$H9)+('Indicator Data'!F9&lt;=Indicators!$I9)+('Indicator Data'!F9&lt;=Indicators!$J9)))</f>
        <v>4</v>
      </c>
      <c r="G9" s="27" t="n">
        <f aca="false">IF('Indicator Data'!G9="",IF(Config!$C$15="Score as High (5)",5,0),IF(Indicators!$F9="Higher = riskier",1+('Indicator Data'!G9&gt;=Indicators!$G9)+('Indicator Data'!G9&gt;=Indicators!$H9)+('Indicator Data'!G9&gt;=Indicators!$I9)+('Indicator Data'!G9&gt;=Indicators!$J9),1+('Indicator Data'!G9&lt;=Indicators!$G9)+('Indicator Data'!G9&lt;=Indicators!$H9)+('Indicator Data'!G9&lt;=Indicators!$I9)+('Indicator Data'!G9&lt;=Indicators!$J9)))</f>
        <v>4</v>
      </c>
      <c r="H9" s="27" t="n">
        <f aca="false">IF('Indicator Data'!H9="",IF(Config!$C$15="Score as High (5)",5,0),IF(Indicators!$F9="Higher = riskier",1+('Indicator Data'!H9&gt;=Indicators!$G9)+('Indicator Data'!H9&gt;=Indicators!$H9)+('Indicator Data'!H9&gt;=Indicators!$I9)+('Indicator Data'!H9&gt;=Indicators!$J9),1+('Indicator Data'!H9&lt;=Indicators!$G9)+('Indicator Data'!H9&lt;=Indicators!$H9)+('Indicator Data'!H9&lt;=Indicators!$I9)+('Indicator Data'!H9&lt;=Indicators!$J9)))</f>
        <v>2</v>
      </c>
      <c r="I9" s="27" t="n">
        <f aca="false">IF('Indicator Data'!I9="",IF(Config!$C$15="Score as High (5)",5,0),IF(Indicators!$F9="Higher = riskier",1+('Indicator Data'!I9&gt;=Indicators!$G9)+('Indicator Data'!I9&gt;=Indicators!$H9)+('Indicator Data'!I9&gt;=Indicators!$I9)+('Indicator Data'!I9&gt;=Indicators!$J9),1+('Indicator Data'!I9&lt;=Indicators!$G9)+('Indicator Data'!I9&lt;=Indicators!$H9)+('Indicator Data'!I9&lt;=Indicators!$I9)+('Indicator Data'!I9&lt;=Indicators!$J9)))</f>
        <v>3</v>
      </c>
      <c r="J9" s="27" t="n">
        <f aca="false">IF('Indicator Data'!J9="",IF(Config!$C$15="Score as High (5)",5,0),IF(Indicators!$F9="Higher = riskier",1+('Indicator Data'!J9&gt;=Indicators!$G9)+('Indicator Data'!J9&gt;=Indicators!$H9)+('Indicator Data'!J9&gt;=Indicators!$I9)+('Indicator Data'!J9&gt;=Indicators!$J9),1+('Indicator Data'!J9&lt;=Indicators!$G9)+('Indicator Data'!J9&lt;=Indicators!$H9)+('Indicator Data'!J9&lt;=Indicators!$I9)+('Indicator Data'!J9&lt;=Indicators!$J9)))</f>
        <v>3</v>
      </c>
      <c r="K9" s="27" t="n">
        <f aca="false">IF('Indicator Data'!K9="",IF(Config!$C$15="Score as High (5)",5,0),IF(Indicators!$F9="Higher = riskier",1+('Indicator Data'!K9&gt;=Indicators!$G9)+('Indicator Data'!K9&gt;=Indicators!$H9)+('Indicator Data'!K9&gt;=Indicators!$I9)+('Indicator Data'!K9&gt;=Indicators!$J9),1+('Indicator Data'!K9&lt;=Indicators!$G9)+('Indicator Data'!K9&lt;=Indicators!$H9)+('Indicator Data'!K9&lt;=Indicators!$I9)+('Indicator Data'!K9&lt;=Indicators!$J9)))</f>
        <v>5</v>
      </c>
      <c r="L9" s="27" t="n">
        <f aca="false">IF('Indicator Data'!L9="",IF(Config!$C$15="Score as High (5)",5,0),IF(Indicators!$F9="Higher = riskier",1+('Indicator Data'!L9&gt;=Indicators!$G9)+('Indicator Data'!L9&gt;=Indicators!$H9)+('Indicator Data'!L9&gt;=Indicators!$I9)+('Indicator Data'!L9&gt;=Indicators!$J9),1+('Indicator Data'!L9&lt;=Indicators!$G9)+('Indicator Data'!L9&lt;=Indicators!$H9)+('Indicator Data'!L9&lt;=Indicators!$I9)+('Indicator Data'!L9&lt;=Indicators!$J9)))</f>
        <v>4</v>
      </c>
      <c r="M9" s="27" t="n">
        <f aca="false">IF('Indicator Data'!M9="",IF(Config!$C$15="Score as High (5)",5,0),IF(Indicators!$F9="Higher = riskier",1+('Indicator Data'!M9&gt;=Indicators!$G9)+('Indicator Data'!M9&gt;=Indicators!$H9)+('Indicator Data'!M9&gt;=Indicators!$I9)+('Indicator Data'!M9&gt;=Indicators!$J9),1+('Indicator Data'!M9&lt;=Indicators!$G9)+('Indicator Data'!M9&lt;=Indicators!$H9)+('Indicator Data'!M9&lt;=Indicators!$I9)+('Indicator Data'!M9&lt;=Indicators!$J9)))</f>
        <v>1</v>
      </c>
      <c r="N9" s="27" t="n">
        <f aca="false">IF('Indicator Data'!N9="",IF(Config!$C$15="Score as High (5)",5,0),IF(Indicators!$F9="Higher = riskier",1+('Indicator Data'!N9&gt;=Indicators!$G9)+('Indicator Data'!N9&gt;=Indicators!$H9)+('Indicator Data'!N9&gt;=Indicators!$I9)+('Indicator Data'!N9&gt;=Indicators!$J9),1+('Indicator Data'!N9&lt;=Indicators!$G9)+('Indicator Data'!N9&lt;=Indicators!$H9)+('Indicator Data'!N9&lt;=Indicators!$I9)+('Indicator Data'!N9&lt;=Indicators!$J9)))</f>
        <v>4</v>
      </c>
      <c r="O9" s="27" t="n">
        <f aca="false">IF('Indicator Data'!O9="",IF(Config!$C$15="Score as High (5)",5,0),IF(Indicators!$F9="Higher = riskier",1+('Indicator Data'!O9&gt;=Indicators!$G9)+('Indicator Data'!O9&gt;=Indicators!$H9)+('Indicator Data'!O9&gt;=Indicators!$I9)+('Indicator Data'!O9&gt;=Indicators!$J9),1+('Indicator Data'!O9&lt;=Indicators!$G9)+('Indicator Data'!O9&lt;=Indicators!$H9)+('Indicator Data'!O9&lt;=Indicators!$I9)+('Indicator Data'!O9&lt;=Indicators!$J9)))</f>
        <v>2</v>
      </c>
      <c r="P9" s="27" t="n">
        <f aca="false">IF('Indicator Data'!P9="",IF(Config!$C$15="Score as High (5)",5,0),IF(Indicators!$F9="Higher = riskier",1+('Indicator Data'!P9&gt;=Indicators!$G9)+('Indicator Data'!P9&gt;=Indicators!$H9)+('Indicator Data'!P9&gt;=Indicators!$I9)+('Indicator Data'!P9&gt;=Indicators!$J9),1+('Indicator Data'!P9&lt;=Indicators!$G9)+('Indicator Data'!P9&lt;=Indicators!$H9)+('Indicator Data'!P9&lt;=Indicators!$I9)+('Indicator Data'!P9&lt;=Indicators!$J9)))</f>
        <v>4</v>
      </c>
      <c r="Q9" s="27" t="n">
        <f aca="false">IF('Indicator Data'!Q9="",IF(Config!$C$15="Score as High (5)",5,0),IF(Indicators!$F9="Higher = riskier",1+('Indicator Data'!Q9&gt;=Indicators!$G9)+('Indicator Data'!Q9&gt;=Indicators!$H9)+('Indicator Data'!Q9&gt;=Indicators!$I9)+('Indicator Data'!Q9&gt;=Indicators!$J9),1+('Indicator Data'!Q9&lt;=Indicators!$G9)+('Indicator Data'!Q9&lt;=Indicators!$H9)+('Indicator Data'!Q9&lt;=Indicators!$I9)+('Indicator Data'!Q9&lt;=Indicators!$J9)))</f>
        <v>3</v>
      </c>
      <c r="R9" s="27" t="n">
        <f aca="false">IF('Indicator Data'!R9="",IF(Config!$C$15="Score as High (5)",5,0),IF(Indicators!$F9="Higher = riskier",1+('Indicator Data'!R9&gt;=Indicators!$G9)+('Indicator Data'!R9&gt;=Indicators!$H9)+('Indicator Data'!R9&gt;=Indicators!$I9)+('Indicator Data'!R9&gt;=Indicators!$J9),1+('Indicator Data'!R9&lt;=Indicators!$G9)+('Indicator Data'!R9&lt;=Indicators!$H9)+('Indicator Data'!R9&lt;=Indicators!$I9)+('Indicator Data'!R9&lt;=Indicators!$J9)))</f>
        <v>2</v>
      </c>
      <c r="S9" s="27" t="n">
        <f aca="false">IF('Indicator Data'!S9="",IF(Config!$C$15="Score as High (5)",5,0),IF(Indicators!$F9="Higher = riskier",1+('Indicator Data'!S9&gt;=Indicators!$G9)+('Indicator Data'!S9&gt;=Indicators!$H9)+('Indicator Data'!S9&gt;=Indicators!$I9)+('Indicator Data'!S9&gt;=Indicators!$J9),1+('Indicator Data'!S9&lt;=Indicators!$G9)+('Indicator Data'!S9&lt;=Indicators!$H9)+('Indicator Data'!S9&lt;=Indicators!$I9)+('Indicator Data'!S9&lt;=Indicators!$J9)))</f>
        <v>3</v>
      </c>
      <c r="T9" s="27" t="n">
        <f aca="false">IF('Indicator Data'!T9="",IF(Config!$C$15="Score as High (5)",5,0),IF(Indicators!$F9="Higher = riskier",1+('Indicator Data'!T9&gt;=Indicators!$G9)+('Indicator Data'!T9&gt;=Indicators!$H9)+('Indicator Data'!T9&gt;=Indicators!$I9)+('Indicator Data'!T9&gt;=Indicators!$J9),1+('Indicator Data'!T9&lt;=Indicators!$G9)+('Indicator Data'!T9&lt;=Indicators!$H9)+('Indicator Data'!T9&lt;=Indicators!$I9)+('Indicator Data'!T9&lt;=Indicators!$J9)))</f>
        <v>3</v>
      </c>
      <c r="U9" s="27" t="n">
        <f aca="false">IF('Indicator Data'!U9="",IF(Config!$C$15="Score as High (5)",5,0),IF(Indicators!$F9="Higher = riskier",1+('Indicator Data'!U9&gt;=Indicators!$G9)+('Indicator Data'!U9&gt;=Indicators!$H9)+('Indicator Data'!U9&gt;=Indicators!$I9)+('Indicator Data'!U9&gt;=Indicators!$J9),1+('Indicator Data'!U9&lt;=Indicators!$G9)+('Indicator Data'!U9&lt;=Indicators!$H9)+('Indicator Data'!U9&lt;=Indicators!$I9)+('Indicator Data'!U9&lt;=Indicators!$J9)))</f>
        <v>2</v>
      </c>
      <c r="V9" s="27" t="n">
        <f aca="false">IF('Indicator Data'!V9="",IF(Config!$C$15="Score as High (5)",5,0),IF(Indicators!$F9="Higher = riskier",1+('Indicator Data'!V9&gt;=Indicators!$G9)+('Indicator Data'!V9&gt;=Indicators!$H9)+('Indicator Data'!V9&gt;=Indicators!$I9)+('Indicator Data'!V9&gt;=Indicators!$J9),1+('Indicator Data'!V9&lt;=Indicators!$G9)+('Indicator Data'!V9&lt;=Indicators!$H9)+('Indicator Data'!V9&lt;=Indicators!$I9)+('Indicator Data'!V9&lt;=Indicators!$J9)))</f>
        <v>3</v>
      </c>
      <c r="W9" s="27" t="n">
        <f aca="false">IF('Indicator Data'!W9="",IF(Config!$C$15="Score as High (5)",5,0),IF(Indicators!$F9="Higher = riskier",1+('Indicator Data'!W9&gt;=Indicators!$G9)+('Indicator Data'!W9&gt;=Indicators!$H9)+('Indicator Data'!W9&gt;=Indicators!$I9)+('Indicator Data'!W9&gt;=Indicators!$J9),1+('Indicator Data'!W9&lt;=Indicators!$G9)+('Indicator Data'!W9&lt;=Indicators!$H9)+('Indicator Data'!W9&lt;=Indicators!$I9)+('Indicator Data'!W9&lt;=Indicators!$J9)))</f>
        <v>2</v>
      </c>
      <c r="X9" s="27" t="n">
        <f aca="false">IF('Indicator Data'!X9="",IF(Config!$C$15="Score as High (5)",5,0),IF(Indicators!$F9="Higher = riskier",1+('Indicator Data'!X9&gt;=Indicators!$G9)+('Indicator Data'!X9&gt;=Indicators!$H9)+('Indicator Data'!X9&gt;=Indicators!$I9)+('Indicator Data'!X9&gt;=Indicators!$J9),1+('Indicator Data'!X9&lt;=Indicators!$G9)+('Indicator Data'!X9&lt;=Indicators!$H9)+('Indicator Data'!X9&lt;=Indicators!$I9)+('Indicator Data'!X9&lt;=Indicators!$J9)))</f>
        <v>4</v>
      </c>
      <c r="Y9" s="27" t="n">
        <f aca="false">IF('Indicator Data'!Y9="",IF(Config!$C$15="Score as High (5)",5,0),IF(Indicators!$F9="Higher = riskier",1+('Indicator Data'!Y9&gt;=Indicators!$G9)+('Indicator Data'!Y9&gt;=Indicators!$H9)+('Indicator Data'!Y9&gt;=Indicators!$I9)+('Indicator Data'!Y9&gt;=Indicators!$J9),1+('Indicator Data'!Y9&lt;=Indicators!$G9)+('Indicator Data'!Y9&lt;=Indicators!$H9)+('Indicator Data'!Y9&lt;=Indicators!$I9)+('Indicator Data'!Y9&lt;=Indicators!$J9)))</f>
        <v>3</v>
      </c>
      <c r="Z9" s="27" t="n">
        <f aca="false">IF('Indicator Data'!Z9="",IF(Config!$C$15="Score as High (5)",5,0),IF(Indicators!$F9="Higher = riskier",1+('Indicator Data'!Z9&gt;=Indicators!$G9)+('Indicator Data'!Z9&gt;=Indicators!$H9)+('Indicator Data'!Z9&gt;=Indicators!$I9)+('Indicator Data'!Z9&gt;=Indicators!$J9),1+('Indicator Data'!Z9&lt;=Indicators!$G9)+('Indicator Data'!Z9&lt;=Indicators!$H9)+('Indicator Data'!Z9&lt;=Indicators!$I9)+('Indicator Data'!Z9&lt;=Indicators!$J9)))</f>
        <v>1</v>
      </c>
      <c r="AA9" s="27" t="n">
        <f aca="false">IF('Indicator Data'!AA9="",IF(Config!$C$15="Score as High (5)",5,0),IF(Indicators!$F9="Higher = riskier",1+('Indicator Data'!AA9&gt;=Indicators!$G9)+('Indicator Data'!AA9&gt;=Indicators!$H9)+('Indicator Data'!AA9&gt;=Indicators!$I9)+('Indicator Data'!AA9&gt;=Indicators!$J9),1+('Indicator Data'!AA9&lt;=Indicators!$G9)+('Indicator Data'!AA9&lt;=Indicators!$H9)+('Indicator Data'!AA9&lt;=Indicators!$I9)+('Indicator Data'!AA9&lt;=Indicators!$J9)))</f>
        <v>1</v>
      </c>
      <c r="AB9" s="27" t="n">
        <f aca="false">IF('Indicator Data'!AB9="",IF(Config!$C$15="Score as High (5)",5,0),IF(Indicators!$F9="Higher = riskier",1+('Indicator Data'!AB9&gt;=Indicators!$G9)+('Indicator Data'!AB9&gt;=Indicators!$H9)+('Indicator Data'!AB9&gt;=Indicators!$I9)+('Indicator Data'!AB9&gt;=Indicators!$J9),1+('Indicator Data'!AB9&lt;=Indicators!$G9)+('Indicator Data'!AB9&lt;=Indicators!$H9)+('Indicator Data'!AB9&lt;=Indicators!$I9)+('Indicator Data'!AB9&lt;=Indicators!$J9)))</f>
        <v>3</v>
      </c>
      <c r="AC9" s="27" t="n">
        <f aca="false">IF('Indicator Data'!AC9="",IF(Config!$C$15="Score as High (5)",5,0),IF(Indicators!$F9="Higher = riskier",1+('Indicator Data'!AC9&gt;=Indicators!$G9)+('Indicator Data'!AC9&gt;=Indicators!$H9)+('Indicator Data'!AC9&gt;=Indicators!$I9)+('Indicator Data'!AC9&gt;=Indicators!$J9),1+('Indicator Data'!AC9&lt;=Indicators!$G9)+('Indicator Data'!AC9&lt;=Indicators!$H9)+('Indicator Data'!AC9&lt;=Indicators!$I9)+('Indicator Data'!AC9&lt;=Indicators!$J9)))</f>
        <v>2</v>
      </c>
      <c r="AD9" s="27" t="n">
        <f aca="false">IF('Indicator Data'!AD9="",IF(Config!$C$15="Score as High (5)",5,0),IF(Indicators!$F9="Higher = riskier",1+('Indicator Data'!AD9&gt;=Indicators!$G9)+('Indicator Data'!AD9&gt;=Indicators!$H9)+('Indicator Data'!AD9&gt;=Indicators!$I9)+('Indicator Data'!AD9&gt;=Indicators!$J9),1+('Indicator Data'!AD9&lt;=Indicators!$G9)+('Indicator Data'!AD9&lt;=Indicators!$H9)+('Indicator Data'!AD9&lt;=Indicators!$I9)+('Indicator Data'!AD9&lt;=Indicators!$J9)))</f>
        <v>3</v>
      </c>
      <c r="AE9" s="27" t="n">
        <f aca="false">IF('Indicator Data'!AE9="",IF(Config!$C$15="Score as High (5)",5,0),IF(Indicators!$F9="Higher = riskier",1+('Indicator Data'!AE9&gt;=Indicators!$G9)+('Indicator Data'!AE9&gt;=Indicators!$H9)+('Indicator Data'!AE9&gt;=Indicators!$I9)+('Indicator Data'!AE9&gt;=Indicators!$J9),1+('Indicator Data'!AE9&lt;=Indicators!$G9)+('Indicator Data'!AE9&lt;=Indicators!$H9)+('Indicator Data'!AE9&lt;=Indicators!$I9)+('Indicator Data'!AE9&lt;=Indicators!$J9)))</f>
        <v>1</v>
      </c>
      <c r="AF9" s="27" t="n">
        <f aca="false">IF('Indicator Data'!AF9="",IF(Config!$C$15="Score as High (5)",5,0),IF(Indicators!$F9="Higher = riskier",1+('Indicator Data'!AF9&gt;=Indicators!$G9)+('Indicator Data'!AF9&gt;=Indicators!$H9)+('Indicator Data'!AF9&gt;=Indicators!$I9)+('Indicator Data'!AF9&gt;=Indicators!$J9),1+('Indicator Data'!AF9&lt;=Indicators!$G9)+('Indicator Data'!AF9&lt;=Indicators!$H9)+('Indicator Data'!AF9&lt;=Indicators!$I9)+('Indicator Data'!AF9&lt;=Indicators!$J9)))</f>
        <v>2</v>
      </c>
      <c r="AG9" s="27" t="n">
        <f aca="false">IF('Indicator Data'!AG9="",IF(Config!$C$15="Score as High (5)",5,0),IF(Indicators!$F9="Higher = riskier",1+('Indicator Data'!AG9&gt;=Indicators!$G9)+('Indicator Data'!AG9&gt;=Indicators!$H9)+('Indicator Data'!AG9&gt;=Indicators!$I9)+('Indicator Data'!AG9&gt;=Indicators!$J9),1+('Indicator Data'!AG9&lt;=Indicators!$G9)+('Indicator Data'!AG9&lt;=Indicators!$H9)+('Indicator Data'!AG9&lt;=Indicators!$I9)+('Indicator Data'!AG9&lt;=Indicators!$J9)))</f>
        <v>1</v>
      </c>
    </row>
    <row r="10" customFormat="false" ht="15" hidden="false" customHeight="false" outlineLevel="0" collapsed="false">
      <c r="A10" s="26" t="str">
        <f aca="false">Indicators!A10</f>
        <v>C06</v>
      </c>
      <c r="B10" s="26" t="str">
        <f aca="false">Indicators!C10</f>
        <v>% customers in cash-intensive businesses</v>
      </c>
      <c r="C10" s="26" t="str">
        <f aca="false">Indicators!D10</f>
        <v>%</v>
      </c>
      <c r="D10" s="27" t="n">
        <f aca="false">IF('Indicator Data'!D10="",IF(Config!$C$15="Score as High (5)",5,0),IF(Indicators!$F10="Higher = riskier",1+('Indicator Data'!D10&gt;=Indicators!$G10)+('Indicator Data'!D10&gt;=Indicators!$H10)+('Indicator Data'!D10&gt;=Indicators!$I10)+('Indicator Data'!D10&gt;=Indicators!$J10),1+('Indicator Data'!D10&lt;=Indicators!$G10)+('Indicator Data'!D10&lt;=Indicators!$H10)+('Indicator Data'!D10&lt;=Indicators!$I10)+('Indicator Data'!D10&lt;=Indicators!$J10)))</f>
        <v>2</v>
      </c>
      <c r="E10" s="27" t="n">
        <f aca="false">IF('Indicator Data'!E10="",IF(Config!$C$15="Score as High (5)",5,0),IF(Indicators!$F10="Higher = riskier",1+('Indicator Data'!E10&gt;=Indicators!$G10)+('Indicator Data'!E10&gt;=Indicators!$H10)+('Indicator Data'!E10&gt;=Indicators!$I10)+('Indicator Data'!E10&gt;=Indicators!$J10),1+('Indicator Data'!E10&lt;=Indicators!$G10)+('Indicator Data'!E10&lt;=Indicators!$H10)+('Indicator Data'!E10&lt;=Indicators!$I10)+('Indicator Data'!E10&lt;=Indicators!$J10)))</f>
        <v>1</v>
      </c>
      <c r="F10" s="27" t="n">
        <f aca="false">IF('Indicator Data'!F10="",IF(Config!$C$15="Score as High (5)",5,0),IF(Indicators!$F10="Higher = riskier",1+('Indicator Data'!F10&gt;=Indicators!$G10)+('Indicator Data'!F10&gt;=Indicators!$H10)+('Indicator Data'!F10&gt;=Indicators!$I10)+('Indicator Data'!F10&gt;=Indicators!$J10),1+('Indicator Data'!F10&lt;=Indicators!$G10)+('Indicator Data'!F10&lt;=Indicators!$H10)+('Indicator Data'!F10&lt;=Indicators!$I10)+('Indicator Data'!F10&lt;=Indicators!$J10)))</f>
        <v>2</v>
      </c>
      <c r="G10" s="27" t="n">
        <f aca="false">IF('Indicator Data'!G10="",IF(Config!$C$15="Score as High (5)",5,0),IF(Indicators!$F10="Higher = riskier",1+('Indicator Data'!G10&gt;=Indicators!$G10)+('Indicator Data'!G10&gt;=Indicators!$H10)+('Indicator Data'!G10&gt;=Indicators!$I10)+('Indicator Data'!G10&gt;=Indicators!$J10),1+('Indicator Data'!G10&lt;=Indicators!$G10)+('Indicator Data'!G10&lt;=Indicators!$H10)+('Indicator Data'!G10&lt;=Indicators!$I10)+('Indicator Data'!G10&lt;=Indicators!$J10)))</f>
        <v>2</v>
      </c>
      <c r="H10" s="27" t="n">
        <f aca="false">IF('Indicator Data'!H10="",IF(Config!$C$15="Score as High (5)",5,0),IF(Indicators!$F10="Higher = riskier",1+('Indicator Data'!H10&gt;=Indicators!$G10)+('Indicator Data'!H10&gt;=Indicators!$H10)+('Indicator Data'!H10&gt;=Indicators!$I10)+('Indicator Data'!H10&gt;=Indicators!$J10),1+('Indicator Data'!H10&lt;=Indicators!$G10)+('Indicator Data'!H10&lt;=Indicators!$H10)+('Indicator Data'!H10&lt;=Indicators!$I10)+('Indicator Data'!H10&lt;=Indicators!$J10)))</f>
        <v>4</v>
      </c>
      <c r="I10" s="27" t="n">
        <f aca="false">IF('Indicator Data'!I10="",IF(Config!$C$15="Score as High (5)",5,0),IF(Indicators!$F10="Higher = riskier",1+('Indicator Data'!I10&gt;=Indicators!$G10)+('Indicator Data'!I10&gt;=Indicators!$H10)+('Indicator Data'!I10&gt;=Indicators!$I10)+('Indicator Data'!I10&gt;=Indicators!$J10),1+('Indicator Data'!I10&lt;=Indicators!$G10)+('Indicator Data'!I10&lt;=Indicators!$H10)+('Indicator Data'!I10&lt;=Indicators!$I10)+('Indicator Data'!I10&lt;=Indicators!$J10)))</f>
        <v>3</v>
      </c>
      <c r="J10" s="27" t="n">
        <f aca="false">IF('Indicator Data'!J10="",IF(Config!$C$15="Score as High (5)",5,0),IF(Indicators!$F10="Higher = riskier",1+('Indicator Data'!J10&gt;=Indicators!$G10)+('Indicator Data'!J10&gt;=Indicators!$H10)+('Indicator Data'!J10&gt;=Indicators!$I10)+('Indicator Data'!J10&gt;=Indicators!$J10),1+('Indicator Data'!J10&lt;=Indicators!$G10)+('Indicator Data'!J10&lt;=Indicators!$H10)+('Indicator Data'!J10&lt;=Indicators!$I10)+('Indicator Data'!J10&lt;=Indicators!$J10)))</f>
        <v>5</v>
      </c>
      <c r="K10" s="27" t="n">
        <f aca="false">IF('Indicator Data'!K10="",IF(Config!$C$15="Score as High (5)",5,0),IF(Indicators!$F10="Higher = riskier",1+('Indicator Data'!K10&gt;=Indicators!$G10)+('Indicator Data'!K10&gt;=Indicators!$H10)+('Indicator Data'!K10&gt;=Indicators!$I10)+('Indicator Data'!K10&gt;=Indicators!$J10),1+('Indicator Data'!K10&lt;=Indicators!$G10)+('Indicator Data'!K10&lt;=Indicators!$H10)+('Indicator Data'!K10&lt;=Indicators!$I10)+('Indicator Data'!K10&lt;=Indicators!$J10)))</f>
        <v>4</v>
      </c>
      <c r="L10" s="27" t="n">
        <f aca="false">IF('Indicator Data'!L10="",IF(Config!$C$15="Score as High (5)",5,0),IF(Indicators!$F10="Higher = riskier",1+('Indicator Data'!L10&gt;=Indicators!$G10)+('Indicator Data'!L10&gt;=Indicators!$H10)+('Indicator Data'!L10&gt;=Indicators!$I10)+('Indicator Data'!L10&gt;=Indicators!$J10),1+('Indicator Data'!L10&lt;=Indicators!$G10)+('Indicator Data'!L10&lt;=Indicators!$H10)+('Indicator Data'!L10&lt;=Indicators!$I10)+('Indicator Data'!L10&lt;=Indicators!$J10)))</f>
        <v>4</v>
      </c>
      <c r="M10" s="27" t="n">
        <f aca="false">IF('Indicator Data'!M10="",IF(Config!$C$15="Score as High (5)",5,0),IF(Indicators!$F10="Higher = riskier",1+('Indicator Data'!M10&gt;=Indicators!$G10)+('Indicator Data'!M10&gt;=Indicators!$H10)+('Indicator Data'!M10&gt;=Indicators!$I10)+('Indicator Data'!M10&gt;=Indicators!$J10),1+('Indicator Data'!M10&lt;=Indicators!$G10)+('Indicator Data'!M10&lt;=Indicators!$H10)+('Indicator Data'!M10&lt;=Indicators!$I10)+('Indicator Data'!M10&lt;=Indicators!$J10)))</f>
        <v>3</v>
      </c>
      <c r="N10" s="27" t="n">
        <f aca="false">IF('Indicator Data'!N10="",IF(Config!$C$15="Score as High (5)",5,0),IF(Indicators!$F10="Higher = riskier",1+('Indicator Data'!N10&gt;=Indicators!$G10)+('Indicator Data'!N10&gt;=Indicators!$H10)+('Indicator Data'!N10&gt;=Indicators!$I10)+('Indicator Data'!N10&gt;=Indicators!$J10),1+('Indicator Data'!N10&lt;=Indicators!$G10)+('Indicator Data'!N10&lt;=Indicators!$H10)+('Indicator Data'!N10&lt;=Indicators!$I10)+('Indicator Data'!N10&lt;=Indicators!$J10)))</f>
        <v>3</v>
      </c>
      <c r="O10" s="27" t="n">
        <f aca="false">IF('Indicator Data'!O10="",IF(Config!$C$15="Score as High (5)",5,0),IF(Indicators!$F10="Higher = riskier",1+('Indicator Data'!O10&gt;=Indicators!$G10)+('Indicator Data'!O10&gt;=Indicators!$H10)+('Indicator Data'!O10&gt;=Indicators!$I10)+('Indicator Data'!O10&gt;=Indicators!$J10),1+('Indicator Data'!O10&lt;=Indicators!$G10)+('Indicator Data'!O10&lt;=Indicators!$H10)+('Indicator Data'!O10&lt;=Indicators!$I10)+('Indicator Data'!O10&lt;=Indicators!$J10)))</f>
        <v>4</v>
      </c>
      <c r="P10" s="27" t="n">
        <f aca="false">IF('Indicator Data'!P10="",IF(Config!$C$15="Score as High (5)",5,0),IF(Indicators!$F10="Higher = riskier",1+('Indicator Data'!P10&gt;=Indicators!$G10)+('Indicator Data'!P10&gt;=Indicators!$H10)+('Indicator Data'!P10&gt;=Indicators!$I10)+('Indicator Data'!P10&gt;=Indicators!$J10),1+('Indicator Data'!P10&lt;=Indicators!$G10)+('Indicator Data'!P10&lt;=Indicators!$H10)+('Indicator Data'!P10&lt;=Indicators!$I10)+('Indicator Data'!P10&lt;=Indicators!$J10)))</f>
        <v>3</v>
      </c>
      <c r="Q10" s="27" t="n">
        <f aca="false">IF('Indicator Data'!Q10="",IF(Config!$C$15="Score as High (5)",5,0),IF(Indicators!$F10="Higher = riskier",1+('Indicator Data'!Q10&gt;=Indicators!$G10)+('Indicator Data'!Q10&gt;=Indicators!$H10)+('Indicator Data'!Q10&gt;=Indicators!$I10)+('Indicator Data'!Q10&gt;=Indicators!$J10),1+('Indicator Data'!Q10&lt;=Indicators!$G10)+('Indicator Data'!Q10&lt;=Indicators!$H10)+('Indicator Data'!Q10&lt;=Indicators!$I10)+('Indicator Data'!Q10&lt;=Indicators!$J10)))</f>
        <v>4</v>
      </c>
      <c r="R10" s="27" t="n">
        <f aca="false">IF('Indicator Data'!R10="",IF(Config!$C$15="Score as High (5)",5,0),IF(Indicators!$F10="Higher = riskier",1+('Indicator Data'!R10&gt;=Indicators!$G10)+('Indicator Data'!R10&gt;=Indicators!$H10)+('Indicator Data'!R10&gt;=Indicators!$I10)+('Indicator Data'!R10&gt;=Indicators!$J10),1+('Indicator Data'!R10&lt;=Indicators!$G10)+('Indicator Data'!R10&lt;=Indicators!$H10)+('Indicator Data'!R10&lt;=Indicators!$I10)+('Indicator Data'!R10&lt;=Indicators!$J10)))</f>
        <v>3</v>
      </c>
      <c r="S10" s="27" t="n">
        <f aca="false">IF('Indicator Data'!S10="",IF(Config!$C$15="Score as High (5)",5,0),IF(Indicators!$F10="Higher = riskier",1+('Indicator Data'!S10&gt;=Indicators!$G10)+('Indicator Data'!S10&gt;=Indicators!$H10)+('Indicator Data'!S10&gt;=Indicators!$I10)+('Indicator Data'!S10&gt;=Indicators!$J10),1+('Indicator Data'!S10&lt;=Indicators!$G10)+('Indicator Data'!S10&lt;=Indicators!$H10)+('Indicator Data'!S10&lt;=Indicators!$I10)+('Indicator Data'!S10&lt;=Indicators!$J10)))</f>
        <v>5</v>
      </c>
      <c r="T10" s="27" t="n">
        <f aca="false">IF('Indicator Data'!T10="",IF(Config!$C$15="Score as High (5)",5,0),IF(Indicators!$F10="Higher = riskier",1+('Indicator Data'!T10&gt;=Indicators!$G10)+('Indicator Data'!T10&gt;=Indicators!$H10)+('Indicator Data'!T10&gt;=Indicators!$I10)+('Indicator Data'!T10&gt;=Indicators!$J10),1+('Indicator Data'!T10&lt;=Indicators!$G10)+('Indicator Data'!T10&lt;=Indicators!$H10)+('Indicator Data'!T10&lt;=Indicators!$I10)+('Indicator Data'!T10&lt;=Indicators!$J10)))</f>
        <v>4</v>
      </c>
      <c r="U10" s="27" t="n">
        <f aca="false">IF('Indicator Data'!U10="",IF(Config!$C$15="Score as High (5)",5,0),IF(Indicators!$F10="Higher = riskier",1+('Indicator Data'!U10&gt;=Indicators!$G10)+('Indicator Data'!U10&gt;=Indicators!$H10)+('Indicator Data'!U10&gt;=Indicators!$I10)+('Indicator Data'!U10&gt;=Indicators!$J10),1+('Indicator Data'!U10&lt;=Indicators!$G10)+('Indicator Data'!U10&lt;=Indicators!$H10)+('Indicator Data'!U10&lt;=Indicators!$I10)+('Indicator Data'!U10&lt;=Indicators!$J10)))</f>
        <v>2</v>
      </c>
      <c r="V10" s="27" t="n">
        <f aca="false">IF('Indicator Data'!V10="",IF(Config!$C$15="Score as High (5)",5,0),IF(Indicators!$F10="Higher = riskier",1+('Indicator Data'!V10&gt;=Indicators!$G10)+('Indicator Data'!V10&gt;=Indicators!$H10)+('Indicator Data'!V10&gt;=Indicators!$I10)+('Indicator Data'!V10&gt;=Indicators!$J10),1+('Indicator Data'!V10&lt;=Indicators!$G10)+('Indicator Data'!V10&lt;=Indicators!$H10)+('Indicator Data'!V10&lt;=Indicators!$I10)+('Indicator Data'!V10&lt;=Indicators!$J10)))</f>
        <v>2</v>
      </c>
      <c r="W10" s="27" t="n">
        <f aca="false">IF('Indicator Data'!W10="",IF(Config!$C$15="Score as High (5)",5,0),IF(Indicators!$F10="Higher = riskier",1+('Indicator Data'!W10&gt;=Indicators!$G10)+('Indicator Data'!W10&gt;=Indicators!$H10)+('Indicator Data'!W10&gt;=Indicators!$I10)+('Indicator Data'!W10&gt;=Indicators!$J10),1+('Indicator Data'!W10&lt;=Indicators!$G10)+('Indicator Data'!W10&lt;=Indicators!$H10)+('Indicator Data'!W10&lt;=Indicators!$I10)+('Indicator Data'!W10&lt;=Indicators!$J10)))</f>
        <v>3</v>
      </c>
      <c r="X10" s="27" t="n">
        <f aca="false">IF('Indicator Data'!X10="",IF(Config!$C$15="Score as High (5)",5,0),IF(Indicators!$F10="Higher = riskier",1+('Indicator Data'!X10&gt;=Indicators!$G10)+('Indicator Data'!X10&gt;=Indicators!$H10)+('Indicator Data'!X10&gt;=Indicators!$I10)+('Indicator Data'!X10&gt;=Indicators!$J10),1+('Indicator Data'!X10&lt;=Indicators!$G10)+('Indicator Data'!X10&lt;=Indicators!$H10)+('Indicator Data'!X10&lt;=Indicators!$I10)+('Indicator Data'!X10&lt;=Indicators!$J10)))</f>
        <v>4</v>
      </c>
      <c r="Y10" s="27" t="n">
        <f aca="false">IF('Indicator Data'!Y10="",IF(Config!$C$15="Score as High (5)",5,0),IF(Indicators!$F10="Higher = riskier",1+('Indicator Data'!Y10&gt;=Indicators!$G10)+('Indicator Data'!Y10&gt;=Indicators!$H10)+('Indicator Data'!Y10&gt;=Indicators!$I10)+('Indicator Data'!Y10&gt;=Indicators!$J10),1+('Indicator Data'!Y10&lt;=Indicators!$G10)+('Indicator Data'!Y10&lt;=Indicators!$H10)+('Indicator Data'!Y10&lt;=Indicators!$I10)+('Indicator Data'!Y10&lt;=Indicators!$J10)))</f>
        <v>3</v>
      </c>
      <c r="Z10" s="27" t="n">
        <f aca="false">IF('Indicator Data'!Z10="",IF(Config!$C$15="Score as High (5)",5,0),IF(Indicators!$F10="Higher = riskier",1+('Indicator Data'!Z10&gt;=Indicators!$G10)+('Indicator Data'!Z10&gt;=Indicators!$H10)+('Indicator Data'!Z10&gt;=Indicators!$I10)+('Indicator Data'!Z10&gt;=Indicators!$J10),1+('Indicator Data'!Z10&lt;=Indicators!$G10)+('Indicator Data'!Z10&lt;=Indicators!$H10)+('Indicator Data'!Z10&lt;=Indicators!$I10)+('Indicator Data'!Z10&lt;=Indicators!$J10)))</f>
        <v>2</v>
      </c>
      <c r="AA10" s="27" t="n">
        <f aca="false">IF('Indicator Data'!AA10="",IF(Config!$C$15="Score as High (5)",5,0),IF(Indicators!$F10="Higher = riskier",1+('Indicator Data'!AA10&gt;=Indicators!$G10)+('Indicator Data'!AA10&gt;=Indicators!$H10)+('Indicator Data'!AA10&gt;=Indicators!$I10)+('Indicator Data'!AA10&gt;=Indicators!$J10),1+('Indicator Data'!AA10&lt;=Indicators!$G10)+('Indicator Data'!AA10&lt;=Indicators!$H10)+('Indicator Data'!AA10&lt;=Indicators!$I10)+('Indicator Data'!AA10&lt;=Indicators!$J10)))</f>
        <v>2</v>
      </c>
      <c r="AB10" s="27" t="n">
        <f aca="false">IF('Indicator Data'!AB10="",IF(Config!$C$15="Score as High (5)",5,0),IF(Indicators!$F10="Higher = riskier",1+('Indicator Data'!AB10&gt;=Indicators!$G10)+('Indicator Data'!AB10&gt;=Indicators!$H10)+('Indicator Data'!AB10&gt;=Indicators!$I10)+('Indicator Data'!AB10&gt;=Indicators!$J10),1+('Indicator Data'!AB10&lt;=Indicators!$G10)+('Indicator Data'!AB10&lt;=Indicators!$H10)+('Indicator Data'!AB10&lt;=Indicators!$I10)+('Indicator Data'!AB10&lt;=Indicators!$J10)))</f>
        <v>2</v>
      </c>
      <c r="AC10" s="27" t="n">
        <f aca="false">IF('Indicator Data'!AC10="",IF(Config!$C$15="Score as High (5)",5,0),IF(Indicators!$F10="Higher = riskier",1+('Indicator Data'!AC10&gt;=Indicators!$G10)+('Indicator Data'!AC10&gt;=Indicators!$H10)+('Indicator Data'!AC10&gt;=Indicators!$I10)+('Indicator Data'!AC10&gt;=Indicators!$J10),1+('Indicator Data'!AC10&lt;=Indicators!$G10)+('Indicator Data'!AC10&lt;=Indicators!$H10)+('Indicator Data'!AC10&lt;=Indicators!$I10)+('Indicator Data'!AC10&lt;=Indicators!$J10)))</f>
        <v>1</v>
      </c>
      <c r="AD10" s="27" t="n">
        <f aca="false">IF('Indicator Data'!AD10="",IF(Config!$C$15="Score as High (5)",5,0),IF(Indicators!$F10="Higher = riskier",1+('Indicator Data'!AD10&gt;=Indicators!$G10)+('Indicator Data'!AD10&gt;=Indicators!$H10)+('Indicator Data'!AD10&gt;=Indicators!$I10)+('Indicator Data'!AD10&gt;=Indicators!$J10),1+('Indicator Data'!AD10&lt;=Indicators!$G10)+('Indicator Data'!AD10&lt;=Indicators!$H10)+('Indicator Data'!AD10&lt;=Indicators!$I10)+('Indicator Data'!AD10&lt;=Indicators!$J10)))</f>
        <v>1</v>
      </c>
      <c r="AE10" s="27" t="n">
        <f aca="false">IF('Indicator Data'!AE10="",IF(Config!$C$15="Score as High (5)",5,0),IF(Indicators!$F10="Higher = riskier",1+('Indicator Data'!AE10&gt;=Indicators!$G10)+('Indicator Data'!AE10&gt;=Indicators!$H10)+('Indicator Data'!AE10&gt;=Indicators!$I10)+('Indicator Data'!AE10&gt;=Indicators!$J10),1+('Indicator Data'!AE10&lt;=Indicators!$G10)+('Indicator Data'!AE10&lt;=Indicators!$H10)+('Indicator Data'!AE10&lt;=Indicators!$I10)+('Indicator Data'!AE10&lt;=Indicators!$J10)))</f>
        <v>2</v>
      </c>
      <c r="AF10" s="27" t="n">
        <f aca="false">IF('Indicator Data'!AF10="",IF(Config!$C$15="Score as High (5)",5,0),IF(Indicators!$F10="Higher = riskier",1+('Indicator Data'!AF10&gt;=Indicators!$G10)+('Indicator Data'!AF10&gt;=Indicators!$H10)+('Indicator Data'!AF10&gt;=Indicators!$I10)+('Indicator Data'!AF10&gt;=Indicators!$J10),1+('Indicator Data'!AF10&lt;=Indicators!$G10)+('Indicator Data'!AF10&lt;=Indicators!$H10)+('Indicator Data'!AF10&lt;=Indicators!$I10)+('Indicator Data'!AF10&lt;=Indicators!$J10)))</f>
        <v>3</v>
      </c>
      <c r="AG10" s="27" t="n">
        <f aca="false">IF('Indicator Data'!AG10="",IF(Config!$C$15="Score as High (5)",5,0),IF(Indicators!$F10="Higher = riskier",1+('Indicator Data'!AG10&gt;=Indicators!$G10)+('Indicator Data'!AG10&gt;=Indicators!$H10)+('Indicator Data'!AG10&gt;=Indicators!$I10)+('Indicator Data'!AG10&gt;=Indicators!$J10),1+('Indicator Data'!AG10&lt;=Indicators!$G10)+('Indicator Data'!AG10&lt;=Indicators!$H10)+('Indicator Data'!AG10&lt;=Indicators!$I10)+('Indicator Data'!AG10&lt;=Indicators!$J10)))</f>
        <v>1</v>
      </c>
    </row>
    <row r="11" customFormat="false" ht="15" hidden="false" customHeight="false" outlineLevel="0" collapsed="false">
      <c r="A11" s="26" t="str">
        <f aca="false">Indicators!A11</f>
        <v>C07</v>
      </c>
      <c r="B11" s="26" t="str">
        <f aca="false">Indicators!C11</f>
        <v>% customers that are government bodies or SOEs</v>
      </c>
      <c r="C11" s="26" t="str">
        <f aca="false">Indicators!D11</f>
        <v>%</v>
      </c>
      <c r="D11" s="27" t="n">
        <f aca="false">IF('Indicator Data'!D11="",IF(Config!$C$15="Score as High (5)",5,0),IF(Indicators!$F11="Higher = riskier",1+('Indicator Data'!D11&gt;=Indicators!$G11)+('Indicator Data'!D11&gt;=Indicators!$H11)+('Indicator Data'!D11&gt;=Indicators!$I11)+('Indicator Data'!D11&gt;=Indicators!$J11),1+('Indicator Data'!D11&lt;=Indicators!$G11)+('Indicator Data'!D11&lt;=Indicators!$H11)+('Indicator Data'!D11&lt;=Indicators!$I11)+('Indicator Data'!D11&lt;=Indicators!$J11)))</f>
        <v>3</v>
      </c>
      <c r="E11" s="27" t="n">
        <f aca="false">IF('Indicator Data'!E11="",IF(Config!$C$15="Score as High (5)",5,0),IF(Indicators!$F11="Higher = riskier",1+('Indicator Data'!E11&gt;=Indicators!$G11)+('Indicator Data'!E11&gt;=Indicators!$H11)+('Indicator Data'!E11&gt;=Indicators!$I11)+('Indicator Data'!E11&gt;=Indicators!$J11),1+('Indicator Data'!E11&lt;=Indicators!$G11)+('Indicator Data'!E11&lt;=Indicators!$H11)+('Indicator Data'!E11&lt;=Indicators!$I11)+('Indicator Data'!E11&lt;=Indicators!$J11)))</f>
        <v>3</v>
      </c>
      <c r="F11" s="27" t="n">
        <f aca="false">IF('Indicator Data'!F11="",IF(Config!$C$15="Score as High (5)",5,0),IF(Indicators!$F11="Higher = riskier",1+('Indicator Data'!F11&gt;=Indicators!$G11)+('Indicator Data'!F11&gt;=Indicators!$H11)+('Indicator Data'!F11&gt;=Indicators!$I11)+('Indicator Data'!F11&gt;=Indicators!$J11),1+('Indicator Data'!F11&lt;=Indicators!$G11)+('Indicator Data'!F11&lt;=Indicators!$H11)+('Indicator Data'!F11&lt;=Indicators!$I11)+('Indicator Data'!F11&lt;=Indicators!$J11)))</f>
        <v>2</v>
      </c>
      <c r="G11" s="27" t="n">
        <f aca="false">IF('Indicator Data'!G11="",IF(Config!$C$15="Score as High (5)",5,0),IF(Indicators!$F11="Higher = riskier",1+('Indicator Data'!G11&gt;=Indicators!$G11)+('Indicator Data'!G11&gt;=Indicators!$H11)+('Indicator Data'!G11&gt;=Indicators!$I11)+('Indicator Data'!G11&gt;=Indicators!$J11),1+('Indicator Data'!G11&lt;=Indicators!$G11)+('Indicator Data'!G11&lt;=Indicators!$H11)+('Indicator Data'!G11&lt;=Indicators!$I11)+('Indicator Data'!G11&lt;=Indicators!$J11)))</f>
        <v>2</v>
      </c>
      <c r="H11" s="27" t="n">
        <f aca="false">IF('Indicator Data'!H11="",IF(Config!$C$15="Score as High (5)",5,0),IF(Indicators!$F11="Higher = riskier",1+('Indicator Data'!H11&gt;=Indicators!$G11)+('Indicator Data'!H11&gt;=Indicators!$H11)+('Indicator Data'!H11&gt;=Indicators!$I11)+('Indicator Data'!H11&gt;=Indicators!$J11),1+('Indicator Data'!H11&lt;=Indicators!$G11)+('Indicator Data'!H11&lt;=Indicators!$H11)+('Indicator Data'!H11&lt;=Indicators!$I11)+('Indicator Data'!H11&lt;=Indicators!$J11)))</f>
        <v>2</v>
      </c>
      <c r="I11" s="27" t="n">
        <f aca="false">IF('Indicator Data'!I11="",IF(Config!$C$15="Score as High (5)",5,0),IF(Indicators!$F11="Higher = riskier",1+('Indicator Data'!I11&gt;=Indicators!$G11)+('Indicator Data'!I11&gt;=Indicators!$H11)+('Indicator Data'!I11&gt;=Indicators!$I11)+('Indicator Data'!I11&gt;=Indicators!$J11),1+('Indicator Data'!I11&lt;=Indicators!$G11)+('Indicator Data'!I11&lt;=Indicators!$H11)+('Indicator Data'!I11&lt;=Indicators!$I11)+('Indicator Data'!I11&lt;=Indicators!$J11)))</f>
        <v>4</v>
      </c>
      <c r="J11" s="27" t="n">
        <f aca="false">IF('Indicator Data'!J11="",IF(Config!$C$15="Score as High (5)",5,0),IF(Indicators!$F11="Higher = riskier",1+('Indicator Data'!J11&gt;=Indicators!$G11)+('Indicator Data'!J11&gt;=Indicators!$H11)+('Indicator Data'!J11&gt;=Indicators!$I11)+('Indicator Data'!J11&gt;=Indicators!$J11),1+('Indicator Data'!J11&lt;=Indicators!$G11)+('Indicator Data'!J11&lt;=Indicators!$H11)+('Indicator Data'!J11&lt;=Indicators!$I11)+('Indicator Data'!J11&lt;=Indicators!$J11)))</f>
        <v>3</v>
      </c>
      <c r="K11" s="27" t="n">
        <f aca="false">IF('Indicator Data'!K11="",IF(Config!$C$15="Score as High (5)",5,0),IF(Indicators!$F11="Higher = riskier",1+('Indicator Data'!K11&gt;=Indicators!$G11)+('Indicator Data'!K11&gt;=Indicators!$H11)+('Indicator Data'!K11&gt;=Indicators!$I11)+('Indicator Data'!K11&gt;=Indicators!$J11),1+('Indicator Data'!K11&lt;=Indicators!$G11)+('Indicator Data'!K11&lt;=Indicators!$H11)+('Indicator Data'!K11&lt;=Indicators!$I11)+('Indicator Data'!K11&lt;=Indicators!$J11)))</f>
        <v>4</v>
      </c>
      <c r="L11" s="27" t="n">
        <f aca="false">IF('Indicator Data'!L11="",IF(Config!$C$15="Score as High (5)",5,0),IF(Indicators!$F11="Higher = riskier",1+('Indicator Data'!L11&gt;=Indicators!$G11)+('Indicator Data'!L11&gt;=Indicators!$H11)+('Indicator Data'!L11&gt;=Indicators!$I11)+('Indicator Data'!L11&gt;=Indicators!$J11),1+('Indicator Data'!L11&lt;=Indicators!$G11)+('Indicator Data'!L11&lt;=Indicators!$H11)+('Indicator Data'!L11&lt;=Indicators!$I11)+('Indicator Data'!L11&lt;=Indicators!$J11)))</f>
        <v>3</v>
      </c>
      <c r="M11" s="27" t="n">
        <f aca="false">IF('Indicator Data'!M11="",IF(Config!$C$15="Score as High (5)",5,0),IF(Indicators!$F11="Higher = riskier",1+('Indicator Data'!M11&gt;=Indicators!$G11)+('Indicator Data'!M11&gt;=Indicators!$H11)+('Indicator Data'!M11&gt;=Indicators!$I11)+('Indicator Data'!M11&gt;=Indicators!$J11),1+('Indicator Data'!M11&lt;=Indicators!$G11)+('Indicator Data'!M11&lt;=Indicators!$H11)+('Indicator Data'!M11&lt;=Indicators!$I11)+('Indicator Data'!M11&lt;=Indicators!$J11)))</f>
        <v>4</v>
      </c>
      <c r="N11" s="27" t="n">
        <f aca="false">IF('Indicator Data'!N11="",IF(Config!$C$15="Score as High (5)",5,0),IF(Indicators!$F11="Higher = riskier",1+('Indicator Data'!N11&gt;=Indicators!$G11)+('Indicator Data'!N11&gt;=Indicators!$H11)+('Indicator Data'!N11&gt;=Indicators!$I11)+('Indicator Data'!N11&gt;=Indicators!$J11),1+('Indicator Data'!N11&lt;=Indicators!$G11)+('Indicator Data'!N11&lt;=Indicators!$H11)+('Indicator Data'!N11&lt;=Indicators!$I11)+('Indicator Data'!N11&lt;=Indicators!$J11)))</f>
        <v>3</v>
      </c>
      <c r="O11" s="27" t="n">
        <f aca="false">IF('Indicator Data'!O11="",IF(Config!$C$15="Score as High (5)",5,0),IF(Indicators!$F11="Higher = riskier",1+('Indicator Data'!O11&gt;=Indicators!$G11)+('Indicator Data'!O11&gt;=Indicators!$H11)+('Indicator Data'!O11&gt;=Indicators!$I11)+('Indicator Data'!O11&gt;=Indicators!$J11),1+('Indicator Data'!O11&lt;=Indicators!$G11)+('Indicator Data'!O11&lt;=Indicators!$H11)+('Indicator Data'!O11&lt;=Indicators!$I11)+('Indicator Data'!O11&lt;=Indicators!$J11)))</f>
        <v>3</v>
      </c>
      <c r="P11" s="27" t="n">
        <f aca="false">IF('Indicator Data'!P11="",IF(Config!$C$15="Score as High (5)",5,0),IF(Indicators!$F11="Higher = riskier",1+('Indicator Data'!P11&gt;=Indicators!$G11)+('Indicator Data'!P11&gt;=Indicators!$H11)+('Indicator Data'!P11&gt;=Indicators!$I11)+('Indicator Data'!P11&gt;=Indicators!$J11),1+('Indicator Data'!P11&lt;=Indicators!$G11)+('Indicator Data'!P11&lt;=Indicators!$H11)+('Indicator Data'!P11&lt;=Indicators!$I11)+('Indicator Data'!P11&lt;=Indicators!$J11)))</f>
        <v>3</v>
      </c>
      <c r="Q11" s="27" t="n">
        <f aca="false">IF('Indicator Data'!Q11="",IF(Config!$C$15="Score as High (5)",5,0),IF(Indicators!$F11="Higher = riskier",1+('Indicator Data'!Q11&gt;=Indicators!$G11)+('Indicator Data'!Q11&gt;=Indicators!$H11)+('Indicator Data'!Q11&gt;=Indicators!$I11)+('Indicator Data'!Q11&gt;=Indicators!$J11),1+('Indicator Data'!Q11&lt;=Indicators!$G11)+('Indicator Data'!Q11&lt;=Indicators!$H11)+('Indicator Data'!Q11&lt;=Indicators!$I11)+('Indicator Data'!Q11&lt;=Indicators!$J11)))</f>
        <v>4</v>
      </c>
      <c r="R11" s="27" t="n">
        <f aca="false">IF('Indicator Data'!R11="",IF(Config!$C$15="Score as High (5)",5,0),IF(Indicators!$F11="Higher = riskier",1+('Indicator Data'!R11&gt;=Indicators!$G11)+('Indicator Data'!R11&gt;=Indicators!$H11)+('Indicator Data'!R11&gt;=Indicators!$I11)+('Indicator Data'!R11&gt;=Indicators!$J11),1+('Indicator Data'!R11&lt;=Indicators!$G11)+('Indicator Data'!R11&lt;=Indicators!$H11)+('Indicator Data'!R11&lt;=Indicators!$I11)+('Indicator Data'!R11&lt;=Indicators!$J11)))</f>
        <v>5</v>
      </c>
      <c r="S11" s="27" t="n">
        <f aca="false">IF('Indicator Data'!S11="",IF(Config!$C$15="Score as High (5)",5,0),IF(Indicators!$F11="Higher = riskier",1+('Indicator Data'!S11&gt;=Indicators!$G11)+('Indicator Data'!S11&gt;=Indicators!$H11)+('Indicator Data'!S11&gt;=Indicators!$I11)+('Indicator Data'!S11&gt;=Indicators!$J11),1+('Indicator Data'!S11&lt;=Indicators!$G11)+('Indicator Data'!S11&lt;=Indicators!$H11)+('Indicator Data'!S11&lt;=Indicators!$I11)+('Indicator Data'!S11&lt;=Indicators!$J11)))</f>
        <v>4</v>
      </c>
      <c r="T11" s="27" t="n">
        <f aca="false">IF('Indicator Data'!T11="",IF(Config!$C$15="Score as High (5)",5,0),IF(Indicators!$F11="Higher = riskier",1+('Indicator Data'!T11&gt;=Indicators!$G11)+('Indicator Data'!T11&gt;=Indicators!$H11)+('Indicator Data'!T11&gt;=Indicators!$I11)+('Indicator Data'!T11&gt;=Indicators!$J11),1+('Indicator Data'!T11&lt;=Indicators!$G11)+('Indicator Data'!T11&lt;=Indicators!$H11)+('Indicator Data'!T11&lt;=Indicators!$I11)+('Indicator Data'!T11&lt;=Indicators!$J11)))</f>
        <v>2</v>
      </c>
      <c r="U11" s="27" t="n">
        <f aca="false">IF('Indicator Data'!U11="",IF(Config!$C$15="Score as High (5)",5,0),IF(Indicators!$F11="Higher = riskier",1+('Indicator Data'!U11&gt;=Indicators!$G11)+('Indicator Data'!U11&gt;=Indicators!$H11)+('Indicator Data'!U11&gt;=Indicators!$I11)+('Indicator Data'!U11&gt;=Indicators!$J11),1+('Indicator Data'!U11&lt;=Indicators!$G11)+('Indicator Data'!U11&lt;=Indicators!$H11)+('Indicator Data'!U11&lt;=Indicators!$I11)+('Indicator Data'!U11&lt;=Indicators!$J11)))</f>
        <v>4</v>
      </c>
      <c r="V11" s="27" t="n">
        <f aca="false">IF('Indicator Data'!V11="",IF(Config!$C$15="Score as High (5)",5,0),IF(Indicators!$F11="Higher = riskier",1+('Indicator Data'!V11&gt;=Indicators!$G11)+('Indicator Data'!V11&gt;=Indicators!$H11)+('Indicator Data'!V11&gt;=Indicators!$I11)+('Indicator Data'!V11&gt;=Indicators!$J11),1+('Indicator Data'!V11&lt;=Indicators!$G11)+('Indicator Data'!V11&lt;=Indicators!$H11)+('Indicator Data'!V11&lt;=Indicators!$I11)+('Indicator Data'!V11&lt;=Indicators!$J11)))</f>
        <v>4</v>
      </c>
      <c r="W11" s="27" t="n">
        <f aca="false">IF('Indicator Data'!W11="",IF(Config!$C$15="Score as High (5)",5,0),IF(Indicators!$F11="Higher = riskier",1+('Indicator Data'!W11&gt;=Indicators!$G11)+('Indicator Data'!W11&gt;=Indicators!$H11)+('Indicator Data'!W11&gt;=Indicators!$I11)+('Indicator Data'!W11&gt;=Indicators!$J11),1+('Indicator Data'!W11&lt;=Indicators!$G11)+('Indicator Data'!W11&lt;=Indicators!$H11)+('Indicator Data'!W11&lt;=Indicators!$I11)+('Indicator Data'!W11&lt;=Indicators!$J11)))</f>
        <v>2</v>
      </c>
      <c r="X11" s="27" t="n">
        <f aca="false">IF('Indicator Data'!X11="",IF(Config!$C$15="Score as High (5)",5,0),IF(Indicators!$F11="Higher = riskier",1+('Indicator Data'!X11&gt;=Indicators!$G11)+('Indicator Data'!X11&gt;=Indicators!$H11)+('Indicator Data'!X11&gt;=Indicators!$I11)+('Indicator Data'!X11&gt;=Indicators!$J11),1+('Indicator Data'!X11&lt;=Indicators!$G11)+('Indicator Data'!X11&lt;=Indicators!$H11)+('Indicator Data'!X11&lt;=Indicators!$I11)+('Indicator Data'!X11&lt;=Indicators!$J11)))</f>
        <v>5</v>
      </c>
      <c r="Y11" s="27" t="n">
        <f aca="false">IF('Indicator Data'!Y11="",IF(Config!$C$15="Score as High (5)",5,0),IF(Indicators!$F11="Higher = riskier",1+('Indicator Data'!Y11&gt;=Indicators!$G11)+('Indicator Data'!Y11&gt;=Indicators!$H11)+('Indicator Data'!Y11&gt;=Indicators!$I11)+('Indicator Data'!Y11&gt;=Indicators!$J11),1+('Indicator Data'!Y11&lt;=Indicators!$G11)+('Indicator Data'!Y11&lt;=Indicators!$H11)+('Indicator Data'!Y11&lt;=Indicators!$I11)+('Indicator Data'!Y11&lt;=Indicators!$J11)))</f>
        <v>1</v>
      </c>
      <c r="Z11" s="27" t="n">
        <f aca="false">IF('Indicator Data'!Z11="",IF(Config!$C$15="Score as High (5)",5,0),IF(Indicators!$F11="Higher = riskier",1+('Indicator Data'!Z11&gt;=Indicators!$G11)+('Indicator Data'!Z11&gt;=Indicators!$H11)+('Indicator Data'!Z11&gt;=Indicators!$I11)+('Indicator Data'!Z11&gt;=Indicators!$J11),1+('Indicator Data'!Z11&lt;=Indicators!$G11)+('Indicator Data'!Z11&lt;=Indicators!$H11)+('Indicator Data'!Z11&lt;=Indicators!$I11)+('Indicator Data'!Z11&lt;=Indicators!$J11)))</f>
        <v>3</v>
      </c>
      <c r="AA11" s="27" t="n">
        <f aca="false">IF('Indicator Data'!AA11="",IF(Config!$C$15="Score as High (5)",5,0),IF(Indicators!$F11="Higher = riskier",1+('Indicator Data'!AA11&gt;=Indicators!$G11)+('Indicator Data'!AA11&gt;=Indicators!$H11)+('Indicator Data'!AA11&gt;=Indicators!$I11)+('Indicator Data'!AA11&gt;=Indicators!$J11),1+('Indicator Data'!AA11&lt;=Indicators!$G11)+('Indicator Data'!AA11&lt;=Indicators!$H11)+('Indicator Data'!AA11&lt;=Indicators!$I11)+('Indicator Data'!AA11&lt;=Indicators!$J11)))</f>
        <v>1</v>
      </c>
      <c r="AB11" s="27" t="n">
        <f aca="false">IF('Indicator Data'!AB11="",IF(Config!$C$15="Score as High (5)",5,0),IF(Indicators!$F11="Higher = riskier",1+('Indicator Data'!AB11&gt;=Indicators!$G11)+('Indicator Data'!AB11&gt;=Indicators!$H11)+('Indicator Data'!AB11&gt;=Indicators!$I11)+('Indicator Data'!AB11&gt;=Indicators!$J11),1+('Indicator Data'!AB11&lt;=Indicators!$G11)+('Indicator Data'!AB11&lt;=Indicators!$H11)+('Indicator Data'!AB11&lt;=Indicators!$I11)+('Indicator Data'!AB11&lt;=Indicators!$J11)))</f>
        <v>3</v>
      </c>
      <c r="AC11" s="27" t="n">
        <f aca="false">IF('Indicator Data'!AC11="",IF(Config!$C$15="Score as High (5)",5,0),IF(Indicators!$F11="Higher = riskier",1+('Indicator Data'!AC11&gt;=Indicators!$G11)+('Indicator Data'!AC11&gt;=Indicators!$H11)+('Indicator Data'!AC11&gt;=Indicators!$I11)+('Indicator Data'!AC11&gt;=Indicators!$J11),1+('Indicator Data'!AC11&lt;=Indicators!$G11)+('Indicator Data'!AC11&lt;=Indicators!$H11)+('Indicator Data'!AC11&lt;=Indicators!$I11)+('Indicator Data'!AC11&lt;=Indicators!$J11)))</f>
        <v>3</v>
      </c>
      <c r="AD11" s="27" t="n">
        <f aca="false">IF('Indicator Data'!AD11="",IF(Config!$C$15="Score as High (5)",5,0),IF(Indicators!$F11="Higher = riskier",1+('Indicator Data'!AD11&gt;=Indicators!$G11)+('Indicator Data'!AD11&gt;=Indicators!$H11)+('Indicator Data'!AD11&gt;=Indicators!$I11)+('Indicator Data'!AD11&gt;=Indicators!$J11),1+('Indicator Data'!AD11&lt;=Indicators!$G11)+('Indicator Data'!AD11&lt;=Indicators!$H11)+('Indicator Data'!AD11&lt;=Indicators!$I11)+('Indicator Data'!AD11&lt;=Indicators!$J11)))</f>
        <v>2</v>
      </c>
      <c r="AE11" s="27" t="n">
        <f aca="false">IF('Indicator Data'!AE11="",IF(Config!$C$15="Score as High (5)",5,0),IF(Indicators!$F11="Higher = riskier",1+('Indicator Data'!AE11&gt;=Indicators!$G11)+('Indicator Data'!AE11&gt;=Indicators!$H11)+('Indicator Data'!AE11&gt;=Indicators!$I11)+('Indicator Data'!AE11&gt;=Indicators!$J11),1+('Indicator Data'!AE11&lt;=Indicators!$G11)+('Indicator Data'!AE11&lt;=Indicators!$H11)+('Indicator Data'!AE11&lt;=Indicators!$I11)+('Indicator Data'!AE11&lt;=Indicators!$J11)))</f>
        <v>2</v>
      </c>
      <c r="AF11" s="27" t="n">
        <f aca="false">IF('Indicator Data'!AF11="",IF(Config!$C$15="Score as High (5)",5,0),IF(Indicators!$F11="Higher = riskier",1+('Indicator Data'!AF11&gt;=Indicators!$G11)+('Indicator Data'!AF11&gt;=Indicators!$H11)+('Indicator Data'!AF11&gt;=Indicators!$I11)+('Indicator Data'!AF11&gt;=Indicators!$J11),1+('Indicator Data'!AF11&lt;=Indicators!$G11)+('Indicator Data'!AF11&lt;=Indicators!$H11)+('Indicator Data'!AF11&lt;=Indicators!$I11)+('Indicator Data'!AF11&lt;=Indicators!$J11)))</f>
        <v>1</v>
      </c>
      <c r="AG11" s="27" t="n">
        <f aca="false">IF('Indicator Data'!AG11="",IF(Config!$C$15="Score as High (5)",5,0),IF(Indicators!$F11="Higher = riskier",1+('Indicator Data'!AG11&gt;=Indicators!$G11)+('Indicator Data'!AG11&gt;=Indicators!$H11)+('Indicator Data'!AG11&gt;=Indicators!$I11)+('Indicator Data'!AG11&gt;=Indicators!$J11),1+('Indicator Data'!AG11&lt;=Indicators!$G11)+('Indicator Data'!AG11&lt;=Indicators!$H11)+('Indicator Data'!AG11&lt;=Indicators!$I11)+('Indicator Data'!AG11&lt;=Indicators!$J11)))</f>
        <v>1</v>
      </c>
    </row>
    <row r="12" customFormat="false" ht="15" hidden="false" customHeight="false" outlineLevel="0" collapsed="false">
      <c r="A12" s="26" t="str">
        <f aca="false">Indicators!A12</f>
        <v>G01</v>
      </c>
      <c r="B12" s="26" t="str">
        <f aca="false">Indicators!C12</f>
        <v>% cross-border value with FATF high-risk / increased-monitoring jurisdictions</v>
      </c>
      <c r="C12" s="26" t="str">
        <f aca="false">Indicators!D12</f>
        <v>%</v>
      </c>
      <c r="D12" s="27" t="n">
        <f aca="false">IF('Indicator Data'!D12="",IF(Config!$C$15="Score as High (5)",5,0),IF(Indicators!$F12="Higher = riskier",1+('Indicator Data'!D12&gt;=Indicators!$G12)+('Indicator Data'!D12&gt;=Indicators!$H12)+('Indicator Data'!D12&gt;=Indicators!$I12)+('Indicator Data'!D12&gt;=Indicators!$J12),1+('Indicator Data'!D12&lt;=Indicators!$G12)+('Indicator Data'!D12&lt;=Indicators!$H12)+('Indicator Data'!D12&lt;=Indicators!$I12)+('Indicator Data'!D12&lt;=Indicators!$J12)))</f>
        <v>2</v>
      </c>
      <c r="E12" s="27" t="n">
        <f aca="false">IF('Indicator Data'!E12="",IF(Config!$C$15="Score as High (5)",5,0),IF(Indicators!$F12="Higher = riskier",1+('Indicator Data'!E12&gt;=Indicators!$G12)+('Indicator Data'!E12&gt;=Indicators!$H12)+('Indicator Data'!E12&gt;=Indicators!$I12)+('Indicator Data'!E12&gt;=Indicators!$J12),1+('Indicator Data'!E12&lt;=Indicators!$G12)+('Indicator Data'!E12&lt;=Indicators!$H12)+('Indicator Data'!E12&lt;=Indicators!$I12)+('Indicator Data'!E12&lt;=Indicators!$J12)))</f>
        <v>2</v>
      </c>
      <c r="F12" s="27" t="n">
        <f aca="false">IF('Indicator Data'!F12="",IF(Config!$C$15="Score as High (5)",5,0),IF(Indicators!$F12="Higher = riskier",1+('Indicator Data'!F12&gt;=Indicators!$G12)+('Indicator Data'!F12&gt;=Indicators!$H12)+('Indicator Data'!F12&gt;=Indicators!$I12)+('Indicator Data'!F12&gt;=Indicators!$J12),1+('Indicator Data'!F12&lt;=Indicators!$G12)+('Indicator Data'!F12&lt;=Indicators!$H12)+('Indicator Data'!F12&lt;=Indicators!$I12)+('Indicator Data'!F12&lt;=Indicators!$J12)))</f>
        <v>1</v>
      </c>
      <c r="G12" s="27" t="n">
        <f aca="false">IF('Indicator Data'!G12="",IF(Config!$C$15="Score as High (5)",5,0),IF(Indicators!$F12="Higher = riskier",1+('Indicator Data'!G12&gt;=Indicators!$G12)+('Indicator Data'!G12&gt;=Indicators!$H12)+('Indicator Data'!G12&gt;=Indicators!$I12)+('Indicator Data'!G12&gt;=Indicators!$J12),1+('Indicator Data'!G12&lt;=Indicators!$G12)+('Indicator Data'!G12&lt;=Indicators!$H12)+('Indicator Data'!G12&lt;=Indicators!$I12)+('Indicator Data'!G12&lt;=Indicators!$J12)))</f>
        <v>3</v>
      </c>
      <c r="H12" s="27" t="n">
        <f aca="false">IF('Indicator Data'!H12="",IF(Config!$C$15="Score as High (5)",5,0),IF(Indicators!$F12="Higher = riskier",1+('Indicator Data'!H12&gt;=Indicators!$G12)+('Indicator Data'!H12&gt;=Indicators!$H12)+('Indicator Data'!H12&gt;=Indicators!$I12)+('Indicator Data'!H12&gt;=Indicators!$J12),1+('Indicator Data'!H12&lt;=Indicators!$G12)+('Indicator Data'!H12&lt;=Indicators!$H12)+('Indicator Data'!H12&lt;=Indicators!$I12)+('Indicator Data'!H12&lt;=Indicators!$J12)))</f>
        <v>3</v>
      </c>
      <c r="I12" s="27" t="n">
        <f aca="false">IF('Indicator Data'!I12="",IF(Config!$C$15="Score as High (5)",5,0),IF(Indicators!$F12="Higher = riskier",1+('Indicator Data'!I12&gt;=Indicators!$G12)+('Indicator Data'!I12&gt;=Indicators!$H12)+('Indicator Data'!I12&gt;=Indicators!$I12)+('Indicator Data'!I12&gt;=Indicators!$J12),1+('Indicator Data'!I12&lt;=Indicators!$G12)+('Indicator Data'!I12&lt;=Indicators!$H12)+('Indicator Data'!I12&lt;=Indicators!$I12)+('Indicator Data'!I12&lt;=Indicators!$J12)))</f>
        <v>5</v>
      </c>
      <c r="J12" s="27" t="n">
        <f aca="false">IF('Indicator Data'!J12="",IF(Config!$C$15="Score as High (5)",5,0),IF(Indicators!$F12="Higher = riskier",1+('Indicator Data'!J12&gt;=Indicators!$G12)+('Indicator Data'!J12&gt;=Indicators!$H12)+('Indicator Data'!J12&gt;=Indicators!$I12)+('Indicator Data'!J12&gt;=Indicators!$J12),1+('Indicator Data'!J12&lt;=Indicators!$G12)+('Indicator Data'!J12&lt;=Indicators!$H12)+('Indicator Data'!J12&lt;=Indicators!$I12)+('Indicator Data'!J12&lt;=Indicators!$J12)))</f>
        <v>4</v>
      </c>
      <c r="K12" s="27" t="n">
        <f aca="false">IF('Indicator Data'!K12="",IF(Config!$C$15="Score as High (5)",5,0),IF(Indicators!$F12="Higher = riskier",1+('Indicator Data'!K12&gt;=Indicators!$G12)+('Indicator Data'!K12&gt;=Indicators!$H12)+('Indicator Data'!K12&gt;=Indicators!$I12)+('Indicator Data'!K12&gt;=Indicators!$J12),1+('Indicator Data'!K12&lt;=Indicators!$G12)+('Indicator Data'!K12&lt;=Indicators!$H12)+('Indicator Data'!K12&lt;=Indicators!$I12)+('Indicator Data'!K12&lt;=Indicators!$J12)))</f>
        <v>3</v>
      </c>
      <c r="L12" s="27" t="n">
        <f aca="false">IF('Indicator Data'!L12="",IF(Config!$C$15="Score as High (5)",5,0),IF(Indicators!$F12="Higher = riskier",1+('Indicator Data'!L12&gt;=Indicators!$G12)+('Indicator Data'!L12&gt;=Indicators!$H12)+('Indicator Data'!L12&gt;=Indicators!$I12)+('Indicator Data'!L12&gt;=Indicators!$J12),1+('Indicator Data'!L12&lt;=Indicators!$G12)+('Indicator Data'!L12&lt;=Indicators!$H12)+('Indicator Data'!L12&lt;=Indicators!$I12)+('Indicator Data'!L12&lt;=Indicators!$J12)))</f>
        <v>4</v>
      </c>
      <c r="M12" s="27" t="n">
        <f aca="false">IF('Indicator Data'!M12="",IF(Config!$C$15="Score as High (5)",5,0),IF(Indicators!$F12="Higher = riskier",1+('Indicator Data'!M12&gt;=Indicators!$G12)+('Indicator Data'!M12&gt;=Indicators!$H12)+('Indicator Data'!M12&gt;=Indicators!$I12)+('Indicator Data'!M12&gt;=Indicators!$J12),1+('Indicator Data'!M12&lt;=Indicators!$G12)+('Indicator Data'!M12&lt;=Indicators!$H12)+('Indicator Data'!M12&lt;=Indicators!$I12)+('Indicator Data'!M12&lt;=Indicators!$J12)))</f>
        <v>3</v>
      </c>
      <c r="N12" s="27" t="n">
        <f aca="false">IF('Indicator Data'!N12="",IF(Config!$C$15="Score as High (5)",5,0),IF(Indicators!$F12="Higher = riskier",1+('Indicator Data'!N12&gt;=Indicators!$G12)+('Indicator Data'!N12&gt;=Indicators!$H12)+('Indicator Data'!N12&gt;=Indicators!$I12)+('Indicator Data'!N12&gt;=Indicators!$J12),1+('Indicator Data'!N12&lt;=Indicators!$G12)+('Indicator Data'!N12&lt;=Indicators!$H12)+('Indicator Data'!N12&lt;=Indicators!$I12)+('Indicator Data'!N12&lt;=Indicators!$J12)))</f>
        <v>3</v>
      </c>
      <c r="O12" s="27" t="n">
        <f aca="false">IF('Indicator Data'!O12="",IF(Config!$C$15="Score as High (5)",5,0),IF(Indicators!$F12="Higher = riskier",1+('Indicator Data'!O12&gt;=Indicators!$G12)+('Indicator Data'!O12&gt;=Indicators!$H12)+('Indicator Data'!O12&gt;=Indicators!$I12)+('Indicator Data'!O12&gt;=Indicators!$J12),1+('Indicator Data'!O12&lt;=Indicators!$G12)+('Indicator Data'!O12&lt;=Indicators!$H12)+('Indicator Data'!O12&lt;=Indicators!$I12)+('Indicator Data'!O12&lt;=Indicators!$J12)))</f>
        <v>3</v>
      </c>
      <c r="P12" s="27" t="n">
        <f aca="false">IF('Indicator Data'!P12="",IF(Config!$C$15="Score as High (5)",5,0),IF(Indicators!$F12="Higher = riskier",1+('Indicator Data'!P12&gt;=Indicators!$G12)+('Indicator Data'!P12&gt;=Indicators!$H12)+('Indicator Data'!P12&gt;=Indicators!$I12)+('Indicator Data'!P12&gt;=Indicators!$J12),1+('Indicator Data'!P12&lt;=Indicators!$G12)+('Indicator Data'!P12&lt;=Indicators!$H12)+('Indicator Data'!P12&lt;=Indicators!$I12)+('Indicator Data'!P12&lt;=Indicators!$J12)))</f>
        <v>4</v>
      </c>
      <c r="Q12" s="27" t="n">
        <f aca="false">IF('Indicator Data'!Q12="",IF(Config!$C$15="Score as High (5)",5,0),IF(Indicators!$F12="Higher = riskier",1+('Indicator Data'!Q12&gt;=Indicators!$G12)+('Indicator Data'!Q12&gt;=Indicators!$H12)+('Indicator Data'!Q12&gt;=Indicators!$I12)+('Indicator Data'!Q12&gt;=Indicators!$J12),1+('Indicator Data'!Q12&lt;=Indicators!$G12)+('Indicator Data'!Q12&lt;=Indicators!$H12)+('Indicator Data'!Q12&lt;=Indicators!$I12)+('Indicator Data'!Q12&lt;=Indicators!$J12)))</f>
        <v>2</v>
      </c>
      <c r="R12" s="27" t="n">
        <f aca="false">IF('Indicator Data'!R12="",IF(Config!$C$15="Score as High (5)",5,0),IF(Indicators!$F12="Higher = riskier",1+('Indicator Data'!R12&gt;=Indicators!$G12)+('Indicator Data'!R12&gt;=Indicators!$H12)+('Indicator Data'!R12&gt;=Indicators!$I12)+('Indicator Data'!R12&gt;=Indicators!$J12),1+('Indicator Data'!R12&lt;=Indicators!$G12)+('Indicator Data'!R12&lt;=Indicators!$H12)+('Indicator Data'!R12&lt;=Indicators!$I12)+('Indicator Data'!R12&lt;=Indicators!$J12)))</f>
        <v>4</v>
      </c>
      <c r="S12" s="27" t="n">
        <f aca="false">IF('Indicator Data'!S12="",IF(Config!$C$15="Score as High (5)",5,0),IF(Indicators!$F12="Higher = riskier",1+('Indicator Data'!S12&gt;=Indicators!$G12)+('Indicator Data'!S12&gt;=Indicators!$H12)+('Indicator Data'!S12&gt;=Indicators!$I12)+('Indicator Data'!S12&gt;=Indicators!$J12),1+('Indicator Data'!S12&lt;=Indicators!$G12)+('Indicator Data'!S12&lt;=Indicators!$H12)+('Indicator Data'!S12&lt;=Indicators!$I12)+('Indicator Data'!S12&lt;=Indicators!$J12)))</f>
        <v>3</v>
      </c>
      <c r="T12" s="27" t="n">
        <f aca="false">IF('Indicator Data'!T12="",IF(Config!$C$15="Score as High (5)",5,0),IF(Indicators!$F12="Higher = riskier",1+('Indicator Data'!T12&gt;=Indicators!$G12)+('Indicator Data'!T12&gt;=Indicators!$H12)+('Indicator Data'!T12&gt;=Indicators!$I12)+('Indicator Data'!T12&gt;=Indicators!$J12),1+('Indicator Data'!T12&lt;=Indicators!$G12)+('Indicator Data'!T12&lt;=Indicators!$H12)+('Indicator Data'!T12&lt;=Indicators!$I12)+('Indicator Data'!T12&lt;=Indicators!$J12)))</f>
        <v>1</v>
      </c>
      <c r="U12" s="27" t="n">
        <f aca="false">IF('Indicator Data'!U12="",IF(Config!$C$15="Score as High (5)",5,0),IF(Indicators!$F12="Higher = riskier",1+('Indicator Data'!U12&gt;=Indicators!$G12)+('Indicator Data'!U12&gt;=Indicators!$H12)+('Indicator Data'!U12&gt;=Indicators!$I12)+('Indicator Data'!U12&gt;=Indicators!$J12),1+('Indicator Data'!U12&lt;=Indicators!$G12)+('Indicator Data'!U12&lt;=Indicators!$H12)+('Indicator Data'!U12&lt;=Indicators!$I12)+('Indicator Data'!U12&lt;=Indicators!$J12)))</f>
        <v>3</v>
      </c>
      <c r="V12" s="27" t="n">
        <f aca="false">IF('Indicator Data'!V12="",IF(Config!$C$15="Score as High (5)",5,0),IF(Indicators!$F12="Higher = riskier",1+('Indicator Data'!V12&gt;=Indicators!$G12)+('Indicator Data'!V12&gt;=Indicators!$H12)+('Indicator Data'!V12&gt;=Indicators!$I12)+('Indicator Data'!V12&gt;=Indicators!$J12),1+('Indicator Data'!V12&lt;=Indicators!$G12)+('Indicator Data'!V12&lt;=Indicators!$H12)+('Indicator Data'!V12&lt;=Indicators!$I12)+('Indicator Data'!V12&lt;=Indicators!$J12)))</f>
        <v>4</v>
      </c>
      <c r="W12" s="27" t="n">
        <f aca="false">IF('Indicator Data'!W12="",IF(Config!$C$15="Score as High (5)",5,0),IF(Indicators!$F12="Higher = riskier",1+('Indicator Data'!W12&gt;=Indicators!$G12)+('Indicator Data'!W12&gt;=Indicators!$H12)+('Indicator Data'!W12&gt;=Indicators!$I12)+('Indicator Data'!W12&gt;=Indicators!$J12),1+('Indicator Data'!W12&lt;=Indicators!$G12)+('Indicator Data'!W12&lt;=Indicators!$H12)+('Indicator Data'!W12&lt;=Indicators!$I12)+('Indicator Data'!W12&lt;=Indicators!$J12)))</f>
        <v>2</v>
      </c>
      <c r="X12" s="27" t="n">
        <f aca="false">IF('Indicator Data'!X12="",IF(Config!$C$15="Score as High (5)",5,0),IF(Indicators!$F12="Higher = riskier",1+('Indicator Data'!X12&gt;=Indicators!$G12)+('Indicator Data'!X12&gt;=Indicators!$H12)+('Indicator Data'!X12&gt;=Indicators!$I12)+('Indicator Data'!X12&gt;=Indicators!$J12),1+('Indicator Data'!X12&lt;=Indicators!$G12)+('Indicator Data'!X12&lt;=Indicators!$H12)+('Indicator Data'!X12&lt;=Indicators!$I12)+('Indicator Data'!X12&lt;=Indicators!$J12)))</f>
        <v>3</v>
      </c>
      <c r="Y12" s="27" t="n">
        <f aca="false">IF('Indicator Data'!Y12="",IF(Config!$C$15="Score as High (5)",5,0),IF(Indicators!$F12="Higher = riskier",1+('Indicator Data'!Y12&gt;=Indicators!$G12)+('Indicator Data'!Y12&gt;=Indicators!$H12)+('Indicator Data'!Y12&gt;=Indicators!$I12)+('Indicator Data'!Y12&gt;=Indicators!$J12),1+('Indicator Data'!Y12&lt;=Indicators!$G12)+('Indicator Data'!Y12&lt;=Indicators!$H12)+('Indicator Data'!Y12&lt;=Indicators!$I12)+('Indicator Data'!Y12&lt;=Indicators!$J12)))</f>
        <v>3</v>
      </c>
      <c r="Z12" s="27" t="n">
        <f aca="false">IF('Indicator Data'!Z12="",IF(Config!$C$15="Score as High (5)",5,0),IF(Indicators!$F12="Higher = riskier",1+('Indicator Data'!Z12&gt;=Indicators!$G12)+('Indicator Data'!Z12&gt;=Indicators!$H12)+('Indicator Data'!Z12&gt;=Indicators!$I12)+('Indicator Data'!Z12&gt;=Indicators!$J12),1+('Indicator Data'!Z12&lt;=Indicators!$G12)+('Indicator Data'!Z12&lt;=Indicators!$H12)+('Indicator Data'!Z12&lt;=Indicators!$I12)+('Indicator Data'!Z12&lt;=Indicators!$J12)))</f>
        <v>1</v>
      </c>
      <c r="AA12" s="27" t="n">
        <f aca="false">IF('Indicator Data'!AA12="",IF(Config!$C$15="Score as High (5)",5,0),IF(Indicators!$F12="Higher = riskier",1+('Indicator Data'!AA12&gt;=Indicators!$G12)+('Indicator Data'!AA12&gt;=Indicators!$H12)+('Indicator Data'!AA12&gt;=Indicators!$I12)+('Indicator Data'!AA12&gt;=Indicators!$J12),1+('Indicator Data'!AA12&lt;=Indicators!$G12)+('Indicator Data'!AA12&lt;=Indicators!$H12)+('Indicator Data'!AA12&lt;=Indicators!$I12)+('Indicator Data'!AA12&lt;=Indicators!$J12)))</f>
        <v>2</v>
      </c>
      <c r="AB12" s="27" t="n">
        <f aca="false">IF('Indicator Data'!AB12="",IF(Config!$C$15="Score as High (5)",5,0),IF(Indicators!$F12="Higher = riskier",1+('Indicator Data'!AB12&gt;=Indicators!$G12)+('Indicator Data'!AB12&gt;=Indicators!$H12)+('Indicator Data'!AB12&gt;=Indicators!$I12)+('Indicator Data'!AB12&gt;=Indicators!$J12),1+('Indicator Data'!AB12&lt;=Indicators!$G12)+('Indicator Data'!AB12&lt;=Indicators!$H12)+('Indicator Data'!AB12&lt;=Indicators!$I12)+('Indicator Data'!AB12&lt;=Indicators!$J12)))</f>
        <v>2</v>
      </c>
      <c r="AC12" s="27" t="n">
        <f aca="false">IF('Indicator Data'!AC12="",IF(Config!$C$15="Score as High (5)",5,0),IF(Indicators!$F12="Higher = riskier",1+('Indicator Data'!AC12&gt;=Indicators!$G12)+('Indicator Data'!AC12&gt;=Indicators!$H12)+('Indicator Data'!AC12&gt;=Indicators!$I12)+('Indicator Data'!AC12&gt;=Indicators!$J12),1+('Indicator Data'!AC12&lt;=Indicators!$G12)+('Indicator Data'!AC12&lt;=Indicators!$H12)+('Indicator Data'!AC12&lt;=Indicators!$I12)+('Indicator Data'!AC12&lt;=Indicators!$J12)))</f>
        <v>2</v>
      </c>
      <c r="AD12" s="27" t="n">
        <f aca="false">IF('Indicator Data'!AD12="",IF(Config!$C$15="Score as High (5)",5,0),IF(Indicators!$F12="Higher = riskier",1+('Indicator Data'!AD12&gt;=Indicators!$G12)+('Indicator Data'!AD12&gt;=Indicators!$H12)+('Indicator Data'!AD12&gt;=Indicators!$I12)+('Indicator Data'!AD12&gt;=Indicators!$J12),1+('Indicator Data'!AD12&lt;=Indicators!$G12)+('Indicator Data'!AD12&lt;=Indicators!$H12)+('Indicator Data'!AD12&lt;=Indicators!$I12)+('Indicator Data'!AD12&lt;=Indicators!$J12)))</f>
        <v>1</v>
      </c>
      <c r="AE12" s="27" t="n">
        <f aca="false">IF('Indicator Data'!AE12="",IF(Config!$C$15="Score as High (5)",5,0),IF(Indicators!$F12="Higher = riskier",1+('Indicator Data'!AE12&gt;=Indicators!$G12)+('Indicator Data'!AE12&gt;=Indicators!$H12)+('Indicator Data'!AE12&gt;=Indicators!$I12)+('Indicator Data'!AE12&gt;=Indicators!$J12),1+('Indicator Data'!AE12&lt;=Indicators!$G12)+('Indicator Data'!AE12&lt;=Indicators!$H12)+('Indicator Data'!AE12&lt;=Indicators!$I12)+('Indicator Data'!AE12&lt;=Indicators!$J12)))</f>
        <v>1</v>
      </c>
      <c r="AF12" s="27" t="n">
        <f aca="false">IF('Indicator Data'!AF12="",IF(Config!$C$15="Score as High (5)",5,0),IF(Indicators!$F12="Higher = riskier",1+('Indicator Data'!AF12&gt;=Indicators!$G12)+('Indicator Data'!AF12&gt;=Indicators!$H12)+('Indicator Data'!AF12&gt;=Indicators!$I12)+('Indicator Data'!AF12&gt;=Indicators!$J12),1+('Indicator Data'!AF12&lt;=Indicators!$G12)+('Indicator Data'!AF12&lt;=Indicators!$H12)+('Indicator Data'!AF12&lt;=Indicators!$I12)+('Indicator Data'!AF12&lt;=Indicators!$J12)))</f>
        <v>2</v>
      </c>
      <c r="AG12" s="27" t="n">
        <f aca="false">IF('Indicator Data'!AG12="",IF(Config!$C$15="Score as High (5)",5,0),IF(Indicators!$F12="Higher = riskier",1+('Indicator Data'!AG12&gt;=Indicators!$G12)+('Indicator Data'!AG12&gt;=Indicators!$H12)+('Indicator Data'!AG12&gt;=Indicators!$I12)+('Indicator Data'!AG12&gt;=Indicators!$J12),1+('Indicator Data'!AG12&lt;=Indicators!$G12)+('Indicator Data'!AG12&lt;=Indicators!$H12)+('Indicator Data'!AG12&lt;=Indicators!$I12)+('Indicator Data'!AG12&lt;=Indicators!$J12)))</f>
        <v>2</v>
      </c>
    </row>
    <row r="13" customFormat="false" ht="15" hidden="false" customHeight="false" outlineLevel="0" collapsed="false">
      <c r="A13" s="26" t="str">
        <f aca="false">Indicators!A13</f>
        <v>G02</v>
      </c>
      <c r="B13" s="26" t="str">
        <f aca="false">Indicators!C13</f>
        <v>% payment value involving sanctioned or high sanctions-risk jurisdictions</v>
      </c>
      <c r="C13" s="26" t="str">
        <f aca="false">Indicators!D13</f>
        <v>%</v>
      </c>
      <c r="D13" s="27" t="n">
        <f aca="false">IF('Indicator Data'!D13="",IF(Config!$C$15="Score as High (5)",5,0),IF(Indicators!$F13="Higher = riskier",1+('Indicator Data'!D13&gt;=Indicators!$G13)+('Indicator Data'!D13&gt;=Indicators!$H13)+('Indicator Data'!D13&gt;=Indicators!$I13)+('Indicator Data'!D13&gt;=Indicators!$J13),1+('Indicator Data'!D13&lt;=Indicators!$G13)+('Indicator Data'!D13&lt;=Indicators!$H13)+('Indicator Data'!D13&lt;=Indicators!$I13)+('Indicator Data'!D13&lt;=Indicators!$J13)))</f>
        <v>4</v>
      </c>
      <c r="E13" s="27" t="n">
        <f aca="false">IF('Indicator Data'!E13="",IF(Config!$C$15="Score as High (5)",5,0),IF(Indicators!$F13="Higher = riskier",1+('Indicator Data'!E13&gt;=Indicators!$G13)+('Indicator Data'!E13&gt;=Indicators!$H13)+('Indicator Data'!E13&gt;=Indicators!$I13)+('Indicator Data'!E13&gt;=Indicators!$J13),1+('Indicator Data'!E13&lt;=Indicators!$G13)+('Indicator Data'!E13&lt;=Indicators!$H13)+('Indicator Data'!E13&lt;=Indicators!$I13)+('Indicator Data'!E13&lt;=Indicators!$J13)))</f>
        <v>2</v>
      </c>
      <c r="F13" s="27" t="n">
        <f aca="false">IF('Indicator Data'!F13="",IF(Config!$C$15="Score as High (5)",5,0),IF(Indicators!$F13="Higher = riskier",1+('Indicator Data'!F13&gt;=Indicators!$G13)+('Indicator Data'!F13&gt;=Indicators!$H13)+('Indicator Data'!F13&gt;=Indicators!$I13)+('Indicator Data'!F13&gt;=Indicators!$J13),1+('Indicator Data'!F13&lt;=Indicators!$G13)+('Indicator Data'!F13&lt;=Indicators!$H13)+('Indicator Data'!F13&lt;=Indicators!$I13)+('Indicator Data'!F13&lt;=Indicators!$J13)))</f>
        <v>2</v>
      </c>
      <c r="G13" s="27" t="n">
        <f aca="false">IF('Indicator Data'!G13="",IF(Config!$C$15="Score as High (5)",5,0),IF(Indicators!$F13="Higher = riskier",1+('Indicator Data'!G13&gt;=Indicators!$G13)+('Indicator Data'!G13&gt;=Indicators!$H13)+('Indicator Data'!G13&gt;=Indicators!$I13)+('Indicator Data'!G13&gt;=Indicators!$J13),1+('Indicator Data'!G13&lt;=Indicators!$G13)+('Indicator Data'!G13&lt;=Indicators!$H13)+('Indicator Data'!G13&lt;=Indicators!$I13)+('Indicator Data'!G13&lt;=Indicators!$J13)))</f>
        <v>5</v>
      </c>
      <c r="H13" s="27" t="n">
        <f aca="false">IF('Indicator Data'!H13="",IF(Config!$C$15="Score as High (5)",5,0),IF(Indicators!$F13="Higher = riskier",1+('Indicator Data'!H13&gt;=Indicators!$G13)+('Indicator Data'!H13&gt;=Indicators!$H13)+('Indicator Data'!H13&gt;=Indicators!$I13)+('Indicator Data'!H13&gt;=Indicators!$J13),1+('Indicator Data'!H13&lt;=Indicators!$G13)+('Indicator Data'!H13&lt;=Indicators!$H13)+('Indicator Data'!H13&lt;=Indicators!$I13)+('Indicator Data'!H13&lt;=Indicators!$J13)))</f>
        <v>4</v>
      </c>
      <c r="I13" s="27" t="n">
        <f aca="false">IF('Indicator Data'!I13="",IF(Config!$C$15="Score as High (5)",5,0),IF(Indicators!$F13="Higher = riskier",1+('Indicator Data'!I13&gt;=Indicators!$G13)+('Indicator Data'!I13&gt;=Indicators!$H13)+('Indicator Data'!I13&gt;=Indicators!$I13)+('Indicator Data'!I13&gt;=Indicators!$J13),1+('Indicator Data'!I13&lt;=Indicators!$G13)+('Indicator Data'!I13&lt;=Indicators!$H13)+('Indicator Data'!I13&lt;=Indicators!$I13)+('Indicator Data'!I13&lt;=Indicators!$J13)))</f>
        <v>5</v>
      </c>
      <c r="J13" s="27" t="n">
        <f aca="false">IF('Indicator Data'!J13="",IF(Config!$C$15="Score as High (5)",5,0),IF(Indicators!$F13="Higher = riskier",1+('Indicator Data'!J13&gt;=Indicators!$G13)+('Indicator Data'!J13&gt;=Indicators!$H13)+('Indicator Data'!J13&gt;=Indicators!$I13)+('Indicator Data'!J13&gt;=Indicators!$J13),1+('Indicator Data'!J13&lt;=Indicators!$G13)+('Indicator Data'!J13&lt;=Indicators!$H13)+('Indicator Data'!J13&lt;=Indicators!$I13)+('Indicator Data'!J13&lt;=Indicators!$J13)))</f>
        <v>4</v>
      </c>
      <c r="K13" s="27" t="n">
        <f aca="false">IF('Indicator Data'!K13="",IF(Config!$C$15="Score as High (5)",5,0),IF(Indicators!$F13="Higher = riskier",1+('Indicator Data'!K13&gt;=Indicators!$G13)+('Indicator Data'!K13&gt;=Indicators!$H13)+('Indicator Data'!K13&gt;=Indicators!$I13)+('Indicator Data'!K13&gt;=Indicators!$J13),1+('Indicator Data'!K13&lt;=Indicators!$G13)+('Indicator Data'!K13&lt;=Indicators!$H13)+('Indicator Data'!K13&lt;=Indicators!$I13)+('Indicator Data'!K13&lt;=Indicators!$J13)))</f>
        <v>4</v>
      </c>
      <c r="L13" s="27" t="n">
        <f aca="false">IF('Indicator Data'!L13="",IF(Config!$C$15="Score as High (5)",5,0),IF(Indicators!$F13="Higher = riskier",1+('Indicator Data'!L13&gt;=Indicators!$G13)+('Indicator Data'!L13&gt;=Indicators!$H13)+('Indicator Data'!L13&gt;=Indicators!$I13)+('Indicator Data'!L13&gt;=Indicators!$J13),1+('Indicator Data'!L13&lt;=Indicators!$G13)+('Indicator Data'!L13&lt;=Indicators!$H13)+('Indicator Data'!L13&lt;=Indicators!$I13)+('Indicator Data'!L13&lt;=Indicators!$J13)))</f>
        <v>4</v>
      </c>
      <c r="M13" s="27" t="n">
        <f aca="false">IF('Indicator Data'!M13="",IF(Config!$C$15="Score as High (5)",5,0),IF(Indicators!$F13="Higher = riskier",1+('Indicator Data'!M13&gt;=Indicators!$G13)+('Indicator Data'!M13&gt;=Indicators!$H13)+('Indicator Data'!M13&gt;=Indicators!$I13)+('Indicator Data'!M13&gt;=Indicators!$J13),1+('Indicator Data'!M13&lt;=Indicators!$G13)+('Indicator Data'!M13&lt;=Indicators!$H13)+('Indicator Data'!M13&lt;=Indicators!$I13)+('Indicator Data'!M13&lt;=Indicators!$J13)))</f>
        <v>3</v>
      </c>
      <c r="N13" s="27" t="n">
        <f aca="false">IF('Indicator Data'!N13="",IF(Config!$C$15="Score as High (5)",5,0),IF(Indicators!$F13="Higher = riskier",1+('Indicator Data'!N13&gt;=Indicators!$G13)+('Indicator Data'!N13&gt;=Indicators!$H13)+('Indicator Data'!N13&gt;=Indicators!$I13)+('Indicator Data'!N13&gt;=Indicators!$J13),1+('Indicator Data'!N13&lt;=Indicators!$G13)+('Indicator Data'!N13&lt;=Indicators!$H13)+('Indicator Data'!N13&lt;=Indicators!$I13)+('Indicator Data'!N13&lt;=Indicators!$J13)))</f>
        <v>3</v>
      </c>
      <c r="O13" s="27" t="n">
        <f aca="false">IF('Indicator Data'!O13="",IF(Config!$C$15="Score as High (5)",5,0),IF(Indicators!$F13="Higher = riskier",1+('Indicator Data'!O13&gt;=Indicators!$G13)+('Indicator Data'!O13&gt;=Indicators!$H13)+('Indicator Data'!O13&gt;=Indicators!$I13)+('Indicator Data'!O13&gt;=Indicators!$J13),1+('Indicator Data'!O13&lt;=Indicators!$G13)+('Indicator Data'!O13&lt;=Indicators!$H13)+('Indicator Data'!O13&lt;=Indicators!$I13)+('Indicator Data'!O13&lt;=Indicators!$J13)))</f>
        <v>4</v>
      </c>
      <c r="P13" s="27" t="n">
        <f aca="false">IF('Indicator Data'!P13="",IF(Config!$C$15="Score as High (5)",5,0),IF(Indicators!$F13="Higher = riskier",1+('Indicator Data'!P13&gt;=Indicators!$G13)+('Indicator Data'!P13&gt;=Indicators!$H13)+('Indicator Data'!P13&gt;=Indicators!$I13)+('Indicator Data'!P13&gt;=Indicators!$J13),1+('Indicator Data'!P13&lt;=Indicators!$G13)+('Indicator Data'!P13&lt;=Indicators!$H13)+('Indicator Data'!P13&lt;=Indicators!$I13)+('Indicator Data'!P13&lt;=Indicators!$J13)))</f>
        <v>3</v>
      </c>
      <c r="Q13" s="27" t="n">
        <f aca="false">IF('Indicator Data'!Q13="",IF(Config!$C$15="Score as High (5)",5,0),IF(Indicators!$F13="Higher = riskier",1+('Indicator Data'!Q13&gt;=Indicators!$G13)+('Indicator Data'!Q13&gt;=Indicators!$H13)+('Indicator Data'!Q13&gt;=Indicators!$I13)+('Indicator Data'!Q13&gt;=Indicators!$J13),1+('Indicator Data'!Q13&lt;=Indicators!$G13)+('Indicator Data'!Q13&lt;=Indicators!$H13)+('Indicator Data'!Q13&lt;=Indicators!$I13)+('Indicator Data'!Q13&lt;=Indicators!$J13)))</f>
        <v>4</v>
      </c>
      <c r="R13" s="27" t="n">
        <f aca="false">IF('Indicator Data'!R13="",IF(Config!$C$15="Score as High (5)",5,0),IF(Indicators!$F13="Higher = riskier",1+('Indicator Data'!R13&gt;=Indicators!$G13)+('Indicator Data'!R13&gt;=Indicators!$H13)+('Indicator Data'!R13&gt;=Indicators!$I13)+('Indicator Data'!R13&gt;=Indicators!$J13),1+('Indicator Data'!R13&lt;=Indicators!$G13)+('Indicator Data'!R13&lt;=Indicators!$H13)+('Indicator Data'!R13&lt;=Indicators!$I13)+('Indicator Data'!R13&lt;=Indicators!$J13)))</f>
        <v>2</v>
      </c>
      <c r="S13" s="27" t="n">
        <f aca="false">IF('Indicator Data'!S13="",IF(Config!$C$15="Score as High (5)",5,0),IF(Indicators!$F13="Higher = riskier",1+('Indicator Data'!S13&gt;=Indicators!$G13)+('Indicator Data'!S13&gt;=Indicators!$H13)+('Indicator Data'!S13&gt;=Indicators!$I13)+('Indicator Data'!S13&gt;=Indicators!$J13),1+('Indicator Data'!S13&lt;=Indicators!$G13)+('Indicator Data'!S13&lt;=Indicators!$H13)+('Indicator Data'!S13&lt;=Indicators!$I13)+('Indicator Data'!S13&lt;=Indicators!$J13)))</f>
        <v>5</v>
      </c>
      <c r="T13" s="27" t="n">
        <f aca="false">IF('Indicator Data'!T13="",IF(Config!$C$15="Score as High (5)",5,0),IF(Indicators!$F13="Higher = riskier",1+('Indicator Data'!T13&gt;=Indicators!$G13)+('Indicator Data'!T13&gt;=Indicators!$H13)+('Indicator Data'!T13&gt;=Indicators!$I13)+('Indicator Data'!T13&gt;=Indicators!$J13),1+('Indicator Data'!T13&lt;=Indicators!$G13)+('Indicator Data'!T13&lt;=Indicators!$H13)+('Indicator Data'!T13&lt;=Indicators!$I13)+('Indicator Data'!T13&lt;=Indicators!$J13)))</f>
        <v>4</v>
      </c>
      <c r="U13" s="27" t="n">
        <f aca="false">IF('Indicator Data'!U13="",IF(Config!$C$15="Score as High (5)",5,0),IF(Indicators!$F13="Higher = riskier",1+('Indicator Data'!U13&gt;=Indicators!$G13)+('Indicator Data'!U13&gt;=Indicators!$H13)+('Indicator Data'!U13&gt;=Indicators!$I13)+('Indicator Data'!U13&gt;=Indicators!$J13),1+('Indicator Data'!U13&lt;=Indicators!$G13)+('Indicator Data'!U13&lt;=Indicators!$H13)+('Indicator Data'!U13&lt;=Indicators!$I13)+('Indicator Data'!U13&lt;=Indicators!$J13)))</f>
        <v>3</v>
      </c>
      <c r="V13" s="27" t="n">
        <f aca="false">IF('Indicator Data'!V13="",IF(Config!$C$15="Score as High (5)",5,0),IF(Indicators!$F13="Higher = riskier",1+('Indicator Data'!V13&gt;=Indicators!$G13)+('Indicator Data'!V13&gt;=Indicators!$H13)+('Indicator Data'!V13&gt;=Indicators!$I13)+('Indicator Data'!V13&gt;=Indicators!$J13),1+('Indicator Data'!V13&lt;=Indicators!$G13)+('Indicator Data'!V13&lt;=Indicators!$H13)+('Indicator Data'!V13&lt;=Indicators!$I13)+('Indicator Data'!V13&lt;=Indicators!$J13)))</f>
        <v>3</v>
      </c>
      <c r="W13" s="27" t="n">
        <f aca="false">IF('Indicator Data'!W13="",IF(Config!$C$15="Score as High (5)",5,0),IF(Indicators!$F13="Higher = riskier",1+('Indicator Data'!W13&gt;=Indicators!$G13)+('Indicator Data'!W13&gt;=Indicators!$H13)+('Indicator Data'!W13&gt;=Indicators!$I13)+('Indicator Data'!W13&gt;=Indicators!$J13),1+('Indicator Data'!W13&lt;=Indicators!$G13)+('Indicator Data'!W13&lt;=Indicators!$H13)+('Indicator Data'!W13&lt;=Indicators!$I13)+('Indicator Data'!W13&lt;=Indicators!$J13)))</f>
        <v>3</v>
      </c>
      <c r="X13" s="27" t="n">
        <f aca="false">IF('Indicator Data'!X13="",IF(Config!$C$15="Score as High (5)",5,0),IF(Indicators!$F13="Higher = riskier",1+('Indicator Data'!X13&gt;=Indicators!$G13)+('Indicator Data'!X13&gt;=Indicators!$H13)+('Indicator Data'!X13&gt;=Indicators!$I13)+('Indicator Data'!X13&gt;=Indicators!$J13),1+('Indicator Data'!X13&lt;=Indicators!$G13)+('Indicator Data'!X13&lt;=Indicators!$H13)+('Indicator Data'!X13&lt;=Indicators!$I13)+('Indicator Data'!X13&lt;=Indicators!$J13)))</f>
        <v>4</v>
      </c>
      <c r="Y13" s="27" t="n">
        <f aca="false">IF('Indicator Data'!Y13="",IF(Config!$C$15="Score as High (5)",5,0),IF(Indicators!$F13="Higher = riskier",1+('Indicator Data'!Y13&gt;=Indicators!$G13)+('Indicator Data'!Y13&gt;=Indicators!$H13)+('Indicator Data'!Y13&gt;=Indicators!$I13)+('Indicator Data'!Y13&gt;=Indicators!$J13),1+('Indicator Data'!Y13&lt;=Indicators!$G13)+('Indicator Data'!Y13&lt;=Indicators!$H13)+('Indicator Data'!Y13&lt;=Indicators!$I13)+('Indicator Data'!Y13&lt;=Indicators!$J13)))</f>
        <v>1</v>
      </c>
      <c r="Z13" s="27" t="n">
        <f aca="false">IF('Indicator Data'!Z13="",IF(Config!$C$15="Score as High (5)",5,0),IF(Indicators!$F13="Higher = riskier",1+('Indicator Data'!Z13&gt;=Indicators!$G13)+('Indicator Data'!Z13&gt;=Indicators!$H13)+('Indicator Data'!Z13&gt;=Indicators!$I13)+('Indicator Data'!Z13&gt;=Indicators!$J13),1+('Indicator Data'!Z13&lt;=Indicators!$G13)+('Indicator Data'!Z13&lt;=Indicators!$H13)+('Indicator Data'!Z13&lt;=Indicators!$I13)+('Indicator Data'!Z13&lt;=Indicators!$J13)))</f>
        <v>2</v>
      </c>
      <c r="AA13" s="27" t="n">
        <f aca="false">IF('Indicator Data'!AA13="",IF(Config!$C$15="Score as High (5)",5,0),IF(Indicators!$F13="Higher = riskier",1+('Indicator Data'!AA13&gt;=Indicators!$G13)+('Indicator Data'!AA13&gt;=Indicators!$H13)+('Indicator Data'!AA13&gt;=Indicators!$I13)+('Indicator Data'!AA13&gt;=Indicators!$J13),1+('Indicator Data'!AA13&lt;=Indicators!$G13)+('Indicator Data'!AA13&lt;=Indicators!$H13)+('Indicator Data'!AA13&lt;=Indicators!$I13)+('Indicator Data'!AA13&lt;=Indicators!$J13)))</f>
        <v>2</v>
      </c>
      <c r="AB13" s="27" t="n">
        <f aca="false">IF('Indicator Data'!AB13="",IF(Config!$C$15="Score as High (5)",5,0),IF(Indicators!$F13="Higher = riskier",1+('Indicator Data'!AB13&gt;=Indicators!$G13)+('Indicator Data'!AB13&gt;=Indicators!$H13)+('Indicator Data'!AB13&gt;=Indicators!$I13)+('Indicator Data'!AB13&gt;=Indicators!$J13),1+('Indicator Data'!AB13&lt;=Indicators!$G13)+('Indicator Data'!AB13&lt;=Indicators!$H13)+('Indicator Data'!AB13&lt;=Indicators!$I13)+('Indicator Data'!AB13&lt;=Indicators!$J13)))</f>
        <v>2</v>
      </c>
      <c r="AC13" s="27" t="n">
        <f aca="false">IF('Indicator Data'!AC13="",IF(Config!$C$15="Score as High (5)",5,0),IF(Indicators!$F13="Higher = riskier",1+('Indicator Data'!AC13&gt;=Indicators!$G13)+('Indicator Data'!AC13&gt;=Indicators!$H13)+('Indicator Data'!AC13&gt;=Indicators!$I13)+('Indicator Data'!AC13&gt;=Indicators!$J13),1+('Indicator Data'!AC13&lt;=Indicators!$G13)+('Indicator Data'!AC13&lt;=Indicators!$H13)+('Indicator Data'!AC13&lt;=Indicators!$I13)+('Indicator Data'!AC13&lt;=Indicators!$J13)))</f>
        <v>2</v>
      </c>
      <c r="AD13" s="27" t="n">
        <f aca="false">IF('Indicator Data'!AD13="",IF(Config!$C$15="Score as High (5)",5,0),IF(Indicators!$F13="Higher = riskier",1+('Indicator Data'!AD13&gt;=Indicators!$G13)+('Indicator Data'!AD13&gt;=Indicators!$H13)+('Indicator Data'!AD13&gt;=Indicators!$I13)+('Indicator Data'!AD13&gt;=Indicators!$J13),1+('Indicator Data'!AD13&lt;=Indicators!$G13)+('Indicator Data'!AD13&lt;=Indicators!$H13)+('Indicator Data'!AD13&lt;=Indicators!$I13)+('Indicator Data'!AD13&lt;=Indicators!$J13)))</f>
        <v>4</v>
      </c>
      <c r="AE13" s="27" t="n">
        <f aca="false">IF('Indicator Data'!AE13="",IF(Config!$C$15="Score as High (5)",5,0),IF(Indicators!$F13="Higher = riskier",1+('Indicator Data'!AE13&gt;=Indicators!$G13)+('Indicator Data'!AE13&gt;=Indicators!$H13)+('Indicator Data'!AE13&gt;=Indicators!$I13)+('Indicator Data'!AE13&gt;=Indicators!$J13),1+('Indicator Data'!AE13&lt;=Indicators!$G13)+('Indicator Data'!AE13&lt;=Indicators!$H13)+('Indicator Data'!AE13&lt;=Indicators!$I13)+('Indicator Data'!AE13&lt;=Indicators!$J13)))</f>
        <v>2</v>
      </c>
      <c r="AF13" s="27" t="n">
        <f aca="false">IF('Indicator Data'!AF13="",IF(Config!$C$15="Score as High (5)",5,0),IF(Indicators!$F13="Higher = riskier",1+('Indicator Data'!AF13&gt;=Indicators!$G13)+('Indicator Data'!AF13&gt;=Indicators!$H13)+('Indicator Data'!AF13&gt;=Indicators!$I13)+('Indicator Data'!AF13&gt;=Indicators!$J13),1+('Indicator Data'!AF13&lt;=Indicators!$G13)+('Indicator Data'!AF13&lt;=Indicators!$H13)+('Indicator Data'!AF13&lt;=Indicators!$I13)+('Indicator Data'!AF13&lt;=Indicators!$J13)))</f>
        <v>1</v>
      </c>
      <c r="AG13" s="27" t="n">
        <f aca="false">IF('Indicator Data'!AG13="",IF(Config!$C$15="Score as High (5)",5,0),IF(Indicators!$F13="Higher = riskier",1+('Indicator Data'!AG13&gt;=Indicators!$G13)+('Indicator Data'!AG13&gt;=Indicators!$H13)+('Indicator Data'!AG13&gt;=Indicators!$I13)+('Indicator Data'!AG13&gt;=Indicators!$J13),1+('Indicator Data'!AG13&lt;=Indicators!$G13)+('Indicator Data'!AG13&lt;=Indicators!$H13)+('Indicator Data'!AG13&lt;=Indicators!$I13)+('Indicator Data'!AG13&lt;=Indicators!$J13)))</f>
        <v>2</v>
      </c>
    </row>
    <row r="14" customFormat="false" ht="15" hidden="false" customHeight="false" outlineLevel="0" collapsed="false">
      <c r="A14" s="26" t="str">
        <f aca="false">Indicators!A14</f>
        <v>G03</v>
      </c>
      <c r="B14" s="26" t="str">
        <f aca="false">Indicators!C14</f>
        <v>Host-country national ML/TF risk (NRA-based, 1–5)</v>
      </c>
      <c r="C14" s="26" t="str">
        <f aca="false">Indicators!D14</f>
        <v>score 1–5</v>
      </c>
      <c r="D14" s="27" t="n">
        <f aca="false">IF('Indicator Data'!D14="",IF(Config!$C$15="Score as High (5)",5,0),IF(Indicators!$F14="Higher = riskier",1+('Indicator Data'!D14&gt;=Indicators!$G14)+('Indicator Data'!D14&gt;=Indicators!$H14)+('Indicator Data'!D14&gt;=Indicators!$I14)+('Indicator Data'!D14&gt;=Indicators!$J14),1+('Indicator Data'!D14&lt;=Indicators!$G14)+('Indicator Data'!D14&lt;=Indicators!$H14)+('Indicator Data'!D14&lt;=Indicators!$I14)+('Indicator Data'!D14&lt;=Indicators!$J14)))</f>
        <v>4</v>
      </c>
      <c r="E14" s="27" t="n">
        <f aca="false">IF('Indicator Data'!E14="",IF(Config!$C$15="Score as High (5)",5,0),IF(Indicators!$F14="Higher = riskier",1+('Indicator Data'!E14&gt;=Indicators!$G14)+('Indicator Data'!E14&gt;=Indicators!$H14)+('Indicator Data'!E14&gt;=Indicators!$I14)+('Indicator Data'!E14&gt;=Indicators!$J14),1+('Indicator Data'!E14&lt;=Indicators!$G14)+('Indicator Data'!E14&lt;=Indicators!$H14)+('Indicator Data'!E14&lt;=Indicators!$I14)+('Indicator Data'!E14&lt;=Indicators!$J14)))</f>
        <v>2</v>
      </c>
      <c r="F14" s="27" t="n">
        <f aca="false">IF('Indicator Data'!F14="",IF(Config!$C$15="Score as High (5)",5,0),IF(Indicators!$F14="Higher = riskier",1+('Indicator Data'!F14&gt;=Indicators!$G14)+('Indicator Data'!F14&gt;=Indicators!$H14)+('Indicator Data'!F14&gt;=Indicators!$I14)+('Indicator Data'!F14&gt;=Indicators!$J14),1+('Indicator Data'!F14&lt;=Indicators!$G14)+('Indicator Data'!F14&lt;=Indicators!$H14)+('Indicator Data'!F14&lt;=Indicators!$I14)+('Indicator Data'!F14&lt;=Indicators!$J14)))</f>
        <v>3</v>
      </c>
      <c r="G14" s="27" t="n">
        <f aca="false">IF('Indicator Data'!G14="",IF(Config!$C$15="Score as High (5)",5,0),IF(Indicators!$F14="Higher = riskier",1+('Indicator Data'!G14&gt;=Indicators!$G14)+('Indicator Data'!G14&gt;=Indicators!$H14)+('Indicator Data'!G14&gt;=Indicators!$I14)+('Indicator Data'!G14&gt;=Indicators!$J14),1+('Indicator Data'!G14&lt;=Indicators!$G14)+('Indicator Data'!G14&lt;=Indicators!$H14)+('Indicator Data'!G14&lt;=Indicators!$I14)+('Indicator Data'!G14&lt;=Indicators!$J14)))</f>
        <v>3</v>
      </c>
      <c r="H14" s="27" t="n">
        <f aca="false">IF('Indicator Data'!H14="",IF(Config!$C$15="Score as High (5)",5,0),IF(Indicators!$F14="Higher = riskier",1+('Indicator Data'!H14&gt;=Indicators!$G14)+('Indicator Data'!H14&gt;=Indicators!$H14)+('Indicator Data'!H14&gt;=Indicators!$I14)+('Indicator Data'!H14&gt;=Indicators!$J14),1+('Indicator Data'!H14&lt;=Indicators!$G14)+('Indicator Data'!H14&lt;=Indicators!$H14)+('Indicator Data'!H14&lt;=Indicators!$I14)+('Indicator Data'!H14&lt;=Indicators!$J14)))</f>
        <v>4</v>
      </c>
      <c r="I14" s="27" t="n">
        <f aca="false">IF('Indicator Data'!I14="",IF(Config!$C$15="Score as High (5)",5,0),IF(Indicators!$F14="Higher = riskier",1+('Indicator Data'!I14&gt;=Indicators!$G14)+('Indicator Data'!I14&gt;=Indicators!$H14)+('Indicator Data'!I14&gt;=Indicators!$I14)+('Indicator Data'!I14&gt;=Indicators!$J14),1+('Indicator Data'!I14&lt;=Indicators!$G14)+('Indicator Data'!I14&lt;=Indicators!$H14)+('Indicator Data'!I14&lt;=Indicators!$I14)+('Indicator Data'!I14&lt;=Indicators!$J14)))</f>
        <v>4</v>
      </c>
      <c r="J14" s="27" t="n">
        <f aca="false">IF('Indicator Data'!J14="",IF(Config!$C$15="Score as High (5)",5,0),IF(Indicators!$F14="Higher = riskier",1+('Indicator Data'!J14&gt;=Indicators!$G14)+('Indicator Data'!J14&gt;=Indicators!$H14)+('Indicator Data'!J14&gt;=Indicators!$I14)+('Indicator Data'!J14&gt;=Indicators!$J14),1+('Indicator Data'!J14&lt;=Indicators!$G14)+('Indicator Data'!J14&lt;=Indicators!$H14)+('Indicator Data'!J14&lt;=Indicators!$I14)+('Indicator Data'!J14&lt;=Indicators!$J14)))</f>
        <v>5</v>
      </c>
      <c r="K14" s="27" t="n">
        <f aca="false">IF('Indicator Data'!K14="",IF(Config!$C$15="Score as High (5)",5,0),IF(Indicators!$F14="Higher = riskier",1+('Indicator Data'!K14&gt;=Indicators!$G14)+('Indicator Data'!K14&gt;=Indicators!$H14)+('Indicator Data'!K14&gt;=Indicators!$I14)+('Indicator Data'!K14&gt;=Indicators!$J14),1+('Indicator Data'!K14&lt;=Indicators!$G14)+('Indicator Data'!K14&lt;=Indicators!$H14)+('Indicator Data'!K14&lt;=Indicators!$I14)+('Indicator Data'!K14&lt;=Indicators!$J14)))</f>
        <v>5</v>
      </c>
      <c r="L14" s="27" t="n">
        <f aca="false">IF('Indicator Data'!L14="",IF(Config!$C$15="Score as High (5)",5,0),IF(Indicators!$F14="Higher = riskier",1+('Indicator Data'!L14&gt;=Indicators!$G14)+('Indicator Data'!L14&gt;=Indicators!$H14)+('Indicator Data'!L14&gt;=Indicators!$I14)+('Indicator Data'!L14&gt;=Indicators!$J14),1+('Indicator Data'!L14&lt;=Indicators!$G14)+('Indicator Data'!L14&lt;=Indicators!$H14)+('Indicator Data'!L14&lt;=Indicators!$I14)+('Indicator Data'!L14&lt;=Indicators!$J14)))</f>
        <v>4</v>
      </c>
      <c r="M14" s="27" t="n">
        <f aca="false">IF('Indicator Data'!M14="",IF(Config!$C$15="Score as High (5)",5,0),IF(Indicators!$F14="Higher = riskier",1+('Indicator Data'!M14&gt;=Indicators!$G14)+('Indicator Data'!M14&gt;=Indicators!$H14)+('Indicator Data'!M14&gt;=Indicators!$I14)+('Indicator Data'!M14&gt;=Indicators!$J14),1+('Indicator Data'!M14&lt;=Indicators!$G14)+('Indicator Data'!M14&lt;=Indicators!$H14)+('Indicator Data'!M14&lt;=Indicators!$I14)+('Indicator Data'!M14&lt;=Indicators!$J14)))</f>
        <v>3</v>
      </c>
      <c r="N14" s="27" t="n">
        <f aca="false">IF('Indicator Data'!N14="",IF(Config!$C$15="Score as High (5)",5,0),IF(Indicators!$F14="Higher = riskier",1+('Indicator Data'!N14&gt;=Indicators!$G14)+('Indicator Data'!N14&gt;=Indicators!$H14)+('Indicator Data'!N14&gt;=Indicators!$I14)+('Indicator Data'!N14&gt;=Indicators!$J14),1+('Indicator Data'!N14&lt;=Indicators!$G14)+('Indicator Data'!N14&lt;=Indicators!$H14)+('Indicator Data'!N14&lt;=Indicators!$I14)+('Indicator Data'!N14&lt;=Indicators!$J14)))</f>
        <v>3</v>
      </c>
      <c r="O14" s="27" t="n">
        <f aca="false">IF('Indicator Data'!O14="",IF(Config!$C$15="Score as High (5)",5,0),IF(Indicators!$F14="Higher = riskier",1+('Indicator Data'!O14&gt;=Indicators!$G14)+('Indicator Data'!O14&gt;=Indicators!$H14)+('Indicator Data'!O14&gt;=Indicators!$I14)+('Indicator Data'!O14&gt;=Indicators!$J14),1+('Indicator Data'!O14&lt;=Indicators!$G14)+('Indicator Data'!O14&lt;=Indicators!$H14)+('Indicator Data'!O14&lt;=Indicators!$I14)+('Indicator Data'!O14&lt;=Indicators!$J14)))</f>
        <v>3</v>
      </c>
      <c r="P14" s="27" t="n">
        <f aca="false">IF('Indicator Data'!P14="",IF(Config!$C$15="Score as High (5)",5,0),IF(Indicators!$F14="Higher = riskier",1+('Indicator Data'!P14&gt;=Indicators!$G14)+('Indicator Data'!P14&gt;=Indicators!$H14)+('Indicator Data'!P14&gt;=Indicators!$I14)+('Indicator Data'!P14&gt;=Indicators!$J14),1+('Indicator Data'!P14&lt;=Indicators!$G14)+('Indicator Data'!P14&lt;=Indicators!$H14)+('Indicator Data'!P14&lt;=Indicators!$I14)+('Indicator Data'!P14&lt;=Indicators!$J14)))</f>
        <v>3</v>
      </c>
      <c r="Q14" s="27" t="n">
        <f aca="false">IF('Indicator Data'!Q14="",IF(Config!$C$15="Score as High (5)",5,0),IF(Indicators!$F14="Higher = riskier",1+('Indicator Data'!Q14&gt;=Indicators!$G14)+('Indicator Data'!Q14&gt;=Indicators!$H14)+('Indicator Data'!Q14&gt;=Indicators!$I14)+('Indicator Data'!Q14&gt;=Indicators!$J14),1+('Indicator Data'!Q14&lt;=Indicators!$G14)+('Indicator Data'!Q14&lt;=Indicators!$H14)+('Indicator Data'!Q14&lt;=Indicators!$I14)+('Indicator Data'!Q14&lt;=Indicators!$J14)))</f>
        <v>3</v>
      </c>
      <c r="R14" s="27" t="n">
        <f aca="false">IF('Indicator Data'!R14="",IF(Config!$C$15="Score as High (5)",5,0),IF(Indicators!$F14="Higher = riskier",1+('Indicator Data'!R14&gt;=Indicators!$G14)+('Indicator Data'!R14&gt;=Indicators!$H14)+('Indicator Data'!R14&gt;=Indicators!$I14)+('Indicator Data'!R14&gt;=Indicators!$J14),1+('Indicator Data'!R14&lt;=Indicators!$G14)+('Indicator Data'!R14&lt;=Indicators!$H14)+('Indicator Data'!R14&lt;=Indicators!$I14)+('Indicator Data'!R14&lt;=Indicators!$J14)))</f>
        <v>4</v>
      </c>
      <c r="S14" s="27" t="n">
        <f aca="false">IF('Indicator Data'!S14="",IF(Config!$C$15="Score as High (5)",5,0),IF(Indicators!$F14="Higher = riskier",1+('Indicator Data'!S14&gt;=Indicators!$G14)+('Indicator Data'!S14&gt;=Indicators!$H14)+('Indicator Data'!S14&gt;=Indicators!$I14)+('Indicator Data'!S14&gt;=Indicators!$J14),1+('Indicator Data'!S14&lt;=Indicators!$G14)+('Indicator Data'!S14&lt;=Indicators!$H14)+('Indicator Data'!S14&lt;=Indicators!$I14)+('Indicator Data'!S14&lt;=Indicators!$J14)))</f>
        <v>5</v>
      </c>
      <c r="T14" s="27" t="n">
        <f aca="false">IF('Indicator Data'!T14="",IF(Config!$C$15="Score as High (5)",5,0),IF(Indicators!$F14="Higher = riskier",1+('Indicator Data'!T14&gt;=Indicators!$G14)+('Indicator Data'!T14&gt;=Indicators!$H14)+('Indicator Data'!T14&gt;=Indicators!$I14)+('Indicator Data'!T14&gt;=Indicators!$J14),1+('Indicator Data'!T14&lt;=Indicators!$G14)+('Indicator Data'!T14&lt;=Indicators!$H14)+('Indicator Data'!T14&lt;=Indicators!$I14)+('Indicator Data'!T14&lt;=Indicators!$J14)))</f>
        <v>2</v>
      </c>
      <c r="U14" s="27" t="n">
        <f aca="false">IF('Indicator Data'!U14="",IF(Config!$C$15="Score as High (5)",5,0),IF(Indicators!$F14="Higher = riskier",1+('Indicator Data'!U14&gt;=Indicators!$G14)+('Indicator Data'!U14&gt;=Indicators!$H14)+('Indicator Data'!U14&gt;=Indicators!$I14)+('Indicator Data'!U14&gt;=Indicators!$J14),1+('Indicator Data'!U14&lt;=Indicators!$G14)+('Indicator Data'!U14&lt;=Indicators!$H14)+('Indicator Data'!U14&lt;=Indicators!$I14)+('Indicator Data'!U14&lt;=Indicators!$J14)))</f>
        <v>3</v>
      </c>
      <c r="V14" s="27" t="n">
        <f aca="false">IF('Indicator Data'!V14="",IF(Config!$C$15="Score as High (5)",5,0),IF(Indicators!$F14="Higher = riskier",1+('Indicator Data'!V14&gt;=Indicators!$G14)+('Indicator Data'!V14&gt;=Indicators!$H14)+('Indicator Data'!V14&gt;=Indicators!$I14)+('Indicator Data'!V14&gt;=Indicators!$J14),1+('Indicator Data'!V14&lt;=Indicators!$G14)+('Indicator Data'!V14&lt;=Indicators!$H14)+('Indicator Data'!V14&lt;=Indicators!$I14)+('Indicator Data'!V14&lt;=Indicators!$J14)))</f>
        <v>4</v>
      </c>
      <c r="W14" s="27" t="n">
        <f aca="false">IF('Indicator Data'!W14="",IF(Config!$C$15="Score as High (5)",5,0),IF(Indicators!$F14="Higher = riskier",1+('Indicator Data'!W14&gt;=Indicators!$G14)+('Indicator Data'!W14&gt;=Indicators!$H14)+('Indicator Data'!W14&gt;=Indicators!$I14)+('Indicator Data'!W14&gt;=Indicators!$J14),1+('Indicator Data'!W14&lt;=Indicators!$G14)+('Indicator Data'!W14&lt;=Indicators!$H14)+('Indicator Data'!W14&lt;=Indicators!$I14)+('Indicator Data'!W14&lt;=Indicators!$J14)))</f>
        <v>3</v>
      </c>
      <c r="X14" s="27" t="n">
        <f aca="false">IF('Indicator Data'!X14="",IF(Config!$C$15="Score as High (5)",5,0),IF(Indicators!$F14="Higher = riskier",1+('Indicator Data'!X14&gt;=Indicators!$G14)+('Indicator Data'!X14&gt;=Indicators!$H14)+('Indicator Data'!X14&gt;=Indicators!$I14)+('Indicator Data'!X14&gt;=Indicators!$J14),1+('Indicator Data'!X14&lt;=Indicators!$G14)+('Indicator Data'!X14&lt;=Indicators!$H14)+('Indicator Data'!X14&lt;=Indicators!$I14)+('Indicator Data'!X14&lt;=Indicators!$J14)))</f>
        <v>5</v>
      </c>
      <c r="Y14" s="27" t="n">
        <f aca="false">IF('Indicator Data'!Y14="",IF(Config!$C$15="Score as High (5)",5,0),IF(Indicators!$F14="Higher = riskier",1+('Indicator Data'!Y14&gt;=Indicators!$G14)+('Indicator Data'!Y14&gt;=Indicators!$H14)+('Indicator Data'!Y14&gt;=Indicators!$I14)+('Indicator Data'!Y14&gt;=Indicators!$J14),1+('Indicator Data'!Y14&lt;=Indicators!$G14)+('Indicator Data'!Y14&lt;=Indicators!$H14)+('Indicator Data'!Y14&lt;=Indicators!$I14)+('Indicator Data'!Y14&lt;=Indicators!$J14)))</f>
        <v>3</v>
      </c>
      <c r="Z14" s="27" t="n">
        <f aca="false">IF('Indicator Data'!Z14="",IF(Config!$C$15="Score as High (5)",5,0),IF(Indicators!$F14="Higher = riskier",1+('Indicator Data'!Z14&gt;=Indicators!$G14)+('Indicator Data'!Z14&gt;=Indicators!$H14)+('Indicator Data'!Z14&gt;=Indicators!$I14)+('Indicator Data'!Z14&gt;=Indicators!$J14),1+('Indicator Data'!Z14&lt;=Indicators!$G14)+('Indicator Data'!Z14&lt;=Indicators!$H14)+('Indicator Data'!Z14&lt;=Indicators!$I14)+('Indicator Data'!Z14&lt;=Indicators!$J14)))</f>
        <v>2</v>
      </c>
      <c r="AA14" s="27" t="n">
        <f aca="false">IF('Indicator Data'!AA14="",IF(Config!$C$15="Score as High (5)",5,0),IF(Indicators!$F14="Higher = riskier",1+('Indicator Data'!AA14&gt;=Indicators!$G14)+('Indicator Data'!AA14&gt;=Indicators!$H14)+('Indicator Data'!AA14&gt;=Indicators!$I14)+('Indicator Data'!AA14&gt;=Indicators!$J14),1+('Indicator Data'!AA14&lt;=Indicators!$G14)+('Indicator Data'!AA14&lt;=Indicators!$H14)+('Indicator Data'!AA14&lt;=Indicators!$I14)+('Indicator Data'!AA14&lt;=Indicators!$J14)))</f>
        <v>2</v>
      </c>
      <c r="AB14" s="27" t="n">
        <f aca="false">IF('Indicator Data'!AB14="",IF(Config!$C$15="Score as High (5)",5,0),IF(Indicators!$F14="Higher = riskier",1+('Indicator Data'!AB14&gt;=Indicators!$G14)+('Indicator Data'!AB14&gt;=Indicators!$H14)+('Indicator Data'!AB14&gt;=Indicators!$I14)+('Indicator Data'!AB14&gt;=Indicators!$J14),1+('Indicator Data'!AB14&lt;=Indicators!$G14)+('Indicator Data'!AB14&lt;=Indicators!$H14)+('Indicator Data'!AB14&lt;=Indicators!$I14)+('Indicator Data'!AB14&lt;=Indicators!$J14)))</f>
        <v>2</v>
      </c>
      <c r="AC14" s="27" t="n">
        <f aca="false">IF('Indicator Data'!AC14="",IF(Config!$C$15="Score as High (5)",5,0),IF(Indicators!$F14="Higher = riskier",1+('Indicator Data'!AC14&gt;=Indicators!$G14)+('Indicator Data'!AC14&gt;=Indicators!$H14)+('Indicator Data'!AC14&gt;=Indicators!$I14)+('Indicator Data'!AC14&gt;=Indicators!$J14),1+('Indicator Data'!AC14&lt;=Indicators!$G14)+('Indicator Data'!AC14&lt;=Indicators!$H14)+('Indicator Data'!AC14&lt;=Indicators!$I14)+('Indicator Data'!AC14&lt;=Indicators!$J14)))</f>
        <v>3</v>
      </c>
      <c r="AD14" s="27" t="n">
        <f aca="false">IF('Indicator Data'!AD14="",IF(Config!$C$15="Score as High (5)",5,0),IF(Indicators!$F14="Higher = riskier",1+('Indicator Data'!AD14&gt;=Indicators!$G14)+('Indicator Data'!AD14&gt;=Indicators!$H14)+('Indicator Data'!AD14&gt;=Indicators!$I14)+('Indicator Data'!AD14&gt;=Indicators!$J14),1+('Indicator Data'!AD14&lt;=Indicators!$G14)+('Indicator Data'!AD14&lt;=Indicators!$H14)+('Indicator Data'!AD14&lt;=Indicators!$I14)+('Indicator Data'!AD14&lt;=Indicators!$J14)))</f>
        <v>3</v>
      </c>
      <c r="AE14" s="27" t="n">
        <f aca="false">IF('Indicator Data'!AE14="",IF(Config!$C$15="Score as High (5)",5,0),IF(Indicators!$F14="Higher = riskier",1+('Indicator Data'!AE14&gt;=Indicators!$G14)+('Indicator Data'!AE14&gt;=Indicators!$H14)+('Indicator Data'!AE14&gt;=Indicators!$I14)+('Indicator Data'!AE14&gt;=Indicators!$J14),1+('Indicator Data'!AE14&lt;=Indicators!$G14)+('Indicator Data'!AE14&lt;=Indicators!$H14)+('Indicator Data'!AE14&lt;=Indicators!$I14)+('Indicator Data'!AE14&lt;=Indicators!$J14)))</f>
        <v>1</v>
      </c>
      <c r="AF14" s="27" t="n">
        <f aca="false">IF('Indicator Data'!AF14="",IF(Config!$C$15="Score as High (5)",5,0),IF(Indicators!$F14="Higher = riskier",1+('Indicator Data'!AF14&gt;=Indicators!$G14)+('Indicator Data'!AF14&gt;=Indicators!$H14)+('Indicator Data'!AF14&gt;=Indicators!$I14)+('Indicator Data'!AF14&gt;=Indicators!$J14),1+('Indicator Data'!AF14&lt;=Indicators!$G14)+('Indicator Data'!AF14&lt;=Indicators!$H14)+('Indicator Data'!AF14&lt;=Indicators!$I14)+('Indicator Data'!AF14&lt;=Indicators!$J14)))</f>
        <v>2</v>
      </c>
      <c r="AG14" s="27" t="n">
        <f aca="false">IF('Indicator Data'!AG14="",IF(Config!$C$15="Score as High (5)",5,0),IF(Indicators!$F14="Higher = riskier",1+('Indicator Data'!AG14&gt;=Indicators!$G14)+('Indicator Data'!AG14&gt;=Indicators!$H14)+('Indicator Data'!AG14&gt;=Indicators!$I14)+('Indicator Data'!AG14&gt;=Indicators!$J14),1+('Indicator Data'!AG14&lt;=Indicators!$G14)+('Indicator Data'!AG14&lt;=Indicators!$H14)+('Indicator Data'!AG14&lt;=Indicators!$I14)+('Indicator Data'!AG14&lt;=Indicators!$J14)))</f>
        <v>3</v>
      </c>
    </row>
    <row r="15" customFormat="false" ht="15" hidden="false" customHeight="false" outlineLevel="0" collapsed="false">
      <c r="A15" s="26" t="str">
        <f aca="false">Indicators!A15</f>
        <v>G04</v>
      </c>
      <c r="B15" s="26" t="str">
        <f aca="false">Indicators!C15</f>
        <v>Host-country corruption risk (CPI-based, 1–5)</v>
      </c>
      <c r="C15" s="26" t="str">
        <f aca="false">Indicators!D15</f>
        <v>score 1–5</v>
      </c>
      <c r="D15" s="27" t="n">
        <f aca="false">IF('Indicator Data'!D15="",IF(Config!$C$15="Score as High (5)",5,0),IF(Indicators!$F15="Higher = riskier",1+('Indicator Data'!D15&gt;=Indicators!$G15)+('Indicator Data'!D15&gt;=Indicators!$H15)+('Indicator Data'!D15&gt;=Indicators!$I15)+('Indicator Data'!D15&gt;=Indicators!$J15),1+('Indicator Data'!D15&lt;=Indicators!$G15)+('Indicator Data'!D15&lt;=Indicators!$H15)+('Indicator Data'!D15&lt;=Indicators!$I15)+('Indicator Data'!D15&lt;=Indicators!$J15)))</f>
        <v>3</v>
      </c>
      <c r="E15" s="27" t="n">
        <f aca="false">IF('Indicator Data'!E15="",IF(Config!$C$15="Score as High (5)",5,0),IF(Indicators!$F15="Higher = riskier",1+('Indicator Data'!E15&gt;=Indicators!$G15)+('Indicator Data'!E15&gt;=Indicators!$H15)+('Indicator Data'!E15&gt;=Indicators!$I15)+('Indicator Data'!E15&gt;=Indicators!$J15),1+('Indicator Data'!E15&lt;=Indicators!$G15)+('Indicator Data'!E15&lt;=Indicators!$H15)+('Indicator Data'!E15&lt;=Indicators!$I15)+('Indicator Data'!E15&lt;=Indicators!$J15)))</f>
        <v>3</v>
      </c>
      <c r="F15" s="27" t="n">
        <f aca="false">IF('Indicator Data'!F15="",IF(Config!$C$15="Score as High (5)",5,0),IF(Indicators!$F15="Higher = riskier",1+('Indicator Data'!F15&gt;=Indicators!$G15)+('Indicator Data'!F15&gt;=Indicators!$H15)+('Indicator Data'!F15&gt;=Indicators!$I15)+('Indicator Data'!F15&gt;=Indicators!$J15),1+('Indicator Data'!F15&lt;=Indicators!$G15)+('Indicator Data'!F15&lt;=Indicators!$H15)+('Indicator Data'!F15&lt;=Indicators!$I15)+('Indicator Data'!F15&lt;=Indicators!$J15)))</f>
        <v>3</v>
      </c>
      <c r="G15" s="27" t="n">
        <f aca="false">IF('Indicator Data'!G15="",IF(Config!$C$15="Score as High (5)",5,0),IF(Indicators!$F15="Higher = riskier",1+('Indicator Data'!G15&gt;=Indicators!$G15)+('Indicator Data'!G15&gt;=Indicators!$H15)+('Indicator Data'!G15&gt;=Indicators!$I15)+('Indicator Data'!G15&gt;=Indicators!$J15),1+('Indicator Data'!G15&lt;=Indicators!$G15)+('Indicator Data'!G15&lt;=Indicators!$H15)+('Indicator Data'!G15&lt;=Indicators!$I15)+('Indicator Data'!G15&lt;=Indicators!$J15)))</f>
        <v>3</v>
      </c>
      <c r="H15" s="27" t="n">
        <f aca="false">IF('Indicator Data'!H15="",IF(Config!$C$15="Score as High (5)",5,0),IF(Indicators!$F15="Higher = riskier",1+('Indicator Data'!H15&gt;=Indicators!$G15)+('Indicator Data'!H15&gt;=Indicators!$H15)+('Indicator Data'!H15&gt;=Indicators!$I15)+('Indicator Data'!H15&gt;=Indicators!$J15),1+('Indicator Data'!H15&lt;=Indicators!$G15)+('Indicator Data'!H15&lt;=Indicators!$H15)+('Indicator Data'!H15&lt;=Indicators!$I15)+('Indicator Data'!H15&lt;=Indicators!$J15)))</f>
        <v>4</v>
      </c>
      <c r="I15" s="27" t="n">
        <f aca="false">IF('Indicator Data'!I15="",IF(Config!$C$15="Score as High (5)",5,0),IF(Indicators!$F15="Higher = riskier",1+('Indicator Data'!I15&gt;=Indicators!$G15)+('Indicator Data'!I15&gt;=Indicators!$H15)+('Indicator Data'!I15&gt;=Indicators!$I15)+('Indicator Data'!I15&gt;=Indicators!$J15),1+('Indicator Data'!I15&lt;=Indicators!$G15)+('Indicator Data'!I15&lt;=Indicators!$H15)+('Indicator Data'!I15&lt;=Indicators!$I15)+('Indicator Data'!I15&lt;=Indicators!$J15)))</f>
        <v>4</v>
      </c>
      <c r="J15" s="27" t="n">
        <f aca="false">IF('Indicator Data'!J15="",IF(Config!$C$15="Score as High (5)",5,0),IF(Indicators!$F15="Higher = riskier",1+('Indicator Data'!J15&gt;=Indicators!$G15)+('Indicator Data'!J15&gt;=Indicators!$H15)+('Indicator Data'!J15&gt;=Indicators!$I15)+('Indicator Data'!J15&gt;=Indicators!$J15),1+('Indicator Data'!J15&lt;=Indicators!$G15)+('Indicator Data'!J15&lt;=Indicators!$H15)+('Indicator Data'!J15&lt;=Indicators!$I15)+('Indicator Data'!J15&lt;=Indicators!$J15)))</f>
        <v>4</v>
      </c>
      <c r="K15" s="27" t="n">
        <f aca="false">IF('Indicator Data'!K15="",IF(Config!$C$15="Score as High (5)",5,0),IF(Indicators!$F15="Higher = riskier",1+('Indicator Data'!K15&gt;=Indicators!$G15)+('Indicator Data'!K15&gt;=Indicators!$H15)+('Indicator Data'!K15&gt;=Indicators!$I15)+('Indicator Data'!K15&gt;=Indicators!$J15),1+('Indicator Data'!K15&lt;=Indicators!$G15)+('Indicator Data'!K15&lt;=Indicators!$H15)+('Indicator Data'!K15&lt;=Indicators!$I15)+('Indicator Data'!K15&lt;=Indicators!$J15)))</f>
        <v>4</v>
      </c>
      <c r="L15" s="27" t="n">
        <f aca="false">IF('Indicator Data'!L15="",IF(Config!$C$15="Score as High (5)",5,0),IF(Indicators!$F15="Higher = riskier",1+('Indicator Data'!L15&gt;=Indicators!$G15)+('Indicator Data'!L15&gt;=Indicators!$H15)+('Indicator Data'!L15&gt;=Indicators!$I15)+('Indicator Data'!L15&gt;=Indicators!$J15),1+('Indicator Data'!L15&lt;=Indicators!$G15)+('Indicator Data'!L15&lt;=Indicators!$H15)+('Indicator Data'!L15&lt;=Indicators!$I15)+('Indicator Data'!L15&lt;=Indicators!$J15)))</f>
        <v>5</v>
      </c>
      <c r="M15" s="27" t="n">
        <f aca="false">IF('Indicator Data'!M15="",IF(Config!$C$15="Score as High (5)",5,0),IF(Indicators!$F15="Higher = riskier",1+('Indicator Data'!M15&gt;=Indicators!$G15)+('Indicator Data'!M15&gt;=Indicators!$H15)+('Indicator Data'!M15&gt;=Indicators!$I15)+('Indicator Data'!M15&gt;=Indicators!$J15),1+('Indicator Data'!M15&lt;=Indicators!$G15)+('Indicator Data'!M15&lt;=Indicators!$H15)+('Indicator Data'!M15&lt;=Indicators!$I15)+('Indicator Data'!M15&lt;=Indicators!$J15)))</f>
        <v>4</v>
      </c>
      <c r="N15" s="27" t="n">
        <f aca="false">IF('Indicator Data'!N15="",IF(Config!$C$15="Score as High (5)",5,0),IF(Indicators!$F15="Higher = riskier",1+('Indicator Data'!N15&gt;=Indicators!$G15)+('Indicator Data'!N15&gt;=Indicators!$H15)+('Indicator Data'!N15&gt;=Indicators!$I15)+('Indicator Data'!N15&gt;=Indicators!$J15),1+('Indicator Data'!N15&lt;=Indicators!$G15)+('Indicator Data'!N15&lt;=Indicators!$H15)+('Indicator Data'!N15&lt;=Indicators!$I15)+('Indicator Data'!N15&lt;=Indicators!$J15)))</f>
        <v>4</v>
      </c>
      <c r="O15" s="27" t="n">
        <f aca="false">IF('Indicator Data'!O15="",IF(Config!$C$15="Score as High (5)",5,0),IF(Indicators!$F15="Higher = riskier",1+('Indicator Data'!O15&gt;=Indicators!$G15)+('Indicator Data'!O15&gt;=Indicators!$H15)+('Indicator Data'!O15&gt;=Indicators!$I15)+('Indicator Data'!O15&gt;=Indicators!$J15),1+('Indicator Data'!O15&lt;=Indicators!$G15)+('Indicator Data'!O15&lt;=Indicators!$H15)+('Indicator Data'!O15&lt;=Indicators!$I15)+('Indicator Data'!O15&lt;=Indicators!$J15)))</f>
        <v>3</v>
      </c>
      <c r="P15" s="27" t="n">
        <f aca="false">IF('Indicator Data'!P15="",IF(Config!$C$15="Score as High (5)",5,0),IF(Indicators!$F15="Higher = riskier",1+('Indicator Data'!P15&gt;=Indicators!$G15)+('Indicator Data'!P15&gt;=Indicators!$H15)+('Indicator Data'!P15&gt;=Indicators!$I15)+('Indicator Data'!P15&gt;=Indicators!$J15),1+('Indicator Data'!P15&lt;=Indicators!$G15)+('Indicator Data'!P15&lt;=Indicators!$H15)+('Indicator Data'!P15&lt;=Indicators!$I15)+('Indicator Data'!P15&lt;=Indicators!$J15)))</f>
        <v>2</v>
      </c>
      <c r="Q15" s="27" t="n">
        <f aca="false">IF('Indicator Data'!Q15="",IF(Config!$C$15="Score as High (5)",5,0),IF(Indicators!$F15="Higher = riskier",1+('Indicator Data'!Q15&gt;=Indicators!$G15)+('Indicator Data'!Q15&gt;=Indicators!$H15)+('Indicator Data'!Q15&gt;=Indicators!$I15)+('Indicator Data'!Q15&gt;=Indicators!$J15),1+('Indicator Data'!Q15&lt;=Indicators!$G15)+('Indicator Data'!Q15&lt;=Indicators!$H15)+('Indicator Data'!Q15&lt;=Indicators!$I15)+('Indicator Data'!Q15&lt;=Indicators!$J15)))</f>
        <v>3</v>
      </c>
      <c r="R15" s="27" t="n">
        <f aca="false">IF('Indicator Data'!R15="",IF(Config!$C$15="Score as High (5)",5,0),IF(Indicators!$F15="Higher = riskier",1+('Indicator Data'!R15&gt;=Indicators!$G15)+('Indicator Data'!R15&gt;=Indicators!$H15)+('Indicator Data'!R15&gt;=Indicators!$I15)+('Indicator Data'!R15&gt;=Indicators!$J15),1+('Indicator Data'!R15&lt;=Indicators!$G15)+('Indicator Data'!R15&lt;=Indicators!$H15)+('Indicator Data'!R15&lt;=Indicators!$I15)+('Indicator Data'!R15&lt;=Indicators!$J15)))</f>
        <v>5</v>
      </c>
      <c r="S15" s="27" t="n">
        <f aca="false">IF('Indicator Data'!S15="",IF(Config!$C$15="Score as High (5)",5,0),IF(Indicators!$F15="Higher = riskier",1+('Indicator Data'!S15&gt;=Indicators!$G15)+('Indicator Data'!S15&gt;=Indicators!$H15)+('Indicator Data'!S15&gt;=Indicators!$I15)+('Indicator Data'!S15&gt;=Indicators!$J15),1+('Indicator Data'!S15&lt;=Indicators!$G15)+('Indicator Data'!S15&lt;=Indicators!$H15)+('Indicator Data'!S15&lt;=Indicators!$I15)+('Indicator Data'!S15&lt;=Indicators!$J15)))</f>
        <v>4</v>
      </c>
      <c r="T15" s="27" t="n">
        <f aca="false">IF('Indicator Data'!T15="",IF(Config!$C$15="Score as High (5)",5,0),IF(Indicators!$F15="Higher = riskier",1+('Indicator Data'!T15&gt;=Indicators!$G15)+('Indicator Data'!T15&gt;=Indicators!$H15)+('Indicator Data'!T15&gt;=Indicators!$I15)+('Indicator Data'!T15&gt;=Indicators!$J15),1+('Indicator Data'!T15&lt;=Indicators!$G15)+('Indicator Data'!T15&lt;=Indicators!$H15)+('Indicator Data'!T15&lt;=Indicators!$I15)+('Indicator Data'!T15&lt;=Indicators!$J15)))</f>
        <v>3</v>
      </c>
      <c r="U15" s="27" t="n">
        <f aca="false">IF('Indicator Data'!U15="",IF(Config!$C$15="Score as High (5)",5,0),IF(Indicators!$F15="Higher = riskier",1+('Indicator Data'!U15&gt;=Indicators!$G15)+('Indicator Data'!U15&gt;=Indicators!$H15)+('Indicator Data'!U15&gt;=Indicators!$I15)+('Indicator Data'!U15&gt;=Indicators!$J15),1+('Indicator Data'!U15&lt;=Indicators!$G15)+('Indicator Data'!U15&lt;=Indicators!$H15)+('Indicator Data'!U15&lt;=Indicators!$I15)+('Indicator Data'!U15&lt;=Indicators!$J15)))</f>
        <v>3</v>
      </c>
      <c r="V15" s="27" t="n">
        <f aca="false">IF('Indicator Data'!V15="",IF(Config!$C$15="Score as High (5)",5,0),IF(Indicators!$F15="Higher = riskier",1+('Indicator Data'!V15&gt;=Indicators!$G15)+('Indicator Data'!V15&gt;=Indicators!$H15)+('Indicator Data'!V15&gt;=Indicators!$I15)+('Indicator Data'!V15&gt;=Indicators!$J15),1+('Indicator Data'!V15&lt;=Indicators!$G15)+('Indicator Data'!V15&lt;=Indicators!$H15)+('Indicator Data'!V15&lt;=Indicators!$I15)+('Indicator Data'!V15&lt;=Indicators!$J15)))</f>
        <v>3</v>
      </c>
      <c r="W15" s="27" t="n">
        <f aca="false">IF('Indicator Data'!W15="",IF(Config!$C$15="Score as High (5)",5,0),IF(Indicators!$F15="Higher = riskier",1+('Indicator Data'!W15&gt;=Indicators!$G15)+('Indicator Data'!W15&gt;=Indicators!$H15)+('Indicator Data'!W15&gt;=Indicators!$I15)+('Indicator Data'!W15&gt;=Indicators!$J15),1+('Indicator Data'!W15&lt;=Indicators!$G15)+('Indicator Data'!W15&lt;=Indicators!$H15)+('Indicator Data'!W15&lt;=Indicators!$I15)+('Indicator Data'!W15&lt;=Indicators!$J15)))</f>
        <v>3</v>
      </c>
      <c r="X15" s="27" t="n">
        <f aca="false">IF('Indicator Data'!X15="",IF(Config!$C$15="Score as High (5)",5,0),IF(Indicators!$F15="Higher = riskier",1+('Indicator Data'!X15&gt;=Indicators!$G15)+('Indicator Data'!X15&gt;=Indicators!$H15)+('Indicator Data'!X15&gt;=Indicators!$I15)+('Indicator Data'!X15&gt;=Indicators!$J15),1+('Indicator Data'!X15&lt;=Indicators!$G15)+('Indicator Data'!X15&lt;=Indicators!$H15)+('Indicator Data'!X15&lt;=Indicators!$I15)+('Indicator Data'!X15&lt;=Indicators!$J15)))</f>
        <v>4</v>
      </c>
      <c r="Y15" s="27" t="n">
        <f aca="false">IF('Indicator Data'!Y15="",IF(Config!$C$15="Score as High (5)",5,0),IF(Indicators!$F15="Higher = riskier",1+('Indicator Data'!Y15&gt;=Indicators!$G15)+('Indicator Data'!Y15&gt;=Indicators!$H15)+('Indicator Data'!Y15&gt;=Indicators!$I15)+('Indicator Data'!Y15&gt;=Indicators!$J15),1+('Indicator Data'!Y15&lt;=Indicators!$G15)+('Indicator Data'!Y15&lt;=Indicators!$H15)+('Indicator Data'!Y15&lt;=Indicators!$I15)+('Indicator Data'!Y15&lt;=Indicators!$J15)))</f>
        <v>3</v>
      </c>
      <c r="Z15" s="27" t="n">
        <f aca="false">IF('Indicator Data'!Z15="",IF(Config!$C$15="Score as High (5)",5,0),IF(Indicators!$F15="Higher = riskier",1+('Indicator Data'!Z15&gt;=Indicators!$G15)+('Indicator Data'!Z15&gt;=Indicators!$H15)+('Indicator Data'!Z15&gt;=Indicators!$I15)+('Indicator Data'!Z15&gt;=Indicators!$J15),1+('Indicator Data'!Z15&lt;=Indicators!$G15)+('Indicator Data'!Z15&lt;=Indicators!$H15)+('Indicator Data'!Z15&lt;=Indicators!$I15)+('Indicator Data'!Z15&lt;=Indicators!$J15)))</f>
        <v>3</v>
      </c>
      <c r="AA15" s="27" t="n">
        <f aca="false">IF('Indicator Data'!AA15="",IF(Config!$C$15="Score as High (5)",5,0),IF(Indicators!$F15="Higher = riskier",1+('Indicator Data'!AA15&gt;=Indicators!$G15)+('Indicator Data'!AA15&gt;=Indicators!$H15)+('Indicator Data'!AA15&gt;=Indicators!$I15)+('Indicator Data'!AA15&gt;=Indicators!$J15),1+('Indicator Data'!AA15&lt;=Indicators!$G15)+('Indicator Data'!AA15&lt;=Indicators!$H15)+('Indicator Data'!AA15&lt;=Indicators!$I15)+('Indicator Data'!AA15&lt;=Indicators!$J15)))</f>
        <v>2</v>
      </c>
      <c r="AB15" s="27" t="n">
        <f aca="false">IF('Indicator Data'!AB15="",IF(Config!$C$15="Score as High (5)",5,0),IF(Indicators!$F15="Higher = riskier",1+('Indicator Data'!AB15&gt;=Indicators!$G15)+('Indicator Data'!AB15&gt;=Indicators!$H15)+('Indicator Data'!AB15&gt;=Indicators!$I15)+('Indicator Data'!AB15&gt;=Indicators!$J15),1+('Indicator Data'!AB15&lt;=Indicators!$G15)+('Indicator Data'!AB15&lt;=Indicators!$H15)+('Indicator Data'!AB15&lt;=Indicators!$I15)+('Indicator Data'!AB15&lt;=Indicators!$J15)))</f>
        <v>3</v>
      </c>
      <c r="AC15" s="27" t="n">
        <f aca="false">IF('Indicator Data'!AC15="",IF(Config!$C$15="Score as High (5)",5,0),IF(Indicators!$F15="Higher = riskier",1+('Indicator Data'!AC15&gt;=Indicators!$G15)+('Indicator Data'!AC15&gt;=Indicators!$H15)+('Indicator Data'!AC15&gt;=Indicators!$I15)+('Indicator Data'!AC15&gt;=Indicators!$J15),1+('Indicator Data'!AC15&lt;=Indicators!$G15)+('Indicator Data'!AC15&lt;=Indicators!$H15)+('Indicator Data'!AC15&lt;=Indicators!$I15)+('Indicator Data'!AC15&lt;=Indicators!$J15)))</f>
        <v>2</v>
      </c>
      <c r="AD15" s="27" t="n">
        <f aca="false">IF('Indicator Data'!AD15="",IF(Config!$C$15="Score as High (5)",5,0),IF(Indicators!$F15="Higher = riskier",1+('Indicator Data'!AD15&gt;=Indicators!$G15)+('Indicator Data'!AD15&gt;=Indicators!$H15)+('Indicator Data'!AD15&gt;=Indicators!$I15)+('Indicator Data'!AD15&gt;=Indicators!$J15),1+('Indicator Data'!AD15&lt;=Indicators!$G15)+('Indicator Data'!AD15&lt;=Indicators!$H15)+('Indicator Data'!AD15&lt;=Indicators!$I15)+('Indicator Data'!AD15&lt;=Indicators!$J15)))</f>
        <v>2</v>
      </c>
      <c r="AE15" s="27" t="n">
        <f aca="false">IF('Indicator Data'!AE15="",IF(Config!$C$15="Score as High (5)",5,0),IF(Indicators!$F15="Higher = riskier",1+('Indicator Data'!AE15&gt;=Indicators!$G15)+('Indicator Data'!AE15&gt;=Indicators!$H15)+('Indicator Data'!AE15&gt;=Indicators!$I15)+('Indicator Data'!AE15&gt;=Indicators!$J15),1+('Indicator Data'!AE15&lt;=Indicators!$G15)+('Indicator Data'!AE15&lt;=Indicators!$H15)+('Indicator Data'!AE15&lt;=Indicators!$I15)+('Indicator Data'!AE15&lt;=Indicators!$J15)))</f>
        <v>2</v>
      </c>
      <c r="AF15" s="27" t="n">
        <f aca="false">IF('Indicator Data'!AF15="",IF(Config!$C$15="Score as High (5)",5,0),IF(Indicators!$F15="Higher = riskier",1+('Indicator Data'!AF15&gt;=Indicators!$G15)+('Indicator Data'!AF15&gt;=Indicators!$H15)+('Indicator Data'!AF15&gt;=Indicators!$I15)+('Indicator Data'!AF15&gt;=Indicators!$J15),1+('Indicator Data'!AF15&lt;=Indicators!$G15)+('Indicator Data'!AF15&lt;=Indicators!$H15)+('Indicator Data'!AF15&lt;=Indicators!$I15)+('Indicator Data'!AF15&lt;=Indicators!$J15)))</f>
        <v>2</v>
      </c>
      <c r="AG15" s="27" t="n">
        <f aca="false">IF('Indicator Data'!AG15="",IF(Config!$C$15="Score as High (5)",5,0),IF(Indicators!$F15="Higher = riskier",1+('Indicator Data'!AG15&gt;=Indicators!$G15)+('Indicator Data'!AG15&gt;=Indicators!$H15)+('Indicator Data'!AG15&gt;=Indicators!$I15)+('Indicator Data'!AG15&gt;=Indicators!$J15),1+('Indicator Data'!AG15&lt;=Indicators!$G15)+('Indicator Data'!AG15&lt;=Indicators!$H15)+('Indicator Data'!AG15&lt;=Indicators!$I15)+('Indicator Data'!AG15&lt;=Indicators!$J15)))</f>
        <v>2</v>
      </c>
    </row>
    <row r="16" customFormat="false" ht="15" hidden="false" customHeight="false" outlineLevel="0" collapsed="false">
      <c r="A16" s="26" t="str">
        <f aca="false">Indicators!A16</f>
        <v>G05</v>
      </c>
      <c r="B16" s="26" t="str">
        <f aca="false">Indicators!C16</f>
        <v>% branches in border, free-zone or conflict-affected areas</v>
      </c>
      <c r="C16" s="26" t="str">
        <f aca="false">Indicators!D16</f>
        <v>%</v>
      </c>
      <c r="D16" s="27" t="n">
        <f aca="false">IF('Indicator Data'!D16="",IF(Config!$C$15="Score as High (5)",5,0),IF(Indicators!$F16="Higher = riskier",1+('Indicator Data'!D16&gt;=Indicators!$G16)+('Indicator Data'!D16&gt;=Indicators!$H16)+('Indicator Data'!D16&gt;=Indicators!$I16)+('Indicator Data'!D16&gt;=Indicators!$J16),1+('Indicator Data'!D16&lt;=Indicators!$G16)+('Indicator Data'!D16&lt;=Indicators!$H16)+('Indicator Data'!D16&lt;=Indicators!$I16)+('Indicator Data'!D16&lt;=Indicators!$J16)))</f>
        <v>2</v>
      </c>
      <c r="E16" s="27" t="n">
        <f aca="false">IF('Indicator Data'!E16="",IF(Config!$C$15="Score as High (5)",5,0),IF(Indicators!$F16="Higher = riskier",1+('Indicator Data'!E16&gt;=Indicators!$G16)+('Indicator Data'!E16&gt;=Indicators!$H16)+('Indicator Data'!E16&gt;=Indicators!$I16)+('Indicator Data'!E16&gt;=Indicators!$J16),1+('Indicator Data'!E16&lt;=Indicators!$G16)+('Indicator Data'!E16&lt;=Indicators!$H16)+('Indicator Data'!E16&lt;=Indicators!$I16)+('Indicator Data'!E16&lt;=Indicators!$J16)))</f>
        <v>4</v>
      </c>
      <c r="F16" s="27" t="n">
        <f aca="false">IF('Indicator Data'!F16="",IF(Config!$C$15="Score as High (5)",5,0),IF(Indicators!$F16="Higher = riskier",1+('Indicator Data'!F16&gt;=Indicators!$G16)+('Indicator Data'!F16&gt;=Indicators!$H16)+('Indicator Data'!F16&gt;=Indicators!$I16)+('Indicator Data'!F16&gt;=Indicators!$J16),1+('Indicator Data'!F16&lt;=Indicators!$G16)+('Indicator Data'!F16&lt;=Indicators!$H16)+('Indicator Data'!F16&lt;=Indicators!$I16)+('Indicator Data'!F16&lt;=Indicators!$J16)))</f>
        <v>3</v>
      </c>
      <c r="G16" s="27" t="n">
        <f aca="false">IF('Indicator Data'!G16="",IF(Config!$C$15="Score as High (5)",5,0),IF(Indicators!$F16="Higher = riskier",1+('Indicator Data'!G16&gt;=Indicators!$G16)+('Indicator Data'!G16&gt;=Indicators!$H16)+('Indicator Data'!G16&gt;=Indicators!$I16)+('Indicator Data'!G16&gt;=Indicators!$J16),1+('Indicator Data'!G16&lt;=Indicators!$G16)+('Indicator Data'!G16&lt;=Indicators!$H16)+('Indicator Data'!G16&lt;=Indicators!$I16)+('Indicator Data'!G16&lt;=Indicators!$J16)))</f>
        <v>3</v>
      </c>
      <c r="H16" s="27" t="n">
        <f aca="false">IF('Indicator Data'!H16="",IF(Config!$C$15="Score as High (5)",5,0),IF(Indicators!$F16="Higher = riskier",1+('Indicator Data'!H16&gt;=Indicators!$G16)+('Indicator Data'!H16&gt;=Indicators!$H16)+('Indicator Data'!H16&gt;=Indicators!$I16)+('Indicator Data'!H16&gt;=Indicators!$J16),1+('Indicator Data'!H16&lt;=Indicators!$G16)+('Indicator Data'!H16&lt;=Indicators!$H16)+('Indicator Data'!H16&lt;=Indicators!$I16)+('Indicator Data'!H16&lt;=Indicators!$J16)))</f>
        <v>2</v>
      </c>
      <c r="I16" s="27" t="n">
        <f aca="false">IF('Indicator Data'!I16="",IF(Config!$C$15="Score as High (5)",5,0),IF(Indicators!$F16="Higher = riskier",1+('Indicator Data'!I16&gt;=Indicators!$G16)+('Indicator Data'!I16&gt;=Indicators!$H16)+('Indicator Data'!I16&gt;=Indicators!$I16)+('Indicator Data'!I16&gt;=Indicators!$J16),1+('Indicator Data'!I16&lt;=Indicators!$G16)+('Indicator Data'!I16&lt;=Indicators!$H16)+('Indicator Data'!I16&lt;=Indicators!$I16)+('Indicator Data'!I16&lt;=Indicators!$J16)))</f>
        <v>2</v>
      </c>
      <c r="J16" s="27" t="n">
        <f aca="false">IF('Indicator Data'!J16="",IF(Config!$C$15="Score as High (5)",5,0),IF(Indicators!$F16="Higher = riskier",1+('Indicator Data'!J16&gt;=Indicators!$G16)+('Indicator Data'!J16&gt;=Indicators!$H16)+('Indicator Data'!J16&gt;=Indicators!$I16)+('Indicator Data'!J16&gt;=Indicators!$J16),1+('Indicator Data'!J16&lt;=Indicators!$G16)+('Indicator Data'!J16&lt;=Indicators!$H16)+('Indicator Data'!J16&lt;=Indicators!$I16)+('Indicator Data'!J16&lt;=Indicators!$J16)))</f>
        <v>5</v>
      </c>
      <c r="K16" s="27" t="n">
        <f aca="false">IF('Indicator Data'!K16="",IF(Config!$C$15="Score as High (5)",5,0),IF(Indicators!$F16="Higher = riskier",1+('Indicator Data'!K16&gt;=Indicators!$G16)+('Indicator Data'!K16&gt;=Indicators!$H16)+('Indicator Data'!K16&gt;=Indicators!$I16)+('Indicator Data'!K16&gt;=Indicators!$J16),1+('Indicator Data'!K16&lt;=Indicators!$G16)+('Indicator Data'!K16&lt;=Indicators!$H16)+('Indicator Data'!K16&lt;=Indicators!$I16)+('Indicator Data'!K16&lt;=Indicators!$J16)))</f>
        <v>4</v>
      </c>
      <c r="L16" s="27" t="n">
        <f aca="false">IF('Indicator Data'!L16="",IF(Config!$C$15="Score as High (5)",5,0),IF(Indicators!$F16="Higher = riskier",1+('Indicator Data'!L16&gt;=Indicators!$G16)+('Indicator Data'!L16&gt;=Indicators!$H16)+('Indicator Data'!L16&gt;=Indicators!$I16)+('Indicator Data'!L16&gt;=Indicators!$J16),1+('Indicator Data'!L16&lt;=Indicators!$G16)+('Indicator Data'!L16&lt;=Indicators!$H16)+('Indicator Data'!L16&lt;=Indicators!$I16)+('Indicator Data'!L16&lt;=Indicators!$J16)))</f>
        <v>5</v>
      </c>
      <c r="M16" s="27" t="n">
        <f aca="false">IF('Indicator Data'!M16="",IF(Config!$C$15="Score as High (5)",5,0),IF(Indicators!$F16="Higher = riskier",1+('Indicator Data'!M16&gt;=Indicators!$G16)+('Indicator Data'!M16&gt;=Indicators!$H16)+('Indicator Data'!M16&gt;=Indicators!$I16)+('Indicator Data'!M16&gt;=Indicators!$J16),1+('Indicator Data'!M16&lt;=Indicators!$G16)+('Indicator Data'!M16&lt;=Indicators!$H16)+('Indicator Data'!M16&lt;=Indicators!$I16)+('Indicator Data'!M16&lt;=Indicators!$J16)))</f>
        <v>1</v>
      </c>
      <c r="N16" s="27" t="n">
        <f aca="false">IF('Indicator Data'!N16="",IF(Config!$C$15="Score as High (5)",5,0),IF(Indicators!$F16="Higher = riskier",1+('Indicator Data'!N16&gt;=Indicators!$G16)+('Indicator Data'!N16&gt;=Indicators!$H16)+('Indicator Data'!N16&gt;=Indicators!$I16)+('Indicator Data'!N16&gt;=Indicators!$J16),1+('Indicator Data'!N16&lt;=Indicators!$G16)+('Indicator Data'!N16&lt;=Indicators!$H16)+('Indicator Data'!N16&lt;=Indicators!$I16)+('Indicator Data'!N16&lt;=Indicators!$J16)))</f>
        <v>3</v>
      </c>
      <c r="O16" s="27" t="n">
        <f aca="false">IF('Indicator Data'!O16="",IF(Config!$C$15="Score as High (5)",5,0),IF(Indicators!$F16="Higher = riskier",1+('Indicator Data'!O16&gt;=Indicators!$G16)+('Indicator Data'!O16&gt;=Indicators!$H16)+('Indicator Data'!O16&gt;=Indicators!$I16)+('Indicator Data'!O16&gt;=Indicators!$J16),1+('Indicator Data'!O16&lt;=Indicators!$G16)+('Indicator Data'!O16&lt;=Indicators!$H16)+('Indicator Data'!O16&lt;=Indicators!$I16)+('Indicator Data'!O16&lt;=Indicators!$J16)))</f>
        <v>3</v>
      </c>
      <c r="P16" s="27" t="n">
        <f aca="false">IF('Indicator Data'!P16="",IF(Config!$C$15="Score as High (5)",5,0),IF(Indicators!$F16="Higher = riskier",1+('Indicator Data'!P16&gt;=Indicators!$G16)+('Indicator Data'!P16&gt;=Indicators!$H16)+('Indicator Data'!P16&gt;=Indicators!$I16)+('Indicator Data'!P16&gt;=Indicators!$J16),1+('Indicator Data'!P16&lt;=Indicators!$G16)+('Indicator Data'!P16&lt;=Indicators!$H16)+('Indicator Data'!P16&lt;=Indicators!$I16)+('Indicator Data'!P16&lt;=Indicators!$J16)))</f>
        <v>1</v>
      </c>
      <c r="Q16" s="27" t="n">
        <f aca="false">IF('Indicator Data'!Q16="",IF(Config!$C$15="Score as High (5)",5,0),IF(Indicators!$F16="Higher = riskier",1+('Indicator Data'!Q16&gt;=Indicators!$G16)+('Indicator Data'!Q16&gt;=Indicators!$H16)+('Indicator Data'!Q16&gt;=Indicators!$I16)+('Indicator Data'!Q16&gt;=Indicators!$J16),1+('Indicator Data'!Q16&lt;=Indicators!$G16)+('Indicator Data'!Q16&lt;=Indicators!$H16)+('Indicator Data'!Q16&lt;=Indicators!$I16)+('Indicator Data'!Q16&lt;=Indicators!$J16)))</f>
        <v>1</v>
      </c>
      <c r="R16" s="27" t="n">
        <f aca="false">IF('Indicator Data'!R16="",IF(Config!$C$15="Score as High (5)",5,0),IF(Indicators!$F16="Higher = riskier",1+('Indicator Data'!R16&gt;=Indicators!$G16)+('Indicator Data'!R16&gt;=Indicators!$H16)+('Indicator Data'!R16&gt;=Indicators!$I16)+('Indicator Data'!R16&gt;=Indicators!$J16),1+('Indicator Data'!R16&lt;=Indicators!$G16)+('Indicator Data'!R16&lt;=Indicators!$H16)+('Indicator Data'!R16&lt;=Indicators!$I16)+('Indicator Data'!R16&lt;=Indicators!$J16)))</f>
        <v>3</v>
      </c>
      <c r="S16" s="27" t="n">
        <f aca="false">IF('Indicator Data'!S16="",IF(Config!$C$15="Score as High (5)",5,0),IF(Indicators!$F16="Higher = riskier",1+('Indicator Data'!S16&gt;=Indicators!$G16)+('Indicator Data'!S16&gt;=Indicators!$H16)+('Indicator Data'!S16&gt;=Indicators!$I16)+('Indicator Data'!S16&gt;=Indicators!$J16),1+('Indicator Data'!S16&lt;=Indicators!$G16)+('Indicator Data'!S16&lt;=Indicators!$H16)+('Indicator Data'!S16&lt;=Indicators!$I16)+('Indicator Data'!S16&lt;=Indicators!$J16)))</f>
        <v>4</v>
      </c>
      <c r="T16" s="27" t="n">
        <f aca="false">IF('Indicator Data'!T16="",IF(Config!$C$15="Score as High (5)",5,0),IF(Indicators!$F16="Higher = riskier",1+('Indicator Data'!T16&gt;=Indicators!$G16)+('Indicator Data'!T16&gt;=Indicators!$H16)+('Indicator Data'!T16&gt;=Indicators!$I16)+('Indicator Data'!T16&gt;=Indicators!$J16),1+('Indicator Data'!T16&lt;=Indicators!$G16)+('Indicator Data'!T16&lt;=Indicators!$H16)+('Indicator Data'!T16&lt;=Indicators!$I16)+('Indicator Data'!T16&lt;=Indicators!$J16)))</f>
        <v>3</v>
      </c>
      <c r="U16" s="27" t="n">
        <f aca="false">IF('Indicator Data'!U16="",IF(Config!$C$15="Score as High (5)",5,0),IF(Indicators!$F16="Higher = riskier",1+('Indicator Data'!U16&gt;=Indicators!$G16)+('Indicator Data'!U16&gt;=Indicators!$H16)+('Indicator Data'!U16&gt;=Indicators!$I16)+('Indicator Data'!U16&gt;=Indicators!$J16),1+('Indicator Data'!U16&lt;=Indicators!$G16)+('Indicator Data'!U16&lt;=Indicators!$H16)+('Indicator Data'!U16&lt;=Indicators!$I16)+('Indicator Data'!U16&lt;=Indicators!$J16)))</f>
        <v>3</v>
      </c>
      <c r="V16" s="27" t="n">
        <f aca="false">IF('Indicator Data'!V16="",IF(Config!$C$15="Score as High (5)",5,0),IF(Indicators!$F16="Higher = riskier",1+('Indicator Data'!V16&gt;=Indicators!$G16)+('Indicator Data'!V16&gt;=Indicators!$H16)+('Indicator Data'!V16&gt;=Indicators!$I16)+('Indicator Data'!V16&gt;=Indicators!$J16),1+('Indicator Data'!V16&lt;=Indicators!$G16)+('Indicator Data'!V16&lt;=Indicators!$H16)+('Indicator Data'!V16&lt;=Indicators!$I16)+('Indicator Data'!V16&lt;=Indicators!$J16)))</f>
        <v>2</v>
      </c>
      <c r="W16" s="27" t="n">
        <f aca="false">IF('Indicator Data'!W16="",IF(Config!$C$15="Score as High (5)",5,0),IF(Indicators!$F16="Higher = riskier",1+('Indicator Data'!W16&gt;=Indicators!$G16)+('Indicator Data'!W16&gt;=Indicators!$H16)+('Indicator Data'!W16&gt;=Indicators!$I16)+('Indicator Data'!W16&gt;=Indicators!$J16),1+('Indicator Data'!W16&lt;=Indicators!$G16)+('Indicator Data'!W16&lt;=Indicators!$H16)+('Indicator Data'!W16&lt;=Indicators!$I16)+('Indicator Data'!W16&lt;=Indicators!$J16)))</f>
        <v>4</v>
      </c>
      <c r="X16" s="27" t="n">
        <f aca="false">IF('Indicator Data'!X16="",IF(Config!$C$15="Score as High (5)",5,0),IF(Indicators!$F16="Higher = riskier",1+('Indicator Data'!X16&gt;=Indicators!$G16)+('Indicator Data'!X16&gt;=Indicators!$H16)+('Indicator Data'!X16&gt;=Indicators!$I16)+('Indicator Data'!X16&gt;=Indicators!$J16),1+('Indicator Data'!X16&lt;=Indicators!$G16)+('Indicator Data'!X16&lt;=Indicators!$H16)+('Indicator Data'!X16&lt;=Indicators!$I16)+('Indicator Data'!X16&lt;=Indicators!$J16)))</f>
        <v>5</v>
      </c>
      <c r="Y16" s="27" t="n">
        <f aca="false">IF('Indicator Data'!Y16="",IF(Config!$C$15="Score as High (5)",5,0),IF(Indicators!$F16="Higher = riskier",1+('Indicator Data'!Y16&gt;=Indicators!$G16)+('Indicator Data'!Y16&gt;=Indicators!$H16)+('Indicator Data'!Y16&gt;=Indicators!$I16)+('Indicator Data'!Y16&gt;=Indicators!$J16),1+('Indicator Data'!Y16&lt;=Indicators!$G16)+('Indicator Data'!Y16&lt;=Indicators!$H16)+('Indicator Data'!Y16&lt;=Indicators!$I16)+('Indicator Data'!Y16&lt;=Indicators!$J16)))</f>
        <v>2</v>
      </c>
      <c r="Z16" s="27" t="n">
        <f aca="false">IF('Indicator Data'!Z16="",IF(Config!$C$15="Score as High (5)",5,0),IF(Indicators!$F16="Higher = riskier",1+('Indicator Data'!Z16&gt;=Indicators!$G16)+('Indicator Data'!Z16&gt;=Indicators!$H16)+('Indicator Data'!Z16&gt;=Indicators!$I16)+('Indicator Data'!Z16&gt;=Indicators!$J16),1+('Indicator Data'!Z16&lt;=Indicators!$G16)+('Indicator Data'!Z16&lt;=Indicators!$H16)+('Indicator Data'!Z16&lt;=Indicators!$I16)+('Indicator Data'!Z16&lt;=Indicators!$J16)))</f>
        <v>2</v>
      </c>
      <c r="AA16" s="27" t="n">
        <f aca="false">IF('Indicator Data'!AA16="",IF(Config!$C$15="Score as High (5)",5,0),IF(Indicators!$F16="Higher = riskier",1+('Indicator Data'!AA16&gt;=Indicators!$G16)+('Indicator Data'!AA16&gt;=Indicators!$H16)+('Indicator Data'!AA16&gt;=Indicators!$I16)+('Indicator Data'!AA16&gt;=Indicators!$J16),1+('Indicator Data'!AA16&lt;=Indicators!$G16)+('Indicator Data'!AA16&lt;=Indicators!$H16)+('Indicator Data'!AA16&lt;=Indicators!$I16)+('Indicator Data'!AA16&lt;=Indicators!$J16)))</f>
        <v>1</v>
      </c>
      <c r="AB16" s="27" t="n">
        <f aca="false">IF('Indicator Data'!AB16="",IF(Config!$C$15="Score as High (5)",5,0),IF(Indicators!$F16="Higher = riskier",1+('Indicator Data'!AB16&gt;=Indicators!$G16)+('Indicator Data'!AB16&gt;=Indicators!$H16)+('Indicator Data'!AB16&gt;=Indicators!$I16)+('Indicator Data'!AB16&gt;=Indicators!$J16),1+('Indicator Data'!AB16&lt;=Indicators!$G16)+('Indicator Data'!AB16&lt;=Indicators!$H16)+('Indicator Data'!AB16&lt;=Indicators!$I16)+('Indicator Data'!AB16&lt;=Indicators!$J16)))</f>
        <v>1</v>
      </c>
      <c r="AC16" s="27" t="n">
        <f aca="false">IF('Indicator Data'!AC16="",IF(Config!$C$15="Score as High (5)",5,0),IF(Indicators!$F16="Higher = riskier",1+('Indicator Data'!AC16&gt;=Indicators!$G16)+('Indicator Data'!AC16&gt;=Indicators!$H16)+('Indicator Data'!AC16&gt;=Indicators!$I16)+('Indicator Data'!AC16&gt;=Indicators!$J16),1+('Indicator Data'!AC16&lt;=Indicators!$G16)+('Indicator Data'!AC16&lt;=Indicators!$H16)+('Indicator Data'!AC16&lt;=Indicators!$I16)+('Indicator Data'!AC16&lt;=Indicators!$J16)))</f>
        <v>1</v>
      </c>
      <c r="AD16" s="27" t="n">
        <f aca="false">IF('Indicator Data'!AD16="",IF(Config!$C$15="Score as High (5)",5,0),IF(Indicators!$F16="Higher = riskier",1+('Indicator Data'!AD16&gt;=Indicators!$G16)+('Indicator Data'!AD16&gt;=Indicators!$H16)+('Indicator Data'!AD16&gt;=Indicators!$I16)+('Indicator Data'!AD16&gt;=Indicators!$J16),1+('Indicator Data'!AD16&lt;=Indicators!$G16)+('Indicator Data'!AD16&lt;=Indicators!$H16)+('Indicator Data'!AD16&lt;=Indicators!$I16)+('Indicator Data'!AD16&lt;=Indicators!$J16)))</f>
        <v>2</v>
      </c>
      <c r="AE16" s="27" t="n">
        <f aca="false">IF('Indicator Data'!AE16="",IF(Config!$C$15="Score as High (5)",5,0),IF(Indicators!$F16="Higher = riskier",1+('Indicator Data'!AE16&gt;=Indicators!$G16)+('Indicator Data'!AE16&gt;=Indicators!$H16)+('Indicator Data'!AE16&gt;=Indicators!$I16)+('Indicator Data'!AE16&gt;=Indicators!$J16),1+('Indicator Data'!AE16&lt;=Indicators!$G16)+('Indicator Data'!AE16&lt;=Indicators!$H16)+('Indicator Data'!AE16&lt;=Indicators!$I16)+('Indicator Data'!AE16&lt;=Indicators!$J16)))</f>
        <v>3</v>
      </c>
      <c r="AF16" s="27" t="n">
        <f aca="false">IF('Indicator Data'!AF16="",IF(Config!$C$15="Score as High (5)",5,0),IF(Indicators!$F16="Higher = riskier",1+('Indicator Data'!AF16&gt;=Indicators!$G16)+('Indicator Data'!AF16&gt;=Indicators!$H16)+('Indicator Data'!AF16&gt;=Indicators!$I16)+('Indicator Data'!AF16&gt;=Indicators!$J16),1+('Indicator Data'!AF16&lt;=Indicators!$G16)+('Indicator Data'!AF16&lt;=Indicators!$H16)+('Indicator Data'!AF16&lt;=Indicators!$I16)+('Indicator Data'!AF16&lt;=Indicators!$J16)))</f>
        <v>2</v>
      </c>
      <c r="AG16" s="27" t="n">
        <f aca="false">IF('Indicator Data'!AG16="",IF(Config!$C$15="Score as High (5)",5,0),IF(Indicators!$F16="Higher = riskier",1+('Indicator Data'!AG16&gt;=Indicators!$G16)+('Indicator Data'!AG16&gt;=Indicators!$H16)+('Indicator Data'!AG16&gt;=Indicators!$I16)+('Indicator Data'!AG16&gt;=Indicators!$J16),1+('Indicator Data'!AG16&lt;=Indicators!$G16)+('Indicator Data'!AG16&lt;=Indicators!$H16)+('Indicator Data'!AG16&lt;=Indicators!$I16)+('Indicator Data'!AG16&lt;=Indicators!$J16)))</f>
        <v>1</v>
      </c>
    </row>
    <row r="17" customFormat="false" ht="15" hidden="false" customHeight="false" outlineLevel="0" collapsed="false">
      <c r="A17" s="26" t="str">
        <f aca="false">Indicators!A17</f>
        <v>G06</v>
      </c>
      <c r="B17" s="26" t="str">
        <f aca="false">Indicators!C17</f>
        <v>% non-resident customers from non-CRS jurisdictions</v>
      </c>
      <c r="C17" s="26" t="str">
        <f aca="false">Indicators!D17</f>
        <v>%</v>
      </c>
      <c r="D17" s="27" t="n">
        <f aca="false">IF('Indicator Data'!D17="",IF(Config!$C$15="Score as High (5)",5,0),IF(Indicators!$F17="Higher = riskier",1+('Indicator Data'!D17&gt;=Indicators!$G17)+('Indicator Data'!D17&gt;=Indicators!$H17)+('Indicator Data'!D17&gt;=Indicators!$I17)+('Indicator Data'!D17&gt;=Indicators!$J17),1+('Indicator Data'!D17&lt;=Indicators!$G17)+('Indicator Data'!D17&lt;=Indicators!$H17)+('Indicator Data'!D17&lt;=Indicators!$I17)+('Indicator Data'!D17&lt;=Indicators!$J17)))</f>
        <v>3</v>
      </c>
      <c r="E17" s="27" t="n">
        <f aca="false">IF('Indicator Data'!E17="",IF(Config!$C$15="Score as High (5)",5,0),IF(Indicators!$F17="Higher = riskier",1+('Indicator Data'!E17&gt;=Indicators!$G17)+('Indicator Data'!E17&gt;=Indicators!$H17)+('Indicator Data'!E17&gt;=Indicators!$I17)+('Indicator Data'!E17&gt;=Indicators!$J17),1+('Indicator Data'!E17&lt;=Indicators!$G17)+('Indicator Data'!E17&lt;=Indicators!$H17)+('Indicator Data'!E17&lt;=Indicators!$I17)+('Indicator Data'!E17&lt;=Indicators!$J17)))</f>
        <v>2</v>
      </c>
      <c r="F17" s="27" t="n">
        <f aca="false">IF('Indicator Data'!F17="",IF(Config!$C$15="Score as High (5)",5,0),IF(Indicators!$F17="Higher = riskier",1+('Indicator Data'!F17&gt;=Indicators!$G17)+('Indicator Data'!F17&gt;=Indicators!$H17)+('Indicator Data'!F17&gt;=Indicators!$I17)+('Indicator Data'!F17&gt;=Indicators!$J17),1+('Indicator Data'!F17&lt;=Indicators!$G17)+('Indicator Data'!F17&lt;=Indicators!$H17)+('Indicator Data'!F17&lt;=Indicators!$I17)+('Indicator Data'!F17&lt;=Indicators!$J17)))</f>
        <v>4</v>
      </c>
      <c r="G17" s="27" t="n">
        <f aca="false">IF('Indicator Data'!G17="",IF(Config!$C$15="Score as High (5)",5,0),IF(Indicators!$F17="Higher = riskier",1+('Indicator Data'!G17&gt;=Indicators!$G17)+('Indicator Data'!G17&gt;=Indicators!$H17)+('Indicator Data'!G17&gt;=Indicators!$I17)+('Indicator Data'!G17&gt;=Indicators!$J17),1+('Indicator Data'!G17&lt;=Indicators!$G17)+('Indicator Data'!G17&lt;=Indicators!$H17)+('Indicator Data'!G17&lt;=Indicators!$I17)+('Indicator Data'!G17&lt;=Indicators!$J17)))</f>
        <v>2</v>
      </c>
      <c r="H17" s="27" t="n">
        <f aca="false">IF('Indicator Data'!H17="",IF(Config!$C$15="Score as High (5)",5,0),IF(Indicators!$F17="Higher = riskier",1+('Indicator Data'!H17&gt;=Indicators!$G17)+('Indicator Data'!H17&gt;=Indicators!$H17)+('Indicator Data'!H17&gt;=Indicators!$I17)+('Indicator Data'!H17&gt;=Indicators!$J17),1+('Indicator Data'!H17&lt;=Indicators!$G17)+('Indicator Data'!H17&lt;=Indicators!$H17)+('Indicator Data'!H17&lt;=Indicators!$I17)+('Indicator Data'!H17&lt;=Indicators!$J17)))</f>
        <v>2</v>
      </c>
      <c r="I17" s="27" t="n">
        <f aca="false">IF('Indicator Data'!I17="",IF(Config!$C$15="Score as High (5)",5,0),IF(Indicators!$F17="Higher = riskier",1+('Indicator Data'!I17&gt;=Indicators!$G17)+('Indicator Data'!I17&gt;=Indicators!$H17)+('Indicator Data'!I17&gt;=Indicators!$I17)+('Indicator Data'!I17&gt;=Indicators!$J17),1+('Indicator Data'!I17&lt;=Indicators!$G17)+('Indicator Data'!I17&lt;=Indicators!$H17)+('Indicator Data'!I17&lt;=Indicators!$I17)+('Indicator Data'!I17&lt;=Indicators!$J17)))</f>
        <v>5</v>
      </c>
      <c r="J17" s="27" t="n">
        <f aca="false">IF('Indicator Data'!J17="",IF(Config!$C$15="Score as High (5)",5,0),IF(Indicators!$F17="Higher = riskier",1+('Indicator Data'!J17&gt;=Indicators!$G17)+('Indicator Data'!J17&gt;=Indicators!$H17)+('Indicator Data'!J17&gt;=Indicators!$I17)+('Indicator Data'!J17&gt;=Indicators!$J17),1+('Indicator Data'!J17&lt;=Indicators!$G17)+('Indicator Data'!J17&lt;=Indicators!$H17)+('Indicator Data'!J17&lt;=Indicators!$I17)+('Indicator Data'!J17&lt;=Indicators!$J17)))</f>
        <v>5</v>
      </c>
      <c r="K17" s="27" t="n">
        <f aca="false">IF('Indicator Data'!K17="",IF(Config!$C$15="Score as High (5)",5,0),IF(Indicators!$F17="Higher = riskier",1+('Indicator Data'!K17&gt;=Indicators!$G17)+('Indicator Data'!K17&gt;=Indicators!$H17)+('Indicator Data'!K17&gt;=Indicators!$I17)+('Indicator Data'!K17&gt;=Indicators!$J17),1+('Indicator Data'!K17&lt;=Indicators!$G17)+('Indicator Data'!K17&lt;=Indicators!$H17)+('Indicator Data'!K17&lt;=Indicators!$I17)+('Indicator Data'!K17&lt;=Indicators!$J17)))</f>
        <v>4</v>
      </c>
      <c r="L17" s="27" t="n">
        <f aca="false">IF('Indicator Data'!L17="",IF(Config!$C$15="Score as High (5)",5,0),IF(Indicators!$F17="Higher = riskier",1+('Indicator Data'!L17&gt;=Indicators!$G17)+('Indicator Data'!L17&gt;=Indicators!$H17)+('Indicator Data'!L17&gt;=Indicators!$I17)+('Indicator Data'!L17&gt;=Indicators!$J17),1+('Indicator Data'!L17&lt;=Indicators!$G17)+('Indicator Data'!L17&lt;=Indicators!$H17)+('Indicator Data'!L17&lt;=Indicators!$I17)+('Indicator Data'!L17&lt;=Indicators!$J17)))</f>
        <v>4</v>
      </c>
      <c r="M17" s="27" t="n">
        <f aca="false">IF('Indicator Data'!M17="",IF(Config!$C$15="Score as High (5)",5,0),IF(Indicators!$F17="Higher = riskier",1+('Indicator Data'!M17&gt;=Indicators!$G17)+('Indicator Data'!M17&gt;=Indicators!$H17)+('Indicator Data'!M17&gt;=Indicators!$I17)+('Indicator Data'!M17&gt;=Indicators!$J17),1+('Indicator Data'!M17&lt;=Indicators!$G17)+('Indicator Data'!M17&lt;=Indicators!$H17)+('Indicator Data'!M17&lt;=Indicators!$I17)+('Indicator Data'!M17&lt;=Indicators!$J17)))</f>
        <v>4</v>
      </c>
      <c r="N17" s="27" t="n">
        <f aca="false">IF('Indicator Data'!N17="",IF(Config!$C$15="Score as High (5)",5,0),IF(Indicators!$F17="Higher = riskier",1+('Indicator Data'!N17&gt;=Indicators!$G17)+('Indicator Data'!N17&gt;=Indicators!$H17)+('Indicator Data'!N17&gt;=Indicators!$I17)+('Indicator Data'!N17&gt;=Indicators!$J17),1+('Indicator Data'!N17&lt;=Indicators!$G17)+('Indicator Data'!N17&lt;=Indicators!$H17)+('Indicator Data'!N17&lt;=Indicators!$I17)+('Indicator Data'!N17&lt;=Indicators!$J17)))</f>
        <v>2</v>
      </c>
      <c r="O17" s="27" t="n">
        <f aca="false">IF('Indicator Data'!O17="",IF(Config!$C$15="Score as High (5)",5,0),IF(Indicators!$F17="Higher = riskier",1+('Indicator Data'!O17&gt;=Indicators!$G17)+('Indicator Data'!O17&gt;=Indicators!$H17)+('Indicator Data'!O17&gt;=Indicators!$I17)+('Indicator Data'!O17&gt;=Indicators!$J17),1+('Indicator Data'!O17&lt;=Indicators!$G17)+('Indicator Data'!O17&lt;=Indicators!$H17)+('Indicator Data'!O17&lt;=Indicators!$I17)+('Indicator Data'!O17&lt;=Indicators!$J17)))</f>
        <v>3</v>
      </c>
      <c r="P17" s="27" t="n">
        <f aca="false">IF('Indicator Data'!P17="",IF(Config!$C$15="Score as High (5)",5,0),IF(Indicators!$F17="Higher = riskier",1+('Indicator Data'!P17&gt;=Indicators!$G17)+('Indicator Data'!P17&gt;=Indicators!$H17)+('Indicator Data'!P17&gt;=Indicators!$I17)+('Indicator Data'!P17&gt;=Indicators!$J17),1+('Indicator Data'!P17&lt;=Indicators!$G17)+('Indicator Data'!P17&lt;=Indicators!$H17)+('Indicator Data'!P17&lt;=Indicators!$I17)+('Indicator Data'!P17&lt;=Indicators!$J17)))</f>
        <v>3</v>
      </c>
      <c r="Q17" s="27" t="n">
        <f aca="false">IF('Indicator Data'!Q17="",IF(Config!$C$15="Score as High (5)",5,0),IF(Indicators!$F17="Higher = riskier",1+('Indicator Data'!Q17&gt;=Indicators!$G17)+('Indicator Data'!Q17&gt;=Indicators!$H17)+('Indicator Data'!Q17&gt;=Indicators!$I17)+('Indicator Data'!Q17&gt;=Indicators!$J17),1+('Indicator Data'!Q17&lt;=Indicators!$G17)+('Indicator Data'!Q17&lt;=Indicators!$H17)+('Indicator Data'!Q17&lt;=Indicators!$I17)+('Indicator Data'!Q17&lt;=Indicators!$J17)))</f>
        <v>3</v>
      </c>
      <c r="R17" s="27" t="n">
        <f aca="false">IF('Indicator Data'!R17="",IF(Config!$C$15="Score as High (5)",5,0),IF(Indicators!$F17="Higher = riskier",1+('Indicator Data'!R17&gt;=Indicators!$G17)+('Indicator Data'!R17&gt;=Indicators!$H17)+('Indicator Data'!R17&gt;=Indicators!$I17)+('Indicator Data'!R17&gt;=Indicators!$J17),1+('Indicator Data'!R17&lt;=Indicators!$G17)+('Indicator Data'!R17&lt;=Indicators!$H17)+('Indicator Data'!R17&lt;=Indicators!$I17)+('Indicator Data'!R17&lt;=Indicators!$J17)))</f>
        <v>4</v>
      </c>
      <c r="S17" s="27" t="n">
        <f aca="false">IF('Indicator Data'!S17="",IF(Config!$C$15="Score as High (5)",5,0),IF(Indicators!$F17="Higher = riskier",1+('Indicator Data'!S17&gt;=Indicators!$G17)+('Indicator Data'!S17&gt;=Indicators!$H17)+('Indicator Data'!S17&gt;=Indicators!$I17)+('Indicator Data'!S17&gt;=Indicators!$J17),1+('Indicator Data'!S17&lt;=Indicators!$G17)+('Indicator Data'!S17&lt;=Indicators!$H17)+('Indicator Data'!S17&lt;=Indicators!$I17)+('Indicator Data'!S17&lt;=Indicators!$J17)))</f>
        <v>4</v>
      </c>
      <c r="T17" s="27" t="n">
        <f aca="false">IF('Indicator Data'!T17="",IF(Config!$C$15="Score as High (5)",5,0),IF(Indicators!$F17="Higher = riskier",1+('Indicator Data'!T17&gt;=Indicators!$G17)+('Indicator Data'!T17&gt;=Indicators!$H17)+('Indicator Data'!T17&gt;=Indicators!$I17)+('Indicator Data'!T17&gt;=Indicators!$J17),1+('Indicator Data'!T17&lt;=Indicators!$G17)+('Indicator Data'!T17&lt;=Indicators!$H17)+('Indicator Data'!T17&lt;=Indicators!$I17)+('Indicator Data'!T17&lt;=Indicators!$J17)))</f>
        <v>2</v>
      </c>
      <c r="U17" s="27" t="n">
        <f aca="false">IF('Indicator Data'!U17="",IF(Config!$C$15="Score as High (5)",5,0),IF(Indicators!$F17="Higher = riskier",1+('Indicator Data'!U17&gt;=Indicators!$G17)+('Indicator Data'!U17&gt;=Indicators!$H17)+('Indicator Data'!U17&gt;=Indicators!$I17)+('Indicator Data'!U17&gt;=Indicators!$J17),1+('Indicator Data'!U17&lt;=Indicators!$G17)+('Indicator Data'!U17&lt;=Indicators!$H17)+('Indicator Data'!U17&lt;=Indicators!$I17)+('Indicator Data'!U17&lt;=Indicators!$J17)))</f>
        <v>3</v>
      </c>
      <c r="V17" s="27" t="n">
        <f aca="false">IF('Indicator Data'!V17="",IF(Config!$C$15="Score as High (5)",5,0),IF(Indicators!$F17="Higher = riskier",1+('Indicator Data'!V17&gt;=Indicators!$G17)+('Indicator Data'!V17&gt;=Indicators!$H17)+('Indicator Data'!V17&gt;=Indicators!$I17)+('Indicator Data'!V17&gt;=Indicators!$J17),1+('Indicator Data'!V17&lt;=Indicators!$G17)+('Indicator Data'!V17&lt;=Indicators!$H17)+('Indicator Data'!V17&lt;=Indicators!$I17)+('Indicator Data'!V17&lt;=Indicators!$J17)))</f>
        <v>2</v>
      </c>
      <c r="W17" s="27" t="n">
        <f aca="false">IF('Indicator Data'!W17="",IF(Config!$C$15="Score as High (5)",5,0),IF(Indicators!$F17="Higher = riskier",1+('Indicator Data'!W17&gt;=Indicators!$G17)+('Indicator Data'!W17&gt;=Indicators!$H17)+('Indicator Data'!W17&gt;=Indicators!$I17)+('Indicator Data'!W17&gt;=Indicators!$J17),1+('Indicator Data'!W17&lt;=Indicators!$G17)+('Indicator Data'!W17&lt;=Indicators!$H17)+('Indicator Data'!W17&lt;=Indicators!$I17)+('Indicator Data'!W17&lt;=Indicators!$J17)))</f>
        <v>3</v>
      </c>
      <c r="X17" s="27" t="n">
        <f aca="false">IF('Indicator Data'!X17="",IF(Config!$C$15="Score as High (5)",5,0),IF(Indicators!$F17="Higher = riskier",1+('Indicator Data'!X17&gt;=Indicators!$G17)+('Indicator Data'!X17&gt;=Indicators!$H17)+('Indicator Data'!X17&gt;=Indicators!$I17)+('Indicator Data'!X17&gt;=Indicators!$J17),1+('Indicator Data'!X17&lt;=Indicators!$G17)+('Indicator Data'!X17&lt;=Indicators!$H17)+('Indicator Data'!X17&lt;=Indicators!$I17)+('Indicator Data'!X17&lt;=Indicators!$J17)))</f>
        <v>4</v>
      </c>
      <c r="Y17" s="27" t="n">
        <f aca="false">IF('Indicator Data'!Y17="",IF(Config!$C$15="Score as High (5)",5,0),IF(Indicators!$F17="Higher = riskier",1+('Indicator Data'!Y17&gt;=Indicators!$G17)+('Indicator Data'!Y17&gt;=Indicators!$H17)+('Indicator Data'!Y17&gt;=Indicators!$I17)+('Indicator Data'!Y17&gt;=Indicators!$J17),1+('Indicator Data'!Y17&lt;=Indicators!$G17)+('Indicator Data'!Y17&lt;=Indicators!$H17)+('Indicator Data'!Y17&lt;=Indicators!$I17)+('Indicator Data'!Y17&lt;=Indicators!$J17)))</f>
        <v>1</v>
      </c>
      <c r="Z17" s="27" t="n">
        <f aca="false">IF('Indicator Data'!Z17="",IF(Config!$C$15="Score as High (5)",5,0),IF(Indicators!$F17="Higher = riskier",1+('Indicator Data'!Z17&gt;=Indicators!$G17)+('Indicator Data'!Z17&gt;=Indicators!$H17)+('Indicator Data'!Z17&gt;=Indicators!$I17)+('Indicator Data'!Z17&gt;=Indicators!$J17),1+('Indicator Data'!Z17&lt;=Indicators!$G17)+('Indicator Data'!Z17&lt;=Indicators!$H17)+('Indicator Data'!Z17&lt;=Indicators!$I17)+('Indicator Data'!Z17&lt;=Indicators!$J17)))</f>
        <v>3</v>
      </c>
      <c r="AA17" s="27" t="n">
        <f aca="false">IF('Indicator Data'!AA17="",IF(Config!$C$15="Score as High (5)",5,0),IF(Indicators!$F17="Higher = riskier",1+('Indicator Data'!AA17&gt;=Indicators!$G17)+('Indicator Data'!AA17&gt;=Indicators!$H17)+('Indicator Data'!AA17&gt;=Indicators!$I17)+('Indicator Data'!AA17&gt;=Indicators!$J17),1+('Indicator Data'!AA17&lt;=Indicators!$G17)+('Indicator Data'!AA17&lt;=Indicators!$H17)+('Indicator Data'!AA17&lt;=Indicators!$I17)+('Indicator Data'!AA17&lt;=Indicators!$J17)))</f>
        <v>1</v>
      </c>
      <c r="AB17" s="27" t="n">
        <f aca="false">IF('Indicator Data'!AB17="",IF(Config!$C$15="Score as High (5)",5,0),IF(Indicators!$F17="Higher = riskier",1+('Indicator Data'!AB17&gt;=Indicators!$G17)+('Indicator Data'!AB17&gt;=Indicators!$H17)+('Indicator Data'!AB17&gt;=Indicators!$I17)+('Indicator Data'!AB17&gt;=Indicators!$J17),1+('Indicator Data'!AB17&lt;=Indicators!$G17)+('Indicator Data'!AB17&lt;=Indicators!$H17)+('Indicator Data'!AB17&lt;=Indicators!$I17)+('Indicator Data'!AB17&lt;=Indicators!$J17)))</f>
        <v>2</v>
      </c>
      <c r="AC17" s="27" t="n">
        <f aca="false">IF('Indicator Data'!AC17="",IF(Config!$C$15="Score as High (5)",5,0),IF(Indicators!$F17="Higher = riskier",1+('Indicator Data'!AC17&gt;=Indicators!$G17)+('Indicator Data'!AC17&gt;=Indicators!$H17)+('Indicator Data'!AC17&gt;=Indicators!$I17)+('Indicator Data'!AC17&gt;=Indicators!$J17),1+('Indicator Data'!AC17&lt;=Indicators!$G17)+('Indicator Data'!AC17&lt;=Indicators!$H17)+('Indicator Data'!AC17&lt;=Indicators!$I17)+('Indicator Data'!AC17&lt;=Indicators!$J17)))</f>
        <v>2</v>
      </c>
      <c r="AD17" s="27" t="n">
        <f aca="false">IF('Indicator Data'!AD17="",IF(Config!$C$15="Score as High (5)",5,0),IF(Indicators!$F17="Higher = riskier",1+('Indicator Data'!AD17&gt;=Indicators!$G17)+('Indicator Data'!AD17&gt;=Indicators!$H17)+('Indicator Data'!AD17&gt;=Indicators!$I17)+('Indicator Data'!AD17&gt;=Indicators!$J17),1+('Indicator Data'!AD17&lt;=Indicators!$G17)+('Indicator Data'!AD17&lt;=Indicators!$H17)+('Indicator Data'!AD17&lt;=Indicators!$I17)+('Indicator Data'!AD17&lt;=Indicators!$J17)))</f>
        <v>3</v>
      </c>
      <c r="AE17" s="27" t="n">
        <f aca="false">IF('Indicator Data'!AE17="",IF(Config!$C$15="Score as High (5)",5,0),IF(Indicators!$F17="Higher = riskier",1+('Indicator Data'!AE17&gt;=Indicators!$G17)+('Indicator Data'!AE17&gt;=Indicators!$H17)+('Indicator Data'!AE17&gt;=Indicators!$I17)+('Indicator Data'!AE17&gt;=Indicators!$J17),1+('Indicator Data'!AE17&lt;=Indicators!$G17)+('Indicator Data'!AE17&lt;=Indicators!$H17)+('Indicator Data'!AE17&lt;=Indicators!$I17)+('Indicator Data'!AE17&lt;=Indicators!$J17)))</f>
        <v>3</v>
      </c>
      <c r="AF17" s="27" t="n">
        <f aca="false">IF('Indicator Data'!AF17="",IF(Config!$C$15="Score as High (5)",5,0),IF(Indicators!$F17="Higher = riskier",1+('Indicator Data'!AF17&gt;=Indicators!$G17)+('Indicator Data'!AF17&gt;=Indicators!$H17)+('Indicator Data'!AF17&gt;=Indicators!$I17)+('Indicator Data'!AF17&gt;=Indicators!$J17),1+('Indicator Data'!AF17&lt;=Indicators!$G17)+('Indicator Data'!AF17&lt;=Indicators!$H17)+('Indicator Data'!AF17&lt;=Indicators!$I17)+('Indicator Data'!AF17&lt;=Indicators!$J17)))</f>
        <v>2</v>
      </c>
      <c r="AG17" s="27" t="n">
        <f aca="false">IF('Indicator Data'!AG17="",IF(Config!$C$15="Score as High (5)",5,0),IF(Indicators!$F17="Higher = riskier",1+('Indicator Data'!AG17&gt;=Indicators!$G17)+('Indicator Data'!AG17&gt;=Indicators!$H17)+('Indicator Data'!AG17&gt;=Indicators!$I17)+('Indicator Data'!AG17&gt;=Indicators!$J17),1+('Indicator Data'!AG17&lt;=Indicators!$G17)+('Indicator Data'!AG17&lt;=Indicators!$H17)+('Indicator Data'!AG17&lt;=Indicators!$I17)+('Indicator Data'!AG17&lt;=Indicators!$J17)))</f>
        <v>2</v>
      </c>
    </row>
    <row r="18" customFormat="false" ht="15" hidden="false" customHeight="false" outlineLevel="0" collapsed="false">
      <c r="A18" s="26" t="str">
        <f aca="false">Indicators!A18</f>
        <v>P01</v>
      </c>
      <c r="B18" s="26" t="str">
        <f aca="false">Indicators!C18</f>
        <v>Trade finance volume (% of total assets)</v>
      </c>
      <c r="C18" s="26" t="str">
        <f aca="false">Indicators!D18</f>
        <v>%</v>
      </c>
      <c r="D18" s="27" t="n">
        <f aca="false">IF('Indicator Data'!D18="",IF(Config!$C$15="Score as High (5)",5,0),IF(Indicators!$F18="Higher = riskier",1+('Indicator Data'!D18&gt;=Indicators!$G18)+('Indicator Data'!D18&gt;=Indicators!$H18)+('Indicator Data'!D18&gt;=Indicators!$I18)+('Indicator Data'!D18&gt;=Indicators!$J18),1+('Indicator Data'!D18&lt;=Indicators!$G18)+('Indicator Data'!D18&lt;=Indicators!$H18)+('Indicator Data'!D18&lt;=Indicators!$I18)+('Indicator Data'!D18&lt;=Indicators!$J18)))</f>
        <v>3</v>
      </c>
      <c r="E18" s="27" t="n">
        <f aca="false">IF('Indicator Data'!E18="",IF(Config!$C$15="Score as High (5)",5,0),IF(Indicators!$F18="Higher = riskier",1+('Indicator Data'!E18&gt;=Indicators!$G18)+('Indicator Data'!E18&gt;=Indicators!$H18)+('Indicator Data'!E18&gt;=Indicators!$I18)+('Indicator Data'!E18&gt;=Indicators!$J18),1+('Indicator Data'!E18&lt;=Indicators!$G18)+('Indicator Data'!E18&lt;=Indicators!$H18)+('Indicator Data'!E18&lt;=Indicators!$I18)+('Indicator Data'!E18&lt;=Indicators!$J18)))</f>
        <v>4</v>
      </c>
      <c r="F18" s="27" t="n">
        <f aca="false">IF('Indicator Data'!F18="",IF(Config!$C$15="Score as High (5)",5,0),IF(Indicators!$F18="Higher = riskier",1+('Indicator Data'!F18&gt;=Indicators!$G18)+('Indicator Data'!F18&gt;=Indicators!$H18)+('Indicator Data'!F18&gt;=Indicators!$I18)+('Indicator Data'!F18&gt;=Indicators!$J18),1+('Indicator Data'!F18&lt;=Indicators!$G18)+('Indicator Data'!F18&lt;=Indicators!$H18)+('Indicator Data'!F18&lt;=Indicators!$I18)+('Indicator Data'!F18&lt;=Indicators!$J18)))</f>
        <v>1</v>
      </c>
      <c r="G18" s="27" t="n">
        <f aca="false">IF('Indicator Data'!G18="",IF(Config!$C$15="Score as High (5)",5,0),IF(Indicators!$F18="Higher = riskier",1+('Indicator Data'!G18&gt;=Indicators!$G18)+('Indicator Data'!G18&gt;=Indicators!$H18)+('Indicator Data'!G18&gt;=Indicators!$I18)+('Indicator Data'!G18&gt;=Indicators!$J18),1+('Indicator Data'!G18&lt;=Indicators!$G18)+('Indicator Data'!G18&lt;=Indicators!$H18)+('Indicator Data'!G18&lt;=Indicators!$I18)+('Indicator Data'!G18&lt;=Indicators!$J18)))</f>
        <v>1</v>
      </c>
      <c r="H18" s="27" t="n">
        <f aca="false">IF('Indicator Data'!H18="",IF(Config!$C$15="Score as High (5)",5,0),IF(Indicators!$F18="Higher = riskier",1+('Indicator Data'!H18&gt;=Indicators!$G18)+('Indicator Data'!H18&gt;=Indicators!$H18)+('Indicator Data'!H18&gt;=Indicators!$I18)+('Indicator Data'!H18&gt;=Indicators!$J18),1+('Indicator Data'!H18&lt;=Indicators!$G18)+('Indicator Data'!H18&lt;=Indicators!$H18)+('Indicator Data'!H18&lt;=Indicators!$I18)+('Indicator Data'!H18&lt;=Indicators!$J18)))</f>
        <v>1</v>
      </c>
      <c r="I18" s="27" t="n">
        <f aca="false">IF('Indicator Data'!I18="",IF(Config!$C$15="Score as High (5)",5,0),IF(Indicators!$F18="Higher = riskier",1+('Indicator Data'!I18&gt;=Indicators!$G18)+('Indicator Data'!I18&gt;=Indicators!$H18)+('Indicator Data'!I18&gt;=Indicators!$I18)+('Indicator Data'!I18&gt;=Indicators!$J18),1+('Indicator Data'!I18&lt;=Indicators!$G18)+('Indicator Data'!I18&lt;=Indicators!$H18)+('Indicator Data'!I18&lt;=Indicators!$I18)+('Indicator Data'!I18&lt;=Indicators!$J18)))</f>
        <v>4</v>
      </c>
      <c r="J18" s="27" t="n">
        <f aca="false">IF('Indicator Data'!J18="",IF(Config!$C$15="Score as High (5)",5,0),IF(Indicators!$F18="Higher = riskier",1+('Indicator Data'!J18&gt;=Indicators!$G18)+('Indicator Data'!J18&gt;=Indicators!$H18)+('Indicator Data'!J18&gt;=Indicators!$I18)+('Indicator Data'!J18&gt;=Indicators!$J18),1+('Indicator Data'!J18&lt;=Indicators!$G18)+('Indicator Data'!J18&lt;=Indicators!$H18)+('Indicator Data'!J18&lt;=Indicators!$I18)+('Indicator Data'!J18&lt;=Indicators!$J18)))</f>
        <v>1</v>
      </c>
      <c r="K18" s="27" t="n">
        <f aca="false">IF('Indicator Data'!K18="",IF(Config!$C$15="Score as High (5)",5,0),IF(Indicators!$F18="Higher = riskier",1+('Indicator Data'!K18&gt;=Indicators!$G18)+('Indicator Data'!K18&gt;=Indicators!$H18)+('Indicator Data'!K18&gt;=Indicators!$I18)+('Indicator Data'!K18&gt;=Indicators!$J18),1+('Indicator Data'!K18&lt;=Indicators!$G18)+('Indicator Data'!K18&lt;=Indicators!$H18)+('Indicator Data'!K18&lt;=Indicators!$I18)+('Indicator Data'!K18&lt;=Indicators!$J18)))</f>
        <v>4</v>
      </c>
      <c r="L18" s="27" t="n">
        <f aca="false">IF('Indicator Data'!L18="",IF(Config!$C$15="Score as High (5)",5,0),IF(Indicators!$F18="Higher = riskier",1+('Indicator Data'!L18&gt;=Indicators!$G18)+('Indicator Data'!L18&gt;=Indicators!$H18)+('Indicator Data'!L18&gt;=Indicators!$I18)+('Indicator Data'!L18&gt;=Indicators!$J18),1+('Indicator Data'!L18&lt;=Indicators!$G18)+('Indicator Data'!L18&lt;=Indicators!$H18)+('Indicator Data'!L18&lt;=Indicators!$I18)+('Indicator Data'!L18&lt;=Indicators!$J18)))</f>
        <v>4</v>
      </c>
      <c r="M18" s="27" t="n">
        <f aca="false">IF('Indicator Data'!M18="",IF(Config!$C$15="Score as High (5)",5,0),IF(Indicators!$F18="Higher = riskier",1+('Indicator Data'!M18&gt;=Indicators!$G18)+('Indicator Data'!M18&gt;=Indicators!$H18)+('Indicator Data'!M18&gt;=Indicators!$I18)+('Indicator Data'!M18&gt;=Indicators!$J18),1+('Indicator Data'!M18&lt;=Indicators!$G18)+('Indicator Data'!M18&lt;=Indicators!$H18)+('Indicator Data'!M18&lt;=Indicators!$I18)+('Indicator Data'!M18&lt;=Indicators!$J18)))</f>
        <v>3</v>
      </c>
      <c r="N18" s="27" t="n">
        <f aca="false">IF('Indicator Data'!N18="",IF(Config!$C$15="Score as High (5)",5,0),IF(Indicators!$F18="Higher = riskier",1+('Indicator Data'!N18&gt;=Indicators!$G18)+('Indicator Data'!N18&gt;=Indicators!$H18)+('Indicator Data'!N18&gt;=Indicators!$I18)+('Indicator Data'!N18&gt;=Indicators!$J18),1+('Indicator Data'!N18&lt;=Indicators!$G18)+('Indicator Data'!N18&lt;=Indicators!$H18)+('Indicator Data'!N18&lt;=Indicators!$I18)+('Indicator Data'!N18&lt;=Indicators!$J18)))</f>
        <v>1</v>
      </c>
      <c r="O18" s="27" t="n">
        <f aca="false">IF('Indicator Data'!O18="",IF(Config!$C$15="Score as High (5)",5,0),IF(Indicators!$F18="Higher = riskier",1+('Indicator Data'!O18&gt;=Indicators!$G18)+('Indicator Data'!O18&gt;=Indicators!$H18)+('Indicator Data'!O18&gt;=Indicators!$I18)+('Indicator Data'!O18&gt;=Indicators!$J18),1+('Indicator Data'!O18&lt;=Indicators!$G18)+('Indicator Data'!O18&lt;=Indicators!$H18)+('Indicator Data'!O18&lt;=Indicators!$I18)+('Indicator Data'!O18&lt;=Indicators!$J18)))</f>
        <v>3</v>
      </c>
      <c r="P18" s="27" t="n">
        <f aca="false">IF('Indicator Data'!P18="",IF(Config!$C$15="Score as High (5)",5,0),IF(Indicators!$F18="Higher = riskier",1+('Indicator Data'!P18&gt;=Indicators!$G18)+('Indicator Data'!P18&gt;=Indicators!$H18)+('Indicator Data'!P18&gt;=Indicators!$I18)+('Indicator Data'!P18&gt;=Indicators!$J18),1+('Indicator Data'!P18&lt;=Indicators!$G18)+('Indicator Data'!P18&lt;=Indicators!$H18)+('Indicator Data'!P18&lt;=Indicators!$I18)+('Indicator Data'!P18&lt;=Indicators!$J18)))</f>
        <v>4</v>
      </c>
      <c r="Q18" s="27" t="n">
        <f aca="false">IF('Indicator Data'!Q18="",IF(Config!$C$15="Score as High (5)",5,0),IF(Indicators!$F18="Higher = riskier",1+('Indicator Data'!Q18&gt;=Indicators!$G18)+('Indicator Data'!Q18&gt;=Indicators!$H18)+('Indicator Data'!Q18&gt;=Indicators!$I18)+('Indicator Data'!Q18&gt;=Indicators!$J18),1+('Indicator Data'!Q18&lt;=Indicators!$G18)+('Indicator Data'!Q18&lt;=Indicators!$H18)+('Indicator Data'!Q18&lt;=Indicators!$I18)+('Indicator Data'!Q18&lt;=Indicators!$J18)))</f>
        <v>2</v>
      </c>
      <c r="R18" s="27" t="n">
        <f aca="false">IF('Indicator Data'!R18="",IF(Config!$C$15="Score as High (5)",5,0),IF(Indicators!$F18="Higher = riskier",1+('Indicator Data'!R18&gt;=Indicators!$G18)+('Indicator Data'!R18&gt;=Indicators!$H18)+('Indicator Data'!R18&gt;=Indicators!$I18)+('Indicator Data'!R18&gt;=Indicators!$J18),1+('Indicator Data'!R18&lt;=Indicators!$G18)+('Indicator Data'!R18&lt;=Indicators!$H18)+('Indicator Data'!R18&lt;=Indicators!$I18)+('Indicator Data'!R18&lt;=Indicators!$J18)))</f>
        <v>4</v>
      </c>
      <c r="S18" s="27" t="n">
        <f aca="false">IF('Indicator Data'!S18="",IF(Config!$C$15="Score as High (5)",5,0),IF(Indicators!$F18="Higher = riskier",1+('Indicator Data'!S18&gt;=Indicators!$G18)+('Indicator Data'!S18&gt;=Indicators!$H18)+('Indicator Data'!S18&gt;=Indicators!$I18)+('Indicator Data'!S18&gt;=Indicators!$J18),1+('Indicator Data'!S18&lt;=Indicators!$G18)+('Indicator Data'!S18&lt;=Indicators!$H18)+('Indicator Data'!S18&lt;=Indicators!$I18)+('Indicator Data'!S18&lt;=Indicators!$J18)))</f>
        <v>4</v>
      </c>
      <c r="T18" s="27" t="n">
        <f aca="false">IF('Indicator Data'!T18="",IF(Config!$C$15="Score as High (5)",5,0),IF(Indicators!$F18="Higher = riskier",1+('Indicator Data'!T18&gt;=Indicators!$G18)+('Indicator Data'!T18&gt;=Indicators!$H18)+('Indicator Data'!T18&gt;=Indicators!$I18)+('Indicator Data'!T18&gt;=Indicators!$J18),1+('Indicator Data'!T18&lt;=Indicators!$G18)+('Indicator Data'!T18&lt;=Indicators!$H18)+('Indicator Data'!T18&lt;=Indicators!$I18)+('Indicator Data'!T18&lt;=Indicators!$J18)))</f>
        <v>2</v>
      </c>
      <c r="U18" s="27" t="n">
        <f aca="false">IF('Indicator Data'!U18="",IF(Config!$C$15="Score as High (5)",5,0),IF(Indicators!$F18="Higher = riskier",1+('Indicator Data'!U18&gt;=Indicators!$G18)+('Indicator Data'!U18&gt;=Indicators!$H18)+('Indicator Data'!U18&gt;=Indicators!$I18)+('Indicator Data'!U18&gt;=Indicators!$J18),1+('Indicator Data'!U18&lt;=Indicators!$G18)+('Indicator Data'!U18&lt;=Indicators!$H18)+('Indicator Data'!U18&lt;=Indicators!$I18)+('Indicator Data'!U18&lt;=Indicators!$J18)))</f>
        <v>3</v>
      </c>
      <c r="V18" s="27" t="n">
        <f aca="false">IF('Indicator Data'!V18="",IF(Config!$C$15="Score as High (5)",5,0),IF(Indicators!$F18="Higher = riskier",1+('Indicator Data'!V18&gt;=Indicators!$G18)+('Indicator Data'!V18&gt;=Indicators!$H18)+('Indicator Data'!V18&gt;=Indicators!$I18)+('Indicator Data'!V18&gt;=Indicators!$J18),1+('Indicator Data'!V18&lt;=Indicators!$G18)+('Indicator Data'!V18&lt;=Indicators!$H18)+('Indicator Data'!V18&lt;=Indicators!$I18)+('Indicator Data'!V18&lt;=Indicators!$J18)))</f>
        <v>3</v>
      </c>
      <c r="W18" s="27" t="n">
        <f aca="false">IF('Indicator Data'!W18="",IF(Config!$C$15="Score as High (5)",5,0),IF(Indicators!$F18="Higher = riskier",1+('Indicator Data'!W18&gt;=Indicators!$G18)+('Indicator Data'!W18&gt;=Indicators!$H18)+('Indicator Data'!W18&gt;=Indicators!$I18)+('Indicator Data'!W18&gt;=Indicators!$J18),1+('Indicator Data'!W18&lt;=Indicators!$G18)+('Indicator Data'!W18&lt;=Indicators!$H18)+('Indicator Data'!W18&lt;=Indicators!$I18)+('Indicator Data'!W18&lt;=Indicators!$J18)))</f>
        <v>3</v>
      </c>
      <c r="X18" s="27" t="n">
        <f aca="false">IF('Indicator Data'!X18="",IF(Config!$C$15="Score as High (5)",5,0),IF(Indicators!$F18="Higher = riskier",1+('Indicator Data'!X18&gt;=Indicators!$G18)+('Indicator Data'!X18&gt;=Indicators!$H18)+('Indicator Data'!X18&gt;=Indicators!$I18)+('Indicator Data'!X18&gt;=Indicators!$J18),1+('Indicator Data'!X18&lt;=Indicators!$G18)+('Indicator Data'!X18&lt;=Indicators!$H18)+('Indicator Data'!X18&lt;=Indicators!$I18)+('Indicator Data'!X18&lt;=Indicators!$J18)))</f>
        <v>4</v>
      </c>
      <c r="Y18" s="27" t="n">
        <f aca="false">IF('Indicator Data'!Y18="",IF(Config!$C$15="Score as High (5)",5,0),IF(Indicators!$F18="Higher = riskier",1+('Indicator Data'!Y18&gt;=Indicators!$G18)+('Indicator Data'!Y18&gt;=Indicators!$H18)+('Indicator Data'!Y18&gt;=Indicators!$I18)+('Indicator Data'!Y18&gt;=Indicators!$J18),1+('Indicator Data'!Y18&lt;=Indicators!$G18)+('Indicator Data'!Y18&lt;=Indicators!$H18)+('Indicator Data'!Y18&lt;=Indicators!$I18)+('Indicator Data'!Y18&lt;=Indicators!$J18)))</f>
        <v>3</v>
      </c>
      <c r="Z18" s="27" t="n">
        <f aca="false">IF('Indicator Data'!Z18="",IF(Config!$C$15="Score as High (5)",5,0),IF(Indicators!$F18="Higher = riskier",1+('Indicator Data'!Z18&gt;=Indicators!$G18)+('Indicator Data'!Z18&gt;=Indicators!$H18)+('Indicator Data'!Z18&gt;=Indicators!$I18)+('Indicator Data'!Z18&gt;=Indicators!$J18),1+('Indicator Data'!Z18&lt;=Indicators!$G18)+('Indicator Data'!Z18&lt;=Indicators!$H18)+('Indicator Data'!Z18&lt;=Indicators!$I18)+('Indicator Data'!Z18&lt;=Indicators!$J18)))</f>
        <v>3</v>
      </c>
      <c r="AA18" s="27" t="n">
        <f aca="false">IF('Indicator Data'!AA18="",IF(Config!$C$15="Score as High (5)",5,0),IF(Indicators!$F18="Higher = riskier",1+('Indicator Data'!AA18&gt;=Indicators!$G18)+('Indicator Data'!AA18&gt;=Indicators!$H18)+('Indicator Data'!AA18&gt;=Indicators!$I18)+('Indicator Data'!AA18&gt;=Indicators!$J18),1+('Indicator Data'!AA18&lt;=Indicators!$G18)+('Indicator Data'!AA18&lt;=Indicators!$H18)+('Indicator Data'!AA18&lt;=Indicators!$I18)+('Indicator Data'!AA18&lt;=Indicators!$J18)))</f>
        <v>2</v>
      </c>
      <c r="AB18" s="27" t="n">
        <f aca="false">IF('Indicator Data'!AB18="",IF(Config!$C$15="Score as High (5)",5,0),IF(Indicators!$F18="Higher = riskier",1+('Indicator Data'!AB18&gt;=Indicators!$G18)+('Indicator Data'!AB18&gt;=Indicators!$H18)+('Indicator Data'!AB18&gt;=Indicators!$I18)+('Indicator Data'!AB18&gt;=Indicators!$J18),1+('Indicator Data'!AB18&lt;=Indicators!$G18)+('Indicator Data'!AB18&lt;=Indicators!$H18)+('Indicator Data'!AB18&lt;=Indicators!$I18)+('Indicator Data'!AB18&lt;=Indicators!$J18)))</f>
        <v>2</v>
      </c>
      <c r="AC18" s="27" t="n">
        <f aca="false">IF('Indicator Data'!AC18="",IF(Config!$C$15="Score as High (5)",5,0),IF(Indicators!$F18="Higher = riskier",1+('Indicator Data'!AC18&gt;=Indicators!$G18)+('Indicator Data'!AC18&gt;=Indicators!$H18)+('Indicator Data'!AC18&gt;=Indicators!$I18)+('Indicator Data'!AC18&gt;=Indicators!$J18),1+('Indicator Data'!AC18&lt;=Indicators!$G18)+('Indicator Data'!AC18&lt;=Indicators!$H18)+('Indicator Data'!AC18&lt;=Indicators!$I18)+('Indicator Data'!AC18&lt;=Indicators!$J18)))</f>
        <v>2</v>
      </c>
      <c r="AD18" s="27" t="n">
        <f aca="false">IF('Indicator Data'!AD18="",IF(Config!$C$15="Score as High (5)",5,0),IF(Indicators!$F18="Higher = riskier",1+('Indicator Data'!AD18&gt;=Indicators!$G18)+('Indicator Data'!AD18&gt;=Indicators!$H18)+('Indicator Data'!AD18&gt;=Indicators!$I18)+('Indicator Data'!AD18&gt;=Indicators!$J18),1+('Indicator Data'!AD18&lt;=Indicators!$G18)+('Indicator Data'!AD18&lt;=Indicators!$H18)+('Indicator Data'!AD18&lt;=Indicators!$I18)+('Indicator Data'!AD18&lt;=Indicators!$J18)))</f>
        <v>3</v>
      </c>
      <c r="AE18" s="27" t="n">
        <f aca="false">IF('Indicator Data'!AE18="",IF(Config!$C$15="Score as High (5)",5,0),IF(Indicators!$F18="Higher = riskier",1+('Indicator Data'!AE18&gt;=Indicators!$G18)+('Indicator Data'!AE18&gt;=Indicators!$H18)+('Indicator Data'!AE18&gt;=Indicators!$I18)+('Indicator Data'!AE18&gt;=Indicators!$J18),1+('Indicator Data'!AE18&lt;=Indicators!$G18)+('Indicator Data'!AE18&lt;=Indicators!$H18)+('Indicator Data'!AE18&lt;=Indicators!$I18)+('Indicator Data'!AE18&lt;=Indicators!$J18)))</f>
        <v>1</v>
      </c>
      <c r="AF18" s="27" t="n">
        <f aca="false">IF('Indicator Data'!AF18="",IF(Config!$C$15="Score as High (5)",5,0),IF(Indicators!$F18="Higher = riskier",1+('Indicator Data'!AF18&gt;=Indicators!$G18)+('Indicator Data'!AF18&gt;=Indicators!$H18)+('Indicator Data'!AF18&gt;=Indicators!$I18)+('Indicator Data'!AF18&gt;=Indicators!$J18),1+('Indicator Data'!AF18&lt;=Indicators!$G18)+('Indicator Data'!AF18&lt;=Indicators!$H18)+('Indicator Data'!AF18&lt;=Indicators!$I18)+('Indicator Data'!AF18&lt;=Indicators!$J18)))</f>
        <v>1</v>
      </c>
      <c r="AG18" s="27" t="n">
        <f aca="false">IF('Indicator Data'!AG18="",IF(Config!$C$15="Score as High (5)",5,0),IF(Indicators!$F18="Higher = riskier",1+('Indicator Data'!AG18&gt;=Indicators!$G18)+('Indicator Data'!AG18&gt;=Indicators!$H18)+('Indicator Data'!AG18&gt;=Indicators!$I18)+('Indicator Data'!AG18&gt;=Indicators!$J18),1+('Indicator Data'!AG18&lt;=Indicators!$G18)+('Indicator Data'!AG18&lt;=Indicators!$H18)+('Indicator Data'!AG18&lt;=Indicators!$I18)+('Indicator Data'!AG18&lt;=Indicators!$J18)))</f>
        <v>1</v>
      </c>
    </row>
    <row r="19" customFormat="false" ht="15" hidden="false" customHeight="false" outlineLevel="0" collapsed="false">
      <c r="A19" s="26" t="str">
        <f aca="false">Indicators!A19</f>
        <v>P02</v>
      </c>
      <c r="B19" s="26" t="str">
        <f aca="false">Indicators!C19</f>
        <v>Number of respondent (correspondent) bank relationships</v>
      </c>
      <c r="C19" s="26" t="str">
        <f aca="false">Indicators!D19</f>
        <v>count</v>
      </c>
      <c r="D19" s="27" t="n">
        <f aca="false">IF('Indicator Data'!D19="",IF(Config!$C$15="Score as High (5)",5,0),IF(Indicators!$F19="Higher = riskier",1+('Indicator Data'!D19&gt;=Indicators!$G19)+('Indicator Data'!D19&gt;=Indicators!$H19)+('Indicator Data'!D19&gt;=Indicators!$I19)+('Indicator Data'!D19&gt;=Indicators!$J19),1+('Indicator Data'!D19&lt;=Indicators!$G19)+('Indicator Data'!D19&lt;=Indicators!$H19)+('Indicator Data'!D19&lt;=Indicators!$I19)+('Indicator Data'!D19&lt;=Indicators!$J19)))</f>
        <v>4</v>
      </c>
      <c r="E19" s="27" t="n">
        <f aca="false">IF('Indicator Data'!E19="",IF(Config!$C$15="Score as High (5)",5,0),IF(Indicators!$F19="Higher = riskier",1+('Indicator Data'!E19&gt;=Indicators!$G19)+('Indicator Data'!E19&gt;=Indicators!$H19)+('Indicator Data'!E19&gt;=Indicators!$I19)+('Indicator Data'!E19&gt;=Indicators!$J19),1+('Indicator Data'!E19&lt;=Indicators!$G19)+('Indicator Data'!E19&lt;=Indicators!$H19)+('Indicator Data'!E19&lt;=Indicators!$I19)+('Indicator Data'!E19&lt;=Indicators!$J19)))</f>
        <v>3</v>
      </c>
      <c r="F19" s="27" t="n">
        <f aca="false">IF('Indicator Data'!F19="",IF(Config!$C$15="Score as High (5)",5,0),IF(Indicators!$F19="Higher = riskier",1+('Indicator Data'!F19&gt;=Indicators!$G19)+('Indicator Data'!F19&gt;=Indicators!$H19)+('Indicator Data'!F19&gt;=Indicators!$I19)+('Indicator Data'!F19&gt;=Indicators!$J19),1+('Indicator Data'!F19&lt;=Indicators!$G19)+('Indicator Data'!F19&lt;=Indicators!$H19)+('Indicator Data'!F19&lt;=Indicators!$I19)+('Indicator Data'!F19&lt;=Indicators!$J19)))</f>
        <v>1</v>
      </c>
      <c r="G19" s="27" t="n">
        <f aca="false">IF('Indicator Data'!G19="",IF(Config!$C$15="Score as High (5)",5,0),IF(Indicators!$F19="Higher = riskier",1+('Indicator Data'!G19&gt;=Indicators!$G19)+('Indicator Data'!G19&gt;=Indicators!$H19)+('Indicator Data'!G19&gt;=Indicators!$I19)+('Indicator Data'!G19&gt;=Indicators!$J19),1+('Indicator Data'!G19&lt;=Indicators!$G19)+('Indicator Data'!G19&lt;=Indicators!$H19)+('Indicator Data'!G19&lt;=Indicators!$I19)+('Indicator Data'!G19&lt;=Indicators!$J19)))</f>
        <v>1</v>
      </c>
      <c r="H19" s="27" t="n">
        <f aca="false">IF('Indicator Data'!H19="",IF(Config!$C$15="Score as High (5)",5,0),IF(Indicators!$F19="Higher = riskier",1+('Indicator Data'!H19&gt;=Indicators!$G19)+('Indicator Data'!H19&gt;=Indicators!$H19)+('Indicator Data'!H19&gt;=Indicators!$I19)+('Indicator Data'!H19&gt;=Indicators!$J19),1+('Indicator Data'!H19&lt;=Indicators!$G19)+('Indicator Data'!H19&lt;=Indicators!$H19)+('Indicator Data'!H19&lt;=Indicators!$I19)+('Indicator Data'!H19&lt;=Indicators!$J19)))</f>
        <v>1</v>
      </c>
      <c r="I19" s="27" t="n">
        <f aca="false">IF('Indicator Data'!I19="",IF(Config!$C$15="Score as High (5)",5,0),IF(Indicators!$F19="Higher = riskier",1+('Indicator Data'!I19&gt;=Indicators!$G19)+('Indicator Data'!I19&gt;=Indicators!$H19)+('Indicator Data'!I19&gt;=Indicators!$I19)+('Indicator Data'!I19&gt;=Indicators!$J19),1+('Indicator Data'!I19&lt;=Indicators!$G19)+('Indicator Data'!I19&lt;=Indicators!$H19)+('Indicator Data'!I19&lt;=Indicators!$I19)+('Indicator Data'!I19&lt;=Indicators!$J19)))</f>
        <v>5</v>
      </c>
      <c r="J19" s="27" t="n">
        <f aca="false">IF('Indicator Data'!J19="",IF(Config!$C$15="Score as High (5)",5,0),IF(Indicators!$F19="Higher = riskier",1+('Indicator Data'!J19&gt;=Indicators!$G19)+('Indicator Data'!J19&gt;=Indicators!$H19)+('Indicator Data'!J19&gt;=Indicators!$I19)+('Indicator Data'!J19&gt;=Indicators!$J19),1+('Indicator Data'!J19&lt;=Indicators!$G19)+('Indicator Data'!J19&lt;=Indicators!$H19)+('Indicator Data'!J19&lt;=Indicators!$I19)+('Indicator Data'!J19&lt;=Indicators!$J19)))</f>
        <v>1</v>
      </c>
      <c r="K19" s="27" t="n">
        <f aca="false">IF('Indicator Data'!K19="",IF(Config!$C$15="Score as High (5)",5,0),IF(Indicators!$F19="Higher = riskier",1+('Indicator Data'!K19&gt;=Indicators!$G19)+('Indicator Data'!K19&gt;=Indicators!$H19)+('Indicator Data'!K19&gt;=Indicators!$I19)+('Indicator Data'!K19&gt;=Indicators!$J19),1+('Indicator Data'!K19&lt;=Indicators!$G19)+('Indicator Data'!K19&lt;=Indicators!$H19)+('Indicator Data'!K19&lt;=Indicators!$I19)+('Indicator Data'!K19&lt;=Indicators!$J19)))</f>
        <v>3</v>
      </c>
      <c r="L19" s="27" t="n">
        <f aca="false">IF('Indicator Data'!L19="",IF(Config!$C$15="Score as High (5)",5,0),IF(Indicators!$F19="Higher = riskier",1+('Indicator Data'!L19&gt;=Indicators!$G19)+('Indicator Data'!L19&gt;=Indicators!$H19)+('Indicator Data'!L19&gt;=Indicators!$I19)+('Indicator Data'!L19&gt;=Indicators!$J19),1+('Indicator Data'!L19&lt;=Indicators!$G19)+('Indicator Data'!L19&lt;=Indicators!$H19)+('Indicator Data'!L19&lt;=Indicators!$I19)+('Indicator Data'!L19&lt;=Indicators!$J19)))</f>
        <v>3</v>
      </c>
      <c r="M19" s="27" t="n">
        <f aca="false">IF('Indicator Data'!M19="",IF(Config!$C$15="Score as High (5)",5,0),IF(Indicators!$F19="Higher = riskier",1+('Indicator Data'!M19&gt;=Indicators!$G19)+('Indicator Data'!M19&gt;=Indicators!$H19)+('Indicator Data'!M19&gt;=Indicators!$I19)+('Indicator Data'!M19&gt;=Indicators!$J19),1+('Indicator Data'!M19&lt;=Indicators!$G19)+('Indicator Data'!M19&lt;=Indicators!$H19)+('Indicator Data'!M19&lt;=Indicators!$I19)+('Indicator Data'!M19&lt;=Indicators!$J19)))</f>
        <v>3</v>
      </c>
      <c r="N19" s="27" t="n">
        <f aca="false">IF('Indicator Data'!N19="",IF(Config!$C$15="Score as High (5)",5,0),IF(Indicators!$F19="Higher = riskier",1+('Indicator Data'!N19&gt;=Indicators!$G19)+('Indicator Data'!N19&gt;=Indicators!$H19)+('Indicator Data'!N19&gt;=Indicators!$I19)+('Indicator Data'!N19&gt;=Indicators!$J19),1+('Indicator Data'!N19&lt;=Indicators!$G19)+('Indicator Data'!N19&lt;=Indicators!$H19)+('Indicator Data'!N19&lt;=Indicators!$I19)+('Indicator Data'!N19&lt;=Indicators!$J19)))</f>
        <v>4</v>
      </c>
      <c r="O19" s="27" t="n">
        <f aca="false">IF('Indicator Data'!O19="",IF(Config!$C$15="Score as High (5)",5,0),IF(Indicators!$F19="Higher = riskier",1+('Indicator Data'!O19&gt;=Indicators!$G19)+('Indicator Data'!O19&gt;=Indicators!$H19)+('Indicator Data'!O19&gt;=Indicators!$I19)+('Indicator Data'!O19&gt;=Indicators!$J19),1+('Indicator Data'!O19&lt;=Indicators!$G19)+('Indicator Data'!O19&lt;=Indicators!$H19)+('Indicator Data'!O19&lt;=Indicators!$I19)+('Indicator Data'!O19&lt;=Indicators!$J19)))</f>
        <v>3</v>
      </c>
      <c r="P19" s="27" t="n">
        <f aca="false">IF('Indicator Data'!P19="",IF(Config!$C$15="Score as High (5)",5,0),IF(Indicators!$F19="Higher = riskier",1+('Indicator Data'!P19&gt;=Indicators!$G19)+('Indicator Data'!P19&gt;=Indicators!$H19)+('Indicator Data'!P19&gt;=Indicators!$I19)+('Indicator Data'!P19&gt;=Indicators!$J19),1+('Indicator Data'!P19&lt;=Indicators!$G19)+('Indicator Data'!P19&lt;=Indicators!$H19)+('Indicator Data'!P19&lt;=Indicators!$I19)+('Indicator Data'!P19&lt;=Indicators!$J19)))</f>
        <v>4</v>
      </c>
      <c r="Q19" s="27" t="n">
        <f aca="false">IF('Indicator Data'!Q19="",IF(Config!$C$15="Score as High (5)",5,0),IF(Indicators!$F19="Higher = riskier",1+('Indicator Data'!Q19&gt;=Indicators!$G19)+('Indicator Data'!Q19&gt;=Indicators!$H19)+('Indicator Data'!Q19&gt;=Indicators!$I19)+('Indicator Data'!Q19&gt;=Indicators!$J19),1+('Indicator Data'!Q19&lt;=Indicators!$G19)+('Indicator Data'!Q19&lt;=Indicators!$H19)+('Indicator Data'!Q19&lt;=Indicators!$I19)+('Indicator Data'!Q19&lt;=Indicators!$J19)))</f>
        <v>2</v>
      </c>
      <c r="R19" s="27" t="n">
        <f aca="false">IF('Indicator Data'!R19="",IF(Config!$C$15="Score as High (5)",5,0),IF(Indicators!$F19="Higher = riskier",1+('Indicator Data'!R19&gt;=Indicators!$G19)+('Indicator Data'!R19&gt;=Indicators!$H19)+('Indicator Data'!R19&gt;=Indicators!$I19)+('Indicator Data'!R19&gt;=Indicators!$J19),1+('Indicator Data'!R19&lt;=Indicators!$G19)+('Indicator Data'!R19&lt;=Indicators!$H19)+('Indicator Data'!R19&lt;=Indicators!$I19)+('Indicator Data'!R19&lt;=Indicators!$J19)))</f>
        <v>4</v>
      </c>
      <c r="S19" s="27" t="n">
        <f aca="false">IF('Indicator Data'!S19="",IF(Config!$C$15="Score as High (5)",5,0),IF(Indicators!$F19="Higher = riskier",1+('Indicator Data'!S19&gt;=Indicators!$G19)+('Indicator Data'!S19&gt;=Indicators!$H19)+('Indicator Data'!S19&gt;=Indicators!$I19)+('Indicator Data'!S19&gt;=Indicators!$J19),1+('Indicator Data'!S19&lt;=Indicators!$G19)+('Indicator Data'!S19&lt;=Indicators!$H19)+('Indicator Data'!S19&lt;=Indicators!$I19)+('Indicator Data'!S19&lt;=Indicators!$J19)))</f>
        <v>5</v>
      </c>
      <c r="T19" s="27" t="n">
        <f aca="false">IF('Indicator Data'!T19="",IF(Config!$C$15="Score as High (5)",5,0),IF(Indicators!$F19="Higher = riskier",1+('Indicator Data'!T19&gt;=Indicators!$G19)+('Indicator Data'!T19&gt;=Indicators!$H19)+('Indicator Data'!T19&gt;=Indicators!$I19)+('Indicator Data'!T19&gt;=Indicators!$J19),1+('Indicator Data'!T19&lt;=Indicators!$G19)+('Indicator Data'!T19&lt;=Indicators!$H19)+('Indicator Data'!T19&lt;=Indicators!$I19)+('Indicator Data'!T19&lt;=Indicators!$J19)))</f>
        <v>1</v>
      </c>
      <c r="U19" s="27" t="n">
        <f aca="false">IF('Indicator Data'!U19="",IF(Config!$C$15="Score as High (5)",5,0),IF(Indicators!$F19="Higher = riskier",1+('Indicator Data'!U19&gt;=Indicators!$G19)+('Indicator Data'!U19&gt;=Indicators!$H19)+('Indicator Data'!U19&gt;=Indicators!$I19)+('Indicator Data'!U19&gt;=Indicators!$J19),1+('Indicator Data'!U19&lt;=Indicators!$G19)+('Indicator Data'!U19&lt;=Indicators!$H19)+('Indicator Data'!U19&lt;=Indicators!$I19)+('Indicator Data'!U19&lt;=Indicators!$J19)))</f>
        <v>3</v>
      </c>
      <c r="V19" s="27" t="n">
        <f aca="false">IF('Indicator Data'!V19="",IF(Config!$C$15="Score as High (5)",5,0),IF(Indicators!$F19="Higher = riskier",1+('Indicator Data'!V19&gt;=Indicators!$G19)+('Indicator Data'!V19&gt;=Indicators!$H19)+('Indicator Data'!V19&gt;=Indicators!$I19)+('Indicator Data'!V19&gt;=Indicators!$J19),1+('Indicator Data'!V19&lt;=Indicators!$G19)+('Indicator Data'!V19&lt;=Indicators!$H19)+('Indicator Data'!V19&lt;=Indicators!$I19)+('Indicator Data'!V19&lt;=Indicators!$J19)))</f>
        <v>2</v>
      </c>
      <c r="W19" s="27" t="n">
        <f aca="false">IF('Indicator Data'!W19="",IF(Config!$C$15="Score as High (5)",5,0),IF(Indicators!$F19="Higher = riskier",1+('Indicator Data'!W19&gt;=Indicators!$G19)+('Indicator Data'!W19&gt;=Indicators!$H19)+('Indicator Data'!W19&gt;=Indicators!$I19)+('Indicator Data'!W19&gt;=Indicators!$J19),1+('Indicator Data'!W19&lt;=Indicators!$G19)+('Indicator Data'!W19&lt;=Indicators!$H19)+('Indicator Data'!W19&lt;=Indicators!$I19)+('Indicator Data'!W19&lt;=Indicators!$J19)))</f>
        <v>4</v>
      </c>
      <c r="X19" s="27" t="n">
        <f aca="false">IF('Indicator Data'!X19="",IF(Config!$C$15="Score as High (5)",5,0),IF(Indicators!$F19="Higher = riskier",1+('Indicator Data'!X19&gt;=Indicators!$G19)+('Indicator Data'!X19&gt;=Indicators!$H19)+('Indicator Data'!X19&gt;=Indicators!$I19)+('Indicator Data'!X19&gt;=Indicators!$J19),1+('Indicator Data'!X19&lt;=Indicators!$G19)+('Indicator Data'!X19&lt;=Indicators!$H19)+('Indicator Data'!X19&lt;=Indicators!$I19)+('Indicator Data'!X19&lt;=Indicators!$J19)))</f>
        <v>4</v>
      </c>
      <c r="Y19" s="27" t="n">
        <f aca="false">IF('Indicator Data'!Y19="",IF(Config!$C$15="Score as High (5)",5,0),IF(Indicators!$F19="Higher = riskier",1+('Indicator Data'!Y19&gt;=Indicators!$G19)+('Indicator Data'!Y19&gt;=Indicators!$H19)+('Indicator Data'!Y19&gt;=Indicators!$I19)+('Indicator Data'!Y19&gt;=Indicators!$J19),1+('Indicator Data'!Y19&lt;=Indicators!$G19)+('Indicator Data'!Y19&lt;=Indicators!$H19)+('Indicator Data'!Y19&lt;=Indicators!$I19)+('Indicator Data'!Y19&lt;=Indicators!$J19)))</f>
        <v>1</v>
      </c>
      <c r="Z19" s="27" t="n">
        <f aca="false">IF('Indicator Data'!Z19="",IF(Config!$C$15="Score as High (5)",5,0),IF(Indicators!$F19="Higher = riskier",1+('Indicator Data'!Z19&gt;=Indicators!$G19)+('Indicator Data'!Z19&gt;=Indicators!$H19)+('Indicator Data'!Z19&gt;=Indicators!$I19)+('Indicator Data'!Z19&gt;=Indicators!$J19),1+('Indicator Data'!Z19&lt;=Indicators!$G19)+('Indicator Data'!Z19&lt;=Indicators!$H19)+('Indicator Data'!Z19&lt;=Indicators!$I19)+('Indicator Data'!Z19&lt;=Indicators!$J19)))</f>
        <v>1</v>
      </c>
      <c r="AA19" s="27" t="n">
        <f aca="false">IF('Indicator Data'!AA19="",IF(Config!$C$15="Score as High (5)",5,0),IF(Indicators!$F19="Higher = riskier",1+('Indicator Data'!AA19&gt;=Indicators!$G19)+('Indicator Data'!AA19&gt;=Indicators!$H19)+('Indicator Data'!AA19&gt;=Indicators!$I19)+('Indicator Data'!AA19&gt;=Indicators!$J19),1+('Indicator Data'!AA19&lt;=Indicators!$G19)+('Indicator Data'!AA19&lt;=Indicators!$H19)+('Indicator Data'!AA19&lt;=Indicators!$I19)+('Indicator Data'!AA19&lt;=Indicators!$J19)))</f>
        <v>2</v>
      </c>
      <c r="AB19" s="27" t="n">
        <f aca="false">IF('Indicator Data'!AB19="",IF(Config!$C$15="Score as High (5)",5,0),IF(Indicators!$F19="Higher = riskier",1+('Indicator Data'!AB19&gt;=Indicators!$G19)+('Indicator Data'!AB19&gt;=Indicators!$H19)+('Indicator Data'!AB19&gt;=Indicators!$I19)+('Indicator Data'!AB19&gt;=Indicators!$J19),1+('Indicator Data'!AB19&lt;=Indicators!$G19)+('Indicator Data'!AB19&lt;=Indicators!$H19)+('Indicator Data'!AB19&lt;=Indicators!$I19)+('Indicator Data'!AB19&lt;=Indicators!$J19)))</f>
        <v>1</v>
      </c>
      <c r="AC19" s="27" t="n">
        <f aca="false">IF('Indicator Data'!AC19="",IF(Config!$C$15="Score as High (5)",5,0),IF(Indicators!$F19="Higher = riskier",1+('Indicator Data'!AC19&gt;=Indicators!$G19)+('Indicator Data'!AC19&gt;=Indicators!$H19)+('Indicator Data'!AC19&gt;=Indicators!$I19)+('Indicator Data'!AC19&gt;=Indicators!$J19),1+('Indicator Data'!AC19&lt;=Indicators!$G19)+('Indicator Data'!AC19&lt;=Indicators!$H19)+('Indicator Data'!AC19&lt;=Indicators!$I19)+('Indicator Data'!AC19&lt;=Indicators!$J19)))</f>
        <v>2</v>
      </c>
      <c r="AD19" s="27" t="n">
        <f aca="false">IF('Indicator Data'!AD19="",IF(Config!$C$15="Score as High (5)",5,0),IF(Indicators!$F19="Higher = riskier",1+('Indicator Data'!AD19&gt;=Indicators!$G19)+('Indicator Data'!AD19&gt;=Indicators!$H19)+('Indicator Data'!AD19&gt;=Indicators!$I19)+('Indicator Data'!AD19&gt;=Indicators!$J19),1+('Indicator Data'!AD19&lt;=Indicators!$G19)+('Indicator Data'!AD19&lt;=Indicators!$H19)+('Indicator Data'!AD19&lt;=Indicators!$I19)+('Indicator Data'!AD19&lt;=Indicators!$J19)))</f>
        <v>2</v>
      </c>
      <c r="AE19" s="27" t="n">
        <f aca="false">IF('Indicator Data'!AE19="",IF(Config!$C$15="Score as High (5)",5,0),IF(Indicators!$F19="Higher = riskier",1+('Indicator Data'!AE19&gt;=Indicators!$G19)+('Indicator Data'!AE19&gt;=Indicators!$H19)+('Indicator Data'!AE19&gt;=Indicators!$I19)+('Indicator Data'!AE19&gt;=Indicators!$J19),1+('Indicator Data'!AE19&lt;=Indicators!$G19)+('Indicator Data'!AE19&lt;=Indicators!$H19)+('Indicator Data'!AE19&lt;=Indicators!$I19)+('Indicator Data'!AE19&lt;=Indicators!$J19)))</f>
        <v>1</v>
      </c>
      <c r="AF19" s="27" t="n">
        <f aca="false">IF('Indicator Data'!AF19="",IF(Config!$C$15="Score as High (5)",5,0),IF(Indicators!$F19="Higher = riskier",1+('Indicator Data'!AF19&gt;=Indicators!$G19)+('Indicator Data'!AF19&gt;=Indicators!$H19)+('Indicator Data'!AF19&gt;=Indicators!$I19)+('Indicator Data'!AF19&gt;=Indicators!$J19),1+('Indicator Data'!AF19&lt;=Indicators!$G19)+('Indicator Data'!AF19&lt;=Indicators!$H19)+('Indicator Data'!AF19&lt;=Indicators!$I19)+('Indicator Data'!AF19&lt;=Indicators!$J19)))</f>
        <v>2</v>
      </c>
      <c r="AG19" s="27" t="n">
        <f aca="false">IF('Indicator Data'!AG19="",IF(Config!$C$15="Score as High (5)",5,0),IF(Indicators!$F19="Higher = riskier",1+('Indicator Data'!AG19&gt;=Indicators!$G19)+('Indicator Data'!AG19&gt;=Indicators!$H19)+('Indicator Data'!AG19&gt;=Indicators!$I19)+('Indicator Data'!AG19&gt;=Indicators!$J19),1+('Indicator Data'!AG19&lt;=Indicators!$G19)+('Indicator Data'!AG19&lt;=Indicators!$H19)+('Indicator Data'!AG19&lt;=Indicators!$I19)+('Indicator Data'!AG19&lt;=Indicators!$J19)))</f>
        <v>2</v>
      </c>
    </row>
    <row r="20" customFormat="false" ht="15" hidden="false" customHeight="false" outlineLevel="0" collapsed="false">
      <c r="A20" s="26" t="str">
        <f aca="false">Indicators!A20</f>
        <v>P03</v>
      </c>
      <c r="B20" s="26" t="str">
        <f aca="false">Indicators!C20</f>
        <v>Private banking / wealth AUM (% of deposits)</v>
      </c>
      <c r="C20" s="26" t="str">
        <f aca="false">Indicators!D20</f>
        <v>%</v>
      </c>
      <c r="D20" s="27" t="n">
        <f aca="false">IF('Indicator Data'!D20="",IF(Config!$C$15="Score as High (5)",5,0),IF(Indicators!$F20="Higher = riskier",1+('Indicator Data'!D20&gt;=Indicators!$G20)+('Indicator Data'!D20&gt;=Indicators!$H20)+('Indicator Data'!D20&gt;=Indicators!$I20)+('Indicator Data'!D20&gt;=Indicators!$J20),1+('Indicator Data'!D20&lt;=Indicators!$G20)+('Indicator Data'!D20&lt;=Indicators!$H20)+('Indicator Data'!D20&lt;=Indicators!$I20)+('Indicator Data'!D20&lt;=Indicators!$J20)))</f>
        <v>1</v>
      </c>
      <c r="E20" s="27" t="n">
        <f aca="false">IF('Indicator Data'!E20="",IF(Config!$C$15="Score as High (5)",5,0),IF(Indicators!$F20="Higher = riskier",1+('Indicator Data'!E20&gt;=Indicators!$G20)+('Indicator Data'!E20&gt;=Indicators!$H20)+('Indicator Data'!E20&gt;=Indicators!$I20)+('Indicator Data'!E20&gt;=Indicators!$J20),1+('Indicator Data'!E20&lt;=Indicators!$G20)+('Indicator Data'!E20&lt;=Indicators!$H20)+('Indicator Data'!E20&lt;=Indicators!$I20)+('Indicator Data'!E20&lt;=Indicators!$J20)))</f>
        <v>2</v>
      </c>
      <c r="F20" s="27" t="n">
        <f aca="false">IF('Indicator Data'!F20="",IF(Config!$C$15="Score as High (5)",5,0),IF(Indicators!$F20="Higher = riskier",1+('Indicator Data'!F20&gt;=Indicators!$G20)+('Indicator Data'!F20&gt;=Indicators!$H20)+('Indicator Data'!F20&gt;=Indicators!$I20)+('Indicator Data'!F20&gt;=Indicators!$J20),1+('Indicator Data'!F20&lt;=Indicators!$G20)+('Indicator Data'!F20&lt;=Indicators!$H20)+('Indicator Data'!F20&lt;=Indicators!$I20)+('Indicator Data'!F20&lt;=Indicators!$J20)))</f>
        <v>2</v>
      </c>
      <c r="G20" s="27" t="n">
        <f aca="false">IF('Indicator Data'!G20="",IF(Config!$C$15="Score as High (5)",5,0),IF(Indicators!$F20="Higher = riskier",1+('Indicator Data'!G20&gt;=Indicators!$G20)+('Indicator Data'!G20&gt;=Indicators!$H20)+('Indicator Data'!G20&gt;=Indicators!$I20)+('Indicator Data'!G20&gt;=Indicators!$J20),1+('Indicator Data'!G20&lt;=Indicators!$G20)+('Indicator Data'!G20&lt;=Indicators!$H20)+('Indicator Data'!G20&lt;=Indicators!$I20)+('Indicator Data'!G20&lt;=Indicators!$J20)))</f>
        <v>4</v>
      </c>
      <c r="H20" s="27" t="n">
        <f aca="false">IF('Indicator Data'!H20="",IF(Config!$C$15="Score as High (5)",5,0),IF(Indicators!$F20="Higher = riskier",1+('Indicator Data'!H20&gt;=Indicators!$G20)+('Indicator Data'!H20&gt;=Indicators!$H20)+('Indicator Data'!H20&gt;=Indicators!$I20)+('Indicator Data'!H20&gt;=Indicators!$J20),1+('Indicator Data'!H20&lt;=Indicators!$G20)+('Indicator Data'!H20&lt;=Indicators!$H20)+('Indicator Data'!H20&lt;=Indicators!$I20)+('Indicator Data'!H20&lt;=Indicators!$J20)))</f>
        <v>3</v>
      </c>
      <c r="I20" s="27" t="n">
        <f aca="false">IF('Indicator Data'!I20="",IF(Config!$C$15="Score as High (5)",5,0),IF(Indicators!$F20="Higher = riskier",1+('Indicator Data'!I20&gt;=Indicators!$G20)+('Indicator Data'!I20&gt;=Indicators!$H20)+('Indicator Data'!I20&gt;=Indicators!$I20)+('Indicator Data'!I20&gt;=Indicators!$J20),1+('Indicator Data'!I20&lt;=Indicators!$G20)+('Indicator Data'!I20&lt;=Indicators!$H20)+('Indicator Data'!I20&lt;=Indicators!$I20)+('Indicator Data'!I20&lt;=Indicators!$J20)))</f>
        <v>4</v>
      </c>
      <c r="J20" s="27" t="n">
        <f aca="false">IF('Indicator Data'!J20="",IF(Config!$C$15="Score as High (5)",5,0),IF(Indicators!$F20="Higher = riskier",1+('Indicator Data'!J20&gt;=Indicators!$G20)+('Indicator Data'!J20&gt;=Indicators!$H20)+('Indicator Data'!J20&gt;=Indicators!$I20)+('Indicator Data'!J20&gt;=Indicators!$J20),1+('Indicator Data'!J20&lt;=Indicators!$G20)+('Indicator Data'!J20&lt;=Indicators!$H20)+('Indicator Data'!J20&lt;=Indicators!$I20)+('Indicator Data'!J20&lt;=Indicators!$J20)))</f>
        <v>4</v>
      </c>
      <c r="K20" s="27" t="n">
        <f aca="false">IF('Indicator Data'!K20="",IF(Config!$C$15="Score as High (5)",5,0),IF(Indicators!$F20="Higher = riskier",1+('Indicator Data'!K20&gt;=Indicators!$G20)+('Indicator Data'!K20&gt;=Indicators!$H20)+('Indicator Data'!K20&gt;=Indicators!$I20)+('Indicator Data'!K20&gt;=Indicators!$J20),1+('Indicator Data'!K20&lt;=Indicators!$G20)+('Indicator Data'!K20&lt;=Indicators!$H20)+('Indicator Data'!K20&lt;=Indicators!$I20)+('Indicator Data'!K20&lt;=Indicators!$J20)))</f>
        <v>3</v>
      </c>
      <c r="L20" s="27" t="n">
        <f aca="false">IF('Indicator Data'!L20="",IF(Config!$C$15="Score as High (5)",5,0),IF(Indicators!$F20="Higher = riskier",1+('Indicator Data'!L20&gt;=Indicators!$G20)+('Indicator Data'!L20&gt;=Indicators!$H20)+('Indicator Data'!L20&gt;=Indicators!$I20)+('Indicator Data'!L20&gt;=Indicators!$J20),1+('Indicator Data'!L20&lt;=Indicators!$G20)+('Indicator Data'!L20&lt;=Indicators!$H20)+('Indicator Data'!L20&lt;=Indicators!$I20)+('Indicator Data'!L20&lt;=Indicators!$J20)))</f>
        <v>5</v>
      </c>
      <c r="M20" s="27" t="n">
        <f aca="false">IF('Indicator Data'!M20="",IF(Config!$C$15="Score as High (5)",5,0),IF(Indicators!$F20="Higher = riskier",1+('Indicator Data'!M20&gt;=Indicators!$G20)+('Indicator Data'!M20&gt;=Indicators!$H20)+('Indicator Data'!M20&gt;=Indicators!$I20)+('Indicator Data'!M20&gt;=Indicators!$J20),1+('Indicator Data'!M20&lt;=Indicators!$G20)+('Indicator Data'!M20&lt;=Indicators!$H20)+('Indicator Data'!M20&lt;=Indicators!$I20)+('Indicator Data'!M20&lt;=Indicators!$J20)))</f>
        <v>3</v>
      </c>
      <c r="N20" s="27" t="n">
        <f aca="false">IF('Indicator Data'!N20="",IF(Config!$C$15="Score as High (5)",5,0),IF(Indicators!$F20="Higher = riskier",1+('Indicator Data'!N20&gt;=Indicators!$G20)+('Indicator Data'!N20&gt;=Indicators!$H20)+('Indicator Data'!N20&gt;=Indicators!$I20)+('Indicator Data'!N20&gt;=Indicators!$J20),1+('Indicator Data'!N20&lt;=Indicators!$G20)+('Indicator Data'!N20&lt;=Indicators!$H20)+('Indicator Data'!N20&lt;=Indicators!$I20)+('Indicator Data'!N20&lt;=Indicators!$J20)))</f>
        <v>3</v>
      </c>
      <c r="O20" s="27" t="n">
        <f aca="false">IF('Indicator Data'!O20="",IF(Config!$C$15="Score as High (5)",5,0),IF(Indicators!$F20="Higher = riskier",1+('Indicator Data'!O20&gt;=Indicators!$G20)+('Indicator Data'!O20&gt;=Indicators!$H20)+('Indicator Data'!O20&gt;=Indicators!$I20)+('Indicator Data'!O20&gt;=Indicators!$J20),1+('Indicator Data'!O20&lt;=Indicators!$G20)+('Indicator Data'!O20&lt;=Indicators!$H20)+('Indicator Data'!O20&lt;=Indicators!$I20)+('Indicator Data'!O20&lt;=Indicators!$J20)))</f>
        <v>2</v>
      </c>
      <c r="P20" s="27" t="n">
        <f aca="false">IF('Indicator Data'!P20="",IF(Config!$C$15="Score as High (5)",5,0),IF(Indicators!$F20="Higher = riskier",1+('Indicator Data'!P20&gt;=Indicators!$G20)+('Indicator Data'!P20&gt;=Indicators!$H20)+('Indicator Data'!P20&gt;=Indicators!$I20)+('Indicator Data'!P20&gt;=Indicators!$J20),1+('Indicator Data'!P20&lt;=Indicators!$G20)+('Indicator Data'!P20&lt;=Indicators!$H20)+('Indicator Data'!P20&lt;=Indicators!$I20)+('Indicator Data'!P20&lt;=Indicators!$J20)))</f>
        <v>2</v>
      </c>
      <c r="Q20" s="27" t="n">
        <f aca="false">IF('Indicator Data'!Q20="",IF(Config!$C$15="Score as High (5)",5,0),IF(Indicators!$F20="Higher = riskier",1+('Indicator Data'!Q20&gt;=Indicators!$G20)+('Indicator Data'!Q20&gt;=Indicators!$H20)+('Indicator Data'!Q20&gt;=Indicators!$I20)+('Indicator Data'!Q20&gt;=Indicators!$J20),1+('Indicator Data'!Q20&lt;=Indicators!$G20)+('Indicator Data'!Q20&lt;=Indicators!$H20)+('Indicator Data'!Q20&lt;=Indicators!$I20)+('Indicator Data'!Q20&lt;=Indicators!$J20)))</f>
        <v>2</v>
      </c>
      <c r="R20" s="27" t="n">
        <f aca="false">IF('Indicator Data'!R20="",IF(Config!$C$15="Score as High (5)",5,0),IF(Indicators!$F20="Higher = riskier",1+('Indicator Data'!R20&gt;=Indicators!$G20)+('Indicator Data'!R20&gt;=Indicators!$H20)+('Indicator Data'!R20&gt;=Indicators!$I20)+('Indicator Data'!R20&gt;=Indicators!$J20),1+('Indicator Data'!R20&lt;=Indicators!$G20)+('Indicator Data'!R20&lt;=Indicators!$H20)+('Indicator Data'!R20&lt;=Indicators!$I20)+('Indicator Data'!R20&lt;=Indicators!$J20)))</f>
        <v>4</v>
      </c>
      <c r="S20" s="27" t="n">
        <f aca="false">IF('Indicator Data'!S20="",IF(Config!$C$15="Score as High (5)",5,0),IF(Indicators!$F20="Higher = riskier",1+('Indicator Data'!S20&gt;=Indicators!$G20)+('Indicator Data'!S20&gt;=Indicators!$H20)+('Indicator Data'!S20&gt;=Indicators!$I20)+('Indicator Data'!S20&gt;=Indicators!$J20),1+('Indicator Data'!S20&lt;=Indicators!$G20)+('Indicator Data'!S20&lt;=Indicators!$H20)+('Indicator Data'!S20&lt;=Indicators!$I20)+('Indicator Data'!S20&lt;=Indicators!$J20)))</f>
        <v>4</v>
      </c>
      <c r="T20" s="27" t="n">
        <f aca="false">IF('Indicator Data'!T20="",IF(Config!$C$15="Score as High (5)",5,0),IF(Indicators!$F20="Higher = riskier",1+('Indicator Data'!T20&gt;=Indicators!$G20)+('Indicator Data'!T20&gt;=Indicators!$H20)+('Indicator Data'!T20&gt;=Indicators!$I20)+('Indicator Data'!T20&gt;=Indicators!$J20),1+('Indicator Data'!T20&lt;=Indicators!$G20)+('Indicator Data'!T20&lt;=Indicators!$H20)+('Indicator Data'!T20&lt;=Indicators!$I20)+('Indicator Data'!T20&lt;=Indicators!$J20)))</f>
        <v>2</v>
      </c>
      <c r="U20" s="27" t="n">
        <f aca="false">IF('Indicator Data'!U20="",IF(Config!$C$15="Score as High (5)",5,0),IF(Indicators!$F20="Higher = riskier",1+('Indicator Data'!U20&gt;=Indicators!$G20)+('Indicator Data'!U20&gt;=Indicators!$H20)+('Indicator Data'!U20&gt;=Indicators!$I20)+('Indicator Data'!U20&gt;=Indicators!$J20),1+('Indicator Data'!U20&lt;=Indicators!$G20)+('Indicator Data'!U20&lt;=Indicators!$H20)+('Indicator Data'!U20&lt;=Indicators!$I20)+('Indicator Data'!U20&lt;=Indicators!$J20)))</f>
        <v>4</v>
      </c>
      <c r="V20" s="27" t="n">
        <f aca="false">IF('Indicator Data'!V20="",IF(Config!$C$15="Score as High (5)",5,0),IF(Indicators!$F20="Higher = riskier",1+('Indicator Data'!V20&gt;=Indicators!$G20)+('Indicator Data'!V20&gt;=Indicators!$H20)+('Indicator Data'!V20&gt;=Indicators!$I20)+('Indicator Data'!V20&gt;=Indicators!$J20),1+('Indicator Data'!V20&lt;=Indicators!$G20)+('Indicator Data'!V20&lt;=Indicators!$H20)+('Indicator Data'!V20&lt;=Indicators!$I20)+('Indicator Data'!V20&lt;=Indicators!$J20)))</f>
        <v>4</v>
      </c>
      <c r="W20" s="27" t="n">
        <f aca="false">IF('Indicator Data'!W20="",IF(Config!$C$15="Score as High (5)",5,0),IF(Indicators!$F20="Higher = riskier",1+('Indicator Data'!W20&gt;=Indicators!$G20)+('Indicator Data'!W20&gt;=Indicators!$H20)+('Indicator Data'!W20&gt;=Indicators!$I20)+('Indicator Data'!W20&gt;=Indicators!$J20),1+('Indicator Data'!W20&lt;=Indicators!$G20)+('Indicator Data'!W20&lt;=Indicators!$H20)+('Indicator Data'!W20&lt;=Indicators!$I20)+('Indicator Data'!W20&lt;=Indicators!$J20)))</f>
        <v>3</v>
      </c>
      <c r="X20" s="27" t="n">
        <f aca="false">IF('Indicator Data'!X20="",IF(Config!$C$15="Score as High (5)",5,0),IF(Indicators!$F20="Higher = riskier",1+('Indicator Data'!X20&gt;=Indicators!$G20)+('Indicator Data'!X20&gt;=Indicators!$H20)+('Indicator Data'!X20&gt;=Indicators!$I20)+('Indicator Data'!X20&gt;=Indicators!$J20),1+('Indicator Data'!X20&lt;=Indicators!$G20)+('Indicator Data'!X20&lt;=Indicators!$H20)+('Indicator Data'!X20&lt;=Indicators!$I20)+('Indicator Data'!X20&lt;=Indicators!$J20)))</f>
        <v>4</v>
      </c>
      <c r="Y20" s="27" t="n">
        <f aca="false">IF('Indicator Data'!Y20="",IF(Config!$C$15="Score as High (5)",5,0),IF(Indicators!$F20="Higher = riskier",1+('Indicator Data'!Y20&gt;=Indicators!$G20)+('Indicator Data'!Y20&gt;=Indicators!$H20)+('Indicator Data'!Y20&gt;=Indicators!$I20)+('Indicator Data'!Y20&gt;=Indicators!$J20),1+('Indicator Data'!Y20&lt;=Indicators!$G20)+('Indicator Data'!Y20&lt;=Indicators!$H20)+('Indicator Data'!Y20&lt;=Indicators!$I20)+('Indicator Data'!Y20&lt;=Indicators!$J20)))</f>
        <v>1</v>
      </c>
      <c r="Z20" s="27" t="n">
        <f aca="false">IF('Indicator Data'!Z20="",IF(Config!$C$15="Score as High (5)",5,0),IF(Indicators!$F20="Higher = riskier",1+('Indicator Data'!Z20&gt;=Indicators!$G20)+('Indicator Data'!Z20&gt;=Indicators!$H20)+('Indicator Data'!Z20&gt;=Indicators!$I20)+('Indicator Data'!Z20&gt;=Indicators!$J20),1+('Indicator Data'!Z20&lt;=Indicators!$G20)+('Indicator Data'!Z20&lt;=Indicators!$H20)+('Indicator Data'!Z20&lt;=Indicators!$I20)+('Indicator Data'!Z20&lt;=Indicators!$J20)))</f>
        <v>3</v>
      </c>
      <c r="AA20" s="27" t="n">
        <f aca="false">IF('Indicator Data'!AA20="",IF(Config!$C$15="Score as High (5)",5,0),IF(Indicators!$F20="Higher = riskier",1+('Indicator Data'!AA20&gt;=Indicators!$G20)+('Indicator Data'!AA20&gt;=Indicators!$H20)+('Indicator Data'!AA20&gt;=Indicators!$I20)+('Indicator Data'!AA20&gt;=Indicators!$J20),1+('Indicator Data'!AA20&lt;=Indicators!$G20)+('Indicator Data'!AA20&lt;=Indicators!$H20)+('Indicator Data'!AA20&lt;=Indicators!$I20)+('Indicator Data'!AA20&lt;=Indicators!$J20)))</f>
        <v>2</v>
      </c>
      <c r="AB20" s="27" t="n">
        <f aca="false">IF('Indicator Data'!AB20="",IF(Config!$C$15="Score as High (5)",5,0),IF(Indicators!$F20="Higher = riskier",1+('Indicator Data'!AB20&gt;=Indicators!$G20)+('Indicator Data'!AB20&gt;=Indicators!$H20)+('Indicator Data'!AB20&gt;=Indicators!$I20)+('Indicator Data'!AB20&gt;=Indicators!$J20),1+('Indicator Data'!AB20&lt;=Indicators!$G20)+('Indicator Data'!AB20&lt;=Indicators!$H20)+('Indicator Data'!AB20&lt;=Indicators!$I20)+('Indicator Data'!AB20&lt;=Indicators!$J20)))</f>
        <v>1</v>
      </c>
      <c r="AC20" s="27" t="n">
        <f aca="false">IF('Indicator Data'!AC20="",IF(Config!$C$15="Score as High (5)",5,0),IF(Indicators!$F20="Higher = riskier",1+('Indicator Data'!AC20&gt;=Indicators!$G20)+('Indicator Data'!AC20&gt;=Indicators!$H20)+('Indicator Data'!AC20&gt;=Indicators!$I20)+('Indicator Data'!AC20&gt;=Indicators!$J20),1+('Indicator Data'!AC20&lt;=Indicators!$G20)+('Indicator Data'!AC20&lt;=Indicators!$H20)+('Indicator Data'!AC20&lt;=Indicators!$I20)+('Indicator Data'!AC20&lt;=Indicators!$J20)))</f>
        <v>2</v>
      </c>
      <c r="AD20" s="27" t="n">
        <f aca="false">IF('Indicator Data'!AD20="",IF(Config!$C$15="Score as High (5)",5,0),IF(Indicators!$F20="Higher = riskier",1+('Indicator Data'!AD20&gt;=Indicators!$G20)+('Indicator Data'!AD20&gt;=Indicators!$H20)+('Indicator Data'!AD20&gt;=Indicators!$I20)+('Indicator Data'!AD20&gt;=Indicators!$J20),1+('Indicator Data'!AD20&lt;=Indicators!$G20)+('Indicator Data'!AD20&lt;=Indicators!$H20)+('Indicator Data'!AD20&lt;=Indicators!$I20)+('Indicator Data'!AD20&lt;=Indicators!$J20)))</f>
        <v>3</v>
      </c>
      <c r="AE20" s="27" t="n">
        <f aca="false">IF('Indicator Data'!AE20="",IF(Config!$C$15="Score as High (5)",5,0),IF(Indicators!$F20="Higher = riskier",1+('Indicator Data'!AE20&gt;=Indicators!$G20)+('Indicator Data'!AE20&gt;=Indicators!$H20)+('Indicator Data'!AE20&gt;=Indicators!$I20)+('Indicator Data'!AE20&gt;=Indicators!$J20),1+('Indicator Data'!AE20&lt;=Indicators!$G20)+('Indicator Data'!AE20&lt;=Indicators!$H20)+('Indicator Data'!AE20&lt;=Indicators!$I20)+('Indicator Data'!AE20&lt;=Indicators!$J20)))</f>
        <v>1</v>
      </c>
      <c r="AF20" s="27" t="n">
        <f aca="false">IF('Indicator Data'!AF20="",IF(Config!$C$15="Score as High (5)",5,0),IF(Indicators!$F20="Higher = riskier",1+('Indicator Data'!AF20&gt;=Indicators!$G20)+('Indicator Data'!AF20&gt;=Indicators!$H20)+('Indicator Data'!AF20&gt;=Indicators!$I20)+('Indicator Data'!AF20&gt;=Indicators!$J20),1+('Indicator Data'!AF20&lt;=Indicators!$G20)+('Indicator Data'!AF20&lt;=Indicators!$H20)+('Indicator Data'!AF20&lt;=Indicators!$I20)+('Indicator Data'!AF20&lt;=Indicators!$J20)))</f>
        <v>3</v>
      </c>
      <c r="AG20" s="27" t="n">
        <f aca="false">IF('Indicator Data'!AG20="",IF(Config!$C$15="Score as High (5)",5,0),IF(Indicators!$F20="Higher = riskier",1+('Indicator Data'!AG20&gt;=Indicators!$G20)+('Indicator Data'!AG20&gt;=Indicators!$H20)+('Indicator Data'!AG20&gt;=Indicators!$I20)+('Indicator Data'!AG20&gt;=Indicators!$J20),1+('Indicator Data'!AG20&lt;=Indicators!$G20)+('Indicator Data'!AG20&lt;=Indicators!$H20)+('Indicator Data'!AG20&lt;=Indicators!$I20)+('Indicator Data'!AG20&lt;=Indicators!$J20)))</f>
        <v>1</v>
      </c>
    </row>
    <row r="21" customFormat="false" ht="15" hidden="false" customHeight="false" outlineLevel="0" collapsed="false">
      <c r="A21" s="26" t="str">
        <f aca="false">Indicators!A21</f>
        <v>P04</v>
      </c>
      <c r="B21" s="26" t="str">
        <f aca="false">Indicators!C21</f>
        <v>Prepaid / stored-value cards (% of cards issued)</v>
      </c>
      <c r="C21" s="26" t="str">
        <f aca="false">Indicators!D21</f>
        <v>%</v>
      </c>
      <c r="D21" s="27" t="n">
        <f aca="false">IF('Indicator Data'!D21="",IF(Config!$C$15="Score as High (5)",5,0),IF(Indicators!$F21="Higher = riskier",1+('Indicator Data'!D21&gt;=Indicators!$G21)+('Indicator Data'!D21&gt;=Indicators!$H21)+('Indicator Data'!D21&gt;=Indicators!$I21)+('Indicator Data'!D21&gt;=Indicators!$J21),1+('Indicator Data'!D21&lt;=Indicators!$G21)+('Indicator Data'!D21&lt;=Indicators!$H21)+('Indicator Data'!D21&lt;=Indicators!$I21)+('Indicator Data'!D21&lt;=Indicators!$J21)))</f>
        <v>2</v>
      </c>
      <c r="E21" s="27" t="n">
        <f aca="false">IF('Indicator Data'!E21="",IF(Config!$C$15="Score as High (5)",5,0),IF(Indicators!$F21="Higher = riskier",1+('Indicator Data'!E21&gt;=Indicators!$G21)+('Indicator Data'!E21&gt;=Indicators!$H21)+('Indicator Data'!E21&gt;=Indicators!$I21)+('Indicator Data'!E21&gt;=Indicators!$J21),1+('Indicator Data'!E21&lt;=Indicators!$G21)+('Indicator Data'!E21&lt;=Indicators!$H21)+('Indicator Data'!E21&lt;=Indicators!$I21)+('Indicator Data'!E21&lt;=Indicators!$J21)))</f>
        <v>3</v>
      </c>
      <c r="F21" s="27" t="n">
        <f aca="false">IF('Indicator Data'!F21="",IF(Config!$C$15="Score as High (5)",5,0),IF(Indicators!$F21="Higher = riskier",1+('Indicator Data'!F21&gt;=Indicators!$G21)+('Indicator Data'!F21&gt;=Indicators!$H21)+('Indicator Data'!F21&gt;=Indicators!$I21)+('Indicator Data'!F21&gt;=Indicators!$J21),1+('Indicator Data'!F21&lt;=Indicators!$G21)+('Indicator Data'!F21&lt;=Indicators!$H21)+('Indicator Data'!F21&lt;=Indicators!$I21)+('Indicator Data'!F21&lt;=Indicators!$J21)))</f>
        <v>1</v>
      </c>
      <c r="G21" s="27" t="n">
        <f aca="false">IF('Indicator Data'!G21="",IF(Config!$C$15="Score as High (5)",5,0),IF(Indicators!$F21="Higher = riskier",1+('Indicator Data'!G21&gt;=Indicators!$G21)+('Indicator Data'!G21&gt;=Indicators!$H21)+('Indicator Data'!G21&gt;=Indicators!$I21)+('Indicator Data'!G21&gt;=Indicators!$J21),1+('Indicator Data'!G21&lt;=Indicators!$G21)+('Indicator Data'!G21&lt;=Indicators!$H21)+('Indicator Data'!G21&lt;=Indicators!$I21)+('Indicator Data'!G21&lt;=Indicators!$J21)))</f>
        <v>1</v>
      </c>
      <c r="H21" s="27" t="n">
        <f aca="false">IF('Indicator Data'!H21="",IF(Config!$C$15="Score as High (5)",5,0),IF(Indicators!$F21="Higher = riskier",1+('Indicator Data'!H21&gt;=Indicators!$G21)+('Indicator Data'!H21&gt;=Indicators!$H21)+('Indicator Data'!H21&gt;=Indicators!$I21)+('Indicator Data'!H21&gt;=Indicators!$J21),1+('Indicator Data'!H21&lt;=Indicators!$G21)+('Indicator Data'!H21&lt;=Indicators!$H21)+('Indicator Data'!H21&lt;=Indicators!$I21)+('Indicator Data'!H21&lt;=Indicators!$J21)))</f>
        <v>1</v>
      </c>
      <c r="I21" s="27" t="n">
        <f aca="false">IF('Indicator Data'!I21="",IF(Config!$C$15="Score as High (5)",5,0),IF(Indicators!$F21="Higher = riskier",1+('Indicator Data'!I21&gt;=Indicators!$G21)+('Indicator Data'!I21&gt;=Indicators!$H21)+('Indicator Data'!I21&gt;=Indicators!$I21)+('Indicator Data'!I21&gt;=Indicators!$J21),1+('Indicator Data'!I21&lt;=Indicators!$G21)+('Indicator Data'!I21&lt;=Indicators!$H21)+('Indicator Data'!I21&lt;=Indicators!$I21)+('Indicator Data'!I21&lt;=Indicators!$J21)))</f>
        <v>4</v>
      </c>
      <c r="J21" s="27" t="n">
        <f aca="false">IF('Indicator Data'!J21="",IF(Config!$C$15="Score as High (5)",5,0),IF(Indicators!$F21="Higher = riskier",1+('Indicator Data'!J21&gt;=Indicators!$G21)+('Indicator Data'!J21&gt;=Indicators!$H21)+('Indicator Data'!J21&gt;=Indicators!$I21)+('Indicator Data'!J21&gt;=Indicators!$J21),1+('Indicator Data'!J21&lt;=Indicators!$G21)+('Indicator Data'!J21&lt;=Indicators!$H21)+('Indicator Data'!J21&lt;=Indicators!$I21)+('Indicator Data'!J21&lt;=Indicators!$J21)))</f>
        <v>1</v>
      </c>
      <c r="K21" s="27" t="n">
        <f aca="false">IF('Indicator Data'!K21="",IF(Config!$C$15="Score as High (5)",5,0),IF(Indicators!$F21="Higher = riskier",1+('Indicator Data'!K21&gt;=Indicators!$G21)+('Indicator Data'!K21&gt;=Indicators!$H21)+('Indicator Data'!K21&gt;=Indicators!$I21)+('Indicator Data'!K21&gt;=Indicators!$J21),1+('Indicator Data'!K21&lt;=Indicators!$G21)+('Indicator Data'!K21&lt;=Indicators!$H21)+('Indicator Data'!K21&lt;=Indicators!$I21)+('Indicator Data'!K21&lt;=Indicators!$J21)))</f>
        <v>3</v>
      </c>
      <c r="L21" s="27" t="n">
        <f aca="false">IF('Indicator Data'!L21="",IF(Config!$C$15="Score as High (5)",5,0),IF(Indicators!$F21="Higher = riskier",1+('Indicator Data'!L21&gt;=Indicators!$G21)+('Indicator Data'!L21&gt;=Indicators!$H21)+('Indicator Data'!L21&gt;=Indicators!$I21)+('Indicator Data'!L21&gt;=Indicators!$J21),1+('Indicator Data'!L21&lt;=Indicators!$G21)+('Indicator Data'!L21&lt;=Indicators!$H21)+('Indicator Data'!L21&lt;=Indicators!$I21)+('Indicator Data'!L21&lt;=Indicators!$J21)))</f>
        <v>4</v>
      </c>
      <c r="M21" s="27" t="n">
        <f aca="false">IF('Indicator Data'!M21="",IF(Config!$C$15="Score as High (5)",5,0),IF(Indicators!$F21="Higher = riskier",1+('Indicator Data'!M21&gt;=Indicators!$G21)+('Indicator Data'!M21&gt;=Indicators!$H21)+('Indicator Data'!M21&gt;=Indicators!$I21)+('Indicator Data'!M21&gt;=Indicators!$J21),1+('Indicator Data'!M21&lt;=Indicators!$G21)+('Indicator Data'!M21&lt;=Indicators!$H21)+('Indicator Data'!M21&lt;=Indicators!$I21)+('Indicator Data'!M21&lt;=Indicators!$J21)))</f>
        <v>2</v>
      </c>
      <c r="N21" s="27" t="n">
        <f aca="false">IF('Indicator Data'!N21="",IF(Config!$C$15="Score as High (5)",5,0),IF(Indicators!$F21="Higher = riskier",1+('Indicator Data'!N21&gt;=Indicators!$G21)+('Indicator Data'!N21&gt;=Indicators!$H21)+('Indicator Data'!N21&gt;=Indicators!$I21)+('Indicator Data'!N21&gt;=Indicators!$J21),1+('Indicator Data'!N21&lt;=Indicators!$G21)+('Indicator Data'!N21&lt;=Indicators!$H21)+('Indicator Data'!N21&lt;=Indicators!$I21)+('Indicator Data'!N21&lt;=Indicators!$J21)))</f>
        <v>2</v>
      </c>
      <c r="O21" s="27" t="n">
        <f aca="false">IF('Indicator Data'!O21="",IF(Config!$C$15="Score as High (5)",5,0),IF(Indicators!$F21="Higher = riskier",1+('Indicator Data'!O21&gt;=Indicators!$G21)+('Indicator Data'!O21&gt;=Indicators!$H21)+('Indicator Data'!O21&gt;=Indicators!$I21)+('Indicator Data'!O21&gt;=Indicators!$J21),1+('Indicator Data'!O21&lt;=Indicators!$G21)+('Indicator Data'!O21&lt;=Indicators!$H21)+('Indicator Data'!O21&lt;=Indicators!$I21)+('Indicator Data'!O21&lt;=Indicators!$J21)))</f>
        <v>3</v>
      </c>
      <c r="P21" s="27" t="n">
        <f aca="false">IF('Indicator Data'!P21="",IF(Config!$C$15="Score as High (5)",5,0),IF(Indicators!$F21="Higher = riskier",1+('Indicator Data'!P21&gt;=Indicators!$G21)+('Indicator Data'!P21&gt;=Indicators!$H21)+('Indicator Data'!P21&gt;=Indicators!$I21)+('Indicator Data'!P21&gt;=Indicators!$J21),1+('Indicator Data'!P21&lt;=Indicators!$G21)+('Indicator Data'!P21&lt;=Indicators!$H21)+('Indicator Data'!P21&lt;=Indicators!$I21)+('Indicator Data'!P21&lt;=Indicators!$J21)))</f>
        <v>3</v>
      </c>
      <c r="Q21" s="27" t="n">
        <f aca="false">IF('Indicator Data'!Q21="",IF(Config!$C$15="Score as High (5)",5,0),IF(Indicators!$F21="Higher = riskier",1+('Indicator Data'!Q21&gt;=Indicators!$G21)+('Indicator Data'!Q21&gt;=Indicators!$H21)+('Indicator Data'!Q21&gt;=Indicators!$I21)+('Indicator Data'!Q21&gt;=Indicators!$J21),1+('Indicator Data'!Q21&lt;=Indicators!$G21)+('Indicator Data'!Q21&lt;=Indicators!$H21)+('Indicator Data'!Q21&lt;=Indicators!$I21)+('Indicator Data'!Q21&lt;=Indicators!$J21)))</f>
        <v>2</v>
      </c>
      <c r="R21" s="27" t="n">
        <f aca="false">IF('Indicator Data'!R21="",IF(Config!$C$15="Score as High (5)",5,0),IF(Indicators!$F21="Higher = riskier",1+('Indicator Data'!R21&gt;=Indicators!$G21)+('Indicator Data'!R21&gt;=Indicators!$H21)+('Indicator Data'!R21&gt;=Indicators!$I21)+('Indicator Data'!R21&gt;=Indicators!$J21),1+('Indicator Data'!R21&lt;=Indicators!$G21)+('Indicator Data'!R21&lt;=Indicators!$H21)+('Indicator Data'!R21&lt;=Indicators!$I21)+('Indicator Data'!R21&lt;=Indicators!$J21)))</f>
        <v>5</v>
      </c>
      <c r="S21" s="27" t="n">
        <f aca="false">IF('Indicator Data'!S21="",IF(Config!$C$15="Score as High (5)",5,0),IF(Indicators!$F21="Higher = riskier",1+('Indicator Data'!S21&gt;=Indicators!$G21)+('Indicator Data'!S21&gt;=Indicators!$H21)+('Indicator Data'!S21&gt;=Indicators!$I21)+('Indicator Data'!S21&gt;=Indicators!$J21),1+('Indicator Data'!S21&lt;=Indicators!$G21)+('Indicator Data'!S21&lt;=Indicators!$H21)+('Indicator Data'!S21&lt;=Indicators!$I21)+('Indicator Data'!S21&lt;=Indicators!$J21)))</f>
        <v>5</v>
      </c>
      <c r="T21" s="27" t="n">
        <f aca="false">IF('Indicator Data'!T21="",IF(Config!$C$15="Score as High (5)",5,0),IF(Indicators!$F21="Higher = riskier",1+('Indicator Data'!T21&gt;=Indicators!$G21)+('Indicator Data'!T21&gt;=Indicators!$H21)+('Indicator Data'!T21&gt;=Indicators!$I21)+('Indicator Data'!T21&gt;=Indicators!$J21),1+('Indicator Data'!T21&lt;=Indicators!$G21)+('Indicator Data'!T21&lt;=Indicators!$H21)+('Indicator Data'!T21&lt;=Indicators!$I21)+('Indicator Data'!T21&lt;=Indicators!$J21)))</f>
        <v>3</v>
      </c>
      <c r="U21" s="27" t="n">
        <f aca="false">IF('Indicator Data'!U21="",IF(Config!$C$15="Score as High (5)",5,0),IF(Indicators!$F21="Higher = riskier",1+('Indicator Data'!U21&gt;=Indicators!$G21)+('Indicator Data'!U21&gt;=Indicators!$H21)+('Indicator Data'!U21&gt;=Indicators!$I21)+('Indicator Data'!U21&gt;=Indicators!$J21),1+('Indicator Data'!U21&lt;=Indicators!$G21)+('Indicator Data'!U21&lt;=Indicators!$H21)+('Indicator Data'!U21&lt;=Indicators!$I21)+('Indicator Data'!U21&lt;=Indicators!$J21)))</f>
        <v>3</v>
      </c>
      <c r="V21" s="27" t="n">
        <f aca="false">IF('Indicator Data'!V21="",IF(Config!$C$15="Score as High (5)",5,0),IF(Indicators!$F21="Higher = riskier",1+('Indicator Data'!V21&gt;=Indicators!$G21)+('Indicator Data'!V21&gt;=Indicators!$H21)+('Indicator Data'!V21&gt;=Indicators!$I21)+('Indicator Data'!V21&gt;=Indicators!$J21),1+('Indicator Data'!V21&lt;=Indicators!$G21)+('Indicator Data'!V21&lt;=Indicators!$H21)+('Indicator Data'!V21&lt;=Indicators!$I21)+('Indicator Data'!V21&lt;=Indicators!$J21)))</f>
        <v>3</v>
      </c>
      <c r="W21" s="27" t="n">
        <f aca="false">IF('Indicator Data'!W21="",IF(Config!$C$15="Score as High (5)",5,0),IF(Indicators!$F21="Higher = riskier",1+('Indicator Data'!W21&gt;=Indicators!$G21)+('Indicator Data'!W21&gt;=Indicators!$H21)+('Indicator Data'!W21&gt;=Indicators!$I21)+('Indicator Data'!W21&gt;=Indicators!$J21),1+('Indicator Data'!W21&lt;=Indicators!$G21)+('Indicator Data'!W21&lt;=Indicators!$H21)+('Indicator Data'!W21&lt;=Indicators!$I21)+('Indicator Data'!W21&lt;=Indicators!$J21)))</f>
        <v>3</v>
      </c>
      <c r="X21" s="27" t="n">
        <f aca="false">IF('Indicator Data'!X21="",IF(Config!$C$15="Score as High (5)",5,0),IF(Indicators!$F21="Higher = riskier",1+('Indicator Data'!X21&gt;=Indicators!$G21)+('Indicator Data'!X21&gt;=Indicators!$H21)+('Indicator Data'!X21&gt;=Indicators!$I21)+('Indicator Data'!X21&gt;=Indicators!$J21),1+('Indicator Data'!X21&lt;=Indicators!$G21)+('Indicator Data'!X21&lt;=Indicators!$H21)+('Indicator Data'!X21&lt;=Indicators!$I21)+('Indicator Data'!X21&lt;=Indicators!$J21)))</f>
        <v>5</v>
      </c>
      <c r="Y21" s="27" t="n">
        <f aca="false">IF('Indicator Data'!Y21="",IF(Config!$C$15="Score as High (5)",5,0),IF(Indicators!$F21="Higher = riskier",1+('Indicator Data'!Y21&gt;=Indicators!$G21)+('Indicator Data'!Y21&gt;=Indicators!$H21)+('Indicator Data'!Y21&gt;=Indicators!$I21)+('Indicator Data'!Y21&gt;=Indicators!$J21),1+('Indicator Data'!Y21&lt;=Indicators!$G21)+('Indicator Data'!Y21&lt;=Indicators!$H21)+('Indicator Data'!Y21&lt;=Indicators!$I21)+('Indicator Data'!Y21&lt;=Indicators!$J21)))</f>
        <v>3</v>
      </c>
      <c r="Z21" s="27" t="n">
        <f aca="false">IF('Indicator Data'!Z21="",IF(Config!$C$15="Score as High (5)",5,0),IF(Indicators!$F21="Higher = riskier",1+('Indicator Data'!Z21&gt;=Indicators!$G21)+('Indicator Data'!Z21&gt;=Indicators!$H21)+('Indicator Data'!Z21&gt;=Indicators!$I21)+('Indicator Data'!Z21&gt;=Indicators!$J21),1+('Indicator Data'!Z21&lt;=Indicators!$G21)+('Indicator Data'!Z21&lt;=Indicators!$H21)+('Indicator Data'!Z21&lt;=Indicators!$I21)+('Indicator Data'!Z21&lt;=Indicators!$J21)))</f>
        <v>1</v>
      </c>
      <c r="AA21" s="27" t="n">
        <f aca="false">IF('Indicator Data'!AA21="",IF(Config!$C$15="Score as High (5)",5,0),IF(Indicators!$F21="Higher = riskier",1+('Indicator Data'!AA21&gt;=Indicators!$G21)+('Indicator Data'!AA21&gt;=Indicators!$H21)+('Indicator Data'!AA21&gt;=Indicators!$I21)+('Indicator Data'!AA21&gt;=Indicators!$J21),1+('Indicator Data'!AA21&lt;=Indicators!$G21)+('Indicator Data'!AA21&lt;=Indicators!$H21)+('Indicator Data'!AA21&lt;=Indicators!$I21)+('Indicator Data'!AA21&lt;=Indicators!$J21)))</f>
        <v>3</v>
      </c>
      <c r="AB21" s="27" t="n">
        <f aca="false">IF('Indicator Data'!AB21="",IF(Config!$C$15="Score as High (5)",5,0),IF(Indicators!$F21="Higher = riskier",1+('Indicator Data'!AB21&gt;=Indicators!$G21)+('Indicator Data'!AB21&gt;=Indicators!$H21)+('Indicator Data'!AB21&gt;=Indicators!$I21)+('Indicator Data'!AB21&gt;=Indicators!$J21),1+('Indicator Data'!AB21&lt;=Indicators!$G21)+('Indicator Data'!AB21&lt;=Indicators!$H21)+('Indicator Data'!AB21&lt;=Indicators!$I21)+('Indicator Data'!AB21&lt;=Indicators!$J21)))</f>
        <v>2</v>
      </c>
      <c r="AC21" s="27" t="n">
        <f aca="false">IF('Indicator Data'!AC21="",IF(Config!$C$15="Score as High (5)",5,0),IF(Indicators!$F21="Higher = riskier",1+('Indicator Data'!AC21&gt;=Indicators!$G21)+('Indicator Data'!AC21&gt;=Indicators!$H21)+('Indicator Data'!AC21&gt;=Indicators!$I21)+('Indicator Data'!AC21&gt;=Indicators!$J21),1+('Indicator Data'!AC21&lt;=Indicators!$G21)+('Indicator Data'!AC21&lt;=Indicators!$H21)+('Indicator Data'!AC21&lt;=Indicators!$I21)+('Indicator Data'!AC21&lt;=Indicators!$J21)))</f>
        <v>2</v>
      </c>
      <c r="AD21" s="27" t="n">
        <f aca="false">IF('Indicator Data'!AD21="",IF(Config!$C$15="Score as High (5)",5,0),IF(Indicators!$F21="Higher = riskier",1+('Indicator Data'!AD21&gt;=Indicators!$G21)+('Indicator Data'!AD21&gt;=Indicators!$H21)+('Indicator Data'!AD21&gt;=Indicators!$I21)+('Indicator Data'!AD21&gt;=Indicators!$J21),1+('Indicator Data'!AD21&lt;=Indicators!$G21)+('Indicator Data'!AD21&lt;=Indicators!$H21)+('Indicator Data'!AD21&lt;=Indicators!$I21)+('Indicator Data'!AD21&lt;=Indicators!$J21)))</f>
        <v>1</v>
      </c>
      <c r="AE21" s="27" t="n">
        <f aca="false">IF('Indicator Data'!AE21="",IF(Config!$C$15="Score as High (5)",5,0),IF(Indicators!$F21="Higher = riskier",1+('Indicator Data'!AE21&gt;=Indicators!$G21)+('Indicator Data'!AE21&gt;=Indicators!$H21)+('Indicator Data'!AE21&gt;=Indicators!$I21)+('Indicator Data'!AE21&gt;=Indicators!$J21),1+('Indicator Data'!AE21&lt;=Indicators!$G21)+('Indicator Data'!AE21&lt;=Indicators!$H21)+('Indicator Data'!AE21&lt;=Indicators!$I21)+('Indicator Data'!AE21&lt;=Indicators!$J21)))</f>
        <v>1</v>
      </c>
      <c r="AF21" s="27" t="n">
        <f aca="false">IF('Indicator Data'!AF21="",IF(Config!$C$15="Score as High (5)",5,0),IF(Indicators!$F21="Higher = riskier",1+('Indicator Data'!AF21&gt;=Indicators!$G21)+('Indicator Data'!AF21&gt;=Indicators!$H21)+('Indicator Data'!AF21&gt;=Indicators!$I21)+('Indicator Data'!AF21&gt;=Indicators!$J21),1+('Indicator Data'!AF21&lt;=Indicators!$G21)+('Indicator Data'!AF21&lt;=Indicators!$H21)+('Indicator Data'!AF21&lt;=Indicators!$I21)+('Indicator Data'!AF21&lt;=Indicators!$J21)))</f>
        <v>3</v>
      </c>
      <c r="AG21" s="27" t="n">
        <f aca="false">IF('Indicator Data'!AG21="",IF(Config!$C$15="Score as High (5)",5,0),IF(Indicators!$F21="Higher = riskier",1+('Indicator Data'!AG21&gt;=Indicators!$G21)+('Indicator Data'!AG21&gt;=Indicators!$H21)+('Indicator Data'!AG21&gt;=Indicators!$I21)+('Indicator Data'!AG21&gt;=Indicators!$J21),1+('Indicator Data'!AG21&lt;=Indicators!$G21)+('Indicator Data'!AG21&lt;=Indicators!$H21)+('Indicator Data'!AG21&lt;=Indicators!$I21)+('Indicator Data'!AG21&lt;=Indicators!$J21)))</f>
        <v>2</v>
      </c>
    </row>
    <row r="22" customFormat="false" ht="15" hidden="false" customHeight="false" outlineLevel="0" collapsed="false">
      <c r="A22" s="26" t="str">
        <f aca="false">Indicators!A22</f>
        <v>P05</v>
      </c>
      <c r="B22" s="26" t="str">
        <f aca="false">Indicators!C22</f>
        <v>Dual-use or strategic goods (% of trade transactions)</v>
      </c>
      <c r="C22" s="26" t="str">
        <f aca="false">Indicators!D22</f>
        <v>%</v>
      </c>
      <c r="D22" s="27" t="n">
        <f aca="false">IF('Indicator Data'!D22="",IF(Config!$C$15="Score as High (5)",5,0),IF(Indicators!$F22="Higher = riskier",1+('Indicator Data'!D22&gt;=Indicators!$G22)+('Indicator Data'!D22&gt;=Indicators!$H22)+('Indicator Data'!D22&gt;=Indicators!$I22)+('Indicator Data'!D22&gt;=Indicators!$J22),1+('Indicator Data'!D22&lt;=Indicators!$G22)+('Indicator Data'!D22&lt;=Indicators!$H22)+('Indicator Data'!D22&lt;=Indicators!$I22)+('Indicator Data'!D22&lt;=Indicators!$J22)))</f>
        <v>4</v>
      </c>
      <c r="E22" s="27" t="n">
        <f aca="false">IF('Indicator Data'!E22="",IF(Config!$C$15="Score as High (5)",5,0),IF(Indicators!$F22="Higher = riskier",1+('Indicator Data'!E22&gt;=Indicators!$G22)+('Indicator Data'!E22&gt;=Indicators!$H22)+('Indicator Data'!E22&gt;=Indicators!$I22)+('Indicator Data'!E22&gt;=Indicators!$J22),1+('Indicator Data'!E22&lt;=Indicators!$G22)+('Indicator Data'!E22&lt;=Indicators!$H22)+('Indicator Data'!E22&lt;=Indicators!$I22)+('Indicator Data'!E22&lt;=Indicators!$J22)))</f>
        <v>2</v>
      </c>
      <c r="F22" s="27" t="n">
        <f aca="false">IF('Indicator Data'!F22="",IF(Config!$C$15="Score as High (5)",5,0),IF(Indicators!$F22="Higher = riskier",1+('Indicator Data'!F22&gt;=Indicators!$G22)+('Indicator Data'!F22&gt;=Indicators!$H22)+('Indicator Data'!F22&gt;=Indicators!$I22)+('Indicator Data'!F22&gt;=Indicators!$J22),1+('Indicator Data'!F22&lt;=Indicators!$G22)+('Indicator Data'!F22&lt;=Indicators!$H22)+('Indicator Data'!F22&lt;=Indicators!$I22)+('Indicator Data'!F22&lt;=Indicators!$J22)))</f>
        <v>1</v>
      </c>
      <c r="G22" s="27" t="n">
        <f aca="false">IF('Indicator Data'!G22="",IF(Config!$C$15="Score as High (5)",5,0),IF(Indicators!$F22="Higher = riskier",1+('Indicator Data'!G22&gt;=Indicators!$G22)+('Indicator Data'!G22&gt;=Indicators!$H22)+('Indicator Data'!G22&gt;=Indicators!$I22)+('Indicator Data'!G22&gt;=Indicators!$J22),1+('Indicator Data'!G22&lt;=Indicators!$G22)+('Indicator Data'!G22&lt;=Indicators!$H22)+('Indicator Data'!G22&lt;=Indicators!$I22)+('Indicator Data'!G22&lt;=Indicators!$J22)))</f>
        <v>1</v>
      </c>
      <c r="H22" s="27" t="n">
        <f aca="false">IF('Indicator Data'!H22="",IF(Config!$C$15="Score as High (5)",5,0),IF(Indicators!$F22="Higher = riskier",1+('Indicator Data'!H22&gt;=Indicators!$G22)+('Indicator Data'!H22&gt;=Indicators!$H22)+('Indicator Data'!H22&gt;=Indicators!$I22)+('Indicator Data'!H22&gt;=Indicators!$J22),1+('Indicator Data'!H22&lt;=Indicators!$G22)+('Indicator Data'!H22&lt;=Indicators!$H22)+('Indicator Data'!H22&lt;=Indicators!$I22)+('Indicator Data'!H22&lt;=Indicators!$J22)))</f>
        <v>1</v>
      </c>
      <c r="I22" s="27" t="n">
        <f aca="false">IF('Indicator Data'!I22="",IF(Config!$C$15="Score as High (5)",5,0),IF(Indicators!$F22="Higher = riskier",1+('Indicator Data'!I22&gt;=Indicators!$G22)+('Indicator Data'!I22&gt;=Indicators!$H22)+('Indicator Data'!I22&gt;=Indicators!$I22)+('Indicator Data'!I22&gt;=Indicators!$J22),1+('Indicator Data'!I22&lt;=Indicators!$G22)+('Indicator Data'!I22&lt;=Indicators!$H22)+('Indicator Data'!I22&lt;=Indicators!$I22)+('Indicator Data'!I22&lt;=Indicators!$J22)))</f>
        <v>4</v>
      </c>
      <c r="J22" s="27" t="n">
        <f aca="false">IF('Indicator Data'!J22="",IF(Config!$C$15="Score as High (5)",5,0),IF(Indicators!$F22="Higher = riskier",1+('Indicator Data'!J22&gt;=Indicators!$G22)+('Indicator Data'!J22&gt;=Indicators!$H22)+('Indicator Data'!J22&gt;=Indicators!$I22)+('Indicator Data'!J22&gt;=Indicators!$J22),1+('Indicator Data'!J22&lt;=Indicators!$G22)+('Indicator Data'!J22&lt;=Indicators!$H22)+('Indicator Data'!J22&lt;=Indicators!$I22)+('Indicator Data'!J22&lt;=Indicators!$J22)))</f>
        <v>1</v>
      </c>
      <c r="K22" s="27" t="n">
        <f aca="false">IF('Indicator Data'!K22="",IF(Config!$C$15="Score as High (5)",5,0),IF(Indicators!$F22="Higher = riskier",1+('Indicator Data'!K22&gt;=Indicators!$G22)+('Indicator Data'!K22&gt;=Indicators!$H22)+('Indicator Data'!K22&gt;=Indicators!$I22)+('Indicator Data'!K22&gt;=Indicators!$J22),1+('Indicator Data'!K22&lt;=Indicators!$G22)+('Indicator Data'!K22&lt;=Indicators!$H22)+('Indicator Data'!K22&lt;=Indicators!$I22)+('Indicator Data'!K22&lt;=Indicators!$J22)))</f>
        <v>3</v>
      </c>
      <c r="L22" s="27" t="n">
        <f aca="false">IF('Indicator Data'!L22="",IF(Config!$C$15="Score as High (5)",5,0),IF(Indicators!$F22="Higher = riskier",1+('Indicator Data'!L22&gt;=Indicators!$G22)+('Indicator Data'!L22&gt;=Indicators!$H22)+('Indicator Data'!L22&gt;=Indicators!$I22)+('Indicator Data'!L22&gt;=Indicators!$J22),1+('Indicator Data'!L22&lt;=Indicators!$G22)+('Indicator Data'!L22&lt;=Indicators!$H22)+('Indicator Data'!L22&lt;=Indicators!$I22)+('Indicator Data'!L22&lt;=Indicators!$J22)))</f>
        <v>5</v>
      </c>
      <c r="M22" s="27" t="n">
        <f aca="false">IF('Indicator Data'!M22="",IF(Config!$C$15="Score as High (5)",5,0),IF(Indicators!$F22="Higher = riskier",1+('Indicator Data'!M22&gt;=Indicators!$G22)+('Indicator Data'!M22&gt;=Indicators!$H22)+('Indicator Data'!M22&gt;=Indicators!$I22)+('Indicator Data'!M22&gt;=Indicators!$J22),1+('Indicator Data'!M22&lt;=Indicators!$G22)+('Indicator Data'!M22&lt;=Indicators!$H22)+('Indicator Data'!M22&lt;=Indicators!$I22)+('Indicator Data'!M22&lt;=Indicators!$J22)))</f>
        <v>2</v>
      </c>
      <c r="N22" s="27" t="n">
        <f aca="false">IF('Indicator Data'!N22="",IF(Config!$C$15="Score as High (5)",5,0),IF(Indicators!$F22="Higher = riskier",1+('Indicator Data'!N22&gt;=Indicators!$G22)+('Indicator Data'!N22&gt;=Indicators!$H22)+('Indicator Data'!N22&gt;=Indicators!$I22)+('Indicator Data'!N22&gt;=Indicators!$J22),1+('Indicator Data'!N22&lt;=Indicators!$G22)+('Indicator Data'!N22&lt;=Indicators!$H22)+('Indicator Data'!N22&lt;=Indicators!$I22)+('Indicator Data'!N22&lt;=Indicators!$J22)))</f>
        <v>4</v>
      </c>
      <c r="O22" s="27" t="n">
        <f aca="false">IF('Indicator Data'!O22="",IF(Config!$C$15="Score as High (5)",5,0),IF(Indicators!$F22="Higher = riskier",1+('Indicator Data'!O22&gt;=Indicators!$G22)+('Indicator Data'!O22&gt;=Indicators!$H22)+('Indicator Data'!O22&gt;=Indicators!$I22)+('Indicator Data'!O22&gt;=Indicators!$J22),1+('Indicator Data'!O22&lt;=Indicators!$G22)+('Indicator Data'!O22&lt;=Indicators!$H22)+('Indicator Data'!O22&lt;=Indicators!$I22)+('Indicator Data'!O22&lt;=Indicators!$J22)))</f>
        <v>2</v>
      </c>
      <c r="P22" s="27" t="n">
        <f aca="false">IF('Indicator Data'!P22="",IF(Config!$C$15="Score as High (5)",5,0),IF(Indicators!$F22="Higher = riskier",1+('Indicator Data'!P22&gt;=Indicators!$G22)+('Indicator Data'!P22&gt;=Indicators!$H22)+('Indicator Data'!P22&gt;=Indicators!$I22)+('Indicator Data'!P22&gt;=Indicators!$J22),1+('Indicator Data'!P22&lt;=Indicators!$G22)+('Indicator Data'!P22&lt;=Indicators!$H22)+('Indicator Data'!P22&lt;=Indicators!$I22)+('Indicator Data'!P22&lt;=Indicators!$J22)))</f>
        <v>2</v>
      </c>
      <c r="Q22" s="27" t="n">
        <f aca="false">IF('Indicator Data'!Q22="",IF(Config!$C$15="Score as High (5)",5,0),IF(Indicators!$F22="Higher = riskier",1+('Indicator Data'!Q22&gt;=Indicators!$G22)+('Indicator Data'!Q22&gt;=Indicators!$H22)+('Indicator Data'!Q22&gt;=Indicators!$I22)+('Indicator Data'!Q22&gt;=Indicators!$J22),1+('Indicator Data'!Q22&lt;=Indicators!$G22)+('Indicator Data'!Q22&lt;=Indicators!$H22)+('Indicator Data'!Q22&lt;=Indicators!$I22)+('Indicator Data'!Q22&lt;=Indicators!$J22)))</f>
        <v>3</v>
      </c>
      <c r="R22" s="27" t="n">
        <f aca="false">IF('Indicator Data'!R22="",IF(Config!$C$15="Score as High (5)",5,0),IF(Indicators!$F22="Higher = riskier",1+('Indicator Data'!R22&gt;=Indicators!$G22)+('Indicator Data'!R22&gt;=Indicators!$H22)+('Indicator Data'!R22&gt;=Indicators!$I22)+('Indicator Data'!R22&gt;=Indicators!$J22),1+('Indicator Data'!R22&lt;=Indicators!$G22)+('Indicator Data'!R22&lt;=Indicators!$H22)+('Indicator Data'!R22&lt;=Indicators!$I22)+('Indicator Data'!R22&lt;=Indicators!$J22)))</f>
        <v>4</v>
      </c>
      <c r="S22" s="27" t="n">
        <f aca="false">IF('Indicator Data'!S22="",IF(Config!$C$15="Score as High (5)",5,0),IF(Indicators!$F22="Higher = riskier",1+('Indicator Data'!S22&gt;=Indicators!$G22)+('Indicator Data'!S22&gt;=Indicators!$H22)+('Indicator Data'!S22&gt;=Indicators!$I22)+('Indicator Data'!S22&gt;=Indicators!$J22),1+('Indicator Data'!S22&lt;=Indicators!$G22)+('Indicator Data'!S22&lt;=Indicators!$H22)+('Indicator Data'!S22&lt;=Indicators!$I22)+('Indicator Data'!S22&lt;=Indicators!$J22)))</f>
        <v>4</v>
      </c>
      <c r="T22" s="27" t="n">
        <f aca="false">IF('Indicator Data'!T22="",IF(Config!$C$15="Score as High (5)",5,0),IF(Indicators!$F22="Higher = riskier",1+('Indicator Data'!T22&gt;=Indicators!$G22)+('Indicator Data'!T22&gt;=Indicators!$H22)+('Indicator Data'!T22&gt;=Indicators!$I22)+('Indicator Data'!T22&gt;=Indicators!$J22),1+('Indicator Data'!T22&lt;=Indicators!$G22)+('Indicator Data'!T22&lt;=Indicators!$H22)+('Indicator Data'!T22&lt;=Indicators!$I22)+('Indicator Data'!T22&lt;=Indicators!$J22)))</f>
        <v>2</v>
      </c>
      <c r="U22" s="27" t="n">
        <f aca="false">IF('Indicator Data'!U22="",IF(Config!$C$15="Score as High (5)",5,0),IF(Indicators!$F22="Higher = riskier",1+('Indicator Data'!U22&gt;=Indicators!$G22)+('Indicator Data'!U22&gt;=Indicators!$H22)+('Indicator Data'!U22&gt;=Indicators!$I22)+('Indicator Data'!U22&gt;=Indicators!$J22),1+('Indicator Data'!U22&lt;=Indicators!$G22)+('Indicator Data'!U22&lt;=Indicators!$H22)+('Indicator Data'!U22&lt;=Indicators!$I22)+('Indicator Data'!U22&lt;=Indicators!$J22)))</f>
        <v>3</v>
      </c>
      <c r="V22" s="27" t="n">
        <f aca="false">IF('Indicator Data'!V22="",IF(Config!$C$15="Score as High (5)",5,0),IF(Indicators!$F22="Higher = riskier",1+('Indicator Data'!V22&gt;=Indicators!$G22)+('Indicator Data'!V22&gt;=Indicators!$H22)+('Indicator Data'!V22&gt;=Indicators!$I22)+('Indicator Data'!V22&gt;=Indicators!$J22),1+('Indicator Data'!V22&lt;=Indicators!$G22)+('Indicator Data'!V22&lt;=Indicators!$H22)+('Indicator Data'!V22&lt;=Indicators!$I22)+('Indicator Data'!V22&lt;=Indicators!$J22)))</f>
        <v>2</v>
      </c>
      <c r="W22" s="27" t="n">
        <f aca="false">IF('Indicator Data'!W22="",IF(Config!$C$15="Score as High (5)",5,0),IF(Indicators!$F22="Higher = riskier",1+('Indicator Data'!W22&gt;=Indicators!$G22)+('Indicator Data'!W22&gt;=Indicators!$H22)+('Indicator Data'!W22&gt;=Indicators!$I22)+('Indicator Data'!W22&gt;=Indicators!$J22),1+('Indicator Data'!W22&lt;=Indicators!$G22)+('Indicator Data'!W22&lt;=Indicators!$H22)+('Indicator Data'!W22&lt;=Indicators!$I22)+('Indicator Data'!W22&lt;=Indicators!$J22)))</f>
        <v>2</v>
      </c>
      <c r="X22" s="27" t="n">
        <f aca="false">IF('Indicator Data'!X22="",IF(Config!$C$15="Score as High (5)",5,0),IF(Indicators!$F22="Higher = riskier",1+('Indicator Data'!X22&gt;=Indicators!$G22)+('Indicator Data'!X22&gt;=Indicators!$H22)+('Indicator Data'!X22&gt;=Indicators!$I22)+('Indicator Data'!X22&gt;=Indicators!$J22),1+('Indicator Data'!X22&lt;=Indicators!$G22)+('Indicator Data'!X22&lt;=Indicators!$H22)+('Indicator Data'!X22&lt;=Indicators!$I22)+('Indicator Data'!X22&lt;=Indicators!$J22)))</f>
        <v>5</v>
      </c>
      <c r="Y22" s="27" t="n">
        <f aca="false">IF('Indicator Data'!Y22="",IF(Config!$C$15="Score as High (5)",5,0),IF(Indicators!$F22="Higher = riskier",1+('Indicator Data'!Y22&gt;=Indicators!$G22)+('Indicator Data'!Y22&gt;=Indicators!$H22)+('Indicator Data'!Y22&gt;=Indicators!$I22)+('Indicator Data'!Y22&gt;=Indicators!$J22),1+('Indicator Data'!Y22&lt;=Indicators!$G22)+('Indicator Data'!Y22&lt;=Indicators!$H22)+('Indicator Data'!Y22&lt;=Indicators!$I22)+('Indicator Data'!Y22&lt;=Indicators!$J22)))</f>
        <v>2</v>
      </c>
      <c r="Z22" s="27" t="n">
        <f aca="false">IF('Indicator Data'!Z22="",IF(Config!$C$15="Score as High (5)",5,0),IF(Indicators!$F22="Higher = riskier",1+('Indicator Data'!Z22&gt;=Indicators!$G22)+('Indicator Data'!Z22&gt;=Indicators!$H22)+('Indicator Data'!Z22&gt;=Indicators!$I22)+('Indicator Data'!Z22&gt;=Indicators!$J22),1+('Indicator Data'!Z22&lt;=Indicators!$G22)+('Indicator Data'!Z22&lt;=Indicators!$H22)+('Indicator Data'!Z22&lt;=Indicators!$I22)+('Indicator Data'!Z22&lt;=Indicators!$J22)))</f>
        <v>1</v>
      </c>
      <c r="AA22" s="27" t="n">
        <f aca="false">IF('Indicator Data'!AA22="",IF(Config!$C$15="Score as High (5)",5,0),IF(Indicators!$F22="Higher = riskier",1+('Indicator Data'!AA22&gt;=Indicators!$G22)+('Indicator Data'!AA22&gt;=Indicators!$H22)+('Indicator Data'!AA22&gt;=Indicators!$I22)+('Indicator Data'!AA22&gt;=Indicators!$J22),1+('Indicator Data'!AA22&lt;=Indicators!$G22)+('Indicator Data'!AA22&lt;=Indicators!$H22)+('Indicator Data'!AA22&lt;=Indicators!$I22)+('Indicator Data'!AA22&lt;=Indicators!$J22)))</f>
        <v>3</v>
      </c>
      <c r="AB22" s="27" t="n">
        <f aca="false">IF('Indicator Data'!AB22="",IF(Config!$C$15="Score as High (5)",5,0),IF(Indicators!$F22="Higher = riskier",1+('Indicator Data'!AB22&gt;=Indicators!$G22)+('Indicator Data'!AB22&gt;=Indicators!$H22)+('Indicator Data'!AB22&gt;=Indicators!$I22)+('Indicator Data'!AB22&gt;=Indicators!$J22),1+('Indicator Data'!AB22&lt;=Indicators!$G22)+('Indicator Data'!AB22&lt;=Indicators!$H22)+('Indicator Data'!AB22&lt;=Indicators!$I22)+('Indicator Data'!AB22&lt;=Indicators!$J22)))</f>
        <v>2</v>
      </c>
      <c r="AC22" s="27" t="n">
        <f aca="false">IF('Indicator Data'!AC22="",IF(Config!$C$15="Score as High (5)",5,0),IF(Indicators!$F22="Higher = riskier",1+('Indicator Data'!AC22&gt;=Indicators!$G22)+('Indicator Data'!AC22&gt;=Indicators!$H22)+('Indicator Data'!AC22&gt;=Indicators!$I22)+('Indicator Data'!AC22&gt;=Indicators!$J22),1+('Indicator Data'!AC22&lt;=Indicators!$G22)+('Indicator Data'!AC22&lt;=Indicators!$H22)+('Indicator Data'!AC22&lt;=Indicators!$I22)+('Indicator Data'!AC22&lt;=Indicators!$J22)))</f>
        <v>3</v>
      </c>
      <c r="AD22" s="27" t="n">
        <f aca="false">IF('Indicator Data'!AD22="",IF(Config!$C$15="Score as High (5)",5,0),IF(Indicators!$F22="Higher = riskier",1+('Indicator Data'!AD22&gt;=Indicators!$G22)+('Indicator Data'!AD22&gt;=Indicators!$H22)+('Indicator Data'!AD22&gt;=Indicators!$I22)+('Indicator Data'!AD22&gt;=Indicators!$J22),1+('Indicator Data'!AD22&lt;=Indicators!$G22)+('Indicator Data'!AD22&lt;=Indicators!$H22)+('Indicator Data'!AD22&lt;=Indicators!$I22)+('Indicator Data'!AD22&lt;=Indicators!$J22)))</f>
        <v>1</v>
      </c>
      <c r="AE22" s="27" t="n">
        <f aca="false">IF('Indicator Data'!AE22="",IF(Config!$C$15="Score as High (5)",5,0),IF(Indicators!$F22="Higher = riskier",1+('Indicator Data'!AE22&gt;=Indicators!$G22)+('Indicator Data'!AE22&gt;=Indicators!$H22)+('Indicator Data'!AE22&gt;=Indicators!$I22)+('Indicator Data'!AE22&gt;=Indicators!$J22),1+('Indicator Data'!AE22&lt;=Indicators!$G22)+('Indicator Data'!AE22&lt;=Indicators!$H22)+('Indicator Data'!AE22&lt;=Indicators!$I22)+('Indicator Data'!AE22&lt;=Indicators!$J22)))</f>
        <v>2</v>
      </c>
      <c r="AF22" s="27" t="n">
        <f aca="false">IF('Indicator Data'!AF22="",IF(Config!$C$15="Score as High (5)",5,0),IF(Indicators!$F22="Higher = riskier",1+('Indicator Data'!AF22&gt;=Indicators!$G22)+('Indicator Data'!AF22&gt;=Indicators!$H22)+('Indicator Data'!AF22&gt;=Indicators!$I22)+('Indicator Data'!AF22&gt;=Indicators!$J22),1+('Indicator Data'!AF22&lt;=Indicators!$G22)+('Indicator Data'!AF22&lt;=Indicators!$H22)+('Indicator Data'!AF22&lt;=Indicators!$I22)+('Indicator Data'!AF22&lt;=Indicators!$J22)))</f>
        <v>2</v>
      </c>
      <c r="AG22" s="27" t="n">
        <f aca="false">IF('Indicator Data'!AG22="",IF(Config!$C$15="Score as High (5)",5,0),IF(Indicators!$F22="Higher = riskier",1+('Indicator Data'!AG22&gt;=Indicators!$G22)+('Indicator Data'!AG22&gt;=Indicators!$H22)+('Indicator Data'!AG22&gt;=Indicators!$I22)+('Indicator Data'!AG22&gt;=Indicators!$J22),1+('Indicator Data'!AG22&lt;=Indicators!$G22)+('Indicator Data'!AG22&lt;=Indicators!$H22)+('Indicator Data'!AG22&lt;=Indicators!$I22)+('Indicator Data'!AG22&lt;=Indicators!$J22)))</f>
        <v>1</v>
      </c>
    </row>
    <row r="23" customFormat="false" ht="15" hidden="false" customHeight="false" outlineLevel="0" collapsed="false">
      <c r="A23" s="26" t="str">
        <f aca="false">Indicators!A23</f>
        <v>P06</v>
      </c>
      <c r="B23" s="26" t="str">
        <f aca="false">Indicators!C23</f>
        <v>Higher-risk product exposure: bearer, safe deposit, virtual assets (1–5)</v>
      </c>
      <c r="C23" s="26" t="str">
        <f aca="false">Indicators!D23</f>
        <v>score 1–5</v>
      </c>
      <c r="D23" s="27" t="n">
        <f aca="false">IF('Indicator Data'!D23="",IF(Config!$C$15="Score as High (5)",5,0),IF(Indicators!$F23="Higher = riskier",1+('Indicator Data'!D23&gt;=Indicators!$G23)+('Indicator Data'!D23&gt;=Indicators!$H23)+('Indicator Data'!D23&gt;=Indicators!$I23)+('Indicator Data'!D23&gt;=Indicators!$J23),1+('Indicator Data'!D23&lt;=Indicators!$G23)+('Indicator Data'!D23&lt;=Indicators!$H23)+('Indicator Data'!D23&lt;=Indicators!$I23)+('Indicator Data'!D23&lt;=Indicators!$J23)))</f>
        <v>4</v>
      </c>
      <c r="E23" s="27" t="n">
        <f aca="false">IF('Indicator Data'!E23="",IF(Config!$C$15="Score as High (5)",5,0),IF(Indicators!$F23="Higher = riskier",1+('Indicator Data'!E23&gt;=Indicators!$G23)+('Indicator Data'!E23&gt;=Indicators!$H23)+('Indicator Data'!E23&gt;=Indicators!$I23)+('Indicator Data'!E23&gt;=Indicators!$J23),1+('Indicator Data'!E23&lt;=Indicators!$G23)+('Indicator Data'!E23&lt;=Indicators!$H23)+('Indicator Data'!E23&lt;=Indicators!$I23)+('Indicator Data'!E23&lt;=Indicators!$J23)))</f>
        <v>3</v>
      </c>
      <c r="F23" s="27" t="n">
        <f aca="false">IF('Indicator Data'!F23="",IF(Config!$C$15="Score as High (5)",5,0),IF(Indicators!$F23="Higher = riskier",1+('Indicator Data'!F23&gt;=Indicators!$G23)+('Indicator Data'!F23&gt;=Indicators!$H23)+('Indicator Data'!F23&gt;=Indicators!$I23)+('Indicator Data'!F23&gt;=Indicators!$J23),1+('Indicator Data'!F23&lt;=Indicators!$G23)+('Indicator Data'!F23&lt;=Indicators!$H23)+('Indicator Data'!F23&lt;=Indicators!$I23)+('Indicator Data'!F23&lt;=Indicators!$J23)))</f>
        <v>3</v>
      </c>
      <c r="G23" s="27" t="n">
        <f aca="false">IF('Indicator Data'!G23="",IF(Config!$C$15="Score as High (5)",5,0),IF(Indicators!$F23="Higher = riskier",1+('Indicator Data'!G23&gt;=Indicators!$G23)+('Indicator Data'!G23&gt;=Indicators!$H23)+('Indicator Data'!G23&gt;=Indicators!$I23)+('Indicator Data'!G23&gt;=Indicators!$J23),1+('Indicator Data'!G23&lt;=Indicators!$G23)+('Indicator Data'!G23&lt;=Indicators!$H23)+('Indicator Data'!G23&lt;=Indicators!$I23)+('Indicator Data'!G23&lt;=Indicators!$J23)))</f>
        <v>3</v>
      </c>
      <c r="H23" s="27" t="n">
        <f aca="false">IF('Indicator Data'!H23="",IF(Config!$C$15="Score as High (5)",5,0),IF(Indicators!$F23="Higher = riskier",1+('Indicator Data'!H23&gt;=Indicators!$G23)+('Indicator Data'!H23&gt;=Indicators!$H23)+('Indicator Data'!H23&gt;=Indicators!$I23)+('Indicator Data'!H23&gt;=Indicators!$J23),1+('Indicator Data'!H23&lt;=Indicators!$G23)+('Indicator Data'!H23&lt;=Indicators!$H23)+('Indicator Data'!H23&lt;=Indicators!$I23)+('Indicator Data'!H23&lt;=Indicators!$J23)))</f>
        <v>4</v>
      </c>
      <c r="I23" s="27" t="n">
        <f aca="false">IF('Indicator Data'!I23="",IF(Config!$C$15="Score as High (5)",5,0),IF(Indicators!$F23="Higher = riskier",1+('Indicator Data'!I23&gt;=Indicators!$G23)+('Indicator Data'!I23&gt;=Indicators!$H23)+('Indicator Data'!I23&gt;=Indicators!$I23)+('Indicator Data'!I23&gt;=Indicators!$J23),1+('Indicator Data'!I23&lt;=Indicators!$G23)+('Indicator Data'!I23&lt;=Indicators!$H23)+('Indicator Data'!I23&lt;=Indicators!$I23)+('Indicator Data'!I23&lt;=Indicators!$J23)))</f>
        <v>5</v>
      </c>
      <c r="J23" s="27" t="n">
        <f aca="false">IF('Indicator Data'!J23="",IF(Config!$C$15="Score as High (5)",5,0),IF(Indicators!$F23="Higher = riskier",1+('Indicator Data'!J23&gt;=Indicators!$G23)+('Indicator Data'!J23&gt;=Indicators!$H23)+('Indicator Data'!J23&gt;=Indicators!$I23)+('Indicator Data'!J23&gt;=Indicators!$J23),1+('Indicator Data'!J23&lt;=Indicators!$G23)+('Indicator Data'!J23&lt;=Indicators!$H23)+('Indicator Data'!J23&lt;=Indicators!$I23)+('Indicator Data'!J23&lt;=Indicators!$J23)))</f>
        <v>5</v>
      </c>
      <c r="K23" s="27" t="n">
        <f aca="false">IF('Indicator Data'!K23="",IF(Config!$C$15="Score as High (5)",5,0),IF(Indicators!$F23="Higher = riskier",1+('Indicator Data'!K23&gt;=Indicators!$G23)+('Indicator Data'!K23&gt;=Indicators!$H23)+('Indicator Data'!K23&gt;=Indicators!$I23)+('Indicator Data'!K23&gt;=Indicators!$J23),1+('Indicator Data'!K23&lt;=Indicators!$G23)+('Indicator Data'!K23&lt;=Indicators!$H23)+('Indicator Data'!K23&lt;=Indicators!$I23)+('Indicator Data'!K23&lt;=Indicators!$J23)))</f>
        <v>4</v>
      </c>
      <c r="L23" s="27" t="n">
        <f aca="false">IF('Indicator Data'!L23="",IF(Config!$C$15="Score as High (5)",5,0),IF(Indicators!$F23="Higher = riskier",1+('Indicator Data'!L23&gt;=Indicators!$G23)+('Indicator Data'!L23&gt;=Indicators!$H23)+('Indicator Data'!L23&gt;=Indicators!$I23)+('Indicator Data'!L23&gt;=Indicators!$J23),1+('Indicator Data'!L23&lt;=Indicators!$G23)+('Indicator Data'!L23&lt;=Indicators!$H23)+('Indicator Data'!L23&lt;=Indicators!$I23)+('Indicator Data'!L23&lt;=Indicators!$J23)))</f>
        <v>4</v>
      </c>
      <c r="M23" s="27" t="n">
        <f aca="false">IF('Indicator Data'!M23="",IF(Config!$C$15="Score as High (5)",5,0),IF(Indicators!$F23="Higher = riskier",1+('Indicator Data'!M23&gt;=Indicators!$G23)+('Indicator Data'!M23&gt;=Indicators!$H23)+('Indicator Data'!M23&gt;=Indicators!$I23)+('Indicator Data'!M23&gt;=Indicators!$J23),1+('Indicator Data'!M23&lt;=Indicators!$G23)+('Indicator Data'!M23&lt;=Indicators!$H23)+('Indicator Data'!M23&lt;=Indicators!$I23)+('Indicator Data'!M23&lt;=Indicators!$J23)))</f>
        <v>3</v>
      </c>
      <c r="N23" s="27" t="n">
        <f aca="false">IF('Indicator Data'!N23="",IF(Config!$C$15="Score as High (5)",5,0),IF(Indicators!$F23="Higher = riskier",1+('Indicator Data'!N23&gt;=Indicators!$G23)+('Indicator Data'!N23&gt;=Indicators!$H23)+('Indicator Data'!N23&gt;=Indicators!$I23)+('Indicator Data'!N23&gt;=Indicators!$J23),1+('Indicator Data'!N23&lt;=Indicators!$G23)+('Indicator Data'!N23&lt;=Indicators!$H23)+('Indicator Data'!N23&lt;=Indicators!$I23)+('Indicator Data'!N23&lt;=Indicators!$J23)))</f>
        <v>3</v>
      </c>
      <c r="O23" s="27" t="n">
        <f aca="false">IF('Indicator Data'!O23="",IF(Config!$C$15="Score as High (5)",5,0),IF(Indicators!$F23="Higher = riskier",1+('Indicator Data'!O23&gt;=Indicators!$G23)+('Indicator Data'!O23&gt;=Indicators!$H23)+('Indicator Data'!O23&gt;=Indicators!$I23)+('Indicator Data'!O23&gt;=Indicators!$J23),1+('Indicator Data'!O23&lt;=Indicators!$G23)+('Indicator Data'!O23&lt;=Indicators!$H23)+('Indicator Data'!O23&lt;=Indicators!$I23)+('Indicator Data'!O23&lt;=Indicators!$J23)))</f>
        <v>4</v>
      </c>
      <c r="P23" s="27" t="n">
        <f aca="false">IF('Indicator Data'!P23="",IF(Config!$C$15="Score as High (5)",5,0),IF(Indicators!$F23="Higher = riskier",1+('Indicator Data'!P23&gt;=Indicators!$G23)+('Indicator Data'!P23&gt;=Indicators!$H23)+('Indicator Data'!P23&gt;=Indicators!$I23)+('Indicator Data'!P23&gt;=Indicators!$J23),1+('Indicator Data'!P23&lt;=Indicators!$G23)+('Indicator Data'!P23&lt;=Indicators!$H23)+('Indicator Data'!P23&lt;=Indicators!$I23)+('Indicator Data'!P23&lt;=Indicators!$J23)))</f>
        <v>2</v>
      </c>
      <c r="Q23" s="27" t="n">
        <f aca="false">IF('Indicator Data'!Q23="",IF(Config!$C$15="Score as High (5)",5,0),IF(Indicators!$F23="Higher = riskier",1+('Indicator Data'!Q23&gt;=Indicators!$G23)+('Indicator Data'!Q23&gt;=Indicators!$H23)+('Indicator Data'!Q23&gt;=Indicators!$I23)+('Indicator Data'!Q23&gt;=Indicators!$J23),1+('Indicator Data'!Q23&lt;=Indicators!$G23)+('Indicator Data'!Q23&lt;=Indicators!$H23)+('Indicator Data'!Q23&lt;=Indicators!$I23)+('Indicator Data'!Q23&lt;=Indicators!$J23)))</f>
        <v>3</v>
      </c>
      <c r="R23" s="27" t="n">
        <f aca="false">IF('Indicator Data'!R23="",IF(Config!$C$15="Score as High (5)",5,0),IF(Indicators!$F23="Higher = riskier",1+('Indicator Data'!R23&gt;=Indicators!$G23)+('Indicator Data'!R23&gt;=Indicators!$H23)+('Indicator Data'!R23&gt;=Indicators!$I23)+('Indicator Data'!R23&gt;=Indicators!$J23),1+('Indicator Data'!R23&lt;=Indicators!$G23)+('Indicator Data'!R23&lt;=Indicators!$H23)+('Indicator Data'!R23&lt;=Indicators!$I23)+('Indicator Data'!R23&lt;=Indicators!$J23)))</f>
        <v>4</v>
      </c>
      <c r="S23" s="27" t="n">
        <f aca="false">IF('Indicator Data'!S23="",IF(Config!$C$15="Score as High (5)",5,0),IF(Indicators!$F23="Higher = riskier",1+('Indicator Data'!S23&gt;=Indicators!$G23)+('Indicator Data'!S23&gt;=Indicators!$H23)+('Indicator Data'!S23&gt;=Indicators!$I23)+('Indicator Data'!S23&gt;=Indicators!$J23),1+('Indicator Data'!S23&lt;=Indicators!$G23)+('Indicator Data'!S23&lt;=Indicators!$H23)+('Indicator Data'!S23&lt;=Indicators!$I23)+('Indicator Data'!S23&lt;=Indicators!$J23)))</f>
        <v>4</v>
      </c>
      <c r="T23" s="27" t="n">
        <f aca="false">IF('Indicator Data'!T23="",IF(Config!$C$15="Score as High (5)",5,0),IF(Indicators!$F23="Higher = riskier",1+('Indicator Data'!T23&gt;=Indicators!$G23)+('Indicator Data'!T23&gt;=Indicators!$H23)+('Indicator Data'!T23&gt;=Indicators!$I23)+('Indicator Data'!T23&gt;=Indicators!$J23),1+('Indicator Data'!T23&lt;=Indicators!$G23)+('Indicator Data'!T23&lt;=Indicators!$H23)+('Indicator Data'!T23&lt;=Indicators!$I23)+('Indicator Data'!T23&lt;=Indicators!$J23)))</f>
        <v>3</v>
      </c>
      <c r="U23" s="27" t="n">
        <f aca="false">IF('Indicator Data'!U23="",IF(Config!$C$15="Score as High (5)",5,0),IF(Indicators!$F23="Higher = riskier",1+('Indicator Data'!U23&gt;=Indicators!$G23)+('Indicator Data'!U23&gt;=Indicators!$H23)+('Indicator Data'!U23&gt;=Indicators!$I23)+('Indicator Data'!U23&gt;=Indicators!$J23),1+('Indicator Data'!U23&lt;=Indicators!$G23)+('Indicator Data'!U23&lt;=Indicators!$H23)+('Indicator Data'!U23&lt;=Indicators!$I23)+('Indicator Data'!U23&lt;=Indicators!$J23)))</f>
        <v>3</v>
      </c>
      <c r="V23" s="27" t="n">
        <f aca="false">IF('Indicator Data'!V23="",IF(Config!$C$15="Score as High (5)",5,0),IF(Indicators!$F23="Higher = riskier",1+('Indicator Data'!V23&gt;=Indicators!$G23)+('Indicator Data'!V23&gt;=Indicators!$H23)+('Indicator Data'!V23&gt;=Indicators!$I23)+('Indicator Data'!V23&gt;=Indicators!$J23),1+('Indicator Data'!V23&lt;=Indicators!$G23)+('Indicator Data'!V23&lt;=Indicators!$H23)+('Indicator Data'!V23&lt;=Indicators!$I23)+('Indicator Data'!V23&lt;=Indicators!$J23)))</f>
        <v>4</v>
      </c>
      <c r="W23" s="27" t="n">
        <f aca="false">IF('Indicator Data'!W23="",IF(Config!$C$15="Score as High (5)",5,0),IF(Indicators!$F23="Higher = riskier",1+('Indicator Data'!W23&gt;=Indicators!$G23)+('Indicator Data'!W23&gt;=Indicators!$H23)+('Indicator Data'!W23&gt;=Indicators!$I23)+('Indicator Data'!W23&gt;=Indicators!$J23),1+('Indicator Data'!W23&lt;=Indicators!$G23)+('Indicator Data'!W23&lt;=Indicators!$H23)+('Indicator Data'!W23&lt;=Indicators!$I23)+('Indicator Data'!W23&lt;=Indicators!$J23)))</f>
        <v>2</v>
      </c>
      <c r="X23" s="27" t="n">
        <f aca="false">IF('Indicator Data'!X23="",IF(Config!$C$15="Score as High (5)",5,0),IF(Indicators!$F23="Higher = riskier",1+('Indicator Data'!X23&gt;=Indicators!$G23)+('Indicator Data'!X23&gt;=Indicators!$H23)+('Indicator Data'!X23&gt;=Indicators!$I23)+('Indicator Data'!X23&gt;=Indicators!$J23),1+('Indicator Data'!X23&lt;=Indicators!$G23)+('Indicator Data'!X23&lt;=Indicators!$H23)+('Indicator Data'!X23&lt;=Indicators!$I23)+('Indicator Data'!X23&lt;=Indicators!$J23)))</f>
        <v>4</v>
      </c>
      <c r="Y23" s="27" t="n">
        <f aca="false">IF('Indicator Data'!Y23="",IF(Config!$C$15="Score as High (5)",5,0),IF(Indicators!$F23="Higher = riskier",1+('Indicator Data'!Y23&gt;=Indicators!$G23)+('Indicator Data'!Y23&gt;=Indicators!$H23)+('Indicator Data'!Y23&gt;=Indicators!$I23)+('Indicator Data'!Y23&gt;=Indicators!$J23),1+('Indicator Data'!Y23&lt;=Indicators!$G23)+('Indicator Data'!Y23&lt;=Indicators!$H23)+('Indicator Data'!Y23&lt;=Indicators!$I23)+('Indicator Data'!Y23&lt;=Indicators!$J23)))</f>
        <v>2</v>
      </c>
      <c r="Z23" s="27" t="n">
        <f aca="false">IF('Indicator Data'!Z23="",IF(Config!$C$15="Score as High (5)",5,0),IF(Indicators!$F23="Higher = riskier",1+('Indicator Data'!Z23&gt;=Indicators!$G23)+('Indicator Data'!Z23&gt;=Indicators!$H23)+('Indicator Data'!Z23&gt;=Indicators!$I23)+('Indicator Data'!Z23&gt;=Indicators!$J23),1+('Indicator Data'!Z23&lt;=Indicators!$G23)+('Indicator Data'!Z23&lt;=Indicators!$H23)+('Indicator Data'!Z23&lt;=Indicators!$I23)+('Indicator Data'!Z23&lt;=Indicators!$J23)))</f>
        <v>2</v>
      </c>
      <c r="AA23" s="27" t="n">
        <f aca="false">IF('Indicator Data'!AA23="",IF(Config!$C$15="Score as High (5)",5,0),IF(Indicators!$F23="Higher = riskier",1+('Indicator Data'!AA23&gt;=Indicators!$G23)+('Indicator Data'!AA23&gt;=Indicators!$H23)+('Indicator Data'!AA23&gt;=Indicators!$I23)+('Indicator Data'!AA23&gt;=Indicators!$J23),1+('Indicator Data'!AA23&lt;=Indicators!$G23)+('Indicator Data'!AA23&lt;=Indicators!$H23)+('Indicator Data'!AA23&lt;=Indicators!$I23)+('Indicator Data'!AA23&lt;=Indicators!$J23)))</f>
        <v>2</v>
      </c>
      <c r="AB23" s="27" t="n">
        <f aca="false">IF('Indicator Data'!AB23="",IF(Config!$C$15="Score as High (5)",5,0),IF(Indicators!$F23="Higher = riskier",1+('Indicator Data'!AB23&gt;=Indicators!$G23)+('Indicator Data'!AB23&gt;=Indicators!$H23)+('Indicator Data'!AB23&gt;=Indicators!$I23)+('Indicator Data'!AB23&gt;=Indicators!$J23),1+('Indicator Data'!AB23&lt;=Indicators!$G23)+('Indicator Data'!AB23&lt;=Indicators!$H23)+('Indicator Data'!AB23&lt;=Indicators!$I23)+('Indicator Data'!AB23&lt;=Indicators!$J23)))</f>
        <v>2</v>
      </c>
      <c r="AC23" s="27" t="n">
        <f aca="false">IF('Indicator Data'!AC23="",IF(Config!$C$15="Score as High (5)",5,0),IF(Indicators!$F23="Higher = riskier",1+('Indicator Data'!AC23&gt;=Indicators!$G23)+('Indicator Data'!AC23&gt;=Indicators!$H23)+('Indicator Data'!AC23&gt;=Indicators!$I23)+('Indicator Data'!AC23&gt;=Indicators!$J23),1+('Indicator Data'!AC23&lt;=Indicators!$G23)+('Indicator Data'!AC23&lt;=Indicators!$H23)+('Indicator Data'!AC23&lt;=Indicators!$I23)+('Indicator Data'!AC23&lt;=Indicators!$J23)))</f>
        <v>2</v>
      </c>
      <c r="AD23" s="27" t="n">
        <f aca="false">IF('Indicator Data'!AD23="",IF(Config!$C$15="Score as High (5)",5,0),IF(Indicators!$F23="Higher = riskier",1+('Indicator Data'!AD23&gt;=Indicators!$G23)+('Indicator Data'!AD23&gt;=Indicators!$H23)+('Indicator Data'!AD23&gt;=Indicators!$I23)+('Indicator Data'!AD23&gt;=Indicators!$J23),1+('Indicator Data'!AD23&lt;=Indicators!$G23)+('Indicator Data'!AD23&lt;=Indicators!$H23)+('Indicator Data'!AD23&lt;=Indicators!$I23)+('Indicator Data'!AD23&lt;=Indicators!$J23)))</f>
        <v>3</v>
      </c>
      <c r="AE23" s="27" t="n">
        <f aca="false">IF('Indicator Data'!AE23="",IF(Config!$C$15="Score as High (5)",5,0),IF(Indicators!$F23="Higher = riskier",1+('Indicator Data'!AE23&gt;=Indicators!$G23)+('Indicator Data'!AE23&gt;=Indicators!$H23)+('Indicator Data'!AE23&gt;=Indicators!$I23)+('Indicator Data'!AE23&gt;=Indicators!$J23),1+('Indicator Data'!AE23&lt;=Indicators!$G23)+('Indicator Data'!AE23&lt;=Indicators!$H23)+('Indicator Data'!AE23&lt;=Indicators!$I23)+('Indicator Data'!AE23&lt;=Indicators!$J23)))</f>
        <v>2</v>
      </c>
      <c r="AF23" s="27" t="n">
        <f aca="false">IF('Indicator Data'!AF23="",IF(Config!$C$15="Score as High (5)",5,0),IF(Indicators!$F23="Higher = riskier",1+('Indicator Data'!AF23&gt;=Indicators!$G23)+('Indicator Data'!AF23&gt;=Indicators!$H23)+('Indicator Data'!AF23&gt;=Indicators!$I23)+('Indicator Data'!AF23&gt;=Indicators!$J23),1+('Indicator Data'!AF23&lt;=Indicators!$G23)+('Indicator Data'!AF23&lt;=Indicators!$H23)+('Indicator Data'!AF23&lt;=Indicators!$I23)+('Indicator Data'!AF23&lt;=Indicators!$J23)))</f>
        <v>2</v>
      </c>
      <c r="AG23" s="27" t="n">
        <f aca="false">IF('Indicator Data'!AG23="",IF(Config!$C$15="Score as High (5)",5,0),IF(Indicators!$F23="Higher = riskier",1+('Indicator Data'!AG23&gt;=Indicators!$G23)+('Indicator Data'!AG23&gt;=Indicators!$H23)+('Indicator Data'!AG23&gt;=Indicators!$I23)+('Indicator Data'!AG23&gt;=Indicators!$J23),1+('Indicator Data'!AG23&lt;=Indicators!$G23)+('Indicator Data'!AG23&lt;=Indicators!$H23)+('Indicator Data'!AG23&lt;=Indicators!$I23)+('Indicator Data'!AG23&lt;=Indicators!$J23)))</f>
        <v>1</v>
      </c>
    </row>
    <row r="24" customFormat="false" ht="15" hidden="false" customHeight="false" outlineLevel="0" collapsed="false">
      <c r="A24" s="26" t="str">
        <f aca="false">Indicators!A24</f>
        <v>D01</v>
      </c>
      <c r="B24" s="26" t="str">
        <f aca="false">Indicators!C24</f>
        <v>% accounts opened non-face-to-face</v>
      </c>
      <c r="C24" s="26" t="str">
        <f aca="false">Indicators!D24</f>
        <v>%</v>
      </c>
      <c r="D24" s="27" t="n">
        <f aca="false">IF('Indicator Data'!D24="",IF(Config!$C$15="Score as High (5)",5,0),IF(Indicators!$F24="Higher = riskier",1+('Indicator Data'!D24&gt;=Indicators!$G24)+('Indicator Data'!D24&gt;=Indicators!$H24)+('Indicator Data'!D24&gt;=Indicators!$I24)+('Indicator Data'!D24&gt;=Indicators!$J24),1+('Indicator Data'!D24&lt;=Indicators!$G24)+('Indicator Data'!D24&lt;=Indicators!$H24)+('Indicator Data'!D24&lt;=Indicators!$I24)+('Indicator Data'!D24&lt;=Indicators!$J24)))</f>
        <v>2</v>
      </c>
      <c r="E24" s="27" t="n">
        <f aca="false">IF('Indicator Data'!E24="",IF(Config!$C$15="Score as High (5)",5,0),IF(Indicators!$F24="Higher = riskier",1+('Indicator Data'!E24&gt;=Indicators!$G24)+('Indicator Data'!E24&gt;=Indicators!$H24)+('Indicator Data'!E24&gt;=Indicators!$I24)+('Indicator Data'!E24&gt;=Indicators!$J24),1+('Indicator Data'!E24&lt;=Indicators!$G24)+('Indicator Data'!E24&lt;=Indicators!$H24)+('Indicator Data'!E24&lt;=Indicators!$I24)+('Indicator Data'!E24&lt;=Indicators!$J24)))</f>
        <v>3</v>
      </c>
      <c r="F24" s="27" t="n">
        <f aca="false">IF('Indicator Data'!F24="",IF(Config!$C$15="Score as High (5)",5,0),IF(Indicators!$F24="Higher = riskier",1+('Indicator Data'!F24&gt;=Indicators!$G24)+('Indicator Data'!F24&gt;=Indicators!$H24)+('Indicator Data'!F24&gt;=Indicators!$I24)+('Indicator Data'!F24&gt;=Indicators!$J24),1+('Indicator Data'!F24&lt;=Indicators!$G24)+('Indicator Data'!F24&lt;=Indicators!$H24)+('Indicator Data'!F24&lt;=Indicators!$I24)+('Indicator Data'!F24&lt;=Indicators!$J24)))</f>
        <v>4</v>
      </c>
      <c r="G24" s="27" t="n">
        <f aca="false">IF('Indicator Data'!G24="",IF(Config!$C$15="Score as High (5)",5,0),IF(Indicators!$F24="Higher = riskier",1+('Indicator Data'!G24&gt;=Indicators!$G24)+('Indicator Data'!G24&gt;=Indicators!$H24)+('Indicator Data'!G24&gt;=Indicators!$I24)+('Indicator Data'!G24&gt;=Indicators!$J24),1+('Indicator Data'!G24&lt;=Indicators!$G24)+('Indicator Data'!G24&lt;=Indicators!$H24)+('Indicator Data'!G24&lt;=Indicators!$I24)+('Indicator Data'!G24&lt;=Indicators!$J24)))</f>
        <v>1</v>
      </c>
      <c r="H24" s="27" t="n">
        <f aca="false">IF('Indicator Data'!H24="",IF(Config!$C$15="Score as High (5)",5,0),IF(Indicators!$F24="Higher = riskier",1+('Indicator Data'!H24&gt;=Indicators!$G24)+('Indicator Data'!H24&gt;=Indicators!$H24)+('Indicator Data'!H24&gt;=Indicators!$I24)+('Indicator Data'!H24&gt;=Indicators!$J24),1+('Indicator Data'!H24&lt;=Indicators!$G24)+('Indicator Data'!H24&lt;=Indicators!$H24)+('Indicator Data'!H24&lt;=Indicators!$I24)+('Indicator Data'!H24&lt;=Indicators!$J24)))</f>
        <v>3</v>
      </c>
      <c r="I24" s="27" t="n">
        <f aca="false">IF('Indicator Data'!I24="",IF(Config!$C$15="Score as High (5)",5,0),IF(Indicators!$F24="Higher = riskier",1+('Indicator Data'!I24&gt;=Indicators!$G24)+('Indicator Data'!I24&gt;=Indicators!$H24)+('Indicator Data'!I24&gt;=Indicators!$I24)+('Indicator Data'!I24&gt;=Indicators!$J24),1+('Indicator Data'!I24&lt;=Indicators!$G24)+('Indicator Data'!I24&lt;=Indicators!$H24)+('Indicator Data'!I24&lt;=Indicators!$I24)+('Indicator Data'!I24&lt;=Indicators!$J24)))</f>
        <v>4</v>
      </c>
      <c r="J24" s="27" t="n">
        <f aca="false">IF('Indicator Data'!J24="",IF(Config!$C$15="Score as High (5)",5,0),IF(Indicators!$F24="Higher = riskier",1+('Indicator Data'!J24&gt;=Indicators!$G24)+('Indicator Data'!J24&gt;=Indicators!$H24)+('Indicator Data'!J24&gt;=Indicators!$I24)+('Indicator Data'!J24&gt;=Indicators!$J24),1+('Indicator Data'!J24&lt;=Indicators!$G24)+('Indicator Data'!J24&lt;=Indicators!$H24)+('Indicator Data'!J24&lt;=Indicators!$I24)+('Indicator Data'!J24&lt;=Indicators!$J24)))</f>
        <v>3</v>
      </c>
      <c r="K24" s="27" t="n">
        <f aca="false">IF('Indicator Data'!K24="",IF(Config!$C$15="Score as High (5)",5,0),IF(Indicators!$F24="Higher = riskier",1+('Indicator Data'!K24&gt;=Indicators!$G24)+('Indicator Data'!K24&gt;=Indicators!$H24)+('Indicator Data'!K24&gt;=Indicators!$I24)+('Indicator Data'!K24&gt;=Indicators!$J24),1+('Indicator Data'!K24&lt;=Indicators!$G24)+('Indicator Data'!K24&lt;=Indicators!$H24)+('Indicator Data'!K24&lt;=Indicators!$I24)+('Indicator Data'!K24&lt;=Indicators!$J24)))</f>
        <v>5</v>
      </c>
      <c r="L24" s="27" t="n">
        <f aca="false">IF('Indicator Data'!L24="",IF(Config!$C$15="Score as High (5)",5,0),IF(Indicators!$F24="Higher = riskier",1+('Indicator Data'!L24&gt;=Indicators!$G24)+('Indicator Data'!L24&gt;=Indicators!$H24)+('Indicator Data'!L24&gt;=Indicators!$I24)+('Indicator Data'!L24&gt;=Indicators!$J24),1+('Indicator Data'!L24&lt;=Indicators!$G24)+('Indicator Data'!L24&lt;=Indicators!$H24)+('Indicator Data'!L24&lt;=Indicators!$I24)+('Indicator Data'!L24&lt;=Indicators!$J24)))</f>
        <v>3</v>
      </c>
      <c r="M24" s="27" t="n">
        <f aca="false">IF('Indicator Data'!M24="",IF(Config!$C$15="Score as High (5)",5,0),IF(Indicators!$F24="Higher = riskier",1+('Indicator Data'!M24&gt;=Indicators!$G24)+('Indicator Data'!M24&gt;=Indicators!$H24)+('Indicator Data'!M24&gt;=Indicators!$I24)+('Indicator Data'!M24&gt;=Indicators!$J24),1+('Indicator Data'!M24&lt;=Indicators!$G24)+('Indicator Data'!M24&lt;=Indicators!$H24)+('Indicator Data'!M24&lt;=Indicators!$I24)+('Indicator Data'!M24&lt;=Indicators!$J24)))</f>
        <v>4</v>
      </c>
      <c r="N24" s="27" t="n">
        <f aca="false">IF('Indicator Data'!N24="",IF(Config!$C$15="Score as High (5)",5,0),IF(Indicators!$F24="Higher = riskier",1+('Indicator Data'!N24&gt;=Indicators!$G24)+('Indicator Data'!N24&gt;=Indicators!$H24)+('Indicator Data'!N24&gt;=Indicators!$I24)+('Indicator Data'!N24&gt;=Indicators!$J24),1+('Indicator Data'!N24&lt;=Indicators!$G24)+('Indicator Data'!N24&lt;=Indicators!$H24)+('Indicator Data'!N24&lt;=Indicators!$I24)+('Indicator Data'!N24&lt;=Indicators!$J24)))</f>
        <v>2</v>
      </c>
      <c r="O24" s="27" t="n">
        <f aca="false">IF('Indicator Data'!O24="",IF(Config!$C$15="Score as High (5)",5,0),IF(Indicators!$F24="Higher = riskier",1+('Indicator Data'!O24&gt;=Indicators!$G24)+('Indicator Data'!O24&gt;=Indicators!$H24)+('Indicator Data'!O24&gt;=Indicators!$I24)+('Indicator Data'!O24&gt;=Indicators!$J24),1+('Indicator Data'!O24&lt;=Indicators!$G24)+('Indicator Data'!O24&lt;=Indicators!$H24)+('Indicator Data'!O24&lt;=Indicators!$I24)+('Indicator Data'!O24&lt;=Indicators!$J24)))</f>
        <v>3</v>
      </c>
      <c r="P24" s="27" t="n">
        <f aca="false">IF('Indicator Data'!P24="",IF(Config!$C$15="Score as High (5)",5,0),IF(Indicators!$F24="Higher = riskier",1+('Indicator Data'!P24&gt;=Indicators!$G24)+('Indicator Data'!P24&gt;=Indicators!$H24)+('Indicator Data'!P24&gt;=Indicators!$I24)+('Indicator Data'!P24&gt;=Indicators!$J24),1+('Indicator Data'!P24&lt;=Indicators!$G24)+('Indicator Data'!P24&lt;=Indicators!$H24)+('Indicator Data'!P24&lt;=Indicators!$I24)+('Indicator Data'!P24&lt;=Indicators!$J24)))</f>
        <v>2</v>
      </c>
      <c r="Q24" s="27" t="n">
        <f aca="false">IF('Indicator Data'!Q24="",IF(Config!$C$15="Score as High (5)",5,0),IF(Indicators!$F24="Higher = riskier",1+('Indicator Data'!Q24&gt;=Indicators!$G24)+('Indicator Data'!Q24&gt;=Indicators!$H24)+('Indicator Data'!Q24&gt;=Indicators!$I24)+('Indicator Data'!Q24&gt;=Indicators!$J24),1+('Indicator Data'!Q24&lt;=Indicators!$G24)+('Indicator Data'!Q24&lt;=Indicators!$H24)+('Indicator Data'!Q24&lt;=Indicators!$I24)+('Indicator Data'!Q24&lt;=Indicators!$J24)))</f>
        <v>3</v>
      </c>
      <c r="R24" s="27" t="n">
        <f aca="false">IF('Indicator Data'!R24="",IF(Config!$C$15="Score as High (5)",5,0),IF(Indicators!$F24="Higher = riskier",1+('Indicator Data'!R24&gt;=Indicators!$G24)+('Indicator Data'!R24&gt;=Indicators!$H24)+('Indicator Data'!R24&gt;=Indicators!$I24)+('Indicator Data'!R24&gt;=Indicators!$J24),1+('Indicator Data'!R24&lt;=Indicators!$G24)+('Indicator Data'!R24&lt;=Indicators!$H24)+('Indicator Data'!R24&lt;=Indicators!$I24)+('Indicator Data'!R24&lt;=Indicators!$J24)))</f>
        <v>4</v>
      </c>
      <c r="S24" s="27" t="n">
        <f aca="false">IF('Indicator Data'!S24="",IF(Config!$C$15="Score as High (5)",5,0),IF(Indicators!$F24="Higher = riskier",1+('Indicator Data'!S24&gt;=Indicators!$G24)+('Indicator Data'!S24&gt;=Indicators!$H24)+('Indicator Data'!S24&gt;=Indicators!$I24)+('Indicator Data'!S24&gt;=Indicators!$J24),1+('Indicator Data'!S24&lt;=Indicators!$G24)+('Indicator Data'!S24&lt;=Indicators!$H24)+('Indicator Data'!S24&lt;=Indicators!$I24)+('Indicator Data'!S24&lt;=Indicators!$J24)))</f>
        <v>4</v>
      </c>
      <c r="T24" s="27" t="n">
        <f aca="false">IF('Indicator Data'!T24="",IF(Config!$C$15="Score as High (5)",5,0),IF(Indicators!$F24="Higher = riskier",1+('Indicator Data'!T24&gt;=Indicators!$G24)+('Indicator Data'!T24&gt;=Indicators!$H24)+('Indicator Data'!T24&gt;=Indicators!$I24)+('Indicator Data'!T24&gt;=Indicators!$J24),1+('Indicator Data'!T24&lt;=Indicators!$G24)+('Indicator Data'!T24&lt;=Indicators!$H24)+('Indicator Data'!T24&lt;=Indicators!$I24)+('Indicator Data'!T24&lt;=Indicators!$J24)))</f>
        <v>2</v>
      </c>
      <c r="U24" s="27" t="n">
        <f aca="false">IF('Indicator Data'!U24="",IF(Config!$C$15="Score as High (5)",5,0),IF(Indicators!$F24="Higher = riskier",1+('Indicator Data'!U24&gt;=Indicators!$G24)+('Indicator Data'!U24&gt;=Indicators!$H24)+('Indicator Data'!U24&gt;=Indicators!$I24)+('Indicator Data'!U24&gt;=Indicators!$J24),1+('Indicator Data'!U24&lt;=Indicators!$G24)+('Indicator Data'!U24&lt;=Indicators!$H24)+('Indicator Data'!U24&lt;=Indicators!$I24)+('Indicator Data'!U24&lt;=Indicators!$J24)))</f>
        <v>3</v>
      </c>
      <c r="V24" s="27" t="n">
        <f aca="false">IF('Indicator Data'!V24="",IF(Config!$C$15="Score as High (5)",5,0),IF(Indicators!$F24="Higher = riskier",1+('Indicator Data'!V24&gt;=Indicators!$G24)+('Indicator Data'!V24&gt;=Indicators!$H24)+('Indicator Data'!V24&gt;=Indicators!$I24)+('Indicator Data'!V24&gt;=Indicators!$J24),1+('Indicator Data'!V24&lt;=Indicators!$G24)+('Indicator Data'!V24&lt;=Indicators!$H24)+('Indicator Data'!V24&lt;=Indicators!$I24)+('Indicator Data'!V24&lt;=Indicators!$J24)))</f>
        <v>3</v>
      </c>
      <c r="W24" s="27" t="n">
        <f aca="false">IF('Indicator Data'!W24="",IF(Config!$C$15="Score as High (5)",5,0),IF(Indicators!$F24="Higher = riskier",1+('Indicator Data'!W24&gt;=Indicators!$G24)+('Indicator Data'!W24&gt;=Indicators!$H24)+('Indicator Data'!W24&gt;=Indicators!$I24)+('Indicator Data'!W24&gt;=Indicators!$J24),1+('Indicator Data'!W24&lt;=Indicators!$G24)+('Indicator Data'!W24&lt;=Indicators!$H24)+('Indicator Data'!W24&lt;=Indicators!$I24)+('Indicator Data'!W24&lt;=Indicators!$J24)))</f>
        <v>2</v>
      </c>
      <c r="X24" s="27" t="n">
        <f aca="false">IF('Indicator Data'!X24="",IF(Config!$C$15="Score as High (5)",5,0),IF(Indicators!$F24="Higher = riskier",1+('Indicator Data'!X24&gt;=Indicators!$G24)+('Indicator Data'!X24&gt;=Indicators!$H24)+('Indicator Data'!X24&gt;=Indicators!$I24)+('Indicator Data'!X24&gt;=Indicators!$J24),1+('Indicator Data'!X24&lt;=Indicators!$G24)+('Indicator Data'!X24&lt;=Indicators!$H24)+('Indicator Data'!X24&lt;=Indicators!$I24)+('Indicator Data'!X24&lt;=Indicators!$J24)))</f>
        <v>5</v>
      </c>
      <c r="Y24" s="27" t="n">
        <f aca="false">IF('Indicator Data'!Y24="",IF(Config!$C$15="Score as High (5)",5,0),IF(Indicators!$F24="Higher = riskier",1+('Indicator Data'!Y24&gt;=Indicators!$G24)+('Indicator Data'!Y24&gt;=Indicators!$H24)+('Indicator Data'!Y24&gt;=Indicators!$I24)+('Indicator Data'!Y24&gt;=Indicators!$J24),1+('Indicator Data'!Y24&lt;=Indicators!$G24)+('Indicator Data'!Y24&lt;=Indicators!$H24)+('Indicator Data'!Y24&lt;=Indicators!$I24)+('Indicator Data'!Y24&lt;=Indicators!$J24)))</f>
        <v>2</v>
      </c>
      <c r="Z24" s="27" t="n">
        <f aca="false">IF('Indicator Data'!Z24="",IF(Config!$C$15="Score as High (5)",5,0),IF(Indicators!$F24="Higher = riskier",1+('Indicator Data'!Z24&gt;=Indicators!$G24)+('Indicator Data'!Z24&gt;=Indicators!$H24)+('Indicator Data'!Z24&gt;=Indicators!$I24)+('Indicator Data'!Z24&gt;=Indicators!$J24),1+('Indicator Data'!Z24&lt;=Indicators!$G24)+('Indicator Data'!Z24&lt;=Indicators!$H24)+('Indicator Data'!Z24&lt;=Indicators!$I24)+('Indicator Data'!Z24&lt;=Indicators!$J24)))</f>
        <v>2</v>
      </c>
      <c r="AA24" s="27" t="n">
        <f aca="false">IF('Indicator Data'!AA24="",IF(Config!$C$15="Score as High (5)",5,0),IF(Indicators!$F24="Higher = riskier",1+('Indicator Data'!AA24&gt;=Indicators!$G24)+('Indicator Data'!AA24&gt;=Indicators!$H24)+('Indicator Data'!AA24&gt;=Indicators!$I24)+('Indicator Data'!AA24&gt;=Indicators!$J24),1+('Indicator Data'!AA24&lt;=Indicators!$G24)+('Indicator Data'!AA24&lt;=Indicators!$H24)+('Indicator Data'!AA24&lt;=Indicators!$I24)+('Indicator Data'!AA24&lt;=Indicators!$J24)))</f>
        <v>1</v>
      </c>
      <c r="AB24" s="27" t="n">
        <f aca="false">IF('Indicator Data'!AB24="",IF(Config!$C$15="Score as High (5)",5,0),IF(Indicators!$F24="Higher = riskier",1+('Indicator Data'!AB24&gt;=Indicators!$G24)+('Indicator Data'!AB24&gt;=Indicators!$H24)+('Indicator Data'!AB24&gt;=Indicators!$I24)+('Indicator Data'!AB24&gt;=Indicators!$J24),1+('Indicator Data'!AB24&lt;=Indicators!$G24)+('Indicator Data'!AB24&lt;=Indicators!$H24)+('Indicator Data'!AB24&lt;=Indicators!$I24)+('Indicator Data'!AB24&lt;=Indicators!$J24)))</f>
        <v>3</v>
      </c>
      <c r="AC24" s="27" t="n">
        <f aca="false">IF('Indicator Data'!AC24="",IF(Config!$C$15="Score as High (5)",5,0),IF(Indicators!$F24="Higher = riskier",1+('Indicator Data'!AC24&gt;=Indicators!$G24)+('Indicator Data'!AC24&gt;=Indicators!$H24)+('Indicator Data'!AC24&gt;=Indicators!$I24)+('Indicator Data'!AC24&gt;=Indicators!$J24),1+('Indicator Data'!AC24&lt;=Indicators!$G24)+('Indicator Data'!AC24&lt;=Indicators!$H24)+('Indicator Data'!AC24&lt;=Indicators!$I24)+('Indicator Data'!AC24&lt;=Indicators!$J24)))</f>
        <v>2</v>
      </c>
      <c r="AD24" s="27" t="n">
        <f aca="false">IF('Indicator Data'!AD24="",IF(Config!$C$15="Score as High (5)",5,0),IF(Indicators!$F24="Higher = riskier",1+('Indicator Data'!AD24&gt;=Indicators!$G24)+('Indicator Data'!AD24&gt;=Indicators!$H24)+('Indicator Data'!AD24&gt;=Indicators!$I24)+('Indicator Data'!AD24&gt;=Indicators!$J24),1+('Indicator Data'!AD24&lt;=Indicators!$G24)+('Indicator Data'!AD24&lt;=Indicators!$H24)+('Indicator Data'!AD24&lt;=Indicators!$I24)+('Indicator Data'!AD24&lt;=Indicators!$J24)))</f>
        <v>2</v>
      </c>
      <c r="AE24" s="27" t="n">
        <f aca="false">IF('Indicator Data'!AE24="",IF(Config!$C$15="Score as High (5)",5,0),IF(Indicators!$F24="Higher = riskier",1+('Indicator Data'!AE24&gt;=Indicators!$G24)+('Indicator Data'!AE24&gt;=Indicators!$H24)+('Indicator Data'!AE24&gt;=Indicators!$I24)+('Indicator Data'!AE24&gt;=Indicators!$J24),1+('Indicator Data'!AE24&lt;=Indicators!$G24)+('Indicator Data'!AE24&lt;=Indicators!$H24)+('Indicator Data'!AE24&lt;=Indicators!$I24)+('Indicator Data'!AE24&lt;=Indicators!$J24)))</f>
        <v>1</v>
      </c>
      <c r="AF24" s="27" t="n">
        <f aca="false">IF('Indicator Data'!AF24="",IF(Config!$C$15="Score as High (5)",5,0),IF(Indicators!$F24="Higher = riskier",1+('Indicator Data'!AF24&gt;=Indicators!$G24)+('Indicator Data'!AF24&gt;=Indicators!$H24)+('Indicator Data'!AF24&gt;=Indicators!$I24)+('Indicator Data'!AF24&gt;=Indicators!$J24),1+('Indicator Data'!AF24&lt;=Indicators!$G24)+('Indicator Data'!AF24&lt;=Indicators!$H24)+('Indicator Data'!AF24&lt;=Indicators!$I24)+('Indicator Data'!AF24&lt;=Indicators!$J24)))</f>
        <v>1</v>
      </c>
      <c r="AG24" s="27" t="n">
        <f aca="false">IF('Indicator Data'!AG24="",IF(Config!$C$15="Score as High (5)",5,0),IF(Indicators!$F24="Higher = riskier",1+('Indicator Data'!AG24&gt;=Indicators!$G24)+('Indicator Data'!AG24&gt;=Indicators!$H24)+('Indicator Data'!AG24&gt;=Indicators!$I24)+('Indicator Data'!AG24&gt;=Indicators!$J24),1+('Indicator Data'!AG24&lt;=Indicators!$G24)+('Indicator Data'!AG24&lt;=Indicators!$H24)+('Indicator Data'!AG24&lt;=Indicators!$I24)+('Indicator Data'!AG24&lt;=Indicators!$J24)))</f>
        <v>2</v>
      </c>
    </row>
    <row r="25" customFormat="false" ht="15" hidden="false" customHeight="false" outlineLevel="0" collapsed="false">
      <c r="A25" s="26" t="str">
        <f aca="false">Indicators!A25</f>
        <v>D02</v>
      </c>
      <c r="B25" s="26" t="str">
        <f aca="false">Indicators!C25</f>
        <v>% customers introduced via agents or intermediaries</v>
      </c>
      <c r="C25" s="26" t="str">
        <f aca="false">Indicators!D25</f>
        <v>%</v>
      </c>
      <c r="D25" s="27" t="n">
        <f aca="false">IF('Indicator Data'!D25="",IF(Config!$C$15="Score as High (5)",5,0),IF(Indicators!$F25="Higher = riskier",1+('Indicator Data'!D25&gt;=Indicators!$G25)+('Indicator Data'!D25&gt;=Indicators!$H25)+('Indicator Data'!D25&gt;=Indicators!$I25)+('Indicator Data'!D25&gt;=Indicators!$J25),1+('Indicator Data'!D25&lt;=Indicators!$G25)+('Indicator Data'!D25&lt;=Indicators!$H25)+('Indicator Data'!D25&lt;=Indicators!$I25)+('Indicator Data'!D25&lt;=Indicators!$J25)))</f>
        <v>4</v>
      </c>
      <c r="E25" s="27" t="n">
        <f aca="false">IF('Indicator Data'!E25="",IF(Config!$C$15="Score as High (5)",5,0),IF(Indicators!$F25="Higher = riskier",1+('Indicator Data'!E25&gt;=Indicators!$G25)+('Indicator Data'!E25&gt;=Indicators!$H25)+('Indicator Data'!E25&gt;=Indicators!$I25)+('Indicator Data'!E25&gt;=Indicators!$J25),1+('Indicator Data'!E25&lt;=Indicators!$G25)+('Indicator Data'!E25&lt;=Indicators!$H25)+('Indicator Data'!E25&lt;=Indicators!$I25)+('Indicator Data'!E25&lt;=Indicators!$J25)))</f>
        <v>2</v>
      </c>
      <c r="F25" s="27" t="n">
        <f aca="false">IF('Indicator Data'!F25="",IF(Config!$C$15="Score as High (5)",5,0),IF(Indicators!$F25="Higher = riskier",1+('Indicator Data'!F25&gt;=Indicators!$G25)+('Indicator Data'!F25&gt;=Indicators!$H25)+('Indicator Data'!F25&gt;=Indicators!$I25)+('Indicator Data'!F25&gt;=Indicators!$J25),1+('Indicator Data'!F25&lt;=Indicators!$G25)+('Indicator Data'!F25&lt;=Indicators!$H25)+('Indicator Data'!F25&lt;=Indicators!$I25)+('Indicator Data'!F25&lt;=Indicators!$J25)))</f>
        <v>2</v>
      </c>
      <c r="G25" s="27" t="n">
        <f aca="false">IF('Indicator Data'!G25="",IF(Config!$C$15="Score as High (5)",5,0),IF(Indicators!$F25="Higher = riskier",1+('Indicator Data'!G25&gt;=Indicators!$G25)+('Indicator Data'!G25&gt;=Indicators!$H25)+('Indicator Data'!G25&gt;=Indicators!$I25)+('Indicator Data'!G25&gt;=Indicators!$J25),1+('Indicator Data'!G25&lt;=Indicators!$G25)+('Indicator Data'!G25&lt;=Indicators!$H25)+('Indicator Data'!G25&lt;=Indicators!$I25)+('Indicator Data'!G25&lt;=Indicators!$J25)))</f>
        <v>3</v>
      </c>
      <c r="H25" s="27" t="n">
        <f aca="false">IF('Indicator Data'!H25="",IF(Config!$C$15="Score as High (5)",5,0),IF(Indicators!$F25="Higher = riskier",1+('Indicator Data'!H25&gt;=Indicators!$G25)+('Indicator Data'!H25&gt;=Indicators!$H25)+('Indicator Data'!H25&gt;=Indicators!$I25)+('Indicator Data'!H25&gt;=Indicators!$J25),1+('Indicator Data'!H25&lt;=Indicators!$G25)+('Indicator Data'!H25&lt;=Indicators!$H25)+('Indicator Data'!H25&lt;=Indicators!$I25)+('Indicator Data'!H25&lt;=Indicators!$J25)))</f>
        <v>5</v>
      </c>
      <c r="I25" s="27" t="n">
        <f aca="false">IF('Indicator Data'!I25="",IF(Config!$C$15="Score as High (5)",5,0),IF(Indicators!$F25="Higher = riskier",1+('Indicator Data'!I25&gt;=Indicators!$G25)+('Indicator Data'!I25&gt;=Indicators!$H25)+('Indicator Data'!I25&gt;=Indicators!$I25)+('Indicator Data'!I25&gt;=Indicators!$J25),1+('Indicator Data'!I25&lt;=Indicators!$G25)+('Indicator Data'!I25&lt;=Indicators!$H25)+('Indicator Data'!I25&lt;=Indicators!$I25)+('Indicator Data'!I25&lt;=Indicators!$J25)))</f>
        <v>3</v>
      </c>
      <c r="J25" s="27" t="n">
        <f aca="false">IF('Indicator Data'!J25="",IF(Config!$C$15="Score as High (5)",5,0),IF(Indicators!$F25="Higher = riskier",1+('Indicator Data'!J25&gt;=Indicators!$G25)+('Indicator Data'!J25&gt;=Indicators!$H25)+('Indicator Data'!J25&gt;=Indicators!$I25)+('Indicator Data'!J25&gt;=Indicators!$J25),1+('Indicator Data'!J25&lt;=Indicators!$G25)+('Indicator Data'!J25&lt;=Indicators!$H25)+('Indicator Data'!J25&lt;=Indicators!$I25)+('Indicator Data'!J25&lt;=Indicators!$J25)))</f>
        <v>2</v>
      </c>
      <c r="K25" s="27" t="n">
        <f aca="false">IF('Indicator Data'!K25="",IF(Config!$C$15="Score as High (5)",5,0),IF(Indicators!$F25="Higher = riskier",1+('Indicator Data'!K25&gt;=Indicators!$G25)+('Indicator Data'!K25&gt;=Indicators!$H25)+('Indicator Data'!K25&gt;=Indicators!$I25)+('Indicator Data'!K25&gt;=Indicators!$J25),1+('Indicator Data'!K25&lt;=Indicators!$G25)+('Indicator Data'!K25&lt;=Indicators!$H25)+('Indicator Data'!K25&lt;=Indicators!$I25)+('Indicator Data'!K25&lt;=Indicators!$J25)))</f>
        <v>5</v>
      </c>
      <c r="L25" s="27" t="n">
        <f aca="false">IF('Indicator Data'!L25="",IF(Config!$C$15="Score as High (5)",5,0),IF(Indicators!$F25="Higher = riskier",1+('Indicator Data'!L25&gt;=Indicators!$G25)+('Indicator Data'!L25&gt;=Indicators!$H25)+('Indicator Data'!L25&gt;=Indicators!$I25)+('Indicator Data'!L25&gt;=Indicators!$J25),1+('Indicator Data'!L25&lt;=Indicators!$G25)+('Indicator Data'!L25&lt;=Indicators!$H25)+('Indicator Data'!L25&lt;=Indicators!$I25)+('Indicator Data'!L25&lt;=Indicators!$J25)))</f>
        <v>3</v>
      </c>
      <c r="M25" s="27" t="n">
        <f aca="false">IF('Indicator Data'!M25="",IF(Config!$C$15="Score as High (5)",5,0),IF(Indicators!$F25="Higher = riskier",1+('Indicator Data'!M25&gt;=Indicators!$G25)+('Indicator Data'!M25&gt;=Indicators!$H25)+('Indicator Data'!M25&gt;=Indicators!$I25)+('Indicator Data'!M25&gt;=Indicators!$J25),1+('Indicator Data'!M25&lt;=Indicators!$G25)+('Indicator Data'!M25&lt;=Indicators!$H25)+('Indicator Data'!M25&lt;=Indicators!$I25)+('Indicator Data'!M25&lt;=Indicators!$J25)))</f>
        <v>3</v>
      </c>
      <c r="N25" s="27" t="n">
        <f aca="false">IF('Indicator Data'!N25="",IF(Config!$C$15="Score as High (5)",5,0),IF(Indicators!$F25="Higher = riskier",1+('Indicator Data'!N25&gt;=Indicators!$G25)+('Indicator Data'!N25&gt;=Indicators!$H25)+('Indicator Data'!N25&gt;=Indicators!$I25)+('Indicator Data'!N25&gt;=Indicators!$J25),1+('Indicator Data'!N25&lt;=Indicators!$G25)+('Indicator Data'!N25&lt;=Indicators!$H25)+('Indicator Data'!N25&lt;=Indicators!$I25)+('Indicator Data'!N25&lt;=Indicators!$J25)))</f>
        <v>5</v>
      </c>
      <c r="O25" s="27" t="n">
        <f aca="false">IF('Indicator Data'!O25="",IF(Config!$C$15="Score as High (5)",5,0),IF(Indicators!$F25="Higher = riskier",1+('Indicator Data'!O25&gt;=Indicators!$G25)+('Indicator Data'!O25&gt;=Indicators!$H25)+('Indicator Data'!O25&gt;=Indicators!$I25)+('Indicator Data'!O25&gt;=Indicators!$J25),1+('Indicator Data'!O25&lt;=Indicators!$G25)+('Indicator Data'!O25&lt;=Indicators!$H25)+('Indicator Data'!O25&lt;=Indicators!$I25)+('Indicator Data'!O25&lt;=Indicators!$J25)))</f>
        <v>3</v>
      </c>
      <c r="P25" s="27" t="n">
        <f aca="false">IF('Indicator Data'!P25="",IF(Config!$C$15="Score as High (5)",5,0),IF(Indicators!$F25="Higher = riskier",1+('Indicator Data'!P25&gt;=Indicators!$G25)+('Indicator Data'!P25&gt;=Indicators!$H25)+('Indicator Data'!P25&gt;=Indicators!$I25)+('Indicator Data'!P25&gt;=Indicators!$J25),1+('Indicator Data'!P25&lt;=Indicators!$G25)+('Indicator Data'!P25&lt;=Indicators!$H25)+('Indicator Data'!P25&lt;=Indicators!$I25)+('Indicator Data'!P25&lt;=Indicators!$J25)))</f>
        <v>2</v>
      </c>
      <c r="Q25" s="27" t="n">
        <f aca="false">IF('Indicator Data'!Q25="",IF(Config!$C$15="Score as High (5)",5,0),IF(Indicators!$F25="Higher = riskier",1+('Indicator Data'!Q25&gt;=Indicators!$G25)+('Indicator Data'!Q25&gt;=Indicators!$H25)+('Indicator Data'!Q25&gt;=Indicators!$I25)+('Indicator Data'!Q25&gt;=Indicators!$J25),1+('Indicator Data'!Q25&lt;=Indicators!$G25)+('Indicator Data'!Q25&lt;=Indicators!$H25)+('Indicator Data'!Q25&lt;=Indicators!$I25)+('Indicator Data'!Q25&lt;=Indicators!$J25)))</f>
        <v>3</v>
      </c>
      <c r="R25" s="27" t="n">
        <f aca="false">IF('Indicator Data'!R25="",IF(Config!$C$15="Score as High (5)",5,0),IF(Indicators!$F25="Higher = riskier",1+('Indicator Data'!R25&gt;=Indicators!$G25)+('Indicator Data'!R25&gt;=Indicators!$H25)+('Indicator Data'!R25&gt;=Indicators!$I25)+('Indicator Data'!R25&gt;=Indicators!$J25),1+('Indicator Data'!R25&lt;=Indicators!$G25)+('Indicator Data'!R25&lt;=Indicators!$H25)+('Indicator Data'!R25&lt;=Indicators!$I25)+('Indicator Data'!R25&lt;=Indicators!$J25)))</f>
        <v>4</v>
      </c>
      <c r="S25" s="27" t="n">
        <f aca="false">IF('Indicator Data'!S25="",IF(Config!$C$15="Score as High (5)",5,0),IF(Indicators!$F25="Higher = riskier",1+('Indicator Data'!S25&gt;=Indicators!$G25)+('Indicator Data'!S25&gt;=Indicators!$H25)+('Indicator Data'!S25&gt;=Indicators!$I25)+('Indicator Data'!S25&gt;=Indicators!$J25),1+('Indicator Data'!S25&lt;=Indicators!$G25)+('Indicator Data'!S25&lt;=Indicators!$H25)+('Indicator Data'!S25&lt;=Indicators!$I25)+('Indicator Data'!S25&lt;=Indicators!$J25)))</f>
        <v>5</v>
      </c>
      <c r="T25" s="27" t="n">
        <f aca="false">IF('Indicator Data'!T25="",IF(Config!$C$15="Score as High (5)",5,0),IF(Indicators!$F25="Higher = riskier",1+('Indicator Data'!T25&gt;=Indicators!$G25)+('Indicator Data'!T25&gt;=Indicators!$H25)+('Indicator Data'!T25&gt;=Indicators!$I25)+('Indicator Data'!T25&gt;=Indicators!$J25),1+('Indicator Data'!T25&lt;=Indicators!$G25)+('Indicator Data'!T25&lt;=Indicators!$H25)+('Indicator Data'!T25&lt;=Indicators!$I25)+('Indicator Data'!T25&lt;=Indicators!$J25)))</f>
        <v>2</v>
      </c>
      <c r="U25" s="27" t="n">
        <f aca="false">IF('Indicator Data'!U25="",IF(Config!$C$15="Score as High (5)",5,0),IF(Indicators!$F25="Higher = riskier",1+('Indicator Data'!U25&gt;=Indicators!$G25)+('Indicator Data'!U25&gt;=Indicators!$H25)+('Indicator Data'!U25&gt;=Indicators!$I25)+('Indicator Data'!U25&gt;=Indicators!$J25),1+('Indicator Data'!U25&lt;=Indicators!$G25)+('Indicator Data'!U25&lt;=Indicators!$H25)+('Indicator Data'!U25&lt;=Indicators!$I25)+('Indicator Data'!U25&lt;=Indicators!$J25)))</f>
        <v>3</v>
      </c>
      <c r="V25" s="27" t="n">
        <f aca="false">IF('Indicator Data'!V25="",IF(Config!$C$15="Score as High (5)",5,0),IF(Indicators!$F25="Higher = riskier",1+('Indicator Data'!V25&gt;=Indicators!$G25)+('Indicator Data'!V25&gt;=Indicators!$H25)+('Indicator Data'!V25&gt;=Indicators!$I25)+('Indicator Data'!V25&gt;=Indicators!$J25),1+('Indicator Data'!V25&lt;=Indicators!$G25)+('Indicator Data'!V25&lt;=Indicators!$H25)+('Indicator Data'!V25&lt;=Indicators!$I25)+('Indicator Data'!V25&lt;=Indicators!$J25)))</f>
        <v>2</v>
      </c>
      <c r="W25" s="27" t="n">
        <f aca="false">IF('Indicator Data'!W25="",IF(Config!$C$15="Score as High (5)",5,0),IF(Indicators!$F25="Higher = riskier",1+('Indicator Data'!W25&gt;=Indicators!$G25)+('Indicator Data'!W25&gt;=Indicators!$H25)+('Indicator Data'!W25&gt;=Indicators!$I25)+('Indicator Data'!W25&gt;=Indicators!$J25),1+('Indicator Data'!W25&lt;=Indicators!$G25)+('Indicator Data'!W25&lt;=Indicators!$H25)+('Indicator Data'!W25&lt;=Indicators!$I25)+('Indicator Data'!W25&lt;=Indicators!$J25)))</f>
        <v>3</v>
      </c>
      <c r="X25" s="27" t="n">
        <f aca="false">IF('Indicator Data'!X25="",IF(Config!$C$15="Score as High (5)",5,0),IF(Indicators!$F25="Higher = riskier",1+('Indicator Data'!X25&gt;=Indicators!$G25)+('Indicator Data'!X25&gt;=Indicators!$H25)+('Indicator Data'!X25&gt;=Indicators!$I25)+('Indicator Data'!X25&gt;=Indicators!$J25),1+('Indicator Data'!X25&lt;=Indicators!$G25)+('Indicator Data'!X25&lt;=Indicators!$H25)+('Indicator Data'!X25&lt;=Indicators!$I25)+('Indicator Data'!X25&lt;=Indicators!$J25)))</f>
        <v>4</v>
      </c>
      <c r="Y25" s="27" t="n">
        <f aca="false">IF('Indicator Data'!Y25="",IF(Config!$C$15="Score as High (5)",5,0),IF(Indicators!$F25="Higher = riskier",1+('Indicator Data'!Y25&gt;=Indicators!$G25)+('Indicator Data'!Y25&gt;=Indicators!$H25)+('Indicator Data'!Y25&gt;=Indicators!$I25)+('Indicator Data'!Y25&gt;=Indicators!$J25),1+('Indicator Data'!Y25&lt;=Indicators!$G25)+('Indicator Data'!Y25&lt;=Indicators!$H25)+('Indicator Data'!Y25&lt;=Indicators!$I25)+('Indicator Data'!Y25&lt;=Indicators!$J25)))</f>
        <v>3</v>
      </c>
      <c r="Z25" s="27" t="n">
        <f aca="false">IF('Indicator Data'!Z25="",IF(Config!$C$15="Score as High (5)",5,0),IF(Indicators!$F25="Higher = riskier",1+('Indicator Data'!Z25&gt;=Indicators!$G25)+('Indicator Data'!Z25&gt;=Indicators!$H25)+('Indicator Data'!Z25&gt;=Indicators!$I25)+('Indicator Data'!Z25&gt;=Indicators!$J25),1+('Indicator Data'!Z25&lt;=Indicators!$G25)+('Indicator Data'!Z25&lt;=Indicators!$H25)+('Indicator Data'!Z25&lt;=Indicators!$I25)+('Indicator Data'!Z25&lt;=Indicators!$J25)))</f>
        <v>2</v>
      </c>
      <c r="AA25" s="27" t="n">
        <f aca="false">IF('Indicator Data'!AA25="",IF(Config!$C$15="Score as High (5)",5,0),IF(Indicators!$F25="Higher = riskier",1+('Indicator Data'!AA25&gt;=Indicators!$G25)+('Indicator Data'!AA25&gt;=Indicators!$H25)+('Indicator Data'!AA25&gt;=Indicators!$I25)+('Indicator Data'!AA25&gt;=Indicators!$J25),1+('Indicator Data'!AA25&lt;=Indicators!$G25)+('Indicator Data'!AA25&lt;=Indicators!$H25)+('Indicator Data'!AA25&lt;=Indicators!$I25)+('Indicator Data'!AA25&lt;=Indicators!$J25)))</f>
        <v>2</v>
      </c>
      <c r="AB25" s="27" t="n">
        <f aca="false">IF('Indicator Data'!AB25="",IF(Config!$C$15="Score as High (5)",5,0),IF(Indicators!$F25="Higher = riskier",1+('Indicator Data'!AB25&gt;=Indicators!$G25)+('Indicator Data'!AB25&gt;=Indicators!$H25)+('Indicator Data'!AB25&gt;=Indicators!$I25)+('Indicator Data'!AB25&gt;=Indicators!$J25),1+('Indicator Data'!AB25&lt;=Indicators!$G25)+('Indicator Data'!AB25&lt;=Indicators!$H25)+('Indicator Data'!AB25&lt;=Indicators!$I25)+('Indicator Data'!AB25&lt;=Indicators!$J25)))</f>
        <v>1</v>
      </c>
      <c r="AC25" s="27" t="n">
        <f aca="false">IF('Indicator Data'!AC25="",IF(Config!$C$15="Score as High (5)",5,0),IF(Indicators!$F25="Higher = riskier",1+('Indicator Data'!AC25&gt;=Indicators!$G25)+('Indicator Data'!AC25&gt;=Indicators!$H25)+('Indicator Data'!AC25&gt;=Indicators!$I25)+('Indicator Data'!AC25&gt;=Indicators!$J25),1+('Indicator Data'!AC25&lt;=Indicators!$G25)+('Indicator Data'!AC25&lt;=Indicators!$H25)+('Indicator Data'!AC25&lt;=Indicators!$I25)+('Indicator Data'!AC25&lt;=Indicators!$J25)))</f>
        <v>3</v>
      </c>
      <c r="AD25" s="27" t="n">
        <f aca="false">IF('Indicator Data'!AD25="",IF(Config!$C$15="Score as High (5)",5,0),IF(Indicators!$F25="Higher = riskier",1+('Indicator Data'!AD25&gt;=Indicators!$G25)+('Indicator Data'!AD25&gt;=Indicators!$H25)+('Indicator Data'!AD25&gt;=Indicators!$I25)+('Indicator Data'!AD25&gt;=Indicators!$J25),1+('Indicator Data'!AD25&lt;=Indicators!$G25)+('Indicator Data'!AD25&lt;=Indicators!$H25)+('Indicator Data'!AD25&lt;=Indicators!$I25)+('Indicator Data'!AD25&lt;=Indicators!$J25)))</f>
        <v>2</v>
      </c>
      <c r="AE25" s="27" t="n">
        <f aca="false">IF('Indicator Data'!AE25="",IF(Config!$C$15="Score as High (5)",5,0),IF(Indicators!$F25="Higher = riskier",1+('Indicator Data'!AE25&gt;=Indicators!$G25)+('Indicator Data'!AE25&gt;=Indicators!$H25)+('Indicator Data'!AE25&gt;=Indicators!$I25)+('Indicator Data'!AE25&gt;=Indicators!$J25),1+('Indicator Data'!AE25&lt;=Indicators!$G25)+('Indicator Data'!AE25&lt;=Indicators!$H25)+('Indicator Data'!AE25&lt;=Indicators!$I25)+('Indicator Data'!AE25&lt;=Indicators!$J25)))</f>
        <v>2</v>
      </c>
      <c r="AF25" s="27" t="n">
        <f aca="false">IF('Indicator Data'!AF25="",IF(Config!$C$15="Score as High (5)",5,0),IF(Indicators!$F25="Higher = riskier",1+('Indicator Data'!AF25&gt;=Indicators!$G25)+('Indicator Data'!AF25&gt;=Indicators!$H25)+('Indicator Data'!AF25&gt;=Indicators!$I25)+('Indicator Data'!AF25&gt;=Indicators!$J25),1+('Indicator Data'!AF25&lt;=Indicators!$G25)+('Indicator Data'!AF25&lt;=Indicators!$H25)+('Indicator Data'!AF25&lt;=Indicators!$I25)+('Indicator Data'!AF25&lt;=Indicators!$J25)))</f>
        <v>1</v>
      </c>
      <c r="AG25" s="27" t="n">
        <f aca="false">IF('Indicator Data'!AG25="",IF(Config!$C$15="Score as High (5)",5,0),IF(Indicators!$F25="Higher = riskier",1+('Indicator Data'!AG25&gt;=Indicators!$G25)+('Indicator Data'!AG25&gt;=Indicators!$H25)+('Indicator Data'!AG25&gt;=Indicators!$I25)+('Indicator Data'!AG25&gt;=Indicators!$J25),1+('Indicator Data'!AG25&lt;=Indicators!$G25)+('Indicator Data'!AG25&lt;=Indicators!$H25)+('Indicator Data'!AG25&lt;=Indicators!$I25)+('Indicator Data'!AG25&lt;=Indicators!$J25)))</f>
        <v>2</v>
      </c>
    </row>
    <row r="26" customFormat="false" ht="15" hidden="false" customHeight="false" outlineLevel="0" collapsed="false">
      <c r="A26" s="26" t="str">
        <f aca="false">Indicators!A26</f>
        <v>D03</v>
      </c>
      <c r="B26" s="26" t="str">
        <f aca="false">Indicators!C26</f>
        <v>Real-time / digital payments (% of payment value)</v>
      </c>
      <c r="C26" s="26" t="str">
        <f aca="false">Indicators!D26</f>
        <v>%</v>
      </c>
      <c r="D26" s="27" t="n">
        <f aca="false">IF('Indicator Data'!D26="",IF(Config!$C$15="Score as High (5)",5,0),IF(Indicators!$F26="Higher = riskier",1+('Indicator Data'!D26&gt;=Indicators!$G26)+('Indicator Data'!D26&gt;=Indicators!$H26)+('Indicator Data'!D26&gt;=Indicators!$I26)+('Indicator Data'!D26&gt;=Indicators!$J26),1+('Indicator Data'!D26&lt;=Indicators!$G26)+('Indicator Data'!D26&lt;=Indicators!$H26)+('Indicator Data'!D26&lt;=Indicators!$I26)+('Indicator Data'!D26&lt;=Indicators!$J26)))</f>
        <v>3</v>
      </c>
      <c r="E26" s="27" t="n">
        <f aca="false">IF('Indicator Data'!E26="",IF(Config!$C$15="Score as High (5)",5,0),IF(Indicators!$F26="Higher = riskier",1+('Indicator Data'!E26&gt;=Indicators!$G26)+('Indicator Data'!E26&gt;=Indicators!$H26)+('Indicator Data'!E26&gt;=Indicators!$I26)+('Indicator Data'!E26&gt;=Indicators!$J26),1+('Indicator Data'!E26&lt;=Indicators!$G26)+('Indicator Data'!E26&lt;=Indicators!$H26)+('Indicator Data'!E26&lt;=Indicators!$I26)+('Indicator Data'!E26&lt;=Indicators!$J26)))</f>
        <v>2</v>
      </c>
      <c r="F26" s="27" t="n">
        <f aca="false">IF('Indicator Data'!F26="",IF(Config!$C$15="Score as High (5)",5,0),IF(Indicators!$F26="Higher = riskier",1+('Indicator Data'!F26&gt;=Indicators!$G26)+('Indicator Data'!F26&gt;=Indicators!$H26)+('Indicator Data'!F26&gt;=Indicators!$I26)+('Indicator Data'!F26&gt;=Indicators!$J26),1+('Indicator Data'!F26&lt;=Indicators!$G26)+('Indicator Data'!F26&lt;=Indicators!$H26)+('Indicator Data'!F26&lt;=Indicators!$I26)+('Indicator Data'!F26&lt;=Indicators!$J26)))</f>
        <v>1</v>
      </c>
      <c r="G26" s="27" t="n">
        <f aca="false">IF('Indicator Data'!G26="",IF(Config!$C$15="Score as High (5)",5,0),IF(Indicators!$F26="Higher = riskier",1+('Indicator Data'!G26&gt;=Indicators!$G26)+('Indicator Data'!G26&gt;=Indicators!$H26)+('Indicator Data'!G26&gt;=Indicators!$I26)+('Indicator Data'!G26&gt;=Indicators!$J26),1+('Indicator Data'!G26&lt;=Indicators!$G26)+('Indicator Data'!G26&lt;=Indicators!$H26)+('Indicator Data'!G26&lt;=Indicators!$I26)+('Indicator Data'!G26&lt;=Indicators!$J26)))</f>
        <v>2</v>
      </c>
      <c r="H26" s="27" t="n">
        <f aca="false">IF('Indicator Data'!H26="",IF(Config!$C$15="Score as High (5)",5,0),IF(Indicators!$F26="Higher = riskier",1+('Indicator Data'!H26&gt;=Indicators!$G26)+('Indicator Data'!H26&gt;=Indicators!$H26)+('Indicator Data'!H26&gt;=Indicators!$I26)+('Indicator Data'!H26&gt;=Indicators!$J26),1+('Indicator Data'!H26&lt;=Indicators!$G26)+('Indicator Data'!H26&lt;=Indicators!$H26)+('Indicator Data'!H26&lt;=Indicators!$I26)+('Indicator Data'!H26&lt;=Indicators!$J26)))</f>
        <v>3</v>
      </c>
      <c r="I26" s="27" t="n">
        <f aca="false">IF('Indicator Data'!I26="",IF(Config!$C$15="Score as High (5)",5,0),IF(Indicators!$F26="Higher = riskier",1+('Indicator Data'!I26&gt;=Indicators!$G26)+('Indicator Data'!I26&gt;=Indicators!$H26)+('Indicator Data'!I26&gt;=Indicators!$I26)+('Indicator Data'!I26&gt;=Indicators!$J26),1+('Indicator Data'!I26&lt;=Indicators!$G26)+('Indicator Data'!I26&lt;=Indicators!$H26)+('Indicator Data'!I26&lt;=Indicators!$I26)+('Indicator Data'!I26&lt;=Indicators!$J26)))</f>
        <v>4</v>
      </c>
      <c r="J26" s="27" t="n">
        <f aca="false">IF('Indicator Data'!J26="",IF(Config!$C$15="Score as High (5)",5,0),IF(Indicators!$F26="Higher = riskier",1+('Indicator Data'!J26&gt;=Indicators!$G26)+('Indicator Data'!J26&gt;=Indicators!$H26)+('Indicator Data'!J26&gt;=Indicators!$I26)+('Indicator Data'!J26&gt;=Indicators!$J26),1+('Indicator Data'!J26&lt;=Indicators!$G26)+('Indicator Data'!J26&lt;=Indicators!$H26)+('Indicator Data'!J26&lt;=Indicators!$I26)+('Indicator Data'!J26&lt;=Indicators!$J26)))</f>
        <v>5</v>
      </c>
      <c r="K26" s="27" t="n">
        <f aca="false">IF('Indicator Data'!K26="",IF(Config!$C$15="Score as High (5)",5,0),IF(Indicators!$F26="Higher = riskier",1+('Indicator Data'!K26&gt;=Indicators!$G26)+('Indicator Data'!K26&gt;=Indicators!$H26)+('Indicator Data'!K26&gt;=Indicators!$I26)+('Indicator Data'!K26&gt;=Indicators!$J26),1+('Indicator Data'!K26&lt;=Indicators!$G26)+('Indicator Data'!K26&lt;=Indicators!$H26)+('Indicator Data'!K26&lt;=Indicators!$I26)+('Indicator Data'!K26&lt;=Indicators!$J26)))</f>
        <v>3</v>
      </c>
      <c r="L26" s="27" t="n">
        <f aca="false">IF('Indicator Data'!L26="",IF(Config!$C$15="Score as High (5)",5,0),IF(Indicators!$F26="Higher = riskier",1+('Indicator Data'!L26&gt;=Indicators!$G26)+('Indicator Data'!L26&gt;=Indicators!$H26)+('Indicator Data'!L26&gt;=Indicators!$I26)+('Indicator Data'!L26&gt;=Indicators!$J26),1+('Indicator Data'!L26&lt;=Indicators!$G26)+('Indicator Data'!L26&lt;=Indicators!$H26)+('Indicator Data'!L26&lt;=Indicators!$I26)+('Indicator Data'!L26&lt;=Indicators!$J26)))</f>
        <v>5</v>
      </c>
      <c r="M26" s="27" t="n">
        <f aca="false">IF('Indicator Data'!M26="",IF(Config!$C$15="Score as High (5)",5,0),IF(Indicators!$F26="Higher = riskier",1+('Indicator Data'!M26&gt;=Indicators!$G26)+('Indicator Data'!M26&gt;=Indicators!$H26)+('Indicator Data'!M26&gt;=Indicators!$I26)+('Indicator Data'!M26&gt;=Indicators!$J26),1+('Indicator Data'!M26&lt;=Indicators!$G26)+('Indicator Data'!M26&lt;=Indicators!$H26)+('Indicator Data'!M26&lt;=Indicators!$I26)+('Indicator Data'!M26&lt;=Indicators!$J26)))</f>
        <v>3</v>
      </c>
      <c r="N26" s="27" t="n">
        <f aca="false">IF('Indicator Data'!N26="",IF(Config!$C$15="Score as High (5)",5,0),IF(Indicators!$F26="Higher = riskier",1+('Indicator Data'!N26&gt;=Indicators!$G26)+('Indicator Data'!N26&gt;=Indicators!$H26)+('Indicator Data'!N26&gt;=Indicators!$I26)+('Indicator Data'!N26&gt;=Indicators!$J26),1+('Indicator Data'!N26&lt;=Indicators!$G26)+('Indicator Data'!N26&lt;=Indicators!$H26)+('Indicator Data'!N26&lt;=Indicators!$I26)+('Indicator Data'!N26&lt;=Indicators!$J26)))</f>
        <v>2</v>
      </c>
      <c r="O26" s="27" t="n">
        <f aca="false">IF('Indicator Data'!O26="",IF(Config!$C$15="Score as High (5)",5,0),IF(Indicators!$F26="Higher = riskier",1+('Indicator Data'!O26&gt;=Indicators!$G26)+('Indicator Data'!O26&gt;=Indicators!$H26)+('Indicator Data'!O26&gt;=Indicators!$I26)+('Indicator Data'!O26&gt;=Indicators!$J26),1+('Indicator Data'!O26&lt;=Indicators!$G26)+('Indicator Data'!O26&lt;=Indicators!$H26)+('Indicator Data'!O26&lt;=Indicators!$I26)+('Indicator Data'!O26&lt;=Indicators!$J26)))</f>
        <v>3</v>
      </c>
      <c r="P26" s="27" t="n">
        <f aca="false">IF('Indicator Data'!P26="",IF(Config!$C$15="Score as High (5)",5,0),IF(Indicators!$F26="Higher = riskier",1+('Indicator Data'!P26&gt;=Indicators!$G26)+('Indicator Data'!P26&gt;=Indicators!$H26)+('Indicator Data'!P26&gt;=Indicators!$I26)+('Indicator Data'!P26&gt;=Indicators!$J26),1+('Indicator Data'!P26&lt;=Indicators!$G26)+('Indicator Data'!P26&lt;=Indicators!$H26)+('Indicator Data'!P26&lt;=Indicators!$I26)+('Indicator Data'!P26&lt;=Indicators!$J26)))</f>
        <v>2</v>
      </c>
      <c r="Q26" s="27" t="n">
        <f aca="false">IF('Indicator Data'!Q26="",IF(Config!$C$15="Score as High (5)",5,0),IF(Indicators!$F26="Higher = riskier",1+('Indicator Data'!Q26&gt;=Indicators!$G26)+('Indicator Data'!Q26&gt;=Indicators!$H26)+('Indicator Data'!Q26&gt;=Indicators!$I26)+('Indicator Data'!Q26&gt;=Indicators!$J26),1+('Indicator Data'!Q26&lt;=Indicators!$G26)+('Indicator Data'!Q26&lt;=Indicators!$H26)+('Indicator Data'!Q26&lt;=Indicators!$I26)+('Indicator Data'!Q26&lt;=Indicators!$J26)))</f>
        <v>1</v>
      </c>
      <c r="R26" s="27" t="n">
        <f aca="false">IF('Indicator Data'!R26="",IF(Config!$C$15="Score as High (5)",5,0),IF(Indicators!$F26="Higher = riskier",1+('Indicator Data'!R26&gt;=Indicators!$G26)+('Indicator Data'!R26&gt;=Indicators!$H26)+('Indicator Data'!R26&gt;=Indicators!$I26)+('Indicator Data'!R26&gt;=Indicators!$J26),1+('Indicator Data'!R26&lt;=Indicators!$G26)+('Indicator Data'!R26&lt;=Indicators!$H26)+('Indicator Data'!R26&lt;=Indicators!$I26)+('Indicator Data'!R26&lt;=Indicators!$J26)))</f>
        <v>4</v>
      </c>
      <c r="S26" s="27" t="n">
        <f aca="false">IF('Indicator Data'!S26="",IF(Config!$C$15="Score as High (5)",5,0),IF(Indicators!$F26="Higher = riskier",1+('Indicator Data'!S26&gt;=Indicators!$G26)+('Indicator Data'!S26&gt;=Indicators!$H26)+('Indicator Data'!S26&gt;=Indicators!$I26)+('Indicator Data'!S26&gt;=Indicators!$J26),1+('Indicator Data'!S26&lt;=Indicators!$G26)+('Indicator Data'!S26&lt;=Indicators!$H26)+('Indicator Data'!S26&lt;=Indicators!$I26)+('Indicator Data'!S26&lt;=Indicators!$J26)))</f>
        <v>3</v>
      </c>
      <c r="T26" s="27" t="n">
        <f aca="false">IF('Indicator Data'!T26="",IF(Config!$C$15="Score as High (5)",5,0),IF(Indicators!$F26="Higher = riskier",1+('Indicator Data'!T26&gt;=Indicators!$G26)+('Indicator Data'!T26&gt;=Indicators!$H26)+('Indicator Data'!T26&gt;=Indicators!$I26)+('Indicator Data'!T26&gt;=Indicators!$J26),1+('Indicator Data'!T26&lt;=Indicators!$G26)+('Indicator Data'!T26&lt;=Indicators!$H26)+('Indicator Data'!T26&lt;=Indicators!$I26)+('Indicator Data'!T26&lt;=Indicators!$J26)))</f>
        <v>3</v>
      </c>
      <c r="U26" s="27" t="n">
        <f aca="false">IF('Indicator Data'!U26="",IF(Config!$C$15="Score as High (5)",5,0),IF(Indicators!$F26="Higher = riskier",1+('Indicator Data'!U26&gt;=Indicators!$G26)+('Indicator Data'!U26&gt;=Indicators!$H26)+('Indicator Data'!U26&gt;=Indicators!$I26)+('Indicator Data'!U26&gt;=Indicators!$J26),1+('Indicator Data'!U26&lt;=Indicators!$G26)+('Indicator Data'!U26&lt;=Indicators!$H26)+('Indicator Data'!U26&lt;=Indicators!$I26)+('Indicator Data'!U26&lt;=Indicators!$J26)))</f>
        <v>4</v>
      </c>
      <c r="V26" s="27" t="n">
        <f aca="false">IF('Indicator Data'!V26="",IF(Config!$C$15="Score as High (5)",5,0),IF(Indicators!$F26="Higher = riskier",1+('Indicator Data'!V26&gt;=Indicators!$G26)+('Indicator Data'!V26&gt;=Indicators!$H26)+('Indicator Data'!V26&gt;=Indicators!$I26)+('Indicator Data'!V26&gt;=Indicators!$J26),1+('Indicator Data'!V26&lt;=Indicators!$G26)+('Indicator Data'!V26&lt;=Indicators!$H26)+('Indicator Data'!V26&lt;=Indicators!$I26)+('Indicator Data'!V26&lt;=Indicators!$J26)))</f>
        <v>4</v>
      </c>
      <c r="W26" s="27" t="n">
        <f aca="false">IF('Indicator Data'!W26="",IF(Config!$C$15="Score as High (5)",5,0),IF(Indicators!$F26="Higher = riskier",1+('Indicator Data'!W26&gt;=Indicators!$G26)+('Indicator Data'!W26&gt;=Indicators!$H26)+('Indicator Data'!W26&gt;=Indicators!$I26)+('Indicator Data'!W26&gt;=Indicators!$J26),1+('Indicator Data'!W26&lt;=Indicators!$G26)+('Indicator Data'!W26&lt;=Indicators!$H26)+('Indicator Data'!W26&lt;=Indicators!$I26)+('Indicator Data'!W26&lt;=Indicators!$J26)))</f>
        <v>2</v>
      </c>
      <c r="X26" s="27" t="n">
        <f aca="false">IF('Indicator Data'!X26="",IF(Config!$C$15="Score as High (5)",5,0),IF(Indicators!$F26="Higher = riskier",1+('Indicator Data'!X26&gt;=Indicators!$G26)+('Indicator Data'!X26&gt;=Indicators!$H26)+('Indicator Data'!X26&gt;=Indicators!$I26)+('Indicator Data'!X26&gt;=Indicators!$J26),1+('Indicator Data'!X26&lt;=Indicators!$G26)+('Indicator Data'!X26&lt;=Indicators!$H26)+('Indicator Data'!X26&lt;=Indicators!$I26)+('Indicator Data'!X26&lt;=Indicators!$J26)))</f>
        <v>5</v>
      </c>
      <c r="Y26" s="27" t="n">
        <f aca="false">IF('Indicator Data'!Y26="",IF(Config!$C$15="Score as High (5)",5,0),IF(Indicators!$F26="Higher = riskier",1+('Indicator Data'!Y26&gt;=Indicators!$G26)+('Indicator Data'!Y26&gt;=Indicators!$H26)+('Indicator Data'!Y26&gt;=Indicators!$I26)+('Indicator Data'!Y26&gt;=Indicators!$J26),1+('Indicator Data'!Y26&lt;=Indicators!$G26)+('Indicator Data'!Y26&lt;=Indicators!$H26)+('Indicator Data'!Y26&lt;=Indicators!$I26)+('Indicator Data'!Y26&lt;=Indicators!$J26)))</f>
        <v>3</v>
      </c>
      <c r="Z26" s="27" t="n">
        <f aca="false">IF('Indicator Data'!Z26="",IF(Config!$C$15="Score as High (5)",5,0),IF(Indicators!$F26="Higher = riskier",1+('Indicator Data'!Z26&gt;=Indicators!$G26)+('Indicator Data'!Z26&gt;=Indicators!$H26)+('Indicator Data'!Z26&gt;=Indicators!$I26)+('Indicator Data'!Z26&gt;=Indicators!$J26),1+('Indicator Data'!Z26&lt;=Indicators!$G26)+('Indicator Data'!Z26&lt;=Indicators!$H26)+('Indicator Data'!Z26&lt;=Indicators!$I26)+('Indicator Data'!Z26&lt;=Indicators!$J26)))</f>
        <v>2</v>
      </c>
      <c r="AA26" s="27" t="n">
        <f aca="false">IF('Indicator Data'!AA26="",IF(Config!$C$15="Score as High (5)",5,0),IF(Indicators!$F26="Higher = riskier",1+('Indicator Data'!AA26&gt;=Indicators!$G26)+('Indicator Data'!AA26&gt;=Indicators!$H26)+('Indicator Data'!AA26&gt;=Indicators!$I26)+('Indicator Data'!AA26&gt;=Indicators!$J26),1+('Indicator Data'!AA26&lt;=Indicators!$G26)+('Indicator Data'!AA26&lt;=Indicators!$H26)+('Indicator Data'!AA26&lt;=Indicators!$I26)+('Indicator Data'!AA26&lt;=Indicators!$J26)))</f>
        <v>2</v>
      </c>
      <c r="AB26" s="27" t="n">
        <f aca="false">IF('Indicator Data'!AB26="",IF(Config!$C$15="Score as High (5)",5,0),IF(Indicators!$F26="Higher = riskier",1+('Indicator Data'!AB26&gt;=Indicators!$G26)+('Indicator Data'!AB26&gt;=Indicators!$H26)+('Indicator Data'!AB26&gt;=Indicators!$I26)+('Indicator Data'!AB26&gt;=Indicators!$J26),1+('Indicator Data'!AB26&lt;=Indicators!$G26)+('Indicator Data'!AB26&lt;=Indicators!$H26)+('Indicator Data'!AB26&lt;=Indicators!$I26)+('Indicator Data'!AB26&lt;=Indicators!$J26)))</f>
        <v>2</v>
      </c>
      <c r="AC26" s="27" t="n">
        <f aca="false">IF('Indicator Data'!AC26="",IF(Config!$C$15="Score as High (5)",5,0),IF(Indicators!$F26="Higher = riskier",1+('Indicator Data'!AC26&gt;=Indicators!$G26)+('Indicator Data'!AC26&gt;=Indicators!$H26)+('Indicator Data'!AC26&gt;=Indicators!$I26)+('Indicator Data'!AC26&gt;=Indicators!$J26),1+('Indicator Data'!AC26&lt;=Indicators!$G26)+('Indicator Data'!AC26&lt;=Indicators!$H26)+('Indicator Data'!AC26&lt;=Indicators!$I26)+('Indicator Data'!AC26&lt;=Indicators!$J26)))</f>
        <v>1</v>
      </c>
      <c r="AD26" s="27" t="n">
        <f aca="false">IF('Indicator Data'!AD26="",IF(Config!$C$15="Score as High (5)",5,0),IF(Indicators!$F26="Higher = riskier",1+('Indicator Data'!AD26&gt;=Indicators!$G26)+('Indicator Data'!AD26&gt;=Indicators!$H26)+('Indicator Data'!AD26&gt;=Indicators!$I26)+('Indicator Data'!AD26&gt;=Indicators!$J26),1+('Indicator Data'!AD26&lt;=Indicators!$G26)+('Indicator Data'!AD26&lt;=Indicators!$H26)+('Indicator Data'!AD26&lt;=Indicators!$I26)+('Indicator Data'!AD26&lt;=Indicators!$J26)))</f>
        <v>1</v>
      </c>
      <c r="AE26" s="27" t="n">
        <f aca="false">IF('Indicator Data'!AE26="",IF(Config!$C$15="Score as High (5)",5,0),IF(Indicators!$F26="Higher = riskier",1+('Indicator Data'!AE26&gt;=Indicators!$G26)+('Indicator Data'!AE26&gt;=Indicators!$H26)+('Indicator Data'!AE26&gt;=Indicators!$I26)+('Indicator Data'!AE26&gt;=Indicators!$J26),1+('Indicator Data'!AE26&lt;=Indicators!$G26)+('Indicator Data'!AE26&lt;=Indicators!$H26)+('Indicator Data'!AE26&lt;=Indicators!$I26)+('Indicator Data'!AE26&lt;=Indicators!$J26)))</f>
        <v>2</v>
      </c>
      <c r="AF26" s="27" t="n">
        <f aca="false">IF('Indicator Data'!AF26="",IF(Config!$C$15="Score as High (5)",5,0),IF(Indicators!$F26="Higher = riskier",1+('Indicator Data'!AF26&gt;=Indicators!$G26)+('Indicator Data'!AF26&gt;=Indicators!$H26)+('Indicator Data'!AF26&gt;=Indicators!$I26)+('Indicator Data'!AF26&gt;=Indicators!$J26),1+('Indicator Data'!AF26&lt;=Indicators!$G26)+('Indicator Data'!AF26&lt;=Indicators!$H26)+('Indicator Data'!AF26&lt;=Indicators!$I26)+('Indicator Data'!AF26&lt;=Indicators!$J26)))</f>
        <v>1</v>
      </c>
      <c r="AG26" s="27" t="n">
        <f aca="false">IF('Indicator Data'!AG26="",IF(Config!$C$15="Score as High (5)",5,0),IF(Indicators!$F26="Higher = riskier",1+('Indicator Data'!AG26&gt;=Indicators!$G26)+('Indicator Data'!AG26&gt;=Indicators!$H26)+('Indicator Data'!AG26&gt;=Indicators!$I26)+('Indicator Data'!AG26&gt;=Indicators!$J26),1+('Indicator Data'!AG26&lt;=Indicators!$G26)+('Indicator Data'!AG26&lt;=Indicators!$H26)+('Indicator Data'!AG26&lt;=Indicators!$I26)+('Indicator Data'!AG26&lt;=Indicators!$J26)))</f>
        <v>0</v>
      </c>
    </row>
    <row r="27" customFormat="false" ht="15" hidden="false" customHeight="false" outlineLevel="0" collapsed="false">
      <c r="A27" s="26" t="str">
        <f aca="false">Indicators!A27</f>
        <v>D04</v>
      </c>
      <c r="B27" s="26" t="str">
        <f aca="false">Indicators!C27</f>
        <v>Cash deposit machines and ATMs per branch</v>
      </c>
      <c r="C27" s="26" t="str">
        <f aca="false">Indicators!D27</f>
        <v>count</v>
      </c>
      <c r="D27" s="27" t="n">
        <f aca="false">IF('Indicator Data'!D27="",IF(Config!$C$15="Score as High (5)",5,0),IF(Indicators!$F27="Higher = riskier",1+('Indicator Data'!D27&gt;=Indicators!$G27)+('Indicator Data'!D27&gt;=Indicators!$H27)+('Indicator Data'!D27&gt;=Indicators!$I27)+('Indicator Data'!D27&gt;=Indicators!$J27),1+('Indicator Data'!D27&lt;=Indicators!$G27)+('Indicator Data'!D27&lt;=Indicators!$H27)+('Indicator Data'!D27&lt;=Indicators!$I27)+('Indicator Data'!D27&lt;=Indicators!$J27)))</f>
        <v>2</v>
      </c>
      <c r="E27" s="27" t="n">
        <f aca="false">IF('Indicator Data'!E27="",IF(Config!$C$15="Score as High (5)",5,0),IF(Indicators!$F27="Higher = riskier",1+('Indicator Data'!E27&gt;=Indicators!$G27)+('Indicator Data'!E27&gt;=Indicators!$H27)+('Indicator Data'!E27&gt;=Indicators!$I27)+('Indicator Data'!E27&gt;=Indicators!$J27),1+('Indicator Data'!E27&lt;=Indicators!$G27)+('Indicator Data'!E27&lt;=Indicators!$H27)+('Indicator Data'!E27&lt;=Indicators!$I27)+('Indicator Data'!E27&lt;=Indicators!$J27)))</f>
        <v>5</v>
      </c>
      <c r="F27" s="27" t="n">
        <f aca="false">IF('Indicator Data'!F27="",IF(Config!$C$15="Score as High (5)",5,0),IF(Indicators!$F27="Higher = riskier",1+('Indicator Data'!F27&gt;=Indicators!$G27)+('Indicator Data'!F27&gt;=Indicators!$H27)+('Indicator Data'!F27&gt;=Indicators!$I27)+('Indicator Data'!F27&gt;=Indicators!$J27),1+('Indicator Data'!F27&lt;=Indicators!$G27)+('Indicator Data'!F27&lt;=Indicators!$H27)+('Indicator Data'!F27&lt;=Indicators!$I27)+('Indicator Data'!F27&lt;=Indicators!$J27)))</f>
        <v>1</v>
      </c>
      <c r="G27" s="27" t="n">
        <f aca="false">IF('Indicator Data'!G27="",IF(Config!$C$15="Score as High (5)",5,0),IF(Indicators!$F27="Higher = riskier",1+('Indicator Data'!G27&gt;=Indicators!$G27)+('Indicator Data'!G27&gt;=Indicators!$H27)+('Indicator Data'!G27&gt;=Indicators!$I27)+('Indicator Data'!G27&gt;=Indicators!$J27),1+('Indicator Data'!G27&lt;=Indicators!$G27)+('Indicator Data'!G27&lt;=Indicators!$H27)+('Indicator Data'!G27&lt;=Indicators!$I27)+('Indicator Data'!G27&lt;=Indicators!$J27)))</f>
        <v>1</v>
      </c>
      <c r="H27" s="27" t="n">
        <f aca="false">IF('Indicator Data'!H27="",IF(Config!$C$15="Score as High (5)",5,0),IF(Indicators!$F27="Higher = riskier",1+('Indicator Data'!H27&gt;=Indicators!$G27)+('Indicator Data'!H27&gt;=Indicators!$H27)+('Indicator Data'!H27&gt;=Indicators!$I27)+('Indicator Data'!H27&gt;=Indicators!$J27),1+('Indicator Data'!H27&lt;=Indicators!$G27)+('Indicator Data'!H27&lt;=Indicators!$H27)+('Indicator Data'!H27&lt;=Indicators!$I27)+('Indicator Data'!H27&lt;=Indicators!$J27)))</f>
        <v>1</v>
      </c>
      <c r="I27" s="27" t="n">
        <f aca="false">IF('Indicator Data'!I27="",IF(Config!$C$15="Score as High (5)",5,0),IF(Indicators!$F27="Higher = riskier",1+('Indicator Data'!I27&gt;=Indicators!$G27)+('Indicator Data'!I27&gt;=Indicators!$H27)+('Indicator Data'!I27&gt;=Indicators!$I27)+('Indicator Data'!I27&gt;=Indicators!$J27),1+('Indicator Data'!I27&lt;=Indicators!$G27)+('Indicator Data'!I27&lt;=Indicators!$H27)+('Indicator Data'!I27&lt;=Indicators!$I27)+('Indicator Data'!I27&lt;=Indicators!$J27)))</f>
        <v>5</v>
      </c>
      <c r="J27" s="27" t="n">
        <f aca="false">IF('Indicator Data'!J27="",IF(Config!$C$15="Score as High (5)",5,0),IF(Indicators!$F27="Higher = riskier",1+('Indicator Data'!J27&gt;=Indicators!$G27)+('Indicator Data'!J27&gt;=Indicators!$H27)+('Indicator Data'!J27&gt;=Indicators!$I27)+('Indicator Data'!J27&gt;=Indicators!$J27),1+('Indicator Data'!J27&lt;=Indicators!$G27)+('Indicator Data'!J27&lt;=Indicators!$H27)+('Indicator Data'!J27&lt;=Indicators!$I27)+('Indicator Data'!J27&lt;=Indicators!$J27)))</f>
        <v>1</v>
      </c>
      <c r="K27" s="27" t="n">
        <f aca="false">IF('Indicator Data'!K27="",IF(Config!$C$15="Score as High (5)",5,0),IF(Indicators!$F27="Higher = riskier",1+('Indicator Data'!K27&gt;=Indicators!$G27)+('Indicator Data'!K27&gt;=Indicators!$H27)+('Indicator Data'!K27&gt;=Indicators!$I27)+('Indicator Data'!K27&gt;=Indicators!$J27),1+('Indicator Data'!K27&lt;=Indicators!$G27)+('Indicator Data'!K27&lt;=Indicators!$H27)+('Indicator Data'!K27&lt;=Indicators!$I27)+('Indicator Data'!K27&lt;=Indicators!$J27)))</f>
        <v>4</v>
      </c>
      <c r="L27" s="27" t="n">
        <f aca="false">IF('Indicator Data'!L27="",IF(Config!$C$15="Score as High (5)",5,0),IF(Indicators!$F27="Higher = riskier",1+('Indicator Data'!L27&gt;=Indicators!$G27)+('Indicator Data'!L27&gt;=Indicators!$H27)+('Indicator Data'!L27&gt;=Indicators!$I27)+('Indicator Data'!L27&gt;=Indicators!$J27),1+('Indicator Data'!L27&lt;=Indicators!$G27)+('Indicator Data'!L27&lt;=Indicators!$H27)+('Indicator Data'!L27&lt;=Indicators!$I27)+('Indicator Data'!L27&lt;=Indicators!$J27)))</f>
        <v>4</v>
      </c>
      <c r="M27" s="27" t="n">
        <f aca="false">IF('Indicator Data'!M27="",IF(Config!$C$15="Score as High (5)",5,0),IF(Indicators!$F27="Higher = riskier",1+('Indicator Data'!M27&gt;=Indicators!$G27)+('Indicator Data'!M27&gt;=Indicators!$H27)+('Indicator Data'!M27&gt;=Indicators!$I27)+('Indicator Data'!M27&gt;=Indicators!$J27),1+('Indicator Data'!M27&lt;=Indicators!$G27)+('Indicator Data'!M27&lt;=Indicators!$H27)+('Indicator Data'!M27&lt;=Indicators!$I27)+('Indicator Data'!M27&lt;=Indicators!$J27)))</f>
        <v>3</v>
      </c>
      <c r="N27" s="27" t="n">
        <f aca="false">IF('Indicator Data'!N27="",IF(Config!$C$15="Score as High (5)",5,0),IF(Indicators!$F27="Higher = riskier",1+('Indicator Data'!N27&gt;=Indicators!$G27)+('Indicator Data'!N27&gt;=Indicators!$H27)+('Indicator Data'!N27&gt;=Indicators!$I27)+('Indicator Data'!N27&gt;=Indicators!$J27),1+('Indicator Data'!N27&lt;=Indicators!$G27)+('Indicator Data'!N27&lt;=Indicators!$H27)+('Indicator Data'!N27&lt;=Indicators!$I27)+('Indicator Data'!N27&lt;=Indicators!$J27)))</f>
        <v>4</v>
      </c>
      <c r="O27" s="27" t="n">
        <f aca="false">IF('Indicator Data'!O27="",IF(Config!$C$15="Score as High (5)",5,0),IF(Indicators!$F27="Higher = riskier",1+('Indicator Data'!O27&gt;=Indicators!$G27)+('Indicator Data'!O27&gt;=Indicators!$H27)+('Indicator Data'!O27&gt;=Indicators!$I27)+('Indicator Data'!O27&gt;=Indicators!$J27),1+('Indicator Data'!O27&lt;=Indicators!$G27)+('Indicator Data'!O27&lt;=Indicators!$H27)+('Indicator Data'!O27&lt;=Indicators!$I27)+('Indicator Data'!O27&lt;=Indicators!$J27)))</f>
        <v>2</v>
      </c>
      <c r="P27" s="27" t="n">
        <f aca="false">IF('Indicator Data'!P27="",IF(Config!$C$15="Score as High (5)",5,0),IF(Indicators!$F27="Higher = riskier",1+('Indicator Data'!P27&gt;=Indicators!$G27)+('Indicator Data'!P27&gt;=Indicators!$H27)+('Indicator Data'!P27&gt;=Indicators!$I27)+('Indicator Data'!P27&gt;=Indicators!$J27),1+('Indicator Data'!P27&lt;=Indicators!$G27)+('Indicator Data'!P27&lt;=Indicators!$H27)+('Indicator Data'!P27&lt;=Indicators!$I27)+('Indicator Data'!P27&lt;=Indicators!$J27)))</f>
        <v>2</v>
      </c>
      <c r="Q27" s="27" t="n">
        <f aca="false">IF('Indicator Data'!Q27="",IF(Config!$C$15="Score as High (5)",5,0),IF(Indicators!$F27="Higher = riskier",1+('Indicator Data'!Q27&gt;=Indicators!$G27)+('Indicator Data'!Q27&gt;=Indicators!$H27)+('Indicator Data'!Q27&gt;=Indicators!$I27)+('Indicator Data'!Q27&gt;=Indicators!$J27),1+('Indicator Data'!Q27&lt;=Indicators!$G27)+('Indicator Data'!Q27&lt;=Indicators!$H27)+('Indicator Data'!Q27&lt;=Indicators!$I27)+('Indicator Data'!Q27&lt;=Indicators!$J27)))</f>
        <v>3</v>
      </c>
      <c r="R27" s="27" t="n">
        <f aca="false">IF('Indicator Data'!R27="",IF(Config!$C$15="Score as High (5)",5,0),IF(Indicators!$F27="Higher = riskier",1+('Indicator Data'!R27&gt;=Indicators!$G27)+('Indicator Data'!R27&gt;=Indicators!$H27)+('Indicator Data'!R27&gt;=Indicators!$I27)+('Indicator Data'!R27&gt;=Indicators!$J27),1+('Indicator Data'!R27&lt;=Indicators!$G27)+('Indicator Data'!R27&lt;=Indicators!$H27)+('Indicator Data'!R27&lt;=Indicators!$I27)+('Indicator Data'!R27&lt;=Indicators!$J27)))</f>
        <v>4</v>
      </c>
      <c r="S27" s="27" t="n">
        <f aca="false">IF('Indicator Data'!S27="",IF(Config!$C$15="Score as High (5)",5,0),IF(Indicators!$F27="Higher = riskier",1+('Indicator Data'!S27&gt;=Indicators!$G27)+('Indicator Data'!S27&gt;=Indicators!$H27)+('Indicator Data'!S27&gt;=Indicators!$I27)+('Indicator Data'!S27&gt;=Indicators!$J27),1+('Indicator Data'!S27&lt;=Indicators!$G27)+('Indicator Data'!S27&lt;=Indicators!$H27)+('Indicator Data'!S27&lt;=Indicators!$I27)+('Indicator Data'!S27&lt;=Indicators!$J27)))</f>
        <v>4</v>
      </c>
      <c r="T27" s="27" t="n">
        <f aca="false">IF('Indicator Data'!T27="",IF(Config!$C$15="Score as High (5)",5,0),IF(Indicators!$F27="Higher = riskier",1+('Indicator Data'!T27&gt;=Indicators!$G27)+('Indicator Data'!T27&gt;=Indicators!$H27)+('Indicator Data'!T27&gt;=Indicators!$I27)+('Indicator Data'!T27&gt;=Indicators!$J27),1+('Indicator Data'!T27&lt;=Indicators!$G27)+('Indicator Data'!T27&lt;=Indicators!$H27)+('Indicator Data'!T27&lt;=Indicators!$I27)+('Indicator Data'!T27&lt;=Indicators!$J27)))</f>
        <v>2</v>
      </c>
      <c r="U27" s="27" t="n">
        <f aca="false">IF('Indicator Data'!U27="",IF(Config!$C$15="Score as High (5)",5,0),IF(Indicators!$F27="Higher = riskier",1+('Indicator Data'!U27&gt;=Indicators!$G27)+('Indicator Data'!U27&gt;=Indicators!$H27)+('Indicator Data'!U27&gt;=Indicators!$I27)+('Indicator Data'!U27&gt;=Indicators!$J27),1+('Indicator Data'!U27&lt;=Indicators!$G27)+('Indicator Data'!U27&lt;=Indicators!$H27)+('Indicator Data'!U27&lt;=Indicators!$I27)+('Indicator Data'!U27&lt;=Indicators!$J27)))</f>
        <v>4</v>
      </c>
      <c r="V27" s="27" t="n">
        <f aca="false">IF('Indicator Data'!V27="",IF(Config!$C$15="Score as High (5)",5,0),IF(Indicators!$F27="Higher = riskier",1+('Indicator Data'!V27&gt;=Indicators!$G27)+('Indicator Data'!V27&gt;=Indicators!$H27)+('Indicator Data'!V27&gt;=Indicators!$I27)+('Indicator Data'!V27&gt;=Indicators!$J27),1+('Indicator Data'!V27&lt;=Indicators!$G27)+('Indicator Data'!V27&lt;=Indicators!$H27)+('Indicator Data'!V27&lt;=Indicators!$I27)+('Indicator Data'!V27&lt;=Indicators!$J27)))</f>
        <v>4</v>
      </c>
      <c r="W27" s="27" t="n">
        <f aca="false">IF('Indicator Data'!W27="",IF(Config!$C$15="Score as High (5)",5,0),IF(Indicators!$F27="Higher = riskier",1+('Indicator Data'!W27&gt;=Indicators!$G27)+('Indicator Data'!W27&gt;=Indicators!$H27)+('Indicator Data'!W27&gt;=Indicators!$I27)+('Indicator Data'!W27&gt;=Indicators!$J27),1+('Indicator Data'!W27&lt;=Indicators!$G27)+('Indicator Data'!W27&lt;=Indicators!$H27)+('Indicator Data'!W27&lt;=Indicators!$I27)+('Indicator Data'!W27&lt;=Indicators!$J27)))</f>
        <v>2</v>
      </c>
      <c r="X27" s="27" t="n">
        <f aca="false">IF('Indicator Data'!X27="",IF(Config!$C$15="Score as High (5)",5,0),IF(Indicators!$F27="Higher = riskier",1+('Indicator Data'!X27&gt;=Indicators!$G27)+('Indicator Data'!X27&gt;=Indicators!$H27)+('Indicator Data'!X27&gt;=Indicators!$I27)+('Indicator Data'!X27&gt;=Indicators!$J27),1+('Indicator Data'!X27&lt;=Indicators!$G27)+('Indicator Data'!X27&lt;=Indicators!$H27)+('Indicator Data'!X27&lt;=Indicators!$I27)+('Indicator Data'!X27&lt;=Indicators!$J27)))</f>
        <v>5</v>
      </c>
      <c r="Y27" s="27" t="n">
        <f aca="false">IF('Indicator Data'!Y27="",IF(Config!$C$15="Score as High (5)",5,0),IF(Indicators!$F27="Higher = riskier",1+('Indicator Data'!Y27&gt;=Indicators!$G27)+('Indicator Data'!Y27&gt;=Indicators!$H27)+('Indicator Data'!Y27&gt;=Indicators!$I27)+('Indicator Data'!Y27&gt;=Indicators!$J27),1+('Indicator Data'!Y27&lt;=Indicators!$G27)+('Indicator Data'!Y27&lt;=Indicators!$H27)+('Indicator Data'!Y27&lt;=Indicators!$I27)+('Indicator Data'!Y27&lt;=Indicators!$J27)))</f>
        <v>1</v>
      </c>
      <c r="Z27" s="27" t="n">
        <f aca="false">IF('Indicator Data'!Z27="",IF(Config!$C$15="Score as High (5)",5,0),IF(Indicators!$F27="Higher = riskier",1+('Indicator Data'!Z27&gt;=Indicators!$G27)+('Indicator Data'!Z27&gt;=Indicators!$H27)+('Indicator Data'!Z27&gt;=Indicators!$I27)+('Indicator Data'!Z27&gt;=Indicators!$J27),1+('Indicator Data'!Z27&lt;=Indicators!$G27)+('Indicator Data'!Z27&lt;=Indicators!$H27)+('Indicator Data'!Z27&lt;=Indicators!$I27)+('Indicator Data'!Z27&lt;=Indicators!$J27)))</f>
        <v>1</v>
      </c>
      <c r="AA27" s="27" t="n">
        <f aca="false">IF('Indicator Data'!AA27="",IF(Config!$C$15="Score as High (5)",5,0),IF(Indicators!$F27="Higher = riskier",1+('Indicator Data'!AA27&gt;=Indicators!$G27)+('Indicator Data'!AA27&gt;=Indicators!$H27)+('Indicator Data'!AA27&gt;=Indicators!$I27)+('Indicator Data'!AA27&gt;=Indicators!$J27),1+('Indicator Data'!AA27&lt;=Indicators!$G27)+('Indicator Data'!AA27&lt;=Indicators!$H27)+('Indicator Data'!AA27&lt;=Indicators!$I27)+('Indicator Data'!AA27&lt;=Indicators!$J27)))</f>
        <v>1</v>
      </c>
      <c r="AB27" s="27" t="n">
        <f aca="false">IF('Indicator Data'!AB27="",IF(Config!$C$15="Score as High (5)",5,0),IF(Indicators!$F27="Higher = riskier",1+('Indicator Data'!AB27&gt;=Indicators!$G27)+('Indicator Data'!AB27&gt;=Indicators!$H27)+('Indicator Data'!AB27&gt;=Indicators!$I27)+('Indicator Data'!AB27&gt;=Indicators!$J27),1+('Indicator Data'!AB27&lt;=Indicators!$G27)+('Indicator Data'!AB27&lt;=Indicators!$H27)+('Indicator Data'!AB27&lt;=Indicators!$I27)+('Indicator Data'!AB27&lt;=Indicators!$J27)))</f>
        <v>1</v>
      </c>
      <c r="AC27" s="27" t="n">
        <f aca="false">IF('Indicator Data'!AC27="",IF(Config!$C$15="Score as High (5)",5,0),IF(Indicators!$F27="Higher = riskier",1+('Indicator Data'!AC27&gt;=Indicators!$G27)+('Indicator Data'!AC27&gt;=Indicators!$H27)+('Indicator Data'!AC27&gt;=Indicators!$I27)+('Indicator Data'!AC27&gt;=Indicators!$J27),1+('Indicator Data'!AC27&lt;=Indicators!$G27)+('Indicator Data'!AC27&lt;=Indicators!$H27)+('Indicator Data'!AC27&lt;=Indicators!$I27)+('Indicator Data'!AC27&lt;=Indicators!$J27)))</f>
        <v>2</v>
      </c>
      <c r="AD27" s="27" t="n">
        <f aca="false">IF('Indicator Data'!AD27="",IF(Config!$C$15="Score as High (5)",5,0),IF(Indicators!$F27="Higher = riskier",1+('Indicator Data'!AD27&gt;=Indicators!$G27)+('Indicator Data'!AD27&gt;=Indicators!$H27)+('Indicator Data'!AD27&gt;=Indicators!$I27)+('Indicator Data'!AD27&gt;=Indicators!$J27),1+('Indicator Data'!AD27&lt;=Indicators!$G27)+('Indicator Data'!AD27&lt;=Indicators!$H27)+('Indicator Data'!AD27&lt;=Indicators!$I27)+('Indicator Data'!AD27&lt;=Indicators!$J27)))</f>
        <v>1</v>
      </c>
      <c r="AE27" s="27" t="n">
        <f aca="false">IF('Indicator Data'!AE27="",IF(Config!$C$15="Score as High (5)",5,0),IF(Indicators!$F27="Higher = riskier",1+('Indicator Data'!AE27&gt;=Indicators!$G27)+('Indicator Data'!AE27&gt;=Indicators!$H27)+('Indicator Data'!AE27&gt;=Indicators!$I27)+('Indicator Data'!AE27&gt;=Indicators!$J27),1+('Indicator Data'!AE27&lt;=Indicators!$G27)+('Indicator Data'!AE27&lt;=Indicators!$H27)+('Indicator Data'!AE27&lt;=Indicators!$I27)+('Indicator Data'!AE27&lt;=Indicators!$J27)))</f>
        <v>2</v>
      </c>
      <c r="AF27" s="27" t="n">
        <f aca="false">IF('Indicator Data'!AF27="",IF(Config!$C$15="Score as High (5)",5,0),IF(Indicators!$F27="Higher = riskier",1+('Indicator Data'!AF27&gt;=Indicators!$G27)+('Indicator Data'!AF27&gt;=Indicators!$H27)+('Indicator Data'!AF27&gt;=Indicators!$I27)+('Indicator Data'!AF27&gt;=Indicators!$J27),1+('Indicator Data'!AF27&lt;=Indicators!$G27)+('Indicator Data'!AF27&lt;=Indicators!$H27)+('Indicator Data'!AF27&lt;=Indicators!$I27)+('Indicator Data'!AF27&lt;=Indicators!$J27)))</f>
        <v>2</v>
      </c>
      <c r="AG27" s="27" t="n">
        <f aca="false">IF('Indicator Data'!AG27="",IF(Config!$C$15="Score as High (5)",5,0),IF(Indicators!$F27="Higher = riskier",1+('Indicator Data'!AG27&gt;=Indicators!$G27)+('Indicator Data'!AG27&gt;=Indicators!$H27)+('Indicator Data'!AG27&gt;=Indicators!$I27)+('Indicator Data'!AG27&gt;=Indicators!$J27),1+('Indicator Data'!AG27&lt;=Indicators!$G27)+('Indicator Data'!AG27&lt;=Indicators!$H27)+('Indicator Data'!AG27&lt;=Indicators!$I27)+('Indicator Data'!AG27&lt;=Indicators!$J27)))</f>
        <v>2</v>
      </c>
    </row>
    <row r="28" customFormat="false" ht="15" hidden="false" customHeight="false" outlineLevel="0" collapsed="false">
      <c r="A28" s="26" t="str">
        <f aca="false">Indicators!A28</f>
        <v>D05</v>
      </c>
      <c r="B28" s="26" t="str">
        <f aca="false">Indicators!C28</f>
        <v>Third parties with public-official contact acting for the bank</v>
      </c>
      <c r="C28" s="26" t="str">
        <f aca="false">Indicators!D28</f>
        <v>count</v>
      </c>
      <c r="D28" s="27" t="n">
        <f aca="false">IF('Indicator Data'!D28="",IF(Config!$C$15="Score as High (5)",5,0),IF(Indicators!$F28="Higher = riskier",1+('Indicator Data'!D28&gt;=Indicators!$G28)+('Indicator Data'!D28&gt;=Indicators!$H28)+('Indicator Data'!D28&gt;=Indicators!$I28)+('Indicator Data'!D28&gt;=Indicators!$J28),1+('Indicator Data'!D28&lt;=Indicators!$G28)+('Indicator Data'!D28&lt;=Indicators!$H28)+('Indicator Data'!D28&lt;=Indicators!$I28)+('Indicator Data'!D28&lt;=Indicators!$J28)))</f>
        <v>4</v>
      </c>
      <c r="E28" s="27" t="n">
        <f aca="false">IF('Indicator Data'!E28="",IF(Config!$C$15="Score as High (5)",5,0),IF(Indicators!$F28="Higher = riskier",1+('Indicator Data'!E28&gt;=Indicators!$G28)+('Indicator Data'!E28&gt;=Indicators!$H28)+('Indicator Data'!E28&gt;=Indicators!$I28)+('Indicator Data'!E28&gt;=Indicators!$J28),1+('Indicator Data'!E28&lt;=Indicators!$G28)+('Indicator Data'!E28&lt;=Indicators!$H28)+('Indicator Data'!E28&lt;=Indicators!$I28)+('Indicator Data'!E28&lt;=Indicators!$J28)))</f>
        <v>3</v>
      </c>
      <c r="F28" s="27" t="n">
        <f aca="false">IF('Indicator Data'!F28="",IF(Config!$C$15="Score as High (5)",5,0),IF(Indicators!$F28="Higher = riskier",1+('Indicator Data'!F28&gt;=Indicators!$G28)+('Indicator Data'!F28&gt;=Indicators!$H28)+('Indicator Data'!F28&gt;=Indicators!$I28)+('Indicator Data'!F28&gt;=Indicators!$J28),1+('Indicator Data'!F28&lt;=Indicators!$G28)+('Indicator Data'!F28&lt;=Indicators!$H28)+('Indicator Data'!F28&lt;=Indicators!$I28)+('Indicator Data'!F28&lt;=Indicators!$J28)))</f>
        <v>4</v>
      </c>
      <c r="G28" s="27" t="n">
        <f aca="false">IF('Indicator Data'!G28="",IF(Config!$C$15="Score as High (5)",5,0),IF(Indicators!$F28="Higher = riskier",1+('Indicator Data'!G28&gt;=Indicators!$G28)+('Indicator Data'!G28&gt;=Indicators!$H28)+('Indicator Data'!G28&gt;=Indicators!$I28)+('Indicator Data'!G28&gt;=Indicators!$J28),1+('Indicator Data'!G28&lt;=Indicators!$G28)+('Indicator Data'!G28&lt;=Indicators!$H28)+('Indicator Data'!G28&lt;=Indicators!$I28)+('Indicator Data'!G28&lt;=Indicators!$J28)))</f>
        <v>3</v>
      </c>
      <c r="H28" s="27" t="n">
        <f aca="false">IF('Indicator Data'!H28="",IF(Config!$C$15="Score as High (5)",5,0),IF(Indicators!$F28="Higher = riskier",1+('Indicator Data'!H28&gt;=Indicators!$G28)+('Indicator Data'!H28&gt;=Indicators!$H28)+('Indicator Data'!H28&gt;=Indicators!$I28)+('Indicator Data'!H28&gt;=Indicators!$J28),1+('Indicator Data'!H28&lt;=Indicators!$G28)+('Indicator Data'!H28&lt;=Indicators!$H28)+('Indicator Data'!H28&lt;=Indicators!$I28)+('Indicator Data'!H28&lt;=Indicators!$J28)))</f>
        <v>1</v>
      </c>
      <c r="I28" s="27" t="n">
        <f aca="false">IF('Indicator Data'!I28="",IF(Config!$C$15="Score as High (5)",5,0),IF(Indicators!$F28="Higher = riskier",1+('Indicator Data'!I28&gt;=Indicators!$G28)+('Indicator Data'!I28&gt;=Indicators!$H28)+('Indicator Data'!I28&gt;=Indicators!$I28)+('Indicator Data'!I28&gt;=Indicators!$J28),1+('Indicator Data'!I28&lt;=Indicators!$G28)+('Indicator Data'!I28&lt;=Indicators!$H28)+('Indicator Data'!I28&lt;=Indicators!$I28)+('Indicator Data'!I28&lt;=Indicators!$J28)))</f>
        <v>5</v>
      </c>
      <c r="J28" s="27" t="n">
        <f aca="false">IF('Indicator Data'!J28="",IF(Config!$C$15="Score as High (5)",5,0),IF(Indicators!$F28="Higher = riskier",1+('Indicator Data'!J28&gt;=Indicators!$G28)+('Indicator Data'!J28&gt;=Indicators!$H28)+('Indicator Data'!J28&gt;=Indicators!$I28)+('Indicator Data'!J28&gt;=Indicators!$J28),1+('Indicator Data'!J28&lt;=Indicators!$G28)+('Indicator Data'!J28&lt;=Indicators!$H28)+('Indicator Data'!J28&lt;=Indicators!$I28)+('Indicator Data'!J28&lt;=Indicators!$J28)))</f>
        <v>5</v>
      </c>
      <c r="K28" s="27" t="n">
        <f aca="false">IF('Indicator Data'!K28="",IF(Config!$C$15="Score as High (5)",5,0),IF(Indicators!$F28="Higher = riskier",1+('Indicator Data'!K28&gt;=Indicators!$G28)+('Indicator Data'!K28&gt;=Indicators!$H28)+('Indicator Data'!K28&gt;=Indicators!$I28)+('Indicator Data'!K28&gt;=Indicators!$J28),1+('Indicator Data'!K28&lt;=Indicators!$G28)+('Indicator Data'!K28&lt;=Indicators!$H28)+('Indicator Data'!K28&lt;=Indicators!$I28)+('Indicator Data'!K28&lt;=Indicators!$J28)))</f>
        <v>5</v>
      </c>
      <c r="L28" s="27" t="n">
        <f aca="false">IF('Indicator Data'!L28="",IF(Config!$C$15="Score as High (5)",5,0),IF(Indicators!$F28="Higher = riskier",1+('Indicator Data'!L28&gt;=Indicators!$G28)+('Indicator Data'!L28&gt;=Indicators!$H28)+('Indicator Data'!L28&gt;=Indicators!$I28)+('Indicator Data'!L28&gt;=Indicators!$J28),1+('Indicator Data'!L28&lt;=Indicators!$G28)+('Indicator Data'!L28&lt;=Indicators!$H28)+('Indicator Data'!L28&lt;=Indicators!$I28)+('Indicator Data'!L28&lt;=Indicators!$J28)))</f>
        <v>3</v>
      </c>
      <c r="M28" s="27" t="n">
        <f aca="false">IF('Indicator Data'!M28="",IF(Config!$C$15="Score as High (5)",5,0),IF(Indicators!$F28="Higher = riskier",1+('Indicator Data'!M28&gt;=Indicators!$G28)+('Indicator Data'!M28&gt;=Indicators!$H28)+('Indicator Data'!M28&gt;=Indicators!$I28)+('Indicator Data'!M28&gt;=Indicators!$J28),1+('Indicator Data'!M28&lt;=Indicators!$G28)+('Indicator Data'!M28&lt;=Indicators!$H28)+('Indicator Data'!M28&lt;=Indicators!$I28)+('Indicator Data'!M28&lt;=Indicators!$J28)))</f>
        <v>2</v>
      </c>
      <c r="N28" s="27" t="n">
        <f aca="false">IF('Indicator Data'!N28="",IF(Config!$C$15="Score as High (5)",5,0),IF(Indicators!$F28="Higher = riskier",1+('Indicator Data'!N28&gt;=Indicators!$G28)+('Indicator Data'!N28&gt;=Indicators!$H28)+('Indicator Data'!N28&gt;=Indicators!$I28)+('Indicator Data'!N28&gt;=Indicators!$J28),1+('Indicator Data'!N28&lt;=Indicators!$G28)+('Indicator Data'!N28&lt;=Indicators!$H28)+('Indicator Data'!N28&lt;=Indicators!$I28)+('Indicator Data'!N28&lt;=Indicators!$J28)))</f>
        <v>4</v>
      </c>
      <c r="O28" s="27" t="n">
        <f aca="false">IF('Indicator Data'!O28="",IF(Config!$C$15="Score as High (5)",5,0),IF(Indicators!$F28="Higher = riskier",1+('Indicator Data'!O28&gt;=Indicators!$G28)+('Indicator Data'!O28&gt;=Indicators!$H28)+('Indicator Data'!O28&gt;=Indicators!$I28)+('Indicator Data'!O28&gt;=Indicators!$J28),1+('Indicator Data'!O28&lt;=Indicators!$G28)+('Indicator Data'!O28&lt;=Indicators!$H28)+('Indicator Data'!O28&lt;=Indicators!$I28)+('Indicator Data'!O28&lt;=Indicators!$J28)))</f>
        <v>3</v>
      </c>
      <c r="P28" s="27" t="n">
        <f aca="false">IF('Indicator Data'!P28="",IF(Config!$C$15="Score as High (5)",5,0),IF(Indicators!$F28="Higher = riskier",1+('Indicator Data'!P28&gt;=Indicators!$G28)+('Indicator Data'!P28&gt;=Indicators!$H28)+('Indicator Data'!P28&gt;=Indicators!$I28)+('Indicator Data'!P28&gt;=Indicators!$J28),1+('Indicator Data'!P28&lt;=Indicators!$G28)+('Indicator Data'!P28&lt;=Indicators!$H28)+('Indicator Data'!P28&lt;=Indicators!$I28)+('Indicator Data'!P28&lt;=Indicators!$J28)))</f>
        <v>3</v>
      </c>
      <c r="Q28" s="27" t="n">
        <f aca="false">IF('Indicator Data'!Q28="",IF(Config!$C$15="Score as High (5)",5,0),IF(Indicators!$F28="Higher = riskier",1+('Indicator Data'!Q28&gt;=Indicators!$G28)+('Indicator Data'!Q28&gt;=Indicators!$H28)+('Indicator Data'!Q28&gt;=Indicators!$I28)+('Indicator Data'!Q28&gt;=Indicators!$J28),1+('Indicator Data'!Q28&lt;=Indicators!$G28)+('Indicator Data'!Q28&lt;=Indicators!$H28)+('Indicator Data'!Q28&lt;=Indicators!$I28)+('Indicator Data'!Q28&lt;=Indicators!$J28)))</f>
        <v>1</v>
      </c>
      <c r="R28" s="27" t="n">
        <f aca="false">IF('Indicator Data'!R28="",IF(Config!$C$15="Score as High (5)",5,0),IF(Indicators!$F28="Higher = riskier",1+('Indicator Data'!R28&gt;=Indicators!$G28)+('Indicator Data'!R28&gt;=Indicators!$H28)+('Indicator Data'!R28&gt;=Indicators!$I28)+('Indicator Data'!R28&gt;=Indicators!$J28),1+('Indicator Data'!R28&lt;=Indicators!$G28)+('Indicator Data'!R28&lt;=Indicators!$H28)+('Indicator Data'!R28&lt;=Indicators!$I28)+('Indicator Data'!R28&lt;=Indicators!$J28)))</f>
        <v>4</v>
      </c>
      <c r="S28" s="27" t="n">
        <f aca="false">IF('Indicator Data'!S28="",IF(Config!$C$15="Score as High (5)",5,0),IF(Indicators!$F28="Higher = riskier",1+('Indicator Data'!S28&gt;=Indicators!$G28)+('Indicator Data'!S28&gt;=Indicators!$H28)+('Indicator Data'!S28&gt;=Indicators!$I28)+('Indicator Data'!S28&gt;=Indicators!$J28),1+('Indicator Data'!S28&lt;=Indicators!$G28)+('Indicator Data'!S28&lt;=Indicators!$H28)+('Indicator Data'!S28&lt;=Indicators!$I28)+('Indicator Data'!S28&lt;=Indicators!$J28)))</f>
        <v>4</v>
      </c>
      <c r="T28" s="27" t="n">
        <f aca="false">IF('Indicator Data'!T28="",IF(Config!$C$15="Score as High (5)",5,0),IF(Indicators!$F28="Higher = riskier",1+('Indicator Data'!T28&gt;=Indicators!$G28)+('Indicator Data'!T28&gt;=Indicators!$H28)+('Indicator Data'!T28&gt;=Indicators!$I28)+('Indicator Data'!T28&gt;=Indicators!$J28),1+('Indicator Data'!T28&lt;=Indicators!$G28)+('Indicator Data'!T28&lt;=Indicators!$H28)+('Indicator Data'!T28&lt;=Indicators!$I28)+('Indicator Data'!T28&lt;=Indicators!$J28)))</f>
        <v>3</v>
      </c>
      <c r="U28" s="27" t="n">
        <f aca="false">IF('Indicator Data'!U28="",IF(Config!$C$15="Score as High (5)",5,0),IF(Indicators!$F28="Higher = riskier",1+('Indicator Data'!U28&gt;=Indicators!$G28)+('Indicator Data'!U28&gt;=Indicators!$H28)+('Indicator Data'!U28&gt;=Indicators!$I28)+('Indicator Data'!U28&gt;=Indicators!$J28),1+('Indicator Data'!U28&lt;=Indicators!$G28)+('Indicator Data'!U28&lt;=Indicators!$H28)+('Indicator Data'!U28&lt;=Indicators!$I28)+('Indicator Data'!U28&lt;=Indicators!$J28)))</f>
        <v>2</v>
      </c>
      <c r="V28" s="27" t="n">
        <f aca="false">IF('Indicator Data'!V28="",IF(Config!$C$15="Score as High (5)",5,0),IF(Indicators!$F28="Higher = riskier",1+('Indicator Data'!V28&gt;=Indicators!$G28)+('Indicator Data'!V28&gt;=Indicators!$H28)+('Indicator Data'!V28&gt;=Indicators!$I28)+('Indicator Data'!V28&gt;=Indicators!$J28),1+('Indicator Data'!V28&lt;=Indicators!$G28)+('Indicator Data'!V28&lt;=Indicators!$H28)+('Indicator Data'!V28&lt;=Indicators!$I28)+('Indicator Data'!V28&lt;=Indicators!$J28)))</f>
        <v>2</v>
      </c>
      <c r="W28" s="27" t="n">
        <f aca="false">IF('Indicator Data'!W28="",IF(Config!$C$15="Score as High (5)",5,0),IF(Indicators!$F28="Higher = riskier",1+('Indicator Data'!W28&gt;=Indicators!$G28)+('Indicator Data'!W28&gt;=Indicators!$H28)+('Indicator Data'!W28&gt;=Indicators!$I28)+('Indicator Data'!W28&gt;=Indicators!$J28),1+('Indicator Data'!W28&lt;=Indicators!$G28)+('Indicator Data'!W28&lt;=Indicators!$H28)+('Indicator Data'!W28&lt;=Indicators!$I28)+('Indicator Data'!W28&lt;=Indicators!$J28)))</f>
        <v>5</v>
      </c>
      <c r="X28" s="27" t="n">
        <f aca="false">IF('Indicator Data'!X28="",IF(Config!$C$15="Score as High (5)",5,0),IF(Indicators!$F28="Higher = riskier",1+('Indicator Data'!X28&gt;=Indicators!$G28)+('Indicator Data'!X28&gt;=Indicators!$H28)+('Indicator Data'!X28&gt;=Indicators!$I28)+('Indicator Data'!X28&gt;=Indicators!$J28),1+('Indicator Data'!X28&lt;=Indicators!$G28)+('Indicator Data'!X28&lt;=Indicators!$H28)+('Indicator Data'!X28&lt;=Indicators!$I28)+('Indicator Data'!X28&lt;=Indicators!$J28)))</f>
        <v>5</v>
      </c>
      <c r="Y28" s="27" t="n">
        <f aca="false">IF('Indicator Data'!Y28="",IF(Config!$C$15="Score as High (5)",5,0),IF(Indicators!$F28="Higher = riskier",1+('Indicator Data'!Y28&gt;=Indicators!$G28)+('Indicator Data'!Y28&gt;=Indicators!$H28)+('Indicator Data'!Y28&gt;=Indicators!$I28)+('Indicator Data'!Y28&gt;=Indicators!$J28),1+('Indicator Data'!Y28&lt;=Indicators!$G28)+('Indicator Data'!Y28&lt;=Indicators!$H28)+('Indicator Data'!Y28&lt;=Indicators!$I28)+('Indicator Data'!Y28&lt;=Indicators!$J28)))</f>
        <v>1</v>
      </c>
      <c r="Z28" s="27" t="n">
        <f aca="false">IF('Indicator Data'!Z28="",IF(Config!$C$15="Score as High (5)",5,0),IF(Indicators!$F28="Higher = riskier",1+('Indicator Data'!Z28&gt;=Indicators!$G28)+('Indicator Data'!Z28&gt;=Indicators!$H28)+('Indicator Data'!Z28&gt;=Indicators!$I28)+('Indicator Data'!Z28&gt;=Indicators!$J28),1+('Indicator Data'!Z28&lt;=Indicators!$G28)+('Indicator Data'!Z28&lt;=Indicators!$H28)+('Indicator Data'!Z28&lt;=Indicators!$I28)+('Indicator Data'!Z28&lt;=Indicators!$J28)))</f>
        <v>1</v>
      </c>
      <c r="AA28" s="27" t="n">
        <f aca="false">IF('Indicator Data'!AA28="",IF(Config!$C$15="Score as High (5)",5,0),IF(Indicators!$F28="Higher = riskier",1+('Indicator Data'!AA28&gt;=Indicators!$G28)+('Indicator Data'!AA28&gt;=Indicators!$H28)+('Indicator Data'!AA28&gt;=Indicators!$I28)+('Indicator Data'!AA28&gt;=Indicators!$J28),1+('Indicator Data'!AA28&lt;=Indicators!$G28)+('Indicator Data'!AA28&lt;=Indicators!$H28)+('Indicator Data'!AA28&lt;=Indicators!$I28)+('Indicator Data'!AA28&lt;=Indicators!$J28)))</f>
        <v>1</v>
      </c>
      <c r="AB28" s="27" t="n">
        <f aca="false">IF('Indicator Data'!AB28="",IF(Config!$C$15="Score as High (5)",5,0),IF(Indicators!$F28="Higher = riskier",1+('Indicator Data'!AB28&gt;=Indicators!$G28)+('Indicator Data'!AB28&gt;=Indicators!$H28)+('Indicator Data'!AB28&gt;=Indicators!$I28)+('Indicator Data'!AB28&gt;=Indicators!$J28),1+('Indicator Data'!AB28&lt;=Indicators!$G28)+('Indicator Data'!AB28&lt;=Indicators!$H28)+('Indicator Data'!AB28&lt;=Indicators!$I28)+('Indicator Data'!AB28&lt;=Indicators!$J28)))</f>
        <v>1</v>
      </c>
      <c r="AC28" s="27" t="n">
        <f aca="false">IF('Indicator Data'!AC28="",IF(Config!$C$15="Score as High (5)",5,0),IF(Indicators!$F28="Higher = riskier",1+('Indicator Data'!AC28&gt;=Indicators!$G28)+('Indicator Data'!AC28&gt;=Indicators!$H28)+('Indicator Data'!AC28&gt;=Indicators!$I28)+('Indicator Data'!AC28&gt;=Indicators!$J28),1+('Indicator Data'!AC28&lt;=Indicators!$G28)+('Indicator Data'!AC28&lt;=Indicators!$H28)+('Indicator Data'!AC28&lt;=Indicators!$I28)+('Indicator Data'!AC28&lt;=Indicators!$J28)))</f>
        <v>2</v>
      </c>
      <c r="AD28" s="27" t="n">
        <f aca="false">IF('Indicator Data'!AD28="",IF(Config!$C$15="Score as High (5)",5,0),IF(Indicators!$F28="Higher = riskier",1+('Indicator Data'!AD28&gt;=Indicators!$G28)+('Indicator Data'!AD28&gt;=Indicators!$H28)+('Indicator Data'!AD28&gt;=Indicators!$I28)+('Indicator Data'!AD28&gt;=Indicators!$J28),1+('Indicator Data'!AD28&lt;=Indicators!$G28)+('Indicator Data'!AD28&lt;=Indicators!$H28)+('Indicator Data'!AD28&lt;=Indicators!$I28)+('Indicator Data'!AD28&lt;=Indicators!$J28)))</f>
        <v>2</v>
      </c>
      <c r="AE28" s="27" t="n">
        <f aca="false">IF('Indicator Data'!AE28="",IF(Config!$C$15="Score as High (5)",5,0),IF(Indicators!$F28="Higher = riskier",1+('Indicator Data'!AE28&gt;=Indicators!$G28)+('Indicator Data'!AE28&gt;=Indicators!$H28)+('Indicator Data'!AE28&gt;=Indicators!$I28)+('Indicator Data'!AE28&gt;=Indicators!$J28),1+('Indicator Data'!AE28&lt;=Indicators!$G28)+('Indicator Data'!AE28&lt;=Indicators!$H28)+('Indicator Data'!AE28&lt;=Indicators!$I28)+('Indicator Data'!AE28&lt;=Indicators!$J28)))</f>
        <v>2</v>
      </c>
      <c r="AF28" s="27" t="n">
        <f aca="false">IF('Indicator Data'!AF28="",IF(Config!$C$15="Score as High (5)",5,0),IF(Indicators!$F28="Higher = riskier",1+('Indicator Data'!AF28&gt;=Indicators!$G28)+('Indicator Data'!AF28&gt;=Indicators!$H28)+('Indicator Data'!AF28&gt;=Indicators!$I28)+('Indicator Data'!AF28&gt;=Indicators!$J28),1+('Indicator Data'!AF28&lt;=Indicators!$G28)+('Indicator Data'!AF28&lt;=Indicators!$H28)+('Indicator Data'!AF28&lt;=Indicators!$I28)+('Indicator Data'!AF28&lt;=Indicators!$J28)))</f>
        <v>1</v>
      </c>
      <c r="AG28" s="27" t="n">
        <f aca="false">IF('Indicator Data'!AG28="",IF(Config!$C$15="Score as High (5)",5,0),IF(Indicators!$F28="Higher = riskier",1+('Indicator Data'!AG28&gt;=Indicators!$G28)+('Indicator Data'!AG28&gt;=Indicators!$H28)+('Indicator Data'!AG28&gt;=Indicators!$I28)+('Indicator Data'!AG28&gt;=Indicators!$J28),1+('Indicator Data'!AG28&lt;=Indicators!$G28)+('Indicator Data'!AG28&lt;=Indicators!$H28)+('Indicator Data'!AG28&lt;=Indicators!$I28)+('Indicator Data'!AG28&lt;=Indicators!$J28)))</f>
        <v>1</v>
      </c>
    </row>
    <row r="29" customFormat="false" ht="15" hidden="false" customHeight="false" outlineLevel="0" collapsed="false">
      <c r="A29" s="26" t="str">
        <f aca="false">Indicators!A29</f>
        <v>T01</v>
      </c>
      <c r="B29" s="26" t="str">
        <f aca="false">Indicators!C29</f>
        <v>Cash deposits (% of total deposit inflows)</v>
      </c>
      <c r="C29" s="26" t="str">
        <f aca="false">Indicators!D29</f>
        <v>%</v>
      </c>
      <c r="D29" s="27" t="n">
        <f aca="false">IF('Indicator Data'!D29="",IF(Config!$C$15="Score as High (5)",5,0),IF(Indicators!$F29="Higher = riskier",1+('Indicator Data'!D29&gt;=Indicators!$G29)+('Indicator Data'!D29&gt;=Indicators!$H29)+('Indicator Data'!D29&gt;=Indicators!$I29)+('Indicator Data'!D29&gt;=Indicators!$J29),1+('Indicator Data'!D29&lt;=Indicators!$G29)+('Indicator Data'!D29&lt;=Indicators!$H29)+('Indicator Data'!D29&lt;=Indicators!$I29)+('Indicator Data'!D29&lt;=Indicators!$J29)))</f>
        <v>1</v>
      </c>
      <c r="E29" s="27" t="n">
        <f aca="false">IF('Indicator Data'!E29="",IF(Config!$C$15="Score as High (5)",5,0),IF(Indicators!$F29="Higher = riskier",1+('Indicator Data'!E29&gt;=Indicators!$G29)+('Indicator Data'!E29&gt;=Indicators!$H29)+('Indicator Data'!E29&gt;=Indicators!$I29)+('Indicator Data'!E29&gt;=Indicators!$J29),1+('Indicator Data'!E29&lt;=Indicators!$G29)+('Indicator Data'!E29&lt;=Indicators!$H29)+('Indicator Data'!E29&lt;=Indicators!$I29)+('Indicator Data'!E29&lt;=Indicators!$J29)))</f>
        <v>2</v>
      </c>
      <c r="F29" s="27" t="n">
        <f aca="false">IF('Indicator Data'!F29="",IF(Config!$C$15="Score as High (5)",5,0),IF(Indicators!$F29="Higher = riskier",1+('Indicator Data'!F29&gt;=Indicators!$G29)+('Indicator Data'!F29&gt;=Indicators!$H29)+('Indicator Data'!F29&gt;=Indicators!$I29)+('Indicator Data'!F29&gt;=Indicators!$J29),1+('Indicator Data'!F29&lt;=Indicators!$G29)+('Indicator Data'!F29&lt;=Indicators!$H29)+('Indicator Data'!F29&lt;=Indicators!$I29)+('Indicator Data'!F29&lt;=Indicators!$J29)))</f>
        <v>3</v>
      </c>
      <c r="G29" s="27" t="n">
        <f aca="false">IF('Indicator Data'!G29="",IF(Config!$C$15="Score as High (5)",5,0),IF(Indicators!$F29="Higher = riskier",1+('Indicator Data'!G29&gt;=Indicators!$G29)+('Indicator Data'!G29&gt;=Indicators!$H29)+('Indicator Data'!G29&gt;=Indicators!$I29)+('Indicator Data'!G29&gt;=Indicators!$J29),1+('Indicator Data'!G29&lt;=Indicators!$G29)+('Indicator Data'!G29&lt;=Indicators!$H29)+('Indicator Data'!G29&lt;=Indicators!$I29)+('Indicator Data'!G29&lt;=Indicators!$J29)))</f>
        <v>3</v>
      </c>
      <c r="H29" s="27" t="n">
        <f aca="false">IF('Indicator Data'!H29="",IF(Config!$C$15="Score as High (5)",5,0),IF(Indicators!$F29="Higher = riskier",1+('Indicator Data'!H29&gt;=Indicators!$G29)+('Indicator Data'!H29&gt;=Indicators!$H29)+('Indicator Data'!H29&gt;=Indicators!$I29)+('Indicator Data'!H29&gt;=Indicators!$J29),1+('Indicator Data'!H29&lt;=Indicators!$G29)+('Indicator Data'!H29&lt;=Indicators!$H29)+('Indicator Data'!H29&lt;=Indicators!$I29)+('Indicator Data'!H29&lt;=Indicators!$J29)))</f>
        <v>2</v>
      </c>
      <c r="I29" s="27" t="n">
        <f aca="false">IF('Indicator Data'!I29="",IF(Config!$C$15="Score as High (5)",5,0),IF(Indicators!$F29="Higher = riskier",1+('Indicator Data'!I29&gt;=Indicators!$G29)+('Indicator Data'!I29&gt;=Indicators!$H29)+('Indicator Data'!I29&gt;=Indicators!$I29)+('Indicator Data'!I29&gt;=Indicators!$J29),1+('Indicator Data'!I29&lt;=Indicators!$G29)+('Indicator Data'!I29&lt;=Indicators!$H29)+('Indicator Data'!I29&lt;=Indicators!$I29)+('Indicator Data'!I29&lt;=Indicators!$J29)))</f>
        <v>4</v>
      </c>
      <c r="J29" s="27" t="n">
        <f aca="false">IF('Indicator Data'!J29="",IF(Config!$C$15="Score as High (5)",5,0),IF(Indicators!$F29="Higher = riskier",1+('Indicator Data'!J29&gt;=Indicators!$G29)+('Indicator Data'!J29&gt;=Indicators!$H29)+('Indicator Data'!J29&gt;=Indicators!$I29)+('Indicator Data'!J29&gt;=Indicators!$J29),1+('Indicator Data'!J29&lt;=Indicators!$G29)+('Indicator Data'!J29&lt;=Indicators!$H29)+('Indicator Data'!J29&lt;=Indicators!$I29)+('Indicator Data'!J29&lt;=Indicators!$J29)))</f>
        <v>3</v>
      </c>
      <c r="K29" s="27" t="n">
        <f aca="false">IF('Indicator Data'!K29="",IF(Config!$C$15="Score as High (5)",5,0),IF(Indicators!$F29="Higher = riskier",1+('Indicator Data'!K29&gt;=Indicators!$G29)+('Indicator Data'!K29&gt;=Indicators!$H29)+('Indicator Data'!K29&gt;=Indicators!$I29)+('Indicator Data'!K29&gt;=Indicators!$J29),1+('Indicator Data'!K29&lt;=Indicators!$G29)+('Indicator Data'!K29&lt;=Indicators!$H29)+('Indicator Data'!K29&lt;=Indicators!$I29)+('Indicator Data'!K29&lt;=Indicators!$J29)))</f>
        <v>4</v>
      </c>
      <c r="L29" s="27" t="n">
        <f aca="false">IF('Indicator Data'!L29="",IF(Config!$C$15="Score as High (5)",5,0),IF(Indicators!$F29="Higher = riskier",1+('Indicator Data'!L29&gt;=Indicators!$G29)+('Indicator Data'!L29&gt;=Indicators!$H29)+('Indicator Data'!L29&gt;=Indicators!$I29)+('Indicator Data'!L29&gt;=Indicators!$J29),1+('Indicator Data'!L29&lt;=Indicators!$G29)+('Indicator Data'!L29&lt;=Indicators!$H29)+('Indicator Data'!L29&lt;=Indicators!$I29)+('Indicator Data'!L29&lt;=Indicators!$J29)))</f>
        <v>5</v>
      </c>
      <c r="M29" s="27" t="n">
        <f aca="false">IF('Indicator Data'!M29="",IF(Config!$C$15="Score as High (5)",5,0),IF(Indicators!$F29="Higher = riskier",1+('Indicator Data'!M29&gt;=Indicators!$G29)+('Indicator Data'!M29&gt;=Indicators!$H29)+('Indicator Data'!M29&gt;=Indicators!$I29)+('Indicator Data'!M29&gt;=Indicators!$J29),1+('Indicator Data'!M29&lt;=Indicators!$G29)+('Indicator Data'!M29&lt;=Indicators!$H29)+('Indicator Data'!M29&lt;=Indicators!$I29)+('Indicator Data'!M29&lt;=Indicators!$J29)))</f>
        <v>2</v>
      </c>
      <c r="N29" s="27" t="n">
        <f aca="false">IF('Indicator Data'!N29="",IF(Config!$C$15="Score as High (5)",5,0),IF(Indicators!$F29="Higher = riskier",1+('Indicator Data'!N29&gt;=Indicators!$G29)+('Indicator Data'!N29&gt;=Indicators!$H29)+('Indicator Data'!N29&gt;=Indicators!$I29)+('Indicator Data'!N29&gt;=Indicators!$J29),1+('Indicator Data'!N29&lt;=Indicators!$G29)+('Indicator Data'!N29&lt;=Indicators!$H29)+('Indicator Data'!N29&lt;=Indicators!$I29)+('Indicator Data'!N29&lt;=Indicators!$J29)))</f>
        <v>3</v>
      </c>
      <c r="O29" s="27" t="n">
        <f aca="false">IF('Indicator Data'!O29="",IF(Config!$C$15="Score as High (5)",5,0),IF(Indicators!$F29="Higher = riskier",1+('Indicator Data'!O29&gt;=Indicators!$G29)+('Indicator Data'!O29&gt;=Indicators!$H29)+('Indicator Data'!O29&gt;=Indicators!$I29)+('Indicator Data'!O29&gt;=Indicators!$J29),1+('Indicator Data'!O29&lt;=Indicators!$G29)+('Indicator Data'!O29&lt;=Indicators!$H29)+('Indicator Data'!O29&lt;=Indicators!$I29)+('Indicator Data'!O29&lt;=Indicators!$J29)))</f>
        <v>4</v>
      </c>
      <c r="P29" s="27" t="n">
        <f aca="false">IF('Indicator Data'!P29="",IF(Config!$C$15="Score as High (5)",5,0),IF(Indicators!$F29="Higher = riskier",1+('Indicator Data'!P29&gt;=Indicators!$G29)+('Indicator Data'!P29&gt;=Indicators!$H29)+('Indicator Data'!P29&gt;=Indicators!$I29)+('Indicator Data'!P29&gt;=Indicators!$J29),1+('Indicator Data'!P29&lt;=Indicators!$G29)+('Indicator Data'!P29&lt;=Indicators!$H29)+('Indicator Data'!P29&lt;=Indicators!$I29)+('Indicator Data'!P29&lt;=Indicators!$J29)))</f>
        <v>2</v>
      </c>
      <c r="Q29" s="27" t="n">
        <f aca="false">IF('Indicator Data'!Q29="",IF(Config!$C$15="Score as High (5)",5,0),IF(Indicators!$F29="Higher = riskier",1+('Indicator Data'!Q29&gt;=Indicators!$G29)+('Indicator Data'!Q29&gt;=Indicators!$H29)+('Indicator Data'!Q29&gt;=Indicators!$I29)+('Indicator Data'!Q29&gt;=Indicators!$J29),1+('Indicator Data'!Q29&lt;=Indicators!$G29)+('Indicator Data'!Q29&lt;=Indicators!$H29)+('Indicator Data'!Q29&lt;=Indicators!$I29)+('Indicator Data'!Q29&lt;=Indicators!$J29)))</f>
        <v>3</v>
      </c>
      <c r="R29" s="27" t="n">
        <f aca="false">IF('Indicator Data'!R29="",IF(Config!$C$15="Score as High (5)",5,0),IF(Indicators!$F29="Higher = riskier",1+('Indicator Data'!R29&gt;=Indicators!$G29)+('Indicator Data'!R29&gt;=Indicators!$H29)+('Indicator Data'!R29&gt;=Indicators!$I29)+('Indicator Data'!R29&gt;=Indicators!$J29),1+('Indicator Data'!R29&lt;=Indicators!$G29)+('Indicator Data'!R29&lt;=Indicators!$H29)+('Indicator Data'!R29&lt;=Indicators!$I29)+('Indicator Data'!R29&lt;=Indicators!$J29)))</f>
        <v>5</v>
      </c>
      <c r="S29" s="27" t="n">
        <f aca="false">IF('Indicator Data'!S29="",IF(Config!$C$15="Score as High (5)",5,0),IF(Indicators!$F29="Higher = riskier",1+('Indicator Data'!S29&gt;=Indicators!$G29)+('Indicator Data'!S29&gt;=Indicators!$H29)+('Indicator Data'!S29&gt;=Indicators!$I29)+('Indicator Data'!S29&gt;=Indicators!$J29),1+('Indicator Data'!S29&lt;=Indicators!$G29)+('Indicator Data'!S29&lt;=Indicators!$H29)+('Indicator Data'!S29&lt;=Indicators!$I29)+('Indicator Data'!S29&lt;=Indicators!$J29)))</f>
        <v>4</v>
      </c>
      <c r="T29" s="27" t="n">
        <f aca="false">IF('Indicator Data'!T29="",IF(Config!$C$15="Score as High (5)",5,0),IF(Indicators!$F29="Higher = riskier",1+('Indicator Data'!T29&gt;=Indicators!$G29)+('Indicator Data'!T29&gt;=Indicators!$H29)+('Indicator Data'!T29&gt;=Indicators!$I29)+('Indicator Data'!T29&gt;=Indicators!$J29),1+('Indicator Data'!T29&lt;=Indicators!$G29)+('Indicator Data'!T29&lt;=Indicators!$H29)+('Indicator Data'!T29&lt;=Indicators!$I29)+('Indicator Data'!T29&lt;=Indicators!$J29)))</f>
        <v>2</v>
      </c>
      <c r="U29" s="27" t="n">
        <f aca="false">IF('Indicator Data'!U29="",IF(Config!$C$15="Score as High (5)",5,0),IF(Indicators!$F29="Higher = riskier",1+('Indicator Data'!U29&gt;=Indicators!$G29)+('Indicator Data'!U29&gt;=Indicators!$H29)+('Indicator Data'!U29&gt;=Indicators!$I29)+('Indicator Data'!U29&gt;=Indicators!$J29),1+('Indicator Data'!U29&lt;=Indicators!$G29)+('Indicator Data'!U29&lt;=Indicators!$H29)+('Indicator Data'!U29&lt;=Indicators!$I29)+('Indicator Data'!U29&lt;=Indicators!$J29)))</f>
        <v>3</v>
      </c>
      <c r="V29" s="27" t="n">
        <f aca="false">IF('Indicator Data'!V29="",IF(Config!$C$15="Score as High (5)",5,0),IF(Indicators!$F29="Higher = riskier",1+('Indicator Data'!V29&gt;=Indicators!$G29)+('Indicator Data'!V29&gt;=Indicators!$H29)+('Indicator Data'!V29&gt;=Indicators!$I29)+('Indicator Data'!V29&gt;=Indicators!$J29),1+('Indicator Data'!V29&lt;=Indicators!$G29)+('Indicator Data'!V29&lt;=Indicators!$H29)+('Indicator Data'!V29&lt;=Indicators!$I29)+('Indicator Data'!V29&lt;=Indicators!$J29)))</f>
        <v>1</v>
      </c>
      <c r="W29" s="27" t="n">
        <f aca="false">IF('Indicator Data'!W29="",IF(Config!$C$15="Score as High (5)",5,0),IF(Indicators!$F29="Higher = riskier",1+('Indicator Data'!W29&gt;=Indicators!$G29)+('Indicator Data'!W29&gt;=Indicators!$H29)+('Indicator Data'!W29&gt;=Indicators!$I29)+('Indicator Data'!W29&gt;=Indicators!$J29),1+('Indicator Data'!W29&lt;=Indicators!$G29)+('Indicator Data'!W29&lt;=Indicators!$H29)+('Indicator Data'!W29&lt;=Indicators!$I29)+('Indicator Data'!W29&lt;=Indicators!$J29)))</f>
        <v>5</v>
      </c>
      <c r="X29" s="27" t="n">
        <f aca="false">IF('Indicator Data'!X29="",IF(Config!$C$15="Score as High (5)",5,0),IF(Indicators!$F29="Higher = riskier",1+('Indicator Data'!X29&gt;=Indicators!$G29)+('Indicator Data'!X29&gt;=Indicators!$H29)+('Indicator Data'!X29&gt;=Indicators!$I29)+('Indicator Data'!X29&gt;=Indicators!$J29),1+('Indicator Data'!X29&lt;=Indicators!$G29)+('Indicator Data'!X29&lt;=Indicators!$H29)+('Indicator Data'!X29&lt;=Indicators!$I29)+('Indicator Data'!X29&lt;=Indicators!$J29)))</f>
        <v>3</v>
      </c>
      <c r="Y29" s="27" t="n">
        <f aca="false">IF('Indicator Data'!Y29="",IF(Config!$C$15="Score as High (5)",5,0),IF(Indicators!$F29="Higher = riskier",1+('Indicator Data'!Y29&gt;=Indicators!$G29)+('Indicator Data'!Y29&gt;=Indicators!$H29)+('Indicator Data'!Y29&gt;=Indicators!$I29)+('Indicator Data'!Y29&gt;=Indicators!$J29),1+('Indicator Data'!Y29&lt;=Indicators!$G29)+('Indicator Data'!Y29&lt;=Indicators!$H29)+('Indicator Data'!Y29&lt;=Indicators!$I29)+('Indicator Data'!Y29&lt;=Indicators!$J29)))</f>
        <v>1</v>
      </c>
      <c r="Z29" s="27" t="n">
        <f aca="false">IF('Indicator Data'!Z29="",IF(Config!$C$15="Score as High (5)",5,0),IF(Indicators!$F29="Higher = riskier",1+('Indicator Data'!Z29&gt;=Indicators!$G29)+('Indicator Data'!Z29&gt;=Indicators!$H29)+('Indicator Data'!Z29&gt;=Indicators!$I29)+('Indicator Data'!Z29&gt;=Indicators!$J29),1+('Indicator Data'!Z29&lt;=Indicators!$G29)+('Indicator Data'!Z29&lt;=Indicators!$H29)+('Indicator Data'!Z29&lt;=Indicators!$I29)+('Indicator Data'!Z29&lt;=Indicators!$J29)))</f>
        <v>2</v>
      </c>
      <c r="AA29" s="27" t="n">
        <f aca="false">IF('Indicator Data'!AA29="",IF(Config!$C$15="Score as High (5)",5,0),IF(Indicators!$F29="Higher = riskier",1+('Indicator Data'!AA29&gt;=Indicators!$G29)+('Indicator Data'!AA29&gt;=Indicators!$H29)+('Indicator Data'!AA29&gt;=Indicators!$I29)+('Indicator Data'!AA29&gt;=Indicators!$J29),1+('Indicator Data'!AA29&lt;=Indicators!$G29)+('Indicator Data'!AA29&lt;=Indicators!$H29)+('Indicator Data'!AA29&lt;=Indicators!$I29)+('Indicator Data'!AA29&lt;=Indicators!$J29)))</f>
        <v>2</v>
      </c>
      <c r="AB29" s="27" t="n">
        <f aca="false">IF('Indicator Data'!AB29="",IF(Config!$C$15="Score as High (5)",5,0),IF(Indicators!$F29="Higher = riskier",1+('Indicator Data'!AB29&gt;=Indicators!$G29)+('Indicator Data'!AB29&gt;=Indicators!$H29)+('Indicator Data'!AB29&gt;=Indicators!$I29)+('Indicator Data'!AB29&gt;=Indicators!$J29),1+('Indicator Data'!AB29&lt;=Indicators!$G29)+('Indicator Data'!AB29&lt;=Indicators!$H29)+('Indicator Data'!AB29&lt;=Indicators!$I29)+('Indicator Data'!AB29&lt;=Indicators!$J29)))</f>
        <v>1</v>
      </c>
      <c r="AC29" s="27" t="n">
        <f aca="false">IF('Indicator Data'!AC29="",IF(Config!$C$15="Score as High (5)",5,0),IF(Indicators!$F29="Higher = riskier",1+('Indicator Data'!AC29&gt;=Indicators!$G29)+('Indicator Data'!AC29&gt;=Indicators!$H29)+('Indicator Data'!AC29&gt;=Indicators!$I29)+('Indicator Data'!AC29&gt;=Indicators!$J29),1+('Indicator Data'!AC29&lt;=Indicators!$G29)+('Indicator Data'!AC29&lt;=Indicators!$H29)+('Indicator Data'!AC29&lt;=Indicators!$I29)+('Indicator Data'!AC29&lt;=Indicators!$J29)))</f>
        <v>2</v>
      </c>
      <c r="AD29" s="27" t="n">
        <f aca="false">IF('Indicator Data'!AD29="",IF(Config!$C$15="Score as High (5)",5,0),IF(Indicators!$F29="Higher = riskier",1+('Indicator Data'!AD29&gt;=Indicators!$G29)+('Indicator Data'!AD29&gt;=Indicators!$H29)+('Indicator Data'!AD29&gt;=Indicators!$I29)+('Indicator Data'!AD29&gt;=Indicators!$J29),1+('Indicator Data'!AD29&lt;=Indicators!$G29)+('Indicator Data'!AD29&lt;=Indicators!$H29)+('Indicator Data'!AD29&lt;=Indicators!$I29)+('Indicator Data'!AD29&lt;=Indicators!$J29)))</f>
        <v>2</v>
      </c>
      <c r="AE29" s="27" t="n">
        <f aca="false">IF('Indicator Data'!AE29="",IF(Config!$C$15="Score as High (5)",5,0),IF(Indicators!$F29="Higher = riskier",1+('Indicator Data'!AE29&gt;=Indicators!$G29)+('Indicator Data'!AE29&gt;=Indicators!$H29)+('Indicator Data'!AE29&gt;=Indicators!$I29)+('Indicator Data'!AE29&gt;=Indicators!$J29),1+('Indicator Data'!AE29&lt;=Indicators!$G29)+('Indicator Data'!AE29&lt;=Indicators!$H29)+('Indicator Data'!AE29&lt;=Indicators!$I29)+('Indicator Data'!AE29&lt;=Indicators!$J29)))</f>
        <v>2</v>
      </c>
      <c r="AF29" s="27" t="n">
        <f aca="false">IF('Indicator Data'!AF29="",IF(Config!$C$15="Score as High (5)",5,0),IF(Indicators!$F29="Higher = riskier",1+('Indicator Data'!AF29&gt;=Indicators!$G29)+('Indicator Data'!AF29&gt;=Indicators!$H29)+('Indicator Data'!AF29&gt;=Indicators!$I29)+('Indicator Data'!AF29&gt;=Indicators!$J29),1+('Indicator Data'!AF29&lt;=Indicators!$G29)+('Indicator Data'!AF29&lt;=Indicators!$H29)+('Indicator Data'!AF29&lt;=Indicators!$I29)+('Indicator Data'!AF29&lt;=Indicators!$J29)))</f>
        <v>1</v>
      </c>
      <c r="AG29" s="27" t="n">
        <f aca="false">IF('Indicator Data'!AG29="",IF(Config!$C$15="Score as High (5)",5,0),IF(Indicators!$F29="Higher = riskier",1+('Indicator Data'!AG29&gt;=Indicators!$G29)+('Indicator Data'!AG29&gt;=Indicators!$H29)+('Indicator Data'!AG29&gt;=Indicators!$I29)+('Indicator Data'!AG29&gt;=Indicators!$J29),1+('Indicator Data'!AG29&lt;=Indicators!$G29)+('Indicator Data'!AG29&lt;=Indicators!$H29)+('Indicator Data'!AG29&lt;=Indicators!$I29)+('Indicator Data'!AG29&lt;=Indicators!$J29)))</f>
        <v>1</v>
      </c>
    </row>
    <row r="30" customFormat="false" ht="15" hidden="false" customHeight="false" outlineLevel="0" collapsed="false">
      <c r="A30" s="26" t="str">
        <f aca="false">Indicators!A30</f>
        <v>T02</v>
      </c>
      <c r="B30" s="26" t="str">
        <f aca="false">Indicators!C30</f>
        <v>Cross-border wires per month ('000)</v>
      </c>
      <c r="C30" s="26" t="str">
        <f aca="false">Indicators!D30</f>
        <v>count ('000)</v>
      </c>
      <c r="D30" s="27" t="n">
        <f aca="false">IF('Indicator Data'!D30="",IF(Config!$C$15="Score as High (5)",5,0),IF(Indicators!$F30="Higher = riskier",1+('Indicator Data'!D30&gt;=Indicators!$G30)+('Indicator Data'!D30&gt;=Indicators!$H30)+('Indicator Data'!D30&gt;=Indicators!$I30)+('Indicator Data'!D30&gt;=Indicators!$J30),1+('Indicator Data'!D30&lt;=Indicators!$G30)+('Indicator Data'!D30&lt;=Indicators!$H30)+('Indicator Data'!D30&lt;=Indicators!$I30)+('Indicator Data'!D30&lt;=Indicators!$J30)))</f>
        <v>3</v>
      </c>
      <c r="E30" s="27" t="n">
        <f aca="false">IF('Indicator Data'!E30="",IF(Config!$C$15="Score as High (5)",5,0),IF(Indicators!$F30="Higher = riskier",1+('Indicator Data'!E30&gt;=Indicators!$G30)+('Indicator Data'!E30&gt;=Indicators!$H30)+('Indicator Data'!E30&gt;=Indicators!$I30)+('Indicator Data'!E30&gt;=Indicators!$J30),1+('Indicator Data'!E30&lt;=Indicators!$G30)+('Indicator Data'!E30&lt;=Indicators!$H30)+('Indicator Data'!E30&lt;=Indicators!$I30)+('Indicator Data'!E30&lt;=Indicators!$J30)))</f>
        <v>4</v>
      </c>
      <c r="F30" s="27" t="n">
        <f aca="false">IF('Indicator Data'!F30="",IF(Config!$C$15="Score as High (5)",5,0),IF(Indicators!$F30="Higher = riskier",1+('Indicator Data'!F30&gt;=Indicators!$G30)+('Indicator Data'!F30&gt;=Indicators!$H30)+('Indicator Data'!F30&gt;=Indicators!$I30)+('Indicator Data'!F30&gt;=Indicators!$J30),1+('Indicator Data'!F30&lt;=Indicators!$G30)+('Indicator Data'!F30&lt;=Indicators!$H30)+('Indicator Data'!F30&lt;=Indicators!$I30)+('Indicator Data'!F30&lt;=Indicators!$J30)))</f>
        <v>1</v>
      </c>
      <c r="G30" s="27" t="n">
        <f aca="false">IF('Indicator Data'!G30="",IF(Config!$C$15="Score as High (5)",5,0),IF(Indicators!$F30="Higher = riskier",1+('Indicator Data'!G30&gt;=Indicators!$G30)+('Indicator Data'!G30&gt;=Indicators!$H30)+('Indicator Data'!G30&gt;=Indicators!$I30)+('Indicator Data'!G30&gt;=Indicators!$J30),1+('Indicator Data'!G30&lt;=Indicators!$G30)+('Indicator Data'!G30&lt;=Indicators!$H30)+('Indicator Data'!G30&lt;=Indicators!$I30)+('Indicator Data'!G30&lt;=Indicators!$J30)))</f>
        <v>1</v>
      </c>
      <c r="H30" s="27" t="n">
        <f aca="false">IF('Indicator Data'!H30="",IF(Config!$C$15="Score as High (5)",5,0),IF(Indicators!$F30="Higher = riskier",1+('Indicator Data'!H30&gt;=Indicators!$G30)+('Indicator Data'!H30&gt;=Indicators!$H30)+('Indicator Data'!H30&gt;=Indicators!$I30)+('Indicator Data'!H30&gt;=Indicators!$J30),1+('Indicator Data'!H30&lt;=Indicators!$G30)+('Indicator Data'!H30&lt;=Indicators!$H30)+('Indicator Data'!H30&lt;=Indicators!$I30)+('Indicator Data'!H30&lt;=Indicators!$J30)))</f>
        <v>1</v>
      </c>
      <c r="I30" s="27" t="n">
        <f aca="false">IF('Indicator Data'!I30="",IF(Config!$C$15="Score as High (5)",5,0),IF(Indicators!$F30="Higher = riskier",1+('Indicator Data'!I30&gt;=Indicators!$G30)+('Indicator Data'!I30&gt;=Indicators!$H30)+('Indicator Data'!I30&gt;=Indicators!$I30)+('Indicator Data'!I30&gt;=Indicators!$J30),1+('Indicator Data'!I30&lt;=Indicators!$G30)+('Indicator Data'!I30&lt;=Indicators!$H30)+('Indicator Data'!I30&lt;=Indicators!$I30)+('Indicator Data'!I30&lt;=Indicators!$J30)))</f>
        <v>4</v>
      </c>
      <c r="J30" s="27" t="n">
        <f aca="false">IF('Indicator Data'!J30="",IF(Config!$C$15="Score as High (5)",5,0),IF(Indicators!$F30="Higher = riskier",1+('Indicator Data'!J30&gt;=Indicators!$G30)+('Indicator Data'!J30&gt;=Indicators!$H30)+('Indicator Data'!J30&gt;=Indicators!$I30)+('Indicator Data'!J30&gt;=Indicators!$J30),1+('Indicator Data'!J30&lt;=Indicators!$G30)+('Indicator Data'!J30&lt;=Indicators!$H30)+('Indicator Data'!J30&lt;=Indicators!$I30)+('Indicator Data'!J30&lt;=Indicators!$J30)))</f>
        <v>1</v>
      </c>
      <c r="K30" s="27" t="n">
        <f aca="false">IF('Indicator Data'!K30="",IF(Config!$C$15="Score as High (5)",5,0),IF(Indicators!$F30="Higher = riskier",1+('Indicator Data'!K30&gt;=Indicators!$G30)+('Indicator Data'!K30&gt;=Indicators!$H30)+('Indicator Data'!K30&gt;=Indicators!$I30)+('Indicator Data'!K30&gt;=Indicators!$J30),1+('Indicator Data'!K30&lt;=Indicators!$G30)+('Indicator Data'!K30&lt;=Indicators!$H30)+('Indicator Data'!K30&lt;=Indicators!$I30)+('Indicator Data'!K30&lt;=Indicators!$J30)))</f>
        <v>5</v>
      </c>
      <c r="L30" s="27" t="n">
        <f aca="false">IF('Indicator Data'!L30="",IF(Config!$C$15="Score as High (5)",5,0),IF(Indicators!$F30="Higher = riskier",1+('Indicator Data'!L30&gt;=Indicators!$G30)+('Indicator Data'!L30&gt;=Indicators!$H30)+('Indicator Data'!L30&gt;=Indicators!$I30)+('Indicator Data'!L30&gt;=Indicators!$J30),1+('Indicator Data'!L30&lt;=Indicators!$G30)+('Indicator Data'!L30&lt;=Indicators!$H30)+('Indicator Data'!L30&lt;=Indicators!$I30)+('Indicator Data'!L30&lt;=Indicators!$J30)))</f>
        <v>4</v>
      </c>
      <c r="M30" s="27" t="n">
        <f aca="false">IF('Indicator Data'!M30="",IF(Config!$C$15="Score as High (5)",5,0),IF(Indicators!$F30="Higher = riskier",1+('Indicator Data'!M30&gt;=Indicators!$G30)+('Indicator Data'!M30&gt;=Indicators!$H30)+('Indicator Data'!M30&gt;=Indicators!$I30)+('Indicator Data'!M30&gt;=Indicators!$J30),1+('Indicator Data'!M30&lt;=Indicators!$G30)+('Indicator Data'!M30&lt;=Indicators!$H30)+('Indicator Data'!M30&lt;=Indicators!$I30)+('Indicator Data'!M30&lt;=Indicators!$J30)))</f>
        <v>2</v>
      </c>
      <c r="N30" s="27" t="n">
        <f aca="false">IF('Indicator Data'!N30="",IF(Config!$C$15="Score as High (5)",5,0),IF(Indicators!$F30="Higher = riskier",1+('Indicator Data'!N30&gt;=Indicators!$G30)+('Indicator Data'!N30&gt;=Indicators!$H30)+('Indicator Data'!N30&gt;=Indicators!$I30)+('Indicator Data'!N30&gt;=Indicators!$J30),1+('Indicator Data'!N30&lt;=Indicators!$G30)+('Indicator Data'!N30&lt;=Indicators!$H30)+('Indicator Data'!N30&lt;=Indicators!$I30)+('Indicator Data'!N30&lt;=Indicators!$J30)))</f>
        <v>4</v>
      </c>
      <c r="O30" s="27" t="n">
        <f aca="false">IF('Indicator Data'!O30="",IF(Config!$C$15="Score as High (5)",5,0),IF(Indicators!$F30="Higher = riskier",1+('Indicator Data'!O30&gt;=Indicators!$G30)+('Indicator Data'!O30&gt;=Indicators!$H30)+('Indicator Data'!O30&gt;=Indicators!$I30)+('Indicator Data'!O30&gt;=Indicators!$J30),1+('Indicator Data'!O30&lt;=Indicators!$G30)+('Indicator Data'!O30&lt;=Indicators!$H30)+('Indicator Data'!O30&lt;=Indicators!$I30)+('Indicator Data'!O30&lt;=Indicators!$J30)))</f>
        <v>3</v>
      </c>
      <c r="P30" s="27" t="n">
        <f aca="false">IF('Indicator Data'!P30="",IF(Config!$C$15="Score as High (5)",5,0),IF(Indicators!$F30="Higher = riskier",1+('Indicator Data'!P30&gt;=Indicators!$G30)+('Indicator Data'!P30&gt;=Indicators!$H30)+('Indicator Data'!P30&gt;=Indicators!$I30)+('Indicator Data'!P30&gt;=Indicators!$J30),1+('Indicator Data'!P30&lt;=Indicators!$G30)+('Indicator Data'!P30&lt;=Indicators!$H30)+('Indicator Data'!P30&lt;=Indicators!$I30)+('Indicator Data'!P30&lt;=Indicators!$J30)))</f>
        <v>3</v>
      </c>
      <c r="Q30" s="27" t="n">
        <f aca="false">IF('Indicator Data'!Q30="",IF(Config!$C$15="Score as High (5)",5,0),IF(Indicators!$F30="Higher = riskier",1+('Indicator Data'!Q30&gt;=Indicators!$G30)+('Indicator Data'!Q30&gt;=Indicators!$H30)+('Indicator Data'!Q30&gt;=Indicators!$I30)+('Indicator Data'!Q30&gt;=Indicators!$J30),1+('Indicator Data'!Q30&lt;=Indicators!$G30)+('Indicator Data'!Q30&lt;=Indicators!$H30)+('Indicator Data'!Q30&lt;=Indicators!$I30)+('Indicator Data'!Q30&lt;=Indicators!$J30)))</f>
        <v>3</v>
      </c>
      <c r="R30" s="27" t="n">
        <f aca="false">IF('Indicator Data'!R30="",IF(Config!$C$15="Score as High (5)",5,0),IF(Indicators!$F30="Higher = riskier",1+('Indicator Data'!R30&gt;=Indicators!$G30)+('Indicator Data'!R30&gt;=Indicators!$H30)+('Indicator Data'!R30&gt;=Indicators!$I30)+('Indicator Data'!R30&gt;=Indicators!$J30),1+('Indicator Data'!R30&lt;=Indicators!$G30)+('Indicator Data'!R30&lt;=Indicators!$H30)+('Indicator Data'!R30&lt;=Indicators!$I30)+('Indicator Data'!R30&lt;=Indicators!$J30)))</f>
        <v>5</v>
      </c>
      <c r="S30" s="27" t="n">
        <f aca="false">IF('Indicator Data'!S30="",IF(Config!$C$15="Score as High (5)",5,0),IF(Indicators!$F30="Higher = riskier",1+('Indicator Data'!S30&gt;=Indicators!$G30)+('Indicator Data'!S30&gt;=Indicators!$H30)+('Indicator Data'!S30&gt;=Indicators!$I30)+('Indicator Data'!S30&gt;=Indicators!$J30),1+('Indicator Data'!S30&lt;=Indicators!$G30)+('Indicator Data'!S30&lt;=Indicators!$H30)+('Indicator Data'!S30&lt;=Indicators!$I30)+('Indicator Data'!S30&lt;=Indicators!$J30)))</f>
        <v>3</v>
      </c>
      <c r="T30" s="27" t="n">
        <f aca="false">IF('Indicator Data'!T30="",IF(Config!$C$15="Score as High (5)",5,0),IF(Indicators!$F30="Higher = riskier",1+('Indicator Data'!T30&gt;=Indicators!$G30)+('Indicator Data'!T30&gt;=Indicators!$H30)+('Indicator Data'!T30&gt;=Indicators!$I30)+('Indicator Data'!T30&gt;=Indicators!$J30),1+('Indicator Data'!T30&lt;=Indicators!$G30)+('Indicator Data'!T30&lt;=Indicators!$H30)+('Indicator Data'!T30&lt;=Indicators!$I30)+('Indicator Data'!T30&lt;=Indicators!$J30)))</f>
        <v>2</v>
      </c>
      <c r="U30" s="27" t="n">
        <f aca="false">IF('Indicator Data'!U30="",IF(Config!$C$15="Score as High (5)",5,0),IF(Indicators!$F30="Higher = riskier",1+('Indicator Data'!U30&gt;=Indicators!$G30)+('Indicator Data'!U30&gt;=Indicators!$H30)+('Indicator Data'!U30&gt;=Indicators!$I30)+('Indicator Data'!U30&gt;=Indicators!$J30),1+('Indicator Data'!U30&lt;=Indicators!$G30)+('Indicator Data'!U30&lt;=Indicators!$H30)+('Indicator Data'!U30&lt;=Indicators!$I30)+('Indicator Data'!U30&lt;=Indicators!$J30)))</f>
        <v>3</v>
      </c>
      <c r="V30" s="27" t="n">
        <f aca="false">IF('Indicator Data'!V30="",IF(Config!$C$15="Score as High (5)",5,0),IF(Indicators!$F30="Higher = riskier",1+('Indicator Data'!V30&gt;=Indicators!$G30)+('Indicator Data'!V30&gt;=Indicators!$H30)+('Indicator Data'!V30&gt;=Indicators!$I30)+('Indicator Data'!V30&gt;=Indicators!$J30),1+('Indicator Data'!V30&lt;=Indicators!$G30)+('Indicator Data'!V30&lt;=Indicators!$H30)+('Indicator Data'!V30&lt;=Indicators!$I30)+('Indicator Data'!V30&lt;=Indicators!$J30)))</f>
        <v>3</v>
      </c>
      <c r="W30" s="27" t="n">
        <f aca="false">IF('Indicator Data'!W30="",IF(Config!$C$15="Score as High (5)",5,0),IF(Indicators!$F30="Higher = riskier",1+('Indicator Data'!W30&gt;=Indicators!$G30)+('Indicator Data'!W30&gt;=Indicators!$H30)+('Indicator Data'!W30&gt;=Indicators!$I30)+('Indicator Data'!W30&gt;=Indicators!$J30),1+('Indicator Data'!W30&lt;=Indicators!$G30)+('Indicator Data'!W30&lt;=Indicators!$H30)+('Indicator Data'!W30&lt;=Indicators!$I30)+('Indicator Data'!W30&lt;=Indicators!$J30)))</f>
        <v>4</v>
      </c>
      <c r="X30" s="27" t="n">
        <f aca="false">IF('Indicator Data'!X30="",IF(Config!$C$15="Score as High (5)",5,0),IF(Indicators!$F30="Higher = riskier",1+('Indicator Data'!X30&gt;=Indicators!$G30)+('Indicator Data'!X30&gt;=Indicators!$H30)+('Indicator Data'!X30&gt;=Indicators!$I30)+('Indicator Data'!X30&gt;=Indicators!$J30),1+('Indicator Data'!X30&lt;=Indicators!$G30)+('Indicator Data'!X30&lt;=Indicators!$H30)+('Indicator Data'!X30&lt;=Indicators!$I30)+('Indicator Data'!X30&lt;=Indicators!$J30)))</f>
        <v>5</v>
      </c>
      <c r="Y30" s="27" t="n">
        <f aca="false">IF('Indicator Data'!Y30="",IF(Config!$C$15="Score as High (5)",5,0),IF(Indicators!$F30="Higher = riskier",1+('Indicator Data'!Y30&gt;=Indicators!$G30)+('Indicator Data'!Y30&gt;=Indicators!$H30)+('Indicator Data'!Y30&gt;=Indicators!$I30)+('Indicator Data'!Y30&gt;=Indicators!$J30),1+('Indicator Data'!Y30&lt;=Indicators!$G30)+('Indicator Data'!Y30&lt;=Indicators!$H30)+('Indicator Data'!Y30&lt;=Indicators!$I30)+('Indicator Data'!Y30&lt;=Indicators!$J30)))</f>
        <v>1</v>
      </c>
      <c r="Z30" s="27" t="n">
        <f aca="false">IF('Indicator Data'!Z30="",IF(Config!$C$15="Score as High (5)",5,0),IF(Indicators!$F30="Higher = riskier",1+('Indicator Data'!Z30&gt;=Indicators!$G30)+('Indicator Data'!Z30&gt;=Indicators!$H30)+('Indicator Data'!Z30&gt;=Indicators!$I30)+('Indicator Data'!Z30&gt;=Indicators!$J30),1+('Indicator Data'!Z30&lt;=Indicators!$G30)+('Indicator Data'!Z30&lt;=Indicators!$H30)+('Indicator Data'!Z30&lt;=Indicators!$I30)+('Indicator Data'!Z30&lt;=Indicators!$J30)))</f>
        <v>2</v>
      </c>
      <c r="AA30" s="27" t="n">
        <f aca="false">IF('Indicator Data'!AA30="",IF(Config!$C$15="Score as High (5)",5,0),IF(Indicators!$F30="Higher = riskier",1+('Indicator Data'!AA30&gt;=Indicators!$G30)+('Indicator Data'!AA30&gt;=Indicators!$H30)+('Indicator Data'!AA30&gt;=Indicators!$I30)+('Indicator Data'!AA30&gt;=Indicators!$J30),1+('Indicator Data'!AA30&lt;=Indicators!$G30)+('Indicator Data'!AA30&lt;=Indicators!$H30)+('Indicator Data'!AA30&lt;=Indicators!$I30)+('Indicator Data'!AA30&lt;=Indicators!$J30)))</f>
        <v>1</v>
      </c>
      <c r="AB30" s="27" t="n">
        <f aca="false">IF('Indicator Data'!AB30="",IF(Config!$C$15="Score as High (5)",5,0),IF(Indicators!$F30="Higher = riskier",1+('Indicator Data'!AB30&gt;=Indicators!$G30)+('Indicator Data'!AB30&gt;=Indicators!$H30)+('Indicator Data'!AB30&gt;=Indicators!$I30)+('Indicator Data'!AB30&gt;=Indicators!$J30),1+('Indicator Data'!AB30&lt;=Indicators!$G30)+('Indicator Data'!AB30&lt;=Indicators!$H30)+('Indicator Data'!AB30&lt;=Indicators!$I30)+('Indicator Data'!AB30&lt;=Indicators!$J30)))</f>
        <v>2</v>
      </c>
      <c r="AC30" s="27" t="n">
        <f aca="false">IF('Indicator Data'!AC30="",IF(Config!$C$15="Score as High (5)",5,0),IF(Indicators!$F30="Higher = riskier",1+('Indicator Data'!AC30&gt;=Indicators!$G30)+('Indicator Data'!AC30&gt;=Indicators!$H30)+('Indicator Data'!AC30&gt;=Indicators!$I30)+('Indicator Data'!AC30&gt;=Indicators!$J30),1+('Indicator Data'!AC30&lt;=Indicators!$G30)+('Indicator Data'!AC30&lt;=Indicators!$H30)+('Indicator Data'!AC30&lt;=Indicators!$I30)+('Indicator Data'!AC30&lt;=Indicators!$J30)))</f>
        <v>1</v>
      </c>
      <c r="AD30" s="27" t="n">
        <f aca="false">IF('Indicator Data'!AD30="",IF(Config!$C$15="Score as High (5)",5,0),IF(Indicators!$F30="Higher = riskier",1+('Indicator Data'!AD30&gt;=Indicators!$G30)+('Indicator Data'!AD30&gt;=Indicators!$H30)+('Indicator Data'!AD30&gt;=Indicators!$I30)+('Indicator Data'!AD30&gt;=Indicators!$J30),1+('Indicator Data'!AD30&lt;=Indicators!$G30)+('Indicator Data'!AD30&lt;=Indicators!$H30)+('Indicator Data'!AD30&lt;=Indicators!$I30)+('Indicator Data'!AD30&lt;=Indicators!$J30)))</f>
        <v>2</v>
      </c>
      <c r="AE30" s="27" t="n">
        <f aca="false">IF('Indicator Data'!AE30="",IF(Config!$C$15="Score as High (5)",5,0),IF(Indicators!$F30="Higher = riskier",1+('Indicator Data'!AE30&gt;=Indicators!$G30)+('Indicator Data'!AE30&gt;=Indicators!$H30)+('Indicator Data'!AE30&gt;=Indicators!$I30)+('Indicator Data'!AE30&gt;=Indicators!$J30),1+('Indicator Data'!AE30&lt;=Indicators!$G30)+('Indicator Data'!AE30&lt;=Indicators!$H30)+('Indicator Data'!AE30&lt;=Indicators!$I30)+('Indicator Data'!AE30&lt;=Indicators!$J30)))</f>
        <v>1</v>
      </c>
      <c r="AF30" s="27" t="n">
        <f aca="false">IF('Indicator Data'!AF30="",IF(Config!$C$15="Score as High (5)",5,0),IF(Indicators!$F30="Higher = riskier",1+('Indicator Data'!AF30&gt;=Indicators!$G30)+('Indicator Data'!AF30&gt;=Indicators!$H30)+('Indicator Data'!AF30&gt;=Indicators!$I30)+('Indicator Data'!AF30&gt;=Indicators!$J30),1+('Indicator Data'!AF30&lt;=Indicators!$G30)+('Indicator Data'!AF30&lt;=Indicators!$H30)+('Indicator Data'!AF30&lt;=Indicators!$I30)+('Indicator Data'!AF30&lt;=Indicators!$J30)))</f>
        <v>1</v>
      </c>
      <c r="AG30" s="27" t="n">
        <f aca="false">IF('Indicator Data'!AG30="",IF(Config!$C$15="Score as High (5)",5,0),IF(Indicators!$F30="Higher = riskier",1+('Indicator Data'!AG30&gt;=Indicators!$G30)+('Indicator Data'!AG30&gt;=Indicators!$H30)+('Indicator Data'!AG30&gt;=Indicators!$I30)+('Indicator Data'!AG30&gt;=Indicators!$J30),1+('Indicator Data'!AG30&lt;=Indicators!$G30)+('Indicator Data'!AG30&lt;=Indicators!$H30)+('Indicator Data'!AG30&lt;=Indicators!$I30)+('Indicator Data'!AG30&lt;=Indicators!$J30)))</f>
        <v>1</v>
      </c>
    </row>
    <row r="31" customFormat="false" ht="15" hidden="false" customHeight="false" outlineLevel="0" collapsed="false">
      <c r="A31" s="26" t="str">
        <f aca="false">Indicators!A31</f>
        <v>T03</v>
      </c>
      <c r="B31" s="26" t="str">
        <f aca="false">Indicators!C31</f>
        <v>Transactions above USD 1m per month</v>
      </c>
      <c r="C31" s="26" t="str">
        <f aca="false">Indicators!D31</f>
        <v>count</v>
      </c>
      <c r="D31" s="27" t="n">
        <f aca="false">IF('Indicator Data'!D31="",IF(Config!$C$15="Score as High (5)",5,0),IF(Indicators!$F31="Higher = riskier",1+('Indicator Data'!D31&gt;=Indicators!$G31)+('Indicator Data'!D31&gt;=Indicators!$H31)+('Indicator Data'!D31&gt;=Indicators!$I31)+('Indicator Data'!D31&gt;=Indicators!$J31),1+('Indicator Data'!D31&lt;=Indicators!$G31)+('Indicator Data'!D31&lt;=Indicators!$H31)+('Indicator Data'!D31&lt;=Indicators!$I31)+('Indicator Data'!D31&lt;=Indicators!$J31)))</f>
        <v>3</v>
      </c>
      <c r="E31" s="27" t="n">
        <f aca="false">IF('Indicator Data'!E31="",IF(Config!$C$15="Score as High (5)",5,0),IF(Indicators!$F31="Higher = riskier",1+('Indicator Data'!E31&gt;=Indicators!$G31)+('Indicator Data'!E31&gt;=Indicators!$H31)+('Indicator Data'!E31&gt;=Indicators!$I31)+('Indicator Data'!E31&gt;=Indicators!$J31),1+('Indicator Data'!E31&lt;=Indicators!$G31)+('Indicator Data'!E31&lt;=Indicators!$H31)+('Indicator Data'!E31&lt;=Indicators!$I31)+('Indicator Data'!E31&lt;=Indicators!$J31)))</f>
        <v>2</v>
      </c>
      <c r="F31" s="27" t="n">
        <f aca="false">IF('Indicator Data'!F31="",IF(Config!$C$15="Score as High (5)",5,0),IF(Indicators!$F31="Higher = riskier",1+('Indicator Data'!F31&gt;=Indicators!$G31)+('Indicator Data'!F31&gt;=Indicators!$H31)+('Indicator Data'!F31&gt;=Indicators!$I31)+('Indicator Data'!F31&gt;=Indicators!$J31),1+('Indicator Data'!F31&lt;=Indicators!$G31)+('Indicator Data'!F31&lt;=Indicators!$H31)+('Indicator Data'!F31&lt;=Indicators!$I31)+('Indicator Data'!F31&lt;=Indicators!$J31)))</f>
        <v>3</v>
      </c>
      <c r="G31" s="27" t="n">
        <f aca="false">IF('Indicator Data'!G31="",IF(Config!$C$15="Score as High (5)",5,0),IF(Indicators!$F31="Higher = riskier",1+('Indicator Data'!G31&gt;=Indicators!$G31)+('Indicator Data'!G31&gt;=Indicators!$H31)+('Indicator Data'!G31&gt;=Indicators!$I31)+('Indicator Data'!G31&gt;=Indicators!$J31),1+('Indicator Data'!G31&lt;=Indicators!$G31)+('Indicator Data'!G31&lt;=Indicators!$H31)+('Indicator Data'!G31&lt;=Indicators!$I31)+('Indicator Data'!G31&lt;=Indicators!$J31)))</f>
        <v>4</v>
      </c>
      <c r="H31" s="27" t="n">
        <f aca="false">IF('Indicator Data'!H31="",IF(Config!$C$15="Score as High (5)",5,0),IF(Indicators!$F31="Higher = riskier",1+('Indicator Data'!H31&gt;=Indicators!$G31)+('Indicator Data'!H31&gt;=Indicators!$H31)+('Indicator Data'!H31&gt;=Indicators!$I31)+('Indicator Data'!H31&gt;=Indicators!$J31),1+('Indicator Data'!H31&lt;=Indicators!$G31)+('Indicator Data'!H31&lt;=Indicators!$H31)+('Indicator Data'!H31&lt;=Indicators!$I31)+('Indicator Data'!H31&lt;=Indicators!$J31)))</f>
        <v>3</v>
      </c>
      <c r="I31" s="27" t="n">
        <f aca="false">IF('Indicator Data'!I31="",IF(Config!$C$15="Score as High (5)",5,0),IF(Indicators!$F31="Higher = riskier",1+('Indicator Data'!I31&gt;=Indicators!$G31)+('Indicator Data'!I31&gt;=Indicators!$H31)+('Indicator Data'!I31&gt;=Indicators!$I31)+('Indicator Data'!I31&gt;=Indicators!$J31),1+('Indicator Data'!I31&lt;=Indicators!$G31)+('Indicator Data'!I31&lt;=Indicators!$H31)+('Indicator Data'!I31&lt;=Indicators!$I31)+('Indicator Data'!I31&lt;=Indicators!$J31)))</f>
        <v>4</v>
      </c>
      <c r="J31" s="27" t="n">
        <f aca="false">IF('Indicator Data'!J31="",IF(Config!$C$15="Score as High (5)",5,0),IF(Indicators!$F31="Higher = riskier",1+('Indicator Data'!J31&gt;=Indicators!$G31)+('Indicator Data'!J31&gt;=Indicators!$H31)+('Indicator Data'!J31&gt;=Indicators!$I31)+('Indicator Data'!J31&gt;=Indicators!$J31),1+('Indicator Data'!J31&lt;=Indicators!$G31)+('Indicator Data'!J31&lt;=Indicators!$H31)+('Indicator Data'!J31&lt;=Indicators!$I31)+('Indicator Data'!J31&lt;=Indicators!$J31)))</f>
        <v>3</v>
      </c>
      <c r="K31" s="27" t="n">
        <f aca="false">IF('Indicator Data'!K31="",IF(Config!$C$15="Score as High (5)",5,0),IF(Indicators!$F31="Higher = riskier",1+('Indicator Data'!K31&gt;=Indicators!$G31)+('Indicator Data'!K31&gt;=Indicators!$H31)+('Indicator Data'!K31&gt;=Indicators!$I31)+('Indicator Data'!K31&gt;=Indicators!$J31),1+('Indicator Data'!K31&lt;=Indicators!$G31)+('Indicator Data'!K31&lt;=Indicators!$H31)+('Indicator Data'!K31&lt;=Indicators!$I31)+('Indicator Data'!K31&lt;=Indicators!$J31)))</f>
        <v>5</v>
      </c>
      <c r="L31" s="27" t="n">
        <f aca="false">IF('Indicator Data'!L31="",IF(Config!$C$15="Score as High (5)",5,0),IF(Indicators!$F31="Higher = riskier",1+('Indicator Data'!L31&gt;=Indicators!$G31)+('Indicator Data'!L31&gt;=Indicators!$H31)+('Indicator Data'!L31&gt;=Indicators!$I31)+('Indicator Data'!L31&gt;=Indicators!$J31),1+('Indicator Data'!L31&lt;=Indicators!$G31)+('Indicator Data'!L31&lt;=Indicators!$H31)+('Indicator Data'!L31&lt;=Indicators!$I31)+('Indicator Data'!L31&lt;=Indicators!$J31)))</f>
        <v>5</v>
      </c>
      <c r="M31" s="27" t="n">
        <f aca="false">IF('Indicator Data'!M31="",IF(Config!$C$15="Score as High (5)",5,0),IF(Indicators!$F31="Higher = riskier",1+('Indicator Data'!M31&gt;=Indicators!$G31)+('Indicator Data'!M31&gt;=Indicators!$H31)+('Indicator Data'!M31&gt;=Indicators!$I31)+('Indicator Data'!M31&gt;=Indicators!$J31),1+('Indicator Data'!M31&lt;=Indicators!$G31)+('Indicator Data'!M31&lt;=Indicators!$H31)+('Indicator Data'!M31&lt;=Indicators!$I31)+('Indicator Data'!M31&lt;=Indicators!$J31)))</f>
        <v>1</v>
      </c>
      <c r="N31" s="27" t="n">
        <f aca="false">IF('Indicator Data'!N31="",IF(Config!$C$15="Score as High (5)",5,0),IF(Indicators!$F31="Higher = riskier",1+('Indicator Data'!N31&gt;=Indicators!$G31)+('Indicator Data'!N31&gt;=Indicators!$H31)+('Indicator Data'!N31&gt;=Indicators!$I31)+('Indicator Data'!N31&gt;=Indicators!$J31),1+('Indicator Data'!N31&lt;=Indicators!$G31)+('Indicator Data'!N31&lt;=Indicators!$H31)+('Indicator Data'!N31&lt;=Indicators!$I31)+('Indicator Data'!N31&lt;=Indicators!$J31)))</f>
        <v>3</v>
      </c>
      <c r="O31" s="27" t="n">
        <f aca="false">IF('Indicator Data'!O31="",IF(Config!$C$15="Score as High (5)",5,0),IF(Indicators!$F31="Higher = riskier",1+('Indicator Data'!O31&gt;=Indicators!$G31)+('Indicator Data'!O31&gt;=Indicators!$H31)+('Indicator Data'!O31&gt;=Indicators!$I31)+('Indicator Data'!O31&gt;=Indicators!$J31),1+('Indicator Data'!O31&lt;=Indicators!$G31)+('Indicator Data'!O31&lt;=Indicators!$H31)+('Indicator Data'!O31&lt;=Indicators!$I31)+('Indicator Data'!O31&lt;=Indicators!$J31)))</f>
        <v>2</v>
      </c>
      <c r="P31" s="27" t="n">
        <f aca="false">IF('Indicator Data'!P31="",IF(Config!$C$15="Score as High (5)",5,0),IF(Indicators!$F31="Higher = riskier",1+('Indicator Data'!P31&gt;=Indicators!$G31)+('Indicator Data'!P31&gt;=Indicators!$H31)+('Indicator Data'!P31&gt;=Indicators!$I31)+('Indicator Data'!P31&gt;=Indicators!$J31),1+('Indicator Data'!P31&lt;=Indicators!$G31)+('Indicator Data'!P31&lt;=Indicators!$H31)+('Indicator Data'!P31&lt;=Indicators!$I31)+('Indicator Data'!P31&lt;=Indicators!$J31)))</f>
        <v>3</v>
      </c>
      <c r="Q31" s="27" t="n">
        <f aca="false">IF('Indicator Data'!Q31="",IF(Config!$C$15="Score as High (5)",5,0),IF(Indicators!$F31="Higher = riskier",1+('Indicator Data'!Q31&gt;=Indicators!$G31)+('Indicator Data'!Q31&gt;=Indicators!$H31)+('Indicator Data'!Q31&gt;=Indicators!$I31)+('Indicator Data'!Q31&gt;=Indicators!$J31),1+('Indicator Data'!Q31&lt;=Indicators!$G31)+('Indicator Data'!Q31&lt;=Indicators!$H31)+('Indicator Data'!Q31&lt;=Indicators!$I31)+('Indicator Data'!Q31&lt;=Indicators!$J31)))</f>
        <v>3</v>
      </c>
      <c r="R31" s="27" t="n">
        <f aca="false">IF('Indicator Data'!R31="",IF(Config!$C$15="Score as High (5)",5,0),IF(Indicators!$F31="Higher = riskier",1+('Indicator Data'!R31&gt;=Indicators!$G31)+('Indicator Data'!R31&gt;=Indicators!$H31)+('Indicator Data'!R31&gt;=Indicators!$I31)+('Indicator Data'!R31&gt;=Indicators!$J31),1+('Indicator Data'!R31&lt;=Indicators!$G31)+('Indicator Data'!R31&lt;=Indicators!$H31)+('Indicator Data'!R31&lt;=Indicators!$I31)+('Indicator Data'!R31&lt;=Indicators!$J31)))</f>
        <v>3</v>
      </c>
      <c r="S31" s="27" t="n">
        <f aca="false">IF('Indicator Data'!S31="",IF(Config!$C$15="Score as High (5)",5,0),IF(Indicators!$F31="Higher = riskier",1+('Indicator Data'!S31&gt;=Indicators!$G31)+('Indicator Data'!S31&gt;=Indicators!$H31)+('Indicator Data'!S31&gt;=Indicators!$I31)+('Indicator Data'!S31&gt;=Indicators!$J31),1+('Indicator Data'!S31&lt;=Indicators!$G31)+('Indicator Data'!S31&lt;=Indicators!$H31)+('Indicator Data'!S31&lt;=Indicators!$I31)+('Indicator Data'!S31&lt;=Indicators!$J31)))</f>
        <v>4</v>
      </c>
      <c r="T31" s="27" t="n">
        <f aca="false">IF('Indicator Data'!T31="",IF(Config!$C$15="Score as High (5)",5,0),IF(Indicators!$F31="Higher = riskier",1+('Indicator Data'!T31&gt;=Indicators!$G31)+('Indicator Data'!T31&gt;=Indicators!$H31)+('Indicator Data'!T31&gt;=Indicators!$I31)+('Indicator Data'!T31&gt;=Indicators!$J31),1+('Indicator Data'!T31&lt;=Indicators!$G31)+('Indicator Data'!T31&lt;=Indicators!$H31)+('Indicator Data'!T31&lt;=Indicators!$I31)+('Indicator Data'!T31&lt;=Indicators!$J31)))</f>
        <v>4</v>
      </c>
      <c r="U31" s="27" t="n">
        <f aca="false">IF('Indicator Data'!U31="",IF(Config!$C$15="Score as High (5)",5,0),IF(Indicators!$F31="Higher = riskier",1+('Indicator Data'!U31&gt;=Indicators!$G31)+('Indicator Data'!U31&gt;=Indicators!$H31)+('Indicator Data'!U31&gt;=Indicators!$I31)+('Indicator Data'!U31&gt;=Indicators!$J31),1+('Indicator Data'!U31&lt;=Indicators!$G31)+('Indicator Data'!U31&lt;=Indicators!$H31)+('Indicator Data'!U31&lt;=Indicators!$I31)+('Indicator Data'!U31&lt;=Indicators!$J31)))</f>
        <v>4</v>
      </c>
      <c r="V31" s="27" t="n">
        <f aca="false">IF('Indicator Data'!V31="",IF(Config!$C$15="Score as High (5)",5,0),IF(Indicators!$F31="Higher = riskier",1+('Indicator Data'!V31&gt;=Indicators!$G31)+('Indicator Data'!V31&gt;=Indicators!$H31)+('Indicator Data'!V31&gt;=Indicators!$I31)+('Indicator Data'!V31&gt;=Indicators!$J31),1+('Indicator Data'!V31&lt;=Indicators!$G31)+('Indicator Data'!V31&lt;=Indicators!$H31)+('Indicator Data'!V31&lt;=Indicators!$I31)+('Indicator Data'!V31&lt;=Indicators!$J31)))</f>
        <v>3</v>
      </c>
      <c r="W31" s="27" t="n">
        <f aca="false">IF('Indicator Data'!W31="",IF(Config!$C$15="Score as High (5)",5,0),IF(Indicators!$F31="Higher = riskier",1+('Indicator Data'!W31&gt;=Indicators!$G31)+('Indicator Data'!W31&gt;=Indicators!$H31)+('Indicator Data'!W31&gt;=Indicators!$I31)+('Indicator Data'!W31&gt;=Indicators!$J31),1+('Indicator Data'!W31&lt;=Indicators!$G31)+('Indicator Data'!W31&lt;=Indicators!$H31)+('Indicator Data'!W31&lt;=Indicators!$I31)+('Indicator Data'!W31&lt;=Indicators!$J31)))</f>
        <v>3</v>
      </c>
      <c r="X31" s="27" t="n">
        <f aca="false">IF('Indicator Data'!X31="",IF(Config!$C$15="Score as High (5)",5,0),IF(Indicators!$F31="Higher = riskier",1+('Indicator Data'!X31&gt;=Indicators!$G31)+('Indicator Data'!X31&gt;=Indicators!$H31)+('Indicator Data'!X31&gt;=Indicators!$I31)+('Indicator Data'!X31&gt;=Indicators!$J31),1+('Indicator Data'!X31&lt;=Indicators!$G31)+('Indicator Data'!X31&lt;=Indicators!$H31)+('Indicator Data'!X31&lt;=Indicators!$I31)+('Indicator Data'!X31&lt;=Indicators!$J31)))</f>
        <v>3</v>
      </c>
      <c r="Y31" s="27" t="n">
        <f aca="false">IF('Indicator Data'!Y31="",IF(Config!$C$15="Score as High (5)",5,0),IF(Indicators!$F31="Higher = riskier",1+('Indicator Data'!Y31&gt;=Indicators!$G31)+('Indicator Data'!Y31&gt;=Indicators!$H31)+('Indicator Data'!Y31&gt;=Indicators!$I31)+('Indicator Data'!Y31&gt;=Indicators!$J31),1+('Indicator Data'!Y31&lt;=Indicators!$G31)+('Indicator Data'!Y31&lt;=Indicators!$H31)+('Indicator Data'!Y31&lt;=Indicators!$I31)+('Indicator Data'!Y31&lt;=Indicators!$J31)))</f>
        <v>2</v>
      </c>
      <c r="Z31" s="27" t="n">
        <f aca="false">IF('Indicator Data'!Z31="",IF(Config!$C$15="Score as High (5)",5,0),IF(Indicators!$F31="Higher = riskier",1+('Indicator Data'!Z31&gt;=Indicators!$G31)+('Indicator Data'!Z31&gt;=Indicators!$H31)+('Indicator Data'!Z31&gt;=Indicators!$I31)+('Indicator Data'!Z31&gt;=Indicators!$J31),1+('Indicator Data'!Z31&lt;=Indicators!$G31)+('Indicator Data'!Z31&lt;=Indicators!$H31)+('Indicator Data'!Z31&lt;=Indicators!$I31)+('Indicator Data'!Z31&lt;=Indicators!$J31)))</f>
        <v>2</v>
      </c>
      <c r="AA31" s="27" t="n">
        <f aca="false">IF('Indicator Data'!AA31="",IF(Config!$C$15="Score as High (5)",5,0),IF(Indicators!$F31="Higher = riskier",1+('Indicator Data'!AA31&gt;=Indicators!$G31)+('Indicator Data'!AA31&gt;=Indicators!$H31)+('Indicator Data'!AA31&gt;=Indicators!$I31)+('Indicator Data'!AA31&gt;=Indicators!$J31),1+('Indicator Data'!AA31&lt;=Indicators!$G31)+('Indicator Data'!AA31&lt;=Indicators!$H31)+('Indicator Data'!AA31&lt;=Indicators!$I31)+('Indicator Data'!AA31&lt;=Indicators!$J31)))</f>
        <v>2</v>
      </c>
      <c r="AB31" s="27" t="n">
        <f aca="false">IF('Indicator Data'!AB31="",IF(Config!$C$15="Score as High (5)",5,0),IF(Indicators!$F31="Higher = riskier",1+('Indicator Data'!AB31&gt;=Indicators!$G31)+('Indicator Data'!AB31&gt;=Indicators!$H31)+('Indicator Data'!AB31&gt;=Indicators!$I31)+('Indicator Data'!AB31&gt;=Indicators!$J31),1+('Indicator Data'!AB31&lt;=Indicators!$G31)+('Indicator Data'!AB31&lt;=Indicators!$H31)+('Indicator Data'!AB31&lt;=Indicators!$I31)+('Indicator Data'!AB31&lt;=Indicators!$J31)))</f>
        <v>2</v>
      </c>
      <c r="AC31" s="27" t="n">
        <f aca="false">IF('Indicator Data'!AC31="",IF(Config!$C$15="Score as High (5)",5,0),IF(Indicators!$F31="Higher = riskier",1+('Indicator Data'!AC31&gt;=Indicators!$G31)+('Indicator Data'!AC31&gt;=Indicators!$H31)+('Indicator Data'!AC31&gt;=Indicators!$I31)+('Indicator Data'!AC31&gt;=Indicators!$J31),1+('Indicator Data'!AC31&lt;=Indicators!$G31)+('Indicator Data'!AC31&lt;=Indicators!$H31)+('Indicator Data'!AC31&lt;=Indicators!$I31)+('Indicator Data'!AC31&lt;=Indicators!$J31)))</f>
        <v>3</v>
      </c>
      <c r="AD31" s="27" t="n">
        <f aca="false">IF('Indicator Data'!AD31="",IF(Config!$C$15="Score as High (5)",5,0),IF(Indicators!$F31="Higher = riskier",1+('Indicator Data'!AD31&gt;=Indicators!$G31)+('Indicator Data'!AD31&gt;=Indicators!$H31)+('Indicator Data'!AD31&gt;=Indicators!$I31)+('Indicator Data'!AD31&gt;=Indicators!$J31),1+('Indicator Data'!AD31&lt;=Indicators!$G31)+('Indicator Data'!AD31&lt;=Indicators!$H31)+('Indicator Data'!AD31&lt;=Indicators!$I31)+('Indicator Data'!AD31&lt;=Indicators!$J31)))</f>
        <v>2</v>
      </c>
      <c r="AE31" s="27" t="n">
        <f aca="false">IF('Indicator Data'!AE31="",IF(Config!$C$15="Score as High (5)",5,0),IF(Indicators!$F31="Higher = riskier",1+('Indicator Data'!AE31&gt;=Indicators!$G31)+('Indicator Data'!AE31&gt;=Indicators!$H31)+('Indicator Data'!AE31&gt;=Indicators!$I31)+('Indicator Data'!AE31&gt;=Indicators!$J31),1+('Indicator Data'!AE31&lt;=Indicators!$G31)+('Indicator Data'!AE31&lt;=Indicators!$H31)+('Indicator Data'!AE31&lt;=Indicators!$I31)+('Indicator Data'!AE31&lt;=Indicators!$J31)))</f>
        <v>2</v>
      </c>
      <c r="AF31" s="27" t="n">
        <f aca="false">IF('Indicator Data'!AF31="",IF(Config!$C$15="Score as High (5)",5,0),IF(Indicators!$F31="Higher = riskier",1+('Indicator Data'!AF31&gt;=Indicators!$G31)+('Indicator Data'!AF31&gt;=Indicators!$H31)+('Indicator Data'!AF31&gt;=Indicators!$I31)+('Indicator Data'!AF31&gt;=Indicators!$J31),1+('Indicator Data'!AF31&lt;=Indicators!$G31)+('Indicator Data'!AF31&lt;=Indicators!$H31)+('Indicator Data'!AF31&lt;=Indicators!$I31)+('Indicator Data'!AF31&lt;=Indicators!$J31)))</f>
        <v>1</v>
      </c>
      <c r="AG31" s="27" t="n">
        <f aca="false">IF('Indicator Data'!AG31="",IF(Config!$C$15="Score as High (5)",5,0),IF(Indicators!$F31="Higher = riskier",1+('Indicator Data'!AG31&gt;=Indicators!$G31)+('Indicator Data'!AG31&gt;=Indicators!$H31)+('Indicator Data'!AG31&gt;=Indicators!$I31)+('Indicator Data'!AG31&gt;=Indicators!$J31),1+('Indicator Data'!AG31&lt;=Indicators!$G31)+('Indicator Data'!AG31&lt;=Indicators!$H31)+('Indicator Data'!AG31&lt;=Indicators!$I31)+('Indicator Data'!AG31&lt;=Indicators!$J31)))</f>
        <v>0</v>
      </c>
    </row>
    <row r="32" customFormat="false" ht="15" hidden="false" customHeight="false" outlineLevel="0" collapsed="false">
      <c r="A32" s="26" t="str">
        <f aca="false">Indicators!A32</f>
        <v>T04</v>
      </c>
      <c r="B32" s="26" t="str">
        <f aca="false">Indicators!C32</f>
        <v>TM alerts per 1,000 customers per month</v>
      </c>
      <c r="C32" s="26" t="str">
        <f aca="false">Indicators!D32</f>
        <v>count</v>
      </c>
      <c r="D32" s="27" t="n">
        <f aca="false">IF('Indicator Data'!D32="",IF(Config!$C$15="Score as High (5)",5,0),IF(Indicators!$F32="Higher = riskier",1+('Indicator Data'!D32&gt;=Indicators!$G32)+('Indicator Data'!D32&gt;=Indicators!$H32)+('Indicator Data'!D32&gt;=Indicators!$I32)+('Indicator Data'!D32&gt;=Indicators!$J32),1+('Indicator Data'!D32&lt;=Indicators!$G32)+('Indicator Data'!D32&lt;=Indicators!$H32)+('Indicator Data'!D32&lt;=Indicators!$I32)+('Indicator Data'!D32&lt;=Indicators!$J32)))</f>
        <v>2</v>
      </c>
      <c r="E32" s="27" t="n">
        <f aca="false">IF('Indicator Data'!E32="",IF(Config!$C$15="Score as High (5)",5,0),IF(Indicators!$F32="Higher = riskier",1+('Indicator Data'!E32&gt;=Indicators!$G32)+('Indicator Data'!E32&gt;=Indicators!$H32)+('Indicator Data'!E32&gt;=Indicators!$I32)+('Indicator Data'!E32&gt;=Indicators!$J32),1+('Indicator Data'!E32&lt;=Indicators!$G32)+('Indicator Data'!E32&lt;=Indicators!$H32)+('Indicator Data'!E32&lt;=Indicators!$I32)+('Indicator Data'!E32&lt;=Indicators!$J32)))</f>
        <v>3</v>
      </c>
      <c r="F32" s="27" t="n">
        <f aca="false">IF('Indicator Data'!F32="",IF(Config!$C$15="Score as High (5)",5,0),IF(Indicators!$F32="Higher = riskier",1+('Indicator Data'!F32&gt;=Indicators!$G32)+('Indicator Data'!F32&gt;=Indicators!$H32)+('Indicator Data'!F32&gt;=Indicators!$I32)+('Indicator Data'!F32&gt;=Indicators!$J32),1+('Indicator Data'!F32&lt;=Indicators!$G32)+('Indicator Data'!F32&lt;=Indicators!$H32)+('Indicator Data'!F32&lt;=Indicators!$I32)+('Indicator Data'!F32&lt;=Indicators!$J32)))</f>
        <v>2</v>
      </c>
      <c r="G32" s="27" t="n">
        <f aca="false">IF('Indicator Data'!G32="",IF(Config!$C$15="Score as High (5)",5,0),IF(Indicators!$F32="Higher = riskier",1+('Indicator Data'!G32&gt;=Indicators!$G32)+('Indicator Data'!G32&gt;=Indicators!$H32)+('Indicator Data'!G32&gt;=Indicators!$I32)+('Indicator Data'!G32&gt;=Indicators!$J32),1+('Indicator Data'!G32&lt;=Indicators!$G32)+('Indicator Data'!G32&lt;=Indicators!$H32)+('Indicator Data'!G32&lt;=Indicators!$I32)+('Indicator Data'!G32&lt;=Indicators!$J32)))</f>
        <v>3</v>
      </c>
      <c r="H32" s="27" t="n">
        <f aca="false">IF('Indicator Data'!H32="",IF(Config!$C$15="Score as High (5)",5,0),IF(Indicators!$F32="Higher = riskier",1+('Indicator Data'!H32&gt;=Indicators!$G32)+('Indicator Data'!H32&gt;=Indicators!$H32)+('Indicator Data'!H32&gt;=Indicators!$I32)+('Indicator Data'!H32&gt;=Indicators!$J32),1+('Indicator Data'!H32&lt;=Indicators!$G32)+('Indicator Data'!H32&lt;=Indicators!$H32)+('Indicator Data'!H32&lt;=Indicators!$I32)+('Indicator Data'!H32&lt;=Indicators!$J32)))</f>
        <v>3</v>
      </c>
      <c r="I32" s="27" t="n">
        <f aca="false">IF('Indicator Data'!I32="",IF(Config!$C$15="Score as High (5)",5,0),IF(Indicators!$F32="Higher = riskier",1+('Indicator Data'!I32&gt;=Indicators!$G32)+('Indicator Data'!I32&gt;=Indicators!$H32)+('Indicator Data'!I32&gt;=Indicators!$I32)+('Indicator Data'!I32&gt;=Indicators!$J32),1+('Indicator Data'!I32&lt;=Indicators!$G32)+('Indicator Data'!I32&lt;=Indicators!$H32)+('Indicator Data'!I32&lt;=Indicators!$I32)+('Indicator Data'!I32&lt;=Indicators!$J32)))</f>
        <v>5</v>
      </c>
      <c r="J32" s="27" t="n">
        <f aca="false">IF('Indicator Data'!J32="",IF(Config!$C$15="Score as High (5)",5,0),IF(Indicators!$F32="Higher = riskier",1+('Indicator Data'!J32&gt;=Indicators!$G32)+('Indicator Data'!J32&gt;=Indicators!$H32)+('Indicator Data'!J32&gt;=Indicators!$I32)+('Indicator Data'!J32&gt;=Indicators!$J32),1+('Indicator Data'!J32&lt;=Indicators!$G32)+('Indicator Data'!J32&lt;=Indicators!$H32)+('Indicator Data'!J32&lt;=Indicators!$I32)+('Indicator Data'!J32&lt;=Indicators!$J32)))</f>
        <v>3</v>
      </c>
      <c r="K32" s="27" t="n">
        <f aca="false">IF('Indicator Data'!K32="",IF(Config!$C$15="Score as High (5)",5,0),IF(Indicators!$F32="Higher = riskier",1+('Indicator Data'!K32&gt;=Indicators!$G32)+('Indicator Data'!K32&gt;=Indicators!$H32)+('Indicator Data'!K32&gt;=Indicators!$I32)+('Indicator Data'!K32&gt;=Indicators!$J32),1+('Indicator Data'!K32&lt;=Indicators!$G32)+('Indicator Data'!K32&lt;=Indicators!$H32)+('Indicator Data'!K32&lt;=Indicators!$I32)+('Indicator Data'!K32&lt;=Indicators!$J32)))</f>
        <v>2</v>
      </c>
      <c r="L32" s="27" t="n">
        <f aca="false">IF('Indicator Data'!L32="",IF(Config!$C$15="Score as High (5)",5,0),IF(Indicators!$F32="Higher = riskier",1+('Indicator Data'!L32&gt;=Indicators!$G32)+('Indicator Data'!L32&gt;=Indicators!$H32)+('Indicator Data'!L32&gt;=Indicators!$I32)+('Indicator Data'!L32&gt;=Indicators!$J32),1+('Indicator Data'!L32&lt;=Indicators!$G32)+('Indicator Data'!L32&lt;=Indicators!$H32)+('Indicator Data'!L32&lt;=Indicators!$I32)+('Indicator Data'!L32&lt;=Indicators!$J32)))</f>
        <v>5</v>
      </c>
      <c r="M32" s="27" t="n">
        <f aca="false">IF('Indicator Data'!M32="",IF(Config!$C$15="Score as High (5)",5,0),IF(Indicators!$F32="Higher = riskier",1+('Indicator Data'!M32&gt;=Indicators!$G32)+('Indicator Data'!M32&gt;=Indicators!$H32)+('Indicator Data'!M32&gt;=Indicators!$I32)+('Indicator Data'!M32&gt;=Indicators!$J32),1+('Indicator Data'!M32&lt;=Indicators!$G32)+('Indicator Data'!M32&lt;=Indicators!$H32)+('Indicator Data'!M32&lt;=Indicators!$I32)+('Indicator Data'!M32&lt;=Indicators!$J32)))</f>
        <v>3</v>
      </c>
      <c r="N32" s="27" t="n">
        <f aca="false">IF('Indicator Data'!N32="",IF(Config!$C$15="Score as High (5)",5,0),IF(Indicators!$F32="Higher = riskier",1+('Indicator Data'!N32&gt;=Indicators!$G32)+('Indicator Data'!N32&gt;=Indicators!$H32)+('Indicator Data'!N32&gt;=Indicators!$I32)+('Indicator Data'!N32&gt;=Indicators!$J32),1+('Indicator Data'!N32&lt;=Indicators!$G32)+('Indicator Data'!N32&lt;=Indicators!$H32)+('Indicator Data'!N32&lt;=Indicators!$I32)+('Indicator Data'!N32&lt;=Indicators!$J32)))</f>
        <v>2</v>
      </c>
      <c r="O32" s="27" t="n">
        <f aca="false">IF('Indicator Data'!O32="",IF(Config!$C$15="Score as High (5)",5,0),IF(Indicators!$F32="Higher = riskier",1+('Indicator Data'!O32&gt;=Indicators!$G32)+('Indicator Data'!O32&gt;=Indicators!$H32)+('Indicator Data'!O32&gt;=Indicators!$I32)+('Indicator Data'!O32&gt;=Indicators!$J32),1+('Indicator Data'!O32&lt;=Indicators!$G32)+('Indicator Data'!O32&lt;=Indicators!$H32)+('Indicator Data'!O32&lt;=Indicators!$I32)+('Indicator Data'!O32&lt;=Indicators!$J32)))</f>
        <v>4</v>
      </c>
      <c r="P32" s="27" t="n">
        <f aca="false">IF('Indicator Data'!P32="",IF(Config!$C$15="Score as High (5)",5,0),IF(Indicators!$F32="Higher = riskier",1+('Indicator Data'!P32&gt;=Indicators!$G32)+('Indicator Data'!P32&gt;=Indicators!$H32)+('Indicator Data'!P32&gt;=Indicators!$I32)+('Indicator Data'!P32&gt;=Indicators!$J32),1+('Indicator Data'!P32&lt;=Indicators!$G32)+('Indicator Data'!P32&lt;=Indicators!$H32)+('Indicator Data'!P32&lt;=Indicators!$I32)+('Indicator Data'!P32&lt;=Indicators!$J32)))</f>
        <v>3</v>
      </c>
      <c r="Q32" s="27" t="n">
        <f aca="false">IF('Indicator Data'!Q32="",IF(Config!$C$15="Score as High (5)",5,0),IF(Indicators!$F32="Higher = riskier",1+('Indicator Data'!Q32&gt;=Indicators!$G32)+('Indicator Data'!Q32&gt;=Indicators!$H32)+('Indicator Data'!Q32&gt;=Indicators!$I32)+('Indicator Data'!Q32&gt;=Indicators!$J32),1+('Indicator Data'!Q32&lt;=Indicators!$G32)+('Indicator Data'!Q32&lt;=Indicators!$H32)+('Indicator Data'!Q32&lt;=Indicators!$I32)+('Indicator Data'!Q32&lt;=Indicators!$J32)))</f>
        <v>4</v>
      </c>
      <c r="R32" s="27" t="n">
        <f aca="false">IF('Indicator Data'!R32="",IF(Config!$C$15="Score as High (5)",5,0),IF(Indicators!$F32="Higher = riskier",1+('Indicator Data'!R32&gt;=Indicators!$G32)+('Indicator Data'!R32&gt;=Indicators!$H32)+('Indicator Data'!R32&gt;=Indicators!$I32)+('Indicator Data'!R32&gt;=Indicators!$J32),1+('Indicator Data'!R32&lt;=Indicators!$G32)+('Indicator Data'!R32&lt;=Indicators!$H32)+('Indicator Data'!R32&lt;=Indicators!$I32)+('Indicator Data'!R32&lt;=Indicators!$J32)))</f>
        <v>4</v>
      </c>
      <c r="S32" s="27" t="n">
        <f aca="false">IF('Indicator Data'!S32="",IF(Config!$C$15="Score as High (5)",5,0),IF(Indicators!$F32="Higher = riskier",1+('Indicator Data'!S32&gt;=Indicators!$G32)+('Indicator Data'!S32&gt;=Indicators!$H32)+('Indicator Data'!S32&gt;=Indicators!$I32)+('Indicator Data'!S32&gt;=Indicators!$J32),1+('Indicator Data'!S32&lt;=Indicators!$G32)+('Indicator Data'!S32&lt;=Indicators!$H32)+('Indicator Data'!S32&lt;=Indicators!$I32)+('Indicator Data'!S32&lt;=Indicators!$J32)))</f>
        <v>5</v>
      </c>
      <c r="T32" s="27" t="n">
        <f aca="false">IF('Indicator Data'!T32="",IF(Config!$C$15="Score as High (5)",5,0),IF(Indicators!$F32="Higher = riskier",1+('Indicator Data'!T32&gt;=Indicators!$G32)+('Indicator Data'!T32&gt;=Indicators!$H32)+('Indicator Data'!T32&gt;=Indicators!$I32)+('Indicator Data'!T32&gt;=Indicators!$J32),1+('Indicator Data'!T32&lt;=Indicators!$G32)+('Indicator Data'!T32&lt;=Indicators!$H32)+('Indicator Data'!T32&lt;=Indicators!$I32)+('Indicator Data'!T32&lt;=Indicators!$J32)))</f>
        <v>3</v>
      </c>
      <c r="U32" s="27" t="n">
        <f aca="false">IF('Indicator Data'!U32="",IF(Config!$C$15="Score as High (5)",5,0),IF(Indicators!$F32="Higher = riskier",1+('Indicator Data'!U32&gt;=Indicators!$G32)+('Indicator Data'!U32&gt;=Indicators!$H32)+('Indicator Data'!U32&gt;=Indicators!$I32)+('Indicator Data'!U32&gt;=Indicators!$J32),1+('Indicator Data'!U32&lt;=Indicators!$G32)+('Indicator Data'!U32&lt;=Indicators!$H32)+('Indicator Data'!U32&lt;=Indicators!$I32)+('Indicator Data'!U32&lt;=Indicators!$J32)))</f>
        <v>4</v>
      </c>
      <c r="V32" s="27" t="n">
        <f aca="false">IF('Indicator Data'!V32="",IF(Config!$C$15="Score as High (5)",5,0),IF(Indicators!$F32="Higher = riskier",1+('Indicator Data'!V32&gt;=Indicators!$G32)+('Indicator Data'!V32&gt;=Indicators!$H32)+('Indicator Data'!V32&gt;=Indicators!$I32)+('Indicator Data'!V32&gt;=Indicators!$J32),1+('Indicator Data'!V32&lt;=Indicators!$G32)+('Indicator Data'!V32&lt;=Indicators!$H32)+('Indicator Data'!V32&lt;=Indicators!$I32)+('Indicator Data'!V32&lt;=Indicators!$J32)))</f>
        <v>5</v>
      </c>
      <c r="W32" s="27" t="n">
        <f aca="false">IF('Indicator Data'!W32="",IF(Config!$C$15="Score as High (5)",5,0),IF(Indicators!$F32="Higher = riskier",1+('Indicator Data'!W32&gt;=Indicators!$G32)+('Indicator Data'!W32&gt;=Indicators!$H32)+('Indicator Data'!W32&gt;=Indicators!$I32)+('Indicator Data'!W32&gt;=Indicators!$J32),1+('Indicator Data'!W32&lt;=Indicators!$G32)+('Indicator Data'!W32&lt;=Indicators!$H32)+('Indicator Data'!W32&lt;=Indicators!$I32)+('Indicator Data'!W32&lt;=Indicators!$J32)))</f>
        <v>4</v>
      </c>
      <c r="X32" s="27" t="n">
        <f aca="false">IF('Indicator Data'!X32="",IF(Config!$C$15="Score as High (5)",5,0),IF(Indicators!$F32="Higher = riskier",1+('Indicator Data'!X32&gt;=Indicators!$G32)+('Indicator Data'!X32&gt;=Indicators!$H32)+('Indicator Data'!X32&gt;=Indicators!$I32)+('Indicator Data'!X32&gt;=Indicators!$J32),1+('Indicator Data'!X32&lt;=Indicators!$G32)+('Indicator Data'!X32&lt;=Indicators!$H32)+('Indicator Data'!X32&lt;=Indicators!$I32)+('Indicator Data'!X32&lt;=Indicators!$J32)))</f>
        <v>4</v>
      </c>
      <c r="Y32" s="27" t="n">
        <f aca="false">IF('Indicator Data'!Y32="",IF(Config!$C$15="Score as High (5)",5,0),IF(Indicators!$F32="Higher = riskier",1+('Indicator Data'!Y32&gt;=Indicators!$G32)+('Indicator Data'!Y32&gt;=Indicators!$H32)+('Indicator Data'!Y32&gt;=Indicators!$I32)+('Indicator Data'!Y32&gt;=Indicators!$J32),1+('Indicator Data'!Y32&lt;=Indicators!$G32)+('Indicator Data'!Y32&lt;=Indicators!$H32)+('Indicator Data'!Y32&lt;=Indicators!$I32)+('Indicator Data'!Y32&lt;=Indicators!$J32)))</f>
        <v>1</v>
      </c>
      <c r="Z32" s="27" t="n">
        <f aca="false">IF('Indicator Data'!Z32="",IF(Config!$C$15="Score as High (5)",5,0),IF(Indicators!$F32="Higher = riskier",1+('Indicator Data'!Z32&gt;=Indicators!$G32)+('Indicator Data'!Z32&gt;=Indicators!$H32)+('Indicator Data'!Z32&gt;=Indicators!$I32)+('Indicator Data'!Z32&gt;=Indicators!$J32),1+('Indicator Data'!Z32&lt;=Indicators!$G32)+('Indicator Data'!Z32&lt;=Indicators!$H32)+('Indicator Data'!Z32&lt;=Indicators!$I32)+('Indicator Data'!Z32&lt;=Indicators!$J32)))</f>
        <v>1</v>
      </c>
      <c r="AA32" s="27" t="n">
        <f aca="false">IF('Indicator Data'!AA32="",IF(Config!$C$15="Score as High (5)",5,0),IF(Indicators!$F32="Higher = riskier",1+('Indicator Data'!AA32&gt;=Indicators!$G32)+('Indicator Data'!AA32&gt;=Indicators!$H32)+('Indicator Data'!AA32&gt;=Indicators!$I32)+('Indicator Data'!AA32&gt;=Indicators!$J32),1+('Indicator Data'!AA32&lt;=Indicators!$G32)+('Indicator Data'!AA32&lt;=Indicators!$H32)+('Indicator Data'!AA32&lt;=Indicators!$I32)+('Indicator Data'!AA32&lt;=Indicators!$J32)))</f>
        <v>4</v>
      </c>
      <c r="AB32" s="27" t="n">
        <f aca="false">IF('Indicator Data'!AB32="",IF(Config!$C$15="Score as High (5)",5,0),IF(Indicators!$F32="Higher = riskier",1+('Indicator Data'!AB32&gt;=Indicators!$G32)+('Indicator Data'!AB32&gt;=Indicators!$H32)+('Indicator Data'!AB32&gt;=Indicators!$I32)+('Indicator Data'!AB32&gt;=Indicators!$J32),1+('Indicator Data'!AB32&lt;=Indicators!$G32)+('Indicator Data'!AB32&lt;=Indicators!$H32)+('Indicator Data'!AB32&lt;=Indicators!$I32)+('Indicator Data'!AB32&lt;=Indicators!$J32)))</f>
        <v>1</v>
      </c>
      <c r="AC32" s="27" t="n">
        <f aca="false">IF('Indicator Data'!AC32="",IF(Config!$C$15="Score as High (5)",5,0),IF(Indicators!$F32="Higher = riskier",1+('Indicator Data'!AC32&gt;=Indicators!$G32)+('Indicator Data'!AC32&gt;=Indicators!$H32)+('Indicator Data'!AC32&gt;=Indicators!$I32)+('Indicator Data'!AC32&gt;=Indicators!$J32),1+('Indicator Data'!AC32&lt;=Indicators!$G32)+('Indicator Data'!AC32&lt;=Indicators!$H32)+('Indicator Data'!AC32&lt;=Indicators!$I32)+('Indicator Data'!AC32&lt;=Indicators!$J32)))</f>
        <v>3</v>
      </c>
      <c r="AD32" s="27" t="n">
        <f aca="false">IF('Indicator Data'!AD32="",IF(Config!$C$15="Score as High (5)",5,0),IF(Indicators!$F32="Higher = riskier",1+('Indicator Data'!AD32&gt;=Indicators!$G32)+('Indicator Data'!AD32&gt;=Indicators!$H32)+('Indicator Data'!AD32&gt;=Indicators!$I32)+('Indicator Data'!AD32&gt;=Indicators!$J32),1+('Indicator Data'!AD32&lt;=Indicators!$G32)+('Indicator Data'!AD32&lt;=Indicators!$H32)+('Indicator Data'!AD32&lt;=Indicators!$I32)+('Indicator Data'!AD32&lt;=Indicators!$J32)))</f>
        <v>2</v>
      </c>
      <c r="AE32" s="27" t="n">
        <f aca="false">IF('Indicator Data'!AE32="",IF(Config!$C$15="Score as High (5)",5,0),IF(Indicators!$F32="Higher = riskier",1+('Indicator Data'!AE32&gt;=Indicators!$G32)+('Indicator Data'!AE32&gt;=Indicators!$H32)+('Indicator Data'!AE32&gt;=Indicators!$I32)+('Indicator Data'!AE32&gt;=Indicators!$J32),1+('Indicator Data'!AE32&lt;=Indicators!$G32)+('Indicator Data'!AE32&lt;=Indicators!$H32)+('Indicator Data'!AE32&lt;=Indicators!$I32)+('Indicator Data'!AE32&lt;=Indicators!$J32)))</f>
        <v>3</v>
      </c>
      <c r="AF32" s="27" t="n">
        <f aca="false">IF('Indicator Data'!AF32="",IF(Config!$C$15="Score as High (5)",5,0),IF(Indicators!$F32="Higher = riskier",1+('Indicator Data'!AF32&gt;=Indicators!$G32)+('Indicator Data'!AF32&gt;=Indicators!$H32)+('Indicator Data'!AF32&gt;=Indicators!$I32)+('Indicator Data'!AF32&gt;=Indicators!$J32),1+('Indicator Data'!AF32&lt;=Indicators!$G32)+('Indicator Data'!AF32&lt;=Indicators!$H32)+('Indicator Data'!AF32&lt;=Indicators!$I32)+('Indicator Data'!AF32&lt;=Indicators!$J32)))</f>
        <v>3</v>
      </c>
      <c r="AG32" s="27" t="n">
        <f aca="false">IF('Indicator Data'!AG32="",IF(Config!$C$15="Score as High (5)",5,0),IF(Indicators!$F32="Higher = riskier",1+('Indicator Data'!AG32&gt;=Indicators!$G32)+('Indicator Data'!AG32&gt;=Indicators!$H32)+('Indicator Data'!AG32&gt;=Indicators!$I32)+('Indicator Data'!AG32&gt;=Indicators!$J32),1+('Indicator Data'!AG32&lt;=Indicators!$G32)+('Indicator Data'!AG32&lt;=Indicators!$H32)+('Indicator Data'!AG32&lt;=Indicators!$I32)+('Indicator Data'!AG32&lt;=Indicators!$J32)))</f>
        <v>3</v>
      </c>
    </row>
    <row r="33" customFormat="false" ht="15" hidden="false" customHeight="false" outlineLevel="0" collapsed="false">
      <c r="A33" s="26" t="str">
        <f aca="false">Indicators!A33</f>
        <v>T05</v>
      </c>
      <c r="B33" s="26" t="str">
        <f aca="false">Indicators!C33</f>
        <v>STRs filed per 10,000 customers per year</v>
      </c>
      <c r="C33" s="26" t="str">
        <f aca="false">Indicators!D33</f>
        <v>count</v>
      </c>
      <c r="D33" s="27" t="n">
        <f aca="false">IF('Indicator Data'!D33="",IF(Config!$C$15="Score as High (5)",5,0),IF(Indicators!$F33="Higher = riskier",1+('Indicator Data'!D33&gt;=Indicators!$G33)+('Indicator Data'!D33&gt;=Indicators!$H33)+('Indicator Data'!D33&gt;=Indicators!$I33)+('Indicator Data'!D33&gt;=Indicators!$J33),1+('Indicator Data'!D33&lt;=Indicators!$G33)+('Indicator Data'!D33&lt;=Indicators!$H33)+('Indicator Data'!D33&lt;=Indicators!$I33)+('Indicator Data'!D33&lt;=Indicators!$J33)))</f>
        <v>2</v>
      </c>
      <c r="E33" s="27" t="n">
        <f aca="false">IF('Indicator Data'!E33="",IF(Config!$C$15="Score as High (5)",5,0),IF(Indicators!$F33="Higher = riskier",1+('Indicator Data'!E33&gt;=Indicators!$G33)+('Indicator Data'!E33&gt;=Indicators!$H33)+('Indicator Data'!E33&gt;=Indicators!$I33)+('Indicator Data'!E33&gt;=Indicators!$J33),1+('Indicator Data'!E33&lt;=Indicators!$G33)+('Indicator Data'!E33&lt;=Indicators!$H33)+('Indicator Data'!E33&lt;=Indicators!$I33)+('Indicator Data'!E33&lt;=Indicators!$J33)))</f>
        <v>4</v>
      </c>
      <c r="F33" s="27" t="n">
        <f aca="false">IF('Indicator Data'!F33="",IF(Config!$C$15="Score as High (5)",5,0),IF(Indicators!$F33="Higher = riskier",1+('Indicator Data'!F33&gt;=Indicators!$G33)+('Indicator Data'!F33&gt;=Indicators!$H33)+('Indicator Data'!F33&gt;=Indicators!$I33)+('Indicator Data'!F33&gt;=Indicators!$J33),1+('Indicator Data'!F33&lt;=Indicators!$G33)+('Indicator Data'!F33&lt;=Indicators!$H33)+('Indicator Data'!F33&lt;=Indicators!$I33)+('Indicator Data'!F33&lt;=Indicators!$J33)))</f>
        <v>3</v>
      </c>
      <c r="G33" s="27" t="n">
        <f aca="false">IF('Indicator Data'!G33="",IF(Config!$C$15="Score as High (5)",5,0),IF(Indicators!$F33="Higher = riskier",1+('Indicator Data'!G33&gt;=Indicators!$G33)+('Indicator Data'!G33&gt;=Indicators!$H33)+('Indicator Data'!G33&gt;=Indicators!$I33)+('Indicator Data'!G33&gt;=Indicators!$J33),1+('Indicator Data'!G33&lt;=Indicators!$G33)+('Indicator Data'!G33&lt;=Indicators!$H33)+('Indicator Data'!G33&lt;=Indicators!$I33)+('Indicator Data'!G33&lt;=Indicators!$J33)))</f>
        <v>2</v>
      </c>
      <c r="H33" s="27" t="n">
        <f aca="false">IF('Indicator Data'!H33="",IF(Config!$C$15="Score as High (5)",5,0),IF(Indicators!$F33="Higher = riskier",1+('Indicator Data'!H33&gt;=Indicators!$G33)+('Indicator Data'!H33&gt;=Indicators!$H33)+('Indicator Data'!H33&gt;=Indicators!$I33)+('Indicator Data'!H33&gt;=Indicators!$J33),1+('Indicator Data'!H33&lt;=Indicators!$G33)+('Indicator Data'!H33&lt;=Indicators!$H33)+('Indicator Data'!H33&lt;=Indicators!$I33)+('Indicator Data'!H33&lt;=Indicators!$J33)))</f>
        <v>3</v>
      </c>
      <c r="I33" s="27" t="n">
        <f aca="false">IF('Indicator Data'!I33="",IF(Config!$C$15="Score as High (5)",5,0),IF(Indicators!$F33="Higher = riskier",1+('Indicator Data'!I33&gt;=Indicators!$G33)+('Indicator Data'!I33&gt;=Indicators!$H33)+('Indicator Data'!I33&gt;=Indicators!$I33)+('Indicator Data'!I33&gt;=Indicators!$J33),1+('Indicator Data'!I33&lt;=Indicators!$G33)+('Indicator Data'!I33&lt;=Indicators!$H33)+('Indicator Data'!I33&lt;=Indicators!$I33)+('Indicator Data'!I33&lt;=Indicators!$J33)))</f>
        <v>5</v>
      </c>
      <c r="J33" s="27" t="n">
        <f aca="false">IF('Indicator Data'!J33="",IF(Config!$C$15="Score as High (5)",5,0),IF(Indicators!$F33="Higher = riskier",1+('Indicator Data'!J33&gt;=Indicators!$G33)+('Indicator Data'!J33&gt;=Indicators!$H33)+('Indicator Data'!J33&gt;=Indicators!$I33)+('Indicator Data'!J33&gt;=Indicators!$J33),1+('Indicator Data'!J33&lt;=Indicators!$G33)+('Indicator Data'!J33&lt;=Indicators!$H33)+('Indicator Data'!J33&lt;=Indicators!$I33)+('Indicator Data'!J33&lt;=Indicators!$J33)))</f>
        <v>4</v>
      </c>
      <c r="K33" s="27" t="n">
        <f aca="false">IF('Indicator Data'!K33="",IF(Config!$C$15="Score as High (5)",5,0),IF(Indicators!$F33="Higher = riskier",1+('Indicator Data'!K33&gt;=Indicators!$G33)+('Indicator Data'!K33&gt;=Indicators!$H33)+('Indicator Data'!K33&gt;=Indicators!$I33)+('Indicator Data'!K33&gt;=Indicators!$J33),1+('Indicator Data'!K33&lt;=Indicators!$G33)+('Indicator Data'!K33&lt;=Indicators!$H33)+('Indicator Data'!K33&lt;=Indicators!$I33)+('Indicator Data'!K33&lt;=Indicators!$J33)))</f>
        <v>4</v>
      </c>
      <c r="L33" s="27" t="n">
        <f aca="false">IF('Indicator Data'!L33="",IF(Config!$C$15="Score as High (5)",5,0),IF(Indicators!$F33="Higher = riskier",1+('Indicator Data'!L33&gt;=Indicators!$G33)+('Indicator Data'!L33&gt;=Indicators!$H33)+('Indicator Data'!L33&gt;=Indicators!$I33)+('Indicator Data'!L33&gt;=Indicators!$J33),1+('Indicator Data'!L33&lt;=Indicators!$G33)+('Indicator Data'!L33&lt;=Indicators!$H33)+('Indicator Data'!L33&lt;=Indicators!$I33)+('Indicator Data'!L33&lt;=Indicators!$J33)))</f>
        <v>4</v>
      </c>
      <c r="M33" s="27" t="n">
        <f aca="false">IF('Indicator Data'!M33="",IF(Config!$C$15="Score as High (5)",5,0),IF(Indicators!$F33="Higher = riskier",1+('Indicator Data'!M33&gt;=Indicators!$G33)+('Indicator Data'!M33&gt;=Indicators!$H33)+('Indicator Data'!M33&gt;=Indicators!$I33)+('Indicator Data'!M33&gt;=Indicators!$J33),1+('Indicator Data'!M33&lt;=Indicators!$G33)+('Indicator Data'!M33&lt;=Indicators!$H33)+('Indicator Data'!M33&lt;=Indicators!$I33)+('Indicator Data'!M33&lt;=Indicators!$J33)))</f>
        <v>4</v>
      </c>
      <c r="N33" s="27" t="n">
        <f aca="false">IF('Indicator Data'!N33="",IF(Config!$C$15="Score as High (5)",5,0),IF(Indicators!$F33="Higher = riskier",1+('Indicator Data'!N33&gt;=Indicators!$G33)+('Indicator Data'!N33&gt;=Indicators!$H33)+('Indicator Data'!N33&gt;=Indicators!$I33)+('Indicator Data'!N33&gt;=Indicators!$J33),1+('Indicator Data'!N33&lt;=Indicators!$G33)+('Indicator Data'!N33&lt;=Indicators!$H33)+('Indicator Data'!N33&lt;=Indicators!$I33)+('Indicator Data'!N33&lt;=Indicators!$J33)))</f>
        <v>1</v>
      </c>
      <c r="O33" s="27" t="n">
        <f aca="false">IF('Indicator Data'!O33="",IF(Config!$C$15="Score as High (5)",5,0),IF(Indicators!$F33="Higher = riskier",1+('Indicator Data'!O33&gt;=Indicators!$G33)+('Indicator Data'!O33&gt;=Indicators!$H33)+('Indicator Data'!O33&gt;=Indicators!$I33)+('Indicator Data'!O33&gt;=Indicators!$J33),1+('Indicator Data'!O33&lt;=Indicators!$G33)+('Indicator Data'!O33&lt;=Indicators!$H33)+('Indicator Data'!O33&lt;=Indicators!$I33)+('Indicator Data'!O33&lt;=Indicators!$J33)))</f>
        <v>3</v>
      </c>
      <c r="P33" s="27" t="n">
        <f aca="false">IF('Indicator Data'!P33="",IF(Config!$C$15="Score as High (5)",5,0),IF(Indicators!$F33="Higher = riskier",1+('Indicator Data'!P33&gt;=Indicators!$G33)+('Indicator Data'!P33&gt;=Indicators!$H33)+('Indicator Data'!P33&gt;=Indicators!$I33)+('Indicator Data'!P33&gt;=Indicators!$J33),1+('Indicator Data'!P33&lt;=Indicators!$G33)+('Indicator Data'!P33&lt;=Indicators!$H33)+('Indicator Data'!P33&lt;=Indicators!$I33)+('Indicator Data'!P33&lt;=Indicators!$J33)))</f>
        <v>2</v>
      </c>
      <c r="Q33" s="27" t="n">
        <f aca="false">IF('Indicator Data'!Q33="",IF(Config!$C$15="Score as High (5)",5,0),IF(Indicators!$F33="Higher = riskier",1+('Indicator Data'!Q33&gt;=Indicators!$G33)+('Indicator Data'!Q33&gt;=Indicators!$H33)+('Indicator Data'!Q33&gt;=Indicators!$I33)+('Indicator Data'!Q33&gt;=Indicators!$J33),1+('Indicator Data'!Q33&lt;=Indicators!$G33)+('Indicator Data'!Q33&lt;=Indicators!$H33)+('Indicator Data'!Q33&lt;=Indicators!$I33)+('Indicator Data'!Q33&lt;=Indicators!$J33)))</f>
        <v>3</v>
      </c>
      <c r="R33" s="27" t="n">
        <f aca="false">IF('Indicator Data'!R33="",IF(Config!$C$15="Score as High (5)",5,0),IF(Indicators!$F33="Higher = riskier",1+('Indicator Data'!R33&gt;=Indicators!$G33)+('Indicator Data'!R33&gt;=Indicators!$H33)+('Indicator Data'!R33&gt;=Indicators!$I33)+('Indicator Data'!R33&gt;=Indicators!$J33),1+('Indicator Data'!R33&lt;=Indicators!$G33)+('Indicator Data'!R33&lt;=Indicators!$H33)+('Indicator Data'!R33&lt;=Indicators!$I33)+('Indicator Data'!R33&lt;=Indicators!$J33)))</f>
        <v>4</v>
      </c>
      <c r="S33" s="27" t="n">
        <f aca="false">IF('Indicator Data'!S33="",IF(Config!$C$15="Score as High (5)",5,0),IF(Indicators!$F33="Higher = riskier",1+('Indicator Data'!S33&gt;=Indicators!$G33)+('Indicator Data'!S33&gt;=Indicators!$H33)+('Indicator Data'!S33&gt;=Indicators!$I33)+('Indicator Data'!S33&gt;=Indicators!$J33),1+('Indicator Data'!S33&lt;=Indicators!$G33)+('Indicator Data'!S33&lt;=Indicators!$H33)+('Indicator Data'!S33&lt;=Indicators!$I33)+('Indicator Data'!S33&lt;=Indicators!$J33)))</f>
        <v>4</v>
      </c>
      <c r="T33" s="27" t="n">
        <f aca="false">IF('Indicator Data'!T33="",IF(Config!$C$15="Score as High (5)",5,0),IF(Indicators!$F33="Higher = riskier",1+('Indicator Data'!T33&gt;=Indicators!$G33)+('Indicator Data'!T33&gt;=Indicators!$H33)+('Indicator Data'!T33&gt;=Indicators!$I33)+('Indicator Data'!T33&gt;=Indicators!$J33),1+('Indicator Data'!T33&lt;=Indicators!$G33)+('Indicator Data'!T33&lt;=Indicators!$H33)+('Indicator Data'!T33&lt;=Indicators!$I33)+('Indicator Data'!T33&lt;=Indicators!$J33)))</f>
        <v>3</v>
      </c>
      <c r="U33" s="27" t="n">
        <f aca="false">IF('Indicator Data'!U33="",IF(Config!$C$15="Score as High (5)",5,0),IF(Indicators!$F33="Higher = riskier",1+('Indicator Data'!U33&gt;=Indicators!$G33)+('Indicator Data'!U33&gt;=Indicators!$H33)+('Indicator Data'!U33&gt;=Indicators!$I33)+('Indicator Data'!U33&gt;=Indicators!$J33),1+('Indicator Data'!U33&lt;=Indicators!$G33)+('Indicator Data'!U33&lt;=Indicators!$H33)+('Indicator Data'!U33&lt;=Indicators!$I33)+('Indicator Data'!U33&lt;=Indicators!$J33)))</f>
        <v>4</v>
      </c>
      <c r="V33" s="27" t="n">
        <f aca="false">IF('Indicator Data'!V33="",IF(Config!$C$15="Score as High (5)",5,0),IF(Indicators!$F33="Higher = riskier",1+('Indicator Data'!V33&gt;=Indicators!$G33)+('Indicator Data'!V33&gt;=Indicators!$H33)+('Indicator Data'!V33&gt;=Indicators!$I33)+('Indicator Data'!V33&gt;=Indicators!$J33),1+('Indicator Data'!V33&lt;=Indicators!$G33)+('Indicator Data'!V33&lt;=Indicators!$H33)+('Indicator Data'!V33&lt;=Indicators!$I33)+('Indicator Data'!V33&lt;=Indicators!$J33)))</f>
        <v>2</v>
      </c>
      <c r="W33" s="27" t="n">
        <f aca="false">IF('Indicator Data'!W33="",IF(Config!$C$15="Score as High (5)",5,0),IF(Indicators!$F33="Higher = riskier",1+('Indicator Data'!W33&gt;=Indicators!$G33)+('Indicator Data'!W33&gt;=Indicators!$H33)+('Indicator Data'!W33&gt;=Indicators!$I33)+('Indicator Data'!W33&gt;=Indicators!$J33),1+('Indicator Data'!W33&lt;=Indicators!$G33)+('Indicator Data'!W33&lt;=Indicators!$H33)+('Indicator Data'!W33&lt;=Indicators!$I33)+('Indicator Data'!W33&lt;=Indicators!$J33)))</f>
        <v>5</v>
      </c>
      <c r="X33" s="27" t="n">
        <f aca="false">IF('Indicator Data'!X33="",IF(Config!$C$15="Score as High (5)",5,0),IF(Indicators!$F33="Higher = riskier",1+('Indicator Data'!X33&gt;=Indicators!$G33)+('Indicator Data'!X33&gt;=Indicators!$H33)+('Indicator Data'!X33&gt;=Indicators!$I33)+('Indicator Data'!X33&gt;=Indicators!$J33),1+('Indicator Data'!X33&lt;=Indicators!$G33)+('Indicator Data'!X33&lt;=Indicators!$H33)+('Indicator Data'!X33&lt;=Indicators!$I33)+('Indicator Data'!X33&lt;=Indicators!$J33)))</f>
        <v>4</v>
      </c>
      <c r="Y33" s="27" t="n">
        <f aca="false">IF('Indicator Data'!Y33="",IF(Config!$C$15="Score as High (5)",5,0),IF(Indicators!$F33="Higher = riskier",1+('Indicator Data'!Y33&gt;=Indicators!$G33)+('Indicator Data'!Y33&gt;=Indicators!$H33)+('Indicator Data'!Y33&gt;=Indicators!$I33)+('Indicator Data'!Y33&gt;=Indicators!$J33),1+('Indicator Data'!Y33&lt;=Indicators!$G33)+('Indicator Data'!Y33&lt;=Indicators!$H33)+('Indicator Data'!Y33&lt;=Indicators!$I33)+('Indicator Data'!Y33&lt;=Indicators!$J33)))</f>
        <v>1</v>
      </c>
      <c r="Z33" s="27" t="n">
        <f aca="false">IF('Indicator Data'!Z33="",IF(Config!$C$15="Score as High (5)",5,0),IF(Indicators!$F33="Higher = riskier",1+('Indicator Data'!Z33&gt;=Indicators!$G33)+('Indicator Data'!Z33&gt;=Indicators!$H33)+('Indicator Data'!Z33&gt;=Indicators!$I33)+('Indicator Data'!Z33&gt;=Indicators!$J33),1+('Indicator Data'!Z33&lt;=Indicators!$G33)+('Indicator Data'!Z33&lt;=Indicators!$H33)+('Indicator Data'!Z33&lt;=Indicators!$I33)+('Indicator Data'!Z33&lt;=Indicators!$J33)))</f>
        <v>2</v>
      </c>
      <c r="AA33" s="27" t="n">
        <f aca="false">IF('Indicator Data'!AA33="",IF(Config!$C$15="Score as High (5)",5,0),IF(Indicators!$F33="Higher = riskier",1+('Indicator Data'!AA33&gt;=Indicators!$G33)+('Indicator Data'!AA33&gt;=Indicators!$H33)+('Indicator Data'!AA33&gt;=Indicators!$I33)+('Indicator Data'!AA33&gt;=Indicators!$J33),1+('Indicator Data'!AA33&lt;=Indicators!$G33)+('Indicator Data'!AA33&lt;=Indicators!$H33)+('Indicator Data'!AA33&lt;=Indicators!$I33)+('Indicator Data'!AA33&lt;=Indicators!$J33)))</f>
        <v>2</v>
      </c>
      <c r="AB33" s="27" t="n">
        <f aca="false">IF('Indicator Data'!AB33="",IF(Config!$C$15="Score as High (5)",5,0),IF(Indicators!$F33="Higher = riskier",1+('Indicator Data'!AB33&gt;=Indicators!$G33)+('Indicator Data'!AB33&gt;=Indicators!$H33)+('Indicator Data'!AB33&gt;=Indicators!$I33)+('Indicator Data'!AB33&gt;=Indicators!$J33),1+('Indicator Data'!AB33&lt;=Indicators!$G33)+('Indicator Data'!AB33&lt;=Indicators!$H33)+('Indicator Data'!AB33&lt;=Indicators!$I33)+('Indicator Data'!AB33&lt;=Indicators!$J33)))</f>
        <v>1</v>
      </c>
      <c r="AC33" s="27" t="n">
        <f aca="false">IF('Indicator Data'!AC33="",IF(Config!$C$15="Score as High (5)",5,0),IF(Indicators!$F33="Higher = riskier",1+('Indicator Data'!AC33&gt;=Indicators!$G33)+('Indicator Data'!AC33&gt;=Indicators!$H33)+('Indicator Data'!AC33&gt;=Indicators!$I33)+('Indicator Data'!AC33&gt;=Indicators!$J33),1+('Indicator Data'!AC33&lt;=Indicators!$G33)+('Indicator Data'!AC33&lt;=Indicators!$H33)+('Indicator Data'!AC33&lt;=Indicators!$I33)+('Indicator Data'!AC33&lt;=Indicators!$J33)))</f>
        <v>2</v>
      </c>
      <c r="AD33" s="27" t="n">
        <f aca="false">IF('Indicator Data'!AD33="",IF(Config!$C$15="Score as High (5)",5,0),IF(Indicators!$F33="Higher = riskier",1+('Indicator Data'!AD33&gt;=Indicators!$G33)+('Indicator Data'!AD33&gt;=Indicators!$H33)+('Indicator Data'!AD33&gt;=Indicators!$I33)+('Indicator Data'!AD33&gt;=Indicators!$J33),1+('Indicator Data'!AD33&lt;=Indicators!$G33)+('Indicator Data'!AD33&lt;=Indicators!$H33)+('Indicator Data'!AD33&lt;=Indicators!$I33)+('Indicator Data'!AD33&lt;=Indicators!$J33)))</f>
        <v>1</v>
      </c>
      <c r="AE33" s="27" t="n">
        <f aca="false">IF('Indicator Data'!AE33="",IF(Config!$C$15="Score as High (5)",5,0),IF(Indicators!$F33="Higher = riskier",1+('Indicator Data'!AE33&gt;=Indicators!$G33)+('Indicator Data'!AE33&gt;=Indicators!$H33)+('Indicator Data'!AE33&gt;=Indicators!$I33)+('Indicator Data'!AE33&gt;=Indicators!$J33),1+('Indicator Data'!AE33&lt;=Indicators!$G33)+('Indicator Data'!AE33&lt;=Indicators!$H33)+('Indicator Data'!AE33&lt;=Indicators!$I33)+('Indicator Data'!AE33&lt;=Indicators!$J33)))</f>
        <v>1</v>
      </c>
      <c r="AF33" s="27" t="n">
        <f aca="false">IF('Indicator Data'!AF33="",IF(Config!$C$15="Score as High (5)",5,0),IF(Indicators!$F33="Higher = riskier",1+('Indicator Data'!AF33&gt;=Indicators!$G33)+('Indicator Data'!AF33&gt;=Indicators!$H33)+('Indicator Data'!AF33&gt;=Indicators!$I33)+('Indicator Data'!AF33&gt;=Indicators!$J33),1+('Indicator Data'!AF33&lt;=Indicators!$G33)+('Indicator Data'!AF33&lt;=Indicators!$H33)+('Indicator Data'!AF33&lt;=Indicators!$I33)+('Indicator Data'!AF33&lt;=Indicators!$J33)))</f>
        <v>1</v>
      </c>
      <c r="AG33" s="27" t="n">
        <f aca="false">IF('Indicator Data'!AG33="",IF(Config!$C$15="Score as High (5)",5,0),IF(Indicators!$F33="Higher = riskier",1+('Indicator Data'!AG33&gt;=Indicators!$G33)+('Indicator Data'!AG33&gt;=Indicators!$H33)+('Indicator Data'!AG33&gt;=Indicators!$I33)+('Indicator Data'!AG33&gt;=Indicators!$J33),1+('Indicator Data'!AG33&lt;=Indicators!$G33)+('Indicator Data'!AG33&lt;=Indicators!$H33)+('Indicator Data'!AG33&lt;=Indicators!$I33)+('Indicator Data'!AG33&lt;=Indicators!$J33)))</f>
        <v>2</v>
      </c>
    </row>
    <row r="34" customFormat="false" ht="15" hidden="false" customHeight="false" outlineLevel="0" collapsed="false">
      <c r="A34" s="26" t="str">
        <f aca="false">Indicators!A34</f>
        <v>T06</v>
      </c>
      <c r="B34" s="26" t="str">
        <f aca="false">Indicators!C34</f>
        <v>Fraud cases per 10,000 customers per year</v>
      </c>
      <c r="C34" s="26" t="str">
        <f aca="false">Indicators!D34</f>
        <v>count</v>
      </c>
      <c r="D34" s="27" t="n">
        <f aca="false">IF('Indicator Data'!D34="",IF(Config!$C$15="Score as High (5)",5,0),IF(Indicators!$F34="Higher = riskier",1+('Indicator Data'!D34&gt;=Indicators!$G34)+('Indicator Data'!D34&gt;=Indicators!$H34)+('Indicator Data'!D34&gt;=Indicators!$I34)+('Indicator Data'!D34&gt;=Indicators!$J34),1+('Indicator Data'!D34&lt;=Indicators!$G34)+('Indicator Data'!D34&lt;=Indicators!$H34)+('Indicator Data'!D34&lt;=Indicators!$I34)+('Indicator Data'!D34&lt;=Indicators!$J34)))</f>
        <v>3</v>
      </c>
      <c r="E34" s="27" t="n">
        <f aca="false">IF('Indicator Data'!E34="",IF(Config!$C$15="Score as High (5)",5,0),IF(Indicators!$F34="Higher = riskier",1+('Indicator Data'!E34&gt;=Indicators!$G34)+('Indicator Data'!E34&gt;=Indicators!$H34)+('Indicator Data'!E34&gt;=Indicators!$I34)+('Indicator Data'!E34&gt;=Indicators!$J34),1+('Indicator Data'!E34&lt;=Indicators!$G34)+('Indicator Data'!E34&lt;=Indicators!$H34)+('Indicator Data'!E34&lt;=Indicators!$I34)+('Indicator Data'!E34&lt;=Indicators!$J34)))</f>
        <v>2</v>
      </c>
      <c r="F34" s="27" t="n">
        <f aca="false">IF('Indicator Data'!F34="",IF(Config!$C$15="Score as High (5)",5,0),IF(Indicators!$F34="Higher = riskier",1+('Indicator Data'!F34&gt;=Indicators!$G34)+('Indicator Data'!F34&gt;=Indicators!$H34)+('Indicator Data'!F34&gt;=Indicators!$I34)+('Indicator Data'!F34&gt;=Indicators!$J34),1+('Indicator Data'!F34&lt;=Indicators!$G34)+('Indicator Data'!F34&lt;=Indicators!$H34)+('Indicator Data'!F34&lt;=Indicators!$I34)+('Indicator Data'!F34&lt;=Indicators!$J34)))</f>
        <v>2</v>
      </c>
      <c r="G34" s="27" t="n">
        <f aca="false">IF('Indicator Data'!G34="",IF(Config!$C$15="Score as High (5)",5,0),IF(Indicators!$F34="Higher = riskier",1+('Indicator Data'!G34&gt;=Indicators!$G34)+('Indicator Data'!G34&gt;=Indicators!$H34)+('Indicator Data'!G34&gt;=Indicators!$I34)+('Indicator Data'!G34&gt;=Indicators!$J34),1+('Indicator Data'!G34&lt;=Indicators!$G34)+('Indicator Data'!G34&lt;=Indicators!$H34)+('Indicator Data'!G34&lt;=Indicators!$I34)+('Indicator Data'!G34&lt;=Indicators!$J34)))</f>
        <v>2</v>
      </c>
      <c r="H34" s="27" t="n">
        <f aca="false">IF('Indicator Data'!H34="",IF(Config!$C$15="Score as High (5)",5,0),IF(Indicators!$F34="Higher = riskier",1+('Indicator Data'!H34&gt;=Indicators!$G34)+('Indicator Data'!H34&gt;=Indicators!$H34)+('Indicator Data'!H34&gt;=Indicators!$I34)+('Indicator Data'!H34&gt;=Indicators!$J34),1+('Indicator Data'!H34&lt;=Indicators!$G34)+('Indicator Data'!H34&lt;=Indicators!$H34)+('Indicator Data'!H34&lt;=Indicators!$I34)+('Indicator Data'!H34&lt;=Indicators!$J34)))</f>
        <v>4</v>
      </c>
      <c r="I34" s="27" t="n">
        <f aca="false">IF('Indicator Data'!I34="",IF(Config!$C$15="Score as High (5)",5,0),IF(Indicators!$F34="Higher = riskier",1+('Indicator Data'!I34&gt;=Indicators!$G34)+('Indicator Data'!I34&gt;=Indicators!$H34)+('Indicator Data'!I34&gt;=Indicators!$I34)+('Indicator Data'!I34&gt;=Indicators!$J34),1+('Indicator Data'!I34&lt;=Indicators!$G34)+('Indicator Data'!I34&lt;=Indicators!$H34)+('Indicator Data'!I34&lt;=Indicators!$I34)+('Indicator Data'!I34&lt;=Indicators!$J34)))</f>
        <v>5</v>
      </c>
      <c r="J34" s="27" t="n">
        <f aca="false">IF('Indicator Data'!J34="",IF(Config!$C$15="Score as High (5)",5,0),IF(Indicators!$F34="Higher = riskier",1+('Indicator Data'!J34&gt;=Indicators!$G34)+('Indicator Data'!J34&gt;=Indicators!$H34)+('Indicator Data'!J34&gt;=Indicators!$I34)+('Indicator Data'!J34&gt;=Indicators!$J34),1+('Indicator Data'!J34&lt;=Indicators!$G34)+('Indicator Data'!J34&lt;=Indicators!$H34)+('Indicator Data'!J34&lt;=Indicators!$I34)+('Indicator Data'!J34&lt;=Indicators!$J34)))</f>
        <v>4</v>
      </c>
      <c r="K34" s="27" t="n">
        <f aca="false">IF('Indicator Data'!K34="",IF(Config!$C$15="Score as High (5)",5,0),IF(Indicators!$F34="Higher = riskier",1+('Indicator Data'!K34&gt;=Indicators!$G34)+('Indicator Data'!K34&gt;=Indicators!$H34)+('Indicator Data'!K34&gt;=Indicators!$I34)+('Indicator Data'!K34&gt;=Indicators!$J34),1+('Indicator Data'!K34&lt;=Indicators!$G34)+('Indicator Data'!K34&lt;=Indicators!$H34)+('Indicator Data'!K34&lt;=Indicators!$I34)+('Indicator Data'!K34&lt;=Indicators!$J34)))</f>
        <v>4</v>
      </c>
      <c r="L34" s="27" t="n">
        <f aca="false">IF('Indicator Data'!L34="",IF(Config!$C$15="Score as High (5)",5,0),IF(Indicators!$F34="Higher = riskier",1+('Indicator Data'!L34&gt;=Indicators!$G34)+('Indicator Data'!L34&gt;=Indicators!$H34)+('Indicator Data'!L34&gt;=Indicators!$I34)+('Indicator Data'!L34&gt;=Indicators!$J34),1+('Indicator Data'!L34&lt;=Indicators!$G34)+('Indicator Data'!L34&lt;=Indicators!$H34)+('Indicator Data'!L34&lt;=Indicators!$I34)+('Indicator Data'!L34&lt;=Indicators!$J34)))</f>
        <v>4</v>
      </c>
      <c r="M34" s="27" t="n">
        <f aca="false">IF('Indicator Data'!M34="",IF(Config!$C$15="Score as High (5)",5,0),IF(Indicators!$F34="Higher = riskier",1+('Indicator Data'!M34&gt;=Indicators!$G34)+('Indicator Data'!M34&gt;=Indicators!$H34)+('Indicator Data'!M34&gt;=Indicators!$I34)+('Indicator Data'!M34&gt;=Indicators!$J34),1+('Indicator Data'!M34&lt;=Indicators!$G34)+('Indicator Data'!M34&lt;=Indicators!$H34)+('Indicator Data'!M34&lt;=Indicators!$I34)+('Indicator Data'!M34&lt;=Indicators!$J34)))</f>
        <v>5</v>
      </c>
      <c r="N34" s="27" t="n">
        <f aca="false">IF('Indicator Data'!N34="",IF(Config!$C$15="Score as High (5)",5,0),IF(Indicators!$F34="Higher = riskier",1+('Indicator Data'!N34&gt;=Indicators!$G34)+('Indicator Data'!N34&gt;=Indicators!$H34)+('Indicator Data'!N34&gt;=Indicators!$I34)+('Indicator Data'!N34&gt;=Indicators!$J34),1+('Indicator Data'!N34&lt;=Indicators!$G34)+('Indicator Data'!N34&lt;=Indicators!$H34)+('Indicator Data'!N34&lt;=Indicators!$I34)+('Indicator Data'!N34&lt;=Indicators!$J34)))</f>
        <v>2</v>
      </c>
      <c r="O34" s="27" t="n">
        <f aca="false">IF('Indicator Data'!O34="",IF(Config!$C$15="Score as High (5)",5,0),IF(Indicators!$F34="Higher = riskier",1+('Indicator Data'!O34&gt;=Indicators!$G34)+('Indicator Data'!O34&gt;=Indicators!$H34)+('Indicator Data'!O34&gt;=Indicators!$I34)+('Indicator Data'!O34&gt;=Indicators!$J34),1+('Indicator Data'!O34&lt;=Indicators!$G34)+('Indicator Data'!O34&lt;=Indicators!$H34)+('Indicator Data'!O34&lt;=Indicators!$I34)+('Indicator Data'!O34&lt;=Indicators!$J34)))</f>
        <v>1</v>
      </c>
      <c r="P34" s="27" t="n">
        <f aca="false">IF('Indicator Data'!P34="",IF(Config!$C$15="Score as High (5)",5,0),IF(Indicators!$F34="Higher = riskier",1+('Indicator Data'!P34&gt;=Indicators!$G34)+('Indicator Data'!P34&gt;=Indicators!$H34)+('Indicator Data'!P34&gt;=Indicators!$I34)+('Indicator Data'!P34&gt;=Indicators!$J34),1+('Indicator Data'!P34&lt;=Indicators!$G34)+('Indicator Data'!P34&lt;=Indicators!$H34)+('Indicator Data'!P34&lt;=Indicators!$I34)+('Indicator Data'!P34&lt;=Indicators!$J34)))</f>
        <v>4</v>
      </c>
      <c r="Q34" s="27" t="n">
        <f aca="false">IF('Indicator Data'!Q34="",IF(Config!$C$15="Score as High (5)",5,0),IF(Indicators!$F34="Higher = riskier",1+('Indicator Data'!Q34&gt;=Indicators!$G34)+('Indicator Data'!Q34&gt;=Indicators!$H34)+('Indicator Data'!Q34&gt;=Indicators!$I34)+('Indicator Data'!Q34&gt;=Indicators!$J34),1+('Indicator Data'!Q34&lt;=Indicators!$G34)+('Indicator Data'!Q34&lt;=Indicators!$H34)+('Indicator Data'!Q34&lt;=Indicators!$I34)+('Indicator Data'!Q34&lt;=Indicators!$J34)))</f>
        <v>3</v>
      </c>
      <c r="R34" s="27" t="n">
        <f aca="false">IF('Indicator Data'!R34="",IF(Config!$C$15="Score as High (5)",5,0),IF(Indicators!$F34="Higher = riskier",1+('Indicator Data'!R34&gt;=Indicators!$G34)+('Indicator Data'!R34&gt;=Indicators!$H34)+('Indicator Data'!R34&gt;=Indicators!$I34)+('Indicator Data'!R34&gt;=Indicators!$J34),1+('Indicator Data'!R34&lt;=Indicators!$G34)+('Indicator Data'!R34&lt;=Indicators!$H34)+('Indicator Data'!R34&lt;=Indicators!$I34)+('Indicator Data'!R34&lt;=Indicators!$J34)))</f>
        <v>4</v>
      </c>
      <c r="S34" s="27" t="n">
        <f aca="false">IF('Indicator Data'!S34="",IF(Config!$C$15="Score as High (5)",5,0),IF(Indicators!$F34="Higher = riskier",1+('Indicator Data'!S34&gt;=Indicators!$G34)+('Indicator Data'!S34&gt;=Indicators!$H34)+('Indicator Data'!S34&gt;=Indicators!$I34)+('Indicator Data'!S34&gt;=Indicators!$J34),1+('Indicator Data'!S34&lt;=Indicators!$G34)+('Indicator Data'!S34&lt;=Indicators!$H34)+('Indicator Data'!S34&lt;=Indicators!$I34)+('Indicator Data'!S34&lt;=Indicators!$J34)))</f>
        <v>4</v>
      </c>
      <c r="T34" s="27" t="n">
        <f aca="false">IF('Indicator Data'!T34="",IF(Config!$C$15="Score as High (5)",5,0),IF(Indicators!$F34="Higher = riskier",1+('Indicator Data'!T34&gt;=Indicators!$G34)+('Indicator Data'!T34&gt;=Indicators!$H34)+('Indicator Data'!T34&gt;=Indicators!$I34)+('Indicator Data'!T34&gt;=Indicators!$J34),1+('Indicator Data'!T34&lt;=Indicators!$G34)+('Indicator Data'!T34&lt;=Indicators!$H34)+('Indicator Data'!T34&lt;=Indicators!$I34)+('Indicator Data'!T34&lt;=Indicators!$J34)))</f>
        <v>4</v>
      </c>
      <c r="U34" s="27" t="n">
        <f aca="false">IF('Indicator Data'!U34="",IF(Config!$C$15="Score as High (5)",5,0),IF(Indicators!$F34="Higher = riskier",1+('Indicator Data'!U34&gt;=Indicators!$G34)+('Indicator Data'!U34&gt;=Indicators!$H34)+('Indicator Data'!U34&gt;=Indicators!$I34)+('Indicator Data'!U34&gt;=Indicators!$J34),1+('Indicator Data'!U34&lt;=Indicators!$G34)+('Indicator Data'!U34&lt;=Indicators!$H34)+('Indicator Data'!U34&lt;=Indicators!$I34)+('Indicator Data'!U34&lt;=Indicators!$J34)))</f>
        <v>4</v>
      </c>
      <c r="V34" s="27" t="n">
        <f aca="false">IF('Indicator Data'!V34="",IF(Config!$C$15="Score as High (5)",5,0),IF(Indicators!$F34="Higher = riskier",1+('Indicator Data'!V34&gt;=Indicators!$G34)+('Indicator Data'!V34&gt;=Indicators!$H34)+('Indicator Data'!V34&gt;=Indicators!$I34)+('Indicator Data'!V34&gt;=Indicators!$J34),1+('Indicator Data'!V34&lt;=Indicators!$G34)+('Indicator Data'!V34&lt;=Indicators!$H34)+('Indicator Data'!V34&lt;=Indicators!$I34)+('Indicator Data'!V34&lt;=Indicators!$J34)))</f>
        <v>5</v>
      </c>
      <c r="W34" s="27" t="n">
        <f aca="false">IF('Indicator Data'!W34="",IF(Config!$C$15="Score as High (5)",5,0),IF(Indicators!$F34="Higher = riskier",1+('Indicator Data'!W34&gt;=Indicators!$G34)+('Indicator Data'!W34&gt;=Indicators!$H34)+('Indicator Data'!W34&gt;=Indicators!$I34)+('Indicator Data'!W34&gt;=Indicators!$J34),1+('Indicator Data'!W34&lt;=Indicators!$G34)+('Indicator Data'!W34&lt;=Indicators!$H34)+('Indicator Data'!W34&lt;=Indicators!$I34)+('Indicator Data'!W34&lt;=Indicators!$J34)))</f>
        <v>4</v>
      </c>
      <c r="X34" s="27" t="n">
        <f aca="false">IF('Indicator Data'!X34="",IF(Config!$C$15="Score as High (5)",5,0),IF(Indicators!$F34="Higher = riskier",1+('Indicator Data'!X34&gt;=Indicators!$G34)+('Indicator Data'!X34&gt;=Indicators!$H34)+('Indicator Data'!X34&gt;=Indicators!$I34)+('Indicator Data'!X34&gt;=Indicators!$J34),1+('Indicator Data'!X34&lt;=Indicators!$G34)+('Indicator Data'!X34&lt;=Indicators!$H34)+('Indicator Data'!X34&lt;=Indicators!$I34)+('Indicator Data'!X34&lt;=Indicators!$J34)))</f>
        <v>5</v>
      </c>
      <c r="Y34" s="27" t="n">
        <f aca="false">IF('Indicator Data'!Y34="",IF(Config!$C$15="Score as High (5)",5,0),IF(Indicators!$F34="Higher = riskier",1+('Indicator Data'!Y34&gt;=Indicators!$G34)+('Indicator Data'!Y34&gt;=Indicators!$H34)+('Indicator Data'!Y34&gt;=Indicators!$I34)+('Indicator Data'!Y34&gt;=Indicators!$J34),1+('Indicator Data'!Y34&lt;=Indicators!$G34)+('Indicator Data'!Y34&lt;=Indicators!$H34)+('Indicator Data'!Y34&lt;=Indicators!$I34)+('Indicator Data'!Y34&lt;=Indicators!$J34)))</f>
        <v>1</v>
      </c>
      <c r="Z34" s="27" t="n">
        <f aca="false">IF('Indicator Data'!Z34="",IF(Config!$C$15="Score as High (5)",5,0),IF(Indicators!$F34="Higher = riskier",1+('Indicator Data'!Z34&gt;=Indicators!$G34)+('Indicator Data'!Z34&gt;=Indicators!$H34)+('Indicator Data'!Z34&gt;=Indicators!$I34)+('Indicator Data'!Z34&gt;=Indicators!$J34),1+('Indicator Data'!Z34&lt;=Indicators!$G34)+('Indicator Data'!Z34&lt;=Indicators!$H34)+('Indicator Data'!Z34&lt;=Indicators!$I34)+('Indicator Data'!Z34&lt;=Indicators!$J34)))</f>
        <v>2</v>
      </c>
      <c r="AA34" s="27" t="n">
        <f aca="false">IF('Indicator Data'!AA34="",IF(Config!$C$15="Score as High (5)",5,0),IF(Indicators!$F34="Higher = riskier",1+('Indicator Data'!AA34&gt;=Indicators!$G34)+('Indicator Data'!AA34&gt;=Indicators!$H34)+('Indicator Data'!AA34&gt;=Indicators!$I34)+('Indicator Data'!AA34&gt;=Indicators!$J34),1+('Indicator Data'!AA34&lt;=Indicators!$G34)+('Indicator Data'!AA34&lt;=Indicators!$H34)+('Indicator Data'!AA34&lt;=Indicators!$I34)+('Indicator Data'!AA34&lt;=Indicators!$J34)))</f>
        <v>1</v>
      </c>
      <c r="AB34" s="27" t="n">
        <f aca="false">IF('Indicator Data'!AB34="",IF(Config!$C$15="Score as High (5)",5,0),IF(Indicators!$F34="Higher = riskier",1+('Indicator Data'!AB34&gt;=Indicators!$G34)+('Indicator Data'!AB34&gt;=Indicators!$H34)+('Indicator Data'!AB34&gt;=Indicators!$I34)+('Indicator Data'!AB34&gt;=Indicators!$J34),1+('Indicator Data'!AB34&lt;=Indicators!$G34)+('Indicator Data'!AB34&lt;=Indicators!$H34)+('Indicator Data'!AB34&lt;=Indicators!$I34)+('Indicator Data'!AB34&lt;=Indicators!$J34)))</f>
        <v>2</v>
      </c>
      <c r="AC34" s="27" t="n">
        <f aca="false">IF('Indicator Data'!AC34="",IF(Config!$C$15="Score as High (5)",5,0),IF(Indicators!$F34="Higher = riskier",1+('Indicator Data'!AC34&gt;=Indicators!$G34)+('Indicator Data'!AC34&gt;=Indicators!$H34)+('Indicator Data'!AC34&gt;=Indicators!$I34)+('Indicator Data'!AC34&gt;=Indicators!$J34),1+('Indicator Data'!AC34&lt;=Indicators!$G34)+('Indicator Data'!AC34&lt;=Indicators!$H34)+('Indicator Data'!AC34&lt;=Indicators!$I34)+('Indicator Data'!AC34&lt;=Indicators!$J34)))</f>
        <v>3</v>
      </c>
      <c r="AD34" s="27" t="n">
        <f aca="false">IF('Indicator Data'!AD34="",IF(Config!$C$15="Score as High (5)",5,0),IF(Indicators!$F34="Higher = riskier",1+('Indicator Data'!AD34&gt;=Indicators!$G34)+('Indicator Data'!AD34&gt;=Indicators!$H34)+('Indicator Data'!AD34&gt;=Indicators!$I34)+('Indicator Data'!AD34&gt;=Indicators!$J34),1+('Indicator Data'!AD34&lt;=Indicators!$G34)+('Indicator Data'!AD34&lt;=Indicators!$H34)+('Indicator Data'!AD34&lt;=Indicators!$I34)+('Indicator Data'!AD34&lt;=Indicators!$J34)))</f>
        <v>2</v>
      </c>
      <c r="AE34" s="27" t="n">
        <f aca="false">IF('Indicator Data'!AE34="",IF(Config!$C$15="Score as High (5)",5,0),IF(Indicators!$F34="Higher = riskier",1+('Indicator Data'!AE34&gt;=Indicators!$G34)+('Indicator Data'!AE34&gt;=Indicators!$H34)+('Indicator Data'!AE34&gt;=Indicators!$I34)+('Indicator Data'!AE34&gt;=Indicators!$J34),1+('Indicator Data'!AE34&lt;=Indicators!$G34)+('Indicator Data'!AE34&lt;=Indicators!$H34)+('Indicator Data'!AE34&lt;=Indicators!$I34)+('Indicator Data'!AE34&lt;=Indicators!$J34)))</f>
        <v>2</v>
      </c>
      <c r="AF34" s="27" t="n">
        <f aca="false">IF('Indicator Data'!AF34="",IF(Config!$C$15="Score as High (5)",5,0),IF(Indicators!$F34="Higher = riskier",1+('Indicator Data'!AF34&gt;=Indicators!$G34)+('Indicator Data'!AF34&gt;=Indicators!$H34)+('Indicator Data'!AF34&gt;=Indicators!$I34)+('Indicator Data'!AF34&gt;=Indicators!$J34),1+('Indicator Data'!AF34&lt;=Indicators!$G34)+('Indicator Data'!AF34&lt;=Indicators!$H34)+('Indicator Data'!AF34&lt;=Indicators!$I34)+('Indicator Data'!AF34&lt;=Indicators!$J34)))</f>
        <v>2</v>
      </c>
      <c r="AG34" s="27" t="n">
        <f aca="false">IF('Indicator Data'!AG34="",IF(Config!$C$15="Score as High (5)",5,0),IF(Indicators!$F34="Higher = riskier",1+('Indicator Data'!AG34&gt;=Indicators!$G34)+('Indicator Data'!AG34&gt;=Indicators!$H34)+('Indicator Data'!AG34&gt;=Indicators!$I34)+('Indicator Data'!AG34&gt;=Indicators!$J34),1+('Indicator Data'!AG34&lt;=Indicators!$G34)+('Indicator Data'!AG34&lt;=Indicators!$H34)+('Indicator Data'!AG34&lt;=Indicators!$I34)+('Indicator Data'!AG34&lt;=Indicators!$J34)))</f>
        <v>4</v>
      </c>
    </row>
    <row r="35" customFormat="false" ht="15" hidden="false" customHeight="false" outlineLevel="0" collapsed="false">
      <c r="A35" s="26" t="str">
        <f aca="false">Indicators!A35</f>
        <v>T07</v>
      </c>
      <c r="B35" s="26" t="str">
        <f aca="false">Indicators!C35</f>
        <v>FATCA/CRS reportable accounts (% of accounts)</v>
      </c>
      <c r="C35" s="26" t="str">
        <f aca="false">Indicators!D35</f>
        <v>%</v>
      </c>
      <c r="D35" s="27" t="n">
        <f aca="false">IF('Indicator Data'!D35="",IF(Config!$C$15="Score as High (5)",5,0),IF(Indicators!$F35="Higher = riskier",1+('Indicator Data'!D35&gt;=Indicators!$G35)+('Indicator Data'!D35&gt;=Indicators!$H35)+('Indicator Data'!D35&gt;=Indicators!$I35)+('Indicator Data'!D35&gt;=Indicators!$J35),1+('Indicator Data'!D35&lt;=Indicators!$G35)+('Indicator Data'!D35&lt;=Indicators!$H35)+('Indicator Data'!D35&lt;=Indicators!$I35)+('Indicator Data'!D35&lt;=Indicators!$J35)))</f>
        <v>3</v>
      </c>
      <c r="E35" s="27" t="n">
        <f aca="false">IF('Indicator Data'!E35="",IF(Config!$C$15="Score as High (5)",5,0),IF(Indicators!$F35="Higher = riskier",1+('Indicator Data'!E35&gt;=Indicators!$G35)+('Indicator Data'!E35&gt;=Indicators!$H35)+('Indicator Data'!E35&gt;=Indicators!$I35)+('Indicator Data'!E35&gt;=Indicators!$J35),1+('Indicator Data'!E35&lt;=Indicators!$G35)+('Indicator Data'!E35&lt;=Indicators!$H35)+('Indicator Data'!E35&lt;=Indicators!$I35)+('Indicator Data'!E35&lt;=Indicators!$J35)))</f>
        <v>3</v>
      </c>
      <c r="F35" s="27" t="n">
        <f aca="false">IF('Indicator Data'!F35="",IF(Config!$C$15="Score as High (5)",5,0),IF(Indicators!$F35="Higher = riskier",1+('Indicator Data'!F35&gt;=Indicators!$G35)+('Indicator Data'!F35&gt;=Indicators!$H35)+('Indicator Data'!F35&gt;=Indicators!$I35)+('Indicator Data'!F35&gt;=Indicators!$J35),1+('Indicator Data'!F35&lt;=Indicators!$G35)+('Indicator Data'!F35&lt;=Indicators!$H35)+('Indicator Data'!F35&lt;=Indicators!$I35)+('Indicator Data'!F35&lt;=Indicators!$J35)))</f>
        <v>3</v>
      </c>
      <c r="G35" s="27" t="n">
        <f aca="false">IF('Indicator Data'!G35="",IF(Config!$C$15="Score as High (5)",5,0),IF(Indicators!$F35="Higher = riskier",1+('Indicator Data'!G35&gt;=Indicators!$G35)+('Indicator Data'!G35&gt;=Indicators!$H35)+('Indicator Data'!G35&gt;=Indicators!$I35)+('Indicator Data'!G35&gt;=Indicators!$J35),1+('Indicator Data'!G35&lt;=Indicators!$G35)+('Indicator Data'!G35&lt;=Indicators!$H35)+('Indicator Data'!G35&lt;=Indicators!$I35)+('Indicator Data'!G35&lt;=Indicators!$J35)))</f>
        <v>3</v>
      </c>
      <c r="H35" s="27" t="n">
        <f aca="false">IF('Indicator Data'!H35="",IF(Config!$C$15="Score as High (5)",5,0),IF(Indicators!$F35="Higher = riskier",1+('Indicator Data'!H35&gt;=Indicators!$G35)+('Indicator Data'!H35&gt;=Indicators!$H35)+('Indicator Data'!H35&gt;=Indicators!$I35)+('Indicator Data'!H35&gt;=Indicators!$J35),1+('Indicator Data'!H35&lt;=Indicators!$G35)+('Indicator Data'!H35&lt;=Indicators!$H35)+('Indicator Data'!H35&lt;=Indicators!$I35)+('Indicator Data'!H35&lt;=Indicators!$J35)))</f>
        <v>2</v>
      </c>
      <c r="I35" s="27" t="n">
        <f aca="false">IF('Indicator Data'!I35="",IF(Config!$C$15="Score as High (5)",5,0),IF(Indicators!$F35="Higher = riskier",1+('Indicator Data'!I35&gt;=Indicators!$G35)+('Indicator Data'!I35&gt;=Indicators!$H35)+('Indicator Data'!I35&gt;=Indicators!$I35)+('Indicator Data'!I35&gt;=Indicators!$J35),1+('Indicator Data'!I35&lt;=Indicators!$G35)+('Indicator Data'!I35&lt;=Indicators!$H35)+('Indicator Data'!I35&lt;=Indicators!$I35)+('Indicator Data'!I35&lt;=Indicators!$J35)))</f>
        <v>4</v>
      </c>
      <c r="J35" s="27" t="n">
        <f aca="false">IF('Indicator Data'!J35="",IF(Config!$C$15="Score as High (5)",5,0),IF(Indicators!$F35="Higher = riskier",1+('Indicator Data'!J35&gt;=Indicators!$G35)+('Indicator Data'!J35&gt;=Indicators!$H35)+('Indicator Data'!J35&gt;=Indicators!$I35)+('Indicator Data'!J35&gt;=Indicators!$J35),1+('Indicator Data'!J35&lt;=Indicators!$G35)+('Indicator Data'!J35&lt;=Indicators!$H35)+('Indicator Data'!J35&lt;=Indicators!$I35)+('Indicator Data'!J35&lt;=Indicators!$J35)))</f>
        <v>5</v>
      </c>
      <c r="K35" s="27" t="n">
        <f aca="false">IF('Indicator Data'!K35="",IF(Config!$C$15="Score as High (5)",5,0),IF(Indicators!$F35="Higher = riskier",1+('Indicator Data'!K35&gt;=Indicators!$G35)+('Indicator Data'!K35&gt;=Indicators!$H35)+('Indicator Data'!K35&gt;=Indicators!$I35)+('Indicator Data'!K35&gt;=Indicators!$J35),1+('Indicator Data'!K35&lt;=Indicators!$G35)+('Indicator Data'!K35&lt;=Indicators!$H35)+('Indicator Data'!K35&lt;=Indicators!$I35)+('Indicator Data'!K35&lt;=Indicators!$J35)))</f>
        <v>5</v>
      </c>
      <c r="L35" s="27" t="n">
        <f aca="false">IF('Indicator Data'!L35="",IF(Config!$C$15="Score as High (5)",5,0),IF(Indicators!$F35="Higher = riskier",1+('Indicator Data'!L35&gt;=Indicators!$G35)+('Indicator Data'!L35&gt;=Indicators!$H35)+('Indicator Data'!L35&gt;=Indicators!$I35)+('Indicator Data'!L35&gt;=Indicators!$J35),1+('Indicator Data'!L35&lt;=Indicators!$G35)+('Indicator Data'!L35&lt;=Indicators!$H35)+('Indicator Data'!L35&lt;=Indicators!$I35)+('Indicator Data'!L35&lt;=Indicators!$J35)))</f>
        <v>4</v>
      </c>
      <c r="M35" s="27" t="n">
        <f aca="false">IF('Indicator Data'!M35="",IF(Config!$C$15="Score as High (5)",5,0),IF(Indicators!$F35="Higher = riskier",1+('Indicator Data'!M35&gt;=Indicators!$G35)+('Indicator Data'!M35&gt;=Indicators!$H35)+('Indicator Data'!M35&gt;=Indicators!$I35)+('Indicator Data'!M35&gt;=Indicators!$J35),1+('Indicator Data'!M35&lt;=Indicators!$G35)+('Indicator Data'!M35&lt;=Indicators!$H35)+('Indicator Data'!M35&lt;=Indicators!$I35)+('Indicator Data'!M35&lt;=Indicators!$J35)))</f>
        <v>3</v>
      </c>
      <c r="N35" s="27" t="n">
        <f aca="false">IF('Indicator Data'!N35="",IF(Config!$C$15="Score as High (5)",5,0),IF(Indicators!$F35="Higher = riskier",1+('Indicator Data'!N35&gt;=Indicators!$G35)+('Indicator Data'!N35&gt;=Indicators!$H35)+('Indicator Data'!N35&gt;=Indicators!$I35)+('Indicator Data'!N35&gt;=Indicators!$J35),1+('Indicator Data'!N35&lt;=Indicators!$G35)+('Indicator Data'!N35&lt;=Indicators!$H35)+('Indicator Data'!N35&lt;=Indicators!$I35)+('Indicator Data'!N35&lt;=Indicators!$J35)))</f>
        <v>2</v>
      </c>
      <c r="O35" s="27" t="n">
        <f aca="false">IF('Indicator Data'!O35="",IF(Config!$C$15="Score as High (5)",5,0),IF(Indicators!$F35="Higher = riskier",1+('Indicator Data'!O35&gt;=Indicators!$G35)+('Indicator Data'!O35&gt;=Indicators!$H35)+('Indicator Data'!O35&gt;=Indicators!$I35)+('Indicator Data'!O35&gt;=Indicators!$J35),1+('Indicator Data'!O35&lt;=Indicators!$G35)+('Indicator Data'!O35&lt;=Indicators!$H35)+('Indicator Data'!O35&lt;=Indicators!$I35)+('Indicator Data'!O35&lt;=Indicators!$J35)))</f>
        <v>4</v>
      </c>
      <c r="P35" s="27" t="n">
        <f aca="false">IF('Indicator Data'!P35="",IF(Config!$C$15="Score as High (5)",5,0),IF(Indicators!$F35="Higher = riskier",1+('Indicator Data'!P35&gt;=Indicators!$G35)+('Indicator Data'!P35&gt;=Indicators!$H35)+('Indicator Data'!P35&gt;=Indicators!$I35)+('Indicator Data'!P35&gt;=Indicators!$J35),1+('Indicator Data'!P35&lt;=Indicators!$G35)+('Indicator Data'!P35&lt;=Indicators!$H35)+('Indicator Data'!P35&lt;=Indicators!$I35)+('Indicator Data'!P35&lt;=Indicators!$J35)))</f>
        <v>3</v>
      </c>
      <c r="Q35" s="27" t="n">
        <f aca="false">IF('Indicator Data'!Q35="",IF(Config!$C$15="Score as High (5)",5,0),IF(Indicators!$F35="Higher = riskier",1+('Indicator Data'!Q35&gt;=Indicators!$G35)+('Indicator Data'!Q35&gt;=Indicators!$H35)+('Indicator Data'!Q35&gt;=Indicators!$I35)+('Indicator Data'!Q35&gt;=Indicators!$J35),1+('Indicator Data'!Q35&lt;=Indicators!$G35)+('Indicator Data'!Q35&lt;=Indicators!$H35)+('Indicator Data'!Q35&lt;=Indicators!$I35)+('Indicator Data'!Q35&lt;=Indicators!$J35)))</f>
        <v>3</v>
      </c>
      <c r="R35" s="27" t="n">
        <f aca="false">IF('Indicator Data'!R35="",IF(Config!$C$15="Score as High (5)",5,0),IF(Indicators!$F35="Higher = riskier",1+('Indicator Data'!R35&gt;=Indicators!$G35)+('Indicator Data'!R35&gt;=Indicators!$H35)+('Indicator Data'!R35&gt;=Indicators!$I35)+('Indicator Data'!R35&gt;=Indicators!$J35),1+('Indicator Data'!R35&lt;=Indicators!$G35)+('Indicator Data'!R35&lt;=Indicators!$H35)+('Indicator Data'!R35&lt;=Indicators!$I35)+('Indicator Data'!R35&lt;=Indicators!$J35)))</f>
        <v>4</v>
      </c>
      <c r="S35" s="27" t="n">
        <f aca="false">IF('Indicator Data'!S35="",IF(Config!$C$15="Score as High (5)",5,0),IF(Indicators!$F35="Higher = riskier",1+('Indicator Data'!S35&gt;=Indicators!$G35)+('Indicator Data'!S35&gt;=Indicators!$H35)+('Indicator Data'!S35&gt;=Indicators!$I35)+('Indicator Data'!S35&gt;=Indicators!$J35),1+('Indicator Data'!S35&lt;=Indicators!$G35)+('Indicator Data'!S35&lt;=Indicators!$H35)+('Indicator Data'!S35&lt;=Indicators!$I35)+('Indicator Data'!S35&lt;=Indicators!$J35)))</f>
        <v>4</v>
      </c>
      <c r="T35" s="27" t="n">
        <f aca="false">IF('Indicator Data'!T35="",IF(Config!$C$15="Score as High (5)",5,0),IF(Indicators!$F35="Higher = riskier",1+('Indicator Data'!T35&gt;=Indicators!$G35)+('Indicator Data'!T35&gt;=Indicators!$H35)+('Indicator Data'!T35&gt;=Indicators!$I35)+('Indicator Data'!T35&gt;=Indicators!$J35),1+('Indicator Data'!T35&lt;=Indicators!$G35)+('Indicator Data'!T35&lt;=Indicators!$H35)+('Indicator Data'!T35&lt;=Indicators!$I35)+('Indicator Data'!T35&lt;=Indicators!$J35)))</f>
        <v>1</v>
      </c>
      <c r="U35" s="27" t="n">
        <f aca="false">IF('Indicator Data'!U35="",IF(Config!$C$15="Score as High (5)",5,0),IF(Indicators!$F35="Higher = riskier",1+('Indicator Data'!U35&gt;=Indicators!$G35)+('Indicator Data'!U35&gt;=Indicators!$H35)+('Indicator Data'!U35&gt;=Indicators!$I35)+('Indicator Data'!U35&gt;=Indicators!$J35),1+('Indicator Data'!U35&lt;=Indicators!$G35)+('Indicator Data'!U35&lt;=Indicators!$H35)+('Indicator Data'!U35&lt;=Indicators!$I35)+('Indicator Data'!U35&lt;=Indicators!$J35)))</f>
        <v>4</v>
      </c>
      <c r="V35" s="27" t="n">
        <f aca="false">IF('Indicator Data'!V35="",IF(Config!$C$15="Score as High (5)",5,0),IF(Indicators!$F35="Higher = riskier",1+('Indicator Data'!V35&gt;=Indicators!$G35)+('Indicator Data'!V35&gt;=Indicators!$H35)+('Indicator Data'!V35&gt;=Indicators!$I35)+('Indicator Data'!V35&gt;=Indicators!$J35),1+('Indicator Data'!V35&lt;=Indicators!$G35)+('Indicator Data'!V35&lt;=Indicators!$H35)+('Indicator Data'!V35&lt;=Indicators!$I35)+('Indicator Data'!V35&lt;=Indicators!$J35)))</f>
        <v>2</v>
      </c>
      <c r="W35" s="27" t="n">
        <f aca="false">IF('Indicator Data'!W35="",IF(Config!$C$15="Score as High (5)",5,0),IF(Indicators!$F35="Higher = riskier",1+('Indicator Data'!W35&gt;=Indicators!$G35)+('Indicator Data'!W35&gt;=Indicators!$H35)+('Indicator Data'!W35&gt;=Indicators!$I35)+('Indicator Data'!W35&gt;=Indicators!$J35),1+('Indicator Data'!W35&lt;=Indicators!$G35)+('Indicator Data'!W35&lt;=Indicators!$H35)+('Indicator Data'!W35&lt;=Indicators!$I35)+('Indicator Data'!W35&lt;=Indicators!$J35)))</f>
        <v>2</v>
      </c>
      <c r="X35" s="27" t="n">
        <f aca="false">IF('Indicator Data'!X35="",IF(Config!$C$15="Score as High (5)",5,0),IF(Indicators!$F35="Higher = riskier",1+('Indicator Data'!X35&gt;=Indicators!$G35)+('Indicator Data'!X35&gt;=Indicators!$H35)+('Indicator Data'!X35&gt;=Indicators!$I35)+('Indicator Data'!X35&gt;=Indicators!$J35),1+('Indicator Data'!X35&lt;=Indicators!$G35)+('Indicator Data'!X35&lt;=Indicators!$H35)+('Indicator Data'!X35&lt;=Indicators!$I35)+('Indicator Data'!X35&lt;=Indicators!$J35)))</f>
        <v>2</v>
      </c>
      <c r="Y35" s="27" t="n">
        <f aca="false">IF('Indicator Data'!Y35="",IF(Config!$C$15="Score as High (5)",5,0),IF(Indicators!$F35="Higher = riskier",1+('Indicator Data'!Y35&gt;=Indicators!$G35)+('Indicator Data'!Y35&gt;=Indicators!$H35)+('Indicator Data'!Y35&gt;=Indicators!$I35)+('Indicator Data'!Y35&gt;=Indicators!$J35),1+('Indicator Data'!Y35&lt;=Indicators!$G35)+('Indicator Data'!Y35&lt;=Indicators!$H35)+('Indicator Data'!Y35&lt;=Indicators!$I35)+('Indicator Data'!Y35&lt;=Indicators!$J35)))</f>
        <v>1</v>
      </c>
      <c r="Z35" s="27" t="n">
        <f aca="false">IF('Indicator Data'!Z35="",IF(Config!$C$15="Score as High (5)",5,0),IF(Indicators!$F35="Higher = riskier",1+('Indicator Data'!Z35&gt;=Indicators!$G35)+('Indicator Data'!Z35&gt;=Indicators!$H35)+('Indicator Data'!Z35&gt;=Indicators!$I35)+('Indicator Data'!Z35&gt;=Indicators!$J35),1+('Indicator Data'!Z35&lt;=Indicators!$G35)+('Indicator Data'!Z35&lt;=Indicators!$H35)+('Indicator Data'!Z35&lt;=Indicators!$I35)+('Indicator Data'!Z35&lt;=Indicators!$J35)))</f>
        <v>1</v>
      </c>
      <c r="AA35" s="27" t="n">
        <f aca="false">IF('Indicator Data'!AA35="",IF(Config!$C$15="Score as High (5)",5,0),IF(Indicators!$F35="Higher = riskier",1+('Indicator Data'!AA35&gt;=Indicators!$G35)+('Indicator Data'!AA35&gt;=Indicators!$H35)+('Indicator Data'!AA35&gt;=Indicators!$I35)+('Indicator Data'!AA35&gt;=Indicators!$J35),1+('Indicator Data'!AA35&lt;=Indicators!$G35)+('Indicator Data'!AA35&lt;=Indicators!$H35)+('Indicator Data'!AA35&lt;=Indicators!$I35)+('Indicator Data'!AA35&lt;=Indicators!$J35)))</f>
        <v>2</v>
      </c>
      <c r="AB35" s="27" t="n">
        <f aca="false">IF('Indicator Data'!AB35="",IF(Config!$C$15="Score as High (5)",5,0),IF(Indicators!$F35="Higher = riskier",1+('Indicator Data'!AB35&gt;=Indicators!$G35)+('Indicator Data'!AB35&gt;=Indicators!$H35)+('Indicator Data'!AB35&gt;=Indicators!$I35)+('Indicator Data'!AB35&gt;=Indicators!$J35),1+('Indicator Data'!AB35&lt;=Indicators!$G35)+('Indicator Data'!AB35&lt;=Indicators!$H35)+('Indicator Data'!AB35&lt;=Indicators!$I35)+('Indicator Data'!AB35&lt;=Indicators!$J35)))</f>
        <v>1</v>
      </c>
      <c r="AC35" s="27" t="n">
        <f aca="false">IF('Indicator Data'!AC35="",IF(Config!$C$15="Score as High (5)",5,0),IF(Indicators!$F35="Higher = riskier",1+('Indicator Data'!AC35&gt;=Indicators!$G35)+('Indicator Data'!AC35&gt;=Indicators!$H35)+('Indicator Data'!AC35&gt;=Indicators!$I35)+('Indicator Data'!AC35&gt;=Indicators!$J35),1+('Indicator Data'!AC35&lt;=Indicators!$G35)+('Indicator Data'!AC35&lt;=Indicators!$H35)+('Indicator Data'!AC35&lt;=Indicators!$I35)+('Indicator Data'!AC35&lt;=Indicators!$J35)))</f>
        <v>2</v>
      </c>
      <c r="AD35" s="27" t="n">
        <f aca="false">IF('Indicator Data'!AD35="",IF(Config!$C$15="Score as High (5)",5,0),IF(Indicators!$F35="Higher = riskier",1+('Indicator Data'!AD35&gt;=Indicators!$G35)+('Indicator Data'!AD35&gt;=Indicators!$H35)+('Indicator Data'!AD35&gt;=Indicators!$I35)+('Indicator Data'!AD35&gt;=Indicators!$J35),1+('Indicator Data'!AD35&lt;=Indicators!$G35)+('Indicator Data'!AD35&lt;=Indicators!$H35)+('Indicator Data'!AD35&lt;=Indicators!$I35)+('Indicator Data'!AD35&lt;=Indicators!$J35)))</f>
        <v>1</v>
      </c>
      <c r="AE35" s="27" t="n">
        <f aca="false">IF('Indicator Data'!AE35="",IF(Config!$C$15="Score as High (5)",5,0),IF(Indicators!$F35="Higher = riskier",1+('Indicator Data'!AE35&gt;=Indicators!$G35)+('Indicator Data'!AE35&gt;=Indicators!$H35)+('Indicator Data'!AE35&gt;=Indicators!$I35)+('Indicator Data'!AE35&gt;=Indicators!$J35),1+('Indicator Data'!AE35&lt;=Indicators!$G35)+('Indicator Data'!AE35&lt;=Indicators!$H35)+('Indicator Data'!AE35&lt;=Indicators!$I35)+('Indicator Data'!AE35&lt;=Indicators!$J35)))</f>
        <v>1</v>
      </c>
      <c r="AF35" s="27" t="n">
        <f aca="false">IF('Indicator Data'!AF35="",IF(Config!$C$15="Score as High (5)",5,0),IF(Indicators!$F35="Higher = riskier",1+('Indicator Data'!AF35&gt;=Indicators!$G35)+('Indicator Data'!AF35&gt;=Indicators!$H35)+('Indicator Data'!AF35&gt;=Indicators!$I35)+('Indicator Data'!AF35&gt;=Indicators!$J35),1+('Indicator Data'!AF35&lt;=Indicators!$G35)+('Indicator Data'!AF35&lt;=Indicators!$H35)+('Indicator Data'!AF35&lt;=Indicators!$I35)+('Indicator Data'!AF35&lt;=Indicators!$J35)))</f>
        <v>1</v>
      </c>
      <c r="AG35" s="27" t="n">
        <f aca="false">IF('Indicator Data'!AG35="",IF(Config!$C$15="Score as High (5)",5,0),IF(Indicators!$F35="Higher = riskier",1+('Indicator Data'!AG35&gt;=Indicators!$G35)+('Indicator Data'!AG35&gt;=Indicators!$H35)+('Indicator Data'!AG35&gt;=Indicators!$I35)+('Indicator Data'!AG35&gt;=Indicators!$J35),1+('Indicator Data'!AG35&lt;=Indicators!$G35)+('Indicator Data'!AG35&lt;=Indicators!$H35)+('Indicator Data'!AG35&lt;=Indicators!$I35)+('Indicator Data'!AG35&lt;=Indicators!$J35)))</f>
        <v>2</v>
      </c>
    </row>
  </sheetData>
  <conditionalFormatting sqref="D5:AG35">
    <cfRule type="expression" priority="2" aboveAverage="0" equalAverage="0" bottom="0" percent="0" rank="0" text="" dxfId="0">
      <formula>D5=1</formula>
    </cfRule>
    <cfRule type="expression" priority="3" aboveAverage="0" equalAverage="0" bottom="0" percent="0" rank="0" text="" dxfId="1">
      <formula>D5=2</formula>
    </cfRule>
    <cfRule type="expression" priority="4" aboveAverage="0" equalAverage="0" bottom="0" percent="0" rank="0" text="" dxfId="2">
      <formula>D5=3</formula>
    </cfRule>
    <cfRule type="expression" priority="5" aboveAverage="0" equalAverage="0" bottom="0" percent="0" rank="0" text="" dxfId="3">
      <formula>D5=4</formula>
    </cfRule>
    <cfRule type="expression" priority="6" aboveAverage="0" equalAverage="0" bottom="0" percent="0" rank="0" text="" dxfId="4">
      <formula>D5=5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9" min="6" style="0" width="11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17" min="17" style="0" width="10"/>
    <col collapsed="false" customWidth="true" hidden="false" outlineLevel="0" max="18" min="18" style="0" width="40"/>
    <col collapsed="false" customWidth="true" hidden="false" outlineLevel="0" max="20" min="19" style="0" width="10"/>
    <col collapsed="false" customWidth="true" hidden="false" outlineLevel="0" max="21" min="21" style="0" width="13"/>
    <col collapsed="false" customWidth="true" hidden="false" outlineLevel="0" max="22" min="22" style="0" width="18"/>
    <col collapsed="false" customWidth="true" hidden="false" outlineLevel="0" max="23" min="23" style="0" width="12"/>
  </cols>
  <sheetData>
    <row r="1" customFormat="false" ht="17.35" hidden="false" customHeight="false" outlineLevel="0" collapsed="false">
      <c r="A1" s="1" t="s">
        <v>442</v>
      </c>
    </row>
    <row r="2" customFormat="false" ht="15" hidden="false" customHeight="false" outlineLevel="0" collapsed="false">
      <c r="A2" s="2" t="s">
        <v>443</v>
      </c>
    </row>
    <row r="4" customFormat="false" ht="42" hidden="false" customHeight="true" outlineLevel="0" collapsed="false">
      <c r="A4" s="5" t="s">
        <v>134</v>
      </c>
      <c r="B4" s="5" t="s">
        <v>135</v>
      </c>
      <c r="C4" s="5" t="s">
        <v>137</v>
      </c>
      <c r="D4" s="5" t="s">
        <v>444</v>
      </c>
      <c r="E4" s="5" t="s">
        <v>327</v>
      </c>
      <c r="F4" s="5" t="s">
        <v>114</v>
      </c>
      <c r="G4" s="5" t="s">
        <v>117</v>
      </c>
      <c r="H4" s="5" t="s">
        <v>119</v>
      </c>
      <c r="I4" s="5" t="s">
        <v>121</v>
      </c>
      <c r="J4" s="5" t="s">
        <v>123</v>
      </c>
      <c r="K4" s="5" t="s">
        <v>445</v>
      </c>
      <c r="L4" s="5" t="s">
        <v>446</v>
      </c>
      <c r="M4" s="5" t="s">
        <v>447</v>
      </c>
      <c r="N4" s="5" t="s">
        <v>448</v>
      </c>
      <c r="O4" s="5" t="s">
        <v>449</v>
      </c>
      <c r="P4" s="5" t="s">
        <v>450</v>
      </c>
      <c r="Q4" s="5" t="s">
        <v>451</v>
      </c>
      <c r="R4" s="5" t="s">
        <v>452</v>
      </c>
      <c r="S4" s="5" t="s">
        <v>453</v>
      </c>
      <c r="T4" s="5" t="s">
        <v>454</v>
      </c>
      <c r="U4" s="5" t="s">
        <v>455</v>
      </c>
      <c r="V4" s="5" t="s">
        <v>456</v>
      </c>
      <c r="W4" s="5" t="s">
        <v>457</v>
      </c>
    </row>
    <row r="5" customFormat="false" ht="15" hidden="false" customHeight="false" outlineLevel="0" collapsed="false">
      <c r="A5" s="26" t="str">
        <f aca="false">Entities!$A$5</f>
        <v>JO-HO</v>
      </c>
      <c r="B5" s="12" t="str">
        <f aca="false">INDEX(Entities!$B$5:$B$34,MATCH(A5,Entities!$A$5:$A$34,0))</f>
        <v>Arab Bank plc – Jordan (HO and domestic network)</v>
      </c>
      <c r="C5" s="12" t="str">
        <f aca="false">INDEX(Entities!$D$5:$D$34,MATCH(A5,Entities!$A$5:$A$34,0))</f>
        <v>Jordan (home)</v>
      </c>
      <c r="D5" s="12" t="s">
        <v>260</v>
      </c>
      <c r="E5" s="12" t="str">
        <f aca="false">INDEX('Risk Taxonomy'!$B$5:$B$24,MATCH(D5,'Risk Taxonomy'!$A$5:$A$24,0))</f>
        <v>Money laundering</v>
      </c>
      <c r="F5" s="28" t="n">
        <f aca="false">IFERROR(SUMPRODUCT((Indicators!$B$5:$B$35=F$4)*Indicators!$K$5:$K$35*'Indicator Scores'!$D$5:$D$35)/SUMPRODUCT((Indicators!$B$5:$B$35=F$4)*Indicators!$K$5:$K$35*('Indicator Scores'!$D$5:$D$35&gt;0)),0)</f>
        <v>3.25</v>
      </c>
      <c r="G5" s="28" t="n">
        <f aca="false">IFERROR(SUMPRODUCT((Indicators!$B$5:$B$35=G$4)*Indicators!$K$5:$K$35*'Indicator Scores'!$D$5:$D$35)/SUMPRODUCT((Indicators!$B$5:$B$35=G$4)*Indicators!$K$5:$K$35*('Indicator Scores'!$D$5:$D$35&gt;0)),0)</f>
        <v>2.88888888888889</v>
      </c>
      <c r="H5" s="28" t="n">
        <f aca="false">IFERROR(SUMPRODUCT((Indicators!$B$5:$B$35=H$4)*Indicators!$K$5:$K$35*'Indicator Scores'!$D$5:$D$35)/SUMPRODUCT((Indicators!$B$5:$B$35=H$4)*Indicators!$K$5:$K$35*('Indicator Scores'!$D$5:$D$35&gt;0)),0)</f>
        <v>3</v>
      </c>
      <c r="I5" s="28" t="n">
        <f aca="false">IFERROR(SUMPRODUCT((Indicators!$B$5:$B$35=I$4)*Indicators!$K$5:$K$35*'Indicator Scores'!$D$5:$D$35)/SUMPRODUCT((Indicators!$B$5:$B$35=I$4)*Indicators!$K$5:$K$35*('Indicator Scores'!$D$5:$D$35&gt;0)),0)</f>
        <v>2.85714285714286</v>
      </c>
      <c r="J5" s="28" t="n">
        <f aca="false">IFERROR(SUMPRODUCT((Indicators!$B$5:$B$35=J$4)*Indicators!$K$5:$K$35*'Indicator Scores'!$D$5:$D$35)/SUMPRODUCT((Indicators!$B$5:$B$35=J$4)*Indicators!$K$5:$K$35*('Indicator Scores'!$D$5:$D$35&gt;0)),0)</f>
        <v>2</v>
      </c>
      <c r="K5" s="28" t="n">
        <f aca="false">IFERROR(SUMPRODUCT(F5:J5,INDEX('Factor Weights'!$C$5:$G$11,MATCH(D5,'Factor Weights'!$A$5:$A$11,0),0))/SUMPRODUCT((F5:J5&gt;0)*INDEX('Factor Weights'!$C$5:$G$11,MATCH(D5,'Factor Weights'!$A$5:$A$11,0),0)),0)</f>
        <v>2.92579365079365</v>
      </c>
      <c r="L5" s="29" t="n">
        <f aca="false">MAX(F5:J5)</f>
        <v>3.25</v>
      </c>
      <c r="M5" s="28" t="n">
        <f aca="false">IF(L5&gt;=Config!$C$13,MAX(K5,Config!$C$14),K5)</f>
        <v>2.92579365079365</v>
      </c>
      <c r="N5" s="30" t="n">
        <f aca="false">IF(Config!$C$12="Weighted average",K5,IF(Config!$C$12="Weighted with floor",M5,L5))</f>
        <v>2.92579365079365</v>
      </c>
      <c r="O5" s="31" t="n">
        <f aca="false">IF(N5&lt;Config!$D$5,"",MATCH(N5,Config!$D$5:$D$9,1))</f>
        <v>3</v>
      </c>
      <c r="P5" s="7" t="str">
        <f aca="false">IF(O5="","No data",INDEX(Config!$B$5:$B$9,O5))</f>
        <v>Medium</v>
      </c>
      <c r="Q5" s="32" t="n">
        <v>0</v>
      </c>
      <c r="R5" s="8"/>
      <c r="S5" s="33"/>
      <c r="T5" s="34" t="n">
        <f aca="false">IF(O5="","",IF(AND(S5="Y",Q5&lt;&gt;0),MAX(1,MIN(5,O5+MAX(-Config!$C$27,MIN(Config!$C$27,Q5)))),O5))</f>
        <v>3</v>
      </c>
      <c r="U5" s="35" t="str">
        <f aca="false">IF(T5="","No data",INDEX(Config!$B$5:$B$9,T5))</f>
        <v>Medium</v>
      </c>
      <c r="V5" s="7" t="str">
        <f aca="false">IF(Q5=0,"None",IF(S5="Y","Applied","Pending HO approval"))</f>
        <v>None</v>
      </c>
      <c r="W5" s="36" t="n">
        <f aca="false">SUMPRODUCT((Indicators!$K$5:$K$35&gt;0)*('Indicator Data'!$D$5:$D$35&lt;&gt;""))/SUMPRODUCT(--(Indicators!$K$5:$K$35&gt;0))</f>
        <v>1</v>
      </c>
    </row>
    <row r="6" customFormat="false" ht="15" hidden="false" customHeight="false" outlineLevel="0" collapsed="false">
      <c r="A6" s="26" t="str">
        <f aca="false">Entities!$A$5</f>
        <v>JO-HO</v>
      </c>
      <c r="B6" s="12" t="str">
        <f aca="false">INDEX(Entities!$B$5:$B$34,MATCH(A6,Entities!$A$5:$A$34,0))</f>
        <v>Arab Bank plc – Jordan (HO and domestic network)</v>
      </c>
      <c r="C6" s="12" t="str">
        <f aca="false">INDEX(Entities!$D$5:$D$34,MATCH(A6,Entities!$A$5:$A$34,0))</f>
        <v>Jordan (home)</v>
      </c>
      <c r="D6" s="12" t="s">
        <v>267</v>
      </c>
      <c r="E6" s="12" t="str">
        <f aca="false">INDEX('Risk Taxonomy'!$B$5:$B$24,MATCH(D6,'Risk Taxonomy'!$A$5:$A$24,0))</f>
        <v>Terrorist financing</v>
      </c>
      <c r="F6" s="28" t="n">
        <f aca="false">IFERROR(SUMPRODUCT((Indicators!$B$5:$B$35=F$4)*Indicators!$L$5:$L$35*'Indicator Scores'!$D$5:$D$35)/SUMPRODUCT((Indicators!$B$5:$B$35=F$4)*Indicators!$L$5:$L$35*('Indicator Scores'!$D$5:$D$35&gt;0)),0)</f>
        <v>3.2</v>
      </c>
      <c r="G6" s="28" t="n">
        <f aca="false">IFERROR(SUMPRODUCT((Indicators!$B$5:$B$35=G$4)*Indicators!$L$5:$L$35*'Indicator Scores'!$D$5:$D$35)/SUMPRODUCT((Indicators!$B$5:$B$35=G$4)*Indicators!$L$5:$L$35*('Indicator Scores'!$D$5:$D$35&gt;0)),0)</f>
        <v>2.66666666666667</v>
      </c>
      <c r="H6" s="28" t="n">
        <f aca="false">IFERROR(SUMPRODUCT((Indicators!$B$5:$B$35=H$4)*Indicators!$L$5:$L$35*'Indicator Scores'!$D$5:$D$35)/SUMPRODUCT((Indicators!$B$5:$B$35=H$4)*Indicators!$L$5:$L$35*('Indicator Scores'!$D$5:$D$35&gt;0)),0)</f>
        <v>3.16666666666667</v>
      </c>
      <c r="I6" s="28" t="n">
        <f aca="false">IFERROR(SUMPRODUCT((Indicators!$B$5:$B$35=I$4)*Indicators!$L$5:$L$35*'Indicator Scores'!$D$5:$D$35)/SUMPRODUCT((Indicators!$B$5:$B$35=I$4)*Indicators!$L$5:$L$35*('Indicator Scores'!$D$5:$D$35&gt;0)),0)</f>
        <v>3</v>
      </c>
      <c r="J6" s="28" t="n">
        <f aca="false">IFERROR(SUMPRODUCT((Indicators!$B$5:$B$35=J$4)*Indicators!$L$5:$L$35*'Indicator Scores'!$D$5:$D$35)/SUMPRODUCT((Indicators!$B$5:$B$35=J$4)*Indicators!$L$5:$L$35*('Indicator Scores'!$D$5:$D$35&gt;0)),0)</f>
        <v>2</v>
      </c>
      <c r="K6" s="28" t="n">
        <f aca="false">IFERROR(SUMPRODUCT(F6:J6,INDEX('Factor Weights'!$C$5:$G$11,MATCH(D6,'Factor Weights'!$A$5:$A$11,0),0))/SUMPRODUCT((F6:J6&gt;0)*INDEX('Factor Weights'!$C$5:$G$11,MATCH(D6,'Factor Weights'!$A$5:$A$11,0),0)),0)</f>
        <v>2.775</v>
      </c>
      <c r="L6" s="29" t="n">
        <f aca="false">MAX(F6:J6)</f>
        <v>3.2</v>
      </c>
      <c r="M6" s="28" t="n">
        <f aca="false">IF(L6&gt;=Config!$C$13,MAX(K6,Config!$C$14),K6)</f>
        <v>2.775</v>
      </c>
      <c r="N6" s="30" t="n">
        <f aca="false">IF(Config!$C$12="Weighted average",K6,IF(Config!$C$12="Weighted with floor",M6,L6))</f>
        <v>2.775</v>
      </c>
      <c r="O6" s="31" t="n">
        <f aca="false">IF(N6&lt;Config!$D$5,"",MATCH(N6,Config!$D$5:$D$9,1))</f>
        <v>3</v>
      </c>
      <c r="P6" s="7" t="str">
        <f aca="false">IF(O6="","No data",INDEX(Config!$B$5:$B$9,O6))</f>
        <v>Medium</v>
      </c>
      <c r="Q6" s="32" t="n">
        <v>0</v>
      </c>
      <c r="R6" s="8"/>
      <c r="S6" s="33"/>
      <c r="T6" s="34" t="n">
        <f aca="false">IF(O6="","",IF(AND(S6="Y",Q6&lt;&gt;0),MAX(1,MIN(5,O6+MAX(-Config!$C$27,MIN(Config!$C$27,Q6)))),O6))</f>
        <v>3</v>
      </c>
      <c r="U6" s="35" t="str">
        <f aca="false">IF(T6="","No data",INDEX(Config!$B$5:$B$9,T6))</f>
        <v>Medium</v>
      </c>
      <c r="V6" s="7" t="str">
        <f aca="false">IF(Q6=0,"None",IF(S6="Y","Applied","Pending HO approval"))</f>
        <v>None</v>
      </c>
      <c r="W6" s="36" t="n">
        <f aca="false">SUMPRODUCT((Indicators!$L$5:$L$35&gt;0)*('Indicator Data'!$D$5:$D$35&lt;&gt;""))/SUMPRODUCT(--(Indicators!$L$5:$L$35&gt;0))</f>
        <v>1</v>
      </c>
    </row>
    <row r="7" customFormat="false" ht="15" hidden="false" customHeight="false" outlineLevel="0" collapsed="false">
      <c r="A7" s="26" t="str">
        <f aca="false">Entities!$A$5</f>
        <v>JO-HO</v>
      </c>
      <c r="B7" s="12" t="str">
        <f aca="false">INDEX(Entities!$B$5:$B$34,MATCH(A7,Entities!$A$5:$A$34,0))</f>
        <v>Arab Bank plc – Jordan (HO and domestic network)</v>
      </c>
      <c r="C7" s="12" t="str">
        <f aca="false">INDEX(Entities!$D$5:$D$34,MATCH(A7,Entities!$A$5:$A$34,0))</f>
        <v>Jordan (home)</v>
      </c>
      <c r="D7" s="12" t="s">
        <v>270</v>
      </c>
      <c r="E7" s="12" t="str">
        <f aca="false">INDEX('Risk Taxonomy'!$B$5:$B$24,MATCH(D7,'Risk Taxonomy'!$A$5:$A$24,0))</f>
        <v>Proliferation financing</v>
      </c>
      <c r="F7" s="28" t="n">
        <f aca="false">IFERROR(SUMPRODUCT((Indicators!$B$5:$B$35=F$4)*Indicators!$M$5:$M$35*'Indicator Scores'!$D$5:$D$35)/SUMPRODUCT((Indicators!$B$5:$B$35=F$4)*Indicators!$M$5:$M$35*('Indicator Scores'!$D$5:$D$35&gt;0)),0)</f>
        <v>3.25</v>
      </c>
      <c r="G7" s="28" t="n">
        <f aca="false">IFERROR(SUMPRODUCT((Indicators!$B$5:$B$35=G$4)*Indicators!$M$5:$M$35*'Indicator Scores'!$D$5:$D$35)/SUMPRODUCT((Indicators!$B$5:$B$35=G$4)*Indicators!$M$5:$M$35*('Indicator Scores'!$D$5:$D$35&gt;0)),0)</f>
        <v>3</v>
      </c>
      <c r="H7" s="28" t="n">
        <f aca="false">IFERROR(SUMPRODUCT((Indicators!$B$5:$B$35=H$4)*Indicators!$M$5:$M$35*'Indicator Scores'!$D$5:$D$35)/SUMPRODUCT((Indicators!$B$5:$B$35=H$4)*Indicators!$M$5:$M$35*('Indicator Scores'!$D$5:$D$35&gt;0)),0)</f>
        <v>3.66666666666667</v>
      </c>
      <c r="I7" s="28" t="n">
        <f aca="false">IFERROR(SUMPRODUCT((Indicators!$B$5:$B$35=I$4)*Indicators!$M$5:$M$35*'Indicator Scores'!$D$5:$D$35)/SUMPRODUCT((Indicators!$B$5:$B$35=I$4)*Indicators!$M$5:$M$35*('Indicator Scores'!$D$5:$D$35&gt;0)),0)</f>
        <v>3.66666666666667</v>
      </c>
      <c r="J7" s="28" t="n">
        <f aca="false">IFERROR(SUMPRODUCT((Indicators!$B$5:$B$35=J$4)*Indicators!$M$5:$M$35*'Indicator Scores'!$D$5:$D$35)/SUMPRODUCT((Indicators!$B$5:$B$35=J$4)*Indicators!$M$5:$M$35*('Indicator Scores'!$D$5:$D$35&gt;0)),0)</f>
        <v>3</v>
      </c>
      <c r="K7" s="28" t="n">
        <f aca="false">IFERROR(SUMPRODUCT(F7:J7,INDEX('Factor Weights'!$C$5:$G$11,MATCH(D7,'Factor Weights'!$A$5:$A$11,0),0))/SUMPRODUCT((F7:J7&gt;0)*INDEX('Factor Weights'!$C$5:$G$11,MATCH(D7,'Factor Weights'!$A$5:$A$11,0),0)),0)</f>
        <v>3.27083333333333</v>
      </c>
      <c r="L7" s="29" t="n">
        <f aca="false">MAX(F7:J7)</f>
        <v>3.66666666666667</v>
      </c>
      <c r="M7" s="28" t="n">
        <f aca="false">IF(L7&gt;=Config!$C$13,MAX(K7,Config!$C$14),K7)</f>
        <v>3.27083333333333</v>
      </c>
      <c r="N7" s="30" t="n">
        <f aca="false">IF(Config!$C$12="Weighted average",K7,IF(Config!$C$12="Weighted with floor",M7,L7))</f>
        <v>3.27083333333333</v>
      </c>
      <c r="O7" s="31" t="n">
        <f aca="false">IF(N7&lt;Config!$D$5,"",MATCH(N7,Config!$D$5:$D$9,1))</f>
        <v>3</v>
      </c>
      <c r="P7" s="7" t="str">
        <f aca="false">IF(O7="","No data",INDEX(Config!$B$5:$B$9,O7))</f>
        <v>Medium</v>
      </c>
      <c r="Q7" s="32" t="n">
        <v>0</v>
      </c>
      <c r="R7" s="8"/>
      <c r="S7" s="33"/>
      <c r="T7" s="34" t="n">
        <f aca="false">IF(O7="","",IF(AND(S7="Y",Q7&lt;&gt;0),MAX(1,MIN(5,O7+MAX(-Config!$C$27,MIN(Config!$C$27,Q7)))),O7))</f>
        <v>3</v>
      </c>
      <c r="U7" s="35" t="str">
        <f aca="false">IF(T7="","No data",INDEX(Config!$B$5:$B$9,T7))</f>
        <v>Medium</v>
      </c>
      <c r="V7" s="7" t="str">
        <f aca="false">IF(Q7=0,"None",IF(S7="Y","Applied","Pending HO approval"))</f>
        <v>None</v>
      </c>
      <c r="W7" s="36" t="n">
        <f aca="false">SUMPRODUCT((Indicators!$M$5:$M$35&gt;0)*('Indicator Data'!$D$5:$D$35&lt;&gt;""))/SUMPRODUCT(--(Indicators!$M$5:$M$35&gt;0))</f>
        <v>1</v>
      </c>
    </row>
    <row r="8" customFormat="false" ht="15" hidden="false" customHeight="false" outlineLevel="0" collapsed="false">
      <c r="A8" s="26" t="str">
        <f aca="false">Entities!$A$5</f>
        <v>JO-HO</v>
      </c>
      <c r="B8" s="12" t="str">
        <f aca="false">INDEX(Entities!$B$5:$B$34,MATCH(A8,Entities!$A$5:$A$34,0))</f>
        <v>Arab Bank plc – Jordan (HO and domestic network)</v>
      </c>
      <c r="C8" s="12" t="str">
        <f aca="false">INDEX(Entities!$D$5:$D$34,MATCH(A8,Entities!$A$5:$A$34,0))</f>
        <v>Jordan (home)</v>
      </c>
      <c r="D8" s="12" t="s">
        <v>272</v>
      </c>
      <c r="E8" s="12" t="str">
        <f aca="false">INDEX('Risk Taxonomy'!$B$5:$B$24,MATCH(D8,'Risk Taxonomy'!$A$5:$A$24,0))</f>
        <v>Sanctions</v>
      </c>
      <c r="F8" s="28" t="n">
        <f aca="false">IFERROR(SUMPRODUCT((Indicators!$B$5:$B$35=F$4)*Indicators!$N$5:$N$35*'Indicator Scores'!$D$5:$D$35)/SUMPRODUCT((Indicators!$B$5:$B$35=F$4)*Indicators!$N$5:$N$35*('Indicator Scores'!$D$5:$D$35&gt;0)),0)</f>
        <v>3.28571428571429</v>
      </c>
      <c r="G8" s="28" t="n">
        <f aca="false">IFERROR(SUMPRODUCT((Indicators!$B$5:$B$35=G$4)*Indicators!$N$5:$N$35*'Indicator Scores'!$D$5:$D$35)/SUMPRODUCT((Indicators!$B$5:$B$35=G$4)*Indicators!$N$5:$N$35*('Indicator Scores'!$D$5:$D$35&gt;0)),0)</f>
        <v>3.14285714285714</v>
      </c>
      <c r="H8" s="28" t="n">
        <f aca="false">IFERROR(SUMPRODUCT((Indicators!$B$5:$B$35=H$4)*Indicators!$N$5:$N$35*'Indicator Scores'!$D$5:$D$35)/SUMPRODUCT((Indicators!$B$5:$B$35=H$4)*Indicators!$N$5:$N$35*('Indicator Scores'!$D$5:$D$35&gt;0)),0)</f>
        <v>3.375</v>
      </c>
      <c r="I8" s="28" t="n">
        <f aca="false">IFERROR(SUMPRODUCT((Indicators!$B$5:$B$35=I$4)*Indicators!$N$5:$N$35*'Indicator Scores'!$D$5:$D$35)/SUMPRODUCT((Indicators!$B$5:$B$35=I$4)*Indicators!$N$5:$N$35*('Indicator Scores'!$D$5:$D$35&gt;0)),0)</f>
        <v>3.33333333333333</v>
      </c>
      <c r="J8" s="28" t="n">
        <f aca="false">IFERROR(SUMPRODUCT((Indicators!$B$5:$B$35=J$4)*Indicators!$N$5:$N$35*'Indicator Scores'!$D$5:$D$35)/SUMPRODUCT((Indicators!$B$5:$B$35=J$4)*Indicators!$N$5:$N$35*('Indicator Scores'!$D$5:$D$35&gt;0)),0)</f>
        <v>3</v>
      </c>
      <c r="K8" s="28" t="n">
        <f aca="false">IFERROR(SUMPRODUCT(F8:J8,INDEX('Factor Weights'!$C$5:$G$11,MATCH(D8,'Factor Weights'!$A$5:$A$11,0),0))/SUMPRODUCT((F8:J8&gt;0)*INDEX('Factor Weights'!$C$5:$G$11,MATCH(D8,'Factor Weights'!$A$5:$A$11,0),0)),0)</f>
        <v>3.19166666666667</v>
      </c>
      <c r="L8" s="29" t="n">
        <f aca="false">MAX(F8:J8)</f>
        <v>3.375</v>
      </c>
      <c r="M8" s="28" t="n">
        <f aca="false">IF(L8&gt;=Config!$C$13,MAX(K8,Config!$C$14),K8)</f>
        <v>3.19166666666667</v>
      </c>
      <c r="N8" s="30" t="n">
        <f aca="false">IF(Config!$C$12="Weighted average",K8,IF(Config!$C$12="Weighted with floor",M8,L8))</f>
        <v>3.19166666666667</v>
      </c>
      <c r="O8" s="31" t="n">
        <f aca="false">IF(N8&lt;Config!$D$5,"",MATCH(N8,Config!$D$5:$D$9,1))</f>
        <v>3</v>
      </c>
      <c r="P8" s="7" t="str">
        <f aca="false">IF(O8="","No data",INDEX(Config!$B$5:$B$9,O8))</f>
        <v>Medium</v>
      </c>
      <c r="Q8" s="32" t="n">
        <v>0</v>
      </c>
      <c r="R8" s="8"/>
      <c r="S8" s="33"/>
      <c r="T8" s="34" t="n">
        <f aca="false">IF(O8="","",IF(AND(S8="Y",Q8&lt;&gt;0),MAX(1,MIN(5,O8+MAX(-Config!$C$27,MIN(Config!$C$27,Q8)))),O8))</f>
        <v>3</v>
      </c>
      <c r="U8" s="35" t="str">
        <f aca="false">IF(T8="","No data",INDEX(Config!$B$5:$B$9,T8))</f>
        <v>Medium</v>
      </c>
      <c r="V8" s="7" t="str">
        <f aca="false">IF(Q8=0,"None",IF(S8="Y","Applied","Pending HO approval"))</f>
        <v>None</v>
      </c>
      <c r="W8" s="36" t="n">
        <f aca="false">SUMPRODUCT((Indicators!$N$5:$N$35&gt;0)*('Indicator Data'!$D$5:$D$35&lt;&gt;""))/SUMPRODUCT(--(Indicators!$N$5:$N$35&gt;0))</f>
        <v>1</v>
      </c>
    </row>
    <row r="9" customFormat="false" ht="15" hidden="false" customHeight="false" outlineLevel="0" collapsed="false">
      <c r="A9" s="26" t="str">
        <f aca="false">Entities!$A$5</f>
        <v>JO-HO</v>
      </c>
      <c r="B9" s="12" t="str">
        <f aca="false">INDEX(Entities!$B$5:$B$34,MATCH(A9,Entities!$A$5:$A$34,0))</f>
        <v>Arab Bank plc – Jordan (HO and domestic network)</v>
      </c>
      <c r="C9" s="12" t="str">
        <f aca="false">INDEX(Entities!$D$5:$D$34,MATCH(A9,Entities!$A$5:$A$34,0))</f>
        <v>Jordan (home)</v>
      </c>
      <c r="D9" s="12" t="s">
        <v>275</v>
      </c>
      <c r="E9" s="12" t="str">
        <f aca="false">INDEX('Risk Taxonomy'!$B$5:$B$24,MATCH(D9,'Risk Taxonomy'!$A$5:$A$24,0))</f>
        <v>Bribery and corruption</v>
      </c>
      <c r="F9" s="28" t="n">
        <f aca="false">IFERROR(SUMPRODUCT((Indicators!$B$5:$B$35=F$4)*Indicators!$O$5:$O$35*'Indicator Scores'!$D$5:$D$35)/SUMPRODUCT((Indicators!$B$5:$B$35=F$4)*Indicators!$O$5:$O$35*('Indicator Scores'!$D$5:$D$35&gt;0)),0)</f>
        <v>3.44444444444444</v>
      </c>
      <c r="G9" s="28" t="n">
        <f aca="false">IFERROR(SUMPRODUCT((Indicators!$B$5:$B$35=G$4)*Indicators!$O$5:$O$35*'Indicator Scores'!$D$5:$D$35)/SUMPRODUCT((Indicators!$B$5:$B$35=G$4)*Indicators!$O$5:$O$35*('Indicator Scores'!$D$5:$D$35&gt;0)),0)</f>
        <v>3</v>
      </c>
      <c r="H9" s="28" t="n">
        <f aca="false">IFERROR(SUMPRODUCT((Indicators!$B$5:$B$35=H$4)*Indicators!$O$5:$O$35*'Indicator Scores'!$D$5:$D$35)/SUMPRODUCT((Indicators!$B$5:$B$35=H$4)*Indicators!$O$5:$O$35*('Indicator Scores'!$D$5:$D$35&gt;0)),0)</f>
        <v>2</v>
      </c>
      <c r="I9" s="28" t="n">
        <f aca="false">IFERROR(SUMPRODUCT((Indicators!$B$5:$B$35=I$4)*Indicators!$O$5:$O$35*'Indicator Scores'!$D$5:$D$35)/SUMPRODUCT((Indicators!$B$5:$B$35=I$4)*Indicators!$O$5:$O$35*('Indicator Scores'!$D$5:$D$35&gt;0)),0)</f>
        <v>4</v>
      </c>
      <c r="J9" s="28" t="n">
        <f aca="false">IFERROR(SUMPRODUCT((Indicators!$B$5:$B$35=J$4)*Indicators!$O$5:$O$35*'Indicator Scores'!$D$5:$D$35)/SUMPRODUCT((Indicators!$B$5:$B$35=J$4)*Indicators!$O$5:$O$35*('Indicator Scores'!$D$5:$D$35&gt;0)),0)</f>
        <v>3</v>
      </c>
      <c r="K9" s="28" t="n">
        <f aca="false">IFERROR(SUMPRODUCT(F9:J9,INDEX('Factor Weights'!$C$5:$G$11,MATCH(D9,'Factor Weights'!$A$5:$A$11,0),0))/SUMPRODUCT((F9:J9&gt;0)*INDEX('Factor Weights'!$C$5:$G$11,MATCH(D9,'Factor Weights'!$A$5:$A$11,0),0)),0)</f>
        <v>3.18333333333333</v>
      </c>
      <c r="L9" s="29" t="n">
        <f aca="false">MAX(F9:J9)</f>
        <v>4</v>
      </c>
      <c r="M9" s="28" t="n">
        <f aca="false">IF(L9&gt;=Config!$C$13,MAX(K9,Config!$C$14),K9)</f>
        <v>3.18333333333333</v>
      </c>
      <c r="N9" s="30" t="n">
        <f aca="false">IF(Config!$C$12="Weighted average",K9,IF(Config!$C$12="Weighted with floor",M9,L9))</f>
        <v>3.18333333333333</v>
      </c>
      <c r="O9" s="31" t="n">
        <f aca="false">IF(N9&lt;Config!$D$5,"",MATCH(N9,Config!$D$5:$D$9,1))</f>
        <v>3</v>
      </c>
      <c r="P9" s="7" t="str">
        <f aca="false">IF(O9="","No data",INDEX(Config!$B$5:$B$9,O9))</f>
        <v>Medium</v>
      </c>
      <c r="Q9" s="32" t="n">
        <v>0</v>
      </c>
      <c r="R9" s="8"/>
      <c r="S9" s="33"/>
      <c r="T9" s="34" t="n">
        <f aca="false">IF(O9="","",IF(AND(S9="Y",Q9&lt;&gt;0),MAX(1,MIN(5,O9+MAX(-Config!$C$27,MIN(Config!$C$27,Q9)))),O9))</f>
        <v>3</v>
      </c>
      <c r="U9" s="35" t="str">
        <f aca="false">IF(T9="","No data",INDEX(Config!$B$5:$B$9,T9))</f>
        <v>Medium</v>
      </c>
      <c r="V9" s="7" t="str">
        <f aca="false">IF(Q9=0,"None",IF(S9="Y","Applied","Pending HO approval"))</f>
        <v>None</v>
      </c>
      <c r="W9" s="36" t="n">
        <f aca="false">SUMPRODUCT((Indicators!$O$5:$O$35&gt;0)*('Indicator Data'!$D$5:$D$35&lt;&gt;""))/SUMPRODUCT(--(Indicators!$O$5:$O$35&gt;0))</f>
        <v>1</v>
      </c>
    </row>
    <row r="10" customFormat="false" ht="15" hidden="false" customHeight="false" outlineLevel="0" collapsed="false">
      <c r="A10" s="26" t="str">
        <f aca="false">Entities!$A$5</f>
        <v>JO-HO</v>
      </c>
      <c r="B10" s="12" t="str">
        <f aca="false">INDEX(Entities!$B$5:$B$34,MATCH(A10,Entities!$A$5:$A$34,0))</f>
        <v>Arab Bank plc – Jordan (HO and domestic network)</v>
      </c>
      <c r="C10" s="12" t="str">
        <f aca="false">INDEX(Entities!$D$5:$D$34,MATCH(A10,Entities!$A$5:$A$34,0))</f>
        <v>Jordan (home)</v>
      </c>
      <c r="D10" s="12" t="s">
        <v>278</v>
      </c>
      <c r="E10" s="12" t="str">
        <f aca="false">INDEX('Risk Taxonomy'!$B$5:$B$24,MATCH(D10,'Risk Taxonomy'!$A$5:$A$24,0))</f>
        <v>Fraud</v>
      </c>
      <c r="F10" s="28" t="n">
        <f aca="false">IFERROR(SUMPRODUCT((Indicators!$B$5:$B$35=F$4)*Indicators!$P$5:$P$35*'Indicator Scores'!$D$5:$D$35)/SUMPRODUCT((Indicators!$B$5:$B$35=F$4)*Indicators!$P$5:$P$35*('Indicator Scores'!$D$5:$D$35&gt;0)),0)</f>
        <v>3</v>
      </c>
      <c r="G10" s="28" t="n">
        <f aca="false">IFERROR(SUMPRODUCT((Indicators!$B$5:$B$35=G$4)*Indicators!$P$5:$P$35*'Indicator Scores'!$D$5:$D$35)/SUMPRODUCT((Indicators!$B$5:$B$35=G$4)*Indicators!$P$5:$P$35*('Indicator Scores'!$D$5:$D$35&gt;0)),0)</f>
        <v>2.75</v>
      </c>
      <c r="H10" s="28" t="n">
        <f aca="false">IFERROR(SUMPRODUCT((Indicators!$B$5:$B$35=H$4)*Indicators!$P$5:$P$35*'Indicator Scores'!$D$5:$D$35)/SUMPRODUCT((Indicators!$B$5:$B$35=H$4)*Indicators!$P$5:$P$35*('Indicator Scores'!$D$5:$D$35&gt;0)),0)</f>
        <v>3</v>
      </c>
      <c r="I10" s="28" t="n">
        <f aca="false">IFERROR(SUMPRODUCT((Indicators!$B$5:$B$35=I$4)*Indicators!$P$5:$P$35*'Indicator Scores'!$D$5:$D$35)/SUMPRODUCT((Indicators!$B$5:$B$35=I$4)*Indicators!$P$5:$P$35*('Indicator Scores'!$D$5:$D$35&gt;0)),0)</f>
        <v>2.55555555555556</v>
      </c>
      <c r="J10" s="28" t="n">
        <f aca="false">IFERROR(SUMPRODUCT((Indicators!$B$5:$B$35=J$4)*Indicators!$P$5:$P$35*'Indicator Scores'!$D$5:$D$35)/SUMPRODUCT((Indicators!$B$5:$B$35=J$4)*Indicators!$P$5:$P$35*('Indicator Scores'!$D$5:$D$35&gt;0)),0)</f>
        <v>2.6</v>
      </c>
      <c r="K10" s="28" t="n">
        <f aca="false">IFERROR(SUMPRODUCT(F10:J10,INDEX('Factor Weights'!$C$5:$G$11,MATCH(D10,'Factor Weights'!$A$5:$A$11,0),0))/SUMPRODUCT((F10:J10&gt;0)*INDEX('Factor Weights'!$C$5:$G$11,MATCH(D10,'Factor Weights'!$A$5:$A$11,0),0)),0)</f>
        <v>2.76166666666667</v>
      </c>
      <c r="L10" s="29" t="n">
        <f aca="false">MAX(F10:J10)</f>
        <v>3</v>
      </c>
      <c r="M10" s="28" t="n">
        <f aca="false">IF(L10&gt;=Config!$C$13,MAX(K10,Config!$C$14),K10)</f>
        <v>2.76166666666667</v>
      </c>
      <c r="N10" s="30" t="n">
        <f aca="false">IF(Config!$C$12="Weighted average",K10,IF(Config!$C$12="Weighted with floor",M10,L10))</f>
        <v>2.76166666666667</v>
      </c>
      <c r="O10" s="31" t="n">
        <f aca="false">IF(N10&lt;Config!$D$5,"",MATCH(N10,Config!$D$5:$D$9,1))</f>
        <v>3</v>
      </c>
      <c r="P10" s="7" t="str">
        <f aca="false">IF(O10="","No data",INDEX(Config!$B$5:$B$9,O10))</f>
        <v>Medium</v>
      </c>
      <c r="Q10" s="32" t="n">
        <v>0</v>
      </c>
      <c r="R10" s="8"/>
      <c r="S10" s="33"/>
      <c r="T10" s="34" t="n">
        <f aca="false">IF(O10="","",IF(AND(S10="Y",Q10&lt;&gt;0),MAX(1,MIN(5,O10+MAX(-Config!$C$27,MIN(Config!$C$27,Q10)))),O10))</f>
        <v>3</v>
      </c>
      <c r="U10" s="35" t="str">
        <f aca="false">IF(T10="","No data",INDEX(Config!$B$5:$B$9,T10))</f>
        <v>Medium</v>
      </c>
      <c r="V10" s="7" t="str">
        <f aca="false">IF(Q10=0,"None",IF(S10="Y","Applied","Pending HO approval"))</f>
        <v>None</v>
      </c>
      <c r="W10" s="36" t="n">
        <f aca="false">SUMPRODUCT((Indicators!$P$5:$P$35&gt;0)*('Indicator Data'!$D$5:$D$35&lt;&gt;""))/SUMPRODUCT(--(Indicators!$P$5:$P$35&gt;0))</f>
        <v>1</v>
      </c>
    </row>
    <row r="11" customFormat="false" ht="15" hidden="false" customHeight="false" outlineLevel="0" collapsed="false">
      <c r="A11" s="26" t="str">
        <f aca="false">Entities!$A$5</f>
        <v>JO-HO</v>
      </c>
      <c r="B11" s="12" t="str">
        <f aca="false">INDEX(Entities!$B$5:$B$34,MATCH(A11,Entities!$A$5:$A$34,0))</f>
        <v>Arab Bank plc – Jordan (HO and domestic network)</v>
      </c>
      <c r="C11" s="12" t="str">
        <f aca="false">INDEX(Entities!$D$5:$D$34,MATCH(A11,Entities!$A$5:$A$34,0))</f>
        <v>Jordan (home)</v>
      </c>
      <c r="D11" s="12" t="s">
        <v>281</v>
      </c>
      <c r="E11" s="12" t="str">
        <f aca="false">INDEX('Risk Taxonomy'!$B$5:$B$24,MATCH(D11,'Risk Taxonomy'!$A$5:$A$24,0))</f>
        <v>Tax evasion and tax transparency</v>
      </c>
      <c r="F11" s="28" t="n">
        <f aca="false">IFERROR(SUMPRODUCT((Indicators!$B$5:$B$35=F$4)*Indicators!$Q$5:$Q$35*'Indicator Scores'!$D$5:$D$35)/SUMPRODUCT((Indicators!$B$5:$B$35=F$4)*Indicators!$Q$5:$Q$35*('Indicator Scores'!$D$5:$D$35&gt;0)),0)</f>
        <v>3.11111111111111</v>
      </c>
      <c r="G11" s="28" t="n">
        <f aca="false">IFERROR(SUMPRODUCT((Indicators!$B$5:$B$35=G$4)*Indicators!$Q$5:$Q$35*'Indicator Scores'!$D$5:$D$35)/SUMPRODUCT((Indicators!$B$5:$B$35=G$4)*Indicators!$Q$5:$Q$35*('Indicator Scores'!$D$5:$D$35&gt;0)),0)</f>
        <v>3</v>
      </c>
      <c r="H11" s="28" t="n">
        <f aca="false">IFERROR(SUMPRODUCT((Indicators!$B$5:$B$35=H$4)*Indicators!$Q$5:$Q$35*'Indicator Scores'!$D$5:$D$35)/SUMPRODUCT((Indicators!$B$5:$B$35=H$4)*Indicators!$Q$5:$Q$35*('Indicator Scores'!$D$5:$D$35&gt;0)),0)</f>
        <v>2.5</v>
      </c>
      <c r="I11" s="28" t="n">
        <f aca="false">IFERROR(SUMPRODUCT((Indicators!$B$5:$B$35=I$4)*Indicators!$Q$5:$Q$35*'Indicator Scores'!$D$5:$D$35)/SUMPRODUCT((Indicators!$B$5:$B$35=I$4)*Indicators!$Q$5:$Q$35*('Indicator Scores'!$D$5:$D$35&gt;0)),0)</f>
        <v>3</v>
      </c>
      <c r="J11" s="28" t="n">
        <f aca="false">IFERROR(SUMPRODUCT((Indicators!$B$5:$B$35=J$4)*Indicators!$Q$5:$Q$35*'Indicator Scores'!$D$5:$D$35)/SUMPRODUCT((Indicators!$B$5:$B$35=J$4)*Indicators!$Q$5:$Q$35*('Indicator Scores'!$D$5:$D$35&gt;0)),0)</f>
        <v>2.6</v>
      </c>
      <c r="K11" s="28" t="n">
        <f aca="false">IFERROR(SUMPRODUCT(F11:J11,INDEX('Factor Weights'!$C$5:$G$11,MATCH(D11,'Factor Weights'!$A$5:$A$11,0),0))/SUMPRODUCT((F11:J11&gt;0)*INDEX('Factor Weights'!$C$5:$G$11,MATCH(D11,'Factor Weights'!$A$5:$A$11,0),0)),0)</f>
        <v>2.89888888888889</v>
      </c>
      <c r="L11" s="29" t="n">
        <f aca="false">MAX(F11:J11)</f>
        <v>3.11111111111111</v>
      </c>
      <c r="M11" s="28" t="n">
        <f aca="false">IF(L11&gt;=Config!$C$13,MAX(K11,Config!$C$14),K11)</f>
        <v>2.89888888888889</v>
      </c>
      <c r="N11" s="30" t="n">
        <f aca="false">IF(Config!$C$12="Weighted average",K11,IF(Config!$C$12="Weighted with floor",M11,L11))</f>
        <v>2.89888888888889</v>
      </c>
      <c r="O11" s="31" t="n">
        <f aca="false">IF(N11&lt;Config!$D$5,"",MATCH(N11,Config!$D$5:$D$9,1))</f>
        <v>3</v>
      </c>
      <c r="P11" s="7" t="str">
        <f aca="false">IF(O11="","No data",INDEX(Config!$B$5:$B$9,O11))</f>
        <v>Medium</v>
      </c>
      <c r="Q11" s="32" t="n">
        <v>0</v>
      </c>
      <c r="R11" s="8"/>
      <c r="S11" s="33"/>
      <c r="T11" s="34" t="n">
        <f aca="false">IF(O11="","",IF(AND(S11="Y",Q11&lt;&gt;0),MAX(1,MIN(5,O11+MAX(-Config!$C$27,MIN(Config!$C$27,Q11)))),O11))</f>
        <v>3</v>
      </c>
      <c r="U11" s="35" t="str">
        <f aca="false">IF(T11="","No data",INDEX(Config!$B$5:$B$9,T11))</f>
        <v>Medium</v>
      </c>
      <c r="V11" s="7" t="str">
        <f aca="false">IF(Q11=0,"None",IF(S11="Y","Applied","Pending HO approval"))</f>
        <v>None</v>
      </c>
      <c r="W11" s="36" t="n">
        <f aca="false">SUMPRODUCT((Indicators!$Q$5:$Q$35&gt;0)*('Indicator Data'!$D$5:$D$35&lt;&gt;""))/SUMPRODUCT(--(Indicators!$Q$5:$Q$35&gt;0))</f>
        <v>1</v>
      </c>
    </row>
    <row r="12" customFormat="false" ht="15" hidden="false" customHeight="false" outlineLevel="0" collapsed="false">
      <c r="A12" s="26" t="str">
        <f aca="false">Entities!$A$6</f>
        <v>JO-IIAB</v>
      </c>
      <c r="B12" s="12" t="str">
        <f aca="false">INDEX(Entities!$B$5:$B$34,MATCH(A12,Entities!$A$5:$A$34,0))</f>
        <v>Islamic International Arab Bank</v>
      </c>
      <c r="C12" s="12" t="str">
        <f aca="false">INDEX(Entities!$D$5:$D$34,MATCH(A12,Entities!$A$5:$A$34,0))</f>
        <v>Jordan (home)</v>
      </c>
      <c r="D12" s="12" t="s">
        <v>260</v>
      </c>
      <c r="E12" s="12" t="str">
        <f aca="false">INDEX('Risk Taxonomy'!$B$5:$B$24,MATCH(D12,'Risk Taxonomy'!$A$5:$A$24,0))</f>
        <v>Money laundering</v>
      </c>
      <c r="F12" s="28" t="n">
        <f aca="false">IFERROR(SUMPRODUCT((Indicators!$B$5:$B$35=F$4)*Indicators!$K$5:$K$35*'Indicator Scores'!$E$5:$E$35)/SUMPRODUCT((Indicators!$B$5:$B$35=F$4)*Indicators!$K$5:$K$35*('Indicator Scores'!$E$5:$E$35&gt;0)),0)</f>
        <v>3.25</v>
      </c>
      <c r="G12" s="28" t="n">
        <f aca="false">IFERROR(SUMPRODUCT((Indicators!$B$5:$B$35=G$4)*Indicators!$K$5:$K$35*'Indicator Scores'!$E$5:$E$35)/SUMPRODUCT((Indicators!$B$5:$B$35=G$4)*Indicators!$K$5:$K$35*('Indicator Scores'!$E$5:$E$35&gt;0)),0)</f>
        <v>2.33333333333333</v>
      </c>
      <c r="H12" s="28" t="n">
        <f aca="false">IFERROR(SUMPRODUCT((Indicators!$B$5:$B$35=H$4)*Indicators!$K$5:$K$35*'Indicator Scores'!$E$5:$E$35)/SUMPRODUCT((Indicators!$B$5:$B$35=H$4)*Indicators!$K$5:$K$35*('Indicator Scores'!$E$5:$E$35&gt;0)),0)</f>
        <v>2.9</v>
      </c>
      <c r="I12" s="28" t="n">
        <f aca="false">IFERROR(SUMPRODUCT((Indicators!$B$5:$B$35=I$4)*Indicators!$K$5:$K$35*'Indicator Scores'!$E$5:$E$35)/SUMPRODUCT((Indicators!$B$5:$B$35=I$4)*Indicators!$K$5:$K$35*('Indicator Scores'!$E$5:$E$35&gt;0)),0)</f>
        <v>2.71428571428571</v>
      </c>
      <c r="J12" s="28" t="n">
        <f aca="false">IFERROR(SUMPRODUCT((Indicators!$B$5:$B$35=J$4)*Indicators!$K$5:$K$35*'Indicator Scores'!$E$5:$E$35)/SUMPRODUCT((Indicators!$B$5:$B$35=J$4)*Indicators!$K$5:$K$35*('Indicator Scores'!$E$5:$E$35&gt;0)),0)</f>
        <v>3</v>
      </c>
      <c r="K12" s="28" t="n">
        <f aca="false">IFERROR(SUMPRODUCT(F12:J12,INDEX('Factor Weights'!$C$5:$G$11,MATCH(D12,'Factor Weights'!$A$5:$A$11,0),0))/SUMPRODUCT((F12:J12&gt;0)*INDEX('Factor Weights'!$C$5:$G$11,MATCH(D12,'Factor Weights'!$A$5:$A$11,0),0)),0)</f>
        <v>2.84547619047619</v>
      </c>
      <c r="L12" s="29" t="n">
        <f aca="false">MAX(F12:J12)</f>
        <v>3.25</v>
      </c>
      <c r="M12" s="28" t="n">
        <f aca="false">IF(L12&gt;=Config!$C$13,MAX(K12,Config!$C$14),K12)</f>
        <v>2.84547619047619</v>
      </c>
      <c r="N12" s="30" t="n">
        <f aca="false">IF(Config!$C$12="Weighted average",K12,IF(Config!$C$12="Weighted with floor",M12,L12))</f>
        <v>2.84547619047619</v>
      </c>
      <c r="O12" s="31" t="n">
        <f aca="false">IF(N12&lt;Config!$D$5,"",MATCH(N12,Config!$D$5:$D$9,1))</f>
        <v>3</v>
      </c>
      <c r="P12" s="7" t="str">
        <f aca="false">IF(O12="","No data",INDEX(Config!$B$5:$B$9,O12))</f>
        <v>Medium</v>
      </c>
      <c r="Q12" s="32" t="n">
        <v>0</v>
      </c>
      <c r="R12" s="8"/>
      <c r="S12" s="33"/>
      <c r="T12" s="34" t="n">
        <f aca="false">IF(O12="","",IF(AND(S12="Y",Q12&lt;&gt;0),MAX(1,MIN(5,O12+MAX(-Config!$C$27,MIN(Config!$C$27,Q12)))),O12))</f>
        <v>3</v>
      </c>
      <c r="U12" s="35" t="str">
        <f aca="false">IF(T12="","No data",INDEX(Config!$B$5:$B$9,T12))</f>
        <v>Medium</v>
      </c>
      <c r="V12" s="7" t="str">
        <f aca="false">IF(Q12=0,"None",IF(S12="Y","Applied","Pending HO approval"))</f>
        <v>None</v>
      </c>
      <c r="W12" s="36" t="n">
        <f aca="false">SUMPRODUCT((Indicators!$K$5:$K$35&gt;0)*('Indicator Data'!$E$5:$E$35&lt;&gt;""))/SUMPRODUCT(--(Indicators!$K$5:$K$35&gt;0))</f>
        <v>1</v>
      </c>
    </row>
    <row r="13" customFormat="false" ht="15" hidden="false" customHeight="false" outlineLevel="0" collapsed="false">
      <c r="A13" s="26" t="str">
        <f aca="false">Entities!$A$6</f>
        <v>JO-IIAB</v>
      </c>
      <c r="B13" s="12" t="str">
        <f aca="false">INDEX(Entities!$B$5:$B$34,MATCH(A13,Entities!$A$5:$A$34,0))</f>
        <v>Islamic International Arab Bank</v>
      </c>
      <c r="C13" s="12" t="str">
        <f aca="false">INDEX(Entities!$D$5:$D$34,MATCH(A13,Entities!$A$5:$A$34,0))</f>
        <v>Jordan (home)</v>
      </c>
      <c r="D13" s="12" t="s">
        <v>267</v>
      </c>
      <c r="E13" s="12" t="str">
        <f aca="false">INDEX('Risk Taxonomy'!$B$5:$B$24,MATCH(D13,'Risk Taxonomy'!$A$5:$A$24,0))</f>
        <v>Terrorist financing</v>
      </c>
      <c r="F13" s="28" t="n">
        <f aca="false">IFERROR(SUMPRODUCT((Indicators!$B$5:$B$35=F$4)*Indicators!$L$5:$L$35*'Indicator Scores'!$E$5:$E$35)/SUMPRODUCT((Indicators!$B$5:$B$35=F$4)*Indicators!$L$5:$L$35*('Indicator Scores'!$E$5:$E$35&gt;0)),0)</f>
        <v>3.4</v>
      </c>
      <c r="G13" s="28" t="n">
        <f aca="false">IFERROR(SUMPRODUCT((Indicators!$B$5:$B$35=G$4)*Indicators!$L$5:$L$35*'Indicator Scores'!$E$5:$E$35)/SUMPRODUCT((Indicators!$B$5:$B$35=G$4)*Indicators!$L$5:$L$35*('Indicator Scores'!$E$5:$E$35&gt;0)),0)</f>
        <v>2.66666666666667</v>
      </c>
      <c r="H13" s="28" t="n">
        <f aca="false">IFERROR(SUMPRODUCT((Indicators!$B$5:$B$35=H$4)*Indicators!$L$5:$L$35*'Indicator Scores'!$E$5:$E$35)/SUMPRODUCT((Indicators!$B$5:$B$35=H$4)*Indicators!$L$5:$L$35*('Indicator Scores'!$E$5:$E$35&gt;0)),0)</f>
        <v>3.16666666666667</v>
      </c>
      <c r="I13" s="28" t="n">
        <f aca="false">IFERROR(SUMPRODUCT((Indicators!$B$5:$B$35=I$4)*Indicators!$L$5:$L$35*'Indicator Scores'!$E$5:$E$35)/SUMPRODUCT((Indicators!$B$5:$B$35=I$4)*Indicators!$L$5:$L$35*('Indicator Scores'!$E$5:$E$35&gt;0)),0)</f>
        <v>2.66666666666667</v>
      </c>
      <c r="J13" s="28" t="n">
        <f aca="false">IFERROR(SUMPRODUCT((Indicators!$B$5:$B$35=J$4)*Indicators!$L$5:$L$35*'Indicator Scores'!$E$5:$E$35)/SUMPRODUCT((Indicators!$B$5:$B$35=J$4)*Indicators!$L$5:$L$35*('Indicator Scores'!$E$5:$E$35&gt;0)),0)</f>
        <v>3.28571428571429</v>
      </c>
      <c r="K13" s="28" t="n">
        <f aca="false">IFERROR(SUMPRODUCT(F13:J13,INDEX('Factor Weights'!$C$5:$G$11,MATCH(D13,'Factor Weights'!$A$5:$A$11,0),0))/SUMPRODUCT((F13:J13&gt;0)*INDEX('Factor Weights'!$C$5:$G$11,MATCH(D13,'Factor Weights'!$A$5:$A$11,0),0)),0)</f>
        <v>3.04880952380952</v>
      </c>
      <c r="L13" s="29" t="n">
        <f aca="false">MAX(F13:J13)</f>
        <v>3.4</v>
      </c>
      <c r="M13" s="28" t="n">
        <f aca="false">IF(L13&gt;=Config!$C$13,MAX(K13,Config!$C$14),K13)</f>
        <v>3.04880952380952</v>
      </c>
      <c r="N13" s="30" t="n">
        <f aca="false">IF(Config!$C$12="Weighted average",K13,IF(Config!$C$12="Weighted with floor",M13,L13))</f>
        <v>3.04880952380952</v>
      </c>
      <c r="O13" s="31" t="n">
        <f aca="false">IF(N13&lt;Config!$D$5,"",MATCH(N13,Config!$D$5:$D$9,1))</f>
        <v>3</v>
      </c>
      <c r="P13" s="7" t="str">
        <f aca="false">IF(O13="","No data",INDEX(Config!$B$5:$B$9,O13))</f>
        <v>Medium</v>
      </c>
      <c r="Q13" s="32" t="n">
        <v>0</v>
      </c>
      <c r="R13" s="8"/>
      <c r="S13" s="33"/>
      <c r="T13" s="34" t="n">
        <f aca="false">IF(O13="","",IF(AND(S13="Y",Q13&lt;&gt;0),MAX(1,MIN(5,O13+MAX(-Config!$C$27,MIN(Config!$C$27,Q13)))),O13))</f>
        <v>3</v>
      </c>
      <c r="U13" s="35" t="str">
        <f aca="false">IF(T13="","No data",INDEX(Config!$B$5:$B$9,T13))</f>
        <v>Medium</v>
      </c>
      <c r="V13" s="7" t="str">
        <f aca="false">IF(Q13=0,"None",IF(S13="Y","Applied","Pending HO approval"))</f>
        <v>None</v>
      </c>
      <c r="W13" s="36" t="n">
        <f aca="false">SUMPRODUCT((Indicators!$L$5:$L$35&gt;0)*('Indicator Data'!$E$5:$E$35&lt;&gt;""))/SUMPRODUCT(--(Indicators!$L$5:$L$35&gt;0))</f>
        <v>1</v>
      </c>
    </row>
    <row r="14" customFormat="false" ht="15" hidden="false" customHeight="false" outlineLevel="0" collapsed="false">
      <c r="A14" s="26" t="str">
        <f aca="false">Entities!$A$6</f>
        <v>JO-IIAB</v>
      </c>
      <c r="B14" s="12" t="str">
        <f aca="false">INDEX(Entities!$B$5:$B$34,MATCH(A14,Entities!$A$5:$A$34,0))</f>
        <v>Islamic International Arab Bank</v>
      </c>
      <c r="C14" s="12" t="str">
        <f aca="false">INDEX(Entities!$D$5:$D$34,MATCH(A14,Entities!$A$5:$A$34,0))</f>
        <v>Jordan (home)</v>
      </c>
      <c r="D14" s="12" t="s">
        <v>270</v>
      </c>
      <c r="E14" s="12" t="str">
        <f aca="false">INDEX('Risk Taxonomy'!$B$5:$B$24,MATCH(D14,'Risk Taxonomy'!$A$5:$A$24,0))</f>
        <v>Proliferation financing</v>
      </c>
      <c r="F14" s="28" t="n">
        <f aca="false">IFERROR(SUMPRODUCT((Indicators!$B$5:$B$35=F$4)*Indicators!$M$5:$M$35*'Indicator Scores'!$E$5:$E$35)/SUMPRODUCT((Indicators!$B$5:$B$35=F$4)*Indicators!$M$5:$M$35*('Indicator Scores'!$E$5:$E$35&gt;0)),0)</f>
        <v>4</v>
      </c>
      <c r="G14" s="28" t="n">
        <f aca="false">IFERROR(SUMPRODUCT((Indicators!$B$5:$B$35=G$4)*Indicators!$M$5:$M$35*'Indicator Scores'!$E$5:$E$35)/SUMPRODUCT((Indicators!$B$5:$B$35=G$4)*Indicators!$M$5:$M$35*('Indicator Scores'!$E$5:$E$35&gt;0)),0)</f>
        <v>2.25</v>
      </c>
      <c r="H14" s="28" t="n">
        <f aca="false">IFERROR(SUMPRODUCT((Indicators!$B$5:$B$35=H$4)*Indicators!$M$5:$M$35*'Indicator Scores'!$E$5:$E$35)/SUMPRODUCT((Indicators!$B$5:$B$35=H$4)*Indicators!$M$5:$M$35*('Indicator Scores'!$E$5:$E$35&gt;0)),0)</f>
        <v>3</v>
      </c>
      <c r="I14" s="28" t="n">
        <f aca="false">IFERROR(SUMPRODUCT((Indicators!$B$5:$B$35=I$4)*Indicators!$M$5:$M$35*'Indicator Scores'!$E$5:$E$35)/SUMPRODUCT((Indicators!$B$5:$B$35=I$4)*Indicators!$M$5:$M$35*('Indicator Scores'!$E$5:$E$35&gt;0)),0)</f>
        <v>2</v>
      </c>
      <c r="J14" s="28" t="n">
        <f aca="false">IFERROR(SUMPRODUCT((Indicators!$B$5:$B$35=J$4)*Indicators!$M$5:$M$35*'Indicator Scores'!$E$5:$E$35)/SUMPRODUCT((Indicators!$B$5:$B$35=J$4)*Indicators!$M$5:$M$35*('Indicator Scores'!$E$5:$E$35&gt;0)),0)</f>
        <v>3</v>
      </c>
      <c r="K14" s="28" t="n">
        <f aca="false">IFERROR(SUMPRODUCT(F14:J14,INDEX('Factor Weights'!$C$5:$G$11,MATCH(D14,'Factor Weights'!$A$5:$A$11,0),0))/SUMPRODUCT((F14:J14&gt;0)*INDEX('Factor Weights'!$C$5:$G$11,MATCH(D14,'Factor Weights'!$A$5:$A$11,0),0)),0)</f>
        <v>2.875</v>
      </c>
      <c r="L14" s="29" t="n">
        <f aca="false">MAX(F14:J14)</f>
        <v>4</v>
      </c>
      <c r="M14" s="28" t="n">
        <f aca="false">IF(L14&gt;=Config!$C$13,MAX(K14,Config!$C$14),K14)</f>
        <v>2.875</v>
      </c>
      <c r="N14" s="30" t="n">
        <f aca="false">IF(Config!$C$12="Weighted average",K14,IF(Config!$C$12="Weighted with floor",M14,L14))</f>
        <v>2.875</v>
      </c>
      <c r="O14" s="31" t="n">
        <f aca="false">IF(N14&lt;Config!$D$5,"",MATCH(N14,Config!$D$5:$D$9,1))</f>
        <v>3</v>
      </c>
      <c r="P14" s="7" t="str">
        <f aca="false">IF(O14="","No data",INDEX(Config!$B$5:$B$9,O14))</f>
        <v>Medium</v>
      </c>
      <c r="Q14" s="32" t="n">
        <v>0</v>
      </c>
      <c r="R14" s="8"/>
      <c r="S14" s="33"/>
      <c r="T14" s="34" t="n">
        <f aca="false">IF(O14="","",IF(AND(S14="Y",Q14&lt;&gt;0),MAX(1,MIN(5,O14+MAX(-Config!$C$27,MIN(Config!$C$27,Q14)))),O14))</f>
        <v>3</v>
      </c>
      <c r="U14" s="35" t="str">
        <f aca="false">IF(T14="","No data",INDEX(Config!$B$5:$B$9,T14))</f>
        <v>Medium</v>
      </c>
      <c r="V14" s="7" t="str">
        <f aca="false">IF(Q14=0,"None",IF(S14="Y","Applied","Pending HO approval"))</f>
        <v>None</v>
      </c>
      <c r="W14" s="36" t="n">
        <f aca="false">SUMPRODUCT((Indicators!$M$5:$M$35&gt;0)*('Indicator Data'!$E$5:$E$35&lt;&gt;""))/SUMPRODUCT(--(Indicators!$M$5:$M$35&gt;0))</f>
        <v>1</v>
      </c>
    </row>
    <row r="15" customFormat="false" ht="15" hidden="false" customHeight="false" outlineLevel="0" collapsed="false">
      <c r="A15" s="26" t="str">
        <f aca="false">Entities!$A$6</f>
        <v>JO-IIAB</v>
      </c>
      <c r="B15" s="12" t="str">
        <f aca="false">INDEX(Entities!$B$5:$B$34,MATCH(A15,Entities!$A$5:$A$34,0))</f>
        <v>Islamic International Arab Bank</v>
      </c>
      <c r="C15" s="12" t="str">
        <f aca="false">INDEX(Entities!$D$5:$D$34,MATCH(A15,Entities!$A$5:$A$34,0))</f>
        <v>Jordan (home)</v>
      </c>
      <c r="D15" s="12" t="s">
        <v>272</v>
      </c>
      <c r="E15" s="12" t="str">
        <f aca="false">INDEX('Risk Taxonomy'!$B$5:$B$24,MATCH(D15,'Risk Taxonomy'!$A$5:$A$24,0))</f>
        <v>Sanctions</v>
      </c>
      <c r="F15" s="28" t="n">
        <f aca="false">IFERROR(SUMPRODUCT((Indicators!$B$5:$B$35=F$4)*Indicators!$N$5:$N$35*'Indicator Scores'!$E$5:$E$35)/SUMPRODUCT((Indicators!$B$5:$B$35=F$4)*Indicators!$N$5:$N$35*('Indicator Scores'!$E$5:$E$35&gt;0)),0)</f>
        <v>3.71428571428571</v>
      </c>
      <c r="G15" s="28" t="n">
        <f aca="false">IFERROR(SUMPRODUCT((Indicators!$B$5:$B$35=G$4)*Indicators!$N$5:$N$35*'Indicator Scores'!$E$5:$E$35)/SUMPRODUCT((Indicators!$B$5:$B$35=G$4)*Indicators!$N$5:$N$35*('Indicator Scores'!$E$5:$E$35&gt;0)),0)</f>
        <v>2.28571428571429</v>
      </c>
      <c r="H15" s="28" t="n">
        <f aca="false">IFERROR(SUMPRODUCT((Indicators!$B$5:$B$35=H$4)*Indicators!$N$5:$N$35*'Indicator Scores'!$E$5:$E$35)/SUMPRODUCT((Indicators!$B$5:$B$35=H$4)*Indicators!$N$5:$N$35*('Indicator Scores'!$E$5:$E$35&gt;0)),0)</f>
        <v>2.875</v>
      </c>
      <c r="I15" s="28" t="n">
        <f aca="false">IFERROR(SUMPRODUCT((Indicators!$B$5:$B$35=I$4)*Indicators!$N$5:$N$35*'Indicator Scores'!$E$5:$E$35)/SUMPRODUCT((Indicators!$B$5:$B$35=I$4)*Indicators!$N$5:$N$35*('Indicator Scores'!$E$5:$E$35&gt;0)),0)</f>
        <v>2</v>
      </c>
      <c r="J15" s="28" t="n">
        <f aca="false">IFERROR(SUMPRODUCT((Indicators!$B$5:$B$35=J$4)*Indicators!$N$5:$N$35*'Indicator Scores'!$E$5:$E$35)/SUMPRODUCT((Indicators!$B$5:$B$35=J$4)*Indicators!$N$5:$N$35*('Indicator Scores'!$E$5:$E$35&gt;0)),0)</f>
        <v>3.2</v>
      </c>
      <c r="K15" s="28" t="n">
        <f aca="false">IFERROR(SUMPRODUCT(F15:J15,INDEX('Factor Weights'!$C$5:$G$11,MATCH(D15,'Factor Weights'!$A$5:$A$11,0),0))/SUMPRODUCT((F15:J15&gt;0)*INDEX('Factor Weights'!$C$5:$G$11,MATCH(D15,'Factor Weights'!$A$5:$A$11,0),0)),0)</f>
        <v>2.78642857142857</v>
      </c>
      <c r="L15" s="29" t="n">
        <f aca="false">MAX(F15:J15)</f>
        <v>3.71428571428571</v>
      </c>
      <c r="M15" s="28" t="n">
        <f aca="false">IF(L15&gt;=Config!$C$13,MAX(K15,Config!$C$14),K15)</f>
        <v>2.78642857142857</v>
      </c>
      <c r="N15" s="30" t="n">
        <f aca="false">IF(Config!$C$12="Weighted average",K15,IF(Config!$C$12="Weighted with floor",M15,L15))</f>
        <v>2.78642857142857</v>
      </c>
      <c r="O15" s="31" t="n">
        <f aca="false">IF(N15&lt;Config!$D$5,"",MATCH(N15,Config!$D$5:$D$9,1))</f>
        <v>3</v>
      </c>
      <c r="P15" s="7" t="str">
        <f aca="false">IF(O15="","No data",INDEX(Config!$B$5:$B$9,O15))</f>
        <v>Medium</v>
      </c>
      <c r="Q15" s="32" t="n">
        <v>0</v>
      </c>
      <c r="R15" s="8"/>
      <c r="S15" s="33"/>
      <c r="T15" s="34" t="n">
        <f aca="false">IF(O15="","",IF(AND(S15="Y",Q15&lt;&gt;0),MAX(1,MIN(5,O15+MAX(-Config!$C$27,MIN(Config!$C$27,Q15)))),O15))</f>
        <v>3</v>
      </c>
      <c r="U15" s="35" t="str">
        <f aca="false">IF(T15="","No data",INDEX(Config!$B$5:$B$9,T15))</f>
        <v>Medium</v>
      </c>
      <c r="V15" s="7" t="str">
        <f aca="false">IF(Q15=0,"None",IF(S15="Y","Applied","Pending HO approval"))</f>
        <v>None</v>
      </c>
      <c r="W15" s="36" t="n">
        <f aca="false">SUMPRODUCT((Indicators!$N$5:$N$35&gt;0)*('Indicator Data'!$E$5:$E$35&lt;&gt;""))/SUMPRODUCT(--(Indicators!$N$5:$N$35&gt;0))</f>
        <v>1</v>
      </c>
    </row>
    <row r="16" customFormat="false" ht="15" hidden="false" customHeight="false" outlineLevel="0" collapsed="false">
      <c r="A16" s="26" t="str">
        <f aca="false">Entities!$A$6</f>
        <v>JO-IIAB</v>
      </c>
      <c r="B16" s="12" t="str">
        <f aca="false">INDEX(Entities!$B$5:$B$34,MATCH(A16,Entities!$A$5:$A$34,0))</f>
        <v>Islamic International Arab Bank</v>
      </c>
      <c r="C16" s="12" t="str">
        <f aca="false">INDEX(Entities!$D$5:$D$34,MATCH(A16,Entities!$A$5:$A$34,0))</f>
        <v>Jordan (home)</v>
      </c>
      <c r="D16" s="12" t="s">
        <v>275</v>
      </c>
      <c r="E16" s="12" t="str">
        <f aca="false">INDEX('Risk Taxonomy'!$B$5:$B$24,MATCH(D16,'Risk Taxonomy'!$A$5:$A$24,0))</f>
        <v>Bribery and corruption</v>
      </c>
      <c r="F16" s="28" t="n">
        <f aca="false">IFERROR(SUMPRODUCT((Indicators!$B$5:$B$35=F$4)*Indicators!$O$5:$O$35*'Indicator Scores'!$E$5:$E$35)/SUMPRODUCT((Indicators!$B$5:$B$35=F$4)*Indicators!$O$5:$O$35*('Indicator Scores'!$E$5:$E$35&gt;0)),0)</f>
        <v>3.66666666666667</v>
      </c>
      <c r="G16" s="28" t="n">
        <f aca="false">IFERROR(SUMPRODUCT((Indicators!$B$5:$B$35=G$4)*Indicators!$O$5:$O$35*'Indicator Scores'!$E$5:$E$35)/SUMPRODUCT((Indicators!$B$5:$B$35=G$4)*Indicators!$O$5:$O$35*('Indicator Scores'!$E$5:$E$35&gt;0)),0)</f>
        <v>2.6</v>
      </c>
      <c r="H16" s="28" t="n">
        <f aca="false">IFERROR(SUMPRODUCT((Indicators!$B$5:$B$35=H$4)*Indicators!$O$5:$O$35*'Indicator Scores'!$E$5:$E$35)/SUMPRODUCT((Indicators!$B$5:$B$35=H$4)*Indicators!$O$5:$O$35*('Indicator Scores'!$E$5:$E$35&gt;0)),0)</f>
        <v>3</v>
      </c>
      <c r="I16" s="28" t="n">
        <f aca="false">IFERROR(SUMPRODUCT((Indicators!$B$5:$B$35=I$4)*Indicators!$O$5:$O$35*'Indicator Scores'!$E$5:$E$35)/SUMPRODUCT((Indicators!$B$5:$B$35=I$4)*Indicators!$O$5:$O$35*('Indicator Scores'!$E$5:$E$35&gt;0)),0)</f>
        <v>2.6</v>
      </c>
      <c r="J16" s="28" t="n">
        <f aca="false">IFERROR(SUMPRODUCT((Indicators!$B$5:$B$35=J$4)*Indicators!$O$5:$O$35*'Indicator Scores'!$E$5:$E$35)/SUMPRODUCT((Indicators!$B$5:$B$35=J$4)*Indicators!$O$5:$O$35*('Indicator Scores'!$E$5:$E$35&gt;0)),0)</f>
        <v>2</v>
      </c>
      <c r="K16" s="28" t="n">
        <f aca="false">IFERROR(SUMPRODUCT(F16:J16,INDEX('Factor Weights'!$C$5:$G$11,MATCH(D16,'Factor Weights'!$A$5:$A$11,0),0))/SUMPRODUCT((F16:J16&gt;0)*INDEX('Factor Weights'!$C$5:$G$11,MATCH(D16,'Factor Weights'!$A$5:$A$11,0),0)),0)</f>
        <v>2.92</v>
      </c>
      <c r="L16" s="29" t="n">
        <f aca="false">MAX(F16:J16)</f>
        <v>3.66666666666667</v>
      </c>
      <c r="M16" s="28" t="n">
        <f aca="false">IF(L16&gt;=Config!$C$13,MAX(K16,Config!$C$14),K16)</f>
        <v>2.92</v>
      </c>
      <c r="N16" s="30" t="n">
        <f aca="false">IF(Config!$C$12="Weighted average",K16,IF(Config!$C$12="Weighted with floor",M16,L16))</f>
        <v>2.92</v>
      </c>
      <c r="O16" s="31" t="n">
        <f aca="false">IF(N16&lt;Config!$D$5,"",MATCH(N16,Config!$D$5:$D$9,1))</f>
        <v>3</v>
      </c>
      <c r="P16" s="7" t="str">
        <f aca="false">IF(O16="","No data",INDEX(Config!$B$5:$B$9,O16))</f>
        <v>Medium</v>
      </c>
      <c r="Q16" s="32" t="n">
        <v>0</v>
      </c>
      <c r="R16" s="8"/>
      <c r="S16" s="33"/>
      <c r="T16" s="34" t="n">
        <f aca="false">IF(O16="","",IF(AND(S16="Y",Q16&lt;&gt;0),MAX(1,MIN(5,O16+MAX(-Config!$C$27,MIN(Config!$C$27,Q16)))),O16))</f>
        <v>3</v>
      </c>
      <c r="U16" s="35" t="str">
        <f aca="false">IF(T16="","No data",INDEX(Config!$B$5:$B$9,T16))</f>
        <v>Medium</v>
      </c>
      <c r="V16" s="7" t="str">
        <f aca="false">IF(Q16=0,"None",IF(S16="Y","Applied","Pending HO approval"))</f>
        <v>None</v>
      </c>
      <c r="W16" s="36" t="n">
        <f aca="false">SUMPRODUCT((Indicators!$O$5:$O$35&gt;0)*('Indicator Data'!$E$5:$E$35&lt;&gt;""))/SUMPRODUCT(--(Indicators!$O$5:$O$35&gt;0))</f>
        <v>1</v>
      </c>
    </row>
    <row r="17" customFormat="false" ht="15" hidden="false" customHeight="false" outlineLevel="0" collapsed="false">
      <c r="A17" s="26" t="str">
        <f aca="false">Entities!$A$6</f>
        <v>JO-IIAB</v>
      </c>
      <c r="B17" s="12" t="str">
        <f aca="false">INDEX(Entities!$B$5:$B$34,MATCH(A17,Entities!$A$5:$A$34,0))</f>
        <v>Islamic International Arab Bank</v>
      </c>
      <c r="C17" s="12" t="str">
        <f aca="false">INDEX(Entities!$D$5:$D$34,MATCH(A17,Entities!$A$5:$A$34,0))</f>
        <v>Jordan (home)</v>
      </c>
      <c r="D17" s="12" t="s">
        <v>278</v>
      </c>
      <c r="E17" s="12" t="str">
        <f aca="false">INDEX('Risk Taxonomy'!$B$5:$B$24,MATCH(D17,'Risk Taxonomy'!$A$5:$A$24,0))</f>
        <v>Fraud</v>
      </c>
      <c r="F17" s="28" t="n">
        <f aca="false">IFERROR(SUMPRODUCT((Indicators!$B$5:$B$35=F$4)*Indicators!$P$5:$P$35*'Indicator Scores'!$E$5:$E$35)/SUMPRODUCT((Indicators!$B$5:$B$35=F$4)*Indicators!$P$5:$P$35*('Indicator Scores'!$E$5:$E$35&gt;0)),0)</f>
        <v>2.33333333333333</v>
      </c>
      <c r="G17" s="28" t="n">
        <f aca="false">IFERROR(SUMPRODUCT((Indicators!$B$5:$B$35=G$4)*Indicators!$P$5:$P$35*'Indicator Scores'!$E$5:$E$35)/SUMPRODUCT((Indicators!$B$5:$B$35=G$4)*Indicators!$P$5:$P$35*('Indicator Scores'!$E$5:$E$35&gt;0)),0)</f>
        <v>2.75</v>
      </c>
      <c r="H17" s="28" t="n">
        <f aca="false">IFERROR(SUMPRODUCT((Indicators!$B$5:$B$35=H$4)*Indicators!$P$5:$P$35*'Indicator Scores'!$E$5:$E$35)/SUMPRODUCT((Indicators!$B$5:$B$35=H$4)*Indicators!$P$5:$P$35*('Indicator Scores'!$E$5:$E$35&gt;0)),0)</f>
        <v>3.2</v>
      </c>
      <c r="I17" s="28" t="n">
        <f aca="false">IFERROR(SUMPRODUCT((Indicators!$B$5:$B$35=I$4)*Indicators!$P$5:$P$35*'Indicator Scores'!$E$5:$E$35)/SUMPRODUCT((Indicators!$B$5:$B$35=I$4)*Indicators!$P$5:$P$35*('Indicator Scores'!$E$5:$E$35&gt;0)),0)</f>
        <v>3</v>
      </c>
      <c r="J17" s="28" t="n">
        <f aca="false">IFERROR(SUMPRODUCT((Indicators!$B$5:$B$35=J$4)*Indicators!$P$5:$P$35*'Indicator Scores'!$E$5:$E$35)/SUMPRODUCT((Indicators!$B$5:$B$35=J$4)*Indicators!$P$5:$P$35*('Indicator Scores'!$E$5:$E$35&gt;0)),0)</f>
        <v>2.4</v>
      </c>
      <c r="K17" s="28" t="n">
        <f aca="false">IFERROR(SUMPRODUCT(F17:J17,INDEX('Factor Weights'!$C$5:$G$11,MATCH(D17,'Factor Weights'!$A$5:$A$11,0),0))/SUMPRODUCT((F17:J17&gt;0)*INDEX('Factor Weights'!$C$5:$G$11,MATCH(D17,'Factor Weights'!$A$5:$A$11,0),0)),0)</f>
        <v>2.76166666666667</v>
      </c>
      <c r="L17" s="29" t="n">
        <f aca="false">MAX(F17:J17)</f>
        <v>3.2</v>
      </c>
      <c r="M17" s="28" t="n">
        <f aca="false">IF(L17&gt;=Config!$C$13,MAX(K17,Config!$C$14),K17)</f>
        <v>2.76166666666667</v>
      </c>
      <c r="N17" s="30" t="n">
        <f aca="false">IF(Config!$C$12="Weighted average",K17,IF(Config!$C$12="Weighted with floor",M17,L17))</f>
        <v>2.76166666666667</v>
      </c>
      <c r="O17" s="31" t="n">
        <f aca="false">IF(N17&lt;Config!$D$5,"",MATCH(N17,Config!$D$5:$D$9,1))</f>
        <v>3</v>
      </c>
      <c r="P17" s="7" t="str">
        <f aca="false">IF(O17="","No data",INDEX(Config!$B$5:$B$9,O17))</f>
        <v>Medium</v>
      </c>
      <c r="Q17" s="32" t="n">
        <v>0</v>
      </c>
      <c r="R17" s="8"/>
      <c r="S17" s="33"/>
      <c r="T17" s="34" t="n">
        <f aca="false">IF(O17="","",IF(AND(S17="Y",Q17&lt;&gt;0),MAX(1,MIN(5,O17+MAX(-Config!$C$27,MIN(Config!$C$27,Q17)))),O17))</f>
        <v>3</v>
      </c>
      <c r="U17" s="35" t="str">
        <f aca="false">IF(T17="","No data",INDEX(Config!$B$5:$B$9,T17))</f>
        <v>Medium</v>
      </c>
      <c r="V17" s="7" t="str">
        <f aca="false">IF(Q17=0,"None",IF(S17="Y","Applied","Pending HO approval"))</f>
        <v>None</v>
      </c>
      <c r="W17" s="36" t="n">
        <f aca="false">SUMPRODUCT((Indicators!$P$5:$P$35&gt;0)*('Indicator Data'!$E$5:$E$35&lt;&gt;""))/SUMPRODUCT(--(Indicators!$P$5:$P$35&gt;0))</f>
        <v>1</v>
      </c>
    </row>
    <row r="18" customFormat="false" ht="15" hidden="false" customHeight="false" outlineLevel="0" collapsed="false">
      <c r="A18" s="26" t="str">
        <f aca="false">Entities!$A$6</f>
        <v>JO-IIAB</v>
      </c>
      <c r="B18" s="12" t="str">
        <f aca="false">INDEX(Entities!$B$5:$B$34,MATCH(A18,Entities!$A$5:$A$34,0))</f>
        <v>Islamic International Arab Bank</v>
      </c>
      <c r="C18" s="12" t="str">
        <f aca="false">INDEX(Entities!$D$5:$D$34,MATCH(A18,Entities!$A$5:$A$34,0))</f>
        <v>Jordan (home)</v>
      </c>
      <c r="D18" s="12" t="s">
        <v>281</v>
      </c>
      <c r="E18" s="12" t="str">
        <f aca="false">INDEX('Risk Taxonomy'!$B$5:$B$24,MATCH(D18,'Risk Taxonomy'!$A$5:$A$24,0))</f>
        <v>Tax evasion and tax transparency</v>
      </c>
      <c r="F18" s="28" t="n">
        <f aca="false">IFERROR(SUMPRODUCT((Indicators!$B$5:$B$35=F$4)*Indicators!$Q$5:$Q$35*'Indicator Scores'!$E$5:$E$35)/SUMPRODUCT((Indicators!$B$5:$B$35=F$4)*Indicators!$Q$5:$Q$35*('Indicator Scores'!$E$5:$E$35&gt;0)),0)</f>
        <v>3.55555555555556</v>
      </c>
      <c r="G18" s="28" t="n">
        <f aca="false">IFERROR(SUMPRODUCT((Indicators!$B$5:$B$35=G$4)*Indicators!$Q$5:$Q$35*'Indicator Scores'!$E$5:$E$35)/SUMPRODUCT((Indicators!$B$5:$B$35=G$4)*Indicators!$Q$5:$Q$35*('Indicator Scores'!$E$5:$E$35&gt;0)),0)</f>
        <v>2.16666666666667</v>
      </c>
      <c r="H18" s="28" t="n">
        <f aca="false">IFERROR(SUMPRODUCT((Indicators!$B$5:$B$35=H$4)*Indicators!$Q$5:$Q$35*'Indicator Scores'!$E$5:$E$35)/SUMPRODUCT((Indicators!$B$5:$B$35=H$4)*Indicators!$Q$5:$Q$35*('Indicator Scores'!$E$5:$E$35&gt;0)),0)</f>
        <v>2.5</v>
      </c>
      <c r="I18" s="28" t="n">
        <f aca="false">IFERROR(SUMPRODUCT((Indicators!$B$5:$B$35=I$4)*Indicators!$Q$5:$Q$35*'Indicator Scores'!$E$5:$E$35)/SUMPRODUCT((Indicators!$B$5:$B$35=I$4)*Indicators!$Q$5:$Q$35*('Indicator Scores'!$E$5:$E$35&gt;0)),0)</f>
        <v>2.5</v>
      </c>
      <c r="J18" s="28" t="n">
        <f aca="false">IFERROR(SUMPRODUCT((Indicators!$B$5:$B$35=J$4)*Indicators!$Q$5:$Q$35*'Indicator Scores'!$E$5:$E$35)/SUMPRODUCT((Indicators!$B$5:$B$35=J$4)*Indicators!$Q$5:$Q$35*('Indicator Scores'!$E$5:$E$35&gt;0)),0)</f>
        <v>3</v>
      </c>
      <c r="K18" s="28" t="n">
        <f aca="false">IFERROR(SUMPRODUCT(F18:J18,INDEX('Factor Weights'!$C$5:$G$11,MATCH(D18,'Factor Weights'!$A$5:$A$11,0),0))/SUMPRODUCT((F18:J18&gt;0)*INDEX('Factor Weights'!$C$5:$G$11,MATCH(D18,'Factor Weights'!$A$5:$A$11,0),0)),0)</f>
        <v>2.83611111111111</v>
      </c>
      <c r="L18" s="29" t="n">
        <f aca="false">MAX(F18:J18)</f>
        <v>3.55555555555556</v>
      </c>
      <c r="M18" s="28" t="n">
        <f aca="false">IF(L18&gt;=Config!$C$13,MAX(K18,Config!$C$14),K18)</f>
        <v>2.83611111111111</v>
      </c>
      <c r="N18" s="30" t="n">
        <f aca="false">IF(Config!$C$12="Weighted average",K18,IF(Config!$C$12="Weighted with floor",M18,L18))</f>
        <v>2.83611111111111</v>
      </c>
      <c r="O18" s="31" t="n">
        <f aca="false">IF(N18&lt;Config!$D$5,"",MATCH(N18,Config!$D$5:$D$9,1))</f>
        <v>3</v>
      </c>
      <c r="P18" s="7" t="str">
        <f aca="false">IF(O18="","No data",INDEX(Config!$B$5:$B$9,O18))</f>
        <v>Medium</v>
      </c>
      <c r="Q18" s="32" t="n">
        <v>0</v>
      </c>
      <c r="R18" s="8"/>
      <c r="S18" s="33"/>
      <c r="T18" s="34" t="n">
        <f aca="false">IF(O18="","",IF(AND(S18="Y",Q18&lt;&gt;0),MAX(1,MIN(5,O18+MAX(-Config!$C$27,MIN(Config!$C$27,Q18)))),O18))</f>
        <v>3</v>
      </c>
      <c r="U18" s="35" t="str">
        <f aca="false">IF(T18="","No data",INDEX(Config!$B$5:$B$9,T18))</f>
        <v>Medium</v>
      </c>
      <c r="V18" s="7" t="str">
        <f aca="false">IF(Q18=0,"None",IF(S18="Y","Applied","Pending HO approval"))</f>
        <v>None</v>
      </c>
      <c r="W18" s="36" t="n">
        <f aca="false">SUMPRODUCT((Indicators!$Q$5:$Q$35&gt;0)*('Indicator Data'!$E$5:$E$35&lt;&gt;""))/SUMPRODUCT(--(Indicators!$Q$5:$Q$35&gt;0))</f>
        <v>1</v>
      </c>
    </row>
    <row r="19" customFormat="false" ht="15" hidden="false" customHeight="false" outlineLevel="0" collapsed="false">
      <c r="A19" s="26" t="str">
        <f aca="false">Entities!$A$7</f>
        <v>JO-INV</v>
      </c>
      <c r="B19" s="12" t="str">
        <f aca="false">INDEX(Entities!$B$5:$B$34,MATCH(A19,Entities!$A$5:$A$34,0))</f>
        <v>Al-Arabi Investment Group (AB Invest)</v>
      </c>
      <c r="C19" s="12" t="str">
        <f aca="false">INDEX(Entities!$D$5:$D$34,MATCH(A19,Entities!$A$5:$A$34,0))</f>
        <v>Jordan (home)</v>
      </c>
      <c r="D19" s="12" t="s">
        <v>260</v>
      </c>
      <c r="E19" s="12" t="str">
        <f aca="false">INDEX('Risk Taxonomy'!$B$5:$B$24,MATCH(D19,'Risk Taxonomy'!$A$5:$A$24,0))</f>
        <v>Money laundering</v>
      </c>
      <c r="F19" s="28" t="n">
        <f aca="false">IFERROR(SUMPRODUCT((Indicators!$B$5:$B$35=F$4)*Indicators!$K$5:$K$35*'Indicator Scores'!$F$5:$F$35)/SUMPRODUCT((Indicators!$B$5:$B$35=F$4)*Indicators!$K$5:$K$35*('Indicator Scores'!$F$5:$F$35&gt;0)),0)</f>
        <v>2.16666666666667</v>
      </c>
      <c r="G19" s="28" t="n">
        <f aca="false">IFERROR(SUMPRODUCT((Indicators!$B$5:$B$35=G$4)*Indicators!$K$5:$K$35*'Indicator Scores'!$F$5:$F$35)/SUMPRODUCT((Indicators!$B$5:$B$35=G$4)*Indicators!$K$5:$K$35*('Indicator Scores'!$F$5:$F$35&gt;0)),0)</f>
        <v>2.33333333333333</v>
      </c>
      <c r="H19" s="28" t="n">
        <f aca="false">IFERROR(SUMPRODUCT((Indicators!$B$5:$B$35=H$4)*Indicators!$K$5:$K$35*'Indicator Scores'!$F$5:$F$35)/SUMPRODUCT((Indicators!$B$5:$B$35=H$4)*Indicators!$K$5:$K$35*('Indicator Scores'!$F$5:$F$35&gt;0)),0)</f>
        <v>1.6</v>
      </c>
      <c r="I19" s="28" t="n">
        <f aca="false">IFERROR(SUMPRODUCT((Indicators!$B$5:$B$35=I$4)*Indicators!$K$5:$K$35*'Indicator Scores'!$F$5:$F$35)/SUMPRODUCT((Indicators!$B$5:$B$35=I$4)*Indicators!$K$5:$K$35*('Indicator Scores'!$F$5:$F$35&gt;0)),0)</f>
        <v>2.14285714285714</v>
      </c>
      <c r="J19" s="28" t="n">
        <f aca="false">IFERROR(SUMPRODUCT((Indicators!$B$5:$B$35=J$4)*Indicators!$K$5:$K$35*'Indicator Scores'!$F$5:$F$35)/SUMPRODUCT((Indicators!$B$5:$B$35=J$4)*Indicators!$K$5:$K$35*('Indicator Scores'!$F$5:$F$35&gt;0)),0)</f>
        <v>2.4</v>
      </c>
      <c r="K19" s="28" t="n">
        <f aca="false">IFERROR(SUMPRODUCT(F19:J19,INDEX('Factor Weights'!$C$5:$G$11,MATCH(D19,'Factor Weights'!$A$5:$A$11,0),0))/SUMPRODUCT((F19:J19&gt;0)*INDEX('Factor Weights'!$C$5:$G$11,MATCH(D19,'Factor Weights'!$A$5:$A$11,0),0)),0)</f>
        <v>2.1147619047619</v>
      </c>
      <c r="L19" s="29" t="n">
        <f aca="false">MAX(F19:J19)</f>
        <v>2.4</v>
      </c>
      <c r="M19" s="28" t="n">
        <f aca="false">IF(L19&gt;=Config!$C$13,MAX(K19,Config!$C$14),K19)</f>
        <v>2.1147619047619</v>
      </c>
      <c r="N19" s="30" t="n">
        <f aca="false">IF(Config!$C$12="Weighted average",K19,IF(Config!$C$12="Weighted with floor",M19,L19))</f>
        <v>2.1147619047619</v>
      </c>
      <c r="O19" s="31" t="n">
        <f aca="false">IF(N19&lt;Config!$D$5,"",MATCH(N19,Config!$D$5:$D$9,1))</f>
        <v>2</v>
      </c>
      <c r="P19" s="7" t="str">
        <f aca="false">IF(O19="","No data",INDEX(Config!$B$5:$B$9,O19))</f>
        <v>Medium-Low</v>
      </c>
      <c r="Q19" s="32" t="n">
        <v>0</v>
      </c>
      <c r="R19" s="8"/>
      <c r="S19" s="33"/>
      <c r="T19" s="34" t="n">
        <f aca="false">IF(O19="","",IF(AND(S19="Y",Q19&lt;&gt;0),MAX(1,MIN(5,O19+MAX(-Config!$C$27,MIN(Config!$C$27,Q19)))),O19))</f>
        <v>2</v>
      </c>
      <c r="U19" s="35" t="str">
        <f aca="false">IF(T19="","No data",INDEX(Config!$B$5:$B$9,T19))</f>
        <v>Medium-Low</v>
      </c>
      <c r="V19" s="7" t="str">
        <f aca="false">IF(Q19=0,"None",IF(S19="Y","Applied","Pending HO approval"))</f>
        <v>None</v>
      </c>
      <c r="W19" s="36" t="n">
        <f aca="false">SUMPRODUCT((Indicators!$K$5:$K$35&gt;0)*('Indicator Data'!$F$5:$F$35&lt;&gt;""))/SUMPRODUCT(--(Indicators!$K$5:$K$35&gt;0))</f>
        <v>1</v>
      </c>
    </row>
    <row r="20" customFormat="false" ht="15" hidden="false" customHeight="false" outlineLevel="0" collapsed="false">
      <c r="A20" s="26" t="str">
        <f aca="false">Entities!$A$7</f>
        <v>JO-INV</v>
      </c>
      <c r="B20" s="12" t="str">
        <f aca="false">INDEX(Entities!$B$5:$B$34,MATCH(A20,Entities!$A$5:$A$34,0))</f>
        <v>Al-Arabi Investment Group (AB Invest)</v>
      </c>
      <c r="C20" s="12" t="str">
        <f aca="false">INDEX(Entities!$D$5:$D$34,MATCH(A20,Entities!$A$5:$A$34,0))</f>
        <v>Jordan (home)</v>
      </c>
      <c r="D20" s="12" t="s">
        <v>267</v>
      </c>
      <c r="E20" s="12" t="str">
        <f aca="false">INDEX('Risk Taxonomy'!$B$5:$B$24,MATCH(D20,'Risk Taxonomy'!$A$5:$A$24,0))</f>
        <v>Terrorist financing</v>
      </c>
      <c r="F20" s="28" t="n">
        <f aca="false">IFERROR(SUMPRODUCT((Indicators!$B$5:$B$35=F$4)*Indicators!$L$5:$L$35*'Indicator Scores'!$F$5:$F$35)/SUMPRODUCT((Indicators!$B$5:$B$35=F$4)*Indicators!$L$5:$L$35*('Indicator Scores'!$F$5:$F$35&gt;0)),0)</f>
        <v>1.9</v>
      </c>
      <c r="G20" s="28" t="n">
        <f aca="false">IFERROR(SUMPRODUCT((Indicators!$B$5:$B$35=G$4)*Indicators!$L$5:$L$35*'Indicator Scores'!$F$5:$F$35)/SUMPRODUCT((Indicators!$B$5:$B$35=G$4)*Indicators!$L$5:$L$35*('Indicator Scores'!$F$5:$F$35&gt;0)),0)</f>
        <v>2.22222222222222</v>
      </c>
      <c r="H20" s="28" t="n">
        <f aca="false">IFERROR(SUMPRODUCT((Indicators!$B$5:$B$35=H$4)*Indicators!$L$5:$L$35*'Indicator Scores'!$F$5:$F$35)/SUMPRODUCT((Indicators!$B$5:$B$35=H$4)*Indicators!$L$5:$L$35*('Indicator Scores'!$F$5:$F$35&gt;0)),0)</f>
        <v>1.33333333333333</v>
      </c>
      <c r="I20" s="28" t="n">
        <f aca="false">IFERROR(SUMPRODUCT((Indicators!$B$5:$B$35=I$4)*Indicators!$L$5:$L$35*'Indicator Scores'!$F$5:$F$35)/SUMPRODUCT((Indicators!$B$5:$B$35=I$4)*Indicators!$L$5:$L$35*('Indicator Scores'!$F$5:$F$35&gt;0)),0)</f>
        <v>1.83333333333333</v>
      </c>
      <c r="J20" s="28" t="n">
        <f aca="false">IFERROR(SUMPRODUCT((Indicators!$B$5:$B$35=J$4)*Indicators!$L$5:$L$35*'Indicator Scores'!$F$5:$F$35)/SUMPRODUCT((Indicators!$B$5:$B$35=J$4)*Indicators!$L$5:$L$35*('Indicator Scores'!$F$5:$F$35&gt;0)),0)</f>
        <v>2.28571428571429</v>
      </c>
      <c r="K20" s="28" t="n">
        <f aca="false">IFERROR(SUMPRODUCT(F20:J20,INDEX('Factor Weights'!$C$5:$G$11,MATCH(D20,'Factor Weights'!$A$5:$A$11,0),0))/SUMPRODUCT((F20:J20&gt;0)*INDEX('Factor Weights'!$C$5:$G$11,MATCH(D20,'Factor Weights'!$A$5:$A$11,0),0)),0)</f>
        <v>1.98214285714286</v>
      </c>
      <c r="L20" s="29" t="n">
        <f aca="false">MAX(F20:J20)</f>
        <v>2.28571428571429</v>
      </c>
      <c r="M20" s="28" t="n">
        <f aca="false">IF(L20&gt;=Config!$C$13,MAX(K20,Config!$C$14),K20)</f>
        <v>1.98214285714286</v>
      </c>
      <c r="N20" s="30" t="n">
        <f aca="false">IF(Config!$C$12="Weighted average",K20,IF(Config!$C$12="Weighted with floor",M20,L20))</f>
        <v>1.98214285714286</v>
      </c>
      <c r="O20" s="31" t="n">
        <f aca="false">IF(N20&lt;Config!$D$5,"",MATCH(N20,Config!$D$5:$D$9,1))</f>
        <v>2</v>
      </c>
      <c r="P20" s="7" t="str">
        <f aca="false">IF(O20="","No data",INDEX(Config!$B$5:$B$9,O20))</f>
        <v>Medium-Low</v>
      </c>
      <c r="Q20" s="32" t="n">
        <v>0</v>
      </c>
      <c r="R20" s="8"/>
      <c r="S20" s="33"/>
      <c r="T20" s="34" t="n">
        <f aca="false">IF(O20="","",IF(AND(S20="Y",Q20&lt;&gt;0),MAX(1,MIN(5,O20+MAX(-Config!$C$27,MIN(Config!$C$27,Q20)))),O20))</f>
        <v>2</v>
      </c>
      <c r="U20" s="35" t="str">
        <f aca="false">IF(T20="","No data",INDEX(Config!$B$5:$B$9,T20))</f>
        <v>Medium-Low</v>
      </c>
      <c r="V20" s="7" t="str">
        <f aca="false">IF(Q20=0,"None",IF(S20="Y","Applied","Pending HO approval"))</f>
        <v>None</v>
      </c>
      <c r="W20" s="36" t="n">
        <f aca="false">SUMPRODUCT((Indicators!$L$5:$L$35&gt;0)*('Indicator Data'!$F$5:$F$35&lt;&gt;""))/SUMPRODUCT(--(Indicators!$L$5:$L$35&gt;0))</f>
        <v>1</v>
      </c>
    </row>
    <row r="21" customFormat="false" ht="15" hidden="false" customHeight="false" outlineLevel="0" collapsed="false">
      <c r="A21" s="26" t="str">
        <f aca="false">Entities!$A$7</f>
        <v>JO-INV</v>
      </c>
      <c r="B21" s="12" t="str">
        <f aca="false">INDEX(Entities!$B$5:$B$34,MATCH(A21,Entities!$A$5:$A$34,0))</f>
        <v>Al-Arabi Investment Group (AB Invest)</v>
      </c>
      <c r="C21" s="12" t="str">
        <f aca="false">INDEX(Entities!$D$5:$D$34,MATCH(A21,Entities!$A$5:$A$34,0))</f>
        <v>Jordan (home)</v>
      </c>
      <c r="D21" s="12" t="s">
        <v>270</v>
      </c>
      <c r="E21" s="12" t="str">
        <f aca="false">INDEX('Risk Taxonomy'!$B$5:$B$24,MATCH(D21,'Risk Taxonomy'!$A$5:$A$24,0))</f>
        <v>Proliferation financing</v>
      </c>
      <c r="F21" s="28" t="n">
        <f aca="false">IFERROR(SUMPRODUCT((Indicators!$B$5:$B$35=F$4)*Indicators!$M$5:$M$35*'Indicator Scores'!$F$5:$F$35)/SUMPRODUCT((Indicators!$B$5:$B$35=F$4)*Indicators!$M$5:$M$35*('Indicator Scores'!$F$5:$F$35&gt;0)),0)</f>
        <v>3</v>
      </c>
      <c r="G21" s="28" t="n">
        <f aca="false">IFERROR(SUMPRODUCT((Indicators!$B$5:$B$35=G$4)*Indicators!$M$5:$M$35*'Indicator Scores'!$F$5:$F$35)/SUMPRODUCT((Indicators!$B$5:$B$35=G$4)*Indicators!$M$5:$M$35*('Indicator Scores'!$F$5:$F$35&gt;0)),0)</f>
        <v>1.875</v>
      </c>
      <c r="H21" s="28" t="n">
        <f aca="false">IFERROR(SUMPRODUCT((Indicators!$B$5:$B$35=H$4)*Indicators!$M$5:$M$35*'Indicator Scores'!$F$5:$F$35)/SUMPRODUCT((Indicators!$B$5:$B$35=H$4)*Indicators!$M$5:$M$35*('Indicator Scores'!$F$5:$F$35&gt;0)),0)</f>
        <v>1.22222222222222</v>
      </c>
      <c r="I21" s="28" t="n">
        <f aca="false">IFERROR(SUMPRODUCT((Indicators!$B$5:$B$35=I$4)*Indicators!$M$5:$M$35*'Indicator Scores'!$F$5:$F$35)/SUMPRODUCT((Indicators!$B$5:$B$35=I$4)*Indicators!$M$5:$M$35*('Indicator Scores'!$F$5:$F$35&gt;0)),0)</f>
        <v>1.66666666666667</v>
      </c>
      <c r="J21" s="28" t="n">
        <f aca="false">IFERROR(SUMPRODUCT((Indicators!$B$5:$B$35=J$4)*Indicators!$M$5:$M$35*'Indicator Scores'!$F$5:$F$35)/SUMPRODUCT((Indicators!$B$5:$B$35=J$4)*Indicators!$M$5:$M$35*('Indicator Scores'!$F$5:$F$35&gt;0)),0)</f>
        <v>2</v>
      </c>
      <c r="K21" s="28" t="n">
        <f aca="false">IFERROR(SUMPRODUCT(F21:J21,INDEX('Factor Weights'!$C$5:$G$11,MATCH(D21,'Factor Weights'!$A$5:$A$11,0),0))/SUMPRODUCT((F21:J21&gt;0)*INDEX('Factor Weights'!$C$5:$G$11,MATCH(D21,'Factor Weights'!$A$5:$A$11,0),0)),0)</f>
        <v>1.8625</v>
      </c>
      <c r="L21" s="29" t="n">
        <f aca="false">MAX(F21:J21)</f>
        <v>3</v>
      </c>
      <c r="M21" s="28" t="n">
        <f aca="false">IF(L21&gt;=Config!$C$13,MAX(K21,Config!$C$14),K21)</f>
        <v>1.8625</v>
      </c>
      <c r="N21" s="30" t="n">
        <f aca="false">IF(Config!$C$12="Weighted average",K21,IF(Config!$C$12="Weighted with floor",M21,L21))</f>
        <v>1.8625</v>
      </c>
      <c r="O21" s="31" t="n">
        <f aca="false">IF(N21&lt;Config!$D$5,"",MATCH(N21,Config!$D$5:$D$9,1))</f>
        <v>2</v>
      </c>
      <c r="P21" s="7" t="str">
        <f aca="false">IF(O21="","No data",INDEX(Config!$B$5:$B$9,O21))</f>
        <v>Medium-Low</v>
      </c>
      <c r="Q21" s="32" t="n">
        <v>0</v>
      </c>
      <c r="R21" s="8"/>
      <c r="S21" s="33"/>
      <c r="T21" s="34" t="n">
        <f aca="false">IF(O21="","",IF(AND(S21="Y",Q21&lt;&gt;0),MAX(1,MIN(5,O21+MAX(-Config!$C$27,MIN(Config!$C$27,Q21)))),O21))</f>
        <v>2</v>
      </c>
      <c r="U21" s="35" t="str">
        <f aca="false">IF(T21="","No data",INDEX(Config!$B$5:$B$9,T21))</f>
        <v>Medium-Low</v>
      </c>
      <c r="V21" s="7" t="str">
        <f aca="false">IF(Q21=0,"None",IF(S21="Y","Applied","Pending HO approval"))</f>
        <v>None</v>
      </c>
      <c r="W21" s="36" t="n">
        <f aca="false">SUMPRODUCT((Indicators!$M$5:$M$35&gt;0)*('Indicator Data'!$F$5:$F$35&lt;&gt;""))/SUMPRODUCT(--(Indicators!$M$5:$M$35&gt;0))</f>
        <v>1</v>
      </c>
    </row>
    <row r="22" customFormat="false" ht="15" hidden="false" customHeight="false" outlineLevel="0" collapsed="false">
      <c r="A22" s="26" t="str">
        <f aca="false">Entities!$A$7</f>
        <v>JO-INV</v>
      </c>
      <c r="B22" s="12" t="str">
        <f aca="false">INDEX(Entities!$B$5:$B$34,MATCH(A22,Entities!$A$5:$A$34,0))</f>
        <v>Al-Arabi Investment Group (AB Invest)</v>
      </c>
      <c r="C22" s="12" t="str">
        <f aca="false">INDEX(Entities!$D$5:$D$34,MATCH(A22,Entities!$A$5:$A$34,0))</f>
        <v>Jordan (home)</v>
      </c>
      <c r="D22" s="12" t="s">
        <v>272</v>
      </c>
      <c r="E22" s="12" t="str">
        <f aca="false">INDEX('Risk Taxonomy'!$B$5:$B$24,MATCH(D22,'Risk Taxonomy'!$A$5:$A$24,0))</f>
        <v>Sanctions</v>
      </c>
      <c r="F22" s="28" t="n">
        <f aca="false">IFERROR(SUMPRODUCT((Indicators!$B$5:$B$35=F$4)*Indicators!$N$5:$N$35*'Indicator Scores'!$F$5:$F$35)/SUMPRODUCT((Indicators!$B$5:$B$35=F$4)*Indicators!$N$5:$N$35*('Indicator Scores'!$F$5:$F$35&gt;0)),0)</f>
        <v>2.71428571428571</v>
      </c>
      <c r="G22" s="28" t="n">
        <f aca="false">IFERROR(SUMPRODUCT((Indicators!$B$5:$B$35=G$4)*Indicators!$N$5:$N$35*'Indicator Scores'!$F$5:$F$35)/SUMPRODUCT((Indicators!$B$5:$B$35=G$4)*Indicators!$N$5:$N$35*('Indicator Scores'!$F$5:$F$35&gt;0)),0)</f>
        <v>2</v>
      </c>
      <c r="H22" s="28" t="n">
        <f aca="false">IFERROR(SUMPRODUCT((Indicators!$B$5:$B$35=H$4)*Indicators!$N$5:$N$35*'Indicator Scores'!$F$5:$F$35)/SUMPRODUCT((Indicators!$B$5:$B$35=H$4)*Indicators!$N$5:$N$35*('Indicator Scores'!$F$5:$F$35&gt;0)),0)</f>
        <v>1.375</v>
      </c>
      <c r="I22" s="28" t="n">
        <f aca="false">IFERROR(SUMPRODUCT((Indicators!$B$5:$B$35=I$4)*Indicators!$N$5:$N$35*'Indicator Scores'!$F$5:$F$35)/SUMPRODUCT((Indicators!$B$5:$B$35=I$4)*Indicators!$N$5:$N$35*('Indicator Scores'!$F$5:$F$35&gt;0)),0)</f>
        <v>1.33333333333333</v>
      </c>
      <c r="J22" s="28" t="n">
        <f aca="false">IFERROR(SUMPRODUCT((Indicators!$B$5:$B$35=J$4)*Indicators!$N$5:$N$35*'Indicator Scores'!$F$5:$F$35)/SUMPRODUCT((Indicators!$B$5:$B$35=J$4)*Indicators!$N$5:$N$35*('Indicator Scores'!$F$5:$F$35&gt;0)),0)</f>
        <v>1.8</v>
      </c>
      <c r="K22" s="28" t="n">
        <f aca="false">IFERROR(SUMPRODUCT(F22:J22,INDEX('Factor Weights'!$C$5:$G$11,MATCH(D22,'Factor Weights'!$A$5:$A$11,0),0))/SUMPRODUCT((F22:J22&gt;0)*INDEX('Factor Weights'!$C$5:$G$11,MATCH(D22,'Factor Weights'!$A$5:$A$11,0),0)),0)</f>
        <v>1.90880952380952</v>
      </c>
      <c r="L22" s="29" t="n">
        <f aca="false">MAX(F22:J22)</f>
        <v>2.71428571428571</v>
      </c>
      <c r="M22" s="28" t="n">
        <f aca="false">IF(L22&gt;=Config!$C$13,MAX(K22,Config!$C$14),K22)</f>
        <v>1.90880952380952</v>
      </c>
      <c r="N22" s="30" t="n">
        <f aca="false">IF(Config!$C$12="Weighted average",K22,IF(Config!$C$12="Weighted with floor",M22,L22))</f>
        <v>1.90880952380952</v>
      </c>
      <c r="O22" s="31" t="n">
        <f aca="false">IF(N22&lt;Config!$D$5,"",MATCH(N22,Config!$D$5:$D$9,1))</f>
        <v>2</v>
      </c>
      <c r="P22" s="7" t="str">
        <f aca="false">IF(O22="","No data",INDEX(Config!$B$5:$B$9,O22))</f>
        <v>Medium-Low</v>
      </c>
      <c r="Q22" s="32" t="n">
        <v>0</v>
      </c>
      <c r="R22" s="8"/>
      <c r="S22" s="33"/>
      <c r="T22" s="34" t="n">
        <f aca="false">IF(O22="","",IF(AND(S22="Y",Q22&lt;&gt;0),MAX(1,MIN(5,O22+MAX(-Config!$C$27,MIN(Config!$C$27,Q22)))),O22))</f>
        <v>2</v>
      </c>
      <c r="U22" s="35" t="str">
        <f aca="false">IF(T22="","No data",INDEX(Config!$B$5:$B$9,T22))</f>
        <v>Medium-Low</v>
      </c>
      <c r="V22" s="7" t="str">
        <f aca="false">IF(Q22=0,"None",IF(S22="Y","Applied","Pending HO approval"))</f>
        <v>None</v>
      </c>
      <c r="W22" s="36" t="n">
        <f aca="false">SUMPRODUCT((Indicators!$N$5:$N$35&gt;0)*('Indicator Data'!$F$5:$F$35&lt;&gt;""))/SUMPRODUCT(--(Indicators!$N$5:$N$35&gt;0))</f>
        <v>1</v>
      </c>
    </row>
    <row r="23" customFormat="false" ht="15" hidden="false" customHeight="false" outlineLevel="0" collapsed="false">
      <c r="A23" s="26" t="str">
        <f aca="false">Entities!$A$7</f>
        <v>JO-INV</v>
      </c>
      <c r="B23" s="12" t="str">
        <f aca="false">INDEX(Entities!$B$5:$B$34,MATCH(A23,Entities!$A$5:$A$34,0))</f>
        <v>Al-Arabi Investment Group (AB Invest)</v>
      </c>
      <c r="C23" s="12" t="str">
        <f aca="false">INDEX(Entities!$D$5:$D$34,MATCH(A23,Entities!$A$5:$A$34,0))</f>
        <v>Jordan (home)</v>
      </c>
      <c r="D23" s="12" t="s">
        <v>275</v>
      </c>
      <c r="E23" s="12" t="str">
        <f aca="false">INDEX('Risk Taxonomy'!$B$5:$B$24,MATCH(D23,'Risk Taxonomy'!$A$5:$A$24,0))</f>
        <v>Bribery and corruption</v>
      </c>
      <c r="F23" s="28" t="n">
        <f aca="false">IFERROR(SUMPRODUCT((Indicators!$B$5:$B$35=F$4)*Indicators!$O$5:$O$35*'Indicator Scores'!$F$5:$F$35)/SUMPRODUCT((Indicators!$B$5:$B$35=F$4)*Indicators!$O$5:$O$35*('Indicator Scores'!$F$5:$F$35&gt;0)),0)</f>
        <v>2</v>
      </c>
      <c r="G23" s="28" t="n">
        <f aca="false">IFERROR(SUMPRODUCT((Indicators!$B$5:$B$35=G$4)*Indicators!$O$5:$O$35*'Indicator Scores'!$F$5:$F$35)/SUMPRODUCT((Indicators!$B$5:$B$35=G$4)*Indicators!$O$5:$O$35*('Indicator Scores'!$F$5:$F$35&gt;0)),0)</f>
        <v>2.6</v>
      </c>
      <c r="H23" s="28" t="n">
        <f aca="false">IFERROR(SUMPRODUCT((Indicators!$B$5:$B$35=H$4)*Indicators!$O$5:$O$35*'Indicator Scores'!$F$5:$F$35)/SUMPRODUCT((Indicators!$B$5:$B$35=H$4)*Indicators!$O$5:$O$35*('Indicator Scores'!$F$5:$F$35&gt;0)),0)</f>
        <v>1.5</v>
      </c>
      <c r="I23" s="28" t="n">
        <f aca="false">IFERROR(SUMPRODUCT((Indicators!$B$5:$B$35=I$4)*Indicators!$O$5:$O$35*'Indicator Scores'!$F$5:$F$35)/SUMPRODUCT((Indicators!$B$5:$B$35=I$4)*Indicators!$O$5:$O$35*('Indicator Scores'!$F$5:$F$35&gt;0)),0)</f>
        <v>3.2</v>
      </c>
      <c r="J23" s="28" t="n">
        <f aca="false">IFERROR(SUMPRODUCT((Indicators!$B$5:$B$35=J$4)*Indicators!$O$5:$O$35*'Indicator Scores'!$F$5:$F$35)/SUMPRODUCT((Indicators!$B$5:$B$35=J$4)*Indicators!$O$5:$O$35*('Indicator Scores'!$F$5:$F$35&gt;0)),0)</f>
        <v>3</v>
      </c>
      <c r="K23" s="28" t="n">
        <f aca="false">IFERROR(SUMPRODUCT(F23:J23,INDEX('Factor Weights'!$C$5:$G$11,MATCH(D23,'Factor Weights'!$A$5:$A$11,0),0))/SUMPRODUCT((F23:J23&gt;0)*INDEX('Factor Weights'!$C$5:$G$11,MATCH(D23,'Factor Weights'!$A$5:$A$11,0),0)),0)</f>
        <v>2.415</v>
      </c>
      <c r="L23" s="29" t="n">
        <f aca="false">MAX(F23:J23)</f>
        <v>3.2</v>
      </c>
      <c r="M23" s="28" t="n">
        <f aca="false">IF(L23&gt;=Config!$C$13,MAX(K23,Config!$C$14),K23)</f>
        <v>2.415</v>
      </c>
      <c r="N23" s="30" t="n">
        <f aca="false">IF(Config!$C$12="Weighted average",K23,IF(Config!$C$12="Weighted with floor",M23,L23))</f>
        <v>2.415</v>
      </c>
      <c r="O23" s="31" t="n">
        <f aca="false">IF(N23&lt;Config!$D$5,"",MATCH(N23,Config!$D$5:$D$9,1))</f>
        <v>2</v>
      </c>
      <c r="P23" s="7" t="str">
        <f aca="false">IF(O23="","No data",INDEX(Config!$B$5:$B$9,O23))</f>
        <v>Medium-Low</v>
      </c>
      <c r="Q23" s="32" t="n">
        <v>0</v>
      </c>
      <c r="R23" s="8"/>
      <c r="S23" s="33"/>
      <c r="T23" s="34" t="n">
        <f aca="false">IF(O23="","",IF(AND(S23="Y",Q23&lt;&gt;0),MAX(1,MIN(5,O23+MAX(-Config!$C$27,MIN(Config!$C$27,Q23)))),O23))</f>
        <v>2</v>
      </c>
      <c r="U23" s="35" t="str">
        <f aca="false">IF(T23="","No data",INDEX(Config!$B$5:$B$9,T23))</f>
        <v>Medium-Low</v>
      </c>
      <c r="V23" s="7" t="str">
        <f aca="false">IF(Q23=0,"None",IF(S23="Y","Applied","Pending HO approval"))</f>
        <v>None</v>
      </c>
      <c r="W23" s="36" t="n">
        <f aca="false">SUMPRODUCT((Indicators!$O$5:$O$35&gt;0)*('Indicator Data'!$F$5:$F$35&lt;&gt;""))/SUMPRODUCT(--(Indicators!$O$5:$O$35&gt;0))</f>
        <v>1</v>
      </c>
    </row>
    <row r="24" customFormat="false" ht="15" hidden="false" customHeight="false" outlineLevel="0" collapsed="false">
      <c r="A24" s="26" t="str">
        <f aca="false">Entities!$A$7</f>
        <v>JO-INV</v>
      </c>
      <c r="B24" s="12" t="str">
        <f aca="false">INDEX(Entities!$B$5:$B$34,MATCH(A24,Entities!$A$5:$A$34,0))</f>
        <v>Al-Arabi Investment Group (AB Invest)</v>
      </c>
      <c r="C24" s="12" t="str">
        <f aca="false">INDEX(Entities!$D$5:$D$34,MATCH(A24,Entities!$A$5:$A$34,0))</f>
        <v>Jordan (home)</v>
      </c>
      <c r="D24" s="12" t="s">
        <v>278</v>
      </c>
      <c r="E24" s="12" t="str">
        <f aca="false">INDEX('Risk Taxonomy'!$B$5:$B$24,MATCH(D24,'Risk Taxonomy'!$A$5:$A$24,0))</f>
        <v>Fraud</v>
      </c>
      <c r="F24" s="28" t="n">
        <f aca="false">IFERROR(SUMPRODUCT((Indicators!$B$5:$B$35=F$4)*Indicators!$P$5:$P$35*'Indicator Scores'!$F$5:$F$35)/SUMPRODUCT((Indicators!$B$5:$B$35=F$4)*Indicators!$P$5:$P$35*('Indicator Scores'!$F$5:$F$35&gt;0)),0)</f>
        <v>2</v>
      </c>
      <c r="G24" s="28" t="n">
        <f aca="false">IFERROR(SUMPRODUCT((Indicators!$B$5:$B$35=G$4)*Indicators!$P$5:$P$35*'Indicator Scores'!$F$5:$F$35)/SUMPRODUCT((Indicators!$B$5:$B$35=G$4)*Indicators!$P$5:$P$35*('Indicator Scores'!$F$5:$F$35&gt;0)),0)</f>
        <v>2.5</v>
      </c>
      <c r="H24" s="28" t="n">
        <f aca="false">IFERROR(SUMPRODUCT((Indicators!$B$5:$B$35=H$4)*Indicators!$P$5:$P$35*'Indicator Scores'!$F$5:$F$35)/SUMPRODUCT((Indicators!$B$5:$B$35=H$4)*Indicators!$P$5:$P$35*('Indicator Scores'!$F$5:$F$35&gt;0)),0)</f>
        <v>1.8</v>
      </c>
      <c r="I24" s="28" t="n">
        <f aca="false">IFERROR(SUMPRODUCT((Indicators!$B$5:$B$35=I$4)*Indicators!$P$5:$P$35*'Indicator Scores'!$F$5:$F$35)/SUMPRODUCT((Indicators!$B$5:$B$35=I$4)*Indicators!$P$5:$P$35*('Indicator Scores'!$F$5:$F$35&gt;0)),0)</f>
        <v>2.11111111111111</v>
      </c>
      <c r="J24" s="28" t="n">
        <f aca="false">IFERROR(SUMPRODUCT((Indicators!$B$5:$B$35=J$4)*Indicators!$P$5:$P$35*'Indicator Scores'!$F$5:$F$35)/SUMPRODUCT((Indicators!$B$5:$B$35=J$4)*Indicators!$P$5:$P$35*('Indicator Scores'!$F$5:$F$35&gt;0)),0)</f>
        <v>2</v>
      </c>
      <c r="K24" s="28" t="n">
        <f aca="false">IFERROR(SUMPRODUCT(F24:J24,INDEX('Factor Weights'!$C$5:$G$11,MATCH(D24,'Factor Weights'!$A$5:$A$11,0),0))/SUMPRODUCT((F24:J24&gt;0)*INDEX('Factor Weights'!$C$5:$G$11,MATCH(D24,'Factor Weights'!$A$5:$A$11,0),0)),0)</f>
        <v>2.04333333333333</v>
      </c>
      <c r="L24" s="29" t="n">
        <f aca="false">MAX(F24:J24)</f>
        <v>2.5</v>
      </c>
      <c r="M24" s="28" t="n">
        <f aca="false">IF(L24&gt;=Config!$C$13,MAX(K24,Config!$C$14),K24)</f>
        <v>2.04333333333333</v>
      </c>
      <c r="N24" s="30" t="n">
        <f aca="false">IF(Config!$C$12="Weighted average",K24,IF(Config!$C$12="Weighted with floor",M24,L24))</f>
        <v>2.04333333333333</v>
      </c>
      <c r="O24" s="31" t="n">
        <f aca="false">IF(N24&lt;Config!$D$5,"",MATCH(N24,Config!$D$5:$D$9,1))</f>
        <v>2</v>
      </c>
      <c r="P24" s="7" t="str">
        <f aca="false">IF(O24="","No data",INDEX(Config!$B$5:$B$9,O24))</f>
        <v>Medium-Low</v>
      </c>
      <c r="Q24" s="32" t="n">
        <v>0</v>
      </c>
      <c r="R24" s="8"/>
      <c r="S24" s="33"/>
      <c r="T24" s="34" t="n">
        <f aca="false">IF(O24="","",IF(AND(S24="Y",Q24&lt;&gt;0),MAX(1,MIN(5,O24+MAX(-Config!$C$27,MIN(Config!$C$27,Q24)))),O24))</f>
        <v>2</v>
      </c>
      <c r="U24" s="35" t="str">
        <f aca="false">IF(T24="","No data",INDEX(Config!$B$5:$B$9,T24))</f>
        <v>Medium-Low</v>
      </c>
      <c r="V24" s="7" t="str">
        <f aca="false">IF(Q24=0,"None",IF(S24="Y","Applied","Pending HO approval"))</f>
        <v>None</v>
      </c>
      <c r="W24" s="36" t="n">
        <f aca="false">SUMPRODUCT((Indicators!$P$5:$P$35&gt;0)*('Indicator Data'!$F$5:$F$35&lt;&gt;""))/SUMPRODUCT(--(Indicators!$P$5:$P$35&gt;0))</f>
        <v>1</v>
      </c>
    </row>
    <row r="25" customFormat="false" ht="15" hidden="false" customHeight="false" outlineLevel="0" collapsed="false">
      <c r="A25" s="26" t="str">
        <f aca="false">Entities!$A$7</f>
        <v>JO-INV</v>
      </c>
      <c r="B25" s="12" t="str">
        <f aca="false">INDEX(Entities!$B$5:$B$34,MATCH(A25,Entities!$A$5:$A$34,0))</f>
        <v>Al-Arabi Investment Group (AB Invest)</v>
      </c>
      <c r="C25" s="12" t="str">
        <f aca="false">INDEX(Entities!$D$5:$D$34,MATCH(A25,Entities!$A$5:$A$34,0))</f>
        <v>Jordan (home)</v>
      </c>
      <c r="D25" s="12" t="s">
        <v>281</v>
      </c>
      <c r="E25" s="12" t="str">
        <f aca="false">INDEX('Risk Taxonomy'!$B$5:$B$24,MATCH(D25,'Risk Taxonomy'!$A$5:$A$24,0))</f>
        <v>Tax evasion and tax transparency</v>
      </c>
      <c r="F25" s="28" t="n">
        <f aca="false">IFERROR(SUMPRODUCT((Indicators!$B$5:$B$35=F$4)*Indicators!$Q$5:$Q$35*'Indicator Scores'!$F$5:$F$35)/SUMPRODUCT((Indicators!$B$5:$B$35=F$4)*Indicators!$Q$5:$Q$35*('Indicator Scores'!$F$5:$F$35&gt;0)),0)</f>
        <v>2.88888888888889</v>
      </c>
      <c r="G25" s="28" t="n">
        <f aca="false">IFERROR(SUMPRODUCT((Indicators!$B$5:$B$35=G$4)*Indicators!$Q$5:$Q$35*'Indicator Scores'!$F$5:$F$35)/SUMPRODUCT((Indicators!$B$5:$B$35=G$4)*Indicators!$Q$5:$Q$35*('Indicator Scores'!$F$5:$F$35&gt;0)),0)</f>
        <v>3.16666666666667</v>
      </c>
      <c r="H25" s="28" t="n">
        <f aca="false">IFERROR(SUMPRODUCT((Indicators!$B$5:$B$35=H$4)*Indicators!$Q$5:$Q$35*'Indicator Scores'!$F$5:$F$35)/SUMPRODUCT((Indicators!$B$5:$B$35=H$4)*Indicators!$Q$5:$Q$35*('Indicator Scores'!$F$5:$F$35&gt;0)),0)</f>
        <v>2.16666666666667</v>
      </c>
      <c r="I25" s="28" t="n">
        <f aca="false">IFERROR(SUMPRODUCT((Indicators!$B$5:$B$35=I$4)*Indicators!$Q$5:$Q$35*'Indicator Scores'!$F$5:$F$35)/SUMPRODUCT((Indicators!$B$5:$B$35=I$4)*Indicators!$Q$5:$Q$35*('Indicator Scores'!$F$5:$F$35&gt;0)),0)</f>
        <v>3</v>
      </c>
      <c r="J25" s="28" t="n">
        <f aca="false">IFERROR(SUMPRODUCT((Indicators!$B$5:$B$35=J$4)*Indicators!$Q$5:$Q$35*'Indicator Scores'!$F$5:$F$35)/SUMPRODUCT((Indicators!$B$5:$B$35=J$4)*Indicators!$Q$5:$Q$35*('Indicator Scores'!$F$5:$F$35&gt;0)),0)</f>
        <v>2.6</v>
      </c>
      <c r="K25" s="28" t="n">
        <f aca="false">IFERROR(SUMPRODUCT(F25:J25,INDEX('Factor Weights'!$C$5:$G$11,MATCH(D25,'Factor Weights'!$A$5:$A$11,0),0))/SUMPRODUCT((F25:J25&gt;0)*INDEX('Factor Weights'!$C$5:$G$11,MATCH(D25,'Factor Weights'!$A$5:$A$11,0),0)),0)</f>
        <v>2.79611111111111</v>
      </c>
      <c r="L25" s="29" t="n">
        <f aca="false">MAX(F25:J25)</f>
        <v>3.16666666666667</v>
      </c>
      <c r="M25" s="28" t="n">
        <f aca="false">IF(L25&gt;=Config!$C$13,MAX(K25,Config!$C$14),K25)</f>
        <v>2.79611111111111</v>
      </c>
      <c r="N25" s="30" t="n">
        <f aca="false">IF(Config!$C$12="Weighted average",K25,IF(Config!$C$12="Weighted with floor",M25,L25))</f>
        <v>2.79611111111111</v>
      </c>
      <c r="O25" s="31" t="n">
        <f aca="false">IF(N25&lt;Config!$D$5,"",MATCH(N25,Config!$D$5:$D$9,1))</f>
        <v>3</v>
      </c>
      <c r="P25" s="7" t="str">
        <f aca="false">IF(O25="","No data",INDEX(Config!$B$5:$B$9,O25))</f>
        <v>Medium</v>
      </c>
      <c r="Q25" s="32" t="n">
        <v>0</v>
      </c>
      <c r="R25" s="8"/>
      <c r="S25" s="33"/>
      <c r="T25" s="34" t="n">
        <f aca="false">IF(O25="","",IF(AND(S25="Y",Q25&lt;&gt;0),MAX(1,MIN(5,O25+MAX(-Config!$C$27,MIN(Config!$C$27,Q25)))),O25))</f>
        <v>3</v>
      </c>
      <c r="U25" s="35" t="str">
        <f aca="false">IF(T25="","No data",INDEX(Config!$B$5:$B$9,T25))</f>
        <v>Medium</v>
      </c>
      <c r="V25" s="7" t="str">
        <f aca="false">IF(Q25=0,"None",IF(S25="Y","Applied","Pending HO approval"))</f>
        <v>None</v>
      </c>
      <c r="W25" s="36" t="n">
        <f aca="false">SUMPRODUCT((Indicators!$Q$5:$Q$35&gt;0)*('Indicator Data'!$F$5:$F$35&lt;&gt;""))/SUMPRODUCT(--(Indicators!$Q$5:$Q$35&gt;0))</f>
        <v>1</v>
      </c>
    </row>
    <row r="26" customFormat="false" ht="15" hidden="false" customHeight="false" outlineLevel="0" collapsed="false">
      <c r="A26" s="26" t="str">
        <f aca="false">Entities!$A$8</f>
        <v>JO-INS</v>
      </c>
      <c r="B26" s="12" t="str">
        <f aca="false">INDEX(Entities!$B$5:$B$34,MATCH(A26,Entities!$A$5:$A$34,0))</f>
        <v>Insurance subsidiary – Jordan</v>
      </c>
      <c r="C26" s="12" t="str">
        <f aca="false">INDEX(Entities!$D$5:$D$34,MATCH(A26,Entities!$A$5:$A$34,0))</f>
        <v>Jordan (home)</v>
      </c>
      <c r="D26" s="12" t="s">
        <v>260</v>
      </c>
      <c r="E26" s="12" t="str">
        <f aca="false">INDEX('Risk Taxonomy'!$B$5:$B$24,MATCH(D26,'Risk Taxonomy'!$A$5:$A$24,0))</f>
        <v>Money laundering</v>
      </c>
      <c r="F26" s="28" t="n">
        <f aca="false">IFERROR(SUMPRODUCT((Indicators!$B$5:$B$35=F$4)*Indicators!$K$5:$K$35*'Indicator Scores'!$G$5:$G$35)/SUMPRODUCT((Indicators!$B$5:$B$35=F$4)*Indicators!$K$5:$K$35*('Indicator Scores'!$G$5:$G$35&gt;0)),0)</f>
        <v>3.25</v>
      </c>
      <c r="G26" s="28" t="n">
        <f aca="false">IFERROR(SUMPRODUCT((Indicators!$B$5:$B$35=G$4)*Indicators!$K$5:$K$35*'Indicator Scores'!$G$5:$G$35)/SUMPRODUCT((Indicators!$B$5:$B$35=G$4)*Indicators!$K$5:$K$35*('Indicator Scores'!$G$5:$G$35&gt;0)),0)</f>
        <v>3.11111111111111</v>
      </c>
      <c r="H26" s="28" t="n">
        <f aca="false">IFERROR(SUMPRODUCT((Indicators!$B$5:$B$35=H$4)*Indicators!$K$5:$K$35*'Indicator Scores'!$G$5:$G$35)/SUMPRODUCT((Indicators!$B$5:$B$35=H$4)*Indicators!$K$5:$K$35*('Indicator Scores'!$G$5:$G$35&gt;0)),0)</f>
        <v>2</v>
      </c>
      <c r="I26" s="28" t="n">
        <f aca="false">IFERROR(SUMPRODUCT((Indicators!$B$5:$B$35=I$4)*Indicators!$K$5:$K$35*'Indicator Scores'!$G$5:$G$35)/SUMPRODUCT((Indicators!$B$5:$B$35=I$4)*Indicators!$K$5:$K$35*('Indicator Scores'!$G$5:$G$35&gt;0)),0)</f>
        <v>1.85714285714286</v>
      </c>
      <c r="J26" s="28" t="n">
        <f aca="false">IFERROR(SUMPRODUCT((Indicators!$B$5:$B$35=J$4)*Indicators!$K$5:$K$35*'Indicator Scores'!$G$5:$G$35)/SUMPRODUCT((Indicators!$B$5:$B$35=J$4)*Indicators!$K$5:$K$35*('Indicator Scores'!$G$5:$G$35&gt;0)),0)</f>
        <v>2.5</v>
      </c>
      <c r="K26" s="28" t="n">
        <f aca="false">IFERROR(SUMPRODUCT(F26:J26,INDEX('Factor Weights'!$C$5:$G$11,MATCH(D26,'Factor Weights'!$A$5:$A$11,0),0))/SUMPRODUCT((F26:J26&gt;0)*INDEX('Factor Weights'!$C$5:$G$11,MATCH(D26,'Factor Weights'!$A$5:$A$11,0),0)),0)</f>
        <v>2.68134920634921</v>
      </c>
      <c r="L26" s="29" t="n">
        <f aca="false">MAX(F26:J26)</f>
        <v>3.25</v>
      </c>
      <c r="M26" s="28" t="n">
        <f aca="false">IF(L26&gt;=Config!$C$13,MAX(K26,Config!$C$14),K26)</f>
        <v>2.68134920634921</v>
      </c>
      <c r="N26" s="30" t="n">
        <f aca="false">IF(Config!$C$12="Weighted average",K26,IF(Config!$C$12="Weighted with floor",M26,L26))</f>
        <v>2.68134920634921</v>
      </c>
      <c r="O26" s="31" t="n">
        <f aca="false">IF(N26&lt;Config!$D$5,"",MATCH(N26,Config!$D$5:$D$9,1))</f>
        <v>3</v>
      </c>
      <c r="P26" s="7" t="str">
        <f aca="false">IF(O26="","No data",INDEX(Config!$B$5:$B$9,O26))</f>
        <v>Medium</v>
      </c>
      <c r="Q26" s="32" t="n">
        <v>0</v>
      </c>
      <c r="R26" s="8"/>
      <c r="S26" s="33"/>
      <c r="T26" s="34" t="n">
        <f aca="false">IF(O26="","",IF(AND(S26="Y",Q26&lt;&gt;0),MAX(1,MIN(5,O26+MAX(-Config!$C$27,MIN(Config!$C$27,Q26)))),O26))</f>
        <v>3</v>
      </c>
      <c r="U26" s="35" t="str">
        <f aca="false">IF(T26="","No data",INDEX(Config!$B$5:$B$9,T26))</f>
        <v>Medium</v>
      </c>
      <c r="V26" s="7" t="str">
        <f aca="false">IF(Q26=0,"None",IF(S26="Y","Applied","Pending HO approval"))</f>
        <v>None</v>
      </c>
      <c r="W26" s="36" t="n">
        <f aca="false">SUMPRODUCT((Indicators!$K$5:$K$35&gt;0)*('Indicator Data'!$G$5:$G$35&lt;&gt;""))/SUMPRODUCT(--(Indicators!$K$5:$K$35&gt;0))</f>
        <v>1</v>
      </c>
    </row>
    <row r="27" customFormat="false" ht="15" hidden="false" customHeight="false" outlineLevel="0" collapsed="false">
      <c r="A27" s="26" t="str">
        <f aca="false">Entities!$A$8</f>
        <v>JO-INS</v>
      </c>
      <c r="B27" s="12" t="str">
        <f aca="false">INDEX(Entities!$B$5:$B$34,MATCH(A27,Entities!$A$5:$A$34,0))</f>
        <v>Insurance subsidiary – Jordan</v>
      </c>
      <c r="C27" s="12" t="str">
        <f aca="false">INDEX(Entities!$D$5:$D$34,MATCH(A27,Entities!$A$5:$A$34,0))</f>
        <v>Jordan (home)</v>
      </c>
      <c r="D27" s="12" t="s">
        <v>267</v>
      </c>
      <c r="E27" s="12" t="str">
        <f aca="false">INDEX('Risk Taxonomy'!$B$5:$B$24,MATCH(D27,'Risk Taxonomy'!$A$5:$A$24,0))</f>
        <v>Terrorist financing</v>
      </c>
      <c r="F27" s="28" t="n">
        <f aca="false">IFERROR(SUMPRODUCT((Indicators!$B$5:$B$35=F$4)*Indicators!$L$5:$L$35*'Indicator Scores'!$G$5:$G$35)/SUMPRODUCT((Indicators!$B$5:$B$35=F$4)*Indicators!$L$5:$L$35*('Indicator Scores'!$G$5:$G$35&gt;0)),0)</f>
        <v>2.7</v>
      </c>
      <c r="G27" s="28" t="n">
        <f aca="false">IFERROR(SUMPRODUCT((Indicators!$B$5:$B$35=G$4)*Indicators!$L$5:$L$35*'Indicator Scores'!$G$5:$G$35)/SUMPRODUCT((Indicators!$B$5:$B$35=G$4)*Indicators!$L$5:$L$35*('Indicator Scores'!$G$5:$G$35&gt;0)),0)</f>
        <v>3.22222222222222</v>
      </c>
      <c r="H27" s="28" t="n">
        <f aca="false">IFERROR(SUMPRODUCT((Indicators!$B$5:$B$35=H$4)*Indicators!$L$5:$L$35*'Indicator Scores'!$G$5:$G$35)/SUMPRODUCT((Indicators!$B$5:$B$35=H$4)*Indicators!$L$5:$L$35*('Indicator Scores'!$G$5:$G$35&gt;0)),0)</f>
        <v>1.33333333333333</v>
      </c>
      <c r="I27" s="28" t="n">
        <f aca="false">IFERROR(SUMPRODUCT((Indicators!$B$5:$B$35=I$4)*Indicators!$L$5:$L$35*'Indicator Scores'!$G$5:$G$35)/SUMPRODUCT((Indicators!$B$5:$B$35=I$4)*Indicators!$L$5:$L$35*('Indicator Scores'!$G$5:$G$35&gt;0)),0)</f>
        <v>2</v>
      </c>
      <c r="J27" s="28" t="n">
        <f aca="false">IFERROR(SUMPRODUCT((Indicators!$B$5:$B$35=J$4)*Indicators!$L$5:$L$35*'Indicator Scores'!$G$5:$G$35)/SUMPRODUCT((Indicators!$B$5:$B$35=J$4)*Indicators!$L$5:$L$35*('Indicator Scores'!$G$5:$G$35&gt;0)),0)</f>
        <v>2.14285714285714</v>
      </c>
      <c r="K27" s="28" t="n">
        <f aca="false">IFERROR(SUMPRODUCT(F27:J27,INDEX('Factor Weights'!$C$5:$G$11,MATCH(D27,'Factor Weights'!$A$5:$A$11,0),0))/SUMPRODUCT((F27:J27&gt;0)*INDEX('Factor Weights'!$C$5:$G$11,MATCH(D27,'Factor Weights'!$A$5:$A$11,0),0)),0)</f>
        <v>2.4702380952381</v>
      </c>
      <c r="L27" s="29" t="n">
        <f aca="false">MAX(F27:J27)</f>
        <v>3.22222222222222</v>
      </c>
      <c r="M27" s="28" t="n">
        <f aca="false">IF(L27&gt;=Config!$C$13,MAX(K27,Config!$C$14),K27)</f>
        <v>2.4702380952381</v>
      </c>
      <c r="N27" s="30" t="n">
        <f aca="false">IF(Config!$C$12="Weighted average",K27,IF(Config!$C$12="Weighted with floor",M27,L27))</f>
        <v>2.4702380952381</v>
      </c>
      <c r="O27" s="31" t="n">
        <f aca="false">IF(N27&lt;Config!$D$5,"",MATCH(N27,Config!$D$5:$D$9,1))</f>
        <v>2</v>
      </c>
      <c r="P27" s="7" t="str">
        <f aca="false">IF(O27="","No data",INDEX(Config!$B$5:$B$9,O27))</f>
        <v>Medium-Low</v>
      </c>
      <c r="Q27" s="32" t="n">
        <v>0</v>
      </c>
      <c r="R27" s="8"/>
      <c r="S27" s="33"/>
      <c r="T27" s="34" t="n">
        <f aca="false">IF(O27="","",IF(AND(S27="Y",Q27&lt;&gt;0),MAX(1,MIN(5,O27+MAX(-Config!$C$27,MIN(Config!$C$27,Q27)))),O27))</f>
        <v>2</v>
      </c>
      <c r="U27" s="35" t="str">
        <f aca="false">IF(T27="","No data",INDEX(Config!$B$5:$B$9,T27))</f>
        <v>Medium-Low</v>
      </c>
      <c r="V27" s="7" t="str">
        <f aca="false">IF(Q27=0,"None",IF(S27="Y","Applied","Pending HO approval"))</f>
        <v>None</v>
      </c>
      <c r="W27" s="36" t="n">
        <f aca="false">SUMPRODUCT((Indicators!$L$5:$L$35&gt;0)*('Indicator Data'!$G$5:$G$35&lt;&gt;""))/SUMPRODUCT(--(Indicators!$L$5:$L$35&gt;0))</f>
        <v>1</v>
      </c>
    </row>
    <row r="28" customFormat="false" ht="15" hidden="false" customHeight="false" outlineLevel="0" collapsed="false">
      <c r="A28" s="26" t="str">
        <f aca="false">Entities!$A$8</f>
        <v>JO-INS</v>
      </c>
      <c r="B28" s="12" t="str">
        <f aca="false">INDEX(Entities!$B$5:$B$34,MATCH(A28,Entities!$A$5:$A$34,0))</f>
        <v>Insurance subsidiary – Jordan</v>
      </c>
      <c r="C28" s="12" t="str">
        <f aca="false">INDEX(Entities!$D$5:$D$34,MATCH(A28,Entities!$A$5:$A$34,0))</f>
        <v>Jordan (home)</v>
      </c>
      <c r="D28" s="12" t="s">
        <v>270</v>
      </c>
      <c r="E28" s="12" t="str">
        <f aca="false">INDEX('Risk Taxonomy'!$B$5:$B$24,MATCH(D28,'Risk Taxonomy'!$A$5:$A$24,0))</f>
        <v>Proliferation financing</v>
      </c>
      <c r="F28" s="28" t="n">
        <f aca="false">IFERROR(SUMPRODUCT((Indicators!$B$5:$B$35=F$4)*Indicators!$M$5:$M$35*'Indicator Scores'!$G$5:$G$35)/SUMPRODUCT((Indicators!$B$5:$B$35=F$4)*Indicators!$M$5:$M$35*('Indicator Scores'!$G$5:$G$35&gt;0)),0)</f>
        <v>3.75</v>
      </c>
      <c r="G28" s="28" t="n">
        <f aca="false">IFERROR(SUMPRODUCT((Indicators!$B$5:$B$35=G$4)*Indicators!$M$5:$M$35*'Indicator Scores'!$G$5:$G$35)/SUMPRODUCT((Indicators!$B$5:$B$35=G$4)*Indicators!$M$5:$M$35*('Indicator Scores'!$G$5:$G$35&gt;0)),0)</f>
        <v>3.75</v>
      </c>
      <c r="H28" s="28" t="n">
        <f aca="false">IFERROR(SUMPRODUCT((Indicators!$B$5:$B$35=H$4)*Indicators!$M$5:$M$35*'Indicator Scores'!$G$5:$G$35)/SUMPRODUCT((Indicators!$B$5:$B$35=H$4)*Indicators!$M$5:$M$35*('Indicator Scores'!$G$5:$G$35&gt;0)),0)</f>
        <v>1.22222222222222</v>
      </c>
      <c r="I28" s="28" t="n">
        <f aca="false">IFERROR(SUMPRODUCT((Indicators!$B$5:$B$35=I$4)*Indicators!$M$5:$M$35*'Indicator Scores'!$G$5:$G$35)/SUMPRODUCT((Indicators!$B$5:$B$35=I$4)*Indicators!$M$5:$M$35*('Indicator Scores'!$G$5:$G$35&gt;0)),0)</f>
        <v>2.66666666666667</v>
      </c>
      <c r="J28" s="28" t="n">
        <f aca="false">IFERROR(SUMPRODUCT((Indicators!$B$5:$B$35=J$4)*Indicators!$M$5:$M$35*'Indicator Scores'!$G$5:$G$35)/SUMPRODUCT((Indicators!$B$5:$B$35=J$4)*Indicators!$M$5:$M$35*('Indicator Scores'!$G$5:$G$35&gt;0)),0)</f>
        <v>2.5</v>
      </c>
      <c r="K28" s="28" t="n">
        <f aca="false">IFERROR(SUMPRODUCT(F28:J28,INDEX('Factor Weights'!$C$5:$G$11,MATCH(D28,'Factor Weights'!$A$5:$A$11,0),0))/SUMPRODUCT((F28:J28&gt;0)*INDEX('Factor Weights'!$C$5:$G$11,MATCH(D28,'Factor Weights'!$A$5:$A$11,0),0)),0)</f>
        <v>2.6875</v>
      </c>
      <c r="L28" s="29" t="n">
        <f aca="false">MAX(F28:J28)</f>
        <v>3.75</v>
      </c>
      <c r="M28" s="28" t="n">
        <f aca="false">IF(L28&gt;=Config!$C$13,MAX(K28,Config!$C$14),K28)</f>
        <v>2.6875</v>
      </c>
      <c r="N28" s="30" t="n">
        <f aca="false">IF(Config!$C$12="Weighted average",K28,IF(Config!$C$12="Weighted with floor",M28,L28))</f>
        <v>2.6875</v>
      </c>
      <c r="O28" s="31" t="n">
        <f aca="false">IF(N28&lt;Config!$D$5,"",MATCH(N28,Config!$D$5:$D$9,1))</f>
        <v>3</v>
      </c>
      <c r="P28" s="7" t="str">
        <f aca="false">IF(O28="","No data",INDEX(Config!$B$5:$B$9,O28))</f>
        <v>Medium</v>
      </c>
      <c r="Q28" s="32" t="n">
        <v>0</v>
      </c>
      <c r="R28" s="8"/>
      <c r="S28" s="33"/>
      <c r="T28" s="34" t="n">
        <f aca="false">IF(O28="","",IF(AND(S28="Y",Q28&lt;&gt;0),MAX(1,MIN(5,O28+MAX(-Config!$C$27,MIN(Config!$C$27,Q28)))),O28))</f>
        <v>3</v>
      </c>
      <c r="U28" s="35" t="str">
        <f aca="false">IF(T28="","No data",INDEX(Config!$B$5:$B$9,T28))</f>
        <v>Medium</v>
      </c>
      <c r="V28" s="7" t="str">
        <f aca="false">IF(Q28=0,"None",IF(S28="Y","Applied","Pending HO approval"))</f>
        <v>None</v>
      </c>
      <c r="W28" s="36" t="n">
        <f aca="false">SUMPRODUCT((Indicators!$M$5:$M$35&gt;0)*('Indicator Data'!$G$5:$G$35&lt;&gt;""))/SUMPRODUCT(--(Indicators!$M$5:$M$35&gt;0))</f>
        <v>1</v>
      </c>
    </row>
    <row r="29" customFormat="false" ht="15" hidden="false" customHeight="false" outlineLevel="0" collapsed="false">
      <c r="A29" s="26" t="str">
        <f aca="false">Entities!$A$8</f>
        <v>JO-INS</v>
      </c>
      <c r="B29" s="12" t="str">
        <f aca="false">INDEX(Entities!$B$5:$B$34,MATCH(A29,Entities!$A$5:$A$34,0))</f>
        <v>Insurance subsidiary – Jordan</v>
      </c>
      <c r="C29" s="12" t="str">
        <f aca="false">INDEX(Entities!$D$5:$D$34,MATCH(A29,Entities!$A$5:$A$34,0))</f>
        <v>Jordan (home)</v>
      </c>
      <c r="D29" s="12" t="s">
        <v>272</v>
      </c>
      <c r="E29" s="12" t="str">
        <f aca="false">INDEX('Risk Taxonomy'!$B$5:$B$24,MATCH(D29,'Risk Taxonomy'!$A$5:$A$24,0))</f>
        <v>Sanctions</v>
      </c>
      <c r="F29" s="28" t="n">
        <f aca="false">IFERROR(SUMPRODUCT((Indicators!$B$5:$B$35=F$4)*Indicators!$N$5:$N$35*'Indicator Scores'!$G$5:$G$35)/SUMPRODUCT((Indicators!$B$5:$B$35=F$4)*Indicators!$N$5:$N$35*('Indicator Scores'!$G$5:$G$35&gt;0)),0)</f>
        <v>3.42857142857143</v>
      </c>
      <c r="G29" s="28" t="n">
        <f aca="false">IFERROR(SUMPRODUCT((Indicators!$B$5:$B$35=G$4)*Indicators!$N$5:$N$35*'Indicator Scores'!$G$5:$G$35)/SUMPRODUCT((Indicators!$B$5:$B$35=G$4)*Indicators!$N$5:$N$35*('Indicator Scores'!$G$5:$G$35&gt;0)),0)</f>
        <v>3.85714285714286</v>
      </c>
      <c r="H29" s="28" t="n">
        <f aca="false">IFERROR(SUMPRODUCT((Indicators!$B$5:$B$35=H$4)*Indicators!$N$5:$N$35*'Indicator Scores'!$G$5:$G$35)/SUMPRODUCT((Indicators!$B$5:$B$35=H$4)*Indicators!$N$5:$N$35*('Indicator Scores'!$G$5:$G$35&gt;0)),0)</f>
        <v>1.625</v>
      </c>
      <c r="I29" s="28" t="n">
        <f aca="false">IFERROR(SUMPRODUCT((Indicators!$B$5:$B$35=I$4)*Indicators!$N$5:$N$35*'Indicator Scores'!$G$5:$G$35)/SUMPRODUCT((Indicators!$B$5:$B$35=I$4)*Indicators!$N$5:$N$35*('Indicator Scores'!$G$5:$G$35&gt;0)),0)</f>
        <v>2.33333333333333</v>
      </c>
      <c r="J29" s="28" t="n">
        <f aca="false">IFERROR(SUMPRODUCT((Indicators!$B$5:$B$35=J$4)*Indicators!$N$5:$N$35*'Indicator Scores'!$G$5:$G$35)/SUMPRODUCT((Indicators!$B$5:$B$35=J$4)*Indicators!$N$5:$N$35*('Indicator Scores'!$G$5:$G$35&gt;0)),0)</f>
        <v>2.2</v>
      </c>
      <c r="K29" s="28" t="n">
        <f aca="false">IFERROR(SUMPRODUCT(F29:J29,INDEX('Factor Weights'!$C$5:$G$11,MATCH(D29,'Factor Weights'!$A$5:$A$11,0),0))/SUMPRODUCT((F29:J29&gt;0)*INDEX('Factor Weights'!$C$5:$G$11,MATCH(D29,'Factor Weights'!$A$5:$A$11,0),0)),0)</f>
        <v>2.93880952380952</v>
      </c>
      <c r="L29" s="29" t="n">
        <f aca="false">MAX(F29:J29)</f>
        <v>3.85714285714286</v>
      </c>
      <c r="M29" s="28" t="n">
        <f aca="false">IF(L29&gt;=Config!$C$13,MAX(K29,Config!$C$14),K29)</f>
        <v>2.93880952380952</v>
      </c>
      <c r="N29" s="30" t="n">
        <f aca="false">IF(Config!$C$12="Weighted average",K29,IF(Config!$C$12="Weighted with floor",M29,L29))</f>
        <v>2.93880952380952</v>
      </c>
      <c r="O29" s="31" t="n">
        <f aca="false">IF(N29&lt;Config!$D$5,"",MATCH(N29,Config!$D$5:$D$9,1))</f>
        <v>3</v>
      </c>
      <c r="P29" s="7" t="str">
        <f aca="false">IF(O29="","No data",INDEX(Config!$B$5:$B$9,O29))</f>
        <v>Medium</v>
      </c>
      <c r="Q29" s="32" t="n">
        <v>0</v>
      </c>
      <c r="R29" s="8"/>
      <c r="S29" s="33"/>
      <c r="T29" s="34" t="n">
        <f aca="false">IF(O29="","",IF(AND(S29="Y",Q29&lt;&gt;0),MAX(1,MIN(5,O29+MAX(-Config!$C$27,MIN(Config!$C$27,Q29)))),O29))</f>
        <v>3</v>
      </c>
      <c r="U29" s="35" t="str">
        <f aca="false">IF(T29="","No data",INDEX(Config!$B$5:$B$9,T29))</f>
        <v>Medium</v>
      </c>
      <c r="V29" s="7" t="str">
        <f aca="false">IF(Q29=0,"None",IF(S29="Y","Applied","Pending HO approval"))</f>
        <v>None</v>
      </c>
      <c r="W29" s="36" t="n">
        <f aca="false">SUMPRODUCT((Indicators!$N$5:$N$35&gt;0)*('Indicator Data'!$G$5:$G$35&lt;&gt;""))/SUMPRODUCT(--(Indicators!$N$5:$N$35&gt;0))</f>
        <v>1</v>
      </c>
    </row>
    <row r="30" customFormat="false" ht="15" hidden="false" customHeight="false" outlineLevel="0" collapsed="false">
      <c r="A30" s="26" t="str">
        <f aca="false">Entities!$A$8</f>
        <v>JO-INS</v>
      </c>
      <c r="B30" s="12" t="str">
        <f aca="false">INDEX(Entities!$B$5:$B$34,MATCH(A30,Entities!$A$5:$A$34,0))</f>
        <v>Insurance subsidiary – Jordan</v>
      </c>
      <c r="C30" s="12" t="str">
        <f aca="false">INDEX(Entities!$D$5:$D$34,MATCH(A30,Entities!$A$5:$A$34,0))</f>
        <v>Jordan (home)</v>
      </c>
      <c r="D30" s="12" t="s">
        <v>275</v>
      </c>
      <c r="E30" s="12" t="str">
        <f aca="false">INDEX('Risk Taxonomy'!$B$5:$B$24,MATCH(D30,'Risk Taxonomy'!$A$5:$A$24,0))</f>
        <v>Bribery and corruption</v>
      </c>
      <c r="F30" s="28" t="n">
        <f aca="false">IFERROR(SUMPRODUCT((Indicators!$B$5:$B$35=F$4)*Indicators!$O$5:$O$35*'Indicator Scores'!$G$5:$G$35)/SUMPRODUCT((Indicators!$B$5:$B$35=F$4)*Indicators!$O$5:$O$35*('Indicator Scores'!$G$5:$G$35&gt;0)),0)</f>
        <v>3</v>
      </c>
      <c r="G30" s="28" t="n">
        <f aca="false">IFERROR(SUMPRODUCT((Indicators!$B$5:$B$35=G$4)*Indicators!$O$5:$O$35*'Indicator Scores'!$G$5:$G$35)/SUMPRODUCT((Indicators!$B$5:$B$35=G$4)*Indicators!$O$5:$O$35*('Indicator Scores'!$G$5:$G$35&gt;0)),0)</f>
        <v>3</v>
      </c>
      <c r="H30" s="28" t="n">
        <f aca="false">IFERROR(SUMPRODUCT((Indicators!$B$5:$B$35=H$4)*Indicators!$O$5:$O$35*'Indicator Scores'!$G$5:$G$35)/SUMPRODUCT((Indicators!$B$5:$B$35=H$4)*Indicators!$O$5:$O$35*('Indicator Scores'!$G$5:$G$35&gt;0)),0)</f>
        <v>2.5</v>
      </c>
      <c r="I30" s="28" t="n">
        <f aca="false">IFERROR(SUMPRODUCT((Indicators!$B$5:$B$35=I$4)*Indicators!$O$5:$O$35*'Indicator Scores'!$G$5:$G$35)/SUMPRODUCT((Indicators!$B$5:$B$35=I$4)*Indicators!$O$5:$O$35*('Indicator Scores'!$G$5:$G$35&gt;0)),0)</f>
        <v>3</v>
      </c>
      <c r="J30" s="28" t="n">
        <f aca="false">IFERROR(SUMPRODUCT((Indicators!$B$5:$B$35=J$4)*Indicators!$O$5:$O$35*'Indicator Scores'!$G$5:$G$35)/SUMPRODUCT((Indicators!$B$5:$B$35=J$4)*Indicators!$O$5:$O$35*('Indicator Scores'!$G$5:$G$35&gt;0)),0)</f>
        <v>4</v>
      </c>
      <c r="K30" s="28" t="n">
        <f aca="false">IFERROR(SUMPRODUCT(F30:J30,INDEX('Factor Weights'!$C$5:$G$11,MATCH(D30,'Factor Weights'!$A$5:$A$11,0),0))/SUMPRODUCT((F30:J30&gt;0)*INDEX('Factor Weights'!$C$5:$G$11,MATCH(D30,'Factor Weights'!$A$5:$A$11,0),0)),0)</f>
        <v>3.025</v>
      </c>
      <c r="L30" s="29" t="n">
        <f aca="false">MAX(F30:J30)</f>
        <v>4</v>
      </c>
      <c r="M30" s="28" t="n">
        <f aca="false">IF(L30&gt;=Config!$C$13,MAX(K30,Config!$C$14),K30)</f>
        <v>3.025</v>
      </c>
      <c r="N30" s="30" t="n">
        <f aca="false">IF(Config!$C$12="Weighted average",K30,IF(Config!$C$12="Weighted with floor",M30,L30))</f>
        <v>3.025</v>
      </c>
      <c r="O30" s="31" t="n">
        <f aca="false">IF(N30&lt;Config!$D$5,"",MATCH(N30,Config!$D$5:$D$9,1))</f>
        <v>3</v>
      </c>
      <c r="P30" s="7" t="str">
        <f aca="false">IF(O30="","No data",INDEX(Config!$B$5:$B$9,O30))</f>
        <v>Medium</v>
      </c>
      <c r="Q30" s="32" t="n">
        <v>0</v>
      </c>
      <c r="R30" s="8"/>
      <c r="S30" s="33"/>
      <c r="T30" s="34" t="n">
        <f aca="false">IF(O30="","",IF(AND(S30="Y",Q30&lt;&gt;0),MAX(1,MIN(5,O30+MAX(-Config!$C$27,MIN(Config!$C$27,Q30)))),O30))</f>
        <v>3</v>
      </c>
      <c r="U30" s="35" t="str">
        <f aca="false">IF(T30="","No data",INDEX(Config!$B$5:$B$9,T30))</f>
        <v>Medium</v>
      </c>
      <c r="V30" s="7" t="str">
        <f aca="false">IF(Q30=0,"None",IF(S30="Y","Applied","Pending HO approval"))</f>
        <v>None</v>
      </c>
      <c r="W30" s="36" t="n">
        <f aca="false">SUMPRODUCT((Indicators!$O$5:$O$35&gt;0)*('Indicator Data'!$G$5:$G$35&lt;&gt;""))/SUMPRODUCT(--(Indicators!$O$5:$O$35&gt;0))</f>
        <v>1</v>
      </c>
    </row>
    <row r="31" customFormat="false" ht="15" hidden="false" customHeight="false" outlineLevel="0" collapsed="false">
      <c r="A31" s="26" t="str">
        <f aca="false">Entities!$A$8</f>
        <v>JO-INS</v>
      </c>
      <c r="B31" s="12" t="str">
        <f aca="false">INDEX(Entities!$B$5:$B$34,MATCH(A31,Entities!$A$5:$A$34,0))</f>
        <v>Insurance subsidiary – Jordan</v>
      </c>
      <c r="C31" s="12" t="str">
        <f aca="false">INDEX(Entities!$D$5:$D$34,MATCH(A31,Entities!$A$5:$A$34,0))</f>
        <v>Jordan (home)</v>
      </c>
      <c r="D31" s="12" t="s">
        <v>278</v>
      </c>
      <c r="E31" s="12" t="str">
        <f aca="false">INDEX('Risk Taxonomy'!$B$5:$B$24,MATCH(D31,'Risk Taxonomy'!$A$5:$A$24,0))</f>
        <v>Fraud</v>
      </c>
      <c r="F31" s="28" t="n">
        <f aca="false">IFERROR(SUMPRODUCT((Indicators!$B$5:$B$35=F$4)*Indicators!$P$5:$P$35*'Indicator Scores'!$G$5:$G$35)/SUMPRODUCT((Indicators!$B$5:$B$35=F$4)*Indicators!$P$5:$P$35*('Indicator Scores'!$G$5:$G$35&gt;0)),0)</f>
        <v>3</v>
      </c>
      <c r="G31" s="28" t="n">
        <f aca="false">IFERROR(SUMPRODUCT((Indicators!$B$5:$B$35=G$4)*Indicators!$P$5:$P$35*'Indicator Scores'!$G$5:$G$35)/SUMPRODUCT((Indicators!$B$5:$B$35=G$4)*Indicators!$P$5:$P$35*('Indicator Scores'!$G$5:$G$35&gt;0)),0)</f>
        <v>3</v>
      </c>
      <c r="H31" s="28" t="n">
        <f aca="false">IFERROR(SUMPRODUCT((Indicators!$B$5:$B$35=H$4)*Indicators!$P$5:$P$35*'Indicator Scores'!$G$5:$G$35)/SUMPRODUCT((Indicators!$B$5:$B$35=H$4)*Indicators!$P$5:$P$35*('Indicator Scores'!$G$5:$G$35&gt;0)),0)</f>
        <v>1.8</v>
      </c>
      <c r="I31" s="28" t="n">
        <f aca="false">IFERROR(SUMPRODUCT((Indicators!$B$5:$B$35=I$4)*Indicators!$P$5:$P$35*'Indicator Scores'!$G$5:$G$35)/SUMPRODUCT((Indicators!$B$5:$B$35=I$4)*Indicators!$P$5:$P$35*('Indicator Scores'!$G$5:$G$35&gt;0)),0)</f>
        <v>1.55555555555556</v>
      </c>
      <c r="J31" s="28" t="n">
        <f aca="false">IFERROR(SUMPRODUCT((Indicators!$B$5:$B$35=J$4)*Indicators!$P$5:$P$35*'Indicator Scores'!$G$5:$G$35)/SUMPRODUCT((Indicators!$B$5:$B$35=J$4)*Indicators!$P$5:$P$35*('Indicator Scores'!$G$5:$G$35&gt;0)),0)</f>
        <v>2</v>
      </c>
      <c r="K31" s="28" t="n">
        <f aca="false">IFERROR(SUMPRODUCT(F31:J31,INDEX('Factor Weights'!$C$5:$G$11,MATCH(D31,'Factor Weights'!$A$5:$A$11,0),0))/SUMPRODUCT((F31:J31&gt;0)*INDEX('Factor Weights'!$C$5:$G$11,MATCH(D31,'Factor Weights'!$A$5:$A$11,0),0)),0)</f>
        <v>2.12666666666667</v>
      </c>
      <c r="L31" s="29" t="n">
        <f aca="false">MAX(F31:J31)</f>
        <v>3</v>
      </c>
      <c r="M31" s="28" t="n">
        <f aca="false">IF(L31&gt;=Config!$C$13,MAX(K31,Config!$C$14),K31)</f>
        <v>2.12666666666667</v>
      </c>
      <c r="N31" s="30" t="n">
        <f aca="false">IF(Config!$C$12="Weighted average",K31,IF(Config!$C$12="Weighted with floor",M31,L31))</f>
        <v>2.12666666666667</v>
      </c>
      <c r="O31" s="31" t="n">
        <f aca="false">IF(N31&lt;Config!$D$5,"",MATCH(N31,Config!$D$5:$D$9,1))</f>
        <v>2</v>
      </c>
      <c r="P31" s="7" t="str">
        <f aca="false">IF(O31="","No data",INDEX(Config!$B$5:$B$9,O31))</f>
        <v>Medium-Low</v>
      </c>
      <c r="Q31" s="32" t="n">
        <v>0</v>
      </c>
      <c r="R31" s="8"/>
      <c r="S31" s="33"/>
      <c r="T31" s="34" t="n">
        <f aca="false">IF(O31="","",IF(AND(S31="Y",Q31&lt;&gt;0),MAX(1,MIN(5,O31+MAX(-Config!$C$27,MIN(Config!$C$27,Q31)))),O31))</f>
        <v>2</v>
      </c>
      <c r="U31" s="35" t="str">
        <f aca="false">IF(T31="","No data",INDEX(Config!$B$5:$B$9,T31))</f>
        <v>Medium-Low</v>
      </c>
      <c r="V31" s="7" t="str">
        <f aca="false">IF(Q31=0,"None",IF(S31="Y","Applied","Pending HO approval"))</f>
        <v>None</v>
      </c>
      <c r="W31" s="36" t="n">
        <f aca="false">SUMPRODUCT((Indicators!$P$5:$P$35&gt;0)*('Indicator Data'!$G$5:$G$35&lt;&gt;""))/SUMPRODUCT(--(Indicators!$P$5:$P$35&gt;0))</f>
        <v>1</v>
      </c>
    </row>
    <row r="32" customFormat="false" ht="15" hidden="false" customHeight="false" outlineLevel="0" collapsed="false">
      <c r="A32" s="26" t="str">
        <f aca="false">Entities!$A$8</f>
        <v>JO-INS</v>
      </c>
      <c r="B32" s="12" t="str">
        <f aca="false">INDEX(Entities!$B$5:$B$34,MATCH(A32,Entities!$A$5:$A$34,0))</f>
        <v>Insurance subsidiary – Jordan</v>
      </c>
      <c r="C32" s="12" t="str">
        <f aca="false">INDEX(Entities!$D$5:$D$34,MATCH(A32,Entities!$A$5:$A$34,0))</f>
        <v>Jordan (home)</v>
      </c>
      <c r="D32" s="12" t="s">
        <v>281</v>
      </c>
      <c r="E32" s="12" t="str">
        <f aca="false">INDEX('Risk Taxonomy'!$B$5:$B$24,MATCH(D32,'Risk Taxonomy'!$A$5:$A$24,0))</f>
        <v>Tax evasion and tax transparency</v>
      </c>
      <c r="F32" s="28" t="n">
        <f aca="false">IFERROR(SUMPRODUCT((Indicators!$B$5:$B$35=F$4)*Indicators!$Q$5:$Q$35*'Indicator Scores'!$G$5:$G$35)/SUMPRODUCT((Indicators!$B$5:$B$35=F$4)*Indicators!$Q$5:$Q$35*('Indicator Scores'!$G$5:$G$35&gt;0)),0)</f>
        <v>3.44444444444444</v>
      </c>
      <c r="G32" s="28" t="n">
        <f aca="false">IFERROR(SUMPRODUCT((Indicators!$B$5:$B$35=G$4)*Indicators!$Q$5:$Q$35*'Indicator Scores'!$G$5:$G$35)/SUMPRODUCT((Indicators!$B$5:$B$35=G$4)*Indicators!$Q$5:$Q$35*('Indicator Scores'!$G$5:$G$35&gt;0)),0)</f>
        <v>2.5</v>
      </c>
      <c r="H32" s="28" t="n">
        <f aca="false">IFERROR(SUMPRODUCT((Indicators!$B$5:$B$35=H$4)*Indicators!$Q$5:$Q$35*'Indicator Scores'!$G$5:$G$35)/SUMPRODUCT((Indicators!$B$5:$B$35=H$4)*Indicators!$Q$5:$Q$35*('Indicator Scores'!$G$5:$G$35&gt;0)),0)</f>
        <v>3.16666666666667</v>
      </c>
      <c r="I32" s="28" t="n">
        <f aca="false">IFERROR(SUMPRODUCT((Indicators!$B$5:$B$35=I$4)*Indicators!$Q$5:$Q$35*'Indicator Scores'!$G$5:$G$35)/SUMPRODUCT((Indicators!$B$5:$B$35=I$4)*Indicators!$Q$5:$Q$35*('Indicator Scores'!$G$5:$G$35&gt;0)),0)</f>
        <v>2</v>
      </c>
      <c r="J32" s="28" t="n">
        <f aca="false">IFERROR(SUMPRODUCT((Indicators!$B$5:$B$35=J$4)*Indicators!$Q$5:$Q$35*'Indicator Scores'!$G$5:$G$35)/SUMPRODUCT((Indicators!$B$5:$B$35=J$4)*Indicators!$Q$5:$Q$35*('Indicator Scores'!$G$5:$G$35&gt;0)),0)</f>
        <v>2.6</v>
      </c>
      <c r="K32" s="28" t="n">
        <f aca="false">IFERROR(SUMPRODUCT(F32:J32,INDEX('Factor Weights'!$C$5:$G$11,MATCH(D32,'Factor Weights'!$A$5:$A$11,0),0))/SUMPRODUCT((F32:J32&gt;0)*INDEX('Factor Weights'!$C$5:$G$11,MATCH(D32,'Factor Weights'!$A$5:$A$11,0),0)),0)</f>
        <v>2.92388888888889</v>
      </c>
      <c r="L32" s="29" t="n">
        <f aca="false">MAX(F32:J32)</f>
        <v>3.44444444444444</v>
      </c>
      <c r="M32" s="28" t="n">
        <f aca="false">IF(L32&gt;=Config!$C$13,MAX(K32,Config!$C$14),K32)</f>
        <v>2.92388888888889</v>
      </c>
      <c r="N32" s="30" t="n">
        <f aca="false">IF(Config!$C$12="Weighted average",K32,IF(Config!$C$12="Weighted with floor",M32,L32))</f>
        <v>2.92388888888889</v>
      </c>
      <c r="O32" s="31" t="n">
        <f aca="false">IF(N32&lt;Config!$D$5,"",MATCH(N32,Config!$D$5:$D$9,1))</f>
        <v>3</v>
      </c>
      <c r="P32" s="7" t="str">
        <f aca="false">IF(O32="","No data",INDEX(Config!$B$5:$B$9,O32))</f>
        <v>Medium</v>
      </c>
      <c r="Q32" s="32" t="n">
        <v>0</v>
      </c>
      <c r="R32" s="8"/>
      <c r="S32" s="33"/>
      <c r="T32" s="34" t="n">
        <f aca="false">IF(O32="","",IF(AND(S32="Y",Q32&lt;&gt;0),MAX(1,MIN(5,O32+MAX(-Config!$C$27,MIN(Config!$C$27,Q32)))),O32))</f>
        <v>3</v>
      </c>
      <c r="U32" s="35" t="str">
        <f aca="false">IF(T32="","No data",INDEX(Config!$B$5:$B$9,T32))</f>
        <v>Medium</v>
      </c>
      <c r="V32" s="7" t="str">
        <f aca="false">IF(Q32=0,"None",IF(S32="Y","Applied","Pending HO approval"))</f>
        <v>None</v>
      </c>
      <c r="W32" s="36" t="n">
        <f aca="false">SUMPRODUCT((Indicators!$Q$5:$Q$35&gt;0)*('Indicator Data'!$G$5:$G$35&lt;&gt;""))/SUMPRODUCT(--(Indicators!$Q$5:$Q$35&gt;0))</f>
        <v>1</v>
      </c>
    </row>
    <row r="33" customFormat="false" ht="15" hidden="false" customHeight="false" outlineLevel="0" collapsed="false">
      <c r="A33" s="26" t="str">
        <f aca="false">Entities!$A$9</f>
        <v>JO-LSG</v>
      </c>
      <c r="B33" s="12" t="str">
        <f aca="false">INDEX(Entities!$B$5:$B$34,MATCH(A33,Entities!$A$5:$A$34,0))</f>
        <v>Leasing subsidiary – Jordan</v>
      </c>
      <c r="C33" s="12" t="str">
        <f aca="false">INDEX(Entities!$D$5:$D$34,MATCH(A33,Entities!$A$5:$A$34,0))</f>
        <v>Jordan (home)</v>
      </c>
      <c r="D33" s="12" t="s">
        <v>260</v>
      </c>
      <c r="E33" s="12" t="str">
        <f aca="false">INDEX('Risk Taxonomy'!$B$5:$B$24,MATCH(D33,'Risk Taxonomy'!$A$5:$A$24,0))</f>
        <v>Money laundering</v>
      </c>
      <c r="F33" s="28" t="n">
        <f aca="false">IFERROR(SUMPRODUCT((Indicators!$B$5:$B$35=F$4)*Indicators!$K$5:$K$35*'Indicator Scores'!$H$5:$H$35)/SUMPRODUCT((Indicators!$B$5:$B$35=F$4)*Indicators!$K$5:$K$35*('Indicator Scores'!$H$5:$H$35&gt;0)),0)</f>
        <v>2.91666666666667</v>
      </c>
      <c r="G33" s="28" t="n">
        <f aca="false">IFERROR(SUMPRODUCT((Indicators!$B$5:$B$35=G$4)*Indicators!$K$5:$K$35*'Indicator Scores'!$H$5:$H$35)/SUMPRODUCT((Indicators!$B$5:$B$35=G$4)*Indicators!$K$5:$K$35*('Indicator Scores'!$H$5:$H$35&gt;0)),0)</f>
        <v>3.22222222222222</v>
      </c>
      <c r="H33" s="28" t="n">
        <f aca="false">IFERROR(SUMPRODUCT((Indicators!$B$5:$B$35=H$4)*Indicators!$K$5:$K$35*'Indicator Scores'!$H$5:$H$35)/SUMPRODUCT((Indicators!$B$5:$B$35=H$4)*Indicators!$K$5:$K$35*('Indicator Scores'!$H$5:$H$35&gt;0)),0)</f>
        <v>2</v>
      </c>
      <c r="I33" s="28" t="n">
        <f aca="false">IFERROR(SUMPRODUCT((Indicators!$B$5:$B$35=I$4)*Indicators!$K$5:$K$35*'Indicator Scores'!$H$5:$H$35)/SUMPRODUCT((Indicators!$B$5:$B$35=I$4)*Indicators!$K$5:$K$35*('Indicator Scores'!$H$5:$H$35&gt;0)),0)</f>
        <v>3.28571428571429</v>
      </c>
      <c r="J33" s="28" t="n">
        <f aca="false">IFERROR(SUMPRODUCT((Indicators!$B$5:$B$35=J$4)*Indicators!$K$5:$K$35*'Indicator Scores'!$H$5:$H$35)/SUMPRODUCT((Indicators!$B$5:$B$35=J$4)*Indicators!$K$5:$K$35*('Indicator Scores'!$H$5:$H$35&gt;0)),0)</f>
        <v>2.3</v>
      </c>
      <c r="K33" s="28" t="n">
        <f aca="false">IFERROR(SUMPRODUCT(F33:J33,INDEX('Factor Weights'!$C$5:$G$11,MATCH(D33,'Factor Weights'!$A$5:$A$11,0),0))/SUMPRODUCT((F33:J33&gt;0)*INDEX('Factor Weights'!$C$5:$G$11,MATCH(D33,'Factor Weights'!$A$5:$A$11,0),0)),0)</f>
        <v>2.8034126984127</v>
      </c>
      <c r="L33" s="29" t="n">
        <f aca="false">MAX(F33:J33)</f>
        <v>3.28571428571429</v>
      </c>
      <c r="M33" s="28" t="n">
        <f aca="false">IF(L33&gt;=Config!$C$13,MAX(K33,Config!$C$14),K33)</f>
        <v>2.8034126984127</v>
      </c>
      <c r="N33" s="30" t="n">
        <f aca="false">IF(Config!$C$12="Weighted average",K33,IF(Config!$C$12="Weighted with floor",M33,L33))</f>
        <v>2.8034126984127</v>
      </c>
      <c r="O33" s="31" t="n">
        <f aca="false">IF(N33&lt;Config!$D$5,"",MATCH(N33,Config!$D$5:$D$9,1))</f>
        <v>3</v>
      </c>
      <c r="P33" s="7" t="str">
        <f aca="false">IF(O33="","No data",INDEX(Config!$B$5:$B$9,O33))</f>
        <v>Medium</v>
      </c>
      <c r="Q33" s="32" t="n">
        <v>0</v>
      </c>
      <c r="R33" s="8"/>
      <c r="S33" s="33"/>
      <c r="T33" s="34" t="n">
        <f aca="false">IF(O33="","",IF(AND(S33="Y",Q33&lt;&gt;0),MAX(1,MIN(5,O33+MAX(-Config!$C$27,MIN(Config!$C$27,Q33)))),O33))</f>
        <v>3</v>
      </c>
      <c r="U33" s="35" t="str">
        <f aca="false">IF(T33="","No data",INDEX(Config!$B$5:$B$9,T33))</f>
        <v>Medium</v>
      </c>
      <c r="V33" s="7" t="str">
        <f aca="false">IF(Q33=0,"None",IF(S33="Y","Applied","Pending HO approval"))</f>
        <v>None</v>
      </c>
      <c r="W33" s="36" t="n">
        <f aca="false">SUMPRODUCT((Indicators!$K$5:$K$35&gt;0)*('Indicator Data'!$H$5:$H$35&lt;&gt;""))/SUMPRODUCT(--(Indicators!$K$5:$K$35&gt;0))</f>
        <v>1</v>
      </c>
    </row>
    <row r="34" customFormat="false" ht="15" hidden="false" customHeight="false" outlineLevel="0" collapsed="false">
      <c r="A34" s="26" t="str">
        <f aca="false">Entities!$A$9</f>
        <v>JO-LSG</v>
      </c>
      <c r="B34" s="12" t="str">
        <f aca="false">INDEX(Entities!$B$5:$B$34,MATCH(A34,Entities!$A$5:$A$34,0))</f>
        <v>Leasing subsidiary – Jordan</v>
      </c>
      <c r="C34" s="12" t="str">
        <f aca="false">INDEX(Entities!$D$5:$D$34,MATCH(A34,Entities!$A$5:$A$34,0))</f>
        <v>Jordan (home)</v>
      </c>
      <c r="D34" s="12" t="s">
        <v>267</v>
      </c>
      <c r="E34" s="12" t="str">
        <f aca="false">INDEX('Risk Taxonomy'!$B$5:$B$24,MATCH(D34,'Risk Taxonomy'!$A$5:$A$24,0))</f>
        <v>Terrorist financing</v>
      </c>
      <c r="F34" s="28" t="n">
        <f aca="false">IFERROR(SUMPRODUCT((Indicators!$B$5:$B$35=F$4)*Indicators!$L$5:$L$35*'Indicator Scores'!$H$5:$H$35)/SUMPRODUCT((Indicators!$B$5:$B$35=F$4)*Indicators!$L$5:$L$35*('Indicator Scores'!$H$5:$H$35&gt;0)),0)</f>
        <v>2.6</v>
      </c>
      <c r="G34" s="28" t="n">
        <f aca="false">IFERROR(SUMPRODUCT((Indicators!$B$5:$B$35=G$4)*Indicators!$L$5:$L$35*'Indicator Scores'!$H$5:$H$35)/SUMPRODUCT((Indicators!$B$5:$B$35=G$4)*Indicators!$L$5:$L$35*('Indicator Scores'!$H$5:$H$35&gt;0)),0)</f>
        <v>3</v>
      </c>
      <c r="H34" s="28" t="n">
        <f aca="false">IFERROR(SUMPRODUCT((Indicators!$B$5:$B$35=H$4)*Indicators!$L$5:$L$35*'Indicator Scores'!$H$5:$H$35)/SUMPRODUCT((Indicators!$B$5:$B$35=H$4)*Indicators!$L$5:$L$35*('Indicator Scores'!$H$5:$H$35&gt;0)),0)</f>
        <v>1.5</v>
      </c>
      <c r="I34" s="28" t="n">
        <f aca="false">IFERROR(SUMPRODUCT((Indicators!$B$5:$B$35=I$4)*Indicators!$L$5:$L$35*'Indicator Scores'!$H$5:$H$35)/SUMPRODUCT((Indicators!$B$5:$B$35=I$4)*Indicators!$L$5:$L$35*('Indicator Scores'!$H$5:$H$35&gt;0)),0)</f>
        <v>3.33333333333333</v>
      </c>
      <c r="J34" s="28" t="n">
        <f aca="false">IFERROR(SUMPRODUCT((Indicators!$B$5:$B$35=J$4)*Indicators!$L$5:$L$35*'Indicator Scores'!$H$5:$H$35)/SUMPRODUCT((Indicators!$B$5:$B$35=J$4)*Indicators!$L$5:$L$35*('Indicator Scores'!$H$5:$H$35&gt;0)),0)</f>
        <v>2.14285714285714</v>
      </c>
      <c r="K34" s="28" t="n">
        <f aca="false">IFERROR(SUMPRODUCT(F34:J34,INDEX('Factor Weights'!$C$5:$G$11,MATCH(D34,'Factor Weights'!$A$5:$A$11,0),0))/SUMPRODUCT((F34:J34&gt;0)*INDEX('Factor Weights'!$C$5:$G$11,MATCH(D34,'Factor Weights'!$A$5:$A$11,0),0)),0)</f>
        <v>2.53690476190476</v>
      </c>
      <c r="L34" s="29" t="n">
        <f aca="false">MAX(F34:J34)</f>
        <v>3.33333333333333</v>
      </c>
      <c r="M34" s="28" t="n">
        <f aca="false">IF(L34&gt;=Config!$C$13,MAX(K34,Config!$C$14),K34)</f>
        <v>2.53690476190476</v>
      </c>
      <c r="N34" s="30" t="n">
        <f aca="false">IF(Config!$C$12="Weighted average",K34,IF(Config!$C$12="Weighted with floor",M34,L34))</f>
        <v>2.53690476190476</v>
      </c>
      <c r="O34" s="31" t="n">
        <f aca="false">IF(N34&lt;Config!$D$5,"",MATCH(N34,Config!$D$5:$D$9,1))</f>
        <v>2</v>
      </c>
      <c r="P34" s="7" t="str">
        <f aca="false">IF(O34="","No data",INDEX(Config!$B$5:$B$9,O34))</f>
        <v>Medium-Low</v>
      </c>
      <c r="Q34" s="32" t="n">
        <v>0</v>
      </c>
      <c r="R34" s="8"/>
      <c r="S34" s="33"/>
      <c r="T34" s="34" t="n">
        <f aca="false">IF(O34="","",IF(AND(S34="Y",Q34&lt;&gt;0),MAX(1,MIN(5,O34+MAX(-Config!$C$27,MIN(Config!$C$27,Q34)))),O34))</f>
        <v>2</v>
      </c>
      <c r="U34" s="35" t="str">
        <f aca="false">IF(T34="","No data",INDEX(Config!$B$5:$B$9,T34))</f>
        <v>Medium-Low</v>
      </c>
      <c r="V34" s="7" t="str">
        <f aca="false">IF(Q34=0,"None",IF(S34="Y","Applied","Pending HO approval"))</f>
        <v>None</v>
      </c>
      <c r="W34" s="36" t="n">
        <f aca="false">SUMPRODUCT((Indicators!$L$5:$L$35&gt;0)*('Indicator Data'!$H$5:$H$35&lt;&gt;""))/SUMPRODUCT(--(Indicators!$L$5:$L$35&gt;0))</f>
        <v>1</v>
      </c>
    </row>
    <row r="35" customFormat="false" ht="15" hidden="false" customHeight="false" outlineLevel="0" collapsed="false">
      <c r="A35" s="26" t="str">
        <f aca="false">Entities!$A$9</f>
        <v>JO-LSG</v>
      </c>
      <c r="B35" s="12" t="str">
        <f aca="false">INDEX(Entities!$B$5:$B$34,MATCH(A35,Entities!$A$5:$A$34,0))</f>
        <v>Leasing subsidiary – Jordan</v>
      </c>
      <c r="C35" s="12" t="str">
        <f aca="false">INDEX(Entities!$D$5:$D$34,MATCH(A35,Entities!$A$5:$A$34,0))</f>
        <v>Jordan (home)</v>
      </c>
      <c r="D35" s="12" t="s">
        <v>270</v>
      </c>
      <c r="E35" s="12" t="str">
        <f aca="false">INDEX('Risk Taxonomy'!$B$5:$B$24,MATCH(D35,'Risk Taxonomy'!$A$5:$A$24,0))</f>
        <v>Proliferation financing</v>
      </c>
      <c r="F35" s="28" t="n">
        <f aca="false">IFERROR(SUMPRODUCT((Indicators!$B$5:$B$35=F$4)*Indicators!$M$5:$M$35*'Indicator Scores'!$H$5:$H$35)/SUMPRODUCT((Indicators!$B$5:$B$35=F$4)*Indicators!$M$5:$M$35*('Indicator Scores'!$H$5:$H$35&gt;0)),0)</f>
        <v>3</v>
      </c>
      <c r="G35" s="28" t="n">
        <f aca="false">IFERROR(SUMPRODUCT((Indicators!$B$5:$B$35=G$4)*Indicators!$M$5:$M$35*'Indicator Scores'!$H$5:$H$35)/SUMPRODUCT((Indicators!$B$5:$B$35=G$4)*Indicators!$M$5:$M$35*('Indicator Scores'!$H$5:$H$35&gt;0)),0)</f>
        <v>3.375</v>
      </c>
      <c r="H35" s="28" t="n">
        <f aca="false">IFERROR(SUMPRODUCT((Indicators!$B$5:$B$35=H$4)*Indicators!$M$5:$M$35*'Indicator Scores'!$H$5:$H$35)/SUMPRODUCT((Indicators!$B$5:$B$35=H$4)*Indicators!$M$5:$M$35*('Indicator Scores'!$H$5:$H$35&gt;0)),0)</f>
        <v>1.33333333333333</v>
      </c>
      <c r="I35" s="28" t="n">
        <f aca="false">IFERROR(SUMPRODUCT((Indicators!$B$5:$B$35=I$4)*Indicators!$M$5:$M$35*'Indicator Scores'!$H$5:$H$35)/SUMPRODUCT((Indicators!$B$5:$B$35=I$4)*Indicators!$M$5:$M$35*('Indicator Scores'!$H$5:$H$35&gt;0)),0)</f>
        <v>4.33333333333333</v>
      </c>
      <c r="J35" s="28" t="n">
        <f aca="false">IFERROR(SUMPRODUCT((Indicators!$B$5:$B$35=J$4)*Indicators!$M$5:$M$35*'Indicator Scores'!$H$5:$H$35)/SUMPRODUCT((Indicators!$B$5:$B$35=J$4)*Indicators!$M$5:$M$35*('Indicator Scores'!$H$5:$H$35&gt;0)),0)</f>
        <v>2</v>
      </c>
      <c r="K35" s="28" t="n">
        <f aca="false">IFERROR(SUMPRODUCT(F35:J35,INDEX('Factor Weights'!$C$5:$G$11,MATCH(D35,'Factor Weights'!$A$5:$A$11,0),0))/SUMPRODUCT((F35:J35&gt;0)*INDEX('Factor Weights'!$C$5:$G$11,MATCH(D35,'Factor Weights'!$A$5:$A$11,0),0)),0)</f>
        <v>2.47916666666667</v>
      </c>
      <c r="L35" s="29" t="n">
        <f aca="false">MAX(F35:J35)</f>
        <v>4.33333333333333</v>
      </c>
      <c r="M35" s="28" t="n">
        <f aca="false">IF(L35&gt;=Config!$C$13,MAX(K35,Config!$C$14),K35)</f>
        <v>2.47916666666667</v>
      </c>
      <c r="N35" s="30" t="n">
        <f aca="false">IF(Config!$C$12="Weighted average",K35,IF(Config!$C$12="Weighted with floor",M35,L35))</f>
        <v>2.47916666666667</v>
      </c>
      <c r="O35" s="31" t="n">
        <f aca="false">IF(N35&lt;Config!$D$5,"",MATCH(N35,Config!$D$5:$D$9,1))</f>
        <v>2</v>
      </c>
      <c r="P35" s="7" t="str">
        <f aca="false">IF(O35="","No data",INDEX(Config!$B$5:$B$9,O35))</f>
        <v>Medium-Low</v>
      </c>
      <c r="Q35" s="32" t="n">
        <v>0</v>
      </c>
      <c r="R35" s="8"/>
      <c r="S35" s="33"/>
      <c r="T35" s="34" t="n">
        <f aca="false">IF(O35="","",IF(AND(S35="Y",Q35&lt;&gt;0),MAX(1,MIN(5,O35+MAX(-Config!$C$27,MIN(Config!$C$27,Q35)))),O35))</f>
        <v>2</v>
      </c>
      <c r="U35" s="35" t="str">
        <f aca="false">IF(T35="","No data",INDEX(Config!$B$5:$B$9,T35))</f>
        <v>Medium-Low</v>
      </c>
      <c r="V35" s="7" t="str">
        <f aca="false">IF(Q35=0,"None",IF(S35="Y","Applied","Pending HO approval"))</f>
        <v>None</v>
      </c>
      <c r="W35" s="36" t="n">
        <f aca="false">SUMPRODUCT((Indicators!$M$5:$M$35&gt;0)*('Indicator Data'!$H$5:$H$35&lt;&gt;""))/SUMPRODUCT(--(Indicators!$M$5:$M$35&gt;0))</f>
        <v>1</v>
      </c>
    </row>
    <row r="36" customFormat="false" ht="15" hidden="false" customHeight="false" outlineLevel="0" collapsed="false">
      <c r="A36" s="26" t="str">
        <f aca="false">Entities!$A$9</f>
        <v>JO-LSG</v>
      </c>
      <c r="B36" s="12" t="str">
        <f aca="false">INDEX(Entities!$B$5:$B$34,MATCH(A36,Entities!$A$5:$A$34,0))</f>
        <v>Leasing subsidiary – Jordan</v>
      </c>
      <c r="C36" s="12" t="str">
        <f aca="false">INDEX(Entities!$D$5:$D$34,MATCH(A36,Entities!$A$5:$A$34,0))</f>
        <v>Jordan (home)</v>
      </c>
      <c r="D36" s="12" t="s">
        <v>272</v>
      </c>
      <c r="E36" s="12" t="str">
        <f aca="false">INDEX('Risk Taxonomy'!$B$5:$B$24,MATCH(D36,'Risk Taxonomy'!$A$5:$A$24,0))</f>
        <v>Sanctions</v>
      </c>
      <c r="F36" s="28" t="n">
        <f aca="false">IFERROR(SUMPRODUCT((Indicators!$B$5:$B$35=F$4)*Indicators!$N$5:$N$35*'Indicator Scores'!$H$5:$H$35)/SUMPRODUCT((Indicators!$B$5:$B$35=F$4)*Indicators!$N$5:$N$35*('Indicator Scores'!$H$5:$H$35&gt;0)),0)</f>
        <v>2.71428571428571</v>
      </c>
      <c r="G36" s="28" t="n">
        <f aca="false">IFERROR(SUMPRODUCT((Indicators!$B$5:$B$35=G$4)*Indicators!$N$5:$N$35*'Indicator Scores'!$H$5:$H$35)/SUMPRODUCT((Indicators!$B$5:$B$35=G$4)*Indicators!$N$5:$N$35*('Indicator Scores'!$H$5:$H$35&gt;0)),0)</f>
        <v>3.42857142857143</v>
      </c>
      <c r="H36" s="28" t="n">
        <f aca="false">IFERROR(SUMPRODUCT((Indicators!$B$5:$B$35=H$4)*Indicators!$N$5:$N$35*'Indicator Scores'!$H$5:$H$35)/SUMPRODUCT((Indicators!$B$5:$B$35=H$4)*Indicators!$N$5:$N$35*('Indicator Scores'!$H$5:$H$35&gt;0)),0)</f>
        <v>1.625</v>
      </c>
      <c r="I36" s="28" t="n">
        <f aca="false">IFERROR(SUMPRODUCT((Indicators!$B$5:$B$35=I$4)*Indicators!$N$5:$N$35*'Indicator Scores'!$H$5:$H$35)/SUMPRODUCT((Indicators!$B$5:$B$35=I$4)*Indicators!$N$5:$N$35*('Indicator Scores'!$H$5:$H$35&gt;0)),0)</f>
        <v>3.66666666666667</v>
      </c>
      <c r="J36" s="28" t="n">
        <f aca="false">IFERROR(SUMPRODUCT((Indicators!$B$5:$B$35=J$4)*Indicators!$N$5:$N$35*'Indicator Scores'!$H$5:$H$35)/SUMPRODUCT((Indicators!$B$5:$B$35=J$4)*Indicators!$N$5:$N$35*('Indicator Scores'!$H$5:$H$35&gt;0)),0)</f>
        <v>1.8</v>
      </c>
      <c r="K36" s="28" t="n">
        <f aca="false">IFERROR(SUMPRODUCT(F36:J36,INDEX('Factor Weights'!$C$5:$G$11,MATCH(D36,'Factor Weights'!$A$5:$A$11,0),0))/SUMPRODUCT((F36:J36&gt;0)*INDEX('Factor Weights'!$C$5:$G$11,MATCH(D36,'Factor Weights'!$A$5:$A$11,0),0)),0)</f>
        <v>2.64690476190476</v>
      </c>
      <c r="L36" s="29" t="n">
        <f aca="false">MAX(F36:J36)</f>
        <v>3.66666666666667</v>
      </c>
      <c r="M36" s="28" t="n">
        <f aca="false">IF(L36&gt;=Config!$C$13,MAX(K36,Config!$C$14),K36)</f>
        <v>2.64690476190476</v>
      </c>
      <c r="N36" s="30" t="n">
        <f aca="false">IF(Config!$C$12="Weighted average",K36,IF(Config!$C$12="Weighted with floor",M36,L36))</f>
        <v>2.64690476190476</v>
      </c>
      <c r="O36" s="31" t="n">
        <f aca="false">IF(N36&lt;Config!$D$5,"",MATCH(N36,Config!$D$5:$D$9,1))</f>
        <v>3</v>
      </c>
      <c r="P36" s="7" t="str">
        <f aca="false">IF(O36="","No data",INDEX(Config!$B$5:$B$9,O36))</f>
        <v>Medium</v>
      </c>
      <c r="Q36" s="32" t="n">
        <v>0</v>
      </c>
      <c r="R36" s="8"/>
      <c r="S36" s="33"/>
      <c r="T36" s="34" t="n">
        <f aca="false">IF(O36="","",IF(AND(S36="Y",Q36&lt;&gt;0),MAX(1,MIN(5,O36+MAX(-Config!$C$27,MIN(Config!$C$27,Q36)))),O36))</f>
        <v>3</v>
      </c>
      <c r="U36" s="35" t="str">
        <f aca="false">IF(T36="","No data",INDEX(Config!$B$5:$B$9,T36))</f>
        <v>Medium</v>
      </c>
      <c r="V36" s="7" t="str">
        <f aca="false">IF(Q36=0,"None",IF(S36="Y","Applied","Pending HO approval"))</f>
        <v>None</v>
      </c>
      <c r="W36" s="36" t="n">
        <f aca="false">SUMPRODUCT((Indicators!$N$5:$N$35&gt;0)*('Indicator Data'!$H$5:$H$35&lt;&gt;""))/SUMPRODUCT(--(Indicators!$N$5:$N$35&gt;0))</f>
        <v>1</v>
      </c>
    </row>
    <row r="37" customFormat="false" ht="15" hidden="false" customHeight="false" outlineLevel="0" collapsed="false">
      <c r="A37" s="26" t="str">
        <f aca="false">Entities!$A$9</f>
        <v>JO-LSG</v>
      </c>
      <c r="B37" s="12" t="str">
        <f aca="false">INDEX(Entities!$B$5:$B$34,MATCH(A37,Entities!$A$5:$A$34,0))</f>
        <v>Leasing subsidiary – Jordan</v>
      </c>
      <c r="C37" s="12" t="str">
        <f aca="false">INDEX(Entities!$D$5:$D$34,MATCH(A37,Entities!$A$5:$A$34,0))</f>
        <v>Jordan (home)</v>
      </c>
      <c r="D37" s="12" t="s">
        <v>275</v>
      </c>
      <c r="E37" s="12" t="str">
        <f aca="false">INDEX('Risk Taxonomy'!$B$5:$B$24,MATCH(D37,'Risk Taxonomy'!$A$5:$A$24,0))</f>
        <v>Bribery and corruption</v>
      </c>
      <c r="F37" s="28" t="n">
        <f aca="false">IFERROR(SUMPRODUCT((Indicators!$B$5:$B$35=F$4)*Indicators!$O$5:$O$35*'Indicator Scores'!$H$5:$H$35)/SUMPRODUCT((Indicators!$B$5:$B$35=F$4)*Indicators!$O$5:$O$35*('Indicator Scores'!$H$5:$H$35&gt;0)),0)</f>
        <v>1.77777777777778</v>
      </c>
      <c r="G37" s="28" t="n">
        <f aca="false">IFERROR(SUMPRODUCT((Indicators!$B$5:$B$35=G$4)*Indicators!$O$5:$O$35*'Indicator Scores'!$H$5:$H$35)/SUMPRODUCT((Indicators!$B$5:$B$35=G$4)*Indicators!$O$5:$O$35*('Indicator Scores'!$H$5:$H$35&gt;0)),0)</f>
        <v>3.8</v>
      </c>
      <c r="H37" s="28" t="n">
        <f aca="false">IFERROR(SUMPRODUCT((Indicators!$B$5:$B$35=H$4)*Indicators!$O$5:$O$35*'Indicator Scores'!$H$5:$H$35)/SUMPRODUCT((Indicators!$B$5:$B$35=H$4)*Indicators!$O$5:$O$35*('Indicator Scores'!$H$5:$H$35&gt;0)),0)</f>
        <v>2</v>
      </c>
      <c r="I37" s="28" t="n">
        <f aca="false">IFERROR(SUMPRODUCT((Indicators!$B$5:$B$35=I$4)*Indicators!$O$5:$O$35*'Indicator Scores'!$H$5:$H$35)/SUMPRODUCT((Indicators!$B$5:$B$35=I$4)*Indicators!$O$5:$O$35*('Indicator Scores'!$H$5:$H$35&gt;0)),0)</f>
        <v>2.6</v>
      </c>
      <c r="J37" s="28" t="n">
        <f aca="false">IFERROR(SUMPRODUCT((Indicators!$B$5:$B$35=J$4)*Indicators!$O$5:$O$35*'Indicator Scores'!$H$5:$H$35)/SUMPRODUCT((Indicators!$B$5:$B$35=J$4)*Indicators!$O$5:$O$35*('Indicator Scores'!$H$5:$H$35&gt;0)),0)</f>
        <v>3</v>
      </c>
      <c r="K37" s="28" t="n">
        <f aca="false">IFERROR(SUMPRODUCT(F37:J37,INDEX('Factor Weights'!$C$5:$G$11,MATCH(D37,'Factor Weights'!$A$5:$A$11,0),0))/SUMPRODUCT((F37:J37&gt;0)*INDEX('Factor Weights'!$C$5:$G$11,MATCH(D37,'Factor Weights'!$A$5:$A$11,0),0)),0)</f>
        <v>2.60333333333333</v>
      </c>
      <c r="L37" s="29" t="n">
        <f aca="false">MAX(F37:J37)</f>
        <v>3.8</v>
      </c>
      <c r="M37" s="28" t="n">
        <f aca="false">IF(L37&gt;=Config!$C$13,MAX(K37,Config!$C$14),K37)</f>
        <v>2.60333333333333</v>
      </c>
      <c r="N37" s="30" t="n">
        <f aca="false">IF(Config!$C$12="Weighted average",K37,IF(Config!$C$12="Weighted with floor",M37,L37))</f>
        <v>2.60333333333333</v>
      </c>
      <c r="O37" s="31" t="n">
        <f aca="false">IF(N37&lt;Config!$D$5,"",MATCH(N37,Config!$D$5:$D$9,1))</f>
        <v>2</v>
      </c>
      <c r="P37" s="7" t="str">
        <f aca="false">IF(O37="","No data",INDEX(Config!$B$5:$B$9,O37))</f>
        <v>Medium-Low</v>
      </c>
      <c r="Q37" s="32" t="n">
        <v>0</v>
      </c>
      <c r="R37" s="8"/>
      <c r="S37" s="33"/>
      <c r="T37" s="34" t="n">
        <f aca="false">IF(O37="","",IF(AND(S37="Y",Q37&lt;&gt;0),MAX(1,MIN(5,O37+MAX(-Config!$C$27,MIN(Config!$C$27,Q37)))),O37))</f>
        <v>2</v>
      </c>
      <c r="U37" s="35" t="str">
        <f aca="false">IF(T37="","No data",INDEX(Config!$B$5:$B$9,T37))</f>
        <v>Medium-Low</v>
      </c>
      <c r="V37" s="7" t="str">
        <f aca="false">IF(Q37=0,"None",IF(S37="Y","Applied","Pending HO approval"))</f>
        <v>None</v>
      </c>
      <c r="W37" s="36" t="n">
        <f aca="false">SUMPRODUCT((Indicators!$O$5:$O$35&gt;0)*('Indicator Data'!$H$5:$H$35&lt;&gt;""))/SUMPRODUCT(--(Indicators!$O$5:$O$35&gt;0))</f>
        <v>1</v>
      </c>
    </row>
    <row r="38" customFormat="false" ht="15" hidden="false" customHeight="false" outlineLevel="0" collapsed="false">
      <c r="A38" s="26" t="str">
        <f aca="false">Entities!$A$9</f>
        <v>JO-LSG</v>
      </c>
      <c r="B38" s="12" t="str">
        <f aca="false">INDEX(Entities!$B$5:$B$34,MATCH(A38,Entities!$A$5:$A$34,0))</f>
        <v>Leasing subsidiary – Jordan</v>
      </c>
      <c r="C38" s="12" t="str">
        <f aca="false">INDEX(Entities!$D$5:$D$34,MATCH(A38,Entities!$A$5:$A$34,0))</f>
        <v>Jordan (home)</v>
      </c>
      <c r="D38" s="12" t="s">
        <v>278</v>
      </c>
      <c r="E38" s="12" t="str">
        <f aca="false">INDEX('Risk Taxonomy'!$B$5:$B$24,MATCH(D38,'Risk Taxonomy'!$A$5:$A$24,0))</f>
        <v>Fraud</v>
      </c>
      <c r="F38" s="28" t="n">
        <f aca="false">IFERROR(SUMPRODUCT((Indicators!$B$5:$B$35=F$4)*Indicators!$P$5:$P$35*'Indicator Scores'!$H$5:$H$35)/SUMPRODUCT((Indicators!$B$5:$B$35=F$4)*Indicators!$P$5:$P$35*('Indicator Scores'!$H$5:$H$35&gt;0)),0)</f>
        <v>4</v>
      </c>
      <c r="G38" s="28" t="n">
        <f aca="false">IFERROR(SUMPRODUCT((Indicators!$B$5:$B$35=G$4)*Indicators!$P$5:$P$35*'Indicator Scores'!$H$5:$H$35)/SUMPRODUCT((Indicators!$B$5:$B$35=G$4)*Indicators!$P$5:$P$35*('Indicator Scores'!$H$5:$H$35&gt;0)),0)</f>
        <v>3.25</v>
      </c>
      <c r="H38" s="28" t="n">
        <f aca="false">IFERROR(SUMPRODUCT((Indicators!$B$5:$B$35=H$4)*Indicators!$P$5:$P$35*'Indicator Scores'!$H$5:$H$35)/SUMPRODUCT((Indicators!$B$5:$B$35=H$4)*Indicators!$P$5:$P$35*('Indicator Scores'!$H$5:$H$35&gt;0)),0)</f>
        <v>2.2</v>
      </c>
      <c r="I38" s="28" t="n">
        <f aca="false">IFERROR(SUMPRODUCT((Indicators!$B$5:$B$35=I$4)*Indicators!$P$5:$P$35*'Indicator Scores'!$H$5:$H$35)/SUMPRODUCT((Indicators!$B$5:$B$35=I$4)*Indicators!$P$5:$P$35*('Indicator Scores'!$H$5:$H$35&gt;0)),0)</f>
        <v>2.77777777777778</v>
      </c>
      <c r="J38" s="28" t="n">
        <f aca="false">IFERROR(SUMPRODUCT((Indicators!$B$5:$B$35=J$4)*Indicators!$P$5:$P$35*'Indicator Scores'!$H$5:$H$35)/SUMPRODUCT((Indicators!$B$5:$B$35=J$4)*Indicators!$P$5:$P$35*('Indicator Scores'!$H$5:$H$35&gt;0)),0)</f>
        <v>3</v>
      </c>
      <c r="K38" s="28" t="n">
        <f aca="false">IFERROR(SUMPRODUCT(F38:J38,INDEX('Factor Weights'!$C$5:$G$11,MATCH(D38,'Factor Weights'!$A$5:$A$11,0),0))/SUMPRODUCT((F38:J38&gt;0)*INDEX('Factor Weights'!$C$5:$G$11,MATCH(D38,'Factor Weights'!$A$5:$A$11,0),0)),0)</f>
        <v>2.99833333333333</v>
      </c>
      <c r="L38" s="29" t="n">
        <f aca="false">MAX(F38:J38)</f>
        <v>4</v>
      </c>
      <c r="M38" s="28" t="n">
        <f aca="false">IF(L38&gt;=Config!$C$13,MAX(K38,Config!$C$14),K38)</f>
        <v>2.99833333333333</v>
      </c>
      <c r="N38" s="30" t="n">
        <f aca="false">IF(Config!$C$12="Weighted average",K38,IF(Config!$C$12="Weighted with floor",M38,L38))</f>
        <v>2.99833333333333</v>
      </c>
      <c r="O38" s="31" t="n">
        <f aca="false">IF(N38&lt;Config!$D$5,"",MATCH(N38,Config!$D$5:$D$9,1))</f>
        <v>3</v>
      </c>
      <c r="P38" s="7" t="str">
        <f aca="false">IF(O38="","No data",INDEX(Config!$B$5:$B$9,O38))</f>
        <v>Medium</v>
      </c>
      <c r="Q38" s="32" t="n">
        <v>0</v>
      </c>
      <c r="R38" s="8"/>
      <c r="S38" s="33"/>
      <c r="T38" s="34" t="n">
        <f aca="false">IF(O38="","",IF(AND(S38="Y",Q38&lt;&gt;0),MAX(1,MIN(5,O38+MAX(-Config!$C$27,MIN(Config!$C$27,Q38)))),O38))</f>
        <v>3</v>
      </c>
      <c r="U38" s="35" t="str">
        <f aca="false">IF(T38="","No data",INDEX(Config!$B$5:$B$9,T38))</f>
        <v>Medium</v>
      </c>
      <c r="V38" s="7" t="str">
        <f aca="false">IF(Q38=0,"None",IF(S38="Y","Applied","Pending HO approval"))</f>
        <v>None</v>
      </c>
      <c r="W38" s="36" t="n">
        <f aca="false">SUMPRODUCT((Indicators!$P$5:$P$35&gt;0)*('Indicator Data'!$H$5:$H$35&lt;&gt;""))/SUMPRODUCT(--(Indicators!$P$5:$P$35&gt;0))</f>
        <v>1</v>
      </c>
    </row>
    <row r="39" customFormat="false" ht="15" hidden="false" customHeight="false" outlineLevel="0" collapsed="false">
      <c r="A39" s="26" t="str">
        <f aca="false">Entities!$A$9</f>
        <v>JO-LSG</v>
      </c>
      <c r="B39" s="12" t="str">
        <f aca="false">INDEX(Entities!$B$5:$B$34,MATCH(A39,Entities!$A$5:$A$34,0))</f>
        <v>Leasing subsidiary – Jordan</v>
      </c>
      <c r="C39" s="12" t="str">
        <f aca="false">INDEX(Entities!$D$5:$D$34,MATCH(A39,Entities!$A$5:$A$34,0))</f>
        <v>Jordan (home)</v>
      </c>
      <c r="D39" s="12" t="s">
        <v>281</v>
      </c>
      <c r="E39" s="12" t="str">
        <f aca="false">INDEX('Risk Taxonomy'!$B$5:$B$24,MATCH(D39,'Risk Taxonomy'!$A$5:$A$24,0))</f>
        <v>Tax evasion and tax transparency</v>
      </c>
      <c r="F39" s="28" t="n">
        <f aca="false">IFERROR(SUMPRODUCT((Indicators!$B$5:$B$35=F$4)*Indicators!$Q$5:$Q$35*'Indicator Scores'!$H$5:$H$35)/SUMPRODUCT((Indicators!$B$5:$B$35=F$4)*Indicators!$Q$5:$Q$35*('Indicator Scores'!$H$5:$H$35&gt;0)),0)</f>
        <v>3</v>
      </c>
      <c r="G39" s="28" t="n">
        <f aca="false">IFERROR(SUMPRODUCT((Indicators!$B$5:$B$35=G$4)*Indicators!$Q$5:$Q$35*'Indicator Scores'!$H$5:$H$35)/SUMPRODUCT((Indicators!$B$5:$B$35=G$4)*Indicators!$Q$5:$Q$35*('Indicator Scores'!$H$5:$H$35&gt;0)),0)</f>
        <v>2.83333333333333</v>
      </c>
      <c r="H39" s="28" t="n">
        <f aca="false">IFERROR(SUMPRODUCT((Indicators!$B$5:$B$35=H$4)*Indicators!$Q$5:$Q$35*'Indicator Scores'!$H$5:$H$35)/SUMPRODUCT((Indicators!$B$5:$B$35=H$4)*Indicators!$Q$5:$Q$35*('Indicator Scores'!$H$5:$H$35&gt;0)),0)</f>
        <v>3</v>
      </c>
      <c r="I39" s="28" t="n">
        <f aca="false">IFERROR(SUMPRODUCT((Indicators!$B$5:$B$35=I$4)*Indicators!$Q$5:$Q$35*'Indicator Scores'!$H$5:$H$35)/SUMPRODUCT((Indicators!$B$5:$B$35=I$4)*Indicators!$Q$5:$Q$35*('Indicator Scores'!$H$5:$H$35&gt;0)),0)</f>
        <v>4</v>
      </c>
      <c r="J39" s="28" t="n">
        <f aca="false">IFERROR(SUMPRODUCT((Indicators!$B$5:$B$35=J$4)*Indicators!$Q$5:$Q$35*'Indicator Scores'!$H$5:$H$35)/SUMPRODUCT((Indicators!$B$5:$B$35=J$4)*Indicators!$Q$5:$Q$35*('Indicator Scores'!$H$5:$H$35&gt;0)),0)</f>
        <v>1.8</v>
      </c>
      <c r="K39" s="28" t="n">
        <f aca="false">IFERROR(SUMPRODUCT(F39:J39,INDEX('Factor Weights'!$C$5:$G$11,MATCH(D39,'Factor Weights'!$A$5:$A$11,0),0))/SUMPRODUCT((F39:J39&gt;0)*INDEX('Factor Weights'!$C$5:$G$11,MATCH(D39,'Factor Weights'!$A$5:$A$11,0),0)),0)</f>
        <v>2.93833333333333</v>
      </c>
      <c r="L39" s="29" t="n">
        <f aca="false">MAX(F39:J39)</f>
        <v>4</v>
      </c>
      <c r="M39" s="28" t="n">
        <f aca="false">IF(L39&gt;=Config!$C$13,MAX(K39,Config!$C$14),K39)</f>
        <v>2.93833333333333</v>
      </c>
      <c r="N39" s="30" t="n">
        <f aca="false">IF(Config!$C$12="Weighted average",K39,IF(Config!$C$12="Weighted with floor",M39,L39))</f>
        <v>2.93833333333333</v>
      </c>
      <c r="O39" s="31" t="n">
        <f aca="false">IF(N39&lt;Config!$D$5,"",MATCH(N39,Config!$D$5:$D$9,1))</f>
        <v>3</v>
      </c>
      <c r="P39" s="7" t="str">
        <f aca="false">IF(O39="","No data",INDEX(Config!$B$5:$B$9,O39))</f>
        <v>Medium</v>
      </c>
      <c r="Q39" s="32" t="n">
        <v>0</v>
      </c>
      <c r="R39" s="8"/>
      <c r="S39" s="33"/>
      <c r="T39" s="34" t="n">
        <f aca="false">IF(O39="","",IF(AND(S39="Y",Q39&lt;&gt;0),MAX(1,MIN(5,O39+MAX(-Config!$C$27,MIN(Config!$C$27,Q39)))),O39))</f>
        <v>3</v>
      </c>
      <c r="U39" s="35" t="str">
        <f aca="false">IF(T39="","No data",INDEX(Config!$B$5:$B$9,T39))</f>
        <v>Medium</v>
      </c>
      <c r="V39" s="7" t="str">
        <f aca="false">IF(Q39=0,"None",IF(S39="Y","Applied","Pending HO approval"))</f>
        <v>None</v>
      </c>
      <c r="W39" s="36" t="n">
        <f aca="false">SUMPRODUCT((Indicators!$Q$5:$Q$35&gt;0)*('Indicator Data'!$H$5:$H$35&lt;&gt;""))/SUMPRODUCT(--(Indicators!$Q$5:$Q$35&gt;0))</f>
        <v>1</v>
      </c>
    </row>
    <row r="40" customFormat="false" ht="15" hidden="false" customHeight="false" outlineLevel="0" collapsed="false">
      <c r="A40" s="26" t="str">
        <f aca="false">Entities!$A$10</f>
        <v>PS</v>
      </c>
      <c r="B40" s="12" t="str">
        <f aca="false">INDEX(Entities!$B$5:$B$34,MATCH(A40,Entities!$A$5:$A$34,0))</f>
        <v>Arab Bank – Palestine</v>
      </c>
      <c r="C40" s="12" t="str">
        <f aca="false">INDEX(Entities!$D$5:$D$34,MATCH(A40,Entities!$A$5:$A$34,0))</f>
        <v>Levant</v>
      </c>
      <c r="D40" s="12" t="s">
        <v>260</v>
      </c>
      <c r="E40" s="12" t="str">
        <f aca="false">INDEX('Risk Taxonomy'!$B$5:$B$24,MATCH(D40,'Risk Taxonomy'!$A$5:$A$24,0))</f>
        <v>Money laundering</v>
      </c>
      <c r="F40" s="28" t="n">
        <f aca="false">IFERROR(SUMPRODUCT((Indicators!$B$5:$B$35=F$4)*Indicators!$K$5:$K$35*'Indicator Scores'!$I$5:$I$35)/SUMPRODUCT((Indicators!$B$5:$B$35=F$4)*Indicators!$K$5:$K$35*('Indicator Scores'!$I$5:$I$35&gt;0)),0)</f>
        <v>3.33333333333333</v>
      </c>
      <c r="G40" s="28" t="n">
        <f aca="false">IFERROR(SUMPRODUCT((Indicators!$B$5:$B$35=G$4)*Indicators!$K$5:$K$35*'Indicator Scores'!$I$5:$I$35)/SUMPRODUCT((Indicators!$B$5:$B$35=G$4)*Indicators!$K$5:$K$35*('Indicator Scores'!$I$5:$I$35&gt;0)),0)</f>
        <v>4.33333333333333</v>
      </c>
      <c r="H40" s="28" t="n">
        <f aca="false">IFERROR(SUMPRODUCT((Indicators!$B$5:$B$35=H$4)*Indicators!$K$5:$K$35*'Indicator Scores'!$I$5:$I$35)/SUMPRODUCT((Indicators!$B$5:$B$35=H$4)*Indicators!$K$5:$K$35*('Indicator Scores'!$I$5:$I$35&gt;0)),0)</f>
        <v>4.4</v>
      </c>
      <c r="I40" s="28" t="n">
        <f aca="false">IFERROR(SUMPRODUCT((Indicators!$B$5:$B$35=I$4)*Indicators!$K$5:$K$35*'Indicator Scores'!$I$5:$I$35)/SUMPRODUCT((Indicators!$B$5:$B$35=I$4)*Indicators!$K$5:$K$35*('Indicator Scores'!$I$5:$I$35&gt;0)),0)</f>
        <v>3.85714285714286</v>
      </c>
      <c r="J40" s="28" t="n">
        <f aca="false">IFERROR(SUMPRODUCT((Indicators!$B$5:$B$35=J$4)*Indicators!$K$5:$K$35*'Indicator Scores'!$I$5:$I$35)/SUMPRODUCT((Indicators!$B$5:$B$35=J$4)*Indicators!$K$5:$K$35*('Indicator Scores'!$I$5:$I$35&gt;0)),0)</f>
        <v>4.4</v>
      </c>
      <c r="K40" s="28" t="n">
        <f aca="false">IFERROR(SUMPRODUCT(F40:J40,INDEX('Factor Weights'!$C$5:$G$11,MATCH(D40,'Factor Weights'!$A$5:$A$11,0),0))/SUMPRODUCT((F40:J40&gt;0)*INDEX('Factor Weights'!$C$5:$G$11,MATCH(D40,'Factor Weights'!$A$5:$A$11,0),0)),0)</f>
        <v>3.98190476190476</v>
      </c>
      <c r="L40" s="29" t="n">
        <f aca="false">MAX(F40:J40)</f>
        <v>4.4</v>
      </c>
      <c r="M40" s="28" t="n">
        <f aca="false">IF(L40&gt;=Config!$C$13,MAX(K40,Config!$C$14),K40)</f>
        <v>3.98190476190476</v>
      </c>
      <c r="N40" s="30" t="n">
        <f aca="false">IF(Config!$C$12="Weighted average",K40,IF(Config!$C$12="Weighted with floor",M40,L40))</f>
        <v>3.98190476190476</v>
      </c>
      <c r="O40" s="31" t="n">
        <f aca="false">IF(N40&lt;Config!$D$5,"",MATCH(N40,Config!$D$5:$D$9,1))</f>
        <v>4</v>
      </c>
      <c r="P40" s="7" t="str">
        <f aca="false">IF(O40="","No data",INDEX(Config!$B$5:$B$9,O40))</f>
        <v>Medium-High</v>
      </c>
      <c r="Q40" s="32" t="n">
        <v>0</v>
      </c>
      <c r="R40" s="8"/>
      <c r="S40" s="33"/>
      <c r="T40" s="34" t="n">
        <f aca="false">IF(O40="","",IF(AND(S40="Y",Q40&lt;&gt;0),MAX(1,MIN(5,O40+MAX(-Config!$C$27,MIN(Config!$C$27,Q40)))),O40))</f>
        <v>4</v>
      </c>
      <c r="U40" s="35" t="str">
        <f aca="false">IF(T40="","No data",INDEX(Config!$B$5:$B$9,T40))</f>
        <v>Medium-High</v>
      </c>
      <c r="V40" s="7" t="str">
        <f aca="false">IF(Q40=0,"None",IF(S40="Y","Applied","Pending HO approval"))</f>
        <v>None</v>
      </c>
      <c r="W40" s="36" t="n">
        <f aca="false">SUMPRODUCT((Indicators!$K$5:$K$35&gt;0)*('Indicator Data'!$I$5:$I$35&lt;&gt;""))/SUMPRODUCT(--(Indicators!$K$5:$K$35&gt;0))</f>
        <v>1</v>
      </c>
    </row>
    <row r="41" customFormat="false" ht="15" hidden="false" customHeight="false" outlineLevel="0" collapsed="false">
      <c r="A41" s="26" t="str">
        <f aca="false">Entities!$A$10</f>
        <v>PS</v>
      </c>
      <c r="B41" s="12" t="str">
        <f aca="false">INDEX(Entities!$B$5:$B$34,MATCH(A41,Entities!$A$5:$A$34,0))</f>
        <v>Arab Bank – Palestine</v>
      </c>
      <c r="C41" s="12" t="str">
        <f aca="false">INDEX(Entities!$D$5:$D$34,MATCH(A41,Entities!$A$5:$A$34,0))</f>
        <v>Levant</v>
      </c>
      <c r="D41" s="12" t="s">
        <v>267</v>
      </c>
      <c r="E41" s="12" t="str">
        <f aca="false">INDEX('Risk Taxonomy'!$B$5:$B$24,MATCH(D41,'Risk Taxonomy'!$A$5:$A$24,0))</f>
        <v>Terrorist financing</v>
      </c>
      <c r="F41" s="28" t="n">
        <f aca="false">IFERROR(SUMPRODUCT((Indicators!$B$5:$B$35=F$4)*Indicators!$L$5:$L$35*'Indicator Scores'!$I$5:$I$35)/SUMPRODUCT((Indicators!$B$5:$B$35=F$4)*Indicators!$L$5:$L$35*('Indicator Scores'!$I$5:$I$35&gt;0)),0)</f>
        <v>3</v>
      </c>
      <c r="G41" s="28" t="n">
        <f aca="false">IFERROR(SUMPRODUCT((Indicators!$B$5:$B$35=G$4)*Indicators!$L$5:$L$35*'Indicator Scores'!$I$5:$I$35)/SUMPRODUCT((Indicators!$B$5:$B$35=G$4)*Indicators!$L$5:$L$35*('Indicator Scores'!$I$5:$I$35&gt;0)),0)</f>
        <v>3.77777777777778</v>
      </c>
      <c r="H41" s="28" t="n">
        <f aca="false">IFERROR(SUMPRODUCT((Indicators!$B$5:$B$35=H$4)*Indicators!$L$5:$L$35*'Indicator Scores'!$I$5:$I$35)/SUMPRODUCT((Indicators!$B$5:$B$35=H$4)*Indicators!$L$5:$L$35*('Indicator Scores'!$I$5:$I$35&gt;0)),0)</f>
        <v>4.5</v>
      </c>
      <c r="I41" s="28" t="n">
        <f aca="false">IFERROR(SUMPRODUCT((Indicators!$B$5:$B$35=I$4)*Indicators!$L$5:$L$35*'Indicator Scores'!$I$5:$I$35)/SUMPRODUCT((Indicators!$B$5:$B$35=I$4)*Indicators!$L$5:$L$35*('Indicator Scores'!$I$5:$I$35&gt;0)),0)</f>
        <v>3.83333333333333</v>
      </c>
      <c r="J41" s="28" t="n">
        <f aca="false">IFERROR(SUMPRODUCT((Indicators!$B$5:$B$35=J$4)*Indicators!$L$5:$L$35*'Indicator Scores'!$I$5:$I$35)/SUMPRODUCT((Indicators!$B$5:$B$35=J$4)*Indicators!$L$5:$L$35*('Indicator Scores'!$I$5:$I$35&gt;0)),0)</f>
        <v>4.42857142857143</v>
      </c>
      <c r="K41" s="28" t="n">
        <f aca="false">IFERROR(SUMPRODUCT(F41:J41,INDEX('Factor Weights'!$C$5:$G$11,MATCH(D41,'Factor Weights'!$A$5:$A$11,0),0))/SUMPRODUCT((F41:J41&gt;0)*INDEX('Factor Weights'!$C$5:$G$11,MATCH(D41,'Factor Weights'!$A$5:$A$11,0),0)),0)</f>
        <v>3.82738095238095</v>
      </c>
      <c r="L41" s="29" t="n">
        <f aca="false">MAX(F41:J41)</f>
        <v>4.5</v>
      </c>
      <c r="M41" s="28" t="n">
        <f aca="false">IF(L41&gt;=Config!$C$13,MAX(K41,Config!$C$14),K41)</f>
        <v>3.82738095238095</v>
      </c>
      <c r="N41" s="30" t="n">
        <f aca="false">IF(Config!$C$12="Weighted average",K41,IF(Config!$C$12="Weighted with floor",M41,L41))</f>
        <v>3.82738095238095</v>
      </c>
      <c r="O41" s="31" t="n">
        <f aca="false">IF(N41&lt;Config!$D$5,"",MATCH(N41,Config!$D$5:$D$9,1))</f>
        <v>4</v>
      </c>
      <c r="P41" s="7" t="str">
        <f aca="false">IF(O41="","No data",INDEX(Config!$B$5:$B$9,O41))</f>
        <v>Medium-High</v>
      </c>
      <c r="Q41" s="32" t="n">
        <v>0</v>
      </c>
      <c r="R41" s="8"/>
      <c r="S41" s="33"/>
      <c r="T41" s="34" t="n">
        <f aca="false">IF(O41="","",IF(AND(S41="Y",Q41&lt;&gt;0),MAX(1,MIN(5,O41+MAX(-Config!$C$27,MIN(Config!$C$27,Q41)))),O41))</f>
        <v>4</v>
      </c>
      <c r="U41" s="35" t="str">
        <f aca="false">IF(T41="","No data",INDEX(Config!$B$5:$B$9,T41))</f>
        <v>Medium-High</v>
      </c>
      <c r="V41" s="7" t="str">
        <f aca="false">IF(Q41=0,"None",IF(S41="Y","Applied","Pending HO approval"))</f>
        <v>None</v>
      </c>
      <c r="W41" s="36" t="n">
        <f aca="false">SUMPRODUCT((Indicators!$L$5:$L$35&gt;0)*('Indicator Data'!$I$5:$I$35&lt;&gt;""))/SUMPRODUCT(--(Indicators!$L$5:$L$35&gt;0))</f>
        <v>1</v>
      </c>
    </row>
    <row r="42" customFormat="false" ht="15" hidden="false" customHeight="false" outlineLevel="0" collapsed="false">
      <c r="A42" s="26" t="str">
        <f aca="false">Entities!$A$10</f>
        <v>PS</v>
      </c>
      <c r="B42" s="12" t="str">
        <f aca="false">INDEX(Entities!$B$5:$B$34,MATCH(A42,Entities!$A$5:$A$34,0))</f>
        <v>Arab Bank – Palestine</v>
      </c>
      <c r="C42" s="12" t="str">
        <f aca="false">INDEX(Entities!$D$5:$D$34,MATCH(A42,Entities!$A$5:$A$34,0))</f>
        <v>Levant</v>
      </c>
      <c r="D42" s="12" t="s">
        <v>270</v>
      </c>
      <c r="E42" s="12" t="str">
        <f aca="false">INDEX('Risk Taxonomy'!$B$5:$B$24,MATCH(D42,'Risk Taxonomy'!$A$5:$A$24,0))</f>
        <v>Proliferation financing</v>
      </c>
      <c r="F42" s="28" t="n">
        <f aca="false">IFERROR(SUMPRODUCT((Indicators!$B$5:$B$35=F$4)*Indicators!$M$5:$M$35*'Indicator Scores'!$I$5:$I$35)/SUMPRODUCT((Indicators!$B$5:$B$35=F$4)*Indicators!$M$5:$M$35*('Indicator Scores'!$I$5:$I$35&gt;0)),0)</f>
        <v>3.25</v>
      </c>
      <c r="G42" s="28" t="n">
        <f aca="false">IFERROR(SUMPRODUCT((Indicators!$B$5:$B$35=G$4)*Indicators!$M$5:$M$35*'Indicator Scores'!$I$5:$I$35)/SUMPRODUCT((Indicators!$B$5:$B$35=G$4)*Indicators!$M$5:$M$35*('Indicator Scores'!$I$5:$I$35&gt;0)),0)</f>
        <v>4.5</v>
      </c>
      <c r="H42" s="28" t="n">
        <f aca="false">IFERROR(SUMPRODUCT((Indicators!$B$5:$B$35=H$4)*Indicators!$M$5:$M$35*'Indicator Scores'!$I$5:$I$35)/SUMPRODUCT((Indicators!$B$5:$B$35=H$4)*Indicators!$M$5:$M$35*('Indicator Scores'!$I$5:$I$35&gt;0)),0)</f>
        <v>4.33333333333333</v>
      </c>
      <c r="I42" s="28" t="n">
        <f aca="false">IFERROR(SUMPRODUCT((Indicators!$B$5:$B$35=I$4)*Indicators!$M$5:$M$35*'Indicator Scores'!$I$5:$I$35)/SUMPRODUCT((Indicators!$B$5:$B$35=I$4)*Indicators!$M$5:$M$35*('Indicator Scores'!$I$5:$I$35&gt;0)),0)</f>
        <v>3.33333333333333</v>
      </c>
      <c r="J42" s="28" t="n">
        <f aca="false">IFERROR(SUMPRODUCT((Indicators!$B$5:$B$35=J$4)*Indicators!$M$5:$M$35*'Indicator Scores'!$I$5:$I$35)/SUMPRODUCT((Indicators!$B$5:$B$35=J$4)*Indicators!$M$5:$M$35*('Indicator Scores'!$I$5:$I$35&gt;0)),0)</f>
        <v>4</v>
      </c>
      <c r="K42" s="28" t="n">
        <f aca="false">IFERROR(SUMPRODUCT(F42:J42,INDEX('Factor Weights'!$C$5:$G$11,MATCH(D42,'Factor Weights'!$A$5:$A$11,0),0))/SUMPRODUCT((F42:J42&gt;0)*INDEX('Factor Weights'!$C$5:$G$11,MATCH(D42,'Factor Weights'!$A$5:$A$11,0),0)),0)</f>
        <v>4.10416666666667</v>
      </c>
      <c r="L42" s="29" t="n">
        <f aca="false">MAX(F42:J42)</f>
        <v>4.5</v>
      </c>
      <c r="M42" s="28" t="n">
        <f aca="false">IF(L42&gt;=Config!$C$13,MAX(K42,Config!$C$14),K42)</f>
        <v>4.10416666666667</v>
      </c>
      <c r="N42" s="30" t="n">
        <f aca="false">IF(Config!$C$12="Weighted average",K42,IF(Config!$C$12="Weighted with floor",M42,L42))</f>
        <v>4.10416666666667</v>
      </c>
      <c r="O42" s="31" t="n">
        <f aca="false">IF(N42&lt;Config!$D$5,"",MATCH(N42,Config!$D$5:$D$9,1))</f>
        <v>4</v>
      </c>
      <c r="P42" s="7" t="str">
        <f aca="false">IF(O42="","No data",INDEX(Config!$B$5:$B$9,O42))</f>
        <v>Medium-High</v>
      </c>
      <c r="Q42" s="32" t="n">
        <v>0</v>
      </c>
      <c r="R42" s="8"/>
      <c r="S42" s="33"/>
      <c r="T42" s="34" t="n">
        <f aca="false">IF(O42="","",IF(AND(S42="Y",Q42&lt;&gt;0),MAX(1,MIN(5,O42+MAX(-Config!$C$27,MIN(Config!$C$27,Q42)))),O42))</f>
        <v>4</v>
      </c>
      <c r="U42" s="35" t="str">
        <f aca="false">IF(T42="","No data",INDEX(Config!$B$5:$B$9,T42))</f>
        <v>Medium-High</v>
      </c>
      <c r="V42" s="7" t="str">
        <f aca="false">IF(Q42=0,"None",IF(S42="Y","Applied","Pending HO approval"))</f>
        <v>None</v>
      </c>
      <c r="W42" s="36" t="n">
        <f aca="false">SUMPRODUCT((Indicators!$M$5:$M$35&gt;0)*('Indicator Data'!$I$5:$I$35&lt;&gt;""))/SUMPRODUCT(--(Indicators!$M$5:$M$35&gt;0))</f>
        <v>1</v>
      </c>
    </row>
    <row r="43" customFormat="false" ht="15" hidden="false" customHeight="false" outlineLevel="0" collapsed="false">
      <c r="A43" s="26" t="str">
        <f aca="false">Entities!$A$10</f>
        <v>PS</v>
      </c>
      <c r="B43" s="12" t="str">
        <f aca="false">INDEX(Entities!$B$5:$B$34,MATCH(A43,Entities!$A$5:$A$34,0))</f>
        <v>Arab Bank – Palestine</v>
      </c>
      <c r="C43" s="12" t="str">
        <f aca="false">INDEX(Entities!$D$5:$D$34,MATCH(A43,Entities!$A$5:$A$34,0))</f>
        <v>Levant</v>
      </c>
      <c r="D43" s="12" t="s">
        <v>272</v>
      </c>
      <c r="E43" s="12" t="str">
        <f aca="false">INDEX('Risk Taxonomy'!$B$5:$B$24,MATCH(D43,'Risk Taxonomy'!$A$5:$A$24,0))</f>
        <v>Sanctions</v>
      </c>
      <c r="F43" s="28" t="n">
        <f aca="false">IFERROR(SUMPRODUCT((Indicators!$B$5:$B$35=F$4)*Indicators!$N$5:$N$35*'Indicator Scores'!$I$5:$I$35)/SUMPRODUCT((Indicators!$B$5:$B$35=F$4)*Indicators!$N$5:$N$35*('Indicator Scores'!$I$5:$I$35&gt;0)),0)</f>
        <v>3.42857142857143</v>
      </c>
      <c r="G43" s="28" t="n">
        <f aca="false">IFERROR(SUMPRODUCT((Indicators!$B$5:$B$35=G$4)*Indicators!$N$5:$N$35*'Indicator Scores'!$I$5:$I$35)/SUMPRODUCT((Indicators!$B$5:$B$35=G$4)*Indicators!$N$5:$N$35*('Indicator Scores'!$I$5:$I$35&gt;0)),0)</f>
        <v>4.42857142857143</v>
      </c>
      <c r="H43" s="28" t="n">
        <f aca="false">IFERROR(SUMPRODUCT((Indicators!$B$5:$B$35=H$4)*Indicators!$N$5:$N$35*'Indicator Scores'!$I$5:$I$35)/SUMPRODUCT((Indicators!$B$5:$B$35=H$4)*Indicators!$N$5:$N$35*('Indicator Scores'!$I$5:$I$35&gt;0)),0)</f>
        <v>4.375</v>
      </c>
      <c r="I43" s="28" t="n">
        <f aca="false">IFERROR(SUMPRODUCT((Indicators!$B$5:$B$35=I$4)*Indicators!$N$5:$N$35*'Indicator Scores'!$I$5:$I$35)/SUMPRODUCT((Indicators!$B$5:$B$35=I$4)*Indicators!$N$5:$N$35*('Indicator Scores'!$I$5:$I$35&gt;0)),0)</f>
        <v>3.66666666666667</v>
      </c>
      <c r="J43" s="28" t="n">
        <f aca="false">IFERROR(SUMPRODUCT((Indicators!$B$5:$B$35=J$4)*Indicators!$N$5:$N$35*'Indicator Scores'!$I$5:$I$35)/SUMPRODUCT((Indicators!$B$5:$B$35=J$4)*Indicators!$N$5:$N$35*('Indicator Scores'!$I$5:$I$35&gt;0)),0)</f>
        <v>4</v>
      </c>
      <c r="K43" s="28" t="n">
        <f aca="false">IFERROR(SUMPRODUCT(F43:J43,INDEX('Factor Weights'!$C$5:$G$11,MATCH(D43,'Factor Weights'!$A$5:$A$11,0),0))/SUMPRODUCT((F43:J43&gt;0)*INDEX('Factor Weights'!$C$5:$G$11,MATCH(D43,'Factor Weights'!$A$5:$A$11,0),0)),0)</f>
        <v>4.14404761904762</v>
      </c>
      <c r="L43" s="29" t="n">
        <f aca="false">MAX(F43:J43)</f>
        <v>4.42857142857143</v>
      </c>
      <c r="M43" s="28" t="n">
        <f aca="false">IF(L43&gt;=Config!$C$13,MAX(K43,Config!$C$14),K43)</f>
        <v>4.14404761904762</v>
      </c>
      <c r="N43" s="30" t="n">
        <f aca="false">IF(Config!$C$12="Weighted average",K43,IF(Config!$C$12="Weighted with floor",M43,L43))</f>
        <v>4.14404761904762</v>
      </c>
      <c r="O43" s="31" t="n">
        <f aca="false">IF(N43&lt;Config!$D$5,"",MATCH(N43,Config!$D$5:$D$9,1))</f>
        <v>4</v>
      </c>
      <c r="P43" s="7" t="str">
        <f aca="false">IF(O43="","No data",INDEX(Config!$B$5:$B$9,O43))</f>
        <v>Medium-High</v>
      </c>
      <c r="Q43" s="32" t="n">
        <v>0</v>
      </c>
      <c r="R43" s="8"/>
      <c r="S43" s="33"/>
      <c r="T43" s="34" t="n">
        <f aca="false">IF(O43="","",IF(AND(S43="Y",Q43&lt;&gt;0),MAX(1,MIN(5,O43+MAX(-Config!$C$27,MIN(Config!$C$27,Q43)))),O43))</f>
        <v>4</v>
      </c>
      <c r="U43" s="35" t="str">
        <f aca="false">IF(T43="","No data",INDEX(Config!$B$5:$B$9,T43))</f>
        <v>Medium-High</v>
      </c>
      <c r="V43" s="7" t="str">
        <f aca="false">IF(Q43=0,"None",IF(S43="Y","Applied","Pending HO approval"))</f>
        <v>None</v>
      </c>
      <c r="W43" s="36" t="n">
        <f aca="false">SUMPRODUCT((Indicators!$N$5:$N$35&gt;0)*('Indicator Data'!$I$5:$I$35&lt;&gt;""))/SUMPRODUCT(--(Indicators!$N$5:$N$35&gt;0))</f>
        <v>1</v>
      </c>
    </row>
    <row r="44" customFormat="false" ht="15" hidden="false" customHeight="false" outlineLevel="0" collapsed="false">
      <c r="A44" s="26" t="str">
        <f aca="false">Entities!$A$10</f>
        <v>PS</v>
      </c>
      <c r="B44" s="12" t="str">
        <f aca="false">INDEX(Entities!$B$5:$B$34,MATCH(A44,Entities!$A$5:$A$34,0))</f>
        <v>Arab Bank – Palestine</v>
      </c>
      <c r="C44" s="12" t="str">
        <f aca="false">INDEX(Entities!$D$5:$D$34,MATCH(A44,Entities!$A$5:$A$34,0))</f>
        <v>Levant</v>
      </c>
      <c r="D44" s="12" t="s">
        <v>275</v>
      </c>
      <c r="E44" s="12" t="str">
        <f aca="false">INDEX('Risk Taxonomy'!$B$5:$B$24,MATCH(D44,'Risk Taxonomy'!$A$5:$A$24,0))</f>
        <v>Bribery and corruption</v>
      </c>
      <c r="F44" s="28" t="n">
        <f aca="false">IFERROR(SUMPRODUCT((Indicators!$B$5:$B$35=F$4)*Indicators!$O$5:$O$35*'Indicator Scores'!$I$5:$I$35)/SUMPRODUCT((Indicators!$B$5:$B$35=F$4)*Indicators!$O$5:$O$35*('Indicator Scores'!$I$5:$I$35&gt;0)),0)</f>
        <v>3.66666666666667</v>
      </c>
      <c r="G44" s="28" t="n">
        <f aca="false">IFERROR(SUMPRODUCT((Indicators!$B$5:$B$35=G$4)*Indicators!$O$5:$O$35*'Indicator Scores'!$I$5:$I$35)/SUMPRODUCT((Indicators!$B$5:$B$35=G$4)*Indicators!$O$5:$O$35*('Indicator Scores'!$I$5:$I$35&gt;0)),0)</f>
        <v>4.2</v>
      </c>
      <c r="H44" s="28" t="n">
        <f aca="false">IFERROR(SUMPRODUCT((Indicators!$B$5:$B$35=H$4)*Indicators!$O$5:$O$35*'Indicator Scores'!$I$5:$I$35)/SUMPRODUCT((Indicators!$B$5:$B$35=H$4)*Indicators!$O$5:$O$35*('Indicator Scores'!$I$5:$I$35&gt;0)),0)</f>
        <v>4</v>
      </c>
      <c r="I44" s="28" t="n">
        <f aca="false">IFERROR(SUMPRODUCT((Indicators!$B$5:$B$35=I$4)*Indicators!$O$5:$O$35*'Indicator Scores'!$I$5:$I$35)/SUMPRODUCT((Indicators!$B$5:$B$35=I$4)*Indicators!$O$5:$O$35*('Indicator Scores'!$I$5:$I$35&gt;0)),0)</f>
        <v>4.2</v>
      </c>
      <c r="J44" s="28" t="n">
        <f aca="false">IFERROR(SUMPRODUCT((Indicators!$B$5:$B$35=J$4)*Indicators!$O$5:$O$35*'Indicator Scores'!$I$5:$I$35)/SUMPRODUCT((Indicators!$B$5:$B$35=J$4)*Indicators!$O$5:$O$35*('Indicator Scores'!$I$5:$I$35&gt;0)),0)</f>
        <v>4</v>
      </c>
      <c r="K44" s="28" t="n">
        <f aca="false">IFERROR(SUMPRODUCT(F44:J44,INDEX('Factor Weights'!$C$5:$G$11,MATCH(D44,'Factor Weights'!$A$5:$A$11,0),0))/SUMPRODUCT((F44:J44&gt;0)*INDEX('Factor Weights'!$C$5:$G$11,MATCH(D44,'Factor Weights'!$A$5:$A$11,0),0)),0)</f>
        <v>3.99</v>
      </c>
      <c r="L44" s="29" t="n">
        <f aca="false">MAX(F44:J44)</f>
        <v>4.2</v>
      </c>
      <c r="M44" s="28" t="n">
        <f aca="false">IF(L44&gt;=Config!$C$13,MAX(K44,Config!$C$14),K44)</f>
        <v>3.99</v>
      </c>
      <c r="N44" s="30" t="n">
        <f aca="false">IF(Config!$C$12="Weighted average",K44,IF(Config!$C$12="Weighted with floor",M44,L44))</f>
        <v>3.99</v>
      </c>
      <c r="O44" s="31" t="n">
        <f aca="false">IF(N44&lt;Config!$D$5,"",MATCH(N44,Config!$D$5:$D$9,1))</f>
        <v>4</v>
      </c>
      <c r="P44" s="7" t="str">
        <f aca="false">IF(O44="","No data",INDEX(Config!$B$5:$B$9,O44))</f>
        <v>Medium-High</v>
      </c>
      <c r="Q44" s="32" t="n">
        <v>0</v>
      </c>
      <c r="R44" s="8"/>
      <c r="S44" s="33"/>
      <c r="T44" s="34" t="n">
        <f aca="false">IF(O44="","",IF(AND(S44="Y",Q44&lt;&gt;0),MAX(1,MIN(5,O44+MAX(-Config!$C$27,MIN(Config!$C$27,Q44)))),O44))</f>
        <v>4</v>
      </c>
      <c r="U44" s="35" t="str">
        <f aca="false">IF(T44="","No data",INDEX(Config!$B$5:$B$9,T44))</f>
        <v>Medium-High</v>
      </c>
      <c r="V44" s="7" t="str">
        <f aca="false">IF(Q44=0,"None",IF(S44="Y","Applied","Pending HO approval"))</f>
        <v>None</v>
      </c>
      <c r="W44" s="36" t="n">
        <f aca="false">SUMPRODUCT((Indicators!$O$5:$O$35&gt;0)*('Indicator Data'!$I$5:$I$35&lt;&gt;""))/SUMPRODUCT(--(Indicators!$O$5:$O$35&gt;0))</f>
        <v>1</v>
      </c>
    </row>
    <row r="45" customFormat="false" ht="15" hidden="false" customHeight="false" outlineLevel="0" collapsed="false">
      <c r="A45" s="26" t="str">
        <f aca="false">Entities!$A$10</f>
        <v>PS</v>
      </c>
      <c r="B45" s="12" t="str">
        <f aca="false">INDEX(Entities!$B$5:$B$34,MATCH(A45,Entities!$A$5:$A$34,0))</f>
        <v>Arab Bank – Palestine</v>
      </c>
      <c r="C45" s="12" t="str">
        <f aca="false">INDEX(Entities!$D$5:$D$34,MATCH(A45,Entities!$A$5:$A$34,0))</f>
        <v>Levant</v>
      </c>
      <c r="D45" s="12" t="s">
        <v>278</v>
      </c>
      <c r="E45" s="12" t="str">
        <f aca="false">INDEX('Risk Taxonomy'!$B$5:$B$24,MATCH(D45,'Risk Taxonomy'!$A$5:$A$24,0))</f>
        <v>Fraud</v>
      </c>
      <c r="F45" s="28" t="n">
        <f aca="false">IFERROR(SUMPRODUCT((Indicators!$B$5:$B$35=F$4)*Indicators!$P$5:$P$35*'Indicator Scores'!$I$5:$I$35)/SUMPRODUCT((Indicators!$B$5:$B$35=F$4)*Indicators!$P$5:$P$35*('Indicator Scores'!$I$5:$I$35&gt;0)),0)</f>
        <v>3.33333333333333</v>
      </c>
      <c r="G45" s="28" t="n">
        <f aca="false">IFERROR(SUMPRODUCT((Indicators!$B$5:$B$35=G$4)*Indicators!$P$5:$P$35*'Indicator Scores'!$I$5:$I$35)/SUMPRODUCT((Indicators!$B$5:$B$35=G$4)*Indicators!$P$5:$P$35*('Indicator Scores'!$I$5:$I$35&gt;0)),0)</f>
        <v>3.75</v>
      </c>
      <c r="H45" s="28" t="n">
        <f aca="false">IFERROR(SUMPRODUCT((Indicators!$B$5:$B$35=H$4)*Indicators!$P$5:$P$35*'Indicator Scores'!$I$5:$I$35)/SUMPRODUCT((Indicators!$B$5:$B$35=H$4)*Indicators!$P$5:$P$35*('Indicator Scores'!$I$5:$I$35&gt;0)),0)</f>
        <v>4.4</v>
      </c>
      <c r="I45" s="28" t="n">
        <f aca="false">IFERROR(SUMPRODUCT((Indicators!$B$5:$B$35=I$4)*Indicators!$P$5:$P$35*'Indicator Scores'!$I$5:$I$35)/SUMPRODUCT((Indicators!$B$5:$B$35=I$4)*Indicators!$P$5:$P$35*('Indicator Scores'!$I$5:$I$35&gt;0)),0)</f>
        <v>4.11111111111111</v>
      </c>
      <c r="J45" s="28" t="n">
        <f aca="false">IFERROR(SUMPRODUCT((Indicators!$B$5:$B$35=J$4)*Indicators!$P$5:$P$35*'Indicator Scores'!$I$5:$I$35)/SUMPRODUCT((Indicators!$B$5:$B$35=J$4)*Indicators!$P$5:$P$35*('Indicator Scores'!$I$5:$I$35&gt;0)),0)</f>
        <v>4.6</v>
      </c>
      <c r="K45" s="28" t="n">
        <f aca="false">IFERROR(SUMPRODUCT(F45:J45,INDEX('Factor Weights'!$C$5:$G$11,MATCH(D45,'Factor Weights'!$A$5:$A$11,0),0))/SUMPRODUCT((F45:J45&gt;0)*INDEX('Factor Weights'!$C$5:$G$11,MATCH(D45,'Factor Weights'!$A$5:$A$11,0),0)),0)</f>
        <v>4.075</v>
      </c>
      <c r="L45" s="29" t="n">
        <f aca="false">MAX(F45:J45)</f>
        <v>4.6</v>
      </c>
      <c r="M45" s="28" t="n">
        <f aca="false">IF(L45&gt;=Config!$C$13,MAX(K45,Config!$C$14),K45)</f>
        <v>4.075</v>
      </c>
      <c r="N45" s="30" t="n">
        <f aca="false">IF(Config!$C$12="Weighted average",K45,IF(Config!$C$12="Weighted with floor",M45,L45))</f>
        <v>4.075</v>
      </c>
      <c r="O45" s="31" t="n">
        <f aca="false">IF(N45&lt;Config!$D$5,"",MATCH(N45,Config!$D$5:$D$9,1))</f>
        <v>4</v>
      </c>
      <c r="P45" s="7" t="str">
        <f aca="false">IF(O45="","No data",INDEX(Config!$B$5:$B$9,O45))</f>
        <v>Medium-High</v>
      </c>
      <c r="Q45" s="32" t="n">
        <v>0</v>
      </c>
      <c r="R45" s="8"/>
      <c r="S45" s="33"/>
      <c r="T45" s="34" t="n">
        <f aca="false">IF(O45="","",IF(AND(S45="Y",Q45&lt;&gt;0),MAX(1,MIN(5,O45+MAX(-Config!$C$27,MIN(Config!$C$27,Q45)))),O45))</f>
        <v>4</v>
      </c>
      <c r="U45" s="35" t="str">
        <f aca="false">IF(T45="","No data",INDEX(Config!$B$5:$B$9,T45))</f>
        <v>Medium-High</v>
      </c>
      <c r="V45" s="7" t="str">
        <f aca="false">IF(Q45=0,"None",IF(S45="Y","Applied","Pending HO approval"))</f>
        <v>None</v>
      </c>
      <c r="W45" s="36" t="n">
        <f aca="false">SUMPRODUCT((Indicators!$P$5:$P$35&gt;0)*('Indicator Data'!$I$5:$I$35&lt;&gt;""))/SUMPRODUCT(--(Indicators!$P$5:$P$35&gt;0))</f>
        <v>1</v>
      </c>
    </row>
    <row r="46" customFormat="false" ht="15" hidden="false" customHeight="false" outlineLevel="0" collapsed="false">
      <c r="A46" s="26" t="str">
        <f aca="false">Entities!$A$10</f>
        <v>PS</v>
      </c>
      <c r="B46" s="12" t="str">
        <f aca="false">INDEX(Entities!$B$5:$B$34,MATCH(A46,Entities!$A$5:$A$34,0))</f>
        <v>Arab Bank – Palestine</v>
      </c>
      <c r="C46" s="12" t="str">
        <f aca="false">INDEX(Entities!$D$5:$D$34,MATCH(A46,Entities!$A$5:$A$34,0))</f>
        <v>Levant</v>
      </c>
      <c r="D46" s="12" t="s">
        <v>281</v>
      </c>
      <c r="E46" s="12" t="str">
        <f aca="false">INDEX('Risk Taxonomy'!$B$5:$B$24,MATCH(D46,'Risk Taxonomy'!$A$5:$A$24,0))</f>
        <v>Tax evasion and tax transparency</v>
      </c>
      <c r="F46" s="28" t="n">
        <f aca="false">IFERROR(SUMPRODUCT((Indicators!$B$5:$B$35=F$4)*Indicators!$Q$5:$Q$35*'Indicator Scores'!$I$5:$I$35)/SUMPRODUCT((Indicators!$B$5:$B$35=F$4)*Indicators!$Q$5:$Q$35*('Indicator Scores'!$I$5:$I$35&gt;0)),0)</f>
        <v>3.22222222222222</v>
      </c>
      <c r="G46" s="28" t="n">
        <f aca="false">IFERROR(SUMPRODUCT((Indicators!$B$5:$B$35=G$4)*Indicators!$Q$5:$Q$35*'Indicator Scores'!$I$5:$I$35)/SUMPRODUCT((Indicators!$B$5:$B$35=G$4)*Indicators!$Q$5:$Q$35*('Indicator Scores'!$I$5:$I$35&gt;0)),0)</f>
        <v>4.66666666666667</v>
      </c>
      <c r="H46" s="28" t="n">
        <f aca="false">IFERROR(SUMPRODUCT((Indicators!$B$5:$B$35=H$4)*Indicators!$Q$5:$Q$35*'Indicator Scores'!$I$5:$I$35)/SUMPRODUCT((Indicators!$B$5:$B$35=H$4)*Indicators!$Q$5:$Q$35*('Indicator Scores'!$I$5:$I$35&gt;0)),0)</f>
        <v>4.5</v>
      </c>
      <c r="I46" s="28" t="n">
        <f aca="false">IFERROR(SUMPRODUCT((Indicators!$B$5:$B$35=I$4)*Indicators!$Q$5:$Q$35*'Indicator Scores'!$I$5:$I$35)/SUMPRODUCT((Indicators!$B$5:$B$35=I$4)*Indicators!$Q$5:$Q$35*('Indicator Scores'!$I$5:$I$35&gt;0)),0)</f>
        <v>3.5</v>
      </c>
      <c r="J46" s="28" t="n">
        <f aca="false">IFERROR(SUMPRODUCT((Indicators!$B$5:$B$35=J$4)*Indicators!$Q$5:$Q$35*'Indicator Scores'!$I$5:$I$35)/SUMPRODUCT((Indicators!$B$5:$B$35=J$4)*Indicators!$Q$5:$Q$35*('Indicator Scores'!$I$5:$I$35&gt;0)),0)</f>
        <v>4</v>
      </c>
      <c r="K46" s="28" t="n">
        <f aca="false">IFERROR(SUMPRODUCT(F46:J46,INDEX('Factor Weights'!$C$5:$G$11,MATCH(D46,'Factor Weights'!$A$5:$A$11,0),0))/SUMPRODUCT((F46:J46&gt;0)*INDEX('Factor Weights'!$C$5:$G$11,MATCH(D46,'Factor Weights'!$A$5:$A$11,0),0)),0)</f>
        <v>3.94444444444444</v>
      </c>
      <c r="L46" s="29" t="n">
        <f aca="false">MAX(F46:J46)</f>
        <v>4.66666666666667</v>
      </c>
      <c r="M46" s="28" t="n">
        <f aca="false">IF(L46&gt;=Config!$C$13,MAX(K46,Config!$C$14),K46)</f>
        <v>3.94444444444444</v>
      </c>
      <c r="N46" s="30" t="n">
        <f aca="false">IF(Config!$C$12="Weighted average",K46,IF(Config!$C$12="Weighted with floor",M46,L46))</f>
        <v>3.94444444444444</v>
      </c>
      <c r="O46" s="31" t="n">
        <f aca="false">IF(N46&lt;Config!$D$5,"",MATCH(N46,Config!$D$5:$D$9,1))</f>
        <v>4</v>
      </c>
      <c r="P46" s="7" t="str">
        <f aca="false">IF(O46="","No data",INDEX(Config!$B$5:$B$9,O46))</f>
        <v>Medium-High</v>
      </c>
      <c r="Q46" s="32" t="n">
        <v>0</v>
      </c>
      <c r="R46" s="8"/>
      <c r="S46" s="33"/>
      <c r="T46" s="34" t="n">
        <f aca="false">IF(O46="","",IF(AND(S46="Y",Q46&lt;&gt;0),MAX(1,MIN(5,O46+MAX(-Config!$C$27,MIN(Config!$C$27,Q46)))),O46))</f>
        <v>4</v>
      </c>
      <c r="U46" s="35" t="str">
        <f aca="false">IF(T46="","No data",INDEX(Config!$B$5:$B$9,T46))</f>
        <v>Medium-High</v>
      </c>
      <c r="V46" s="7" t="str">
        <f aca="false">IF(Q46=0,"None",IF(S46="Y","Applied","Pending HO approval"))</f>
        <v>None</v>
      </c>
      <c r="W46" s="36" t="n">
        <f aca="false">SUMPRODUCT((Indicators!$Q$5:$Q$35&gt;0)*('Indicator Data'!$I$5:$I$35&lt;&gt;""))/SUMPRODUCT(--(Indicators!$Q$5:$Q$35&gt;0))</f>
        <v>1</v>
      </c>
    </row>
    <row r="47" customFormat="false" ht="15" hidden="false" customHeight="false" outlineLevel="0" collapsed="false">
      <c r="A47" s="26" t="str">
        <f aca="false">Entities!$A$11</f>
        <v>PS-INV</v>
      </c>
      <c r="B47" s="12" t="str">
        <f aca="false">INDEX(Entities!$B$5:$B$34,MATCH(A47,Entities!$A$5:$A$34,0))</f>
        <v>Al-Arabi Investment Group – Palestine</v>
      </c>
      <c r="C47" s="12" t="str">
        <f aca="false">INDEX(Entities!$D$5:$D$34,MATCH(A47,Entities!$A$5:$A$34,0))</f>
        <v>Levant</v>
      </c>
      <c r="D47" s="12" t="s">
        <v>260</v>
      </c>
      <c r="E47" s="12" t="str">
        <f aca="false">INDEX('Risk Taxonomy'!$B$5:$B$24,MATCH(D47,'Risk Taxonomy'!$A$5:$A$24,0))</f>
        <v>Money laundering</v>
      </c>
      <c r="F47" s="28" t="n">
        <f aca="false">IFERROR(SUMPRODUCT((Indicators!$B$5:$B$35=F$4)*Indicators!$K$5:$K$35*'Indicator Scores'!$J$5:$J$35)/SUMPRODUCT((Indicators!$B$5:$B$35=F$4)*Indicators!$K$5:$K$35*('Indicator Scores'!$J$5:$J$35&gt;0)),0)</f>
        <v>3.66666666666667</v>
      </c>
      <c r="G47" s="28" t="n">
        <f aca="false">IFERROR(SUMPRODUCT((Indicators!$B$5:$B$35=G$4)*Indicators!$K$5:$K$35*'Indicator Scores'!$J$5:$J$35)/SUMPRODUCT((Indicators!$B$5:$B$35=G$4)*Indicators!$K$5:$K$35*('Indicator Scores'!$J$5:$J$35&gt;0)),0)</f>
        <v>4.44444444444445</v>
      </c>
      <c r="H47" s="28" t="n">
        <f aca="false">IFERROR(SUMPRODUCT((Indicators!$B$5:$B$35=H$4)*Indicators!$K$5:$K$35*'Indicator Scores'!$J$5:$J$35)/SUMPRODUCT((Indicators!$B$5:$B$35=H$4)*Indicators!$K$5:$K$35*('Indicator Scores'!$J$5:$J$35&gt;0)),0)</f>
        <v>2.4</v>
      </c>
      <c r="I47" s="28" t="n">
        <f aca="false">IFERROR(SUMPRODUCT((Indicators!$B$5:$B$35=I$4)*Indicators!$K$5:$K$35*'Indicator Scores'!$J$5:$J$35)/SUMPRODUCT((Indicators!$B$5:$B$35=I$4)*Indicators!$K$5:$K$35*('Indicator Scores'!$J$5:$J$35&gt;0)),0)</f>
        <v>3</v>
      </c>
      <c r="J47" s="28" t="n">
        <f aca="false">IFERROR(SUMPRODUCT((Indicators!$B$5:$B$35=J$4)*Indicators!$K$5:$K$35*'Indicator Scores'!$J$5:$J$35)/SUMPRODUCT((Indicators!$B$5:$B$35=J$4)*Indicators!$K$5:$K$35*('Indicator Scores'!$J$5:$J$35&gt;0)),0)</f>
        <v>2.8</v>
      </c>
      <c r="K47" s="28" t="n">
        <f aca="false">IFERROR(SUMPRODUCT(F47:J47,INDEX('Factor Weights'!$C$5:$G$11,MATCH(D47,'Factor Weights'!$A$5:$A$11,0),0))/SUMPRODUCT((F47:J47&gt;0)*INDEX('Factor Weights'!$C$5:$G$11,MATCH(D47,'Factor Weights'!$A$5:$A$11,0),0)),0)</f>
        <v>3.42111111111111</v>
      </c>
      <c r="L47" s="29" t="n">
        <f aca="false">MAX(F47:J47)</f>
        <v>4.44444444444445</v>
      </c>
      <c r="M47" s="28" t="n">
        <f aca="false">IF(L47&gt;=Config!$C$13,MAX(K47,Config!$C$14),K47)</f>
        <v>3.42111111111111</v>
      </c>
      <c r="N47" s="30" t="n">
        <f aca="false">IF(Config!$C$12="Weighted average",K47,IF(Config!$C$12="Weighted with floor",M47,L47))</f>
        <v>3.42111111111111</v>
      </c>
      <c r="O47" s="31" t="n">
        <f aca="false">IF(N47&lt;Config!$D$5,"",MATCH(N47,Config!$D$5:$D$9,1))</f>
        <v>4</v>
      </c>
      <c r="P47" s="7" t="str">
        <f aca="false">IF(O47="","No data",INDEX(Config!$B$5:$B$9,O47))</f>
        <v>Medium-High</v>
      </c>
      <c r="Q47" s="32" t="n">
        <v>0</v>
      </c>
      <c r="R47" s="8"/>
      <c r="S47" s="33"/>
      <c r="T47" s="34" t="n">
        <f aca="false">IF(O47="","",IF(AND(S47="Y",Q47&lt;&gt;0),MAX(1,MIN(5,O47+MAX(-Config!$C$27,MIN(Config!$C$27,Q47)))),O47))</f>
        <v>4</v>
      </c>
      <c r="U47" s="35" t="str">
        <f aca="false">IF(T47="","No data",INDEX(Config!$B$5:$B$9,T47))</f>
        <v>Medium-High</v>
      </c>
      <c r="V47" s="7" t="str">
        <f aca="false">IF(Q47=0,"None",IF(S47="Y","Applied","Pending HO approval"))</f>
        <v>None</v>
      </c>
      <c r="W47" s="36" t="n">
        <f aca="false">SUMPRODUCT((Indicators!$K$5:$K$35&gt;0)*('Indicator Data'!$J$5:$J$35&lt;&gt;""))/SUMPRODUCT(--(Indicators!$K$5:$K$35&gt;0))</f>
        <v>1</v>
      </c>
    </row>
    <row r="48" customFormat="false" ht="15" hidden="false" customHeight="false" outlineLevel="0" collapsed="false">
      <c r="A48" s="26" t="str">
        <f aca="false">Entities!$A$11</f>
        <v>PS-INV</v>
      </c>
      <c r="B48" s="12" t="str">
        <f aca="false">INDEX(Entities!$B$5:$B$34,MATCH(A48,Entities!$A$5:$A$34,0))</f>
        <v>Al-Arabi Investment Group – Palestine</v>
      </c>
      <c r="C48" s="12" t="str">
        <f aca="false">INDEX(Entities!$D$5:$D$34,MATCH(A48,Entities!$A$5:$A$34,0))</f>
        <v>Levant</v>
      </c>
      <c r="D48" s="12" t="s">
        <v>267</v>
      </c>
      <c r="E48" s="12" t="str">
        <f aca="false">INDEX('Risk Taxonomy'!$B$5:$B$24,MATCH(D48,'Risk Taxonomy'!$A$5:$A$24,0))</f>
        <v>Terrorist financing</v>
      </c>
      <c r="F48" s="28" t="n">
        <f aca="false">IFERROR(SUMPRODUCT((Indicators!$B$5:$B$35=F$4)*Indicators!$L$5:$L$35*'Indicator Scores'!$J$5:$J$35)/SUMPRODUCT((Indicators!$B$5:$B$35=F$4)*Indicators!$L$5:$L$35*('Indicator Scores'!$J$5:$J$35&gt;0)),0)</f>
        <v>3</v>
      </c>
      <c r="G48" s="28" t="n">
        <f aca="false">IFERROR(SUMPRODUCT((Indicators!$B$5:$B$35=G$4)*Indicators!$L$5:$L$35*'Indicator Scores'!$J$5:$J$35)/SUMPRODUCT((Indicators!$B$5:$B$35=G$4)*Indicators!$L$5:$L$35*('Indicator Scores'!$J$5:$J$35&gt;0)),0)</f>
        <v>4.55555555555556</v>
      </c>
      <c r="H48" s="28" t="n">
        <f aca="false">IFERROR(SUMPRODUCT((Indicators!$B$5:$B$35=H$4)*Indicators!$L$5:$L$35*'Indicator Scores'!$J$5:$J$35)/SUMPRODUCT((Indicators!$B$5:$B$35=H$4)*Indicators!$L$5:$L$35*('Indicator Scores'!$J$5:$J$35&gt;0)),0)</f>
        <v>1.66666666666667</v>
      </c>
      <c r="I48" s="28" t="n">
        <f aca="false">IFERROR(SUMPRODUCT((Indicators!$B$5:$B$35=I$4)*Indicators!$L$5:$L$35*'Indicator Scores'!$J$5:$J$35)/SUMPRODUCT((Indicators!$B$5:$B$35=I$4)*Indicators!$L$5:$L$35*('Indicator Scores'!$J$5:$J$35&gt;0)),0)</f>
        <v>3</v>
      </c>
      <c r="J48" s="28" t="n">
        <f aca="false">IFERROR(SUMPRODUCT((Indicators!$B$5:$B$35=J$4)*Indicators!$L$5:$L$35*'Indicator Scores'!$J$5:$J$35)/SUMPRODUCT((Indicators!$B$5:$B$35=J$4)*Indicators!$L$5:$L$35*('Indicator Scores'!$J$5:$J$35&gt;0)),0)</f>
        <v>2.71428571428571</v>
      </c>
      <c r="K48" s="28" t="n">
        <f aca="false">IFERROR(SUMPRODUCT(F48:J48,INDEX('Factor Weights'!$C$5:$G$11,MATCH(D48,'Factor Weights'!$A$5:$A$11,0),0))/SUMPRODUCT((F48:J48&gt;0)*INDEX('Factor Weights'!$C$5:$G$11,MATCH(D48,'Factor Weights'!$A$5:$A$11,0),0)),0)</f>
        <v>3.20952380952381</v>
      </c>
      <c r="L48" s="29" t="n">
        <f aca="false">MAX(F48:J48)</f>
        <v>4.55555555555556</v>
      </c>
      <c r="M48" s="28" t="n">
        <f aca="false">IF(L48&gt;=Config!$C$13,MAX(K48,Config!$C$14),K48)</f>
        <v>3.20952380952381</v>
      </c>
      <c r="N48" s="30" t="n">
        <f aca="false">IF(Config!$C$12="Weighted average",K48,IF(Config!$C$12="Weighted with floor",M48,L48))</f>
        <v>3.20952380952381</v>
      </c>
      <c r="O48" s="31" t="n">
        <f aca="false">IF(N48&lt;Config!$D$5,"",MATCH(N48,Config!$D$5:$D$9,1))</f>
        <v>3</v>
      </c>
      <c r="P48" s="7" t="str">
        <f aca="false">IF(O48="","No data",INDEX(Config!$B$5:$B$9,O48))</f>
        <v>Medium</v>
      </c>
      <c r="Q48" s="32" t="n">
        <v>0</v>
      </c>
      <c r="R48" s="8"/>
      <c r="S48" s="33"/>
      <c r="T48" s="34" t="n">
        <f aca="false">IF(O48="","",IF(AND(S48="Y",Q48&lt;&gt;0),MAX(1,MIN(5,O48+MAX(-Config!$C$27,MIN(Config!$C$27,Q48)))),O48))</f>
        <v>3</v>
      </c>
      <c r="U48" s="35" t="str">
        <f aca="false">IF(T48="","No data",INDEX(Config!$B$5:$B$9,T48))</f>
        <v>Medium</v>
      </c>
      <c r="V48" s="7" t="str">
        <f aca="false">IF(Q48=0,"None",IF(S48="Y","Applied","Pending HO approval"))</f>
        <v>None</v>
      </c>
      <c r="W48" s="36" t="n">
        <f aca="false">SUMPRODUCT((Indicators!$L$5:$L$35&gt;0)*('Indicator Data'!$J$5:$J$35&lt;&gt;""))/SUMPRODUCT(--(Indicators!$L$5:$L$35&gt;0))</f>
        <v>1</v>
      </c>
    </row>
    <row r="49" customFormat="false" ht="15" hidden="false" customHeight="false" outlineLevel="0" collapsed="false">
      <c r="A49" s="26" t="str">
        <f aca="false">Entities!$A$11</f>
        <v>PS-INV</v>
      </c>
      <c r="B49" s="12" t="str">
        <f aca="false">INDEX(Entities!$B$5:$B$34,MATCH(A49,Entities!$A$5:$A$34,0))</f>
        <v>Al-Arabi Investment Group – Palestine</v>
      </c>
      <c r="C49" s="12" t="str">
        <f aca="false">INDEX(Entities!$D$5:$D$34,MATCH(A49,Entities!$A$5:$A$34,0))</f>
        <v>Levant</v>
      </c>
      <c r="D49" s="12" t="s">
        <v>270</v>
      </c>
      <c r="E49" s="12" t="str">
        <f aca="false">INDEX('Risk Taxonomy'!$B$5:$B$24,MATCH(D49,'Risk Taxonomy'!$A$5:$A$24,0))</f>
        <v>Proliferation financing</v>
      </c>
      <c r="F49" s="28" t="n">
        <f aca="false">IFERROR(SUMPRODUCT((Indicators!$B$5:$B$35=F$4)*Indicators!$M$5:$M$35*'Indicator Scores'!$J$5:$J$35)/SUMPRODUCT((Indicators!$B$5:$B$35=F$4)*Indicators!$M$5:$M$35*('Indicator Scores'!$J$5:$J$35&gt;0)),0)</f>
        <v>3.25</v>
      </c>
      <c r="G49" s="28" t="n">
        <f aca="false">IFERROR(SUMPRODUCT((Indicators!$B$5:$B$35=G$4)*Indicators!$M$5:$M$35*'Indicator Scores'!$J$5:$J$35)/SUMPRODUCT((Indicators!$B$5:$B$35=G$4)*Indicators!$M$5:$M$35*('Indicator Scores'!$J$5:$J$35&gt;0)),0)</f>
        <v>4.25</v>
      </c>
      <c r="H49" s="28" t="n">
        <f aca="false">IFERROR(SUMPRODUCT((Indicators!$B$5:$B$35=H$4)*Indicators!$M$5:$M$35*'Indicator Scores'!$J$5:$J$35)/SUMPRODUCT((Indicators!$B$5:$B$35=H$4)*Indicators!$M$5:$M$35*('Indicator Scores'!$J$5:$J$35&gt;0)),0)</f>
        <v>1.44444444444444</v>
      </c>
      <c r="I49" s="28" t="n">
        <f aca="false">IFERROR(SUMPRODUCT((Indicators!$B$5:$B$35=I$4)*Indicators!$M$5:$M$35*'Indicator Scores'!$J$5:$J$35)/SUMPRODUCT((Indicators!$B$5:$B$35=I$4)*Indicators!$M$5:$M$35*('Indicator Scores'!$J$5:$J$35&gt;0)),0)</f>
        <v>3</v>
      </c>
      <c r="J49" s="28" t="n">
        <f aca="false">IFERROR(SUMPRODUCT((Indicators!$B$5:$B$35=J$4)*Indicators!$M$5:$M$35*'Indicator Scores'!$J$5:$J$35)/SUMPRODUCT((Indicators!$B$5:$B$35=J$4)*Indicators!$M$5:$M$35*('Indicator Scores'!$J$5:$J$35&gt;0)),0)</f>
        <v>2</v>
      </c>
      <c r="K49" s="28" t="n">
        <f aca="false">IFERROR(SUMPRODUCT(F49:J49,INDEX('Factor Weights'!$C$5:$G$11,MATCH(D49,'Factor Weights'!$A$5:$A$11,0),0))/SUMPRODUCT((F49:J49&gt;0)*INDEX('Factor Weights'!$C$5:$G$11,MATCH(D49,'Factor Weights'!$A$5:$A$11,0),0)),0)</f>
        <v>2.74583333333333</v>
      </c>
      <c r="L49" s="29" t="n">
        <f aca="false">MAX(F49:J49)</f>
        <v>4.25</v>
      </c>
      <c r="M49" s="28" t="n">
        <f aca="false">IF(L49&gt;=Config!$C$13,MAX(K49,Config!$C$14),K49)</f>
        <v>2.74583333333333</v>
      </c>
      <c r="N49" s="30" t="n">
        <f aca="false">IF(Config!$C$12="Weighted average",K49,IF(Config!$C$12="Weighted with floor",M49,L49))</f>
        <v>2.74583333333333</v>
      </c>
      <c r="O49" s="31" t="n">
        <f aca="false">IF(N49&lt;Config!$D$5,"",MATCH(N49,Config!$D$5:$D$9,1))</f>
        <v>3</v>
      </c>
      <c r="P49" s="7" t="str">
        <f aca="false">IF(O49="","No data",INDEX(Config!$B$5:$B$9,O49))</f>
        <v>Medium</v>
      </c>
      <c r="Q49" s="32" t="n">
        <v>0</v>
      </c>
      <c r="R49" s="8"/>
      <c r="S49" s="33"/>
      <c r="T49" s="34" t="n">
        <f aca="false">IF(O49="","",IF(AND(S49="Y",Q49&lt;&gt;0),MAX(1,MIN(5,O49+MAX(-Config!$C$27,MIN(Config!$C$27,Q49)))),O49))</f>
        <v>3</v>
      </c>
      <c r="U49" s="35" t="str">
        <f aca="false">IF(T49="","No data",INDEX(Config!$B$5:$B$9,T49))</f>
        <v>Medium</v>
      </c>
      <c r="V49" s="7" t="str">
        <f aca="false">IF(Q49=0,"None",IF(S49="Y","Applied","Pending HO approval"))</f>
        <v>None</v>
      </c>
      <c r="W49" s="36" t="n">
        <f aca="false">SUMPRODUCT((Indicators!$M$5:$M$35&gt;0)*('Indicator Data'!$J$5:$J$35&lt;&gt;""))/SUMPRODUCT(--(Indicators!$M$5:$M$35&gt;0))</f>
        <v>1</v>
      </c>
    </row>
    <row r="50" customFormat="false" ht="15" hidden="false" customHeight="false" outlineLevel="0" collapsed="false">
      <c r="A50" s="26" t="str">
        <f aca="false">Entities!$A$11</f>
        <v>PS-INV</v>
      </c>
      <c r="B50" s="12" t="str">
        <f aca="false">INDEX(Entities!$B$5:$B$34,MATCH(A50,Entities!$A$5:$A$34,0))</f>
        <v>Al-Arabi Investment Group – Palestine</v>
      </c>
      <c r="C50" s="12" t="str">
        <f aca="false">INDEX(Entities!$D$5:$D$34,MATCH(A50,Entities!$A$5:$A$34,0))</f>
        <v>Levant</v>
      </c>
      <c r="D50" s="12" t="s">
        <v>272</v>
      </c>
      <c r="E50" s="12" t="str">
        <f aca="false">INDEX('Risk Taxonomy'!$B$5:$B$24,MATCH(D50,'Risk Taxonomy'!$A$5:$A$24,0))</f>
        <v>Sanctions</v>
      </c>
      <c r="F50" s="28" t="n">
        <f aca="false">IFERROR(SUMPRODUCT((Indicators!$B$5:$B$35=F$4)*Indicators!$N$5:$N$35*'Indicator Scores'!$J$5:$J$35)/SUMPRODUCT((Indicators!$B$5:$B$35=F$4)*Indicators!$N$5:$N$35*('Indicator Scores'!$J$5:$J$35&gt;0)),0)</f>
        <v>3.57142857142857</v>
      </c>
      <c r="G50" s="28" t="n">
        <f aca="false">IFERROR(SUMPRODUCT((Indicators!$B$5:$B$35=G$4)*Indicators!$N$5:$N$35*'Indicator Scores'!$J$5:$J$35)/SUMPRODUCT((Indicators!$B$5:$B$35=G$4)*Indicators!$N$5:$N$35*('Indicator Scores'!$J$5:$J$35&gt;0)),0)</f>
        <v>4.28571428571429</v>
      </c>
      <c r="H50" s="28" t="n">
        <f aca="false">IFERROR(SUMPRODUCT((Indicators!$B$5:$B$35=H$4)*Indicators!$N$5:$N$35*'Indicator Scores'!$J$5:$J$35)/SUMPRODUCT((Indicators!$B$5:$B$35=H$4)*Indicators!$N$5:$N$35*('Indicator Scores'!$J$5:$J$35&gt;0)),0)</f>
        <v>1.875</v>
      </c>
      <c r="I50" s="28" t="n">
        <f aca="false">IFERROR(SUMPRODUCT((Indicators!$B$5:$B$35=I$4)*Indicators!$N$5:$N$35*'Indicator Scores'!$J$5:$J$35)/SUMPRODUCT((Indicators!$B$5:$B$35=I$4)*Indicators!$N$5:$N$35*('Indicator Scores'!$J$5:$J$35&gt;0)),0)</f>
        <v>4</v>
      </c>
      <c r="J50" s="28" t="n">
        <f aca="false">IFERROR(SUMPRODUCT((Indicators!$B$5:$B$35=J$4)*Indicators!$N$5:$N$35*'Indicator Scores'!$J$5:$J$35)/SUMPRODUCT((Indicators!$B$5:$B$35=J$4)*Indicators!$N$5:$N$35*('Indicator Scores'!$J$5:$J$35&gt;0)),0)</f>
        <v>1.8</v>
      </c>
      <c r="K50" s="28" t="n">
        <f aca="false">IFERROR(SUMPRODUCT(F50:J50,INDEX('Factor Weights'!$C$5:$G$11,MATCH(D50,'Factor Weights'!$A$5:$A$11,0),0))/SUMPRODUCT((F50:J50&gt;0)*INDEX('Factor Weights'!$C$5:$G$11,MATCH(D50,'Factor Weights'!$A$5:$A$11,0),0)),0)</f>
        <v>3.185</v>
      </c>
      <c r="L50" s="29" t="n">
        <f aca="false">MAX(F50:J50)</f>
        <v>4.28571428571429</v>
      </c>
      <c r="M50" s="28" t="n">
        <f aca="false">IF(L50&gt;=Config!$C$13,MAX(K50,Config!$C$14),K50)</f>
        <v>3.185</v>
      </c>
      <c r="N50" s="30" t="n">
        <f aca="false">IF(Config!$C$12="Weighted average",K50,IF(Config!$C$12="Weighted with floor",M50,L50))</f>
        <v>3.185</v>
      </c>
      <c r="O50" s="31" t="n">
        <f aca="false">IF(N50&lt;Config!$D$5,"",MATCH(N50,Config!$D$5:$D$9,1))</f>
        <v>3</v>
      </c>
      <c r="P50" s="7" t="str">
        <f aca="false">IF(O50="","No data",INDEX(Config!$B$5:$B$9,O50))</f>
        <v>Medium</v>
      </c>
      <c r="Q50" s="32" t="n">
        <v>0</v>
      </c>
      <c r="R50" s="8"/>
      <c r="S50" s="33"/>
      <c r="T50" s="34" t="n">
        <f aca="false">IF(O50="","",IF(AND(S50="Y",Q50&lt;&gt;0),MAX(1,MIN(5,O50+MAX(-Config!$C$27,MIN(Config!$C$27,Q50)))),O50))</f>
        <v>3</v>
      </c>
      <c r="U50" s="35" t="str">
        <f aca="false">IF(T50="","No data",INDEX(Config!$B$5:$B$9,T50))</f>
        <v>Medium</v>
      </c>
      <c r="V50" s="7" t="str">
        <f aca="false">IF(Q50=0,"None",IF(S50="Y","Applied","Pending HO approval"))</f>
        <v>None</v>
      </c>
      <c r="W50" s="36" t="n">
        <f aca="false">SUMPRODUCT((Indicators!$N$5:$N$35&gt;0)*('Indicator Data'!$J$5:$J$35&lt;&gt;""))/SUMPRODUCT(--(Indicators!$N$5:$N$35&gt;0))</f>
        <v>1</v>
      </c>
    </row>
    <row r="51" customFormat="false" ht="15" hidden="false" customHeight="false" outlineLevel="0" collapsed="false">
      <c r="A51" s="26" t="str">
        <f aca="false">Entities!$A$11</f>
        <v>PS-INV</v>
      </c>
      <c r="B51" s="12" t="str">
        <f aca="false">INDEX(Entities!$B$5:$B$34,MATCH(A51,Entities!$A$5:$A$34,0))</f>
        <v>Al-Arabi Investment Group – Palestine</v>
      </c>
      <c r="C51" s="12" t="str">
        <f aca="false">INDEX(Entities!$D$5:$D$34,MATCH(A51,Entities!$A$5:$A$34,0))</f>
        <v>Levant</v>
      </c>
      <c r="D51" s="12" t="s">
        <v>275</v>
      </c>
      <c r="E51" s="12" t="str">
        <f aca="false">INDEX('Risk Taxonomy'!$B$5:$B$24,MATCH(D51,'Risk Taxonomy'!$A$5:$A$24,0))</f>
        <v>Bribery and corruption</v>
      </c>
      <c r="F51" s="28" t="n">
        <f aca="false">IFERROR(SUMPRODUCT((Indicators!$B$5:$B$35=F$4)*Indicators!$O$5:$O$35*'Indicator Scores'!$J$5:$J$35)/SUMPRODUCT((Indicators!$B$5:$B$35=F$4)*Indicators!$O$5:$O$35*('Indicator Scores'!$J$5:$J$35&gt;0)),0)</f>
        <v>3.44444444444444</v>
      </c>
      <c r="G51" s="28" t="n">
        <f aca="false">IFERROR(SUMPRODUCT((Indicators!$B$5:$B$35=G$4)*Indicators!$O$5:$O$35*'Indicator Scores'!$J$5:$J$35)/SUMPRODUCT((Indicators!$B$5:$B$35=G$4)*Indicators!$O$5:$O$35*('Indicator Scores'!$J$5:$J$35&gt;0)),0)</f>
        <v>4.2</v>
      </c>
      <c r="H51" s="28" t="n">
        <f aca="false">IFERROR(SUMPRODUCT((Indicators!$B$5:$B$35=H$4)*Indicators!$O$5:$O$35*'Indicator Scores'!$J$5:$J$35)/SUMPRODUCT((Indicators!$B$5:$B$35=H$4)*Indicators!$O$5:$O$35*('Indicator Scores'!$J$5:$J$35&gt;0)),0)</f>
        <v>2.5</v>
      </c>
      <c r="I51" s="28" t="n">
        <f aca="false">IFERROR(SUMPRODUCT((Indicators!$B$5:$B$35=I$4)*Indicators!$O$5:$O$35*'Indicator Scores'!$J$5:$J$35)/SUMPRODUCT((Indicators!$B$5:$B$35=I$4)*Indicators!$O$5:$O$35*('Indicator Scores'!$J$5:$J$35&gt;0)),0)</f>
        <v>3.8</v>
      </c>
      <c r="J51" s="28" t="n">
        <f aca="false">IFERROR(SUMPRODUCT((Indicators!$B$5:$B$35=J$4)*Indicators!$O$5:$O$35*'Indicator Scores'!$J$5:$J$35)/SUMPRODUCT((Indicators!$B$5:$B$35=J$4)*Indicators!$O$5:$O$35*('Indicator Scores'!$J$5:$J$35&gt;0)),0)</f>
        <v>3</v>
      </c>
      <c r="K51" s="28" t="n">
        <f aca="false">IFERROR(SUMPRODUCT(F51:J51,INDEX('Factor Weights'!$C$5:$G$11,MATCH(D51,'Factor Weights'!$A$5:$A$11,0),0))/SUMPRODUCT((F51:J51&gt;0)*INDEX('Factor Weights'!$C$5:$G$11,MATCH(D51,'Factor Weights'!$A$5:$A$11,0),0)),0)</f>
        <v>3.51833333333333</v>
      </c>
      <c r="L51" s="29" t="n">
        <f aca="false">MAX(F51:J51)</f>
        <v>4.2</v>
      </c>
      <c r="M51" s="28" t="n">
        <f aca="false">IF(L51&gt;=Config!$C$13,MAX(K51,Config!$C$14),K51)</f>
        <v>3.51833333333333</v>
      </c>
      <c r="N51" s="30" t="n">
        <f aca="false">IF(Config!$C$12="Weighted average",K51,IF(Config!$C$12="Weighted with floor",M51,L51))</f>
        <v>3.51833333333333</v>
      </c>
      <c r="O51" s="31" t="n">
        <f aca="false">IF(N51&lt;Config!$D$5,"",MATCH(N51,Config!$D$5:$D$9,1))</f>
        <v>4</v>
      </c>
      <c r="P51" s="7" t="str">
        <f aca="false">IF(O51="","No data",INDEX(Config!$B$5:$B$9,O51))</f>
        <v>Medium-High</v>
      </c>
      <c r="Q51" s="32" t="n">
        <v>0</v>
      </c>
      <c r="R51" s="8"/>
      <c r="S51" s="33"/>
      <c r="T51" s="34" t="n">
        <f aca="false">IF(O51="","",IF(AND(S51="Y",Q51&lt;&gt;0),MAX(1,MIN(5,O51+MAX(-Config!$C$27,MIN(Config!$C$27,Q51)))),O51))</f>
        <v>4</v>
      </c>
      <c r="U51" s="35" t="str">
        <f aca="false">IF(T51="","No data",INDEX(Config!$B$5:$B$9,T51))</f>
        <v>Medium-High</v>
      </c>
      <c r="V51" s="7" t="str">
        <f aca="false">IF(Q51=0,"None",IF(S51="Y","Applied","Pending HO approval"))</f>
        <v>None</v>
      </c>
      <c r="W51" s="36" t="n">
        <f aca="false">SUMPRODUCT((Indicators!$O$5:$O$35&gt;0)*('Indicator Data'!$J$5:$J$35&lt;&gt;""))/SUMPRODUCT(--(Indicators!$O$5:$O$35&gt;0))</f>
        <v>1</v>
      </c>
    </row>
    <row r="52" customFormat="false" ht="15" hidden="false" customHeight="false" outlineLevel="0" collapsed="false">
      <c r="A52" s="26" t="str">
        <f aca="false">Entities!$A$11</f>
        <v>PS-INV</v>
      </c>
      <c r="B52" s="12" t="str">
        <f aca="false">INDEX(Entities!$B$5:$B$34,MATCH(A52,Entities!$A$5:$A$34,0))</f>
        <v>Al-Arabi Investment Group – Palestine</v>
      </c>
      <c r="C52" s="12" t="str">
        <f aca="false">INDEX(Entities!$D$5:$D$34,MATCH(A52,Entities!$A$5:$A$34,0))</f>
        <v>Levant</v>
      </c>
      <c r="D52" s="12" t="s">
        <v>278</v>
      </c>
      <c r="E52" s="12" t="str">
        <f aca="false">INDEX('Risk Taxonomy'!$B$5:$B$24,MATCH(D52,'Risk Taxonomy'!$A$5:$A$24,0))</f>
        <v>Fraud</v>
      </c>
      <c r="F52" s="28" t="n">
        <f aca="false">IFERROR(SUMPRODUCT((Indicators!$B$5:$B$35=F$4)*Indicators!$P$5:$P$35*'Indicator Scores'!$J$5:$J$35)/SUMPRODUCT((Indicators!$B$5:$B$35=F$4)*Indicators!$P$5:$P$35*('Indicator Scores'!$J$5:$J$35&gt;0)),0)</f>
        <v>4</v>
      </c>
      <c r="G52" s="28" t="n">
        <f aca="false">IFERROR(SUMPRODUCT((Indicators!$B$5:$B$35=G$4)*Indicators!$P$5:$P$35*'Indicator Scores'!$J$5:$J$35)/SUMPRODUCT((Indicators!$B$5:$B$35=G$4)*Indicators!$P$5:$P$35*('Indicator Scores'!$J$5:$J$35&gt;0)),0)</f>
        <v>4.5</v>
      </c>
      <c r="H52" s="28" t="n">
        <f aca="false">IFERROR(SUMPRODUCT((Indicators!$B$5:$B$35=H$4)*Indicators!$P$5:$P$35*'Indicator Scores'!$J$5:$J$35)/SUMPRODUCT((Indicators!$B$5:$B$35=H$4)*Indicators!$P$5:$P$35*('Indicator Scores'!$J$5:$J$35&gt;0)),0)</f>
        <v>2.6</v>
      </c>
      <c r="I52" s="28" t="n">
        <f aca="false">IFERROR(SUMPRODUCT((Indicators!$B$5:$B$35=I$4)*Indicators!$P$5:$P$35*'Indicator Scores'!$J$5:$J$35)/SUMPRODUCT((Indicators!$B$5:$B$35=I$4)*Indicators!$P$5:$P$35*('Indicator Scores'!$J$5:$J$35&gt;0)),0)</f>
        <v>3.11111111111111</v>
      </c>
      <c r="J52" s="28" t="n">
        <f aca="false">IFERROR(SUMPRODUCT((Indicators!$B$5:$B$35=J$4)*Indicators!$P$5:$P$35*'Indicator Scores'!$J$5:$J$35)/SUMPRODUCT((Indicators!$B$5:$B$35=J$4)*Indicators!$P$5:$P$35*('Indicator Scores'!$J$5:$J$35&gt;0)),0)</f>
        <v>3.2</v>
      </c>
      <c r="K52" s="28" t="n">
        <f aca="false">IFERROR(SUMPRODUCT(F52:J52,INDEX('Factor Weights'!$C$5:$G$11,MATCH(D52,'Factor Weights'!$A$5:$A$11,0),0))/SUMPRODUCT((F52:J52&gt;0)*INDEX('Factor Weights'!$C$5:$G$11,MATCH(D52,'Factor Weights'!$A$5:$A$11,0),0)),0)</f>
        <v>3.34333333333333</v>
      </c>
      <c r="L52" s="29" t="n">
        <f aca="false">MAX(F52:J52)</f>
        <v>4.5</v>
      </c>
      <c r="M52" s="28" t="n">
        <f aca="false">IF(L52&gt;=Config!$C$13,MAX(K52,Config!$C$14),K52)</f>
        <v>3.34333333333333</v>
      </c>
      <c r="N52" s="30" t="n">
        <f aca="false">IF(Config!$C$12="Weighted average",K52,IF(Config!$C$12="Weighted with floor",M52,L52))</f>
        <v>3.34333333333333</v>
      </c>
      <c r="O52" s="31" t="n">
        <f aca="false">IF(N52&lt;Config!$D$5,"",MATCH(N52,Config!$D$5:$D$9,1))</f>
        <v>3</v>
      </c>
      <c r="P52" s="7" t="str">
        <f aca="false">IF(O52="","No data",INDEX(Config!$B$5:$B$9,O52))</f>
        <v>Medium</v>
      </c>
      <c r="Q52" s="32" t="n">
        <v>0</v>
      </c>
      <c r="R52" s="8"/>
      <c r="S52" s="33"/>
      <c r="T52" s="34" t="n">
        <f aca="false">IF(O52="","",IF(AND(S52="Y",Q52&lt;&gt;0),MAX(1,MIN(5,O52+MAX(-Config!$C$27,MIN(Config!$C$27,Q52)))),O52))</f>
        <v>3</v>
      </c>
      <c r="U52" s="35" t="str">
        <f aca="false">IF(T52="","No data",INDEX(Config!$B$5:$B$9,T52))</f>
        <v>Medium</v>
      </c>
      <c r="V52" s="7" t="str">
        <f aca="false">IF(Q52=0,"None",IF(S52="Y","Applied","Pending HO approval"))</f>
        <v>None</v>
      </c>
      <c r="W52" s="36" t="n">
        <f aca="false">SUMPRODUCT((Indicators!$P$5:$P$35&gt;0)*('Indicator Data'!$J$5:$J$35&lt;&gt;""))/SUMPRODUCT(--(Indicators!$P$5:$P$35&gt;0))</f>
        <v>1</v>
      </c>
    </row>
    <row r="53" customFormat="false" ht="15" hidden="false" customHeight="false" outlineLevel="0" collapsed="false">
      <c r="A53" s="26" t="str">
        <f aca="false">Entities!$A$11</f>
        <v>PS-INV</v>
      </c>
      <c r="B53" s="12" t="str">
        <f aca="false">INDEX(Entities!$B$5:$B$34,MATCH(A53,Entities!$A$5:$A$34,0))</f>
        <v>Al-Arabi Investment Group – Palestine</v>
      </c>
      <c r="C53" s="12" t="str">
        <f aca="false">INDEX(Entities!$D$5:$D$34,MATCH(A53,Entities!$A$5:$A$34,0))</f>
        <v>Levant</v>
      </c>
      <c r="D53" s="12" t="s">
        <v>281</v>
      </c>
      <c r="E53" s="12" t="str">
        <f aca="false">INDEX('Risk Taxonomy'!$B$5:$B$24,MATCH(D53,'Risk Taxonomy'!$A$5:$A$24,0))</f>
        <v>Tax evasion and tax transparency</v>
      </c>
      <c r="F53" s="28" t="n">
        <f aca="false">IFERROR(SUMPRODUCT((Indicators!$B$5:$B$35=F$4)*Indicators!$Q$5:$Q$35*'Indicator Scores'!$J$5:$J$35)/SUMPRODUCT((Indicators!$B$5:$B$35=F$4)*Indicators!$Q$5:$Q$35*('Indicator Scores'!$J$5:$J$35&gt;0)),0)</f>
        <v>3.77777777777778</v>
      </c>
      <c r="G53" s="28" t="n">
        <f aca="false">IFERROR(SUMPRODUCT((Indicators!$B$5:$B$35=G$4)*Indicators!$Q$5:$Q$35*'Indicator Scores'!$J$5:$J$35)/SUMPRODUCT((Indicators!$B$5:$B$35=G$4)*Indicators!$Q$5:$Q$35*('Indicator Scores'!$J$5:$J$35&gt;0)),0)</f>
        <v>4.66666666666667</v>
      </c>
      <c r="H53" s="28" t="n">
        <f aca="false">IFERROR(SUMPRODUCT((Indicators!$B$5:$B$35=H$4)*Indicators!$Q$5:$Q$35*'Indicator Scores'!$J$5:$J$35)/SUMPRODUCT((Indicators!$B$5:$B$35=H$4)*Indicators!$Q$5:$Q$35*('Indicator Scores'!$J$5:$J$35&gt;0)),0)</f>
        <v>3.83333333333333</v>
      </c>
      <c r="I53" s="28" t="n">
        <f aca="false">IFERROR(SUMPRODUCT((Indicators!$B$5:$B$35=I$4)*Indicators!$Q$5:$Q$35*'Indicator Scores'!$J$5:$J$35)/SUMPRODUCT((Indicators!$B$5:$B$35=I$4)*Indicators!$Q$5:$Q$35*('Indicator Scores'!$J$5:$J$35&gt;0)),0)</f>
        <v>2.5</v>
      </c>
      <c r="J53" s="28" t="n">
        <f aca="false">IFERROR(SUMPRODUCT((Indicators!$B$5:$B$35=J$4)*Indicators!$Q$5:$Q$35*'Indicator Scores'!$J$5:$J$35)/SUMPRODUCT((Indicators!$B$5:$B$35=J$4)*Indicators!$Q$5:$Q$35*('Indicator Scores'!$J$5:$J$35&gt;0)),0)</f>
        <v>3.8</v>
      </c>
      <c r="K53" s="28" t="n">
        <f aca="false">IFERROR(SUMPRODUCT(F53:J53,INDEX('Factor Weights'!$C$5:$G$11,MATCH(D53,'Factor Weights'!$A$5:$A$11,0),0))/SUMPRODUCT((F53:J53&gt;0)*INDEX('Factor Weights'!$C$5:$G$11,MATCH(D53,'Factor Weights'!$A$5:$A$11,0),0)),0)</f>
        <v>3.88555555555556</v>
      </c>
      <c r="L53" s="29" t="n">
        <f aca="false">MAX(F53:J53)</f>
        <v>4.66666666666667</v>
      </c>
      <c r="M53" s="28" t="n">
        <f aca="false">IF(L53&gt;=Config!$C$13,MAX(K53,Config!$C$14),K53)</f>
        <v>3.88555555555556</v>
      </c>
      <c r="N53" s="30" t="n">
        <f aca="false">IF(Config!$C$12="Weighted average",K53,IF(Config!$C$12="Weighted with floor",M53,L53))</f>
        <v>3.88555555555556</v>
      </c>
      <c r="O53" s="31" t="n">
        <f aca="false">IF(N53&lt;Config!$D$5,"",MATCH(N53,Config!$D$5:$D$9,1))</f>
        <v>4</v>
      </c>
      <c r="P53" s="7" t="str">
        <f aca="false">IF(O53="","No data",INDEX(Config!$B$5:$B$9,O53))</f>
        <v>Medium-High</v>
      </c>
      <c r="Q53" s="32" t="n">
        <v>0</v>
      </c>
      <c r="R53" s="8"/>
      <c r="S53" s="33"/>
      <c r="T53" s="34" t="n">
        <f aca="false">IF(O53="","",IF(AND(S53="Y",Q53&lt;&gt;0),MAX(1,MIN(5,O53+MAX(-Config!$C$27,MIN(Config!$C$27,Q53)))),O53))</f>
        <v>4</v>
      </c>
      <c r="U53" s="35" t="str">
        <f aca="false">IF(T53="","No data",INDEX(Config!$B$5:$B$9,T53))</f>
        <v>Medium-High</v>
      </c>
      <c r="V53" s="7" t="str">
        <f aca="false">IF(Q53=0,"None",IF(S53="Y","Applied","Pending HO approval"))</f>
        <v>None</v>
      </c>
      <c r="W53" s="36" t="n">
        <f aca="false">SUMPRODUCT((Indicators!$Q$5:$Q$35&gt;0)*('Indicator Data'!$J$5:$J$35&lt;&gt;""))/SUMPRODUCT(--(Indicators!$Q$5:$Q$35&gt;0))</f>
        <v>1</v>
      </c>
    </row>
    <row r="54" customFormat="false" ht="15" hidden="false" customHeight="false" outlineLevel="0" collapsed="false">
      <c r="A54" s="26" t="str">
        <f aca="false">Entities!$A$12</f>
        <v>LB</v>
      </c>
      <c r="B54" s="12" t="str">
        <f aca="false">INDEX(Entities!$B$5:$B$34,MATCH(A54,Entities!$A$5:$A$34,0))</f>
        <v>Arab Bank – Lebanon</v>
      </c>
      <c r="C54" s="12" t="str">
        <f aca="false">INDEX(Entities!$D$5:$D$34,MATCH(A54,Entities!$A$5:$A$34,0))</f>
        <v>Levant</v>
      </c>
      <c r="D54" s="12" t="s">
        <v>260</v>
      </c>
      <c r="E54" s="12" t="str">
        <f aca="false">INDEX('Risk Taxonomy'!$B$5:$B$24,MATCH(D54,'Risk Taxonomy'!$A$5:$A$24,0))</f>
        <v>Money laundering</v>
      </c>
      <c r="F54" s="28" t="n">
        <f aca="false">IFERROR(SUMPRODUCT((Indicators!$B$5:$B$35=F$4)*Indicators!$K$5:$K$35*'Indicator Scores'!$K$5:$K$35)/SUMPRODUCT((Indicators!$B$5:$B$35=F$4)*Indicators!$K$5:$K$35*('Indicator Scores'!$K$5:$K$35&gt;0)),0)</f>
        <v>3.66666666666667</v>
      </c>
      <c r="G54" s="28" t="n">
        <f aca="false">IFERROR(SUMPRODUCT((Indicators!$B$5:$B$35=G$4)*Indicators!$K$5:$K$35*'Indicator Scores'!$K$5:$K$35)/SUMPRODUCT((Indicators!$B$5:$B$35=G$4)*Indicators!$K$5:$K$35*('Indicator Scores'!$K$5:$K$35&gt;0)),0)</f>
        <v>3.88888888888889</v>
      </c>
      <c r="H54" s="28" t="n">
        <f aca="false">IFERROR(SUMPRODUCT((Indicators!$B$5:$B$35=H$4)*Indicators!$K$5:$K$35*'Indicator Scores'!$K$5:$K$35)/SUMPRODUCT((Indicators!$B$5:$B$35=H$4)*Indicators!$K$5:$K$35*('Indicator Scores'!$K$5:$K$35&gt;0)),0)</f>
        <v>3.4</v>
      </c>
      <c r="I54" s="28" t="n">
        <f aca="false">IFERROR(SUMPRODUCT((Indicators!$B$5:$B$35=I$4)*Indicators!$K$5:$K$35*'Indicator Scores'!$K$5:$K$35)/SUMPRODUCT((Indicators!$B$5:$B$35=I$4)*Indicators!$K$5:$K$35*('Indicator Scores'!$K$5:$K$35&gt;0)),0)</f>
        <v>4.28571428571429</v>
      </c>
      <c r="J54" s="28" t="n">
        <f aca="false">IFERROR(SUMPRODUCT((Indicators!$B$5:$B$35=J$4)*Indicators!$K$5:$K$35*'Indicator Scores'!$K$5:$K$35)/SUMPRODUCT((Indicators!$B$5:$B$35=J$4)*Indicators!$K$5:$K$35*('Indicator Scores'!$K$5:$K$35&gt;0)),0)</f>
        <v>3.9</v>
      </c>
      <c r="K54" s="28" t="n">
        <f aca="false">IFERROR(SUMPRODUCT(F54:J54,INDEX('Factor Weights'!$C$5:$G$11,MATCH(D54,'Factor Weights'!$A$5:$A$11,0),0))/SUMPRODUCT((F54:J54&gt;0)*INDEX('Factor Weights'!$C$5:$G$11,MATCH(D54,'Factor Weights'!$A$5:$A$11,0),0)),0)</f>
        <v>3.78507936507937</v>
      </c>
      <c r="L54" s="29" t="n">
        <f aca="false">MAX(F54:J54)</f>
        <v>4.28571428571429</v>
      </c>
      <c r="M54" s="28" t="n">
        <f aca="false">IF(L54&gt;=Config!$C$13,MAX(K54,Config!$C$14),K54)</f>
        <v>3.78507936507937</v>
      </c>
      <c r="N54" s="30" t="n">
        <f aca="false">IF(Config!$C$12="Weighted average",K54,IF(Config!$C$12="Weighted with floor",M54,L54))</f>
        <v>3.78507936507937</v>
      </c>
      <c r="O54" s="31" t="n">
        <f aca="false">IF(N54&lt;Config!$D$5,"",MATCH(N54,Config!$D$5:$D$9,1))</f>
        <v>4</v>
      </c>
      <c r="P54" s="7" t="str">
        <f aca="false">IF(O54="","No data",INDEX(Config!$B$5:$B$9,O54))</f>
        <v>Medium-High</v>
      </c>
      <c r="Q54" s="32" t="n">
        <v>0</v>
      </c>
      <c r="R54" s="8"/>
      <c r="S54" s="33"/>
      <c r="T54" s="34" t="n">
        <f aca="false">IF(O54="","",IF(AND(S54="Y",Q54&lt;&gt;0),MAX(1,MIN(5,O54+MAX(-Config!$C$27,MIN(Config!$C$27,Q54)))),O54))</f>
        <v>4</v>
      </c>
      <c r="U54" s="35" t="str">
        <f aca="false">IF(T54="","No data",INDEX(Config!$B$5:$B$9,T54))</f>
        <v>Medium-High</v>
      </c>
      <c r="V54" s="7" t="str">
        <f aca="false">IF(Q54=0,"None",IF(S54="Y","Applied","Pending HO approval"))</f>
        <v>None</v>
      </c>
      <c r="W54" s="36" t="n">
        <f aca="false">SUMPRODUCT((Indicators!$K$5:$K$35&gt;0)*('Indicator Data'!$K$5:$K$35&lt;&gt;""))/SUMPRODUCT(--(Indicators!$K$5:$K$35&gt;0))</f>
        <v>1</v>
      </c>
    </row>
    <row r="55" customFormat="false" ht="15" hidden="false" customHeight="false" outlineLevel="0" collapsed="false">
      <c r="A55" s="26" t="str">
        <f aca="false">Entities!$A$12</f>
        <v>LB</v>
      </c>
      <c r="B55" s="12" t="str">
        <f aca="false">INDEX(Entities!$B$5:$B$34,MATCH(A55,Entities!$A$5:$A$34,0))</f>
        <v>Arab Bank – Lebanon</v>
      </c>
      <c r="C55" s="12" t="str">
        <f aca="false">INDEX(Entities!$D$5:$D$34,MATCH(A55,Entities!$A$5:$A$34,0))</f>
        <v>Levant</v>
      </c>
      <c r="D55" s="12" t="s">
        <v>267</v>
      </c>
      <c r="E55" s="12" t="str">
        <f aca="false">INDEX('Risk Taxonomy'!$B$5:$B$24,MATCH(D55,'Risk Taxonomy'!$A$5:$A$24,0))</f>
        <v>Terrorist financing</v>
      </c>
      <c r="F55" s="28" t="n">
        <f aca="false">IFERROR(SUMPRODUCT((Indicators!$B$5:$B$35=F$4)*Indicators!$L$5:$L$35*'Indicator Scores'!$K$5:$K$35)/SUMPRODUCT((Indicators!$B$5:$B$35=F$4)*Indicators!$L$5:$L$35*('Indicator Scores'!$K$5:$K$35&gt;0)),0)</f>
        <v>3.4</v>
      </c>
      <c r="G55" s="28" t="n">
        <f aca="false">IFERROR(SUMPRODUCT((Indicators!$B$5:$B$35=G$4)*Indicators!$L$5:$L$35*'Indicator Scores'!$K$5:$K$35)/SUMPRODUCT((Indicators!$B$5:$B$35=G$4)*Indicators!$L$5:$L$35*('Indicator Scores'!$K$5:$K$35&gt;0)),0)</f>
        <v>3.88888888888889</v>
      </c>
      <c r="H55" s="28" t="n">
        <f aca="false">IFERROR(SUMPRODUCT((Indicators!$B$5:$B$35=H$4)*Indicators!$L$5:$L$35*'Indicator Scores'!$K$5:$K$35)/SUMPRODUCT((Indicators!$B$5:$B$35=H$4)*Indicators!$L$5:$L$35*('Indicator Scores'!$K$5:$K$35&gt;0)),0)</f>
        <v>3.33333333333333</v>
      </c>
      <c r="I55" s="28" t="n">
        <f aca="false">IFERROR(SUMPRODUCT((Indicators!$B$5:$B$35=I$4)*Indicators!$L$5:$L$35*'Indicator Scores'!$K$5:$K$35)/SUMPRODUCT((Indicators!$B$5:$B$35=I$4)*Indicators!$L$5:$L$35*('Indicator Scores'!$K$5:$K$35&gt;0)),0)</f>
        <v>4.16666666666667</v>
      </c>
      <c r="J55" s="28" t="n">
        <f aca="false">IFERROR(SUMPRODUCT((Indicators!$B$5:$B$35=J$4)*Indicators!$L$5:$L$35*'Indicator Scores'!$K$5:$K$35)/SUMPRODUCT((Indicators!$B$5:$B$35=J$4)*Indicators!$L$5:$L$35*('Indicator Scores'!$K$5:$K$35&gt;0)),0)</f>
        <v>4</v>
      </c>
      <c r="K55" s="28" t="n">
        <f aca="false">IFERROR(SUMPRODUCT(F55:J55,INDEX('Factor Weights'!$C$5:$G$11,MATCH(D55,'Factor Weights'!$A$5:$A$11,0),0))/SUMPRODUCT((F55:J55&gt;0)*INDEX('Factor Weights'!$C$5:$G$11,MATCH(D55,'Factor Weights'!$A$5:$A$11,0),0)),0)</f>
        <v>3.73333333333333</v>
      </c>
      <c r="L55" s="29" t="n">
        <f aca="false">MAX(F55:J55)</f>
        <v>4.16666666666667</v>
      </c>
      <c r="M55" s="28" t="n">
        <f aca="false">IF(L55&gt;=Config!$C$13,MAX(K55,Config!$C$14),K55)</f>
        <v>3.73333333333333</v>
      </c>
      <c r="N55" s="30" t="n">
        <f aca="false">IF(Config!$C$12="Weighted average",K55,IF(Config!$C$12="Weighted with floor",M55,L55))</f>
        <v>3.73333333333333</v>
      </c>
      <c r="O55" s="31" t="n">
        <f aca="false">IF(N55&lt;Config!$D$5,"",MATCH(N55,Config!$D$5:$D$9,1))</f>
        <v>4</v>
      </c>
      <c r="P55" s="7" t="str">
        <f aca="false">IF(O55="","No data",INDEX(Config!$B$5:$B$9,O55))</f>
        <v>Medium-High</v>
      </c>
      <c r="Q55" s="32" t="n">
        <v>0</v>
      </c>
      <c r="R55" s="8"/>
      <c r="S55" s="33"/>
      <c r="T55" s="34" t="n">
        <f aca="false">IF(O55="","",IF(AND(S55="Y",Q55&lt;&gt;0),MAX(1,MIN(5,O55+MAX(-Config!$C$27,MIN(Config!$C$27,Q55)))),O55))</f>
        <v>4</v>
      </c>
      <c r="U55" s="35" t="str">
        <f aca="false">IF(T55="","No data",INDEX(Config!$B$5:$B$9,T55))</f>
        <v>Medium-High</v>
      </c>
      <c r="V55" s="7" t="str">
        <f aca="false">IF(Q55=0,"None",IF(S55="Y","Applied","Pending HO approval"))</f>
        <v>None</v>
      </c>
      <c r="W55" s="36" t="n">
        <f aca="false">SUMPRODUCT((Indicators!$L$5:$L$35&gt;0)*('Indicator Data'!$K$5:$K$35&lt;&gt;""))/SUMPRODUCT(--(Indicators!$L$5:$L$35&gt;0))</f>
        <v>1</v>
      </c>
    </row>
    <row r="56" customFormat="false" ht="15" hidden="false" customHeight="false" outlineLevel="0" collapsed="false">
      <c r="A56" s="26" t="str">
        <f aca="false">Entities!$A$12</f>
        <v>LB</v>
      </c>
      <c r="B56" s="12" t="str">
        <f aca="false">INDEX(Entities!$B$5:$B$34,MATCH(A56,Entities!$A$5:$A$34,0))</f>
        <v>Arab Bank – Lebanon</v>
      </c>
      <c r="C56" s="12" t="str">
        <f aca="false">INDEX(Entities!$D$5:$D$34,MATCH(A56,Entities!$A$5:$A$34,0))</f>
        <v>Levant</v>
      </c>
      <c r="D56" s="12" t="s">
        <v>270</v>
      </c>
      <c r="E56" s="12" t="str">
        <f aca="false">INDEX('Risk Taxonomy'!$B$5:$B$24,MATCH(D56,'Risk Taxonomy'!$A$5:$A$24,0))</f>
        <v>Proliferation financing</v>
      </c>
      <c r="F56" s="28" t="n">
        <f aca="false">IFERROR(SUMPRODUCT((Indicators!$B$5:$B$35=F$4)*Indicators!$M$5:$M$35*'Indicator Scores'!$K$5:$K$35)/SUMPRODUCT((Indicators!$B$5:$B$35=F$4)*Indicators!$M$5:$M$35*('Indicator Scores'!$K$5:$K$35&gt;0)),0)</f>
        <v>4</v>
      </c>
      <c r="G56" s="28" t="n">
        <f aca="false">IFERROR(SUMPRODUCT((Indicators!$B$5:$B$35=G$4)*Indicators!$M$5:$M$35*'Indicator Scores'!$K$5:$K$35)/SUMPRODUCT((Indicators!$B$5:$B$35=G$4)*Indicators!$M$5:$M$35*('Indicator Scores'!$K$5:$K$35&gt;0)),0)</f>
        <v>3.75</v>
      </c>
      <c r="H56" s="28" t="n">
        <f aca="false">IFERROR(SUMPRODUCT((Indicators!$B$5:$B$35=H$4)*Indicators!$M$5:$M$35*'Indicator Scores'!$K$5:$K$35)/SUMPRODUCT((Indicators!$B$5:$B$35=H$4)*Indicators!$M$5:$M$35*('Indicator Scores'!$K$5:$K$35&gt;0)),0)</f>
        <v>3.44444444444444</v>
      </c>
      <c r="I56" s="28" t="n">
        <f aca="false">IFERROR(SUMPRODUCT((Indicators!$B$5:$B$35=I$4)*Indicators!$M$5:$M$35*'Indicator Scores'!$K$5:$K$35)/SUMPRODUCT((Indicators!$B$5:$B$35=I$4)*Indicators!$M$5:$M$35*('Indicator Scores'!$K$5:$K$35&gt;0)),0)</f>
        <v>4.33333333333333</v>
      </c>
      <c r="J56" s="28" t="n">
        <f aca="false">IFERROR(SUMPRODUCT((Indicators!$B$5:$B$35=J$4)*Indicators!$M$5:$M$35*'Indicator Scores'!$K$5:$K$35)/SUMPRODUCT((Indicators!$B$5:$B$35=J$4)*Indicators!$M$5:$M$35*('Indicator Scores'!$K$5:$K$35&gt;0)),0)</f>
        <v>5</v>
      </c>
      <c r="K56" s="28" t="n">
        <f aca="false">IFERROR(SUMPRODUCT(F56:J56,INDEX('Factor Weights'!$C$5:$G$11,MATCH(D56,'Factor Weights'!$A$5:$A$11,0),0))/SUMPRODUCT((F56:J56&gt;0)*INDEX('Factor Weights'!$C$5:$G$11,MATCH(D56,'Factor Weights'!$A$5:$A$11,0),0)),0)</f>
        <v>3.975</v>
      </c>
      <c r="L56" s="29" t="n">
        <f aca="false">MAX(F56:J56)</f>
        <v>5</v>
      </c>
      <c r="M56" s="28" t="n">
        <f aca="false">IF(L56&gt;=Config!$C$13,MAX(K56,Config!$C$14),K56)</f>
        <v>4</v>
      </c>
      <c r="N56" s="30" t="n">
        <f aca="false">IF(Config!$C$12="Weighted average",K56,IF(Config!$C$12="Weighted with floor",M56,L56))</f>
        <v>4</v>
      </c>
      <c r="O56" s="31" t="n">
        <f aca="false">IF(N56&lt;Config!$D$5,"",MATCH(N56,Config!$D$5:$D$9,1))</f>
        <v>4</v>
      </c>
      <c r="P56" s="7" t="str">
        <f aca="false">IF(O56="","No data",INDEX(Config!$B$5:$B$9,O56))</f>
        <v>Medium-High</v>
      </c>
      <c r="Q56" s="32" t="n">
        <v>0</v>
      </c>
      <c r="R56" s="8"/>
      <c r="S56" s="33"/>
      <c r="T56" s="34" t="n">
        <f aca="false">IF(O56="","",IF(AND(S56="Y",Q56&lt;&gt;0),MAX(1,MIN(5,O56+MAX(-Config!$C$27,MIN(Config!$C$27,Q56)))),O56))</f>
        <v>4</v>
      </c>
      <c r="U56" s="35" t="str">
        <f aca="false">IF(T56="","No data",INDEX(Config!$B$5:$B$9,T56))</f>
        <v>Medium-High</v>
      </c>
      <c r="V56" s="7" t="str">
        <f aca="false">IF(Q56=0,"None",IF(S56="Y","Applied","Pending HO approval"))</f>
        <v>None</v>
      </c>
      <c r="W56" s="36" t="n">
        <f aca="false">SUMPRODUCT((Indicators!$M$5:$M$35&gt;0)*('Indicator Data'!$K$5:$K$35&lt;&gt;""))/SUMPRODUCT(--(Indicators!$M$5:$M$35&gt;0))</f>
        <v>1</v>
      </c>
    </row>
    <row r="57" customFormat="false" ht="15" hidden="false" customHeight="false" outlineLevel="0" collapsed="false">
      <c r="A57" s="26" t="str">
        <f aca="false">Entities!$A$12</f>
        <v>LB</v>
      </c>
      <c r="B57" s="12" t="str">
        <f aca="false">INDEX(Entities!$B$5:$B$34,MATCH(A57,Entities!$A$5:$A$34,0))</f>
        <v>Arab Bank – Lebanon</v>
      </c>
      <c r="C57" s="12" t="str">
        <f aca="false">INDEX(Entities!$D$5:$D$34,MATCH(A57,Entities!$A$5:$A$34,0))</f>
        <v>Levant</v>
      </c>
      <c r="D57" s="12" t="s">
        <v>272</v>
      </c>
      <c r="E57" s="12" t="str">
        <f aca="false">INDEX('Risk Taxonomy'!$B$5:$B$24,MATCH(D57,'Risk Taxonomy'!$A$5:$A$24,0))</f>
        <v>Sanctions</v>
      </c>
      <c r="F57" s="28" t="n">
        <f aca="false">IFERROR(SUMPRODUCT((Indicators!$B$5:$B$35=F$4)*Indicators!$N$5:$N$35*'Indicator Scores'!$K$5:$K$35)/SUMPRODUCT((Indicators!$B$5:$B$35=F$4)*Indicators!$N$5:$N$35*('Indicator Scores'!$K$5:$K$35&gt;0)),0)</f>
        <v>3.85714285714286</v>
      </c>
      <c r="G57" s="28" t="n">
        <f aca="false">IFERROR(SUMPRODUCT((Indicators!$B$5:$B$35=G$4)*Indicators!$N$5:$N$35*'Indicator Scores'!$K$5:$K$35)/SUMPRODUCT((Indicators!$B$5:$B$35=G$4)*Indicators!$N$5:$N$35*('Indicator Scores'!$K$5:$K$35&gt;0)),0)</f>
        <v>3.85714285714286</v>
      </c>
      <c r="H57" s="28" t="n">
        <f aca="false">IFERROR(SUMPRODUCT((Indicators!$B$5:$B$35=H$4)*Indicators!$N$5:$N$35*'Indicator Scores'!$K$5:$K$35)/SUMPRODUCT((Indicators!$B$5:$B$35=H$4)*Indicators!$N$5:$N$35*('Indicator Scores'!$K$5:$K$35&gt;0)),0)</f>
        <v>3.375</v>
      </c>
      <c r="I57" s="28" t="n">
        <f aca="false">IFERROR(SUMPRODUCT((Indicators!$B$5:$B$35=I$4)*Indicators!$N$5:$N$35*'Indicator Scores'!$K$5:$K$35)/SUMPRODUCT((Indicators!$B$5:$B$35=I$4)*Indicators!$N$5:$N$35*('Indicator Scores'!$K$5:$K$35&gt;0)),0)</f>
        <v>3.66666666666667</v>
      </c>
      <c r="J57" s="28" t="n">
        <f aca="false">IFERROR(SUMPRODUCT((Indicators!$B$5:$B$35=J$4)*Indicators!$N$5:$N$35*'Indicator Scores'!$K$5:$K$35)/SUMPRODUCT((Indicators!$B$5:$B$35=J$4)*Indicators!$N$5:$N$35*('Indicator Scores'!$K$5:$K$35&gt;0)),0)</f>
        <v>5</v>
      </c>
      <c r="K57" s="28" t="n">
        <f aca="false">IFERROR(SUMPRODUCT(F57:J57,INDEX('Factor Weights'!$C$5:$G$11,MATCH(D57,'Factor Weights'!$A$5:$A$11,0),0))/SUMPRODUCT((F57:J57&gt;0)*INDEX('Factor Weights'!$C$5:$G$11,MATCH(D57,'Factor Weights'!$A$5:$A$11,0),0)),0)</f>
        <v>3.97976190476191</v>
      </c>
      <c r="L57" s="29" t="n">
        <f aca="false">MAX(F57:J57)</f>
        <v>5</v>
      </c>
      <c r="M57" s="28" t="n">
        <f aca="false">IF(L57&gt;=Config!$C$13,MAX(K57,Config!$C$14),K57)</f>
        <v>4</v>
      </c>
      <c r="N57" s="30" t="n">
        <f aca="false">IF(Config!$C$12="Weighted average",K57,IF(Config!$C$12="Weighted with floor",M57,L57))</f>
        <v>4</v>
      </c>
      <c r="O57" s="31" t="n">
        <f aca="false">IF(N57&lt;Config!$D$5,"",MATCH(N57,Config!$D$5:$D$9,1))</f>
        <v>4</v>
      </c>
      <c r="P57" s="7" t="str">
        <f aca="false">IF(O57="","No data",INDEX(Config!$B$5:$B$9,O57))</f>
        <v>Medium-High</v>
      </c>
      <c r="Q57" s="32" t="n">
        <v>0</v>
      </c>
      <c r="R57" s="8"/>
      <c r="S57" s="33"/>
      <c r="T57" s="34" t="n">
        <f aca="false">IF(O57="","",IF(AND(S57="Y",Q57&lt;&gt;0),MAX(1,MIN(5,O57+MAX(-Config!$C$27,MIN(Config!$C$27,Q57)))),O57))</f>
        <v>4</v>
      </c>
      <c r="U57" s="35" t="str">
        <f aca="false">IF(T57="","No data",INDEX(Config!$B$5:$B$9,T57))</f>
        <v>Medium-High</v>
      </c>
      <c r="V57" s="7" t="str">
        <f aca="false">IF(Q57=0,"None",IF(S57="Y","Applied","Pending HO approval"))</f>
        <v>None</v>
      </c>
      <c r="W57" s="36" t="n">
        <f aca="false">SUMPRODUCT((Indicators!$N$5:$N$35&gt;0)*('Indicator Data'!$K$5:$K$35&lt;&gt;""))/SUMPRODUCT(--(Indicators!$N$5:$N$35&gt;0))</f>
        <v>1</v>
      </c>
    </row>
    <row r="58" customFormat="false" ht="15" hidden="false" customHeight="false" outlineLevel="0" collapsed="false">
      <c r="A58" s="26" t="str">
        <f aca="false">Entities!$A$12</f>
        <v>LB</v>
      </c>
      <c r="B58" s="12" t="str">
        <f aca="false">INDEX(Entities!$B$5:$B$34,MATCH(A58,Entities!$A$5:$A$34,0))</f>
        <v>Arab Bank – Lebanon</v>
      </c>
      <c r="C58" s="12" t="str">
        <f aca="false">INDEX(Entities!$D$5:$D$34,MATCH(A58,Entities!$A$5:$A$34,0))</f>
        <v>Levant</v>
      </c>
      <c r="D58" s="12" t="s">
        <v>275</v>
      </c>
      <c r="E58" s="12" t="str">
        <f aca="false">INDEX('Risk Taxonomy'!$B$5:$B$24,MATCH(D58,'Risk Taxonomy'!$A$5:$A$24,0))</f>
        <v>Bribery and corruption</v>
      </c>
      <c r="F58" s="28" t="n">
        <f aca="false">IFERROR(SUMPRODUCT((Indicators!$B$5:$B$35=F$4)*Indicators!$O$5:$O$35*'Indicator Scores'!$K$5:$K$35)/SUMPRODUCT((Indicators!$B$5:$B$35=F$4)*Indicators!$O$5:$O$35*('Indicator Scores'!$K$5:$K$35&gt;0)),0)</f>
        <v>3.88888888888889</v>
      </c>
      <c r="G58" s="28" t="n">
        <f aca="false">IFERROR(SUMPRODUCT((Indicators!$B$5:$B$35=G$4)*Indicators!$O$5:$O$35*'Indicator Scores'!$K$5:$K$35)/SUMPRODUCT((Indicators!$B$5:$B$35=G$4)*Indicators!$O$5:$O$35*('Indicator Scores'!$K$5:$K$35&gt;0)),0)</f>
        <v>4</v>
      </c>
      <c r="H58" s="28" t="n">
        <f aca="false">IFERROR(SUMPRODUCT((Indicators!$B$5:$B$35=H$4)*Indicators!$O$5:$O$35*'Indicator Scores'!$K$5:$K$35)/SUMPRODUCT((Indicators!$B$5:$B$35=H$4)*Indicators!$O$5:$O$35*('Indicator Scores'!$K$5:$K$35&gt;0)),0)</f>
        <v>3.5</v>
      </c>
      <c r="I58" s="28" t="n">
        <f aca="false">IFERROR(SUMPRODUCT((Indicators!$B$5:$B$35=I$4)*Indicators!$O$5:$O$35*'Indicator Scores'!$K$5:$K$35)/SUMPRODUCT((Indicators!$B$5:$B$35=I$4)*Indicators!$O$5:$O$35*('Indicator Scores'!$K$5:$K$35&gt;0)),0)</f>
        <v>5</v>
      </c>
      <c r="J58" s="28" t="n">
        <f aca="false">IFERROR(SUMPRODUCT((Indicators!$B$5:$B$35=J$4)*Indicators!$O$5:$O$35*'Indicator Scores'!$K$5:$K$35)/SUMPRODUCT((Indicators!$B$5:$B$35=J$4)*Indicators!$O$5:$O$35*('Indicator Scores'!$K$5:$K$35&gt;0)),0)</f>
        <v>5</v>
      </c>
      <c r="K58" s="28" t="n">
        <f aca="false">IFERROR(SUMPRODUCT(F58:J58,INDEX('Factor Weights'!$C$5:$G$11,MATCH(D58,'Factor Weights'!$A$5:$A$11,0),0))/SUMPRODUCT((F58:J58&gt;0)*INDEX('Factor Weights'!$C$5:$G$11,MATCH(D58,'Factor Weights'!$A$5:$A$11,0),0)),0)</f>
        <v>4.19166666666667</v>
      </c>
      <c r="L58" s="29" t="n">
        <f aca="false">MAX(F58:J58)</f>
        <v>5</v>
      </c>
      <c r="M58" s="28" t="n">
        <f aca="false">IF(L58&gt;=Config!$C$13,MAX(K58,Config!$C$14),K58)</f>
        <v>4.19166666666667</v>
      </c>
      <c r="N58" s="30" t="n">
        <f aca="false">IF(Config!$C$12="Weighted average",K58,IF(Config!$C$12="Weighted with floor",M58,L58))</f>
        <v>4.19166666666667</v>
      </c>
      <c r="O58" s="31" t="n">
        <f aca="false">IF(N58&lt;Config!$D$5,"",MATCH(N58,Config!$D$5:$D$9,1))</f>
        <v>4</v>
      </c>
      <c r="P58" s="7" t="str">
        <f aca="false">IF(O58="","No data",INDEX(Config!$B$5:$B$9,O58))</f>
        <v>Medium-High</v>
      </c>
      <c r="Q58" s="32" t="n">
        <v>0</v>
      </c>
      <c r="R58" s="8"/>
      <c r="S58" s="33"/>
      <c r="T58" s="34" t="n">
        <f aca="false">IF(O58="","",IF(AND(S58="Y",Q58&lt;&gt;0),MAX(1,MIN(5,O58+MAX(-Config!$C$27,MIN(Config!$C$27,Q58)))),O58))</f>
        <v>4</v>
      </c>
      <c r="U58" s="35" t="str">
        <f aca="false">IF(T58="","No data",INDEX(Config!$B$5:$B$9,T58))</f>
        <v>Medium-High</v>
      </c>
      <c r="V58" s="7" t="str">
        <f aca="false">IF(Q58=0,"None",IF(S58="Y","Applied","Pending HO approval"))</f>
        <v>None</v>
      </c>
      <c r="W58" s="36" t="n">
        <f aca="false">SUMPRODUCT((Indicators!$O$5:$O$35&gt;0)*('Indicator Data'!$K$5:$K$35&lt;&gt;""))/SUMPRODUCT(--(Indicators!$O$5:$O$35&gt;0))</f>
        <v>1</v>
      </c>
    </row>
    <row r="59" customFormat="false" ht="15" hidden="false" customHeight="false" outlineLevel="0" collapsed="false">
      <c r="A59" s="26" t="str">
        <f aca="false">Entities!$A$12</f>
        <v>LB</v>
      </c>
      <c r="B59" s="12" t="str">
        <f aca="false">INDEX(Entities!$B$5:$B$34,MATCH(A59,Entities!$A$5:$A$34,0))</f>
        <v>Arab Bank – Lebanon</v>
      </c>
      <c r="C59" s="12" t="str">
        <f aca="false">INDEX(Entities!$D$5:$D$34,MATCH(A59,Entities!$A$5:$A$34,0))</f>
        <v>Levant</v>
      </c>
      <c r="D59" s="12" t="s">
        <v>278</v>
      </c>
      <c r="E59" s="12" t="str">
        <f aca="false">INDEX('Risk Taxonomy'!$B$5:$B$24,MATCH(D59,'Risk Taxonomy'!$A$5:$A$24,0))</f>
        <v>Fraud</v>
      </c>
      <c r="F59" s="28" t="n">
        <f aca="false">IFERROR(SUMPRODUCT((Indicators!$B$5:$B$35=F$4)*Indicators!$P$5:$P$35*'Indicator Scores'!$K$5:$K$35)/SUMPRODUCT((Indicators!$B$5:$B$35=F$4)*Indicators!$P$5:$P$35*('Indicator Scores'!$K$5:$K$35&gt;0)),0)</f>
        <v>3.33333333333333</v>
      </c>
      <c r="G59" s="28" t="n">
        <f aca="false">IFERROR(SUMPRODUCT((Indicators!$B$5:$B$35=G$4)*Indicators!$P$5:$P$35*'Indicator Scores'!$K$5:$K$35)/SUMPRODUCT((Indicators!$B$5:$B$35=G$4)*Indicators!$P$5:$P$35*('Indicator Scores'!$K$5:$K$35&gt;0)),0)</f>
        <v>4</v>
      </c>
      <c r="H59" s="28" t="n">
        <f aca="false">IFERROR(SUMPRODUCT((Indicators!$B$5:$B$35=H$4)*Indicators!$P$5:$P$35*'Indicator Scores'!$K$5:$K$35)/SUMPRODUCT((Indicators!$B$5:$B$35=H$4)*Indicators!$P$5:$P$35*('Indicator Scores'!$K$5:$K$35&gt;0)),0)</f>
        <v>3.6</v>
      </c>
      <c r="I59" s="28" t="n">
        <f aca="false">IFERROR(SUMPRODUCT((Indicators!$B$5:$B$35=I$4)*Indicators!$P$5:$P$35*'Indicator Scores'!$K$5:$K$35)/SUMPRODUCT((Indicators!$B$5:$B$35=I$4)*Indicators!$P$5:$P$35*('Indicator Scores'!$K$5:$K$35&gt;0)),0)</f>
        <v>4.11111111111111</v>
      </c>
      <c r="J59" s="28" t="n">
        <f aca="false">IFERROR(SUMPRODUCT((Indicators!$B$5:$B$35=J$4)*Indicators!$P$5:$P$35*'Indicator Scores'!$K$5:$K$35)/SUMPRODUCT((Indicators!$B$5:$B$35=J$4)*Indicators!$P$5:$P$35*('Indicator Scores'!$K$5:$K$35&gt;0)),0)</f>
        <v>4.2</v>
      </c>
      <c r="K59" s="28" t="n">
        <f aca="false">IFERROR(SUMPRODUCT(F59:J59,INDEX('Factor Weights'!$C$5:$G$11,MATCH(D59,'Factor Weights'!$A$5:$A$11,0),0))/SUMPRODUCT((F59:J59&gt;0)*INDEX('Factor Weights'!$C$5:$G$11,MATCH(D59,'Factor Weights'!$A$5:$A$11,0),0)),0)</f>
        <v>3.86</v>
      </c>
      <c r="L59" s="29" t="n">
        <f aca="false">MAX(F59:J59)</f>
        <v>4.2</v>
      </c>
      <c r="M59" s="28" t="n">
        <f aca="false">IF(L59&gt;=Config!$C$13,MAX(K59,Config!$C$14),K59)</f>
        <v>3.86</v>
      </c>
      <c r="N59" s="30" t="n">
        <f aca="false">IF(Config!$C$12="Weighted average",K59,IF(Config!$C$12="Weighted with floor",M59,L59))</f>
        <v>3.86</v>
      </c>
      <c r="O59" s="31" t="n">
        <f aca="false">IF(N59&lt;Config!$D$5,"",MATCH(N59,Config!$D$5:$D$9,1))</f>
        <v>4</v>
      </c>
      <c r="P59" s="7" t="str">
        <f aca="false">IF(O59="","No data",INDEX(Config!$B$5:$B$9,O59))</f>
        <v>Medium-High</v>
      </c>
      <c r="Q59" s="32" t="n">
        <v>0</v>
      </c>
      <c r="R59" s="8"/>
      <c r="S59" s="33"/>
      <c r="T59" s="34" t="n">
        <f aca="false">IF(O59="","",IF(AND(S59="Y",Q59&lt;&gt;0),MAX(1,MIN(5,O59+MAX(-Config!$C$27,MIN(Config!$C$27,Q59)))),O59))</f>
        <v>4</v>
      </c>
      <c r="U59" s="35" t="str">
        <f aca="false">IF(T59="","No data",INDEX(Config!$B$5:$B$9,T59))</f>
        <v>Medium-High</v>
      </c>
      <c r="V59" s="7" t="str">
        <f aca="false">IF(Q59=0,"None",IF(S59="Y","Applied","Pending HO approval"))</f>
        <v>None</v>
      </c>
      <c r="W59" s="36" t="n">
        <f aca="false">SUMPRODUCT((Indicators!$P$5:$P$35&gt;0)*('Indicator Data'!$K$5:$K$35&lt;&gt;""))/SUMPRODUCT(--(Indicators!$P$5:$P$35&gt;0))</f>
        <v>1</v>
      </c>
    </row>
    <row r="60" customFormat="false" ht="15" hidden="false" customHeight="false" outlineLevel="0" collapsed="false">
      <c r="A60" s="26" t="str">
        <f aca="false">Entities!$A$12</f>
        <v>LB</v>
      </c>
      <c r="B60" s="12" t="str">
        <f aca="false">INDEX(Entities!$B$5:$B$34,MATCH(A60,Entities!$A$5:$A$34,0))</f>
        <v>Arab Bank – Lebanon</v>
      </c>
      <c r="C60" s="12" t="str">
        <f aca="false">INDEX(Entities!$D$5:$D$34,MATCH(A60,Entities!$A$5:$A$34,0))</f>
        <v>Levant</v>
      </c>
      <c r="D60" s="12" t="s">
        <v>281</v>
      </c>
      <c r="E60" s="12" t="str">
        <f aca="false">INDEX('Risk Taxonomy'!$B$5:$B$24,MATCH(D60,'Risk Taxonomy'!$A$5:$A$24,0))</f>
        <v>Tax evasion and tax transparency</v>
      </c>
      <c r="F60" s="28" t="n">
        <f aca="false">IFERROR(SUMPRODUCT((Indicators!$B$5:$B$35=F$4)*Indicators!$Q$5:$Q$35*'Indicator Scores'!$K$5:$K$35)/SUMPRODUCT((Indicators!$B$5:$B$35=F$4)*Indicators!$Q$5:$Q$35*('Indicator Scores'!$K$5:$K$35&gt;0)),0)</f>
        <v>3.88888888888889</v>
      </c>
      <c r="G60" s="28" t="n">
        <f aca="false">IFERROR(SUMPRODUCT((Indicators!$B$5:$B$35=G$4)*Indicators!$Q$5:$Q$35*'Indicator Scores'!$K$5:$K$35)/SUMPRODUCT((Indicators!$B$5:$B$35=G$4)*Indicators!$Q$5:$Q$35*('Indicator Scores'!$K$5:$K$35&gt;0)),0)</f>
        <v>4</v>
      </c>
      <c r="H60" s="28" t="n">
        <f aca="false">IFERROR(SUMPRODUCT((Indicators!$B$5:$B$35=H$4)*Indicators!$Q$5:$Q$35*'Indicator Scores'!$K$5:$K$35)/SUMPRODUCT((Indicators!$B$5:$B$35=H$4)*Indicators!$Q$5:$Q$35*('Indicator Scores'!$K$5:$K$35&gt;0)),0)</f>
        <v>3.33333333333333</v>
      </c>
      <c r="I60" s="28" t="n">
        <f aca="false">IFERROR(SUMPRODUCT((Indicators!$B$5:$B$35=I$4)*Indicators!$Q$5:$Q$35*'Indicator Scores'!$K$5:$K$35)/SUMPRODUCT((Indicators!$B$5:$B$35=I$4)*Indicators!$Q$5:$Q$35*('Indicator Scores'!$K$5:$K$35&gt;0)),0)</f>
        <v>5</v>
      </c>
      <c r="J60" s="28" t="n">
        <f aca="false">IFERROR(SUMPRODUCT((Indicators!$B$5:$B$35=J$4)*Indicators!$Q$5:$Q$35*'Indicator Scores'!$K$5:$K$35)/SUMPRODUCT((Indicators!$B$5:$B$35=J$4)*Indicators!$Q$5:$Q$35*('Indicator Scores'!$K$5:$K$35&gt;0)),0)</f>
        <v>4.8</v>
      </c>
      <c r="K60" s="28" t="n">
        <f aca="false">IFERROR(SUMPRODUCT(F60:J60,INDEX('Factor Weights'!$C$5:$G$11,MATCH(D60,'Factor Weights'!$A$5:$A$11,0),0))/SUMPRODUCT((F60:J60&gt;0)*INDEX('Factor Weights'!$C$5:$G$11,MATCH(D60,'Factor Weights'!$A$5:$A$11,0),0)),0)</f>
        <v>4.00777777777778</v>
      </c>
      <c r="L60" s="29" t="n">
        <f aca="false">MAX(F60:J60)</f>
        <v>5</v>
      </c>
      <c r="M60" s="28" t="n">
        <f aca="false">IF(L60&gt;=Config!$C$13,MAX(K60,Config!$C$14),K60)</f>
        <v>4.00777777777778</v>
      </c>
      <c r="N60" s="30" t="n">
        <f aca="false">IF(Config!$C$12="Weighted average",K60,IF(Config!$C$12="Weighted with floor",M60,L60))</f>
        <v>4.00777777777778</v>
      </c>
      <c r="O60" s="31" t="n">
        <f aca="false">IF(N60&lt;Config!$D$5,"",MATCH(N60,Config!$D$5:$D$9,1))</f>
        <v>4</v>
      </c>
      <c r="P60" s="7" t="str">
        <f aca="false">IF(O60="","No data",INDEX(Config!$B$5:$B$9,O60))</f>
        <v>Medium-High</v>
      </c>
      <c r="Q60" s="32" t="n">
        <v>0</v>
      </c>
      <c r="R60" s="8"/>
      <c r="S60" s="33"/>
      <c r="T60" s="34" t="n">
        <f aca="false">IF(O60="","",IF(AND(S60="Y",Q60&lt;&gt;0),MAX(1,MIN(5,O60+MAX(-Config!$C$27,MIN(Config!$C$27,Q60)))),O60))</f>
        <v>4</v>
      </c>
      <c r="U60" s="35" t="str">
        <f aca="false">IF(T60="","No data",INDEX(Config!$B$5:$B$9,T60))</f>
        <v>Medium-High</v>
      </c>
      <c r="V60" s="7" t="str">
        <f aca="false">IF(Q60=0,"None",IF(S60="Y","Applied","Pending HO approval"))</f>
        <v>None</v>
      </c>
      <c r="W60" s="36" t="n">
        <f aca="false">SUMPRODUCT((Indicators!$Q$5:$Q$35&gt;0)*('Indicator Data'!$K$5:$K$35&lt;&gt;""))/SUMPRODUCT(--(Indicators!$Q$5:$Q$35&gt;0))</f>
        <v>1</v>
      </c>
    </row>
    <row r="61" customFormat="false" ht="15" hidden="false" customHeight="false" outlineLevel="0" collapsed="false">
      <c r="A61" s="26" t="str">
        <f aca="false">Entities!$A$13</f>
        <v>SY</v>
      </c>
      <c r="B61" s="12" t="str">
        <f aca="false">INDEX(Entities!$B$5:$B$34,MATCH(A61,Entities!$A$5:$A$34,0))</f>
        <v>Arab Bank – Syria</v>
      </c>
      <c r="C61" s="12" t="str">
        <f aca="false">INDEX(Entities!$D$5:$D$34,MATCH(A61,Entities!$A$5:$A$34,0))</f>
        <v>Levant</v>
      </c>
      <c r="D61" s="12" t="s">
        <v>260</v>
      </c>
      <c r="E61" s="12" t="str">
        <f aca="false">INDEX('Risk Taxonomy'!$B$5:$B$24,MATCH(D61,'Risk Taxonomy'!$A$5:$A$24,0))</f>
        <v>Money laundering</v>
      </c>
      <c r="F61" s="28" t="n">
        <f aca="false">IFERROR(SUMPRODUCT((Indicators!$B$5:$B$35=F$4)*Indicators!$K$5:$K$35*'Indicator Scores'!$L$5:$L$35)/SUMPRODUCT((Indicators!$B$5:$B$35=F$4)*Indicators!$K$5:$K$35*('Indicator Scores'!$L$5:$L$35&gt;0)),0)</f>
        <v>3.91666666666667</v>
      </c>
      <c r="G61" s="28" t="n">
        <f aca="false">IFERROR(SUMPRODUCT((Indicators!$B$5:$B$35=G$4)*Indicators!$K$5:$K$35*'Indicator Scores'!$L$5:$L$35)/SUMPRODUCT((Indicators!$B$5:$B$35=G$4)*Indicators!$K$5:$K$35*('Indicator Scores'!$L$5:$L$35&gt;0)),0)</f>
        <v>4.22222222222222</v>
      </c>
      <c r="H61" s="28" t="n">
        <f aca="false">IFERROR(SUMPRODUCT((Indicators!$B$5:$B$35=H$4)*Indicators!$K$5:$K$35*'Indicator Scores'!$L$5:$L$35)/SUMPRODUCT((Indicators!$B$5:$B$35=H$4)*Indicators!$K$5:$K$35*('Indicator Scores'!$L$5:$L$35&gt;0)),0)</f>
        <v>4.1</v>
      </c>
      <c r="I61" s="28" t="n">
        <f aca="false">IFERROR(SUMPRODUCT((Indicators!$B$5:$B$35=I$4)*Indicators!$K$5:$K$35*'Indicator Scores'!$L$5:$L$35)/SUMPRODUCT((Indicators!$B$5:$B$35=I$4)*Indicators!$K$5:$K$35*('Indicator Scores'!$L$5:$L$35&gt;0)),0)</f>
        <v>3.71428571428571</v>
      </c>
      <c r="J61" s="28" t="n">
        <f aca="false">IFERROR(SUMPRODUCT((Indicators!$B$5:$B$35=J$4)*Indicators!$K$5:$K$35*'Indicator Scores'!$L$5:$L$35)/SUMPRODUCT((Indicators!$B$5:$B$35=J$4)*Indicators!$K$5:$K$35*('Indicator Scores'!$L$5:$L$35&gt;0)),0)</f>
        <v>4.6</v>
      </c>
      <c r="K61" s="28" t="n">
        <f aca="false">IFERROR(SUMPRODUCT(F61:J61,INDEX('Factor Weights'!$C$5:$G$11,MATCH(D61,'Factor Weights'!$A$5:$A$11,0),0))/SUMPRODUCT((F61:J61&gt;0)*INDEX('Factor Weights'!$C$5:$G$11,MATCH(D61,'Factor Weights'!$A$5:$A$11,0),0)),0)</f>
        <v>4.06769841269841</v>
      </c>
      <c r="L61" s="29" t="n">
        <f aca="false">MAX(F61:J61)</f>
        <v>4.6</v>
      </c>
      <c r="M61" s="28" t="n">
        <f aca="false">IF(L61&gt;=Config!$C$13,MAX(K61,Config!$C$14),K61)</f>
        <v>4.06769841269841</v>
      </c>
      <c r="N61" s="30" t="n">
        <f aca="false">IF(Config!$C$12="Weighted average",K61,IF(Config!$C$12="Weighted with floor",M61,L61))</f>
        <v>4.06769841269841</v>
      </c>
      <c r="O61" s="31" t="n">
        <f aca="false">IF(N61&lt;Config!$D$5,"",MATCH(N61,Config!$D$5:$D$9,1))</f>
        <v>4</v>
      </c>
      <c r="P61" s="7" t="str">
        <f aca="false">IF(O61="","No data",INDEX(Config!$B$5:$B$9,O61))</f>
        <v>Medium-High</v>
      </c>
      <c r="Q61" s="32" t="n">
        <v>0</v>
      </c>
      <c r="R61" s="8"/>
      <c r="S61" s="33"/>
      <c r="T61" s="34" t="n">
        <f aca="false">IF(O61="","",IF(AND(S61="Y",Q61&lt;&gt;0),MAX(1,MIN(5,O61+MAX(-Config!$C$27,MIN(Config!$C$27,Q61)))),O61))</f>
        <v>4</v>
      </c>
      <c r="U61" s="35" t="str">
        <f aca="false">IF(T61="","No data",INDEX(Config!$B$5:$B$9,T61))</f>
        <v>Medium-High</v>
      </c>
      <c r="V61" s="7" t="str">
        <f aca="false">IF(Q61=0,"None",IF(S61="Y","Applied","Pending HO approval"))</f>
        <v>None</v>
      </c>
      <c r="W61" s="36" t="n">
        <f aca="false">SUMPRODUCT((Indicators!$K$5:$K$35&gt;0)*('Indicator Data'!$L$5:$L$35&lt;&gt;""))/SUMPRODUCT(--(Indicators!$K$5:$K$35&gt;0))</f>
        <v>1</v>
      </c>
    </row>
    <row r="62" customFormat="false" ht="15" hidden="false" customHeight="false" outlineLevel="0" collapsed="false">
      <c r="A62" s="26" t="str">
        <f aca="false">Entities!$A$13</f>
        <v>SY</v>
      </c>
      <c r="B62" s="12" t="str">
        <f aca="false">INDEX(Entities!$B$5:$B$34,MATCH(A62,Entities!$A$5:$A$34,0))</f>
        <v>Arab Bank – Syria</v>
      </c>
      <c r="C62" s="12" t="str">
        <f aca="false">INDEX(Entities!$D$5:$D$34,MATCH(A62,Entities!$A$5:$A$34,0))</f>
        <v>Levant</v>
      </c>
      <c r="D62" s="12" t="s">
        <v>267</v>
      </c>
      <c r="E62" s="12" t="str">
        <f aca="false">INDEX('Risk Taxonomy'!$B$5:$B$24,MATCH(D62,'Risk Taxonomy'!$A$5:$A$24,0))</f>
        <v>Terrorist financing</v>
      </c>
      <c r="F62" s="28" t="n">
        <f aca="false">IFERROR(SUMPRODUCT((Indicators!$B$5:$B$35=F$4)*Indicators!$L$5:$L$35*'Indicator Scores'!$L$5:$L$35)/SUMPRODUCT((Indicators!$B$5:$B$35=F$4)*Indicators!$L$5:$L$35*('Indicator Scores'!$L$5:$L$35&gt;0)),0)</f>
        <v>4.1</v>
      </c>
      <c r="G62" s="28" t="n">
        <f aca="false">IFERROR(SUMPRODUCT((Indicators!$B$5:$B$35=G$4)*Indicators!$L$5:$L$35*'Indicator Scores'!$L$5:$L$35)/SUMPRODUCT((Indicators!$B$5:$B$35=G$4)*Indicators!$L$5:$L$35*('Indicator Scores'!$L$5:$L$35&gt;0)),0)</f>
        <v>4.33333333333333</v>
      </c>
      <c r="H62" s="28" t="n">
        <f aca="false">IFERROR(SUMPRODUCT((Indicators!$B$5:$B$35=H$4)*Indicators!$L$5:$L$35*'Indicator Scores'!$L$5:$L$35)/SUMPRODUCT((Indicators!$B$5:$B$35=H$4)*Indicators!$L$5:$L$35*('Indicator Scores'!$L$5:$L$35&gt;0)),0)</f>
        <v>3.66666666666667</v>
      </c>
      <c r="I62" s="28" t="n">
        <f aca="false">IFERROR(SUMPRODUCT((Indicators!$B$5:$B$35=I$4)*Indicators!$L$5:$L$35*'Indicator Scores'!$L$5:$L$35)/SUMPRODUCT((Indicators!$B$5:$B$35=I$4)*Indicators!$L$5:$L$35*('Indicator Scores'!$L$5:$L$35&gt;0)),0)</f>
        <v>3.83333333333333</v>
      </c>
      <c r="J62" s="28" t="n">
        <f aca="false">IFERROR(SUMPRODUCT((Indicators!$B$5:$B$35=J$4)*Indicators!$L$5:$L$35*'Indicator Scores'!$L$5:$L$35)/SUMPRODUCT((Indicators!$B$5:$B$35=J$4)*Indicators!$L$5:$L$35*('Indicator Scores'!$L$5:$L$35&gt;0)),0)</f>
        <v>4.42857142857143</v>
      </c>
      <c r="K62" s="28" t="n">
        <f aca="false">IFERROR(SUMPRODUCT(F62:J62,INDEX('Factor Weights'!$C$5:$G$11,MATCH(D62,'Factor Weights'!$A$5:$A$11,0),0))/SUMPRODUCT((F62:J62&gt;0)*INDEX('Factor Weights'!$C$5:$G$11,MATCH(D62,'Factor Weights'!$A$5:$A$11,0),0)),0)</f>
        <v>4.14404761904762</v>
      </c>
      <c r="L62" s="29" t="n">
        <f aca="false">MAX(F62:J62)</f>
        <v>4.42857142857143</v>
      </c>
      <c r="M62" s="28" t="n">
        <f aca="false">IF(L62&gt;=Config!$C$13,MAX(K62,Config!$C$14),K62)</f>
        <v>4.14404761904762</v>
      </c>
      <c r="N62" s="30" t="n">
        <f aca="false">IF(Config!$C$12="Weighted average",K62,IF(Config!$C$12="Weighted with floor",M62,L62))</f>
        <v>4.14404761904762</v>
      </c>
      <c r="O62" s="31" t="n">
        <f aca="false">IF(N62&lt;Config!$D$5,"",MATCH(N62,Config!$D$5:$D$9,1))</f>
        <v>4</v>
      </c>
      <c r="P62" s="7" t="str">
        <f aca="false">IF(O62="","No data",INDEX(Config!$B$5:$B$9,O62))</f>
        <v>Medium-High</v>
      </c>
      <c r="Q62" s="32" t="n">
        <v>0</v>
      </c>
      <c r="R62" s="8"/>
      <c r="S62" s="33"/>
      <c r="T62" s="34" t="n">
        <f aca="false">IF(O62="","",IF(AND(S62="Y",Q62&lt;&gt;0),MAX(1,MIN(5,O62+MAX(-Config!$C$27,MIN(Config!$C$27,Q62)))),O62))</f>
        <v>4</v>
      </c>
      <c r="U62" s="35" t="str">
        <f aca="false">IF(T62="","No data",INDEX(Config!$B$5:$B$9,T62))</f>
        <v>Medium-High</v>
      </c>
      <c r="V62" s="7" t="str">
        <f aca="false">IF(Q62=0,"None",IF(S62="Y","Applied","Pending HO approval"))</f>
        <v>None</v>
      </c>
      <c r="W62" s="36" t="n">
        <f aca="false">SUMPRODUCT((Indicators!$L$5:$L$35&gt;0)*('Indicator Data'!$L$5:$L$35&lt;&gt;""))/SUMPRODUCT(--(Indicators!$L$5:$L$35&gt;0))</f>
        <v>1</v>
      </c>
    </row>
    <row r="63" customFormat="false" ht="15" hidden="false" customHeight="false" outlineLevel="0" collapsed="false">
      <c r="A63" s="26" t="str">
        <f aca="false">Entities!$A$13</f>
        <v>SY</v>
      </c>
      <c r="B63" s="12" t="str">
        <f aca="false">INDEX(Entities!$B$5:$B$34,MATCH(A63,Entities!$A$5:$A$34,0))</f>
        <v>Arab Bank – Syria</v>
      </c>
      <c r="C63" s="12" t="str">
        <f aca="false">INDEX(Entities!$D$5:$D$34,MATCH(A63,Entities!$A$5:$A$34,0))</f>
        <v>Levant</v>
      </c>
      <c r="D63" s="12" t="s">
        <v>270</v>
      </c>
      <c r="E63" s="12" t="str">
        <f aca="false">INDEX('Risk Taxonomy'!$B$5:$B$24,MATCH(D63,'Risk Taxonomy'!$A$5:$A$24,0))</f>
        <v>Proliferation financing</v>
      </c>
      <c r="F63" s="28" t="n">
        <f aca="false">IFERROR(SUMPRODUCT((Indicators!$B$5:$B$35=F$4)*Indicators!$M$5:$M$35*'Indicator Scores'!$L$5:$L$35)/SUMPRODUCT((Indicators!$B$5:$B$35=F$4)*Indicators!$M$5:$M$35*('Indicator Scores'!$L$5:$L$35&gt;0)),0)</f>
        <v>3.75</v>
      </c>
      <c r="G63" s="28" t="n">
        <f aca="false">IFERROR(SUMPRODUCT((Indicators!$B$5:$B$35=G$4)*Indicators!$M$5:$M$35*'Indicator Scores'!$L$5:$L$35)/SUMPRODUCT((Indicators!$B$5:$B$35=G$4)*Indicators!$M$5:$M$35*('Indicator Scores'!$L$5:$L$35&gt;0)),0)</f>
        <v>4.125</v>
      </c>
      <c r="H63" s="28" t="n">
        <f aca="false">IFERROR(SUMPRODUCT((Indicators!$B$5:$B$35=H$4)*Indicators!$M$5:$M$35*'Indicator Scores'!$L$5:$L$35)/SUMPRODUCT((Indicators!$B$5:$B$35=H$4)*Indicators!$M$5:$M$35*('Indicator Scores'!$L$5:$L$35&gt;0)),0)</f>
        <v>4.11111111111111</v>
      </c>
      <c r="I63" s="28" t="n">
        <f aca="false">IFERROR(SUMPRODUCT((Indicators!$B$5:$B$35=I$4)*Indicators!$M$5:$M$35*'Indicator Scores'!$L$5:$L$35)/SUMPRODUCT((Indicators!$B$5:$B$35=I$4)*Indicators!$M$5:$M$35*('Indicator Scores'!$L$5:$L$35&gt;0)),0)</f>
        <v>3.66666666666667</v>
      </c>
      <c r="J63" s="28" t="n">
        <f aca="false">IFERROR(SUMPRODUCT((Indicators!$B$5:$B$35=J$4)*Indicators!$M$5:$M$35*'Indicator Scores'!$L$5:$L$35)/SUMPRODUCT((Indicators!$B$5:$B$35=J$4)*Indicators!$M$5:$M$35*('Indicator Scores'!$L$5:$L$35&gt;0)),0)</f>
        <v>4.5</v>
      </c>
      <c r="K63" s="28" t="n">
        <f aca="false">IFERROR(SUMPRODUCT(F63:J63,INDEX('Factor Weights'!$C$5:$G$11,MATCH(D63,'Factor Weights'!$A$5:$A$11,0),0))/SUMPRODUCT((F63:J63&gt;0)*INDEX('Factor Weights'!$C$5:$G$11,MATCH(D63,'Factor Weights'!$A$5:$A$11,0),0)),0)</f>
        <v>4.11666666666667</v>
      </c>
      <c r="L63" s="29" t="n">
        <f aca="false">MAX(F63:J63)</f>
        <v>4.5</v>
      </c>
      <c r="M63" s="28" t="n">
        <f aca="false">IF(L63&gt;=Config!$C$13,MAX(K63,Config!$C$14),K63)</f>
        <v>4.11666666666667</v>
      </c>
      <c r="N63" s="30" t="n">
        <f aca="false">IF(Config!$C$12="Weighted average",K63,IF(Config!$C$12="Weighted with floor",M63,L63))</f>
        <v>4.11666666666667</v>
      </c>
      <c r="O63" s="31" t="n">
        <f aca="false">IF(N63&lt;Config!$D$5,"",MATCH(N63,Config!$D$5:$D$9,1))</f>
        <v>4</v>
      </c>
      <c r="P63" s="7" t="str">
        <f aca="false">IF(O63="","No data",INDEX(Config!$B$5:$B$9,O63))</f>
        <v>Medium-High</v>
      </c>
      <c r="Q63" s="32" t="n">
        <v>0</v>
      </c>
      <c r="R63" s="8"/>
      <c r="S63" s="33"/>
      <c r="T63" s="34" t="n">
        <f aca="false">IF(O63="","",IF(AND(S63="Y",Q63&lt;&gt;0),MAX(1,MIN(5,O63+MAX(-Config!$C$27,MIN(Config!$C$27,Q63)))),O63))</f>
        <v>4</v>
      </c>
      <c r="U63" s="35" t="str">
        <f aca="false">IF(T63="","No data",INDEX(Config!$B$5:$B$9,T63))</f>
        <v>Medium-High</v>
      </c>
      <c r="V63" s="7" t="str">
        <f aca="false">IF(Q63=0,"None",IF(S63="Y","Applied","Pending HO approval"))</f>
        <v>None</v>
      </c>
      <c r="W63" s="36" t="n">
        <f aca="false">SUMPRODUCT((Indicators!$M$5:$M$35&gt;0)*('Indicator Data'!$L$5:$L$35&lt;&gt;""))/SUMPRODUCT(--(Indicators!$M$5:$M$35&gt;0))</f>
        <v>1</v>
      </c>
    </row>
    <row r="64" customFormat="false" ht="15" hidden="false" customHeight="false" outlineLevel="0" collapsed="false">
      <c r="A64" s="26" t="str">
        <f aca="false">Entities!$A$13</f>
        <v>SY</v>
      </c>
      <c r="B64" s="12" t="str">
        <f aca="false">INDEX(Entities!$B$5:$B$34,MATCH(A64,Entities!$A$5:$A$34,0))</f>
        <v>Arab Bank – Syria</v>
      </c>
      <c r="C64" s="12" t="str">
        <f aca="false">INDEX(Entities!$D$5:$D$34,MATCH(A64,Entities!$A$5:$A$34,0))</f>
        <v>Levant</v>
      </c>
      <c r="D64" s="12" t="s">
        <v>272</v>
      </c>
      <c r="E64" s="12" t="str">
        <f aca="false">INDEX('Risk Taxonomy'!$B$5:$B$24,MATCH(D64,'Risk Taxonomy'!$A$5:$A$24,0))</f>
        <v>Sanctions</v>
      </c>
      <c r="F64" s="28" t="n">
        <f aca="false">IFERROR(SUMPRODUCT((Indicators!$B$5:$B$35=F$4)*Indicators!$N$5:$N$35*'Indicator Scores'!$L$5:$L$35)/SUMPRODUCT((Indicators!$B$5:$B$35=F$4)*Indicators!$N$5:$N$35*('Indicator Scores'!$L$5:$L$35&gt;0)),0)</f>
        <v>3.57142857142857</v>
      </c>
      <c r="G64" s="28" t="n">
        <f aca="false">IFERROR(SUMPRODUCT((Indicators!$B$5:$B$35=G$4)*Indicators!$N$5:$N$35*'Indicator Scores'!$L$5:$L$35)/SUMPRODUCT((Indicators!$B$5:$B$35=G$4)*Indicators!$N$5:$N$35*('Indicator Scores'!$L$5:$L$35&gt;0)),0)</f>
        <v>4.14285714285714</v>
      </c>
      <c r="H64" s="28" t="n">
        <f aca="false">IFERROR(SUMPRODUCT((Indicators!$B$5:$B$35=H$4)*Indicators!$N$5:$N$35*'Indicator Scores'!$L$5:$L$35)/SUMPRODUCT((Indicators!$B$5:$B$35=H$4)*Indicators!$N$5:$N$35*('Indicator Scores'!$L$5:$L$35&gt;0)),0)</f>
        <v>4.125</v>
      </c>
      <c r="I64" s="28" t="n">
        <f aca="false">IFERROR(SUMPRODUCT((Indicators!$B$5:$B$35=I$4)*Indicators!$N$5:$N$35*'Indicator Scores'!$L$5:$L$35)/SUMPRODUCT((Indicators!$B$5:$B$35=I$4)*Indicators!$N$5:$N$35*('Indicator Scores'!$L$5:$L$35&gt;0)),0)</f>
        <v>4.33333333333333</v>
      </c>
      <c r="J64" s="28" t="n">
        <f aca="false">IFERROR(SUMPRODUCT((Indicators!$B$5:$B$35=J$4)*Indicators!$N$5:$N$35*'Indicator Scores'!$L$5:$L$35)/SUMPRODUCT((Indicators!$B$5:$B$35=J$4)*Indicators!$N$5:$N$35*('Indicator Scores'!$L$5:$L$35&gt;0)),0)</f>
        <v>4.4</v>
      </c>
      <c r="K64" s="28" t="n">
        <f aca="false">IFERROR(SUMPRODUCT(F64:J64,INDEX('Factor Weights'!$C$5:$G$11,MATCH(D64,'Factor Weights'!$A$5:$A$11,0),0))/SUMPRODUCT((F64:J64&gt;0)*INDEX('Factor Weights'!$C$5:$G$11,MATCH(D64,'Factor Weights'!$A$5:$A$11,0),0)),0)</f>
        <v>4.11452380952381</v>
      </c>
      <c r="L64" s="29" t="n">
        <f aca="false">MAX(F64:J64)</f>
        <v>4.4</v>
      </c>
      <c r="M64" s="28" t="n">
        <f aca="false">IF(L64&gt;=Config!$C$13,MAX(K64,Config!$C$14),K64)</f>
        <v>4.11452380952381</v>
      </c>
      <c r="N64" s="30" t="n">
        <f aca="false">IF(Config!$C$12="Weighted average",K64,IF(Config!$C$12="Weighted with floor",M64,L64))</f>
        <v>4.11452380952381</v>
      </c>
      <c r="O64" s="31" t="n">
        <f aca="false">IF(N64&lt;Config!$D$5,"",MATCH(N64,Config!$D$5:$D$9,1))</f>
        <v>4</v>
      </c>
      <c r="P64" s="7" t="str">
        <f aca="false">IF(O64="","No data",INDEX(Config!$B$5:$B$9,O64))</f>
        <v>Medium-High</v>
      </c>
      <c r="Q64" s="32" t="n">
        <v>0</v>
      </c>
      <c r="R64" s="8"/>
      <c r="S64" s="33"/>
      <c r="T64" s="34" t="n">
        <f aca="false">IF(O64="","",IF(AND(S64="Y",Q64&lt;&gt;0),MAX(1,MIN(5,O64+MAX(-Config!$C$27,MIN(Config!$C$27,Q64)))),O64))</f>
        <v>4</v>
      </c>
      <c r="U64" s="35" t="str">
        <f aca="false">IF(T64="","No data",INDEX(Config!$B$5:$B$9,T64))</f>
        <v>Medium-High</v>
      </c>
      <c r="V64" s="7" t="str">
        <f aca="false">IF(Q64=0,"None",IF(S64="Y","Applied","Pending HO approval"))</f>
        <v>None</v>
      </c>
      <c r="W64" s="36" t="n">
        <f aca="false">SUMPRODUCT((Indicators!$N$5:$N$35&gt;0)*('Indicator Data'!$L$5:$L$35&lt;&gt;""))/SUMPRODUCT(--(Indicators!$N$5:$N$35&gt;0))</f>
        <v>1</v>
      </c>
    </row>
    <row r="65" customFormat="false" ht="15" hidden="false" customHeight="false" outlineLevel="0" collapsed="false">
      <c r="A65" s="26" t="str">
        <f aca="false">Entities!$A$13</f>
        <v>SY</v>
      </c>
      <c r="B65" s="12" t="str">
        <f aca="false">INDEX(Entities!$B$5:$B$34,MATCH(A65,Entities!$A$5:$A$34,0))</f>
        <v>Arab Bank – Syria</v>
      </c>
      <c r="C65" s="12" t="str">
        <f aca="false">INDEX(Entities!$D$5:$D$34,MATCH(A65,Entities!$A$5:$A$34,0))</f>
        <v>Levant</v>
      </c>
      <c r="D65" s="12" t="s">
        <v>275</v>
      </c>
      <c r="E65" s="12" t="str">
        <f aca="false">INDEX('Risk Taxonomy'!$B$5:$B$24,MATCH(D65,'Risk Taxonomy'!$A$5:$A$24,0))</f>
        <v>Bribery and corruption</v>
      </c>
      <c r="F65" s="28" t="n">
        <f aca="false">IFERROR(SUMPRODUCT((Indicators!$B$5:$B$35=F$4)*Indicators!$O$5:$O$35*'Indicator Scores'!$L$5:$L$35)/SUMPRODUCT((Indicators!$B$5:$B$35=F$4)*Indicators!$O$5:$O$35*('Indicator Scores'!$L$5:$L$35&gt;0)),0)</f>
        <v>3.77777777777778</v>
      </c>
      <c r="G65" s="28" t="n">
        <f aca="false">IFERROR(SUMPRODUCT((Indicators!$B$5:$B$35=G$4)*Indicators!$O$5:$O$35*'Indicator Scores'!$L$5:$L$35)/SUMPRODUCT((Indicators!$B$5:$B$35=G$4)*Indicators!$O$5:$O$35*('Indicator Scores'!$L$5:$L$35&gt;0)),0)</f>
        <v>4.6</v>
      </c>
      <c r="H65" s="28" t="n">
        <f aca="false">IFERROR(SUMPRODUCT((Indicators!$B$5:$B$35=H$4)*Indicators!$O$5:$O$35*'Indicator Scores'!$L$5:$L$35)/SUMPRODUCT((Indicators!$B$5:$B$35=H$4)*Indicators!$O$5:$O$35*('Indicator Scores'!$L$5:$L$35&gt;0)),0)</f>
        <v>4.5</v>
      </c>
      <c r="I65" s="28" t="n">
        <f aca="false">IFERROR(SUMPRODUCT((Indicators!$B$5:$B$35=I$4)*Indicators!$O$5:$O$35*'Indicator Scores'!$L$5:$L$35)/SUMPRODUCT((Indicators!$B$5:$B$35=I$4)*Indicators!$O$5:$O$35*('Indicator Scores'!$L$5:$L$35&gt;0)),0)</f>
        <v>3</v>
      </c>
      <c r="J65" s="28" t="n">
        <f aca="false">IFERROR(SUMPRODUCT((Indicators!$B$5:$B$35=J$4)*Indicators!$O$5:$O$35*'Indicator Scores'!$L$5:$L$35)/SUMPRODUCT((Indicators!$B$5:$B$35=J$4)*Indicators!$O$5:$O$35*('Indicator Scores'!$L$5:$L$35&gt;0)),0)</f>
        <v>5</v>
      </c>
      <c r="K65" s="28" t="n">
        <f aca="false">IFERROR(SUMPRODUCT(F65:J65,INDEX('Factor Weights'!$C$5:$G$11,MATCH(D65,'Factor Weights'!$A$5:$A$11,0),0))/SUMPRODUCT((F65:J65&gt;0)*INDEX('Factor Weights'!$C$5:$G$11,MATCH(D65,'Factor Weights'!$A$5:$A$11,0),0)),0)</f>
        <v>4.05833333333333</v>
      </c>
      <c r="L65" s="29" t="n">
        <f aca="false">MAX(F65:J65)</f>
        <v>5</v>
      </c>
      <c r="M65" s="28" t="n">
        <f aca="false">IF(L65&gt;=Config!$C$13,MAX(K65,Config!$C$14),K65)</f>
        <v>4.05833333333333</v>
      </c>
      <c r="N65" s="30" t="n">
        <f aca="false">IF(Config!$C$12="Weighted average",K65,IF(Config!$C$12="Weighted with floor",M65,L65))</f>
        <v>4.05833333333333</v>
      </c>
      <c r="O65" s="31" t="n">
        <f aca="false">IF(N65&lt;Config!$D$5,"",MATCH(N65,Config!$D$5:$D$9,1))</f>
        <v>4</v>
      </c>
      <c r="P65" s="7" t="str">
        <f aca="false">IF(O65="","No data",INDEX(Config!$B$5:$B$9,O65))</f>
        <v>Medium-High</v>
      </c>
      <c r="Q65" s="32" t="n">
        <v>0</v>
      </c>
      <c r="R65" s="8"/>
      <c r="S65" s="33"/>
      <c r="T65" s="34" t="n">
        <f aca="false">IF(O65="","",IF(AND(S65="Y",Q65&lt;&gt;0),MAX(1,MIN(5,O65+MAX(-Config!$C$27,MIN(Config!$C$27,Q65)))),O65))</f>
        <v>4</v>
      </c>
      <c r="U65" s="35" t="str">
        <f aca="false">IF(T65="","No data",INDEX(Config!$B$5:$B$9,T65))</f>
        <v>Medium-High</v>
      </c>
      <c r="V65" s="7" t="str">
        <f aca="false">IF(Q65=0,"None",IF(S65="Y","Applied","Pending HO approval"))</f>
        <v>None</v>
      </c>
      <c r="W65" s="36" t="n">
        <f aca="false">SUMPRODUCT((Indicators!$O$5:$O$35&gt;0)*('Indicator Data'!$L$5:$L$35&lt;&gt;""))/SUMPRODUCT(--(Indicators!$O$5:$O$35&gt;0))</f>
        <v>1</v>
      </c>
    </row>
    <row r="66" customFormat="false" ht="15" hidden="false" customHeight="false" outlineLevel="0" collapsed="false">
      <c r="A66" s="26" t="str">
        <f aca="false">Entities!$A$13</f>
        <v>SY</v>
      </c>
      <c r="B66" s="12" t="str">
        <f aca="false">INDEX(Entities!$B$5:$B$34,MATCH(A66,Entities!$A$5:$A$34,0))</f>
        <v>Arab Bank – Syria</v>
      </c>
      <c r="C66" s="12" t="str">
        <f aca="false">INDEX(Entities!$D$5:$D$34,MATCH(A66,Entities!$A$5:$A$34,0))</f>
        <v>Levant</v>
      </c>
      <c r="D66" s="12" t="s">
        <v>278</v>
      </c>
      <c r="E66" s="12" t="str">
        <f aca="false">INDEX('Risk Taxonomy'!$B$5:$B$24,MATCH(D66,'Risk Taxonomy'!$A$5:$A$24,0))</f>
        <v>Fraud</v>
      </c>
      <c r="F66" s="28" t="n">
        <f aca="false">IFERROR(SUMPRODUCT((Indicators!$B$5:$B$35=F$4)*Indicators!$P$5:$P$35*'Indicator Scores'!$L$5:$L$35)/SUMPRODUCT((Indicators!$B$5:$B$35=F$4)*Indicators!$P$5:$P$35*('Indicator Scores'!$L$5:$L$35&gt;0)),0)</f>
        <v>3.66666666666667</v>
      </c>
      <c r="G66" s="28" t="n">
        <f aca="false">IFERROR(SUMPRODUCT((Indicators!$B$5:$B$35=G$4)*Indicators!$P$5:$P$35*'Indicator Scores'!$L$5:$L$35)/SUMPRODUCT((Indicators!$B$5:$B$35=G$4)*Indicators!$P$5:$P$35*('Indicator Scores'!$L$5:$L$35&gt;0)),0)</f>
        <v>4.5</v>
      </c>
      <c r="H66" s="28" t="n">
        <f aca="false">IFERROR(SUMPRODUCT((Indicators!$B$5:$B$35=H$4)*Indicators!$P$5:$P$35*'Indicator Scores'!$L$5:$L$35)/SUMPRODUCT((Indicators!$B$5:$B$35=H$4)*Indicators!$P$5:$P$35*('Indicator Scores'!$L$5:$L$35&gt;0)),0)</f>
        <v>4</v>
      </c>
      <c r="I66" s="28" t="n">
        <f aca="false">IFERROR(SUMPRODUCT((Indicators!$B$5:$B$35=I$4)*Indicators!$P$5:$P$35*'Indicator Scores'!$L$5:$L$35)/SUMPRODUCT((Indicators!$B$5:$B$35=I$4)*Indicators!$P$5:$P$35*('Indicator Scores'!$L$5:$L$35&gt;0)),0)</f>
        <v>3.88888888888889</v>
      </c>
      <c r="J66" s="28" t="n">
        <f aca="false">IFERROR(SUMPRODUCT((Indicators!$B$5:$B$35=J$4)*Indicators!$P$5:$P$35*'Indicator Scores'!$L$5:$L$35)/SUMPRODUCT((Indicators!$B$5:$B$35=J$4)*Indicators!$P$5:$P$35*('Indicator Scores'!$L$5:$L$35&gt;0)),0)</f>
        <v>4.2</v>
      </c>
      <c r="K66" s="28" t="n">
        <f aca="false">IFERROR(SUMPRODUCT(F66:J66,INDEX('Factor Weights'!$C$5:$G$11,MATCH(D66,'Factor Weights'!$A$5:$A$11,0),0))/SUMPRODUCT((F66:J66&gt;0)*INDEX('Factor Weights'!$C$5:$G$11,MATCH(D66,'Factor Weights'!$A$5:$A$11,0),0)),0)</f>
        <v>3.99</v>
      </c>
      <c r="L66" s="29" t="n">
        <f aca="false">MAX(F66:J66)</f>
        <v>4.5</v>
      </c>
      <c r="M66" s="28" t="n">
        <f aca="false">IF(L66&gt;=Config!$C$13,MAX(K66,Config!$C$14),K66)</f>
        <v>3.99</v>
      </c>
      <c r="N66" s="30" t="n">
        <f aca="false">IF(Config!$C$12="Weighted average",K66,IF(Config!$C$12="Weighted with floor",M66,L66))</f>
        <v>3.99</v>
      </c>
      <c r="O66" s="31" t="n">
        <f aca="false">IF(N66&lt;Config!$D$5,"",MATCH(N66,Config!$D$5:$D$9,1))</f>
        <v>4</v>
      </c>
      <c r="P66" s="7" t="str">
        <f aca="false">IF(O66="","No data",INDEX(Config!$B$5:$B$9,O66))</f>
        <v>Medium-High</v>
      </c>
      <c r="Q66" s="32" t="n">
        <v>0</v>
      </c>
      <c r="R66" s="8"/>
      <c r="S66" s="33"/>
      <c r="T66" s="34" t="n">
        <f aca="false">IF(O66="","",IF(AND(S66="Y",Q66&lt;&gt;0),MAX(1,MIN(5,O66+MAX(-Config!$C$27,MIN(Config!$C$27,Q66)))),O66))</f>
        <v>4</v>
      </c>
      <c r="U66" s="35" t="str">
        <f aca="false">IF(T66="","No data",INDEX(Config!$B$5:$B$9,T66))</f>
        <v>Medium-High</v>
      </c>
      <c r="V66" s="7" t="str">
        <f aca="false">IF(Q66=0,"None",IF(S66="Y","Applied","Pending HO approval"))</f>
        <v>None</v>
      </c>
      <c r="W66" s="36" t="n">
        <f aca="false">SUMPRODUCT((Indicators!$P$5:$P$35&gt;0)*('Indicator Data'!$L$5:$L$35&lt;&gt;""))/SUMPRODUCT(--(Indicators!$P$5:$P$35&gt;0))</f>
        <v>1</v>
      </c>
    </row>
    <row r="67" customFormat="false" ht="15" hidden="false" customHeight="false" outlineLevel="0" collapsed="false">
      <c r="A67" s="26" t="str">
        <f aca="false">Entities!$A$13</f>
        <v>SY</v>
      </c>
      <c r="B67" s="12" t="str">
        <f aca="false">INDEX(Entities!$B$5:$B$34,MATCH(A67,Entities!$A$5:$A$34,0))</f>
        <v>Arab Bank – Syria</v>
      </c>
      <c r="C67" s="12" t="str">
        <f aca="false">INDEX(Entities!$D$5:$D$34,MATCH(A67,Entities!$A$5:$A$34,0))</f>
        <v>Levant</v>
      </c>
      <c r="D67" s="12" t="s">
        <v>281</v>
      </c>
      <c r="E67" s="12" t="str">
        <f aca="false">INDEX('Risk Taxonomy'!$B$5:$B$24,MATCH(D67,'Risk Taxonomy'!$A$5:$A$24,0))</f>
        <v>Tax evasion and tax transparency</v>
      </c>
      <c r="F67" s="28" t="n">
        <f aca="false">IFERROR(SUMPRODUCT((Indicators!$B$5:$B$35=F$4)*Indicators!$Q$5:$Q$35*'Indicator Scores'!$L$5:$L$35)/SUMPRODUCT((Indicators!$B$5:$B$35=F$4)*Indicators!$Q$5:$Q$35*('Indicator Scores'!$L$5:$L$35&gt;0)),0)</f>
        <v>3.66666666666667</v>
      </c>
      <c r="G67" s="28" t="n">
        <f aca="false">IFERROR(SUMPRODUCT((Indicators!$B$5:$B$35=G$4)*Indicators!$Q$5:$Q$35*'Indicator Scores'!$L$5:$L$35)/SUMPRODUCT((Indicators!$B$5:$B$35=G$4)*Indicators!$Q$5:$Q$35*('Indicator Scores'!$L$5:$L$35&gt;0)),0)</f>
        <v>4.16666666666667</v>
      </c>
      <c r="H67" s="28" t="n">
        <f aca="false">IFERROR(SUMPRODUCT((Indicators!$B$5:$B$35=H$4)*Indicators!$Q$5:$Q$35*'Indicator Scores'!$L$5:$L$35)/SUMPRODUCT((Indicators!$B$5:$B$35=H$4)*Indicators!$Q$5:$Q$35*('Indicator Scores'!$L$5:$L$35&gt;0)),0)</f>
        <v>4.33333333333333</v>
      </c>
      <c r="I67" s="28" t="n">
        <f aca="false">IFERROR(SUMPRODUCT((Indicators!$B$5:$B$35=I$4)*Indicators!$Q$5:$Q$35*'Indicator Scores'!$L$5:$L$35)/SUMPRODUCT((Indicators!$B$5:$B$35=I$4)*Indicators!$Q$5:$Q$35*('Indicator Scores'!$L$5:$L$35&gt;0)),0)</f>
        <v>3</v>
      </c>
      <c r="J67" s="28" t="n">
        <f aca="false">IFERROR(SUMPRODUCT((Indicators!$B$5:$B$35=J$4)*Indicators!$Q$5:$Q$35*'Indicator Scores'!$L$5:$L$35)/SUMPRODUCT((Indicators!$B$5:$B$35=J$4)*Indicators!$Q$5:$Q$35*('Indicator Scores'!$L$5:$L$35&gt;0)),0)</f>
        <v>4.2</v>
      </c>
      <c r="K67" s="28" t="n">
        <f aca="false">IFERROR(SUMPRODUCT(F67:J67,INDEX('Factor Weights'!$C$5:$G$11,MATCH(D67,'Factor Weights'!$A$5:$A$11,0),0))/SUMPRODUCT((F67:J67&gt;0)*INDEX('Factor Weights'!$C$5:$G$11,MATCH(D67,'Factor Weights'!$A$5:$A$11,0),0)),0)</f>
        <v>3.91166666666667</v>
      </c>
      <c r="L67" s="29" t="n">
        <f aca="false">MAX(F67:J67)</f>
        <v>4.33333333333333</v>
      </c>
      <c r="M67" s="28" t="n">
        <f aca="false">IF(L67&gt;=Config!$C$13,MAX(K67,Config!$C$14),K67)</f>
        <v>3.91166666666667</v>
      </c>
      <c r="N67" s="30" t="n">
        <f aca="false">IF(Config!$C$12="Weighted average",K67,IF(Config!$C$12="Weighted with floor",M67,L67))</f>
        <v>3.91166666666667</v>
      </c>
      <c r="O67" s="31" t="n">
        <f aca="false">IF(N67&lt;Config!$D$5,"",MATCH(N67,Config!$D$5:$D$9,1))</f>
        <v>4</v>
      </c>
      <c r="P67" s="7" t="str">
        <f aca="false">IF(O67="","No data",INDEX(Config!$B$5:$B$9,O67))</f>
        <v>Medium-High</v>
      </c>
      <c r="Q67" s="32" t="n">
        <v>0</v>
      </c>
      <c r="R67" s="8"/>
      <c r="S67" s="33"/>
      <c r="T67" s="34" t="n">
        <f aca="false">IF(O67="","",IF(AND(S67="Y",Q67&lt;&gt;0),MAX(1,MIN(5,O67+MAX(-Config!$C$27,MIN(Config!$C$27,Q67)))),O67))</f>
        <v>4</v>
      </c>
      <c r="U67" s="35" t="str">
        <f aca="false">IF(T67="","No data",INDEX(Config!$B$5:$B$9,T67))</f>
        <v>Medium-High</v>
      </c>
      <c r="V67" s="7" t="str">
        <f aca="false">IF(Q67=0,"None",IF(S67="Y","Applied","Pending HO approval"))</f>
        <v>None</v>
      </c>
      <c r="W67" s="36" t="n">
        <f aca="false">SUMPRODUCT((Indicators!$Q$5:$Q$35&gt;0)*('Indicator Data'!$L$5:$L$35&lt;&gt;""))/SUMPRODUCT(--(Indicators!$Q$5:$Q$35&gt;0))</f>
        <v>1</v>
      </c>
    </row>
    <row r="68" customFormat="false" ht="15" hidden="false" customHeight="false" outlineLevel="0" collapsed="false">
      <c r="A68" s="26" t="str">
        <f aca="false">Entities!$A$14</f>
        <v>AE</v>
      </c>
      <c r="B68" s="12" t="str">
        <f aca="false">INDEX(Entities!$B$5:$B$34,MATCH(A68,Entities!$A$5:$A$34,0))</f>
        <v>Arab Bank – UAE</v>
      </c>
      <c r="C68" s="12" t="str">
        <f aca="false">INDEX(Entities!$D$5:$D$34,MATCH(A68,Entities!$A$5:$A$34,0))</f>
        <v>GCC</v>
      </c>
      <c r="D68" s="12" t="s">
        <v>260</v>
      </c>
      <c r="E68" s="12" t="str">
        <f aca="false">INDEX('Risk Taxonomy'!$B$5:$B$24,MATCH(D68,'Risk Taxonomy'!$A$5:$A$24,0))</f>
        <v>Money laundering</v>
      </c>
      <c r="F68" s="28" t="n">
        <f aca="false">IFERROR(SUMPRODUCT((Indicators!$B$5:$B$35=F$4)*Indicators!$K$5:$K$35*'Indicator Scores'!$M$5:$M$35)/SUMPRODUCT((Indicators!$B$5:$B$35=F$4)*Indicators!$K$5:$K$35*('Indicator Scores'!$M$5:$M$35&gt;0)),0)</f>
        <v>2.75</v>
      </c>
      <c r="G68" s="28" t="n">
        <f aca="false">IFERROR(SUMPRODUCT((Indicators!$B$5:$B$35=G$4)*Indicators!$K$5:$K$35*'Indicator Scores'!$M$5:$M$35)/SUMPRODUCT((Indicators!$B$5:$B$35=G$4)*Indicators!$K$5:$K$35*('Indicator Scores'!$M$5:$M$35&gt;0)),0)</f>
        <v>3</v>
      </c>
      <c r="H68" s="28" t="n">
        <f aca="false">IFERROR(SUMPRODUCT((Indicators!$B$5:$B$35=H$4)*Indicators!$K$5:$K$35*'Indicator Scores'!$M$5:$M$35)/SUMPRODUCT((Indicators!$B$5:$B$35=H$4)*Indicators!$K$5:$K$35*('Indicator Scores'!$M$5:$M$35&gt;0)),0)</f>
        <v>2.8</v>
      </c>
      <c r="I68" s="28" t="n">
        <f aca="false">IFERROR(SUMPRODUCT((Indicators!$B$5:$B$35=I$4)*Indicators!$K$5:$K$35*'Indicator Scores'!$M$5:$M$35)/SUMPRODUCT((Indicators!$B$5:$B$35=I$4)*Indicators!$K$5:$K$35*('Indicator Scores'!$M$5:$M$35&gt;0)),0)</f>
        <v>3.28571428571429</v>
      </c>
      <c r="J68" s="28" t="n">
        <f aca="false">IFERROR(SUMPRODUCT((Indicators!$B$5:$B$35=J$4)*Indicators!$K$5:$K$35*'Indicator Scores'!$M$5:$M$35)/SUMPRODUCT((Indicators!$B$5:$B$35=J$4)*Indicators!$K$5:$K$35*('Indicator Scores'!$M$5:$M$35&gt;0)),0)</f>
        <v>2.5</v>
      </c>
      <c r="K68" s="28" t="n">
        <f aca="false">IFERROR(SUMPRODUCT(F68:J68,INDEX('Factor Weights'!$C$5:$G$11,MATCH(D68,'Factor Weights'!$A$5:$A$11,0),0))/SUMPRODUCT((F68:J68&gt;0)*INDEX('Factor Weights'!$C$5:$G$11,MATCH(D68,'Factor Weights'!$A$5:$A$11,0),0)),0)</f>
        <v>2.87785714285714</v>
      </c>
      <c r="L68" s="29" t="n">
        <f aca="false">MAX(F68:J68)</f>
        <v>3.28571428571429</v>
      </c>
      <c r="M68" s="28" t="n">
        <f aca="false">IF(L68&gt;=Config!$C$13,MAX(K68,Config!$C$14),K68)</f>
        <v>2.87785714285714</v>
      </c>
      <c r="N68" s="30" t="n">
        <f aca="false">IF(Config!$C$12="Weighted average",K68,IF(Config!$C$12="Weighted with floor",M68,L68))</f>
        <v>2.87785714285714</v>
      </c>
      <c r="O68" s="31" t="n">
        <f aca="false">IF(N68&lt;Config!$D$5,"",MATCH(N68,Config!$D$5:$D$9,1))</f>
        <v>3</v>
      </c>
      <c r="P68" s="7" t="str">
        <f aca="false">IF(O68="","No data",INDEX(Config!$B$5:$B$9,O68))</f>
        <v>Medium</v>
      </c>
      <c r="Q68" s="32" t="n">
        <v>0</v>
      </c>
      <c r="R68" s="8"/>
      <c r="S68" s="33"/>
      <c r="T68" s="34" t="n">
        <f aca="false">IF(O68="","",IF(AND(S68="Y",Q68&lt;&gt;0),MAX(1,MIN(5,O68+MAX(-Config!$C$27,MIN(Config!$C$27,Q68)))),O68))</f>
        <v>3</v>
      </c>
      <c r="U68" s="35" t="str">
        <f aca="false">IF(T68="","No data",INDEX(Config!$B$5:$B$9,T68))</f>
        <v>Medium</v>
      </c>
      <c r="V68" s="7" t="str">
        <f aca="false">IF(Q68=0,"None",IF(S68="Y","Applied","Pending HO approval"))</f>
        <v>None</v>
      </c>
      <c r="W68" s="36" t="n">
        <f aca="false">SUMPRODUCT((Indicators!$K$5:$K$35&gt;0)*('Indicator Data'!$M$5:$M$35&lt;&gt;""))/SUMPRODUCT(--(Indicators!$K$5:$K$35&gt;0))</f>
        <v>1</v>
      </c>
    </row>
    <row r="69" customFormat="false" ht="15" hidden="false" customHeight="false" outlineLevel="0" collapsed="false">
      <c r="A69" s="26" t="str">
        <f aca="false">Entities!$A$14</f>
        <v>AE</v>
      </c>
      <c r="B69" s="12" t="str">
        <f aca="false">INDEX(Entities!$B$5:$B$34,MATCH(A69,Entities!$A$5:$A$34,0))</f>
        <v>Arab Bank – UAE</v>
      </c>
      <c r="C69" s="12" t="str">
        <f aca="false">INDEX(Entities!$D$5:$D$34,MATCH(A69,Entities!$A$5:$A$34,0))</f>
        <v>GCC</v>
      </c>
      <c r="D69" s="12" t="s">
        <v>267</v>
      </c>
      <c r="E69" s="12" t="str">
        <f aca="false">INDEX('Risk Taxonomy'!$B$5:$B$24,MATCH(D69,'Risk Taxonomy'!$A$5:$A$24,0))</f>
        <v>Terrorist financing</v>
      </c>
      <c r="F69" s="28" t="n">
        <f aca="false">IFERROR(SUMPRODUCT((Indicators!$B$5:$B$35=F$4)*Indicators!$L$5:$L$35*'Indicator Scores'!$M$5:$M$35)/SUMPRODUCT((Indicators!$B$5:$B$35=F$4)*Indicators!$L$5:$L$35*('Indicator Scores'!$M$5:$M$35&gt;0)),0)</f>
        <v>3.2</v>
      </c>
      <c r="G69" s="28" t="n">
        <f aca="false">IFERROR(SUMPRODUCT((Indicators!$B$5:$B$35=G$4)*Indicators!$L$5:$L$35*'Indicator Scores'!$M$5:$M$35)/SUMPRODUCT((Indicators!$B$5:$B$35=G$4)*Indicators!$L$5:$L$35*('Indicator Scores'!$M$5:$M$35&gt;0)),0)</f>
        <v>2.33333333333333</v>
      </c>
      <c r="H69" s="28" t="n">
        <f aca="false">IFERROR(SUMPRODUCT((Indicators!$B$5:$B$35=H$4)*Indicators!$L$5:$L$35*'Indicator Scores'!$M$5:$M$35)/SUMPRODUCT((Indicators!$B$5:$B$35=H$4)*Indicators!$L$5:$L$35*('Indicator Scores'!$M$5:$M$35&gt;0)),0)</f>
        <v>2.66666666666667</v>
      </c>
      <c r="I69" s="28" t="n">
        <f aca="false">IFERROR(SUMPRODUCT((Indicators!$B$5:$B$35=I$4)*Indicators!$L$5:$L$35*'Indicator Scores'!$M$5:$M$35)/SUMPRODUCT((Indicators!$B$5:$B$35=I$4)*Indicators!$L$5:$L$35*('Indicator Scores'!$M$5:$M$35&gt;0)),0)</f>
        <v>3.16666666666667</v>
      </c>
      <c r="J69" s="28" t="n">
        <f aca="false">IFERROR(SUMPRODUCT((Indicators!$B$5:$B$35=J$4)*Indicators!$L$5:$L$35*'Indicator Scores'!$M$5:$M$35)/SUMPRODUCT((Indicators!$B$5:$B$35=J$4)*Indicators!$L$5:$L$35*('Indicator Scores'!$M$5:$M$35&gt;0)),0)</f>
        <v>2.71428571428571</v>
      </c>
      <c r="K69" s="28" t="n">
        <f aca="false">IFERROR(SUMPRODUCT(F69:J69,INDEX('Factor Weights'!$C$5:$G$11,MATCH(D69,'Factor Weights'!$A$5:$A$11,0),0))/SUMPRODUCT((F69:J69&gt;0)*INDEX('Factor Weights'!$C$5:$G$11,MATCH(D69,'Factor Weights'!$A$5:$A$11,0),0)),0)</f>
        <v>2.75952380952381</v>
      </c>
      <c r="L69" s="29" t="n">
        <f aca="false">MAX(F69:J69)</f>
        <v>3.2</v>
      </c>
      <c r="M69" s="28" t="n">
        <f aca="false">IF(L69&gt;=Config!$C$13,MAX(K69,Config!$C$14),K69)</f>
        <v>2.75952380952381</v>
      </c>
      <c r="N69" s="30" t="n">
        <f aca="false">IF(Config!$C$12="Weighted average",K69,IF(Config!$C$12="Weighted with floor",M69,L69))</f>
        <v>2.75952380952381</v>
      </c>
      <c r="O69" s="31" t="n">
        <f aca="false">IF(N69&lt;Config!$D$5,"",MATCH(N69,Config!$D$5:$D$9,1))</f>
        <v>3</v>
      </c>
      <c r="P69" s="7" t="str">
        <f aca="false">IF(O69="","No data",INDEX(Config!$B$5:$B$9,O69))</f>
        <v>Medium</v>
      </c>
      <c r="Q69" s="32" t="n">
        <v>0</v>
      </c>
      <c r="R69" s="8"/>
      <c r="S69" s="33"/>
      <c r="T69" s="34" t="n">
        <f aca="false">IF(O69="","",IF(AND(S69="Y",Q69&lt;&gt;0),MAX(1,MIN(5,O69+MAX(-Config!$C$27,MIN(Config!$C$27,Q69)))),O69))</f>
        <v>3</v>
      </c>
      <c r="U69" s="35" t="str">
        <f aca="false">IF(T69="","No data",INDEX(Config!$B$5:$B$9,T69))</f>
        <v>Medium</v>
      </c>
      <c r="V69" s="7" t="str">
        <f aca="false">IF(Q69=0,"None",IF(S69="Y","Applied","Pending HO approval"))</f>
        <v>None</v>
      </c>
      <c r="W69" s="36" t="n">
        <f aca="false">SUMPRODUCT((Indicators!$L$5:$L$35&gt;0)*('Indicator Data'!$M$5:$M$35&lt;&gt;""))/SUMPRODUCT(--(Indicators!$L$5:$L$35&gt;0))</f>
        <v>1</v>
      </c>
    </row>
    <row r="70" customFormat="false" ht="15" hidden="false" customHeight="false" outlineLevel="0" collapsed="false">
      <c r="A70" s="26" t="str">
        <f aca="false">Entities!$A$14</f>
        <v>AE</v>
      </c>
      <c r="B70" s="12" t="str">
        <f aca="false">INDEX(Entities!$B$5:$B$34,MATCH(A70,Entities!$A$5:$A$34,0))</f>
        <v>Arab Bank – UAE</v>
      </c>
      <c r="C70" s="12" t="str">
        <f aca="false">INDEX(Entities!$D$5:$D$34,MATCH(A70,Entities!$A$5:$A$34,0))</f>
        <v>GCC</v>
      </c>
      <c r="D70" s="12" t="s">
        <v>270</v>
      </c>
      <c r="E70" s="12" t="str">
        <f aca="false">INDEX('Risk Taxonomy'!$B$5:$B$24,MATCH(D70,'Risk Taxonomy'!$A$5:$A$24,0))</f>
        <v>Proliferation financing</v>
      </c>
      <c r="F70" s="28" t="n">
        <f aca="false">IFERROR(SUMPRODUCT((Indicators!$B$5:$B$35=F$4)*Indicators!$M$5:$M$35*'Indicator Scores'!$M$5:$M$35)/SUMPRODUCT((Indicators!$B$5:$B$35=F$4)*Indicators!$M$5:$M$35*('Indicator Scores'!$M$5:$M$35&gt;0)),0)</f>
        <v>2.25</v>
      </c>
      <c r="G70" s="28" t="n">
        <f aca="false">IFERROR(SUMPRODUCT((Indicators!$B$5:$B$35=G$4)*Indicators!$M$5:$M$35*'Indicator Scores'!$M$5:$M$35)/SUMPRODUCT((Indicators!$B$5:$B$35=G$4)*Indicators!$M$5:$M$35*('Indicator Scores'!$M$5:$M$35&gt;0)),0)</f>
        <v>2.75</v>
      </c>
      <c r="H70" s="28" t="n">
        <f aca="false">IFERROR(SUMPRODUCT((Indicators!$B$5:$B$35=H$4)*Indicators!$M$5:$M$35*'Indicator Scores'!$M$5:$M$35)/SUMPRODUCT((Indicators!$B$5:$B$35=H$4)*Indicators!$M$5:$M$35*('Indicator Scores'!$M$5:$M$35&gt;0)),0)</f>
        <v>2.66666666666667</v>
      </c>
      <c r="I70" s="28" t="n">
        <f aca="false">IFERROR(SUMPRODUCT((Indicators!$B$5:$B$35=I$4)*Indicators!$M$5:$M$35*'Indicator Scores'!$M$5:$M$35)/SUMPRODUCT((Indicators!$B$5:$B$35=I$4)*Indicators!$M$5:$M$35*('Indicator Scores'!$M$5:$M$35&gt;0)),0)</f>
        <v>3</v>
      </c>
      <c r="J70" s="28" t="n">
        <f aca="false">IFERROR(SUMPRODUCT((Indicators!$B$5:$B$35=J$4)*Indicators!$M$5:$M$35*'Indicator Scores'!$M$5:$M$35)/SUMPRODUCT((Indicators!$B$5:$B$35=J$4)*Indicators!$M$5:$M$35*('Indicator Scores'!$M$5:$M$35&gt;0)),0)</f>
        <v>1.5</v>
      </c>
      <c r="K70" s="28" t="n">
        <f aca="false">IFERROR(SUMPRODUCT(F70:J70,INDEX('Factor Weights'!$C$5:$G$11,MATCH(D70,'Factor Weights'!$A$5:$A$11,0),0))/SUMPRODUCT((F70:J70&gt;0)*INDEX('Factor Weights'!$C$5:$G$11,MATCH(D70,'Factor Weights'!$A$5:$A$11,0),0)),0)</f>
        <v>2.4125</v>
      </c>
      <c r="L70" s="29" t="n">
        <f aca="false">MAX(F70:J70)</f>
        <v>3</v>
      </c>
      <c r="M70" s="28" t="n">
        <f aca="false">IF(L70&gt;=Config!$C$13,MAX(K70,Config!$C$14),K70)</f>
        <v>2.4125</v>
      </c>
      <c r="N70" s="30" t="n">
        <f aca="false">IF(Config!$C$12="Weighted average",K70,IF(Config!$C$12="Weighted with floor",M70,L70))</f>
        <v>2.4125</v>
      </c>
      <c r="O70" s="31" t="n">
        <f aca="false">IF(N70&lt;Config!$D$5,"",MATCH(N70,Config!$D$5:$D$9,1))</f>
        <v>2</v>
      </c>
      <c r="P70" s="7" t="str">
        <f aca="false">IF(O70="","No data",INDEX(Config!$B$5:$B$9,O70))</f>
        <v>Medium-Low</v>
      </c>
      <c r="Q70" s="32" t="n">
        <v>0</v>
      </c>
      <c r="R70" s="8"/>
      <c r="S70" s="33"/>
      <c r="T70" s="34" t="n">
        <f aca="false">IF(O70="","",IF(AND(S70="Y",Q70&lt;&gt;0),MAX(1,MIN(5,O70+MAX(-Config!$C$27,MIN(Config!$C$27,Q70)))),O70))</f>
        <v>2</v>
      </c>
      <c r="U70" s="35" t="str">
        <f aca="false">IF(T70="","No data",INDEX(Config!$B$5:$B$9,T70))</f>
        <v>Medium-Low</v>
      </c>
      <c r="V70" s="7" t="str">
        <f aca="false">IF(Q70=0,"None",IF(S70="Y","Applied","Pending HO approval"))</f>
        <v>None</v>
      </c>
      <c r="W70" s="36" t="n">
        <f aca="false">SUMPRODUCT((Indicators!$M$5:$M$35&gt;0)*('Indicator Data'!$M$5:$M$35&lt;&gt;""))/SUMPRODUCT(--(Indicators!$M$5:$M$35&gt;0))</f>
        <v>1</v>
      </c>
    </row>
    <row r="71" customFormat="false" ht="15" hidden="false" customHeight="false" outlineLevel="0" collapsed="false">
      <c r="A71" s="26" t="str">
        <f aca="false">Entities!$A$14</f>
        <v>AE</v>
      </c>
      <c r="B71" s="12" t="str">
        <f aca="false">INDEX(Entities!$B$5:$B$34,MATCH(A71,Entities!$A$5:$A$34,0))</f>
        <v>Arab Bank – UAE</v>
      </c>
      <c r="C71" s="12" t="str">
        <f aca="false">INDEX(Entities!$D$5:$D$34,MATCH(A71,Entities!$A$5:$A$34,0))</f>
        <v>GCC</v>
      </c>
      <c r="D71" s="12" t="s">
        <v>272</v>
      </c>
      <c r="E71" s="12" t="str">
        <f aca="false">INDEX('Risk Taxonomy'!$B$5:$B$24,MATCH(D71,'Risk Taxonomy'!$A$5:$A$24,0))</f>
        <v>Sanctions</v>
      </c>
      <c r="F71" s="28" t="n">
        <f aca="false">IFERROR(SUMPRODUCT((Indicators!$B$5:$B$35=F$4)*Indicators!$N$5:$N$35*'Indicator Scores'!$M$5:$M$35)/SUMPRODUCT((Indicators!$B$5:$B$35=F$4)*Indicators!$N$5:$N$35*('Indicator Scores'!$M$5:$M$35&gt;0)),0)</f>
        <v>2.71428571428571</v>
      </c>
      <c r="G71" s="28" t="n">
        <f aca="false">IFERROR(SUMPRODUCT((Indicators!$B$5:$B$35=G$4)*Indicators!$N$5:$N$35*'Indicator Scores'!$M$5:$M$35)/SUMPRODUCT((Indicators!$B$5:$B$35=G$4)*Indicators!$N$5:$N$35*('Indicator Scores'!$M$5:$M$35&gt;0)),0)</f>
        <v>2.71428571428571</v>
      </c>
      <c r="H71" s="28" t="n">
        <f aca="false">IFERROR(SUMPRODUCT((Indicators!$B$5:$B$35=H$4)*Indicators!$N$5:$N$35*'Indicator Scores'!$M$5:$M$35)/SUMPRODUCT((Indicators!$B$5:$B$35=H$4)*Indicators!$N$5:$N$35*('Indicator Scores'!$M$5:$M$35&gt;0)),0)</f>
        <v>2.75</v>
      </c>
      <c r="I71" s="28" t="n">
        <f aca="false">IFERROR(SUMPRODUCT((Indicators!$B$5:$B$35=I$4)*Indicators!$N$5:$N$35*'Indicator Scores'!$M$5:$M$35)/SUMPRODUCT((Indicators!$B$5:$B$35=I$4)*Indicators!$N$5:$N$35*('Indicator Scores'!$M$5:$M$35&gt;0)),0)</f>
        <v>3</v>
      </c>
      <c r="J71" s="28" t="n">
        <f aca="false">IFERROR(SUMPRODUCT((Indicators!$B$5:$B$35=J$4)*Indicators!$N$5:$N$35*'Indicator Scores'!$M$5:$M$35)/SUMPRODUCT((Indicators!$B$5:$B$35=J$4)*Indicators!$N$5:$N$35*('Indicator Scores'!$M$5:$M$35&gt;0)),0)</f>
        <v>1.6</v>
      </c>
      <c r="K71" s="28" t="n">
        <f aca="false">IFERROR(SUMPRODUCT(F71:J71,INDEX('Factor Weights'!$C$5:$G$11,MATCH(D71,'Factor Weights'!$A$5:$A$11,0),0))/SUMPRODUCT((F71:J71&gt;0)*INDEX('Factor Weights'!$C$5:$G$11,MATCH(D71,'Factor Weights'!$A$5:$A$11,0),0)),0)</f>
        <v>2.51285714285714</v>
      </c>
      <c r="L71" s="29" t="n">
        <f aca="false">MAX(F71:J71)</f>
        <v>3</v>
      </c>
      <c r="M71" s="28" t="n">
        <f aca="false">IF(L71&gt;=Config!$C$13,MAX(K71,Config!$C$14),K71)</f>
        <v>2.51285714285714</v>
      </c>
      <c r="N71" s="30" t="n">
        <f aca="false">IF(Config!$C$12="Weighted average",K71,IF(Config!$C$12="Weighted with floor",M71,L71))</f>
        <v>2.51285714285714</v>
      </c>
      <c r="O71" s="31" t="n">
        <f aca="false">IF(N71&lt;Config!$D$5,"",MATCH(N71,Config!$D$5:$D$9,1))</f>
        <v>2</v>
      </c>
      <c r="P71" s="7" t="str">
        <f aca="false">IF(O71="","No data",INDEX(Config!$B$5:$B$9,O71))</f>
        <v>Medium-Low</v>
      </c>
      <c r="Q71" s="32" t="n">
        <v>1</v>
      </c>
      <c r="R71" s="8" t="s">
        <v>458</v>
      </c>
      <c r="S71" s="33" t="s">
        <v>111</v>
      </c>
      <c r="T71" s="34" t="n">
        <f aca="false">IF(O71="","",IF(AND(S71="Y",Q71&lt;&gt;0),MAX(1,MIN(5,O71+MAX(-Config!$C$27,MIN(Config!$C$27,Q71)))),O71))</f>
        <v>3</v>
      </c>
      <c r="U71" s="35" t="str">
        <f aca="false">IF(T71="","No data",INDEX(Config!$B$5:$B$9,T71))</f>
        <v>Medium</v>
      </c>
      <c r="V71" s="7" t="str">
        <f aca="false">IF(Q71=0,"None",IF(S71="Y","Applied","Pending HO approval"))</f>
        <v>Applied</v>
      </c>
      <c r="W71" s="36" t="n">
        <f aca="false">SUMPRODUCT((Indicators!$N$5:$N$35&gt;0)*('Indicator Data'!$M$5:$M$35&lt;&gt;""))/SUMPRODUCT(--(Indicators!$N$5:$N$35&gt;0))</f>
        <v>1</v>
      </c>
    </row>
    <row r="72" customFormat="false" ht="15" hidden="false" customHeight="false" outlineLevel="0" collapsed="false">
      <c r="A72" s="26" t="str">
        <f aca="false">Entities!$A$14</f>
        <v>AE</v>
      </c>
      <c r="B72" s="12" t="str">
        <f aca="false">INDEX(Entities!$B$5:$B$34,MATCH(A72,Entities!$A$5:$A$34,0))</f>
        <v>Arab Bank – UAE</v>
      </c>
      <c r="C72" s="12" t="str">
        <f aca="false">INDEX(Entities!$D$5:$D$34,MATCH(A72,Entities!$A$5:$A$34,0))</f>
        <v>GCC</v>
      </c>
      <c r="D72" s="12" t="s">
        <v>275</v>
      </c>
      <c r="E72" s="12" t="str">
        <f aca="false">INDEX('Risk Taxonomy'!$B$5:$B$24,MATCH(D72,'Risk Taxonomy'!$A$5:$A$24,0))</f>
        <v>Bribery and corruption</v>
      </c>
      <c r="F72" s="28" t="n">
        <f aca="false">IFERROR(SUMPRODUCT((Indicators!$B$5:$B$35=F$4)*Indicators!$O$5:$O$35*'Indicator Scores'!$M$5:$M$35)/SUMPRODUCT((Indicators!$B$5:$B$35=F$4)*Indicators!$O$5:$O$35*('Indicator Scores'!$M$5:$M$35&gt;0)),0)</f>
        <v>2.88888888888889</v>
      </c>
      <c r="G72" s="28" t="n">
        <f aca="false">IFERROR(SUMPRODUCT((Indicators!$B$5:$B$35=G$4)*Indicators!$O$5:$O$35*'Indicator Scores'!$M$5:$M$35)/SUMPRODUCT((Indicators!$B$5:$B$35=G$4)*Indicators!$O$5:$O$35*('Indicator Scores'!$M$5:$M$35&gt;0)),0)</f>
        <v>3.6</v>
      </c>
      <c r="H72" s="28" t="n">
        <f aca="false">IFERROR(SUMPRODUCT((Indicators!$B$5:$B$35=H$4)*Indicators!$O$5:$O$35*'Indicator Scores'!$M$5:$M$35)/SUMPRODUCT((Indicators!$B$5:$B$35=H$4)*Indicators!$O$5:$O$35*('Indicator Scores'!$M$5:$M$35&gt;0)),0)</f>
        <v>3</v>
      </c>
      <c r="I72" s="28" t="n">
        <f aca="false">IFERROR(SUMPRODUCT((Indicators!$B$5:$B$35=I$4)*Indicators!$O$5:$O$35*'Indicator Scores'!$M$5:$M$35)/SUMPRODUCT((Indicators!$B$5:$B$35=I$4)*Indicators!$O$5:$O$35*('Indicator Scores'!$M$5:$M$35&gt;0)),0)</f>
        <v>2.4</v>
      </c>
      <c r="J72" s="28" t="n">
        <f aca="false">IFERROR(SUMPRODUCT((Indicators!$B$5:$B$35=J$4)*Indicators!$O$5:$O$35*'Indicator Scores'!$M$5:$M$35)/SUMPRODUCT((Indicators!$B$5:$B$35=J$4)*Indicators!$O$5:$O$35*('Indicator Scores'!$M$5:$M$35&gt;0)),0)</f>
        <v>1</v>
      </c>
      <c r="K72" s="28" t="n">
        <f aca="false">IFERROR(SUMPRODUCT(F72:J72,INDEX('Factor Weights'!$C$5:$G$11,MATCH(D72,'Factor Weights'!$A$5:$A$11,0),0))/SUMPRODUCT((F72:J72&gt;0)*INDEX('Factor Weights'!$C$5:$G$11,MATCH(D72,'Factor Weights'!$A$5:$A$11,0),0)),0)</f>
        <v>2.79666666666667</v>
      </c>
      <c r="L72" s="29" t="n">
        <f aca="false">MAX(F72:J72)</f>
        <v>3.6</v>
      </c>
      <c r="M72" s="28" t="n">
        <f aca="false">IF(L72&gt;=Config!$C$13,MAX(K72,Config!$C$14),K72)</f>
        <v>2.79666666666667</v>
      </c>
      <c r="N72" s="30" t="n">
        <f aca="false">IF(Config!$C$12="Weighted average",K72,IF(Config!$C$12="Weighted with floor",M72,L72))</f>
        <v>2.79666666666667</v>
      </c>
      <c r="O72" s="31" t="n">
        <f aca="false">IF(N72&lt;Config!$D$5,"",MATCH(N72,Config!$D$5:$D$9,1))</f>
        <v>3</v>
      </c>
      <c r="P72" s="7" t="str">
        <f aca="false">IF(O72="","No data",INDEX(Config!$B$5:$B$9,O72))</f>
        <v>Medium</v>
      </c>
      <c r="Q72" s="32" t="n">
        <v>0</v>
      </c>
      <c r="R72" s="8"/>
      <c r="S72" s="33"/>
      <c r="T72" s="34" t="n">
        <f aca="false">IF(O72="","",IF(AND(S72="Y",Q72&lt;&gt;0),MAX(1,MIN(5,O72+MAX(-Config!$C$27,MIN(Config!$C$27,Q72)))),O72))</f>
        <v>3</v>
      </c>
      <c r="U72" s="35" t="str">
        <f aca="false">IF(T72="","No data",INDEX(Config!$B$5:$B$9,T72))</f>
        <v>Medium</v>
      </c>
      <c r="V72" s="7" t="str">
        <f aca="false">IF(Q72=0,"None",IF(S72="Y","Applied","Pending HO approval"))</f>
        <v>None</v>
      </c>
      <c r="W72" s="36" t="n">
        <f aca="false">SUMPRODUCT((Indicators!$O$5:$O$35&gt;0)*('Indicator Data'!$M$5:$M$35&lt;&gt;""))/SUMPRODUCT(--(Indicators!$O$5:$O$35&gt;0))</f>
        <v>1</v>
      </c>
    </row>
    <row r="73" customFormat="false" ht="15" hidden="false" customHeight="false" outlineLevel="0" collapsed="false">
      <c r="A73" s="26" t="str">
        <f aca="false">Entities!$A$14</f>
        <v>AE</v>
      </c>
      <c r="B73" s="12" t="str">
        <f aca="false">INDEX(Entities!$B$5:$B$34,MATCH(A73,Entities!$A$5:$A$34,0))</f>
        <v>Arab Bank – UAE</v>
      </c>
      <c r="C73" s="12" t="str">
        <f aca="false">INDEX(Entities!$D$5:$D$34,MATCH(A73,Entities!$A$5:$A$34,0))</f>
        <v>GCC</v>
      </c>
      <c r="D73" s="12" t="s">
        <v>278</v>
      </c>
      <c r="E73" s="12" t="str">
        <f aca="false">INDEX('Risk Taxonomy'!$B$5:$B$24,MATCH(D73,'Risk Taxonomy'!$A$5:$A$24,0))</f>
        <v>Fraud</v>
      </c>
      <c r="F73" s="28" t="n">
        <f aca="false">IFERROR(SUMPRODUCT((Indicators!$B$5:$B$35=F$4)*Indicators!$P$5:$P$35*'Indicator Scores'!$M$5:$M$35)/SUMPRODUCT((Indicators!$B$5:$B$35=F$4)*Indicators!$P$5:$P$35*('Indicator Scores'!$M$5:$M$35&gt;0)),0)</f>
        <v>3.33333333333333</v>
      </c>
      <c r="G73" s="28" t="n">
        <f aca="false">IFERROR(SUMPRODUCT((Indicators!$B$5:$B$35=G$4)*Indicators!$P$5:$P$35*'Indicator Scores'!$M$5:$M$35)/SUMPRODUCT((Indicators!$B$5:$B$35=G$4)*Indicators!$P$5:$P$35*('Indicator Scores'!$M$5:$M$35&gt;0)),0)</f>
        <v>2.75</v>
      </c>
      <c r="H73" s="28" t="n">
        <f aca="false">IFERROR(SUMPRODUCT((Indicators!$B$5:$B$35=H$4)*Indicators!$P$5:$P$35*'Indicator Scores'!$M$5:$M$35)/SUMPRODUCT((Indicators!$B$5:$B$35=H$4)*Indicators!$P$5:$P$35*('Indicator Scores'!$M$5:$M$35&gt;0)),0)</f>
        <v>2.6</v>
      </c>
      <c r="I73" s="28" t="n">
        <f aca="false">IFERROR(SUMPRODUCT((Indicators!$B$5:$B$35=I$4)*Indicators!$P$5:$P$35*'Indicator Scores'!$M$5:$M$35)/SUMPRODUCT((Indicators!$B$5:$B$35=I$4)*Indicators!$P$5:$P$35*('Indicator Scores'!$M$5:$M$35&gt;0)),0)</f>
        <v>3.33333333333333</v>
      </c>
      <c r="J73" s="28" t="n">
        <f aca="false">IFERROR(SUMPRODUCT((Indicators!$B$5:$B$35=J$4)*Indicators!$P$5:$P$35*'Indicator Scores'!$M$5:$M$35)/SUMPRODUCT((Indicators!$B$5:$B$35=J$4)*Indicators!$P$5:$P$35*('Indicator Scores'!$M$5:$M$35&gt;0)),0)</f>
        <v>3.8</v>
      </c>
      <c r="K73" s="28" t="n">
        <f aca="false">IFERROR(SUMPRODUCT(F73:J73,INDEX('Factor Weights'!$C$5:$G$11,MATCH(D73,'Factor Weights'!$A$5:$A$11,0),0))/SUMPRODUCT((F73:J73&gt;0)*INDEX('Factor Weights'!$C$5:$G$11,MATCH(D73,'Factor Weights'!$A$5:$A$11,0),0)),0)</f>
        <v>3.22166666666667</v>
      </c>
      <c r="L73" s="29" t="n">
        <f aca="false">MAX(F73:J73)</f>
        <v>3.8</v>
      </c>
      <c r="M73" s="28" t="n">
        <f aca="false">IF(L73&gt;=Config!$C$13,MAX(K73,Config!$C$14),K73)</f>
        <v>3.22166666666667</v>
      </c>
      <c r="N73" s="30" t="n">
        <f aca="false">IF(Config!$C$12="Weighted average",K73,IF(Config!$C$12="Weighted with floor",M73,L73))</f>
        <v>3.22166666666667</v>
      </c>
      <c r="O73" s="31" t="n">
        <f aca="false">IF(N73&lt;Config!$D$5,"",MATCH(N73,Config!$D$5:$D$9,1))</f>
        <v>3</v>
      </c>
      <c r="P73" s="7" t="str">
        <f aca="false">IF(O73="","No data",INDEX(Config!$B$5:$B$9,O73))</f>
        <v>Medium</v>
      </c>
      <c r="Q73" s="32" t="n">
        <v>0</v>
      </c>
      <c r="R73" s="8"/>
      <c r="S73" s="33"/>
      <c r="T73" s="34" t="n">
        <f aca="false">IF(O73="","",IF(AND(S73="Y",Q73&lt;&gt;0),MAX(1,MIN(5,O73+MAX(-Config!$C$27,MIN(Config!$C$27,Q73)))),O73))</f>
        <v>3</v>
      </c>
      <c r="U73" s="35" t="str">
        <f aca="false">IF(T73="","No data",INDEX(Config!$B$5:$B$9,T73))</f>
        <v>Medium</v>
      </c>
      <c r="V73" s="7" t="str">
        <f aca="false">IF(Q73=0,"None",IF(S73="Y","Applied","Pending HO approval"))</f>
        <v>None</v>
      </c>
      <c r="W73" s="36" t="n">
        <f aca="false">SUMPRODUCT((Indicators!$P$5:$P$35&gt;0)*('Indicator Data'!$M$5:$M$35&lt;&gt;""))/SUMPRODUCT(--(Indicators!$P$5:$P$35&gt;0))</f>
        <v>1</v>
      </c>
    </row>
    <row r="74" customFormat="false" ht="15" hidden="false" customHeight="false" outlineLevel="0" collapsed="false">
      <c r="A74" s="26" t="str">
        <f aca="false">Entities!$A$14</f>
        <v>AE</v>
      </c>
      <c r="B74" s="12" t="str">
        <f aca="false">INDEX(Entities!$B$5:$B$34,MATCH(A74,Entities!$A$5:$A$34,0))</f>
        <v>Arab Bank – UAE</v>
      </c>
      <c r="C74" s="12" t="str">
        <f aca="false">INDEX(Entities!$D$5:$D$34,MATCH(A74,Entities!$A$5:$A$34,0))</f>
        <v>GCC</v>
      </c>
      <c r="D74" s="12" t="s">
        <v>281</v>
      </c>
      <c r="E74" s="12" t="str">
        <f aca="false">INDEX('Risk Taxonomy'!$B$5:$B$24,MATCH(D74,'Risk Taxonomy'!$A$5:$A$24,0))</f>
        <v>Tax evasion and tax transparency</v>
      </c>
      <c r="F74" s="28" t="n">
        <f aca="false">IFERROR(SUMPRODUCT((Indicators!$B$5:$B$35=F$4)*Indicators!$Q$5:$Q$35*'Indicator Scores'!$M$5:$M$35)/SUMPRODUCT((Indicators!$B$5:$B$35=F$4)*Indicators!$Q$5:$Q$35*('Indicator Scores'!$M$5:$M$35&gt;0)),0)</f>
        <v>2.55555555555556</v>
      </c>
      <c r="G74" s="28" t="n">
        <f aca="false">IFERROR(SUMPRODUCT((Indicators!$B$5:$B$35=G$4)*Indicators!$Q$5:$Q$35*'Indicator Scores'!$M$5:$M$35)/SUMPRODUCT((Indicators!$B$5:$B$35=G$4)*Indicators!$Q$5:$Q$35*('Indicator Scores'!$M$5:$M$35&gt;0)),0)</f>
        <v>3.66666666666667</v>
      </c>
      <c r="H74" s="28" t="n">
        <f aca="false">IFERROR(SUMPRODUCT((Indicators!$B$5:$B$35=H$4)*Indicators!$Q$5:$Q$35*'Indicator Scores'!$M$5:$M$35)/SUMPRODUCT((Indicators!$B$5:$B$35=H$4)*Indicators!$Q$5:$Q$35*('Indicator Scores'!$M$5:$M$35&gt;0)),0)</f>
        <v>3</v>
      </c>
      <c r="I74" s="28" t="n">
        <f aca="false">IFERROR(SUMPRODUCT((Indicators!$B$5:$B$35=I$4)*Indicators!$Q$5:$Q$35*'Indicator Scores'!$M$5:$M$35)/SUMPRODUCT((Indicators!$B$5:$B$35=I$4)*Indicators!$Q$5:$Q$35*('Indicator Scores'!$M$5:$M$35&gt;0)),0)</f>
        <v>3.5</v>
      </c>
      <c r="J74" s="28" t="n">
        <f aca="false">IFERROR(SUMPRODUCT((Indicators!$B$5:$B$35=J$4)*Indicators!$Q$5:$Q$35*'Indicator Scores'!$M$5:$M$35)/SUMPRODUCT((Indicators!$B$5:$B$35=J$4)*Indicators!$Q$5:$Q$35*('Indicator Scores'!$M$5:$M$35&gt;0)),0)</f>
        <v>2.6</v>
      </c>
      <c r="K74" s="28" t="n">
        <f aca="false">IFERROR(SUMPRODUCT(F74:J74,INDEX('Factor Weights'!$C$5:$G$11,MATCH(D74,'Factor Weights'!$A$5:$A$11,0),0))/SUMPRODUCT((F74:J74&gt;0)*INDEX('Factor Weights'!$C$5:$G$11,MATCH(D74,'Factor Weights'!$A$5:$A$11,0),0)),0)</f>
        <v>3.02111111111111</v>
      </c>
      <c r="L74" s="29" t="n">
        <f aca="false">MAX(F74:J74)</f>
        <v>3.66666666666667</v>
      </c>
      <c r="M74" s="28" t="n">
        <f aca="false">IF(L74&gt;=Config!$C$13,MAX(K74,Config!$C$14),K74)</f>
        <v>3.02111111111111</v>
      </c>
      <c r="N74" s="30" t="n">
        <f aca="false">IF(Config!$C$12="Weighted average",K74,IF(Config!$C$12="Weighted with floor",M74,L74))</f>
        <v>3.02111111111111</v>
      </c>
      <c r="O74" s="31" t="n">
        <f aca="false">IF(N74&lt;Config!$D$5,"",MATCH(N74,Config!$D$5:$D$9,1))</f>
        <v>3</v>
      </c>
      <c r="P74" s="7" t="str">
        <f aca="false">IF(O74="","No data",INDEX(Config!$B$5:$B$9,O74))</f>
        <v>Medium</v>
      </c>
      <c r="Q74" s="32" t="n">
        <v>0</v>
      </c>
      <c r="R74" s="8"/>
      <c r="S74" s="33"/>
      <c r="T74" s="34" t="n">
        <f aca="false">IF(O74="","",IF(AND(S74="Y",Q74&lt;&gt;0),MAX(1,MIN(5,O74+MAX(-Config!$C$27,MIN(Config!$C$27,Q74)))),O74))</f>
        <v>3</v>
      </c>
      <c r="U74" s="35" t="str">
        <f aca="false">IF(T74="","No data",INDEX(Config!$B$5:$B$9,T74))</f>
        <v>Medium</v>
      </c>
      <c r="V74" s="7" t="str">
        <f aca="false">IF(Q74=0,"None",IF(S74="Y","Applied","Pending HO approval"))</f>
        <v>None</v>
      </c>
      <c r="W74" s="36" t="n">
        <f aca="false">SUMPRODUCT((Indicators!$Q$5:$Q$35&gt;0)*('Indicator Data'!$M$5:$M$35&lt;&gt;""))/SUMPRODUCT(--(Indicators!$Q$5:$Q$35&gt;0))</f>
        <v>1</v>
      </c>
    </row>
    <row r="75" customFormat="false" ht="15" hidden="false" customHeight="false" outlineLevel="0" collapsed="false">
      <c r="A75" s="26" t="str">
        <f aca="false">Entities!$A$15</f>
        <v>BH</v>
      </c>
      <c r="B75" s="12" t="str">
        <f aca="false">INDEX(Entities!$B$5:$B$34,MATCH(A75,Entities!$A$5:$A$34,0))</f>
        <v>Arab Bank – Bahrain</v>
      </c>
      <c r="C75" s="12" t="str">
        <f aca="false">INDEX(Entities!$D$5:$D$34,MATCH(A75,Entities!$A$5:$A$34,0))</f>
        <v>GCC</v>
      </c>
      <c r="D75" s="12" t="s">
        <v>260</v>
      </c>
      <c r="E75" s="12" t="str">
        <f aca="false">INDEX('Risk Taxonomy'!$B$5:$B$24,MATCH(D75,'Risk Taxonomy'!$A$5:$A$24,0))</f>
        <v>Money laundering</v>
      </c>
      <c r="F75" s="28" t="n">
        <f aca="false">IFERROR(SUMPRODUCT((Indicators!$B$5:$B$35=F$4)*Indicators!$K$5:$K$35*'Indicator Scores'!$N$5:$N$35)/SUMPRODUCT((Indicators!$B$5:$B$35=F$4)*Indicators!$K$5:$K$35*('Indicator Scores'!$N$5:$N$35&gt;0)),0)</f>
        <v>2.83333333333333</v>
      </c>
      <c r="G75" s="28" t="n">
        <f aca="false">IFERROR(SUMPRODUCT((Indicators!$B$5:$B$35=G$4)*Indicators!$K$5:$K$35*'Indicator Scores'!$N$5:$N$35)/SUMPRODUCT((Indicators!$B$5:$B$35=G$4)*Indicators!$K$5:$K$35*('Indicator Scores'!$N$5:$N$35&gt;0)),0)</f>
        <v>3</v>
      </c>
      <c r="H75" s="28" t="n">
        <f aca="false">IFERROR(SUMPRODUCT((Indicators!$B$5:$B$35=H$4)*Indicators!$K$5:$K$35*'Indicator Scores'!$N$5:$N$35)/SUMPRODUCT((Indicators!$B$5:$B$35=H$4)*Indicators!$K$5:$K$35*('Indicator Scores'!$N$5:$N$35&gt;0)),0)</f>
        <v>2.8</v>
      </c>
      <c r="I75" s="28" t="n">
        <f aca="false">IFERROR(SUMPRODUCT((Indicators!$B$5:$B$35=I$4)*Indicators!$K$5:$K$35*'Indicator Scores'!$N$5:$N$35)/SUMPRODUCT((Indicators!$B$5:$B$35=I$4)*Indicators!$K$5:$K$35*('Indicator Scores'!$N$5:$N$35&gt;0)),0)</f>
        <v>3.14285714285714</v>
      </c>
      <c r="J75" s="28" t="n">
        <f aca="false">IFERROR(SUMPRODUCT((Indicators!$B$5:$B$35=J$4)*Indicators!$K$5:$K$35*'Indicator Scores'!$N$5:$N$35)/SUMPRODUCT((Indicators!$B$5:$B$35=J$4)*Indicators!$K$5:$K$35*('Indicator Scores'!$N$5:$N$35&gt;0)),0)</f>
        <v>2.6</v>
      </c>
      <c r="K75" s="28" t="n">
        <f aca="false">IFERROR(SUMPRODUCT(F75:J75,INDEX('Factor Weights'!$C$5:$G$11,MATCH(D75,'Factor Weights'!$A$5:$A$11,0),0))/SUMPRODUCT((F75:J75&gt;0)*INDEX('Factor Weights'!$C$5:$G$11,MATCH(D75,'Factor Weights'!$A$5:$A$11,0),0)),0)</f>
        <v>2.89142857142857</v>
      </c>
      <c r="L75" s="29" t="n">
        <f aca="false">MAX(F75:J75)</f>
        <v>3.14285714285714</v>
      </c>
      <c r="M75" s="28" t="n">
        <f aca="false">IF(L75&gt;=Config!$C$13,MAX(K75,Config!$C$14),K75)</f>
        <v>2.89142857142857</v>
      </c>
      <c r="N75" s="30" t="n">
        <f aca="false">IF(Config!$C$12="Weighted average",K75,IF(Config!$C$12="Weighted with floor",M75,L75))</f>
        <v>2.89142857142857</v>
      </c>
      <c r="O75" s="31" t="n">
        <f aca="false">IF(N75&lt;Config!$D$5,"",MATCH(N75,Config!$D$5:$D$9,1))</f>
        <v>3</v>
      </c>
      <c r="P75" s="7" t="str">
        <f aca="false">IF(O75="","No data",INDEX(Config!$B$5:$B$9,O75))</f>
        <v>Medium</v>
      </c>
      <c r="Q75" s="32" t="n">
        <v>0</v>
      </c>
      <c r="R75" s="8"/>
      <c r="S75" s="33"/>
      <c r="T75" s="34" t="n">
        <f aca="false">IF(O75="","",IF(AND(S75="Y",Q75&lt;&gt;0),MAX(1,MIN(5,O75+MAX(-Config!$C$27,MIN(Config!$C$27,Q75)))),O75))</f>
        <v>3</v>
      </c>
      <c r="U75" s="35" t="str">
        <f aca="false">IF(T75="","No data",INDEX(Config!$B$5:$B$9,T75))</f>
        <v>Medium</v>
      </c>
      <c r="V75" s="7" t="str">
        <f aca="false">IF(Q75=0,"None",IF(S75="Y","Applied","Pending HO approval"))</f>
        <v>None</v>
      </c>
      <c r="W75" s="36" t="n">
        <f aca="false">SUMPRODUCT((Indicators!$K$5:$K$35&gt;0)*('Indicator Data'!$N$5:$N$35&lt;&gt;""))/SUMPRODUCT(--(Indicators!$K$5:$K$35&gt;0))</f>
        <v>1</v>
      </c>
    </row>
    <row r="76" customFormat="false" ht="15" hidden="false" customHeight="false" outlineLevel="0" collapsed="false">
      <c r="A76" s="26" t="str">
        <f aca="false">Entities!$A$15</f>
        <v>BH</v>
      </c>
      <c r="B76" s="12" t="str">
        <f aca="false">INDEX(Entities!$B$5:$B$34,MATCH(A76,Entities!$A$5:$A$34,0))</f>
        <v>Arab Bank – Bahrain</v>
      </c>
      <c r="C76" s="12" t="str">
        <f aca="false">INDEX(Entities!$D$5:$D$34,MATCH(A76,Entities!$A$5:$A$34,0))</f>
        <v>GCC</v>
      </c>
      <c r="D76" s="12" t="s">
        <v>267</v>
      </c>
      <c r="E76" s="12" t="str">
        <f aca="false">INDEX('Risk Taxonomy'!$B$5:$B$24,MATCH(D76,'Risk Taxonomy'!$A$5:$A$24,0))</f>
        <v>Terrorist financing</v>
      </c>
      <c r="F76" s="28" t="n">
        <f aca="false">IFERROR(SUMPRODUCT((Indicators!$B$5:$B$35=F$4)*Indicators!$L$5:$L$35*'Indicator Scores'!$N$5:$N$35)/SUMPRODUCT((Indicators!$B$5:$B$35=F$4)*Indicators!$L$5:$L$35*('Indicator Scores'!$N$5:$N$35&gt;0)),0)</f>
        <v>3</v>
      </c>
      <c r="G76" s="28" t="n">
        <f aca="false">IFERROR(SUMPRODUCT((Indicators!$B$5:$B$35=G$4)*Indicators!$L$5:$L$35*'Indicator Scores'!$N$5:$N$35)/SUMPRODUCT((Indicators!$B$5:$B$35=G$4)*Indicators!$L$5:$L$35*('Indicator Scores'!$N$5:$N$35&gt;0)),0)</f>
        <v>3</v>
      </c>
      <c r="H76" s="28" t="n">
        <f aca="false">IFERROR(SUMPRODUCT((Indicators!$B$5:$B$35=H$4)*Indicators!$L$5:$L$35*'Indicator Scores'!$N$5:$N$35)/SUMPRODUCT((Indicators!$B$5:$B$35=H$4)*Indicators!$L$5:$L$35*('Indicator Scores'!$N$5:$N$35&gt;0)),0)</f>
        <v>2.66666666666667</v>
      </c>
      <c r="I76" s="28" t="n">
        <f aca="false">IFERROR(SUMPRODUCT((Indicators!$B$5:$B$35=I$4)*Indicators!$L$5:$L$35*'Indicator Scores'!$N$5:$N$35)/SUMPRODUCT((Indicators!$B$5:$B$35=I$4)*Indicators!$L$5:$L$35*('Indicator Scores'!$N$5:$N$35&gt;0)),0)</f>
        <v>3.33333333333333</v>
      </c>
      <c r="J76" s="28" t="n">
        <f aca="false">IFERROR(SUMPRODUCT((Indicators!$B$5:$B$35=J$4)*Indicators!$L$5:$L$35*'Indicator Scores'!$N$5:$N$35)/SUMPRODUCT((Indicators!$B$5:$B$35=J$4)*Indicators!$L$5:$L$35*('Indicator Scores'!$N$5:$N$35&gt;0)),0)</f>
        <v>2.57142857142857</v>
      </c>
      <c r="K76" s="28" t="n">
        <f aca="false">IFERROR(SUMPRODUCT(F76:J76,INDEX('Factor Weights'!$C$5:$G$11,MATCH(D76,'Factor Weights'!$A$5:$A$11,0),0))/SUMPRODUCT((F76:J76&gt;0)*INDEX('Factor Weights'!$C$5:$G$11,MATCH(D76,'Factor Weights'!$A$5:$A$11,0),0)),0)</f>
        <v>2.89761904761905</v>
      </c>
      <c r="L76" s="29" t="n">
        <f aca="false">MAX(F76:J76)</f>
        <v>3.33333333333333</v>
      </c>
      <c r="M76" s="28" t="n">
        <f aca="false">IF(L76&gt;=Config!$C$13,MAX(K76,Config!$C$14),K76)</f>
        <v>2.89761904761905</v>
      </c>
      <c r="N76" s="30" t="n">
        <f aca="false">IF(Config!$C$12="Weighted average",K76,IF(Config!$C$12="Weighted with floor",M76,L76))</f>
        <v>2.89761904761905</v>
      </c>
      <c r="O76" s="31" t="n">
        <f aca="false">IF(N76&lt;Config!$D$5,"",MATCH(N76,Config!$D$5:$D$9,1))</f>
        <v>3</v>
      </c>
      <c r="P76" s="7" t="str">
        <f aca="false">IF(O76="","No data",INDEX(Config!$B$5:$B$9,O76))</f>
        <v>Medium</v>
      </c>
      <c r="Q76" s="32" t="n">
        <v>0</v>
      </c>
      <c r="R76" s="8"/>
      <c r="S76" s="33"/>
      <c r="T76" s="34" t="n">
        <f aca="false">IF(O76="","",IF(AND(S76="Y",Q76&lt;&gt;0),MAX(1,MIN(5,O76+MAX(-Config!$C$27,MIN(Config!$C$27,Q76)))),O76))</f>
        <v>3</v>
      </c>
      <c r="U76" s="35" t="str">
        <f aca="false">IF(T76="","No data",INDEX(Config!$B$5:$B$9,T76))</f>
        <v>Medium</v>
      </c>
      <c r="V76" s="7" t="str">
        <f aca="false">IF(Q76=0,"None",IF(S76="Y","Applied","Pending HO approval"))</f>
        <v>None</v>
      </c>
      <c r="W76" s="36" t="n">
        <f aca="false">SUMPRODUCT((Indicators!$L$5:$L$35&gt;0)*('Indicator Data'!$N$5:$N$35&lt;&gt;""))/SUMPRODUCT(--(Indicators!$L$5:$L$35&gt;0))</f>
        <v>1</v>
      </c>
    </row>
    <row r="77" customFormat="false" ht="15" hidden="false" customHeight="false" outlineLevel="0" collapsed="false">
      <c r="A77" s="26" t="str">
        <f aca="false">Entities!$A$15</f>
        <v>BH</v>
      </c>
      <c r="B77" s="12" t="str">
        <f aca="false">INDEX(Entities!$B$5:$B$34,MATCH(A77,Entities!$A$5:$A$34,0))</f>
        <v>Arab Bank – Bahrain</v>
      </c>
      <c r="C77" s="12" t="str">
        <f aca="false">INDEX(Entities!$D$5:$D$34,MATCH(A77,Entities!$A$5:$A$34,0))</f>
        <v>GCC</v>
      </c>
      <c r="D77" s="12" t="s">
        <v>270</v>
      </c>
      <c r="E77" s="12" t="str">
        <f aca="false">INDEX('Risk Taxonomy'!$B$5:$B$24,MATCH(D77,'Risk Taxonomy'!$A$5:$A$24,0))</f>
        <v>Proliferation financing</v>
      </c>
      <c r="F77" s="28" t="n">
        <f aca="false">IFERROR(SUMPRODUCT((Indicators!$B$5:$B$35=F$4)*Indicators!$M$5:$M$35*'Indicator Scores'!$N$5:$N$35)/SUMPRODUCT((Indicators!$B$5:$B$35=F$4)*Indicators!$M$5:$M$35*('Indicator Scores'!$N$5:$N$35&gt;0)),0)</f>
        <v>3</v>
      </c>
      <c r="G77" s="28" t="n">
        <f aca="false">IFERROR(SUMPRODUCT((Indicators!$B$5:$B$35=G$4)*Indicators!$M$5:$M$35*'Indicator Scores'!$N$5:$N$35)/SUMPRODUCT((Indicators!$B$5:$B$35=G$4)*Indicators!$M$5:$M$35*('Indicator Scores'!$N$5:$N$35&gt;0)),0)</f>
        <v>3</v>
      </c>
      <c r="H77" s="28" t="n">
        <f aca="false">IFERROR(SUMPRODUCT((Indicators!$B$5:$B$35=H$4)*Indicators!$M$5:$M$35*'Indicator Scores'!$N$5:$N$35)/SUMPRODUCT((Indicators!$B$5:$B$35=H$4)*Indicators!$M$5:$M$35*('Indicator Scores'!$N$5:$N$35&gt;0)),0)</f>
        <v>2.88888888888889</v>
      </c>
      <c r="I77" s="28" t="n">
        <f aca="false">IFERROR(SUMPRODUCT((Indicators!$B$5:$B$35=I$4)*Indicators!$M$5:$M$35*'Indicator Scores'!$N$5:$N$35)/SUMPRODUCT((Indicators!$B$5:$B$35=I$4)*Indicators!$M$5:$M$35*('Indicator Scores'!$N$5:$N$35&gt;0)),0)</f>
        <v>4</v>
      </c>
      <c r="J77" s="28" t="n">
        <f aca="false">IFERROR(SUMPRODUCT((Indicators!$B$5:$B$35=J$4)*Indicators!$M$5:$M$35*'Indicator Scores'!$N$5:$N$35)/SUMPRODUCT((Indicators!$B$5:$B$35=J$4)*Indicators!$M$5:$M$35*('Indicator Scores'!$N$5:$N$35&gt;0)),0)</f>
        <v>3.5</v>
      </c>
      <c r="K77" s="28" t="n">
        <f aca="false">IFERROR(SUMPRODUCT(F77:J77,INDEX('Factor Weights'!$C$5:$G$11,MATCH(D77,'Factor Weights'!$A$5:$A$11,0),0))/SUMPRODUCT((F77:J77&gt;0)*INDEX('Factor Weights'!$C$5:$G$11,MATCH(D77,'Factor Weights'!$A$5:$A$11,0),0)),0)</f>
        <v>3.11666666666667</v>
      </c>
      <c r="L77" s="29" t="n">
        <f aca="false">MAX(F77:J77)</f>
        <v>4</v>
      </c>
      <c r="M77" s="28" t="n">
        <f aca="false">IF(L77&gt;=Config!$C$13,MAX(K77,Config!$C$14),K77)</f>
        <v>3.11666666666667</v>
      </c>
      <c r="N77" s="30" t="n">
        <f aca="false">IF(Config!$C$12="Weighted average",K77,IF(Config!$C$12="Weighted with floor",M77,L77))</f>
        <v>3.11666666666667</v>
      </c>
      <c r="O77" s="31" t="n">
        <f aca="false">IF(N77&lt;Config!$D$5,"",MATCH(N77,Config!$D$5:$D$9,1))</f>
        <v>3</v>
      </c>
      <c r="P77" s="7" t="str">
        <f aca="false">IF(O77="","No data",INDEX(Config!$B$5:$B$9,O77))</f>
        <v>Medium</v>
      </c>
      <c r="Q77" s="32" t="n">
        <v>0</v>
      </c>
      <c r="R77" s="8"/>
      <c r="S77" s="33"/>
      <c r="T77" s="34" t="n">
        <f aca="false">IF(O77="","",IF(AND(S77="Y",Q77&lt;&gt;0),MAX(1,MIN(5,O77+MAX(-Config!$C$27,MIN(Config!$C$27,Q77)))),O77))</f>
        <v>3</v>
      </c>
      <c r="U77" s="35" t="str">
        <f aca="false">IF(T77="","No data",INDEX(Config!$B$5:$B$9,T77))</f>
        <v>Medium</v>
      </c>
      <c r="V77" s="7" t="str">
        <f aca="false">IF(Q77=0,"None",IF(S77="Y","Applied","Pending HO approval"))</f>
        <v>None</v>
      </c>
      <c r="W77" s="36" t="n">
        <f aca="false">SUMPRODUCT((Indicators!$M$5:$M$35&gt;0)*('Indicator Data'!$N$5:$N$35&lt;&gt;""))/SUMPRODUCT(--(Indicators!$M$5:$M$35&gt;0))</f>
        <v>1</v>
      </c>
    </row>
    <row r="78" customFormat="false" ht="15" hidden="false" customHeight="false" outlineLevel="0" collapsed="false">
      <c r="A78" s="26" t="str">
        <f aca="false">Entities!$A$15</f>
        <v>BH</v>
      </c>
      <c r="B78" s="12" t="str">
        <f aca="false">INDEX(Entities!$B$5:$B$34,MATCH(A78,Entities!$A$5:$A$34,0))</f>
        <v>Arab Bank – Bahrain</v>
      </c>
      <c r="C78" s="12" t="str">
        <f aca="false">INDEX(Entities!$D$5:$D$34,MATCH(A78,Entities!$A$5:$A$34,0))</f>
        <v>GCC</v>
      </c>
      <c r="D78" s="12" t="s">
        <v>272</v>
      </c>
      <c r="E78" s="12" t="str">
        <f aca="false">INDEX('Risk Taxonomy'!$B$5:$B$24,MATCH(D78,'Risk Taxonomy'!$A$5:$A$24,0))</f>
        <v>Sanctions</v>
      </c>
      <c r="F78" s="28" t="n">
        <f aca="false">IFERROR(SUMPRODUCT((Indicators!$B$5:$B$35=F$4)*Indicators!$N$5:$N$35*'Indicator Scores'!$N$5:$N$35)/SUMPRODUCT((Indicators!$B$5:$B$35=F$4)*Indicators!$N$5:$N$35*('Indicator Scores'!$N$5:$N$35&gt;0)),0)</f>
        <v>2.85714285714286</v>
      </c>
      <c r="G78" s="28" t="n">
        <f aca="false">IFERROR(SUMPRODUCT((Indicators!$B$5:$B$35=G$4)*Indicators!$N$5:$N$35*'Indicator Scores'!$N$5:$N$35)/SUMPRODUCT((Indicators!$B$5:$B$35=G$4)*Indicators!$N$5:$N$35*('Indicator Scores'!$N$5:$N$35&gt;0)),0)</f>
        <v>3</v>
      </c>
      <c r="H78" s="28" t="n">
        <f aca="false">IFERROR(SUMPRODUCT((Indicators!$B$5:$B$35=H$4)*Indicators!$N$5:$N$35*'Indicator Scores'!$N$5:$N$35)/SUMPRODUCT((Indicators!$B$5:$B$35=H$4)*Indicators!$N$5:$N$35*('Indicator Scores'!$N$5:$N$35&gt;0)),0)</f>
        <v>3</v>
      </c>
      <c r="I78" s="28" t="n">
        <f aca="false">IFERROR(SUMPRODUCT((Indicators!$B$5:$B$35=I$4)*Indicators!$N$5:$N$35*'Indicator Scores'!$N$5:$N$35)/SUMPRODUCT((Indicators!$B$5:$B$35=I$4)*Indicators!$N$5:$N$35*('Indicator Scores'!$N$5:$N$35&gt;0)),0)</f>
        <v>3</v>
      </c>
      <c r="J78" s="28" t="n">
        <f aca="false">IFERROR(SUMPRODUCT((Indicators!$B$5:$B$35=J$4)*Indicators!$N$5:$N$35*'Indicator Scores'!$N$5:$N$35)/SUMPRODUCT((Indicators!$B$5:$B$35=J$4)*Indicators!$N$5:$N$35*('Indicator Scores'!$N$5:$N$35&gt;0)),0)</f>
        <v>3.6</v>
      </c>
      <c r="K78" s="28" t="n">
        <f aca="false">IFERROR(SUMPRODUCT(F78:J78,INDEX('Factor Weights'!$C$5:$G$11,MATCH(D78,'Factor Weights'!$A$5:$A$11,0),0))/SUMPRODUCT((F78:J78&gt;0)*INDEX('Factor Weights'!$C$5:$G$11,MATCH(D78,'Factor Weights'!$A$5:$A$11,0),0)),0)</f>
        <v>3.09857142857143</v>
      </c>
      <c r="L78" s="29" t="n">
        <f aca="false">MAX(F78:J78)</f>
        <v>3.6</v>
      </c>
      <c r="M78" s="28" t="n">
        <f aca="false">IF(L78&gt;=Config!$C$13,MAX(K78,Config!$C$14),K78)</f>
        <v>3.09857142857143</v>
      </c>
      <c r="N78" s="30" t="n">
        <f aca="false">IF(Config!$C$12="Weighted average",K78,IF(Config!$C$12="Weighted with floor",M78,L78))</f>
        <v>3.09857142857143</v>
      </c>
      <c r="O78" s="31" t="n">
        <f aca="false">IF(N78&lt;Config!$D$5,"",MATCH(N78,Config!$D$5:$D$9,1))</f>
        <v>3</v>
      </c>
      <c r="P78" s="7" t="str">
        <f aca="false">IF(O78="","No data",INDEX(Config!$B$5:$B$9,O78))</f>
        <v>Medium</v>
      </c>
      <c r="Q78" s="32" t="n">
        <v>0</v>
      </c>
      <c r="R78" s="8"/>
      <c r="S78" s="33"/>
      <c r="T78" s="34" t="n">
        <f aca="false">IF(O78="","",IF(AND(S78="Y",Q78&lt;&gt;0),MAX(1,MIN(5,O78+MAX(-Config!$C$27,MIN(Config!$C$27,Q78)))),O78))</f>
        <v>3</v>
      </c>
      <c r="U78" s="35" t="str">
        <f aca="false">IF(T78="","No data",INDEX(Config!$B$5:$B$9,T78))</f>
        <v>Medium</v>
      </c>
      <c r="V78" s="7" t="str">
        <f aca="false">IF(Q78=0,"None",IF(S78="Y","Applied","Pending HO approval"))</f>
        <v>None</v>
      </c>
      <c r="W78" s="36" t="n">
        <f aca="false">SUMPRODUCT((Indicators!$N$5:$N$35&gt;0)*('Indicator Data'!$N$5:$N$35&lt;&gt;""))/SUMPRODUCT(--(Indicators!$N$5:$N$35&gt;0))</f>
        <v>1</v>
      </c>
    </row>
    <row r="79" customFormat="false" ht="15" hidden="false" customHeight="false" outlineLevel="0" collapsed="false">
      <c r="A79" s="26" t="str">
        <f aca="false">Entities!$A$15</f>
        <v>BH</v>
      </c>
      <c r="B79" s="12" t="str">
        <f aca="false">INDEX(Entities!$B$5:$B$34,MATCH(A79,Entities!$A$5:$A$34,0))</f>
        <v>Arab Bank – Bahrain</v>
      </c>
      <c r="C79" s="12" t="str">
        <f aca="false">INDEX(Entities!$D$5:$D$34,MATCH(A79,Entities!$A$5:$A$34,0))</f>
        <v>GCC</v>
      </c>
      <c r="D79" s="12" t="s">
        <v>275</v>
      </c>
      <c r="E79" s="12" t="str">
        <f aca="false">INDEX('Risk Taxonomy'!$B$5:$B$24,MATCH(D79,'Risk Taxonomy'!$A$5:$A$24,0))</f>
        <v>Bribery and corruption</v>
      </c>
      <c r="F79" s="28" t="n">
        <f aca="false">IFERROR(SUMPRODUCT((Indicators!$B$5:$B$35=F$4)*Indicators!$O$5:$O$35*'Indicator Scores'!$N$5:$N$35)/SUMPRODUCT((Indicators!$B$5:$B$35=F$4)*Indicators!$O$5:$O$35*('Indicator Scores'!$N$5:$N$35&gt;0)),0)</f>
        <v>3.11111111111111</v>
      </c>
      <c r="G79" s="28" t="n">
        <f aca="false">IFERROR(SUMPRODUCT((Indicators!$B$5:$B$35=G$4)*Indicators!$O$5:$O$35*'Indicator Scores'!$N$5:$N$35)/SUMPRODUCT((Indicators!$B$5:$B$35=G$4)*Indicators!$O$5:$O$35*('Indicator Scores'!$N$5:$N$35&gt;0)),0)</f>
        <v>3.6</v>
      </c>
      <c r="H79" s="28" t="n">
        <f aca="false">IFERROR(SUMPRODUCT((Indicators!$B$5:$B$35=H$4)*Indicators!$O$5:$O$35*'Indicator Scores'!$N$5:$N$35)/SUMPRODUCT((Indicators!$B$5:$B$35=H$4)*Indicators!$O$5:$O$35*('Indicator Scores'!$N$5:$N$35&gt;0)),0)</f>
        <v>2</v>
      </c>
      <c r="I79" s="28" t="n">
        <f aca="false">IFERROR(SUMPRODUCT((Indicators!$B$5:$B$35=I$4)*Indicators!$O$5:$O$35*'Indicator Scores'!$N$5:$N$35)/SUMPRODUCT((Indicators!$B$5:$B$35=I$4)*Indicators!$O$5:$O$35*('Indicator Scores'!$N$5:$N$35&gt;0)),0)</f>
        <v>4.4</v>
      </c>
      <c r="J79" s="28" t="n">
        <f aca="false">IFERROR(SUMPRODUCT((Indicators!$B$5:$B$35=J$4)*Indicators!$O$5:$O$35*'Indicator Scores'!$N$5:$N$35)/SUMPRODUCT((Indicators!$B$5:$B$35=J$4)*Indicators!$O$5:$O$35*('Indicator Scores'!$N$5:$N$35&gt;0)),0)</f>
        <v>3</v>
      </c>
      <c r="K79" s="28" t="n">
        <f aca="false">IFERROR(SUMPRODUCT(F79:J79,INDEX('Factor Weights'!$C$5:$G$11,MATCH(D79,'Factor Weights'!$A$5:$A$11,0),0))/SUMPRODUCT((F79:J79&gt;0)*INDEX('Factor Weights'!$C$5:$G$11,MATCH(D79,'Factor Weights'!$A$5:$A$11,0),0)),0)</f>
        <v>3.31333333333333</v>
      </c>
      <c r="L79" s="29" t="n">
        <f aca="false">MAX(F79:J79)</f>
        <v>4.4</v>
      </c>
      <c r="M79" s="28" t="n">
        <f aca="false">IF(L79&gt;=Config!$C$13,MAX(K79,Config!$C$14),K79)</f>
        <v>3.31333333333333</v>
      </c>
      <c r="N79" s="30" t="n">
        <f aca="false">IF(Config!$C$12="Weighted average",K79,IF(Config!$C$12="Weighted with floor",M79,L79))</f>
        <v>3.31333333333333</v>
      </c>
      <c r="O79" s="31" t="n">
        <f aca="false">IF(N79&lt;Config!$D$5,"",MATCH(N79,Config!$D$5:$D$9,1))</f>
        <v>3</v>
      </c>
      <c r="P79" s="7" t="str">
        <f aca="false">IF(O79="","No data",INDEX(Config!$B$5:$B$9,O79))</f>
        <v>Medium</v>
      </c>
      <c r="Q79" s="32" t="n">
        <v>0</v>
      </c>
      <c r="R79" s="8"/>
      <c r="S79" s="33"/>
      <c r="T79" s="34" t="n">
        <f aca="false">IF(O79="","",IF(AND(S79="Y",Q79&lt;&gt;0),MAX(1,MIN(5,O79+MAX(-Config!$C$27,MIN(Config!$C$27,Q79)))),O79))</f>
        <v>3</v>
      </c>
      <c r="U79" s="35" t="str">
        <f aca="false">IF(T79="","No data",INDEX(Config!$B$5:$B$9,T79))</f>
        <v>Medium</v>
      </c>
      <c r="V79" s="7" t="str">
        <f aca="false">IF(Q79=0,"None",IF(S79="Y","Applied","Pending HO approval"))</f>
        <v>None</v>
      </c>
      <c r="W79" s="36" t="n">
        <f aca="false">SUMPRODUCT((Indicators!$O$5:$O$35&gt;0)*('Indicator Data'!$N$5:$N$35&lt;&gt;""))/SUMPRODUCT(--(Indicators!$O$5:$O$35&gt;0))</f>
        <v>1</v>
      </c>
    </row>
    <row r="80" customFormat="false" ht="15" hidden="false" customHeight="false" outlineLevel="0" collapsed="false">
      <c r="A80" s="26" t="str">
        <f aca="false">Entities!$A$15</f>
        <v>BH</v>
      </c>
      <c r="B80" s="12" t="str">
        <f aca="false">INDEX(Entities!$B$5:$B$34,MATCH(A80,Entities!$A$5:$A$34,0))</f>
        <v>Arab Bank – Bahrain</v>
      </c>
      <c r="C80" s="12" t="str">
        <f aca="false">INDEX(Entities!$D$5:$D$34,MATCH(A80,Entities!$A$5:$A$34,0))</f>
        <v>GCC</v>
      </c>
      <c r="D80" s="12" t="s">
        <v>278</v>
      </c>
      <c r="E80" s="12" t="str">
        <f aca="false">INDEX('Risk Taxonomy'!$B$5:$B$24,MATCH(D80,'Risk Taxonomy'!$A$5:$A$24,0))</f>
        <v>Fraud</v>
      </c>
      <c r="F80" s="28" t="n">
        <f aca="false">IFERROR(SUMPRODUCT((Indicators!$B$5:$B$35=F$4)*Indicators!$P$5:$P$35*'Indicator Scores'!$N$5:$N$35)/SUMPRODUCT((Indicators!$B$5:$B$35=F$4)*Indicators!$P$5:$P$35*('Indicator Scores'!$N$5:$N$35&gt;0)),0)</f>
        <v>2.33333333333333</v>
      </c>
      <c r="G80" s="28" t="n">
        <f aca="false">IFERROR(SUMPRODUCT((Indicators!$B$5:$B$35=G$4)*Indicators!$P$5:$P$35*'Indicator Scores'!$N$5:$N$35)/SUMPRODUCT((Indicators!$B$5:$B$35=G$4)*Indicators!$P$5:$P$35*('Indicator Scores'!$N$5:$N$35&gt;0)),0)</f>
        <v>3.25</v>
      </c>
      <c r="H80" s="28" t="n">
        <f aca="false">IFERROR(SUMPRODUCT((Indicators!$B$5:$B$35=H$4)*Indicators!$P$5:$P$35*'Indicator Scores'!$N$5:$N$35)/SUMPRODUCT((Indicators!$B$5:$B$35=H$4)*Indicators!$P$5:$P$35*('Indicator Scores'!$N$5:$N$35&gt;0)),0)</f>
        <v>2.2</v>
      </c>
      <c r="I80" s="28" t="n">
        <f aca="false">IFERROR(SUMPRODUCT((Indicators!$B$5:$B$35=I$4)*Indicators!$P$5:$P$35*'Indicator Scores'!$N$5:$N$35)/SUMPRODUCT((Indicators!$B$5:$B$35=I$4)*Indicators!$P$5:$P$35*('Indicator Scores'!$N$5:$N$35&gt;0)),0)</f>
        <v>2.77777777777778</v>
      </c>
      <c r="J80" s="28" t="n">
        <f aca="false">IFERROR(SUMPRODUCT((Indicators!$B$5:$B$35=J$4)*Indicators!$P$5:$P$35*'Indicator Scores'!$N$5:$N$35)/SUMPRODUCT((Indicators!$B$5:$B$35=J$4)*Indicators!$P$5:$P$35*('Indicator Scores'!$N$5:$N$35&gt;0)),0)</f>
        <v>2.6</v>
      </c>
      <c r="K80" s="28" t="n">
        <f aca="false">IFERROR(SUMPRODUCT(F80:J80,INDEX('Factor Weights'!$C$5:$G$11,MATCH(D80,'Factor Weights'!$A$5:$A$11,0),0))/SUMPRODUCT((F80:J80&gt;0)*INDEX('Factor Weights'!$C$5:$G$11,MATCH(D80,'Factor Weights'!$A$5:$A$11,0),0)),0)</f>
        <v>2.585</v>
      </c>
      <c r="L80" s="29" t="n">
        <f aca="false">MAX(F80:J80)</f>
        <v>3.25</v>
      </c>
      <c r="M80" s="28" t="n">
        <f aca="false">IF(L80&gt;=Config!$C$13,MAX(K80,Config!$C$14),K80)</f>
        <v>2.585</v>
      </c>
      <c r="N80" s="30" t="n">
        <f aca="false">IF(Config!$C$12="Weighted average",K80,IF(Config!$C$12="Weighted with floor",M80,L80))</f>
        <v>2.585</v>
      </c>
      <c r="O80" s="31" t="n">
        <f aca="false">IF(N80&lt;Config!$D$5,"",MATCH(N80,Config!$D$5:$D$9,1))</f>
        <v>2</v>
      </c>
      <c r="P80" s="7" t="str">
        <f aca="false">IF(O80="","No data",INDEX(Config!$B$5:$B$9,O80))</f>
        <v>Medium-Low</v>
      </c>
      <c r="Q80" s="32" t="n">
        <v>0</v>
      </c>
      <c r="R80" s="8"/>
      <c r="S80" s="33"/>
      <c r="T80" s="34" t="n">
        <f aca="false">IF(O80="","",IF(AND(S80="Y",Q80&lt;&gt;0),MAX(1,MIN(5,O80+MAX(-Config!$C$27,MIN(Config!$C$27,Q80)))),O80))</f>
        <v>2</v>
      </c>
      <c r="U80" s="35" t="str">
        <f aca="false">IF(T80="","No data",INDEX(Config!$B$5:$B$9,T80))</f>
        <v>Medium-Low</v>
      </c>
      <c r="V80" s="7" t="str">
        <f aca="false">IF(Q80=0,"None",IF(S80="Y","Applied","Pending HO approval"))</f>
        <v>None</v>
      </c>
      <c r="W80" s="36" t="n">
        <f aca="false">SUMPRODUCT((Indicators!$P$5:$P$35&gt;0)*('Indicator Data'!$N$5:$N$35&lt;&gt;""))/SUMPRODUCT(--(Indicators!$P$5:$P$35&gt;0))</f>
        <v>1</v>
      </c>
    </row>
    <row r="81" customFormat="false" ht="15" hidden="false" customHeight="false" outlineLevel="0" collapsed="false">
      <c r="A81" s="26" t="str">
        <f aca="false">Entities!$A$15</f>
        <v>BH</v>
      </c>
      <c r="B81" s="12" t="str">
        <f aca="false">INDEX(Entities!$B$5:$B$34,MATCH(A81,Entities!$A$5:$A$34,0))</f>
        <v>Arab Bank – Bahrain</v>
      </c>
      <c r="C81" s="12" t="str">
        <f aca="false">INDEX(Entities!$D$5:$D$34,MATCH(A81,Entities!$A$5:$A$34,0))</f>
        <v>GCC</v>
      </c>
      <c r="D81" s="12" t="s">
        <v>281</v>
      </c>
      <c r="E81" s="12" t="str">
        <f aca="false">INDEX('Risk Taxonomy'!$B$5:$B$24,MATCH(D81,'Risk Taxonomy'!$A$5:$A$24,0))</f>
        <v>Tax evasion and tax transparency</v>
      </c>
      <c r="F81" s="28" t="n">
        <f aca="false">IFERROR(SUMPRODUCT((Indicators!$B$5:$B$35=F$4)*Indicators!$Q$5:$Q$35*'Indicator Scores'!$N$5:$N$35)/SUMPRODUCT((Indicators!$B$5:$B$35=F$4)*Indicators!$Q$5:$Q$35*('Indicator Scores'!$N$5:$N$35&gt;0)),0)</f>
        <v>2.88888888888889</v>
      </c>
      <c r="G81" s="28" t="n">
        <f aca="false">IFERROR(SUMPRODUCT((Indicators!$B$5:$B$35=G$4)*Indicators!$Q$5:$Q$35*'Indicator Scores'!$N$5:$N$35)/SUMPRODUCT((Indicators!$B$5:$B$35=G$4)*Indicators!$Q$5:$Q$35*('Indicator Scores'!$N$5:$N$35&gt;0)),0)</f>
        <v>2.66666666666667</v>
      </c>
      <c r="H81" s="28" t="n">
        <f aca="false">IFERROR(SUMPRODUCT((Indicators!$B$5:$B$35=H$4)*Indicators!$Q$5:$Q$35*'Indicator Scores'!$N$5:$N$35)/SUMPRODUCT((Indicators!$B$5:$B$35=H$4)*Indicators!$Q$5:$Q$35*('Indicator Scores'!$N$5:$N$35&gt;0)),0)</f>
        <v>3.16666666666667</v>
      </c>
      <c r="I81" s="28" t="n">
        <f aca="false">IFERROR(SUMPRODUCT((Indicators!$B$5:$B$35=I$4)*Indicators!$Q$5:$Q$35*'Indicator Scores'!$N$5:$N$35)/SUMPRODUCT((Indicators!$B$5:$B$35=I$4)*Indicators!$Q$5:$Q$35*('Indicator Scores'!$N$5:$N$35&gt;0)),0)</f>
        <v>3.5</v>
      </c>
      <c r="J81" s="28" t="n">
        <f aca="false">IFERROR(SUMPRODUCT((Indicators!$B$5:$B$35=J$4)*Indicators!$Q$5:$Q$35*'Indicator Scores'!$N$5:$N$35)/SUMPRODUCT((Indicators!$B$5:$B$35=J$4)*Indicators!$Q$5:$Q$35*('Indicator Scores'!$N$5:$N$35&gt;0)),0)</f>
        <v>2.6</v>
      </c>
      <c r="K81" s="28" t="n">
        <f aca="false">IFERROR(SUMPRODUCT(F81:J81,INDEX('Factor Weights'!$C$5:$G$11,MATCH(D81,'Factor Weights'!$A$5:$A$11,0),0))/SUMPRODUCT((F81:J81&gt;0)*INDEX('Factor Weights'!$C$5:$G$11,MATCH(D81,'Factor Weights'!$A$5:$A$11,0),0)),0)</f>
        <v>2.92111111111111</v>
      </c>
      <c r="L81" s="29" t="n">
        <f aca="false">MAX(F81:J81)</f>
        <v>3.5</v>
      </c>
      <c r="M81" s="28" t="n">
        <f aca="false">IF(L81&gt;=Config!$C$13,MAX(K81,Config!$C$14),K81)</f>
        <v>2.92111111111111</v>
      </c>
      <c r="N81" s="30" t="n">
        <f aca="false">IF(Config!$C$12="Weighted average",K81,IF(Config!$C$12="Weighted with floor",M81,L81))</f>
        <v>2.92111111111111</v>
      </c>
      <c r="O81" s="31" t="n">
        <f aca="false">IF(N81&lt;Config!$D$5,"",MATCH(N81,Config!$D$5:$D$9,1))</f>
        <v>3</v>
      </c>
      <c r="P81" s="7" t="str">
        <f aca="false">IF(O81="","No data",INDEX(Config!$B$5:$B$9,O81))</f>
        <v>Medium</v>
      </c>
      <c r="Q81" s="32" t="n">
        <v>0</v>
      </c>
      <c r="R81" s="8"/>
      <c r="S81" s="33"/>
      <c r="T81" s="34" t="n">
        <f aca="false">IF(O81="","",IF(AND(S81="Y",Q81&lt;&gt;0),MAX(1,MIN(5,O81+MAX(-Config!$C$27,MIN(Config!$C$27,Q81)))),O81))</f>
        <v>3</v>
      </c>
      <c r="U81" s="35" t="str">
        <f aca="false">IF(T81="","No data",INDEX(Config!$B$5:$B$9,T81))</f>
        <v>Medium</v>
      </c>
      <c r="V81" s="7" t="str">
        <f aca="false">IF(Q81=0,"None",IF(S81="Y","Applied","Pending HO approval"))</f>
        <v>None</v>
      </c>
      <c r="W81" s="36" t="n">
        <f aca="false">SUMPRODUCT((Indicators!$Q$5:$Q$35&gt;0)*('Indicator Data'!$N$5:$N$35&lt;&gt;""))/SUMPRODUCT(--(Indicators!$Q$5:$Q$35&gt;0))</f>
        <v>1</v>
      </c>
    </row>
    <row r="82" customFormat="false" ht="15" hidden="false" customHeight="false" outlineLevel="0" collapsed="false">
      <c r="A82" s="26" t="str">
        <f aca="false">Entities!$A$16</f>
        <v>QA</v>
      </c>
      <c r="B82" s="12" t="str">
        <f aca="false">INDEX(Entities!$B$5:$B$34,MATCH(A82,Entities!$A$5:$A$34,0))</f>
        <v>Arab Bank – Qatar</v>
      </c>
      <c r="C82" s="12" t="str">
        <f aca="false">INDEX(Entities!$D$5:$D$34,MATCH(A82,Entities!$A$5:$A$34,0))</f>
        <v>GCC</v>
      </c>
      <c r="D82" s="12" t="s">
        <v>260</v>
      </c>
      <c r="E82" s="12" t="str">
        <f aca="false">INDEX('Risk Taxonomy'!$B$5:$B$24,MATCH(D82,'Risk Taxonomy'!$A$5:$A$24,0))</f>
        <v>Money laundering</v>
      </c>
      <c r="F82" s="28" t="n">
        <f aca="false">IFERROR(SUMPRODUCT((Indicators!$B$5:$B$35=F$4)*Indicators!$K$5:$K$35*'Indicator Scores'!$O$5:$O$35)/SUMPRODUCT((Indicators!$B$5:$B$35=F$4)*Indicators!$K$5:$K$35*('Indicator Scores'!$O$5:$O$35&gt;0)),0)</f>
        <v>2.83333333333333</v>
      </c>
      <c r="G82" s="28" t="n">
        <f aca="false">IFERROR(SUMPRODUCT((Indicators!$B$5:$B$35=G$4)*Indicators!$K$5:$K$35*'Indicator Scores'!$O$5:$O$35)/SUMPRODUCT((Indicators!$B$5:$B$35=G$4)*Indicators!$K$5:$K$35*('Indicator Scores'!$O$5:$O$35&gt;0)),0)</f>
        <v>3.11111111111111</v>
      </c>
      <c r="H82" s="28" t="n">
        <f aca="false">IFERROR(SUMPRODUCT((Indicators!$B$5:$B$35=H$4)*Indicators!$K$5:$K$35*'Indicator Scores'!$O$5:$O$35)/SUMPRODUCT((Indicators!$B$5:$B$35=H$4)*Indicators!$K$5:$K$35*('Indicator Scores'!$O$5:$O$35&gt;0)),0)</f>
        <v>2.9</v>
      </c>
      <c r="I82" s="28" t="n">
        <f aca="false">IFERROR(SUMPRODUCT((Indicators!$B$5:$B$35=I$4)*Indicators!$K$5:$K$35*'Indicator Scores'!$O$5:$O$35)/SUMPRODUCT((Indicators!$B$5:$B$35=I$4)*Indicators!$K$5:$K$35*('Indicator Scores'!$O$5:$O$35&gt;0)),0)</f>
        <v>2.85714285714286</v>
      </c>
      <c r="J82" s="28" t="n">
        <f aca="false">IFERROR(SUMPRODUCT((Indicators!$B$5:$B$35=J$4)*Indicators!$K$5:$K$35*'Indicator Scores'!$O$5:$O$35)/SUMPRODUCT((Indicators!$B$5:$B$35=J$4)*Indicators!$K$5:$K$35*('Indicator Scores'!$O$5:$O$35&gt;0)),0)</f>
        <v>3.4</v>
      </c>
      <c r="K82" s="28" t="n">
        <f aca="false">IFERROR(SUMPRODUCT(F82:J82,INDEX('Factor Weights'!$C$5:$G$11,MATCH(D82,'Factor Weights'!$A$5:$A$11,0),0))/SUMPRODUCT((F82:J82&gt;0)*INDEX('Factor Weights'!$C$5:$G$11,MATCH(D82,'Factor Weights'!$A$5:$A$11,0),0)),0)</f>
        <v>2.97634920634921</v>
      </c>
      <c r="L82" s="29" t="n">
        <f aca="false">MAX(F82:J82)</f>
        <v>3.4</v>
      </c>
      <c r="M82" s="28" t="n">
        <f aca="false">IF(L82&gt;=Config!$C$13,MAX(K82,Config!$C$14),K82)</f>
        <v>2.97634920634921</v>
      </c>
      <c r="N82" s="30" t="n">
        <f aca="false">IF(Config!$C$12="Weighted average",K82,IF(Config!$C$12="Weighted with floor",M82,L82))</f>
        <v>2.97634920634921</v>
      </c>
      <c r="O82" s="31" t="n">
        <f aca="false">IF(N82&lt;Config!$D$5,"",MATCH(N82,Config!$D$5:$D$9,1))</f>
        <v>3</v>
      </c>
      <c r="P82" s="7" t="str">
        <f aca="false">IF(O82="","No data",INDEX(Config!$B$5:$B$9,O82))</f>
        <v>Medium</v>
      </c>
      <c r="Q82" s="32" t="n">
        <v>0</v>
      </c>
      <c r="R82" s="8"/>
      <c r="S82" s="33"/>
      <c r="T82" s="34" t="n">
        <f aca="false">IF(O82="","",IF(AND(S82="Y",Q82&lt;&gt;0),MAX(1,MIN(5,O82+MAX(-Config!$C$27,MIN(Config!$C$27,Q82)))),O82))</f>
        <v>3</v>
      </c>
      <c r="U82" s="35" t="str">
        <f aca="false">IF(T82="","No data",INDEX(Config!$B$5:$B$9,T82))</f>
        <v>Medium</v>
      </c>
      <c r="V82" s="7" t="str">
        <f aca="false">IF(Q82=0,"None",IF(S82="Y","Applied","Pending HO approval"))</f>
        <v>None</v>
      </c>
      <c r="W82" s="36" t="n">
        <f aca="false">SUMPRODUCT((Indicators!$K$5:$K$35&gt;0)*('Indicator Data'!$O$5:$O$35&lt;&gt;""))/SUMPRODUCT(--(Indicators!$K$5:$K$35&gt;0))</f>
        <v>1</v>
      </c>
    </row>
    <row r="83" customFormat="false" ht="15" hidden="false" customHeight="false" outlineLevel="0" collapsed="false">
      <c r="A83" s="26" t="str">
        <f aca="false">Entities!$A$16</f>
        <v>QA</v>
      </c>
      <c r="B83" s="12" t="str">
        <f aca="false">INDEX(Entities!$B$5:$B$34,MATCH(A83,Entities!$A$5:$A$34,0))</f>
        <v>Arab Bank – Qatar</v>
      </c>
      <c r="C83" s="12" t="str">
        <f aca="false">INDEX(Entities!$D$5:$D$34,MATCH(A83,Entities!$A$5:$A$34,0))</f>
        <v>GCC</v>
      </c>
      <c r="D83" s="12" t="s">
        <v>267</v>
      </c>
      <c r="E83" s="12" t="str">
        <f aca="false">INDEX('Risk Taxonomy'!$B$5:$B$24,MATCH(D83,'Risk Taxonomy'!$A$5:$A$24,0))</f>
        <v>Terrorist financing</v>
      </c>
      <c r="F83" s="28" t="n">
        <f aca="false">IFERROR(SUMPRODUCT((Indicators!$B$5:$B$35=F$4)*Indicators!$L$5:$L$35*'Indicator Scores'!$O$5:$O$35)/SUMPRODUCT((Indicators!$B$5:$B$35=F$4)*Indicators!$L$5:$L$35*('Indicator Scores'!$O$5:$O$35&gt;0)),0)</f>
        <v>2.7</v>
      </c>
      <c r="G83" s="28" t="n">
        <f aca="false">IFERROR(SUMPRODUCT((Indicators!$B$5:$B$35=G$4)*Indicators!$L$5:$L$35*'Indicator Scores'!$O$5:$O$35)/SUMPRODUCT((Indicators!$B$5:$B$35=G$4)*Indicators!$L$5:$L$35*('Indicator Scores'!$O$5:$O$35&gt;0)),0)</f>
        <v>3.11111111111111</v>
      </c>
      <c r="H83" s="28" t="n">
        <f aca="false">IFERROR(SUMPRODUCT((Indicators!$B$5:$B$35=H$4)*Indicators!$L$5:$L$35*'Indicator Scores'!$O$5:$O$35)/SUMPRODUCT((Indicators!$B$5:$B$35=H$4)*Indicators!$L$5:$L$35*('Indicator Scores'!$O$5:$O$35&gt;0)),0)</f>
        <v>3.16666666666667</v>
      </c>
      <c r="I83" s="28" t="n">
        <f aca="false">IFERROR(SUMPRODUCT((Indicators!$B$5:$B$35=I$4)*Indicators!$L$5:$L$35*'Indicator Scores'!$O$5:$O$35)/SUMPRODUCT((Indicators!$B$5:$B$35=I$4)*Indicators!$L$5:$L$35*('Indicator Scores'!$O$5:$O$35&gt;0)),0)</f>
        <v>2.83333333333333</v>
      </c>
      <c r="J83" s="28" t="n">
        <f aca="false">IFERROR(SUMPRODUCT((Indicators!$B$5:$B$35=J$4)*Indicators!$L$5:$L$35*'Indicator Scores'!$O$5:$O$35)/SUMPRODUCT((Indicators!$B$5:$B$35=J$4)*Indicators!$L$5:$L$35*('Indicator Scores'!$O$5:$O$35&gt;0)),0)</f>
        <v>3.42857142857143</v>
      </c>
      <c r="K83" s="28" t="n">
        <f aca="false">IFERROR(SUMPRODUCT(F83:J83,INDEX('Factor Weights'!$C$5:$G$11,MATCH(D83,'Factor Weights'!$A$5:$A$11,0),0))/SUMPRODUCT((F83:J83&gt;0)*INDEX('Factor Weights'!$C$5:$G$11,MATCH(D83,'Factor Weights'!$A$5:$A$11,0),0)),0)</f>
        <v>3.05238095238095</v>
      </c>
      <c r="L83" s="29" t="n">
        <f aca="false">MAX(F83:J83)</f>
        <v>3.42857142857143</v>
      </c>
      <c r="M83" s="28" t="n">
        <f aca="false">IF(L83&gt;=Config!$C$13,MAX(K83,Config!$C$14),K83)</f>
        <v>3.05238095238095</v>
      </c>
      <c r="N83" s="30" t="n">
        <f aca="false">IF(Config!$C$12="Weighted average",K83,IF(Config!$C$12="Weighted with floor",M83,L83))</f>
        <v>3.05238095238095</v>
      </c>
      <c r="O83" s="31" t="n">
        <f aca="false">IF(N83&lt;Config!$D$5,"",MATCH(N83,Config!$D$5:$D$9,1))</f>
        <v>3</v>
      </c>
      <c r="P83" s="7" t="str">
        <f aca="false">IF(O83="","No data",INDEX(Config!$B$5:$B$9,O83))</f>
        <v>Medium</v>
      </c>
      <c r="Q83" s="32" t="n">
        <v>0</v>
      </c>
      <c r="R83" s="8"/>
      <c r="S83" s="33"/>
      <c r="T83" s="34" t="n">
        <f aca="false">IF(O83="","",IF(AND(S83="Y",Q83&lt;&gt;0),MAX(1,MIN(5,O83+MAX(-Config!$C$27,MIN(Config!$C$27,Q83)))),O83))</f>
        <v>3</v>
      </c>
      <c r="U83" s="35" t="str">
        <f aca="false">IF(T83="","No data",INDEX(Config!$B$5:$B$9,T83))</f>
        <v>Medium</v>
      </c>
      <c r="V83" s="7" t="str">
        <f aca="false">IF(Q83=0,"None",IF(S83="Y","Applied","Pending HO approval"))</f>
        <v>None</v>
      </c>
      <c r="W83" s="36" t="n">
        <f aca="false">SUMPRODUCT((Indicators!$L$5:$L$35&gt;0)*('Indicator Data'!$O$5:$O$35&lt;&gt;""))/SUMPRODUCT(--(Indicators!$L$5:$L$35&gt;0))</f>
        <v>1</v>
      </c>
    </row>
    <row r="84" customFormat="false" ht="15" hidden="false" customHeight="false" outlineLevel="0" collapsed="false">
      <c r="A84" s="26" t="str">
        <f aca="false">Entities!$A$16</f>
        <v>QA</v>
      </c>
      <c r="B84" s="12" t="str">
        <f aca="false">INDEX(Entities!$B$5:$B$34,MATCH(A84,Entities!$A$5:$A$34,0))</f>
        <v>Arab Bank – Qatar</v>
      </c>
      <c r="C84" s="12" t="str">
        <f aca="false">INDEX(Entities!$D$5:$D$34,MATCH(A84,Entities!$A$5:$A$34,0))</f>
        <v>GCC</v>
      </c>
      <c r="D84" s="12" t="s">
        <v>270</v>
      </c>
      <c r="E84" s="12" t="str">
        <f aca="false">INDEX('Risk Taxonomy'!$B$5:$B$24,MATCH(D84,'Risk Taxonomy'!$A$5:$A$24,0))</f>
        <v>Proliferation financing</v>
      </c>
      <c r="F84" s="28" t="n">
        <f aca="false">IFERROR(SUMPRODUCT((Indicators!$B$5:$B$35=F$4)*Indicators!$M$5:$M$35*'Indicator Scores'!$O$5:$O$35)/SUMPRODUCT((Indicators!$B$5:$B$35=F$4)*Indicators!$M$5:$M$35*('Indicator Scores'!$O$5:$O$35&gt;0)),0)</f>
        <v>2.75</v>
      </c>
      <c r="G84" s="28" t="n">
        <f aca="false">IFERROR(SUMPRODUCT((Indicators!$B$5:$B$35=G$4)*Indicators!$M$5:$M$35*'Indicator Scores'!$O$5:$O$35)/SUMPRODUCT((Indicators!$B$5:$B$35=G$4)*Indicators!$M$5:$M$35*('Indicator Scores'!$O$5:$O$35&gt;0)),0)</f>
        <v>3.375</v>
      </c>
      <c r="H84" s="28" t="n">
        <f aca="false">IFERROR(SUMPRODUCT((Indicators!$B$5:$B$35=H$4)*Indicators!$M$5:$M$35*'Indicator Scores'!$O$5:$O$35)/SUMPRODUCT((Indicators!$B$5:$B$35=H$4)*Indicators!$M$5:$M$35*('Indicator Scores'!$O$5:$O$35&gt;0)),0)</f>
        <v>2.77777777777778</v>
      </c>
      <c r="I84" s="28" t="n">
        <f aca="false">IFERROR(SUMPRODUCT((Indicators!$B$5:$B$35=I$4)*Indicators!$M$5:$M$35*'Indicator Scores'!$O$5:$O$35)/SUMPRODUCT((Indicators!$B$5:$B$35=I$4)*Indicators!$M$5:$M$35*('Indicator Scores'!$O$5:$O$35&gt;0)),0)</f>
        <v>3</v>
      </c>
      <c r="J84" s="28" t="n">
        <f aca="false">IFERROR(SUMPRODUCT((Indicators!$B$5:$B$35=J$4)*Indicators!$M$5:$M$35*'Indicator Scores'!$O$5:$O$35)/SUMPRODUCT((Indicators!$B$5:$B$35=J$4)*Indicators!$M$5:$M$35*('Indicator Scores'!$O$5:$O$35&gt;0)),0)</f>
        <v>2.5</v>
      </c>
      <c r="K84" s="28" t="n">
        <f aca="false">IFERROR(SUMPRODUCT(F84:J84,INDEX('Factor Weights'!$C$5:$G$11,MATCH(D84,'Factor Weights'!$A$5:$A$11,0),0))/SUMPRODUCT((F84:J84&gt;0)*INDEX('Factor Weights'!$C$5:$G$11,MATCH(D84,'Factor Weights'!$A$5:$A$11,0),0)),0)</f>
        <v>2.90833333333333</v>
      </c>
      <c r="L84" s="29" t="n">
        <f aca="false">MAX(F84:J84)</f>
        <v>3.375</v>
      </c>
      <c r="M84" s="28" t="n">
        <f aca="false">IF(L84&gt;=Config!$C$13,MAX(K84,Config!$C$14),K84)</f>
        <v>2.90833333333333</v>
      </c>
      <c r="N84" s="30" t="n">
        <f aca="false">IF(Config!$C$12="Weighted average",K84,IF(Config!$C$12="Weighted with floor",M84,L84))</f>
        <v>2.90833333333333</v>
      </c>
      <c r="O84" s="31" t="n">
        <f aca="false">IF(N84&lt;Config!$D$5,"",MATCH(N84,Config!$D$5:$D$9,1))</f>
        <v>3</v>
      </c>
      <c r="P84" s="7" t="str">
        <f aca="false">IF(O84="","No data",INDEX(Config!$B$5:$B$9,O84))</f>
        <v>Medium</v>
      </c>
      <c r="Q84" s="32" t="n">
        <v>0</v>
      </c>
      <c r="R84" s="8"/>
      <c r="S84" s="33"/>
      <c r="T84" s="34" t="n">
        <f aca="false">IF(O84="","",IF(AND(S84="Y",Q84&lt;&gt;0),MAX(1,MIN(5,O84+MAX(-Config!$C$27,MIN(Config!$C$27,Q84)))),O84))</f>
        <v>3</v>
      </c>
      <c r="U84" s="35" t="str">
        <f aca="false">IF(T84="","No data",INDEX(Config!$B$5:$B$9,T84))</f>
        <v>Medium</v>
      </c>
      <c r="V84" s="7" t="str">
        <f aca="false">IF(Q84=0,"None",IF(S84="Y","Applied","Pending HO approval"))</f>
        <v>None</v>
      </c>
      <c r="W84" s="36" t="n">
        <f aca="false">SUMPRODUCT((Indicators!$M$5:$M$35&gt;0)*('Indicator Data'!$O$5:$O$35&lt;&gt;""))/SUMPRODUCT(--(Indicators!$M$5:$M$35&gt;0))</f>
        <v>1</v>
      </c>
    </row>
    <row r="85" customFormat="false" ht="15" hidden="false" customHeight="false" outlineLevel="0" collapsed="false">
      <c r="A85" s="26" t="str">
        <f aca="false">Entities!$A$16</f>
        <v>QA</v>
      </c>
      <c r="B85" s="12" t="str">
        <f aca="false">INDEX(Entities!$B$5:$B$34,MATCH(A85,Entities!$A$5:$A$34,0))</f>
        <v>Arab Bank – Qatar</v>
      </c>
      <c r="C85" s="12" t="str">
        <f aca="false">INDEX(Entities!$D$5:$D$34,MATCH(A85,Entities!$A$5:$A$34,0))</f>
        <v>GCC</v>
      </c>
      <c r="D85" s="12" t="s">
        <v>272</v>
      </c>
      <c r="E85" s="12" t="str">
        <f aca="false">INDEX('Risk Taxonomy'!$B$5:$B$24,MATCH(D85,'Risk Taxonomy'!$A$5:$A$24,0))</f>
        <v>Sanctions</v>
      </c>
      <c r="F85" s="28" t="n">
        <f aca="false">IFERROR(SUMPRODUCT((Indicators!$B$5:$B$35=F$4)*Indicators!$N$5:$N$35*'Indicator Scores'!$O$5:$O$35)/SUMPRODUCT((Indicators!$B$5:$B$35=F$4)*Indicators!$N$5:$N$35*('Indicator Scores'!$O$5:$O$35&gt;0)),0)</f>
        <v>2.57142857142857</v>
      </c>
      <c r="G85" s="28" t="n">
        <f aca="false">IFERROR(SUMPRODUCT((Indicators!$B$5:$B$35=G$4)*Indicators!$N$5:$N$35*'Indicator Scores'!$O$5:$O$35)/SUMPRODUCT((Indicators!$B$5:$B$35=G$4)*Indicators!$N$5:$N$35*('Indicator Scores'!$O$5:$O$35&gt;0)),0)</f>
        <v>3.42857142857143</v>
      </c>
      <c r="H85" s="28" t="n">
        <f aca="false">IFERROR(SUMPRODUCT((Indicators!$B$5:$B$35=H$4)*Indicators!$N$5:$N$35*'Indicator Scores'!$O$5:$O$35)/SUMPRODUCT((Indicators!$B$5:$B$35=H$4)*Indicators!$N$5:$N$35*('Indicator Scores'!$O$5:$O$35&gt;0)),0)</f>
        <v>2.75</v>
      </c>
      <c r="I85" s="28" t="n">
        <f aca="false">IFERROR(SUMPRODUCT((Indicators!$B$5:$B$35=I$4)*Indicators!$N$5:$N$35*'Indicator Scores'!$O$5:$O$35)/SUMPRODUCT((Indicators!$B$5:$B$35=I$4)*Indicators!$N$5:$N$35*('Indicator Scores'!$O$5:$O$35&gt;0)),0)</f>
        <v>3</v>
      </c>
      <c r="J85" s="28" t="n">
        <f aca="false">IFERROR(SUMPRODUCT((Indicators!$B$5:$B$35=J$4)*Indicators!$N$5:$N$35*'Indicator Scores'!$O$5:$O$35)/SUMPRODUCT((Indicators!$B$5:$B$35=J$4)*Indicators!$N$5:$N$35*('Indicator Scores'!$O$5:$O$35&gt;0)),0)</f>
        <v>2.6</v>
      </c>
      <c r="K85" s="28" t="n">
        <f aca="false">IFERROR(SUMPRODUCT(F85:J85,INDEX('Factor Weights'!$C$5:$G$11,MATCH(D85,'Factor Weights'!$A$5:$A$11,0),0))/SUMPRODUCT((F85:J85&gt;0)*INDEX('Factor Weights'!$C$5:$G$11,MATCH(D85,'Factor Weights'!$A$5:$A$11,0),0)),0)</f>
        <v>2.97714285714286</v>
      </c>
      <c r="L85" s="29" t="n">
        <f aca="false">MAX(F85:J85)</f>
        <v>3.42857142857143</v>
      </c>
      <c r="M85" s="28" t="n">
        <f aca="false">IF(L85&gt;=Config!$C$13,MAX(K85,Config!$C$14),K85)</f>
        <v>2.97714285714286</v>
      </c>
      <c r="N85" s="30" t="n">
        <f aca="false">IF(Config!$C$12="Weighted average",K85,IF(Config!$C$12="Weighted with floor",M85,L85))</f>
        <v>2.97714285714286</v>
      </c>
      <c r="O85" s="31" t="n">
        <f aca="false">IF(N85&lt;Config!$D$5,"",MATCH(N85,Config!$D$5:$D$9,1))</f>
        <v>3</v>
      </c>
      <c r="P85" s="7" t="str">
        <f aca="false">IF(O85="","No data",INDEX(Config!$B$5:$B$9,O85))</f>
        <v>Medium</v>
      </c>
      <c r="Q85" s="32" t="n">
        <v>0</v>
      </c>
      <c r="R85" s="8"/>
      <c r="S85" s="33"/>
      <c r="T85" s="34" t="n">
        <f aca="false">IF(O85="","",IF(AND(S85="Y",Q85&lt;&gt;0),MAX(1,MIN(5,O85+MAX(-Config!$C$27,MIN(Config!$C$27,Q85)))),O85))</f>
        <v>3</v>
      </c>
      <c r="U85" s="35" t="str">
        <f aca="false">IF(T85="","No data",INDEX(Config!$B$5:$B$9,T85))</f>
        <v>Medium</v>
      </c>
      <c r="V85" s="7" t="str">
        <f aca="false">IF(Q85=0,"None",IF(S85="Y","Applied","Pending HO approval"))</f>
        <v>None</v>
      </c>
      <c r="W85" s="36" t="n">
        <f aca="false">SUMPRODUCT((Indicators!$N$5:$N$35&gt;0)*('Indicator Data'!$O$5:$O$35&lt;&gt;""))/SUMPRODUCT(--(Indicators!$N$5:$N$35&gt;0))</f>
        <v>1</v>
      </c>
    </row>
    <row r="86" customFormat="false" ht="15" hidden="false" customHeight="false" outlineLevel="0" collapsed="false">
      <c r="A86" s="26" t="str">
        <f aca="false">Entities!$A$16</f>
        <v>QA</v>
      </c>
      <c r="B86" s="12" t="str">
        <f aca="false">INDEX(Entities!$B$5:$B$34,MATCH(A86,Entities!$A$5:$A$34,0))</f>
        <v>Arab Bank – Qatar</v>
      </c>
      <c r="C86" s="12" t="str">
        <f aca="false">INDEX(Entities!$D$5:$D$34,MATCH(A86,Entities!$A$5:$A$34,0))</f>
        <v>GCC</v>
      </c>
      <c r="D86" s="12" t="s">
        <v>275</v>
      </c>
      <c r="E86" s="12" t="str">
        <f aca="false">INDEX('Risk Taxonomy'!$B$5:$B$24,MATCH(D86,'Risk Taxonomy'!$A$5:$A$24,0))</f>
        <v>Bribery and corruption</v>
      </c>
      <c r="F86" s="28" t="n">
        <f aca="false">IFERROR(SUMPRODUCT((Indicators!$B$5:$B$35=F$4)*Indicators!$O$5:$O$35*'Indicator Scores'!$O$5:$O$35)/SUMPRODUCT((Indicators!$B$5:$B$35=F$4)*Indicators!$O$5:$O$35*('Indicator Scores'!$O$5:$O$35&gt;0)),0)</f>
        <v>2.22222222222222</v>
      </c>
      <c r="G86" s="28" t="n">
        <f aca="false">IFERROR(SUMPRODUCT((Indicators!$B$5:$B$35=G$4)*Indicators!$O$5:$O$35*'Indicator Scores'!$O$5:$O$35)/SUMPRODUCT((Indicators!$B$5:$B$35=G$4)*Indicators!$O$5:$O$35*('Indicator Scores'!$O$5:$O$35&gt;0)),0)</f>
        <v>3</v>
      </c>
      <c r="H86" s="28" t="n">
        <f aca="false">IFERROR(SUMPRODUCT((Indicators!$B$5:$B$35=H$4)*Indicators!$O$5:$O$35*'Indicator Scores'!$O$5:$O$35)/SUMPRODUCT((Indicators!$B$5:$B$35=H$4)*Indicators!$O$5:$O$35*('Indicator Scores'!$O$5:$O$35&gt;0)),0)</f>
        <v>2.5</v>
      </c>
      <c r="I86" s="28" t="n">
        <f aca="false">IFERROR(SUMPRODUCT((Indicators!$B$5:$B$35=I$4)*Indicators!$O$5:$O$35*'Indicator Scores'!$O$5:$O$35)/SUMPRODUCT((Indicators!$B$5:$B$35=I$4)*Indicators!$O$5:$O$35*('Indicator Scores'!$O$5:$O$35&gt;0)),0)</f>
        <v>3</v>
      </c>
      <c r="J86" s="28" t="n">
        <f aca="false">IFERROR(SUMPRODUCT((Indicators!$B$5:$B$35=J$4)*Indicators!$O$5:$O$35*'Indicator Scores'!$O$5:$O$35)/SUMPRODUCT((Indicators!$B$5:$B$35=J$4)*Indicators!$O$5:$O$35*('Indicator Scores'!$O$5:$O$35&gt;0)),0)</f>
        <v>2</v>
      </c>
      <c r="K86" s="28" t="n">
        <f aca="false">IFERROR(SUMPRODUCT(F86:J86,INDEX('Factor Weights'!$C$5:$G$11,MATCH(D86,'Factor Weights'!$A$5:$A$11,0),0))/SUMPRODUCT((F86:J86&gt;0)*INDEX('Factor Weights'!$C$5:$G$11,MATCH(D86,'Factor Weights'!$A$5:$A$11,0),0)),0)</f>
        <v>2.59166666666667</v>
      </c>
      <c r="L86" s="29" t="n">
        <f aca="false">MAX(F86:J86)</f>
        <v>3</v>
      </c>
      <c r="M86" s="28" t="n">
        <f aca="false">IF(L86&gt;=Config!$C$13,MAX(K86,Config!$C$14),K86)</f>
        <v>2.59166666666667</v>
      </c>
      <c r="N86" s="30" t="n">
        <f aca="false">IF(Config!$C$12="Weighted average",K86,IF(Config!$C$12="Weighted with floor",M86,L86))</f>
        <v>2.59166666666667</v>
      </c>
      <c r="O86" s="31" t="n">
        <f aca="false">IF(N86&lt;Config!$D$5,"",MATCH(N86,Config!$D$5:$D$9,1))</f>
        <v>2</v>
      </c>
      <c r="P86" s="7" t="str">
        <f aca="false">IF(O86="","No data",INDEX(Config!$B$5:$B$9,O86))</f>
        <v>Medium-Low</v>
      </c>
      <c r="Q86" s="32" t="n">
        <v>0</v>
      </c>
      <c r="R86" s="8"/>
      <c r="S86" s="33"/>
      <c r="T86" s="34" t="n">
        <f aca="false">IF(O86="","",IF(AND(S86="Y",Q86&lt;&gt;0),MAX(1,MIN(5,O86+MAX(-Config!$C$27,MIN(Config!$C$27,Q86)))),O86))</f>
        <v>2</v>
      </c>
      <c r="U86" s="35" t="str">
        <f aca="false">IF(T86="","No data",INDEX(Config!$B$5:$B$9,T86))</f>
        <v>Medium-Low</v>
      </c>
      <c r="V86" s="7" t="str">
        <f aca="false">IF(Q86=0,"None",IF(S86="Y","Applied","Pending HO approval"))</f>
        <v>None</v>
      </c>
      <c r="W86" s="36" t="n">
        <f aca="false">SUMPRODUCT((Indicators!$O$5:$O$35&gt;0)*('Indicator Data'!$O$5:$O$35&lt;&gt;""))/SUMPRODUCT(--(Indicators!$O$5:$O$35&gt;0))</f>
        <v>1</v>
      </c>
    </row>
    <row r="87" customFormat="false" ht="15" hidden="false" customHeight="false" outlineLevel="0" collapsed="false">
      <c r="A87" s="26" t="str">
        <f aca="false">Entities!$A$16</f>
        <v>QA</v>
      </c>
      <c r="B87" s="12" t="str">
        <f aca="false">INDEX(Entities!$B$5:$B$34,MATCH(A87,Entities!$A$5:$A$34,0))</f>
        <v>Arab Bank – Qatar</v>
      </c>
      <c r="C87" s="12" t="str">
        <f aca="false">INDEX(Entities!$D$5:$D$34,MATCH(A87,Entities!$A$5:$A$34,0))</f>
        <v>GCC</v>
      </c>
      <c r="D87" s="12" t="s">
        <v>278</v>
      </c>
      <c r="E87" s="12" t="str">
        <f aca="false">INDEX('Risk Taxonomy'!$B$5:$B$24,MATCH(D87,'Risk Taxonomy'!$A$5:$A$24,0))</f>
        <v>Fraud</v>
      </c>
      <c r="F87" s="28" t="n">
        <f aca="false">IFERROR(SUMPRODUCT((Indicators!$B$5:$B$35=F$4)*Indicators!$P$5:$P$35*'Indicator Scores'!$O$5:$O$35)/SUMPRODUCT((Indicators!$B$5:$B$35=F$4)*Indicators!$P$5:$P$35*('Indicator Scores'!$O$5:$O$35&gt;0)),0)</f>
        <v>3.66666666666667</v>
      </c>
      <c r="G87" s="28" t="n">
        <f aca="false">IFERROR(SUMPRODUCT((Indicators!$B$5:$B$35=G$4)*Indicators!$P$5:$P$35*'Indicator Scores'!$O$5:$O$35)/SUMPRODUCT((Indicators!$B$5:$B$35=G$4)*Indicators!$P$5:$P$35*('Indicator Scores'!$O$5:$O$35&gt;0)),0)</f>
        <v>3</v>
      </c>
      <c r="H87" s="28" t="n">
        <f aca="false">IFERROR(SUMPRODUCT((Indicators!$B$5:$B$35=H$4)*Indicators!$P$5:$P$35*'Indicator Scores'!$O$5:$O$35)/SUMPRODUCT((Indicators!$B$5:$B$35=H$4)*Indicators!$P$5:$P$35*('Indicator Scores'!$O$5:$O$35&gt;0)),0)</f>
        <v>3.4</v>
      </c>
      <c r="I87" s="28" t="n">
        <f aca="false">IFERROR(SUMPRODUCT((Indicators!$B$5:$B$35=I$4)*Indicators!$P$5:$P$35*'Indicator Scores'!$O$5:$O$35)/SUMPRODUCT((Indicators!$B$5:$B$35=I$4)*Indicators!$P$5:$P$35*('Indicator Scores'!$O$5:$O$35&gt;0)),0)</f>
        <v>2.77777777777778</v>
      </c>
      <c r="J87" s="28" t="n">
        <f aca="false">IFERROR(SUMPRODUCT((Indicators!$B$5:$B$35=J$4)*Indicators!$P$5:$P$35*'Indicator Scores'!$O$5:$O$35)/SUMPRODUCT((Indicators!$B$5:$B$35=J$4)*Indicators!$P$5:$P$35*('Indicator Scores'!$O$5:$O$35&gt;0)),0)</f>
        <v>2</v>
      </c>
      <c r="K87" s="28" t="n">
        <f aca="false">IFERROR(SUMPRODUCT(F87:J87,INDEX('Factor Weights'!$C$5:$G$11,MATCH(D87,'Factor Weights'!$A$5:$A$11,0),0))/SUMPRODUCT((F87:J87&gt;0)*INDEX('Factor Weights'!$C$5:$G$11,MATCH(D87,'Factor Weights'!$A$5:$A$11,0),0)),0)</f>
        <v>2.94666666666667</v>
      </c>
      <c r="L87" s="29" t="n">
        <f aca="false">MAX(F87:J87)</f>
        <v>3.66666666666667</v>
      </c>
      <c r="M87" s="28" t="n">
        <f aca="false">IF(L87&gt;=Config!$C$13,MAX(K87,Config!$C$14),K87)</f>
        <v>2.94666666666667</v>
      </c>
      <c r="N87" s="30" t="n">
        <f aca="false">IF(Config!$C$12="Weighted average",K87,IF(Config!$C$12="Weighted with floor",M87,L87))</f>
        <v>2.94666666666667</v>
      </c>
      <c r="O87" s="31" t="n">
        <f aca="false">IF(N87&lt;Config!$D$5,"",MATCH(N87,Config!$D$5:$D$9,1))</f>
        <v>3</v>
      </c>
      <c r="P87" s="7" t="str">
        <f aca="false">IF(O87="","No data",INDEX(Config!$B$5:$B$9,O87))</f>
        <v>Medium</v>
      </c>
      <c r="Q87" s="32" t="n">
        <v>0</v>
      </c>
      <c r="R87" s="8"/>
      <c r="S87" s="33"/>
      <c r="T87" s="34" t="n">
        <f aca="false">IF(O87="","",IF(AND(S87="Y",Q87&lt;&gt;0),MAX(1,MIN(5,O87+MAX(-Config!$C$27,MIN(Config!$C$27,Q87)))),O87))</f>
        <v>3</v>
      </c>
      <c r="U87" s="35" t="str">
        <f aca="false">IF(T87="","No data",INDEX(Config!$B$5:$B$9,T87))</f>
        <v>Medium</v>
      </c>
      <c r="V87" s="7" t="str">
        <f aca="false">IF(Q87=0,"None",IF(S87="Y","Applied","Pending HO approval"))</f>
        <v>None</v>
      </c>
      <c r="W87" s="36" t="n">
        <f aca="false">SUMPRODUCT((Indicators!$P$5:$P$35&gt;0)*('Indicator Data'!$O$5:$O$35&lt;&gt;""))/SUMPRODUCT(--(Indicators!$P$5:$P$35&gt;0))</f>
        <v>1</v>
      </c>
    </row>
    <row r="88" customFormat="false" ht="15" hidden="false" customHeight="false" outlineLevel="0" collapsed="false">
      <c r="A88" s="26" t="str">
        <f aca="false">Entities!$A$16</f>
        <v>QA</v>
      </c>
      <c r="B88" s="12" t="str">
        <f aca="false">INDEX(Entities!$B$5:$B$34,MATCH(A88,Entities!$A$5:$A$34,0))</f>
        <v>Arab Bank – Qatar</v>
      </c>
      <c r="C88" s="12" t="str">
        <f aca="false">INDEX(Entities!$D$5:$D$34,MATCH(A88,Entities!$A$5:$A$34,0))</f>
        <v>GCC</v>
      </c>
      <c r="D88" s="12" t="s">
        <v>281</v>
      </c>
      <c r="E88" s="12" t="str">
        <f aca="false">INDEX('Risk Taxonomy'!$B$5:$B$24,MATCH(D88,'Risk Taxonomy'!$A$5:$A$24,0))</f>
        <v>Tax evasion and tax transparency</v>
      </c>
      <c r="F88" s="28" t="n">
        <f aca="false">IFERROR(SUMPRODUCT((Indicators!$B$5:$B$35=F$4)*Indicators!$Q$5:$Q$35*'Indicator Scores'!$O$5:$O$35)/SUMPRODUCT((Indicators!$B$5:$B$35=F$4)*Indicators!$Q$5:$Q$35*('Indicator Scores'!$O$5:$O$35&gt;0)),0)</f>
        <v>2.66666666666667</v>
      </c>
      <c r="G88" s="28" t="n">
        <f aca="false">IFERROR(SUMPRODUCT((Indicators!$B$5:$B$35=G$4)*Indicators!$Q$5:$Q$35*'Indicator Scores'!$O$5:$O$35)/SUMPRODUCT((Indicators!$B$5:$B$35=G$4)*Indicators!$Q$5:$Q$35*('Indicator Scores'!$O$5:$O$35&gt;0)),0)</f>
        <v>3</v>
      </c>
      <c r="H88" s="28" t="n">
        <f aca="false">IFERROR(SUMPRODUCT((Indicators!$B$5:$B$35=H$4)*Indicators!$Q$5:$Q$35*'Indicator Scores'!$O$5:$O$35)/SUMPRODUCT((Indicators!$B$5:$B$35=H$4)*Indicators!$Q$5:$Q$35*('Indicator Scores'!$O$5:$O$35&gt;0)),0)</f>
        <v>2.83333333333333</v>
      </c>
      <c r="I88" s="28" t="n">
        <f aca="false">IFERROR(SUMPRODUCT((Indicators!$B$5:$B$35=I$4)*Indicators!$Q$5:$Q$35*'Indicator Scores'!$O$5:$O$35)/SUMPRODUCT((Indicators!$B$5:$B$35=I$4)*Indicators!$Q$5:$Q$35*('Indicator Scores'!$O$5:$O$35&gt;0)),0)</f>
        <v>3</v>
      </c>
      <c r="J88" s="28" t="n">
        <f aca="false">IFERROR(SUMPRODUCT((Indicators!$B$5:$B$35=J$4)*Indicators!$Q$5:$Q$35*'Indicator Scores'!$O$5:$O$35)/SUMPRODUCT((Indicators!$B$5:$B$35=J$4)*Indicators!$Q$5:$Q$35*('Indicator Scores'!$O$5:$O$35&gt;0)),0)</f>
        <v>3.8</v>
      </c>
      <c r="K88" s="28" t="n">
        <f aca="false">IFERROR(SUMPRODUCT(F88:J88,INDEX('Factor Weights'!$C$5:$G$11,MATCH(D88,'Factor Weights'!$A$5:$A$11,0),0))/SUMPRODUCT((F88:J88&gt;0)*INDEX('Factor Weights'!$C$5:$G$11,MATCH(D88,'Factor Weights'!$A$5:$A$11,0),0)),0)</f>
        <v>2.93</v>
      </c>
      <c r="L88" s="29" t="n">
        <f aca="false">MAX(F88:J88)</f>
        <v>3.8</v>
      </c>
      <c r="M88" s="28" t="n">
        <f aca="false">IF(L88&gt;=Config!$C$13,MAX(K88,Config!$C$14),K88)</f>
        <v>2.93</v>
      </c>
      <c r="N88" s="30" t="n">
        <f aca="false">IF(Config!$C$12="Weighted average",K88,IF(Config!$C$12="Weighted with floor",M88,L88))</f>
        <v>2.93</v>
      </c>
      <c r="O88" s="31" t="n">
        <f aca="false">IF(N88&lt;Config!$D$5,"",MATCH(N88,Config!$D$5:$D$9,1))</f>
        <v>3</v>
      </c>
      <c r="P88" s="7" t="str">
        <f aca="false">IF(O88="","No data",INDEX(Config!$B$5:$B$9,O88))</f>
        <v>Medium</v>
      </c>
      <c r="Q88" s="32" t="n">
        <v>0</v>
      </c>
      <c r="R88" s="8"/>
      <c r="S88" s="33"/>
      <c r="T88" s="34" t="n">
        <f aca="false">IF(O88="","",IF(AND(S88="Y",Q88&lt;&gt;0),MAX(1,MIN(5,O88+MAX(-Config!$C$27,MIN(Config!$C$27,Q88)))),O88))</f>
        <v>3</v>
      </c>
      <c r="U88" s="35" t="str">
        <f aca="false">IF(T88="","No data",INDEX(Config!$B$5:$B$9,T88))</f>
        <v>Medium</v>
      </c>
      <c r="V88" s="7" t="str">
        <f aca="false">IF(Q88=0,"None",IF(S88="Y","Applied","Pending HO approval"))</f>
        <v>None</v>
      </c>
      <c r="W88" s="36" t="n">
        <f aca="false">SUMPRODUCT((Indicators!$Q$5:$Q$35&gt;0)*('Indicator Data'!$O$5:$O$35&lt;&gt;""))/SUMPRODUCT(--(Indicators!$Q$5:$Q$35&gt;0))</f>
        <v>1</v>
      </c>
    </row>
    <row r="89" customFormat="false" ht="15" hidden="false" customHeight="false" outlineLevel="0" collapsed="false">
      <c r="A89" s="26" t="str">
        <f aca="false">Entities!$A$17</f>
        <v>SA</v>
      </c>
      <c r="B89" s="12" t="str">
        <f aca="false">INDEX(Entities!$B$5:$B$34,MATCH(A89,Entities!$A$5:$A$34,0))</f>
        <v>Arab National Bank (affiliate)</v>
      </c>
      <c r="C89" s="12" t="str">
        <f aca="false">INDEX(Entities!$D$5:$D$34,MATCH(A89,Entities!$A$5:$A$34,0))</f>
        <v>GCC</v>
      </c>
      <c r="D89" s="12" t="s">
        <v>260</v>
      </c>
      <c r="E89" s="12" t="str">
        <f aca="false">INDEX('Risk Taxonomy'!$B$5:$B$24,MATCH(D89,'Risk Taxonomy'!$A$5:$A$24,0))</f>
        <v>Money laundering</v>
      </c>
      <c r="F89" s="28" t="n">
        <f aca="false">IFERROR(SUMPRODUCT((Indicators!$B$5:$B$35=F$4)*Indicators!$K$5:$K$35*'Indicator Scores'!$P$5:$P$35)/SUMPRODUCT((Indicators!$B$5:$B$35=F$4)*Indicators!$K$5:$K$35*('Indicator Scores'!$P$5:$P$35&gt;0)),0)</f>
        <v>3</v>
      </c>
      <c r="G89" s="28" t="n">
        <f aca="false">IFERROR(SUMPRODUCT((Indicators!$B$5:$B$35=G$4)*Indicators!$K$5:$K$35*'Indicator Scores'!$P$5:$P$35)/SUMPRODUCT((Indicators!$B$5:$B$35=G$4)*Indicators!$K$5:$K$35*('Indicator Scores'!$P$5:$P$35&gt;0)),0)</f>
        <v>3</v>
      </c>
      <c r="H89" s="28" t="n">
        <f aca="false">IFERROR(SUMPRODUCT((Indicators!$B$5:$B$35=H$4)*Indicators!$K$5:$K$35*'Indicator Scores'!$P$5:$P$35)/SUMPRODUCT((Indicators!$B$5:$B$35=H$4)*Indicators!$K$5:$K$35*('Indicator Scores'!$P$5:$P$35&gt;0)),0)</f>
        <v>2.9</v>
      </c>
      <c r="I89" s="28" t="n">
        <f aca="false">IFERROR(SUMPRODUCT((Indicators!$B$5:$B$35=I$4)*Indicators!$K$5:$K$35*'Indicator Scores'!$P$5:$P$35)/SUMPRODUCT((Indicators!$B$5:$B$35=I$4)*Indicators!$K$5:$K$35*('Indicator Scores'!$P$5:$P$35&gt;0)),0)</f>
        <v>2</v>
      </c>
      <c r="J89" s="28" t="n">
        <f aca="false">IFERROR(SUMPRODUCT((Indicators!$B$5:$B$35=J$4)*Indicators!$K$5:$K$35*'Indicator Scores'!$P$5:$P$35)/SUMPRODUCT((Indicators!$B$5:$B$35=J$4)*Indicators!$K$5:$K$35*('Indicator Scores'!$P$5:$P$35&gt;0)),0)</f>
        <v>2.5</v>
      </c>
      <c r="K89" s="28" t="n">
        <f aca="false">IFERROR(SUMPRODUCT(F89:J89,INDEX('Factor Weights'!$C$5:$G$11,MATCH(D89,'Factor Weights'!$A$5:$A$11,0),0))/SUMPRODUCT((F89:J89&gt;0)*INDEX('Factor Weights'!$C$5:$G$11,MATCH(D89,'Factor Weights'!$A$5:$A$11,0),0)),0)</f>
        <v>2.78</v>
      </c>
      <c r="L89" s="29" t="n">
        <f aca="false">MAX(F89:J89)</f>
        <v>3</v>
      </c>
      <c r="M89" s="28" t="n">
        <f aca="false">IF(L89&gt;=Config!$C$13,MAX(K89,Config!$C$14),K89)</f>
        <v>2.78</v>
      </c>
      <c r="N89" s="30" t="n">
        <f aca="false">IF(Config!$C$12="Weighted average",K89,IF(Config!$C$12="Weighted with floor",M89,L89))</f>
        <v>2.78</v>
      </c>
      <c r="O89" s="31" t="n">
        <f aca="false">IF(N89&lt;Config!$D$5,"",MATCH(N89,Config!$D$5:$D$9,1))</f>
        <v>3</v>
      </c>
      <c r="P89" s="7" t="str">
        <f aca="false">IF(O89="","No data",INDEX(Config!$B$5:$B$9,O89))</f>
        <v>Medium</v>
      </c>
      <c r="Q89" s="32" t="n">
        <v>0</v>
      </c>
      <c r="R89" s="8"/>
      <c r="S89" s="33"/>
      <c r="T89" s="34" t="n">
        <f aca="false">IF(O89="","",IF(AND(S89="Y",Q89&lt;&gt;0),MAX(1,MIN(5,O89+MAX(-Config!$C$27,MIN(Config!$C$27,Q89)))),O89))</f>
        <v>3</v>
      </c>
      <c r="U89" s="35" t="str">
        <f aca="false">IF(T89="","No data",INDEX(Config!$B$5:$B$9,T89))</f>
        <v>Medium</v>
      </c>
      <c r="V89" s="7" t="str">
        <f aca="false">IF(Q89=0,"None",IF(S89="Y","Applied","Pending HO approval"))</f>
        <v>None</v>
      </c>
      <c r="W89" s="36" t="n">
        <f aca="false">SUMPRODUCT((Indicators!$K$5:$K$35&gt;0)*('Indicator Data'!$P$5:$P$35&lt;&gt;""))/SUMPRODUCT(--(Indicators!$K$5:$K$35&gt;0))</f>
        <v>1</v>
      </c>
    </row>
    <row r="90" customFormat="false" ht="15" hidden="false" customHeight="false" outlineLevel="0" collapsed="false">
      <c r="A90" s="26" t="str">
        <f aca="false">Entities!$A$17</f>
        <v>SA</v>
      </c>
      <c r="B90" s="12" t="str">
        <f aca="false">INDEX(Entities!$B$5:$B$34,MATCH(A90,Entities!$A$5:$A$34,0))</f>
        <v>Arab National Bank (affiliate)</v>
      </c>
      <c r="C90" s="12" t="str">
        <f aca="false">INDEX(Entities!$D$5:$D$34,MATCH(A90,Entities!$A$5:$A$34,0))</f>
        <v>GCC</v>
      </c>
      <c r="D90" s="12" t="s">
        <v>267</v>
      </c>
      <c r="E90" s="12" t="str">
        <f aca="false">INDEX('Risk Taxonomy'!$B$5:$B$24,MATCH(D90,'Risk Taxonomy'!$A$5:$A$24,0))</f>
        <v>Terrorist financing</v>
      </c>
      <c r="F90" s="28" t="n">
        <f aca="false">IFERROR(SUMPRODUCT((Indicators!$B$5:$B$35=F$4)*Indicators!$L$5:$L$35*'Indicator Scores'!$P$5:$P$35)/SUMPRODUCT((Indicators!$B$5:$B$35=F$4)*Indicators!$L$5:$L$35*('Indicator Scores'!$P$5:$P$35&gt;0)),0)</f>
        <v>3.3</v>
      </c>
      <c r="G90" s="28" t="n">
        <f aca="false">IFERROR(SUMPRODUCT((Indicators!$B$5:$B$35=G$4)*Indicators!$L$5:$L$35*'Indicator Scores'!$P$5:$P$35)/SUMPRODUCT((Indicators!$B$5:$B$35=G$4)*Indicators!$L$5:$L$35*('Indicator Scores'!$P$5:$P$35&gt;0)),0)</f>
        <v>2.66666666666667</v>
      </c>
      <c r="H90" s="28" t="n">
        <f aca="false">IFERROR(SUMPRODUCT((Indicators!$B$5:$B$35=H$4)*Indicators!$L$5:$L$35*'Indicator Scores'!$P$5:$P$35)/SUMPRODUCT((Indicators!$B$5:$B$35=H$4)*Indicators!$L$5:$L$35*('Indicator Scores'!$P$5:$P$35&gt;0)),0)</f>
        <v>3.33333333333333</v>
      </c>
      <c r="I90" s="28" t="n">
        <f aca="false">IFERROR(SUMPRODUCT((Indicators!$B$5:$B$35=I$4)*Indicators!$L$5:$L$35*'Indicator Scores'!$P$5:$P$35)/SUMPRODUCT((Indicators!$B$5:$B$35=I$4)*Indicators!$L$5:$L$35*('Indicator Scores'!$P$5:$P$35&gt;0)),0)</f>
        <v>2</v>
      </c>
      <c r="J90" s="28" t="n">
        <f aca="false">IFERROR(SUMPRODUCT((Indicators!$B$5:$B$35=J$4)*Indicators!$L$5:$L$35*'Indicator Scores'!$P$5:$P$35)/SUMPRODUCT((Indicators!$B$5:$B$35=J$4)*Indicators!$L$5:$L$35*('Indicator Scores'!$P$5:$P$35&gt;0)),0)</f>
        <v>2.42857142857143</v>
      </c>
      <c r="K90" s="28" t="n">
        <f aca="false">IFERROR(SUMPRODUCT(F90:J90,INDEX('Factor Weights'!$C$5:$G$11,MATCH(D90,'Factor Weights'!$A$5:$A$11,0),0))/SUMPRODUCT((F90:J90&gt;0)*INDEX('Factor Weights'!$C$5:$G$11,MATCH(D90,'Factor Weights'!$A$5:$A$11,0),0)),0)</f>
        <v>2.81071428571429</v>
      </c>
      <c r="L90" s="29" t="n">
        <f aca="false">MAX(F90:J90)</f>
        <v>3.33333333333333</v>
      </c>
      <c r="M90" s="28" t="n">
        <f aca="false">IF(L90&gt;=Config!$C$13,MAX(K90,Config!$C$14),K90)</f>
        <v>2.81071428571429</v>
      </c>
      <c r="N90" s="30" t="n">
        <f aca="false">IF(Config!$C$12="Weighted average",K90,IF(Config!$C$12="Weighted with floor",M90,L90))</f>
        <v>2.81071428571429</v>
      </c>
      <c r="O90" s="31" t="n">
        <f aca="false">IF(N90&lt;Config!$D$5,"",MATCH(N90,Config!$D$5:$D$9,1))</f>
        <v>3</v>
      </c>
      <c r="P90" s="7" t="str">
        <f aca="false">IF(O90="","No data",INDEX(Config!$B$5:$B$9,O90))</f>
        <v>Medium</v>
      </c>
      <c r="Q90" s="32" t="n">
        <v>0</v>
      </c>
      <c r="R90" s="8"/>
      <c r="S90" s="33"/>
      <c r="T90" s="34" t="n">
        <f aca="false">IF(O90="","",IF(AND(S90="Y",Q90&lt;&gt;0),MAX(1,MIN(5,O90+MAX(-Config!$C$27,MIN(Config!$C$27,Q90)))),O90))</f>
        <v>3</v>
      </c>
      <c r="U90" s="35" t="str">
        <f aca="false">IF(T90="","No data",INDEX(Config!$B$5:$B$9,T90))</f>
        <v>Medium</v>
      </c>
      <c r="V90" s="7" t="str">
        <f aca="false">IF(Q90=0,"None",IF(S90="Y","Applied","Pending HO approval"))</f>
        <v>None</v>
      </c>
      <c r="W90" s="36" t="n">
        <f aca="false">SUMPRODUCT((Indicators!$L$5:$L$35&gt;0)*('Indicator Data'!$P$5:$P$35&lt;&gt;""))/SUMPRODUCT(--(Indicators!$L$5:$L$35&gt;0))</f>
        <v>1</v>
      </c>
    </row>
    <row r="91" customFormat="false" ht="15" hidden="false" customHeight="false" outlineLevel="0" collapsed="false">
      <c r="A91" s="26" t="str">
        <f aca="false">Entities!$A$17</f>
        <v>SA</v>
      </c>
      <c r="B91" s="12" t="str">
        <f aca="false">INDEX(Entities!$B$5:$B$34,MATCH(A91,Entities!$A$5:$A$34,0))</f>
        <v>Arab National Bank (affiliate)</v>
      </c>
      <c r="C91" s="12" t="str">
        <f aca="false">INDEX(Entities!$D$5:$D$34,MATCH(A91,Entities!$A$5:$A$34,0))</f>
        <v>GCC</v>
      </c>
      <c r="D91" s="12" t="s">
        <v>270</v>
      </c>
      <c r="E91" s="12" t="str">
        <f aca="false">INDEX('Risk Taxonomy'!$B$5:$B$24,MATCH(D91,'Risk Taxonomy'!$A$5:$A$24,0))</f>
        <v>Proliferation financing</v>
      </c>
      <c r="F91" s="28" t="n">
        <f aca="false">IFERROR(SUMPRODUCT((Indicators!$B$5:$B$35=F$4)*Indicators!$M$5:$M$35*'Indicator Scores'!$P$5:$P$35)/SUMPRODUCT((Indicators!$B$5:$B$35=F$4)*Indicators!$M$5:$M$35*('Indicator Scores'!$P$5:$P$35&gt;0)),0)</f>
        <v>3.5</v>
      </c>
      <c r="G91" s="28" t="n">
        <f aca="false">IFERROR(SUMPRODUCT((Indicators!$B$5:$B$35=G$4)*Indicators!$M$5:$M$35*'Indicator Scores'!$P$5:$P$35)/SUMPRODUCT((Indicators!$B$5:$B$35=G$4)*Indicators!$M$5:$M$35*('Indicator Scores'!$P$5:$P$35&gt;0)),0)</f>
        <v>3.125</v>
      </c>
      <c r="H91" s="28" t="n">
        <f aca="false">IFERROR(SUMPRODUCT((Indicators!$B$5:$B$35=H$4)*Indicators!$M$5:$M$35*'Indicator Scores'!$P$5:$P$35)/SUMPRODUCT((Indicators!$B$5:$B$35=H$4)*Indicators!$M$5:$M$35*('Indicator Scores'!$P$5:$P$35&gt;0)),0)</f>
        <v>3.11111111111111</v>
      </c>
      <c r="I91" s="28" t="n">
        <f aca="false">IFERROR(SUMPRODUCT((Indicators!$B$5:$B$35=I$4)*Indicators!$M$5:$M$35*'Indicator Scores'!$P$5:$P$35)/SUMPRODUCT((Indicators!$B$5:$B$35=I$4)*Indicators!$M$5:$M$35*('Indicator Scores'!$P$5:$P$35&gt;0)),0)</f>
        <v>2</v>
      </c>
      <c r="J91" s="28" t="n">
        <f aca="false">IFERROR(SUMPRODUCT((Indicators!$B$5:$B$35=J$4)*Indicators!$M$5:$M$35*'Indicator Scores'!$P$5:$P$35)/SUMPRODUCT((Indicators!$B$5:$B$35=J$4)*Indicators!$M$5:$M$35*('Indicator Scores'!$P$5:$P$35&gt;0)),0)</f>
        <v>3</v>
      </c>
      <c r="K91" s="28" t="n">
        <f aca="false">IFERROR(SUMPRODUCT(F91:J91,INDEX('Factor Weights'!$C$5:$G$11,MATCH(D91,'Factor Weights'!$A$5:$A$11,0),0))/SUMPRODUCT((F91:J91&gt;0)*INDEX('Factor Weights'!$C$5:$G$11,MATCH(D91,'Factor Weights'!$A$5:$A$11,0),0)),0)</f>
        <v>3.09583333333333</v>
      </c>
      <c r="L91" s="29" t="n">
        <f aca="false">MAX(F91:J91)</f>
        <v>3.5</v>
      </c>
      <c r="M91" s="28" t="n">
        <f aca="false">IF(L91&gt;=Config!$C$13,MAX(K91,Config!$C$14),K91)</f>
        <v>3.09583333333333</v>
      </c>
      <c r="N91" s="30" t="n">
        <f aca="false">IF(Config!$C$12="Weighted average",K91,IF(Config!$C$12="Weighted with floor",M91,L91))</f>
        <v>3.09583333333333</v>
      </c>
      <c r="O91" s="31" t="n">
        <f aca="false">IF(N91&lt;Config!$D$5,"",MATCH(N91,Config!$D$5:$D$9,1))</f>
        <v>3</v>
      </c>
      <c r="P91" s="7" t="str">
        <f aca="false">IF(O91="","No data",INDEX(Config!$B$5:$B$9,O91))</f>
        <v>Medium</v>
      </c>
      <c r="Q91" s="32" t="n">
        <v>0</v>
      </c>
      <c r="R91" s="8"/>
      <c r="S91" s="33"/>
      <c r="T91" s="34" t="n">
        <f aca="false">IF(O91="","",IF(AND(S91="Y",Q91&lt;&gt;0),MAX(1,MIN(5,O91+MAX(-Config!$C$27,MIN(Config!$C$27,Q91)))),O91))</f>
        <v>3</v>
      </c>
      <c r="U91" s="35" t="str">
        <f aca="false">IF(T91="","No data",INDEX(Config!$B$5:$B$9,T91))</f>
        <v>Medium</v>
      </c>
      <c r="V91" s="7" t="str">
        <f aca="false">IF(Q91=0,"None",IF(S91="Y","Applied","Pending HO approval"))</f>
        <v>None</v>
      </c>
      <c r="W91" s="36" t="n">
        <f aca="false">SUMPRODUCT((Indicators!$M$5:$M$35&gt;0)*('Indicator Data'!$P$5:$P$35&lt;&gt;""))/SUMPRODUCT(--(Indicators!$M$5:$M$35&gt;0))</f>
        <v>1</v>
      </c>
    </row>
    <row r="92" customFormat="false" ht="15" hidden="false" customHeight="false" outlineLevel="0" collapsed="false">
      <c r="A92" s="26" t="str">
        <f aca="false">Entities!$A$17</f>
        <v>SA</v>
      </c>
      <c r="B92" s="12" t="str">
        <f aca="false">INDEX(Entities!$B$5:$B$34,MATCH(A92,Entities!$A$5:$A$34,0))</f>
        <v>Arab National Bank (affiliate)</v>
      </c>
      <c r="C92" s="12" t="str">
        <f aca="false">INDEX(Entities!$D$5:$D$34,MATCH(A92,Entities!$A$5:$A$34,0))</f>
        <v>GCC</v>
      </c>
      <c r="D92" s="12" t="s">
        <v>272</v>
      </c>
      <c r="E92" s="12" t="str">
        <f aca="false">INDEX('Risk Taxonomy'!$B$5:$B$24,MATCH(D92,'Risk Taxonomy'!$A$5:$A$24,0))</f>
        <v>Sanctions</v>
      </c>
      <c r="F92" s="28" t="n">
        <f aca="false">IFERROR(SUMPRODUCT((Indicators!$B$5:$B$35=F$4)*Indicators!$N$5:$N$35*'Indicator Scores'!$P$5:$P$35)/SUMPRODUCT((Indicators!$B$5:$B$35=F$4)*Indicators!$N$5:$N$35*('Indicator Scores'!$P$5:$P$35&gt;0)),0)</f>
        <v>3.28571428571429</v>
      </c>
      <c r="G92" s="28" t="n">
        <f aca="false">IFERROR(SUMPRODUCT((Indicators!$B$5:$B$35=G$4)*Indicators!$N$5:$N$35*'Indicator Scores'!$P$5:$P$35)/SUMPRODUCT((Indicators!$B$5:$B$35=G$4)*Indicators!$N$5:$N$35*('Indicator Scores'!$P$5:$P$35&gt;0)),0)</f>
        <v>3</v>
      </c>
      <c r="H92" s="28" t="n">
        <f aca="false">IFERROR(SUMPRODUCT((Indicators!$B$5:$B$35=H$4)*Indicators!$N$5:$N$35*'Indicator Scores'!$P$5:$P$35)/SUMPRODUCT((Indicators!$B$5:$B$35=H$4)*Indicators!$N$5:$N$35*('Indicator Scores'!$P$5:$P$35&gt;0)),0)</f>
        <v>3</v>
      </c>
      <c r="I92" s="28" t="n">
        <f aca="false">IFERROR(SUMPRODUCT((Indicators!$B$5:$B$35=I$4)*Indicators!$N$5:$N$35*'Indicator Scores'!$P$5:$P$35)/SUMPRODUCT((Indicators!$B$5:$B$35=I$4)*Indicators!$N$5:$N$35*('Indicator Scores'!$P$5:$P$35&gt;0)),0)</f>
        <v>2</v>
      </c>
      <c r="J92" s="28" t="n">
        <f aca="false">IFERROR(SUMPRODUCT((Indicators!$B$5:$B$35=J$4)*Indicators!$N$5:$N$35*'Indicator Scores'!$P$5:$P$35)/SUMPRODUCT((Indicators!$B$5:$B$35=J$4)*Indicators!$N$5:$N$35*('Indicator Scores'!$P$5:$P$35&gt;0)),0)</f>
        <v>3</v>
      </c>
      <c r="K92" s="28" t="n">
        <f aca="false">IFERROR(SUMPRODUCT(F92:J92,INDEX('Factor Weights'!$C$5:$G$11,MATCH(D92,'Factor Weights'!$A$5:$A$11,0),0))/SUMPRODUCT((F92:J92&gt;0)*INDEX('Factor Weights'!$C$5:$G$11,MATCH(D92,'Factor Weights'!$A$5:$A$11,0),0)),0)</f>
        <v>2.99285714285714</v>
      </c>
      <c r="L92" s="29" t="n">
        <f aca="false">MAX(F92:J92)</f>
        <v>3.28571428571429</v>
      </c>
      <c r="M92" s="28" t="n">
        <f aca="false">IF(L92&gt;=Config!$C$13,MAX(K92,Config!$C$14),K92)</f>
        <v>2.99285714285714</v>
      </c>
      <c r="N92" s="30" t="n">
        <f aca="false">IF(Config!$C$12="Weighted average",K92,IF(Config!$C$12="Weighted with floor",M92,L92))</f>
        <v>2.99285714285714</v>
      </c>
      <c r="O92" s="31" t="n">
        <f aca="false">IF(N92&lt;Config!$D$5,"",MATCH(N92,Config!$D$5:$D$9,1))</f>
        <v>3</v>
      </c>
      <c r="P92" s="7" t="str">
        <f aca="false">IF(O92="","No data",INDEX(Config!$B$5:$B$9,O92))</f>
        <v>Medium</v>
      </c>
      <c r="Q92" s="32" t="n">
        <v>0</v>
      </c>
      <c r="R92" s="8"/>
      <c r="S92" s="33"/>
      <c r="T92" s="34" t="n">
        <f aca="false">IF(O92="","",IF(AND(S92="Y",Q92&lt;&gt;0),MAX(1,MIN(5,O92+MAX(-Config!$C$27,MIN(Config!$C$27,Q92)))),O92))</f>
        <v>3</v>
      </c>
      <c r="U92" s="35" t="str">
        <f aca="false">IF(T92="","No data",INDEX(Config!$B$5:$B$9,T92))</f>
        <v>Medium</v>
      </c>
      <c r="V92" s="7" t="str">
        <f aca="false">IF(Q92=0,"None",IF(S92="Y","Applied","Pending HO approval"))</f>
        <v>None</v>
      </c>
      <c r="W92" s="36" t="n">
        <f aca="false">SUMPRODUCT((Indicators!$N$5:$N$35&gt;0)*('Indicator Data'!$P$5:$P$35&lt;&gt;""))/SUMPRODUCT(--(Indicators!$N$5:$N$35&gt;0))</f>
        <v>1</v>
      </c>
    </row>
    <row r="93" customFormat="false" ht="15" hidden="false" customHeight="false" outlineLevel="0" collapsed="false">
      <c r="A93" s="26" t="str">
        <f aca="false">Entities!$A$17</f>
        <v>SA</v>
      </c>
      <c r="B93" s="12" t="str">
        <f aca="false">INDEX(Entities!$B$5:$B$34,MATCH(A93,Entities!$A$5:$A$34,0))</f>
        <v>Arab National Bank (affiliate)</v>
      </c>
      <c r="C93" s="12" t="str">
        <f aca="false">INDEX(Entities!$D$5:$D$34,MATCH(A93,Entities!$A$5:$A$34,0))</f>
        <v>GCC</v>
      </c>
      <c r="D93" s="12" t="s">
        <v>275</v>
      </c>
      <c r="E93" s="12" t="str">
        <f aca="false">INDEX('Risk Taxonomy'!$B$5:$B$24,MATCH(D93,'Risk Taxonomy'!$A$5:$A$24,0))</f>
        <v>Bribery and corruption</v>
      </c>
      <c r="F93" s="28" t="n">
        <f aca="false">IFERROR(SUMPRODUCT((Indicators!$B$5:$B$35=F$4)*Indicators!$O$5:$O$35*'Indicator Scores'!$P$5:$P$35)/SUMPRODUCT((Indicators!$B$5:$B$35=F$4)*Indicators!$O$5:$O$35*('Indicator Scores'!$P$5:$P$35&gt;0)),0)</f>
        <v>2.77777777777778</v>
      </c>
      <c r="G93" s="28" t="n">
        <f aca="false">IFERROR(SUMPRODUCT((Indicators!$B$5:$B$35=G$4)*Indicators!$O$5:$O$35*'Indicator Scores'!$P$5:$P$35)/SUMPRODUCT((Indicators!$B$5:$B$35=G$4)*Indicators!$O$5:$O$35*('Indicator Scores'!$P$5:$P$35&gt;0)),0)</f>
        <v>2.6</v>
      </c>
      <c r="H93" s="28" t="n">
        <f aca="false">IFERROR(SUMPRODUCT((Indicators!$B$5:$B$35=H$4)*Indicators!$O$5:$O$35*'Indicator Scores'!$P$5:$P$35)/SUMPRODUCT((Indicators!$B$5:$B$35=H$4)*Indicators!$O$5:$O$35*('Indicator Scores'!$P$5:$P$35&gt;0)),0)</f>
        <v>3</v>
      </c>
      <c r="I93" s="28" t="n">
        <f aca="false">IFERROR(SUMPRODUCT((Indicators!$B$5:$B$35=I$4)*Indicators!$O$5:$O$35*'Indicator Scores'!$P$5:$P$35)/SUMPRODUCT((Indicators!$B$5:$B$35=I$4)*Indicators!$O$5:$O$35*('Indicator Scores'!$P$5:$P$35&gt;0)),0)</f>
        <v>2.6</v>
      </c>
      <c r="J93" s="28" t="n">
        <f aca="false">IFERROR(SUMPRODUCT((Indicators!$B$5:$B$35=J$4)*Indicators!$O$5:$O$35*'Indicator Scores'!$P$5:$P$35)/SUMPRODUCT((Indicators!$B$5:$B$35=J$4)*Indicators!$O$5:$O$35*('Indicator Scores'!$P$5:$P$35&gt;0)),0)</f>
        <v>3</v>
      </c>
      <c r="K93" s="28" t="n">
        <f aca="false">IFERROR(SUMPRODUCT(F93:J93,INDEX('Factor Weights'!$C$5:$G$11,MATCH(D93,'Factor Weights'!$A$5:$A$11,0),0))/SUMPRODUCT((F93:J93&gt;0)*INDEX('Factor Weights'!$C$5:$G$11,MATCH(D93,'Factor Weights'!$A$5:$A$11,0),0)),0)</f>
        <v>2.75333333333333</v>
      </c>
      <c r="L93" s="29" t="n">
        <f aca="false">MAX(F93:J93)</f>
        <v>3</v>
      </c>
      <c r="M93" s="28" t="n">
        <f aca="false">IF(L93&gt;=Config!$C$13,MAX(K93,Config!$C$14),K93)</f>
        <v>2.75333333333333</v>
      </c>
      <c r="N93" s="30" t="n">
        <f aca="false">IF(Config!$C$12="Weighted average",K93,IF(Config!$C$12="Weighted with floor",M93,L93))</f>
        <v>2.75333333333333</v>
      </c>
      <c r="O93" s="31" t="n">
        <f aca="false">IF(N93&lt;Config!$D$5,"",MATCH(N93,Config!$D$5:$D$9,1))</f>
        <v>3</v>
      </c>
      <c r="P93" s="7" t="str">
        <f aca="false">IF(O93="","No data",INDEX(Config!$B$5:$B$9,O93))</f>
        <v>Medium</v>
      </c>
      <c r="Q93" s="32" t="n">
        <v>0</v>
      </c>
      <c r="R93" s="8"/>
      <c r="S93" s="33"/>
      <c r="T93" s="34" t="n">
        <f aca="false">IF(O93="","",IF(AND(S93="Y",Q93&lt;&gt;0),MAX(1,MIN(5,O93+MAX(-Config!$C$27,MIN(Config!$C$27,Q93)))),O93))</f>
        <v>3</v>
      </c>
      <c r="U93" s="35" t="str">
        <f aca="false">IF(T93="","No data",INDEX(Config!$B$5:$B$9,T93))</f>
        <v>Medium</v>
      </c>
      <c r="V93" s="7" t="str">
        <f aca="false">IF(Q93=0,"None",IF(S93="Y","Applied","Pending HO approval"))</f>
        <v>None</v>
      </c>
      <c r="W93" s="36" t="n">
        <f aca="false">SUMPRODUCT((Indicators!$O$5:$O$35&gt;0)*('Indicator Data'!$P$5:$P$35&lt;&gt;""))/SUMPRODUCT(--(Indicators!$O$5:$O$35&gt;0))</f>
        <v>1</v>
      </c>
    </row>
    <row r="94" customFormat="false" ht="15" hidden="false" customHeight="false" outlineLevel="0" collapsed="false">
      <c r="A94" s="26" t="str">
        <f aca="false">Entities!$A$17</f>
        <v>SA</v>
      </c>
      <c r="B94" s="12" t="str">
        <f aca="false">INDEX(Entities!$B$5:$B$34,MATCH(A94,Entities!$A$5:$A$34,0))</f>
        <v>Arab National Bank (affiliate)</v>
      </c>
      <c r="C94" s="12" t="str">
        <f aca="false">INDEX(Entities!$D$5:$D$34,MATCH(A94,Entities!$A$5:$A$34,0))</f>
        <v>GCC</v>
      </c>
      <c r="D94" s="12" t="s">
        <v>278</v>
      </c>
      <c r="E94" s="12" t="str">
        <f aca="false">INDEX('Risk Taxonomy'!$B$5:$B$24,MATCH(D94,'Risk Taxonomy'!$A$5:$A$24,0))</f>
        <v>Fraud</v>
      </c>
      <c r="F94" s="28" t="n">
        <f aca="false">IFERROR(SUMPRODUCT((Indicators!$B$5:$B$35=F$4)*Indicators!$P$5:$P$35*'Indicator Scores'!$P$5:$P$35)/SUMPRODUCT((Indicators!$B$5:$B$35=F$4)*Indicators!$P$5:$P$35*('Indicator Scores'!$P$5:$P$35&gt;0)),0)</f>
        <v>3</v>
      </c>
      <c r="G94" s="28" t="n">
        <f aca="false">IFERROR(SUMPRODUCT((Indicators!$B$5:$B$35=G$4)*Indicators!$P$5:$P$35*'Indicator Scores'!$P$5:$P$35)/SUMPRODUCT((Indicators!$B$5:$B$35=G$4)*Indicators!$P$5:$P$35*('Indicator Scores'!$P$5:$P$35&gt;0)),0)</f>
        <v>2.5</v>
      </c>
      <c r="H94" s="28" t="n">
        <f aca="false">IFERROR(SUMPRODUCT((Indicators!$B$5:$B$35=H$4)*Indicators!$P$5:$P$35*'Indicator Scores'!$P$5:$P$35)/SUMPRODUCT((Indicators!$B$5:$B$35=H$4)*Indicators!$P$5:$P$35*('Indicator Scores'!$P$5:$P$35&gt;0)),0)</f>
        <v>2.8</v>
      </c>
      <c r="I94" s="28" t="n">
        <f aca="false">IFERROR(SUMPRODUCT((Indicators!$B$5:$B$35=I$4)*Indicators!$P$5:$P$35*'Indicator Scores'!$P$5:$P$35)/SUMPRODUCT((Indicators!$B$5:$B$35=I$4)*Indicators!$P$5:$P$35*('Indicator Scores'!$P$5:$P$35&gt;0)),0)</f>
        <v>2</v>
      </c>
      <c r="J94" s="28" t="n">
        <f aca="false">IFERROR(SUMPRODUCT((Indicators!$B$5:$B$35=J$4)*Indicators!$P$5:$P$35*'Indicator Scores'!$P$5:$P$35)/SUMPRODUCT((Indicators!$B$5:$B$35=J$4)*Indicators!$P$5:$P$35*('Indicator Scores'!$P$5:$P$35&gt;0)),0)</f>
        <v>3.4</v>
      </c>
      <c r="K94" s="28" t="n">
        <f aca="false">IFERROR(SUMPRODUCT(F94:J94,INDEX('Factor Weights'!$C$5:$G$11,MATCH(D94,'Factor Weights'!$A$5:$A$11,0),0))/SUMPRODUCT((F94:J94&gt;0)*INDEX('Factor Weights'!$C$5:$G$11,MATCH(D94,'Factor Weights'!$A$5:$A$11,0),0)),0)</f>
        <v>2.69</v>
      </c>
      <c r="L94" s="29" t="n">
        <f aca="false">MAX(F94:J94)</f>
        <v>3.4</v>
      </c>
      <c r="M94" s="28" t="n">
        <f aca="false">IF(L94&gt;=Config!$C$13,MAX(K94,Config!$C$14),K94)</f>
        <v>2.69</v>
      </c>
      <c r="N94" s="30" t="n">
        <f aca="false">IF(Config!$C$12="Weighted average",K94,IF(Config!$C$12="Weighted with floor",M94,L94))</f>
        <v>2.69</v>
      </c>
      <c r="O94" s="31" t="n">
        <f aca="false">IF(N94&lt;Config!$D$5,"",MATCH(N94,Config!$D$5:$D$9,1))</f>
        <v>3</v>
      </c>
      <c r="P94" s="7" t="str">
        <f aca="false">IF(O94="","No data",INDEX(Config!$B$5:$B$9,O94))</f>
        <v>Medium</v>
      </c>
      <c r="Q94" s="32" t="n">
        <v>0</v>
      </c>
      <c r="R94" s="8"/>
      <c r="S94" s="33"/>
      <c r="T94" s="34" t="n">
        <f aca="false">IF(O94="","",IF(AND(S94="Y",Q94&lt;&gt;0),MAX(1,MIN(5,O94+MAX(-Config!$C$27,MIN(Config!$C$27,Q94)))),O94))</f>
        <v>3</v>
      </c>
      <c r="U94" s="35" t="str">
        <f aca="false">IF(T94="","No data",INDEX(Config!$B$5:$B$9,T94))</f>
        <v>Medium</v>
      </c>
      <c r="V94" s="7" t="str">
        <f aca="false">IF(Q94=0,"None",IF(S94="Y","Applied","Pending HO approval"))</f>
        <v>None</v>
      </c>
      <c r="W94" s="36" t="n">
        <f aca="false">SUMPRODUCT((Indicators!$P$5:$P$35&gt;0)*('Indicator Data'!$P$5:$P$35&lt;&gt;""))/SUMPRODUCT(--(Indicators!$P$5:$P$35&gt;0))</f>
        <v>1</v>
      </c>
    </row>
    <row r="95" customFormat="false" ht="15" hidden="false" customHeight="false" outlineLevel="0" collapsed="false">
      <c r="A95" s="26" t="str">
        <f aca="false">Entities!$A$17</f>
        <v>SA</v>
      </c>
      <c r="B95" s="12" t="str">
        <f aca="false">INDEX(Entities!$B$5:$B$34,MATCH(A95,Entities!$A$5:$A$34,0))</f>
        <v>Arab National Bank (affiliate)</v>
      </c>
      <c r="C95" s="12" t="str">
        <f aca="false">INDEX(Entities!$D$5:$D$34,MATCH(A95,Entities!$A$5:$A$34,0))</f>
        <v>GCC</v>
      </c>
      <c r="D95" s="12" t="s">
        <v>281</v>
      </c>
      <c r="E95" s="12" t="str">
        <f aca="false">INDEX('Risk Taxonomy'!$B$5:$B$24,MATCH(D95,'Risk Taxonomy'!$A$5:$A$24,0))</f>
        <v>Tax evasion and tax transparency</v>
      </c>
      <c r="F95" s="28" t="n">
        <f aca="false">IFERROR(SUMPRODUCT((Indicators!$B$5:$B$35=F$4)*Indicators!$Q$5:$Q$35*'Indicator Scores'!$P$5:$P$35)/SUMPRODUCT((Indicators!$B$5:$B$35=F$4)*Indicators!$Q$5:$Q$35*('Indicator Scores'!$P$5:$P$35&gt;0)),0)</f>
        <v>3.44444444444444</v>
      </c>
      <c r="G95" s="28" t="n">
        <f aca="false">IFERROR(SUMPRODUCT((Indicators!$B$5:$B$35=G$4)*Indicators!$Q$5:$Q$35*'Indicator Scores'!$P$5:$P$35)/SUMPRODUCT((Indicators!$B$5:$B$35=G$4)*Indicators!$Q$5:$Q$35*('Indicator Scores'!$P$5:$P$35&gt;0)),0)</f>
        <v>3</v>
      </c>
      <c r="H95" s="28" t="n">
        <f aca="false">IFERROR(SUMPRODUCT((Indicators!$B$5:$B$35=H$4)*Indicators!$Q$5:$Q$35*'Indicator Scores'!$P$5:$P$35)/SUMPRODUCT((Indicators!$B$5:$B$35=H$4)*Indicators!$Q$5:$Q$35*('Indicator Scores'!$P$5:$P$35&gt;0)),0)</f>
        <v>2.33333333333333</v>
      </c>
      <c r="I95" s="28" t="n">
        <f aca="false">IFERROR(SUMPRODUCT((Indicators!$B$5:$B$35=I$4)*Indicators!$Q$5:$Q$35*'Indicator Scores'!$P$5:$P$35)/SUMPRODUCT((Indicators!$B$5:$B$35=I$4)*Indicators!$Q$5:$Q$35*('Indicator Scores'!$P$5:$P$35&gt;0)),0)</f>
        <v>2</v>
      </c>
      <c r="J95" s="28" t="n">
        <f aca="false">IFERROR(SUMPRODUCT((Indicators!$B$5:$B$35=J$4)*Indicators!$Q$5:$Q$35*'Indicator Scores'!$P$5:$P$35)/SUMPRODUCT((Indicators!$B$5:$B$35=J$4)*Indicators!$Q$5:$Q$35*('Indicator Scores'!$P$5:$P$35&gt;0)),0)</f>
        <v>2.8</v>
      </c>
      <c r="K95" s="28" t="n">
        <f aca="false">IFERROR(SUMPRODUCT(F95:J95,INDEX('Factor Weights'!$C$5:$G$11,MATCH(D95,'Factor Weights'!$A$5:$A$11,0),0))/SUMPRODUCT((F95:J95&gt;0)*INDEX('Factor Weights'!$C$5:$G$11,MATCH(D95,'Factor Weights'!$A$5:$A$11,0),0)),0)</f>
        <v>2.90222222222222</v>
      </c>
      <c r="L95" s="29" t="n">
        <f aca="false">MAX(F95:J95)</f>
        <v>3.44444444444444</v>
      </c>
      <c r="M95" s="28" t="n">
        <f aca="false">IF(L95&gt;=Config!$C$13,MAX(K95,Config!$C$14),K95)</f>
        <v>2.90222222222222</v>
      </c>
      <c r="N95" s="30" t="n">
        <f aca="false">IF(Config!$C$12="Weighted average",K95,IF(Config!$C$12="Weighted with floor",M95,L95))</f>
        <v>2.90222222222222</v>
      </c>
      <c r="O95" s="31" t="n">
        <f aca="false">IF(N95&lt;Config!$D$5,"",MATCH(N95,Config!$D$5:$D$9,1))</f>
        <v>3</v>
      </c>
      <c r="P95" s="7" t="str">
        <f aca="false">IF(O95="","No data",INDEX(Config!$B$5:$B$9,O95))</f>
        <v>Medium</v>
      </c>
      <c r="Q95" s="32" t="n">
        <v>0</v>
      </c>
      <c r="R95" s="8"/>
      <c r="S95" s="33"/>
      <c r="T95" s="34" t="n">
        <f aca="false">IF(O95="","",IF(AND(S95="Y",Q95&lt;&gt;0),MAX(1,MIN(5,O95+MAX(-Config!$C$27,MIN(Config!$C$27,Q95)))),O95))</f>
        <v>3</v>
      </c>
      <c r="U95" s="35" t="str">
        <f aca="false">IF(T95="","No data",INDEX(Config!$B$5:$B$9,T95))</f>
        <v>Medium</v>
      </c>
      <c r="V95" s="7" t="str">
        <f aca="false">IF(Q95=0,"None",IF(S95="Y","Applied","Pending HO approval"))</f>
        <v>None</v>
      </c>
      <c r="W95" s="36" t="n">
        <f aca="false">SUMPRODUCT((Indicators!$Q$5:$Q$35&gt;0)*('Indicator Data'!$P$5:$P$35&lt;&gt;""))/SUMPRODUCT(--(Indicators!$Q$5:$Q$35&gt;0))</f>
        <v>1</v>
      </c>
    </row>
    <row r="96" customFormat="false" ht="15" hidden="false" customHeight="false" outlineLevel="0" collapsed="false">
      <c r="A96" s="26" t="str">
        <f aca="false">Entities!$A$18</f>
        <v>OM</v>
      </c>
      <c r="B96" s="12" t="str">
        <f aca="false">INDEX(Entities!$B$5:$B$34,MATCH(A96,Entities!$A$5:$A$34,0))</f>
        <v>Oman Arab Bank (affiliate)</v>
      </c>
      <c r="C96" s="12" t="str">
        <f aca="false">INDEX(Entities!$D$5:$D$34,MATCH(A96,Entities!$A$5:$A$34,0))</f>
        <v>GCC</v>
      </c>
      <c r="D96" s="12" t="s">
        <v>260</v>
      </c>
      <c r="E96" s="12" t="str">
        <f aca="false">INDEX('Risk Taxonomy'!$B$5:$B$24,MATCH(D96,'Risk Taxonomy'!$A$5:$A$24,0))</f>
        <v>Money laundering</v>
      </c>
      <c r="F96" s="28" t="n">
        <f aca="false">IFERROR(SUMPRODUCT((Indicators!$B$5:$B$35=F$4)*Indicators!$K$5:$K$35*'Indicator Scores'!$Q$5:$Q$35)/SUMPRODUCT((Indicators!$B$5:$B$35=F$4)*Indicators!$K$5:$K$35*('Indicator Scores'!$Q$5:$Q$35&gt;0)),0)</f>
        <v>3.33333333333333</v>
      </c>
      <c r="G96" s="28" t="n">
        <f aca="false">IFERROR(SUMPRODUCT((Indicators!$B$5:$B$35=G$4)*Indicators!$K$5:$K$35*'Indicator Scores'!$Q$5:$Q$35)/SUMPRODUCT((Indicators!$B$5:$B$35=G$4)*Indicators!$K$5:$K$35*('Indicator Scores'!$Q$5:$Q$35&gt;0)),0)</f>
        <v>2.55555555555556</v>
      </c>
      <c r="H96" s="28" t="n">
        <f aca="false">IFERROR(SUMPRODUCT((Indicators!$B$5:$B$35=H$4)*Indicators!$K$5:$K$35*'Indicator Scores'!$Q$5:$Q$35)/SUMPRODUCT((Indicators!$B$5:$B$35=H$4)*Indicators!$K$5:$K$35*('Indicator Scores'!$Q$5:$Q$35&gt;0)),0)</f>
        <v>2.3</v>
      </c>
      <c r="I96" s="28" t="n">
        <f aca="false">IFERROR(SUMPRODUCT((Indicators!$B$5:$B$35=I$4)*Indicators!$K$5:$K$35*'Indicator Scores'!$Q$5:$Q$35)/SUMPRODUCT((Indicators!$B$5:$B$35=I$4)*Indicators!$K$5:$K$35*('Indicator Scores'!$Q$5:$Q$35&gt;0)),0)</f>
        <v>2.42857142857143</v>
      </c>
      <c r="J96" s="28" t="n">
        <f aca="false">IFERROR(SUMPRODUCT((Indicators!$B$5:$B$35=J$4)*Indicators!$K$5:$K$35*'Indicator Scores'!$Q$5:$Q$35)/SUMPRODUCT((Indicators!$B$5:$B$35=J$4)*Indicators!$K$5:$K$35*('Indicator Scores'!$Q$5:$Q$35&gt;0)),0)</f>
        <v>3.2</v>
      </c>
      <c r="K96" s="28" t="n">
        <f aca="false">IFERROR(SUMPRODUCT(F96:J96,INDEX('Factor Weights'!$C$5:$G$11,MATCH(D96,'Factor Weights'!$A$5:$A$11,0),0))/SUMPRODUCT((F96:J96&gt;0)*INDEX('Factor Weights'!$C$5:$G$11,MATCH(D96,'Factor Weights'!$A$5:$A$11,0),0)),0)</f>
        <v>2.7831746031746</v>
      </c>
      <c r="L96" s="29" t="n">
        <f aca="false">MAX(F96:J96)</f>
        <v>3.33333333333333</v>
      </c>
      <c r="M96" s="28" t="n">
        <f aca="false">IF(L96&gt;=Config!$C$13,MAX(K96,Config!$C$14),K96)</f>
        <v>2.7831746031746</v>
      </c>
      <c r="N96" s="30" t="n">
        <f aca="false">IF(Config!$C$12="Weighted average",K96,IF(Config!$C$12="Weighted with floor",M96,L96))</f>
        <v>2.7831746031746</v>
      </c>
      <c r="O96" s="31" t="n">
        <f aca="false">IF(N96&lt;Config!$D$5,"",MATCH(N96,Config!$D$5:$D$9,1))</f>
        <v>3</v>
      </c>
      <c r="P96" s="7" t="str">
        <f aca="false">IF(O96="","No data",INDEX(Config!$B$5:$B$9,O96))</f>
        <v>Medium</v>
      </c>
      <c r="Q96" s="32" t="n">
        <v>0</v>
      </c>
      <c r="R96" s="8"/>
      <c r="S96" s="33"/>
      <c r="T96" s="34" t="n">
        <f aca="false">IF(O96="","",IF(AND(S96="Y",Q96&lt;&gt;0),MAX(1,MIN(5,O96+MAX(-Config!$C$27,MIN(Config!$C$27,Q96)))),O96))</f>
        <v>3</v>
      </c>
      <c r="U96" s="35" t="str">
        <f aca="false">IF(T96="","No data",INDEX(Config!$B$5:$B$9,T96))</f>
        <v>Medium</v>
      </c>
      <c r="V96" s="7" t="str">
        <f aca="false">IF(Q96=0,"None",IF(S96="Y","Applied","Pending HO approval"))</f>
        <v>None</v>
      </c>
      <c r="W96" s="36" t="n">
        <f aca="false">SUMPRODUCT((Indicators!$K$5:$K$35&gt;0)*('Indicator Data'!$Q$5:$Q$35&lt;&gt;""))/SUMPRODUCT(--(Indicators!$K$5:$K$35&gt;0))</f>
        <v>1</v>
      </c>
    </row>
    <row r="97" customFormat="false" ht="15" hidden="false" customHeight="false" outlineLevel="0" collapsed="false">
      <c r="A97" s="26" t="str">
        <f aca="false">Entities!$A$18</f>
        <v>OM</v>
      </c>
      <c r="B97" s="12" t="str">
        <f aca="false">INDEX(Entities!$B$5:$B$34,MATCH(A97,Entities!$A$5:$A$34,0))</f>
        <v>Oman Arab Bank (affiliate)</v>
      </c>
      <c r="C97" s="12" t="str">
        <f aca="false">INDEX(Entities!$D$5:$D$34,MATCH(A97,Entities!$A$5:$A$34,0))</f>
        <v>GCC</v>
      </c>
      <c r="D97" s="12" t="s">
        <v>267</v>
      </c>
      <c r="E97" s="12" t="str">
        <f aca="false">INDEX('Risk Taxonomy'!$B$5:$B$24,MATCH(D97,'Risk Taxonomy'!$A$5:$A$24,0))</f>
        <v>Terrorist financing</v>
      </c>
      <c r="F97" s="28" t="n">
        <f aca="false">IFERROR(SUMPRODUCT((Indicators!$B$5:$B$35=F$4)*Indicators!$L$5:$L$35*'Indicator Scores'!$Q$5:$Q$35)/SUMPRODUCT((Indicators!$B$5:$B$35=F$4)*Indicators!$L$5:$L$35*('Indicator Scores'!$Q$5:$Q$35&gt;0)),0)</f>
        <v>3.3</v>
      </c>
      <c r="G97" s="28" t="n">
        <f aca="false">IFERROR(SUMPRODUCT((Indicators!$B$5:$B$35=G$4)*Indicators!$L$5:$L$35*'Indicator Scores'!$Q$5:$Q$35)/SUMPRODUCT((Indicators!$B$5:$B$35=G$4)*Indicators!$L$5:$L$35*('Indicator Scores'!$Q$5:$Q$35&gt;0)),0)</f>
        <v>2.11111111111111</v>
      </c>
      <c r="H97" s="28" t="n">
        <f aca="false">IFERROR(SUMPRODUCT((Indicators!$B$5:$B$35=H$4)*Indicators!$L$5:$L$35*'Indicator Scores'!$Q$5:$Q$35)/SUMPRODUCT((Indicators!$B$5:$B$35=H$4)*Indicators!$L$5:$L$35*('Indicator Scores'!$Q$5:$Q$35&gt;0)),0)</f>
        <v>2.16666666666667</v>
      </c>
      <c r="I97" s="28" t="n">
        <f aca="false">IFERROR(SUMPRODUCT((Indicators!$B$5:$B$35=I$4)*Indicators!$L$5:$L$35*'Indicator Scores'!$Q$5:$Q$35)/SUMPRODUCT((Indicators!$B$5:$B$35=I$4)*Indicators!$L$5:$L$35*('Indicator Scores'!$Q$5:$Q$35&gt;0)),0)</f>
        <v>2.33333333333333</v>
      </c>
      <c r="J97" s="28" t="n">
        <f aca="false">IFERROR(SUMPRODUCT((Indicators!$B$5:$B$35=J$4)*Indicators!$L$5:$L$35*'Indicator Scores'!$Q$5:$Q$35)/SUMPRODUCT((Indicators!$B$5:$B$35=J$4)*Indicators!$L$5:$L$35*('Indicator Scores'!$Q$5:$Q$35&gt;0)),0)</f>
        <v>3.14285714285714</v>
      </c>
      <c r="K97" s="28" t="n">
        <f aca="false">IFERROR(SUMPRODUCT(F97:J97,INDEX('Factor Weights'!$C$5:$G$11,MATCH(D97,'Factor Weights'!$A$5:$A$11,0),0))/SUMPRODUCT((F97:J97&gt;0)*INDEX('Factor Weights'!$C$5:$G$11,MATCH(D97,'Factor Weights'!$A$5:$A$11,0),0)),0)</f>
        <v>2.6452380952381</v>
      </c>
      <c r="L97" s="29" t="n">
        <f aca="false">MAX(F97:J97)</f>
        <v>3.3</v>
      </c>
      <c r="M97" s="28" t="n">
        <f aca="false">IF(L97&gt;=Config!$C$13,MAX(K97,Config!$C$14),K97)</f>
        <v>2.6452380952381</v>
      </c>
      <c r="N97" s="30" t="n">
        <f aca="false">IF(Config!$C$12="Weighted average",K97,IF(Config!$C$12="Weighted with floor",M97,L97))</f>
        <v>2.6452380952381</v>
      </c>
      <c r="O97" s="31" t="n">
        <f aca="false">IF(N97&lt;Config!$D$5,"",MATCH(N97,Config!$D$5:$D$9,1))</f>
        <v>3</v>
      </c>
      <c r="P97" s="7" t="str">
        <f aca="false">IF(O97="","No data",INDEX(Config!$B$5:$B$9,O97))</f>
        <v>Medium</v>
      </c>
      <c r="Q97" s="32" t="n">
        <v>0</v>
      </c>
      <c r="R97" s="8"/>
      <c r="S97" s="33"/>
      <c r="T97" s="34" t="n">
        <f aca="false">IF(O97="","",IF(AND(S97="Y",Q97&lt;&gt;0),MAX(1,MIN(5,O97+MAX(-Config!$C$27,MIN(Config!$C$27,Q97)))),O97))</f>
        <v>3</v>
      </c>
      <c r="U97" s="35" t="str">
        <f aca="false">IF(T97="","No data",INDEX(Config!$B$5:$B$9,T97))</f>
        <v>Medium</v>
      </c>
      <c r="V97" s="7" t="str">
        <f aca="false">IF(Q97=0,"None",IF(S97="Y","Applied","Pending HO approval"))</f>
        <v>None</v>
      </c>
      <c r="W97" s="36" t="n">
        <f aca="false">SUMPRODUCT((Indicators!$L$5:$L$35&gt;0)*('Indicator Data'!$Q$5:$Q$35&lt;&gt;""))/SUMPRODUCT(--(Indicators!$L$5:$L$35&gt;0))</f>
        <v>1</v>
      </c>
    </row>
    <row r="98" customFormat="false" ht="15" hidden="false" customHeight="false" outlineLevel="0" collapsed="false">
      <c r="A98" s="26" t="str">
        <f aca="false">Entities!$A$18</f>
        <v>OM</v>
      </c>
      <c r="B98" s="12" t="str">
        <f aca="false">INDEX(Entities!$B$5:$B$34,MATCH(A98,Entities!$A$5:$A$34,0))</f>
        <v>Oman Arab Bank (affiliate)</v>
      </c>
      <c r="C98" s="12" t="str">
        <f aca="false">INDEX(Entities!$D$5:$D$34,MATCH(A98,Entities!$A$5:$A$34,0))</f>
        <v>GCC</v>
      </c>
      <c r="D98" s="12" t="s">
        <v>270</v>
      </c>
      <c r="E98" s="12" t="str">
        <f aca="false">INDEX('Risk Taxonomy'!$B$5:$B$24,MATCH(D98,'Risk Taxonomy'!$A$5:$A$24,0))</f>
        <v>Proliferation financing</v>
      </c>
      <c r="F98" s="28" t="n">
        <f aca="false">IFERROR(SUMPRODUCT((Indicators!$B$5:$B$35=F$4)*Indicators!$M$5:$M$35*'Indicator Scores'!$Q$5:$Q$35)/SUMPRODUCT((Indicators!$B$5:$B$35=F$4)*Indicators!$M$5:$M$35*('Indicator Scores'!$Q$5:$Q$35&gt;0)),0)</f>
        <v>3.25</v>
      </c>
      <c r="G98" s="28" t="n">
        <f aca="false">IFERROR(SUMPRODUCT((Indicators!$B$5:$B$35=G$4)*Indicators!$M$5:$M$35*'Indicator Scores'!$Q$5:$Q$35)/SUMPRODUCT((Indicators!$B$5:$B$35=G$4)*Indicators!$M$5:$M$35*('Indicator Scores'!$Q$5:$Q$35&gt;0)),0)</f>
        <v>2.75</v>
      </c>
      <c r="H98" s="28" t="n">
        <f aca="false">IFERROR(SUMPRODUCT((Indicators!$B$5:$B$35=H$4)*Indicators!$M$5:$M$35*'Indicator Scores'!$Q$5:$Q$35)/SUMPRODUCT((Indicators!$B$5:$B$35=H$4)*Indicators!$M$5:$M$35*('Indicator Scores'!$Q$5:$Q$35&gt;0)),0)</f>
        <v>2.44444444444444</v>
      </c>
      <c r="I98" s="28" t="n">
        <f aca="false">IFERROR(SUMPRODUCT((Indicators!$B$5:$B$35=I$4)*Indicators!$M$5:$M$35*'Indicator Scores'!$Q$5:$Q$35)/SUMPRODUCT((Indicators!$B$5:$B$35=I$4)*Indicators!$M$5:$M$35*('Indicator Scores'!$Q$5:$Q$35&gt;0)),0)</f>
        <v>2.33333333333333</v>
      </c>
      <c r="J98" s="28" t="n">
        <f aca="false">IFERROR(SUMPRODUCT((Indicators!$B$5:$B$35=J$4)*Indicators!$M$5:$M$35*'Indicator Scores'!$Q$5:$Q$35)/SUMPRODUCT((Indicators!$B$5:$B$35=J$4)*Indicators!$M$5:$M$35*('Indicator Scores'!$Q$5:$Q$35&gt;0)),0)</f>
        <v>3</v>
      </c>
      <c r="K98" s="28" t="n">
        <f aca="false">IFERROR(SUMPRODUCT(F98:J98,INDEX('Factor Weights'!$C$5:$G$11,MATCH(D98,'Factor Weights'!$A$5:$A$11,0),0))/SUMPRODUCT((F98:J98&gt;0)*INDEX('Factor Weights'!$C$5:$G$11,MATCH(D98,'Factor Weights'!$A$5:$A$11,0),0)),0)</f>
        <v>2.7625</v>
      </c>
      <c r="L98" s="29" t="n">
        <f aca="false">MAX(F98:J98)</f>
        <v>3.25</v>
      </c>
      <c r="M98" s="28" t="n">
        <f aca="false">IF(L98&gt;=Config!$C$13,MAX(K98,Config!$C$14),K98)</f>
        <v>2.7625</v>
      </c>
      <c r="N98" s="30" t="n">
        <f aca="false">IF(Config!$C$12="Weighted average",K98,IF(Config!$C$12="Weighted with floor",M98,L98))</f>
        <v>2.7625</v>
      </c>
      <c r="O98" s="31" t="n">
        <f aca="false">IF(N98&lt;Config!$D$5,"",MATCH(N98,Config!$D$5:$D$9,1))</f>
        <v>3</v>
      </c>
      <c r="P98" s="7" t="str">
        <f aca="false">IF(O98="","No data",INDEX(Config!$B$5:$B$9,O98))</f>
        <v>Medium</v>
      </c>
      <c r="Q98" s="32" t="n">
        <v>0</v>
      </c>
      <c r="R98" s="8"/>
      <c r="S98" s="33"/>
      <c r="T98" s="34" t="n">
        <f aca="false">IF(O98="","",IF(AND(S98="Y",Q98&lt;&gt;0),MAX(1,MIN(5,O98+MAX(-Config!$C$27,MIN(Config!$C$27,Q98)))),O98))</f>
        <v>3</v>
      </c>
      <c r="U98" s="35" t="str">
        <f aca="false">IF(T98="","No data",INDEX(Config!$B$5:$B$9,T98))</f>
        <v>Medium</v>
      </c>
      <c r="V98" s="7" t="str">
        <f aca="false">IF(Q98=0,"None",IF(S98="Y","Applied","Pending HO approval"))</f>
        <v>None</v>
      </c>
      <c r="W98" s="36" t="n">
        <f aca="false">SUMPRODUCT((Indicators!$M$5:$M$35&gt;0)*('Indicator Data'!$Q$5:$Q$35&lt;&gt;""))/SUMPRODUCT(--(Indicators!$M$5:$M$35&gt;0))</f>
        <v>1</v>
      </c>
    </row>
    <row r="99" customFormat="false" ht="15" hidden="false" customHeight="false" outlineLevel="0" collapsed="false">
      <c r="A99" s="26" t="str">
        <f aca="false">Entities!$A$18</f>
        <v>OM</v>
      </c>
      <c r="B99" s="12" t="str">
        <f aca="false">INDEX(Entities!$B$5:$B$34,MATCH(A99,Entities!$A$5:$A$34,0))</f>
        <v>Oman Arab Bank (affiliate)</v>
      </c>
      <c r="C99" s="12" t="str">
        <f aca="false">INDEX(Entities!$D$5:$D$34,MATCH(A99,Entities!$A$5:$A$34,0))</f>
        <v>GCC</v>
      </c>
      <c r="D99" s="12" t="s">
        <v>272</v>
      </c>
      <c r="E99" s="12" t="str">
        <f aca="false">INDEX('Risk Taxonomy'!$B$5:$B$24,MATCH(D99,'Risk Taxonomy'!$A$5:$A$24,0))</f>
        <v>Sanctions</v>
      </c>
      <c r="F99" s="28" t="n">
        <f aca="false">IFERROR(SUMPRODUCT((Indicators!$B$5:$B$35=F$4)*Indicators!$N$5:$N$35*'Indicator Scores'!$Q$5:$Q$35)/SUMPRODUCT((Indicators!$B$5:$B$35=F$4)*Indicators!$N$5:$N$35*('Indicator Scores'!$Q$5:$Q$35&gt;0)),0)</f>
        <v>3.42857142857143</v>
      </c>
      <c r="G99" s="28" t="n">
        <f aca="false">IFERROR(SUMPRODUCT((Indicators!$B$5:$B$35=G$4)*Indicators!$N$5:$N$35*'Indicator Scores'!$Q$5:$Q$35)/SUMPRODUCT((Indicators!$B$5:$B$35=G$4)*Indicators!$N$5:$N$35*('Indicator Scores'!$Q$5:$Q$35&gt;0)),0)</f>
        <v>2.85714285714286</v>
      </c>
      <c r="H99" s="28" t="n">
        <f aca="false">IFERROR(SUMPRODUCT((Indicators!$B$5:$B$35=H$4)*Indicators!$N$5:$N$35*'Indicator Scores'!$Q$5:$Q$35)/SUMPRODUCT((Indicators!$B$5:$B$35=H$4)*Indicators!$N$5:$N$35*('Indicator Scores'!$Q$5:$Q$35&gt;0)),0)</f>
        <v>2.375</v>
      </c>
      <c r="I99" s="28" t="n">
        <f aca="false">IFERROR(SUMPRODUCT((Indicators!$B$5:$B$35=I$4)*Indicators!$N$5:$N$35*'Indicator Scores'!$Q$5:$Q$35)/SUMPRODUCT((Indicators!$B$5:$B$35=I$4)*Indicators!$N$5:$N$35*('Indicator Scores'!$Q$5:$Q$35&gt;0)),0)</f>
        <v>1.66666666666667</v>
      </c>
      <c r="J99" s="28" t="n">
        <f aca="false">IFERROR(SUMPRODUCT((Indicators!$B$5:$B$35=J$4)*Indicators!$N$5:$N$35*'Indicator Scores'!$Q$5:$Q$35)/SUMPRODUCT((Indicators!$B$5:$B$35=J$4)*Indicators!$N$5:$N$35*('Indicator Scores'!$Q$5:$Q$35&gt;0)),0)</f>
        <v>3</v>
      </c>
      <c r="K99" s="28" t="n">
        <f aca="false">IFERROR(SUMPRODUCT(F99:J99,INDEX('Factor Weights'!$C$5:$G$11,MATCH(D99,'Factor Weights'!$A$5:$A$11,0),0))/SUMPRODUCT((F99:J99&gt;0)*INDEX('Factor Weights'!$C$5:$G$11,MATCH(D99,'Factor Weights'!$A$5:$A$11,0),0)),0)</f>
        <v>2.81547619047619</v>
      </c>
      <c r="L99" s="29" t="n">
        <f aca="false">MAX(F99:J99)</f>
        <v>3.42857142857143</v>
      </c>
      <c r="M99" s="28" t="n">
        <f aca="false">IF(L99&gt;=Config!$C$13,MAX(K99,Config!$C$14),K99)</f>
        <v>2.81547619047619</v>
      </c>
      <c r="N99" s="30" t="n">
        <f aca="false">IF(Config!$C$12="Weighted average",K99,IF(Config!$C$12="Weighted with floor",M99,L99))</f>
        <v>2.81547619047619</v>
      </c>
      <c r="O99" s="31" t="n">
        <f aca="false">IF(N99&lt;Config!$D$5,"",MATCH(N99,Config!$D$5:$D$9,1))</f>
        <v>3</v>
      </c>
      <c r="P99" s="7" t="str">
        <f aca="false">IF(O99="","No data",INDEX(Config!$B$5:$B$9,O99))</f>
        <v>Medium</v>
      </c>
      <c r="Q99" s="32" t="n">
        <v>0</v>
      </c>
      <c r="R99" s="8"/>
      <c r="S99" s="33"/>
      <c r="T99" s="34" t="n">
        <f aca="false">IF(O99="","",IF(AND(S99="Y",Q99&lt;&gt;0),MAX(1,MIN(5,O99+MAX(-Config!$C$27,MIN(Config!$C$27,Q99)))),O99))</f>
        <v>3</v>
      </c>
      <c r="U99" s="35" t="str">
        <f aca="false">IF(T99="","No data",INDEX(Config!$B$5:$B$9,T99))</f>
        <v>Medium</v>
      </c>
      <c r="V99" s="7" t="str">
        <f aca="false">IF(Q99=0,"None",IF(S99="Y","Applied","Pending HO approval"))</f>
        <v>None</v>
      </c>
      <c r="W99" s="36" t="n">
        <f aca="false">SUMPRODUCT((Indicators!$N$5:$N$35&gt;0)*('Indicator Data'!$Q$5:$Q$35&lt;&gt;""))/SUMPRODUCT(--(Indicators!$N$5:$N$35&gt;0))</f>
        <v>1</v>
      </c>
    </row>
    <row r="100" customFormat="false" ht="15" hidden="false" customHeight="false" outlineLevel="0" collapsed="false">
      <c r="A100" s="26" t="str">
        <f aca="false">Entities!$A$18</f>
        <v>OM</v>
      </c>
      <c r="B100" s="12" t="str">
        <f aca="false">INDEX(Entities!$B$5:$B$34,MATCH(A100,Entities!$A$5:$A$34,0))</f>
        <v>Oman Arab Bank (affiliate)</v>
      </c>
      <c r="C100" s="12" t="str">
        <f aca="false">INDEX(Entities!$D$5:$D$34,MATCH(A100,Entities!$A$5:$A$34,0))</f>
        <v>GCC</v>
      </c>
      <c r="D100" s="12" t="s">
        <v>275</v>
      </c>
      <c r="E100" s="12" t="str">
        <f aca="false">INDEX('Risk Taxonomy'!$B$5:$B$24,MATCH(D100,'Risk Taxonomy'!$A$5:$A$24,0))</f>
        <v>Bribery and corruption</v>
      </c>
      <c r="F100" s="28" t="n">
        <f aca="false">IFERROR(SUMPRODUCT((Indicators!$B$5:$B$35=F$4)*Indicators!$O$5:$O$35*'Indicator Scores'!$Q$5:$Q$35)/SUMPRODUCT((Indicators!$B$5:$B$35=F$4)*Indicators!$O$5:$O$35*('Indicator Scores'!$Q$5:$Q$35&gt;0)),0)</f>
        <v>3.33333333333333</v>
      </c>
      <c r="G100" s="28" t="n">
        <f aca="false">IFERROR(SUMPRODUCT((Indicators!$B$5:$B$35=G$4)*Indicators!$O$5:$O$35*'Indicator Scores'!$Q$5:$Q$35)/SUMPRODUCT((Indicators!$B$5:$B$35=G$4)*Indicators!$O$5:$O$35*('Indicator Scores'!$Q$5:$Q$35&gt;0)),0)</f>
        <v>2.8</v>
      </c>
      <c r="H100" s="28" t="n">
        <f aca="false">IFERROR(SUMPRODUCT((Indicators!$B$5:$B$35=H$4)*Indicators!$O$5:$O$35*'Indicator Scores'!$Q$5:$Q$35)/SUMPRODUCT((Indicators!$B$5:$B$35=H$4)*Indicators!$O$5:$O$35*('Indicator Scores'!$Q$5:$Q$35&gt;0)),0)</f>
        <v>2</v>
      </c>
      <c r="I100" s="28" t="n">
        <f aca="false">IFERROR(SUMPRODUCT((Indicators!$B$5:$B$35=I$4)*Indicators!$O$5:$O$35*'Indicator Scores'!$Q$5:$Q$35)/SUMPRODUCT((Indicators!$B$5:$B$35=I$4)*Indicators!$O$5:$O$35*('Indicator Scores'!$Q$5:$Q$35&gt;0)),0)</f>
        <v>1.8</v>
      </c>
      <c r="J100" s="28" t="n">
        <f aca="false">IFERROR(SUMPRODUCT((Indicators!$B$5:$B$35=J$4)*Indicators!$O$5:$O$35*'Indicator Scores'!$Q$5:$Q$35)/SUMPRODUCT((Indicators!$B$5:$B$35=J$4)*Indicators!$O$5:$O$35*('Indicator Scores'!$Q$5:$Q$35&gt;0)),0)</f>
        <v>3</v>
      </c>
      <c r="K100" s="28" t="n">
        <f aca="false">IFERROR(SUMPRODUCT(F100:J100,INDEX('Factor Weights'!$C$5:$G$11,MATCH(D100,'Factor Weights'!$A$5:$A$11,0),0))/SUMPRODUCT((F100:J100&gt;0)*INDEX('Factor Weights'!$C$5:$G$11,MATCH(D100,'Factor Weights'!$A$5:$A$11,0),0)),0)</f>
        <v>2.66</v>
      </c>
      <c r="L100" s="29" t="n">
        <f aca="false">MAX(F100:J100)</f>
        <v>3.33333333333333</v>
      </c>
      <c r="M100" s="28" t="n">
        <f aca="false">IF(L100&gt;=Config!$C$13,MAX(K100,Config!$C$14),K100)</f>
        <v>2.66</v>
      </c>
      <c r="N100" s="30" t="n">
        <f aca="false">IF(Config!$C$12="Weighted average",K100,IF(Config!$C$12="Weighted with floor",M100,L100))</f>
        <v>2.66</v>
      </c>
      <c r="O100" s="31" t="n">
        <f aca="false">IF(N100&lt;Config!$D$5,"",MATCH(N100,Config!$D$5:$D$9,1))</f>
        <v>3</v>
      </c>
      <c r="P100" s="7" t="str">
        <f aca="false">IF(O100="","No data",INDEX(Config!$B$5:$B$9,O100))</f>
        <v>Medium</v>
      </c>
      <c r="Q100" s="32" t="n">
        <v>0</v>
      </c>
      <c r="R100" s="8"/>
      <c r="S100" s="33"/>
      <c r="T100" s="34" t="n">
        <f aca="false">IF(O100="","",IF(AND(S100="Y",Q100&lt;&gt;0),MAX(1,MIN(5,O100+MAX(-Config!$C$27,MIN(Config!$C$27,Q100)))),O100))</f>
        <v>3</v>
      </c>
      <c r="U100" s="35" t="str">
        <f aca="false">IF(T100="","No data",INDEX(Config!$B$5:$B$9,T100))</f>
        <v>Medium</v>
      </c>
      <c r="V100" s="7" t="str">
        <f aca="false">IF(Q100=0,"None",IF(S100="Y","Applied","Pending HO approval"))</f>
        <v>None</v>
      </c>
      <c r="W100" s="36" t="n">
        <f aca="false">SUMPRODUCT((Indicators!$O$5:$O$35&gt;0)*('Indicator Data'!$Q$5:$Q$35&lt;&gt;""))/SUMPRODUCT(--(Indicators!$O$5:$O$35&gt;0))</f>
        <v>1</v>
      </c>
    </row>
    <row r="101" customFormat="false" ht="15" hidden="false" customHeight="false" outlineLevel="0" collapsed="false">
      <c r="A101" s="26" t="str">
        <f aca="false">Entities!$A$18</f>
        <v>OM</v>
      </c>
      <c r="B101" s="12" t="str">
        <f aca="false">INDEX(Entities!$B$5:$B$34,MATCH(A101,Entities!$A$5:$A$34,0))</f>
        <v>Oman Arab Bank (affiliate)</v>
      </c>
      <c r="C101" s="12" t="str">
        <f aca="false">INDEX(Entities!$D$5:$D$34,MATCH(A101,Entities!$A$5:$A$34,0))</f>
        <v>GCC</v>
      </c>
      <c r="D101" s="12" t="s">
        <v>278</v>
      </c>
      <c r="E101" s="12" t="str">
        <f aca="false">INDEX('Risk Taxonomy'!$B$5:$B$24,MATCH(D101,'Risk Taxonomy'!$A$5:$A$24,0))</f>
        <v>Fraud</v>
      </c>
      <c r="F101" s="28" t="n">
        <f aca="false">IFERROR(SUMPRODUCT((Indicators!$B$5:$B$35=F$4)*Indicators!$P$5:$P$35*'Indicator Scores'!$Q$5:$Q$35)/SUMPRODUCT((Indicators!$B$5:$B$35=F$4)*Indicators!$P$5:$P$35*('Indicator Scores'!$Q$5:$Q$35&gt;0)),0)</f>
        <v>3.66666666666667</v>
      </c>
      <c r="G101" s="28" t="n">
        <f aca="false">IFERROR(SUMPRODUCT((Indicators!$B$5:$B$35=G$4)*Indicators!$P$5:$P$35*'Indicator Scores'!$Q$5:$Q$35)/SUMPRODUCT((Indicators!$B$5:$B$35=G$4)*Indicators!$P$5:$P$35*('Indicator Scores'!$Q$5:$Q$35&gt;0)),0)</f>
        <v>2.25</v>
      </c>
      <c r="H101" s="28" t="n">
        <f aca="false">IFERROR(SUMPRODUCT((Indicators!$B$5:$B$35=H$4)*Indicators!$P$5:$P$35*'Indicator Scores'!$Q$5:$Q$35)/SUMPRODUCT((Indicators!$B$5:$B$35=H$4)*Indicators!$P$5:$P$35*('Indicator Scores'!$Q$5:$Q$35&gt;0)),0)</f>
        <v>2.4</v>
      </c>
      <c r="I101" s="28" t="n">
        <f aca="false">IFERROR(SUMPRODUCT((Indicators!$B$5:$B$35=I$4)*Indicators!$P$5:$P$35*'Indicator Scores'!$Q$5:$Q$35)/SUMPRODUCT((Indicators!$B$5:$B$35=I$4)*Indicators!$P$5:$P$35*('Indicator Scores'!$Q$5:$Q$35&gt;0)),0)</f>
        <v>2.33333333333333</v>
      </c>
      <c r="J101" s="28" t="n">
        <f aca="false">IFERROR(SUMPRODUCT((Indicators!$B$5:$B$35=J$4)*Indicators!$P$5:$P$35*'Indicator Scores'!$Q$5:$Q$35)/SUMPRODUCT((Indicators!$B$5:$B$35=J$4)*Indicators!$P$5:$P$35*('Indicator Scores'!$Q$5:$Q$35&gt;0)),0)</f>
        <v>3</v>
      </c>
      <c r="K101" s="28" t="n">
        <f aca="false">IFERROR(SUMPRODUCT(F101:J101,INDEX('Factor Weights'!$C$5:$G$11,MATCH(D101,'Factor Weights'!$A$5:$A$11,0),0))/SUMPRODUCT((F101:J101&gt;0)*INDEX('Factor Weights'!$C$5:$G$11,MATCH(D101,'Factor Weights'!$A$5:$A$11,0),0)),0)</f>
        <v>2.73833333333333</v>
      </c>
      <c r="L101" s="29" t="n">
        <f aca="false">MAX(F101:J101)</f>
        <v>3.66666666666667</v>
      </c>
      <c r="M101" s="28" t="n">
        <f aca="false">IF(L101&gt;=Config!$C$13,MAX(K101,Config!$C$14),K101)</f>
        <v>2.73833333333333</v>
      </c>
      <c r="N101" s="30" t="n">
        <f aca="false">IF(Config!$C$12="Weighted average",K101,IF(Config!$C$12="Weighted with floor",M101,L101))</f>
        <v>2.73833333333333</v>
      </c>
      <c r="O101" s="31" t="n">
        <f aca="false">IF(N101&lt;Config!$D$5,"",MATCH(N101,Config!$D$5:$D$9,1))</f>
        <v>3</v>
      </c>
      <c r="P101" s="7" t="str">
        <f aca="false">IF(O101="","No data",INDEX(Config!$B$5:$B$9,O101))</f>
        <v>Medium</v>
      </c>
      <c r="Q101" s="32" t="n">
        <v>0</v>
      </c>
      <c r="R101" s="8"/>
      <c r="S101" s="33"/>
      <c r="T101" s="34" t="n">
        <f aca="false">IF(O101="","",IF(AND(S101="Y",Q101&lt;&gt;0),MAX(1,MIN(5,O101+MAX(-Config!$C$27,MIN(Config!$C$27,Q101)))),O101))</f>
        <v>3</v>
      </c>
      <c r="U101" s="35" t="str">
        <f aca="false">IF(T101="","No data",INDEX(Config!$B$5:$B$9,T101))</f>
        <v>Medium</v>
      </c>
      <c r="V101" s="7" t="str">
        <f aca="false">IF(Q101=0,"None",IF(S101="Y","Applied","Pending HO approval"))</f>
        <v>None</v>
      </c>
      <c r="W101" s="36" t="n">
        <f aca="false">SUMPRODUCT((Indicators!$P$5:$P$35&gt;0)*('Indicator Data'!$Q$5:$Q$35&lt;&gt;""))/SUMPRODUCT(--(Indicators!$P$5:$P$35&gt;0))</f>
        <v>1</v>
      </c>
    </row>
    <row r="102" customFormat="false" ht="15" hidden="false" customHeight="false" outlineLevel="0" collapsed="false">
      <c r="A102" s="26" t="str">
        <f aca="false">Entities!$A$18</f>
        <v>OM</v>
      </c>
      <c r="B102" s="12" t="str">
        <f aca="false">INDEX(Entities!$B$5:$B$34,MATCH(A102,Entities!$A$5:$A$34,0))</f>
        <v>Oman Arab Bank (affiliate)</v>
      </c>
      <c r="C102" s="12" t="str">
        <f aca="false">INDEX(Entities!$D$5:$D$34,MATCH(A102,Entities!$A$5:$A$34,0))</f>
        <v>GCC</v>
      </c>
      <c r="D102" s="12" t="s">
        <v>281</v>
      </c>
      <c r="E102" s="12" t="str">
        <f aca="false">INDEX('Risk Taxonomy'!$B$5:$B$24,MATCH(D102,'Risk Taxonomy'!$A$5:$A$24,0))</f>
        <v>Tax evasion and tax transparency</v>
      </c>
      <c r="F102" s="28" t="n">
        <f aca="false">IFERROR(SUMPRODUCT((Indicators!$B$5:$B$35=F$4)*Indicators!$Q$5:$Q$35*'Indicator Scores'!$Q$5:$Q$35)/SUMPRODUCT((Indicators!$B$5:$B$35=F$4)*Indicators!$Q$5:$Q$35*('Indicator Scores'!$Q$5:$Q$35&gt;0)),0)</f>
        <v>3.44444444444444</v>
      </c>
      <c r="G102" s="28" t="n">
        <f aca="false">IFERROR(SUMPRODUCT((Indicators!$B$5:$B$35=G$4)*Indicators!$Q$5:$Q$35*'Indicator Scores'!$Q$5:$Q$35)/SUMPRODUCT((Indicators!$B$5:$B$35=G$4)*Indicators!$Q$5:$Q$35*('Indicator Scores'!$Q$5:$Q$35&gt;0)),0)</f>
        <v>2.83333333333333</v>
      </c>
      <c r="H102" s="28" t="n">
        <f aca="false">IFERROR(SUMPRODUCT((Indicators!$B$5:$B$35=H$4)*Indicators!$Q$5:$Q$35*'Indicator Scores'!$Q$5:$Q$35)/SUMPRODUCT((Indicators!$B$5:$B$35=H$4)*Indicators!$Q$5:$Q$35*('Indicator Scores'!$Q$5:$Q$35&gt;0)),0)</f>
        <v>2.33333333333333</v>
      </c>
      <c r="I102" s="28" t="n">
        <f aca="false">IFERROR(SUMPRODUCT((Indicators!$B$5:$B$35=I$4)*Indicators!$Q$5:$Q$35*'Indicator Scores'!$Q$5:$Q$35)/SUMPRODUCT((Indicators!$B$5:$B$35=I$4)*Indicators!$Q$5:$Q$35*('Indicator Scores'!$Q$5:$Q$35&gt;0)),0)</f>
        <v>3</v>
      </c>
      <c r="J102" s="28" t="n">
        <f aca="false">IFERROR(SUMPRODUCT((Indicators!$B$5:$B$35=J$4)*Indicators!$Q$5:$Q$35*'Indicator Scores'!$Q$5:$Q$35)/SUMPRODUCT((Indicators!$B$5:$B$35=J$4)*Indicators!$Q$5:$Q$35*('Indicator Scores'!$Q$5:$Q$35&gt;0)),0)</f>
        <v>3</v>
      </c>
      <c r="K102" s="28" t="n">
        <f aca="false">IFERROR(SUMPRODUCT(F102:J102,INDEX('Factor Weights'!$C$5:$G$11,MATCH(D102,'Factor Weights'!$A$5:$A$11,0),0))/SUMPRODUCT((F102:J102&gt;0)*INDEX('Factor Weights'!$C$5:$G$11,MATCH(D102,'Factor Weights'!$A$5:$A$11,0),0)),0)</f>
        <v>2.98055555555556</v>
      </c>
      <c r="L102" s="29" t="n">
        <f aca="false">MAX(F102:J102)</f>
        <v>3.44444444444444</v>
      </c>
      <c r="M102" s="28" t="n">
        <f aca="false">IF(L102&gt;=Config!$C$13,MAX(K102,Config!$C$14),K102)</f>
        <v>2.98055555555556</v>
      </c>
      <c r="N102" s="30" t="n">
        <f aca="false">IF(Config!$C$12="Weighted average",K102,IF(Config!$C$12="Weighted with floor",M102,L102))</f>
        <v>2.98055555555556</v>
      </c>
      <c r="O102" s="31" t="n">
        <f aca="false">IF(N102&lt;Config!$D$5,"",MATCH(N102,Config!$D$5:$D$9,1))</f>
        <v>3</v>
      </c>
      <c r="P102" s="7" t="str">
        <f aca="false">IF(O102="","No data",INDEX(Config!$B$5:$B$9,O102))</f>
        <v>Medium</v>
      </c>
      <c r="Q102" s="32" t="n">
        <v>0</v>
      </c>
      <c r="R102" s="8"/>
      <c r="S102" s="33"/>
      <c r="T102" s="34" t="n">
        <f aca="false">IF(O102="","",IF(AND(S102="Y",Q102&lt;&gt;0),MAX(1,MIN(5,O102+MAX(-Config!$C$27,MIN(Config!$C$27,Q102)))),O102))</f>
        <v>3</v>
      </c>
      <c r="U102" s="35" t="str">
        <f aca="false">IF(T102="","No data",INDEX(Config!$B$5:$B$9,T102))</f>
        <v>Medium</v>
      </c>
      <c r="V102" s="7" t="str">
        <f aca="false">IF(Q102=0,"None",IF(S102="Y","Applied","Pending HO approval"))</f>
        <v>None</v>
      </c>
      <c r="W102" s="36" t="n">
        <f aca="false">SUMPRODUCT((Indicators!$Q$5:$Q$35&gt;0)*('Indicator Data'!$Q$5:$Q$35&lt;&gt;""))/SUMPRODUCT(--(Indicators!$Q$5:$Q$35&gt;0))</f>
        <v>1</v>
      </c>
    </row>
    <row r="103" customFormat="false" ht="15" hidden="false" customHeight="false" outlineLevel="0" collapsed="false">
      <c r="A103" s="26" t="str">
        <f aca="false">Entities!$A$19</f>
        <v>IQ</v>
      </c>
      <c r="B103" s="12" t="str">
        <f aca="false">INDEX(Entities!$B$5:$B$34,MATCH(A103,Entities!$A$5:$A$34,0))</f>
        <v>Arab Bank Iraq</v>
      </c>
      <c r="C103" s="12" t="str">
        <f aca="false">INDEX(Entities!$D$5:$D$34,MATCH(A103,Entities!$A$5:$A$34,0))</f>
        <v>Iraq and Yemen</v>
      </c>
      <c r="D103" s="12" t="s">
        <v>260</v>
      </c>
      <c r="E103" s="12" t="str">
        <f aca="false">INDEX('Risk Taxonomy'!$B$5:$B$24,MATCH(D103,'Risk Taxonomy'!$A$5:$A$24,0))</f>
        <v>Money laundering</v>
      </c>
      <c r="F103" s="28" t="n">
        <f aca="false">IFERROR(SUMPRODUCT((Indicators!$B$5:$B$35=F$4)*Indicators!$K$5:$K$35*'Indicator Scores'!$R$5:$R$35)/SUMPRODUCT((Indicators!$B$5:$B$35=F$4)*Indicators!$K$5:$K$35*('Indicator Scores'!$R$5:$R$35&gt;0)),0)</f>
        <v>3.08333333333333</v>
      </c>
      <c r="G103" s="28" t="n">
        <f aca="false">IFERROR(SUMPRODUCT((Indicators!$B$5:$B$35=G$4)*Indicators!$K$5:$K$35*'Indicator Scores'!$R$5:$R$35)/SUMPRODUCT((Indicators!$B$5:$B$35=G$4)*Indicators!$K$5:$K$35*('Indicator Scores'!$R$5:$R$35&gt;0)),0)</f>
        <v>3.77777777777778</v>
      </c>
      <c r="H103" s="28" t="n">
        <f aca="false">IFERROR(SUMPRODUCT((Indicators!$B$5:$B$35=H$4)*Indicators!$K$5:$K$35*'Indicator Scores'!$R$5:$R$35)/SUMPRODUCT((Indicators!$B$5:$B$35=H$4)*Indicators!$K$5:$K$35*('Indicator Scores'!$R$5:$R$35&gt;0)),0)</f>
        <v>4.1</v>
      </c>
      <c r="I103" s="28" t="n">
        <f aca="false">IFERROR(SUMPRODUCT((Indicators!$B$5:$B$35=I$4)*Indicators!$K$5:$K$35*'Indicator Scores'!$R$5:$R$35)/SUMPRODUCT((Indicators!$B$5:$B$35=I$4)*Indicators!$K$5:$K$35*('Indicator Scores'!$R$5:$R$35&gt;0)),0)</f>
        <v>4</v>
      </c>
      <c r="J103" s="28" t="n">
        <f aca="false">IFERROR(SUMPRODUCT((Indicators!$B$5:$B$35=J$4)*Indicators!$K$5:$K$35*'Indicator Scores'!$R$5:$R$35)/SUMPRODUCT((Indicators!$B$5:$B$35=J$4)*Indicators!$K$5:$K$35*('Indicator Scores'!$R$5:$R$35&gt;0)),0)</f>
        <v>4.4</v>
      </c>
      <c r="K103" s="28" t="n">
        <f aca="false">IFERROR(SUMPRODUCT(F103:J103,INDEX('Factor Weights'!$C$5:$G$11,MATCH(D103,'Factor Weights'!$A$5:$A$11,0),0))/SUMPRODUCT((F103:J103&gt;0)*INDEX('Factor Weights'!$C$5:$G$11,MATCH(D103,'Factor Weights'!$A$5:$A$11,0),0)),0)</f>
        <v>3.72944444444444</v>
      </c>
      <c r="L103" s="29" t="n">
        <f aca="false">MAX(F103:J103)</f>
        <v>4.4</v>
      </c>
      <c r="M103" s="28" t="n">
        <f aca="false">IF(L103&gt;=Config!$C$13,MAX(K103,Config!$C$14),K103)</f>
        <v>3.72944444444444</v>
      </c>
      <c r="N103" s="30" t="n">
        <f aca="false">IF(Config!$C$12="Weighted average",K103,IF(Config!$C$12="Weighted with floor",M103,L103))</f>
        <v>3.72944444444444</v>
      </c>
      <c r="O103" s="31" t="n">
        <f aca="false">IF(N103&lt;Config!$D$5,"",MATCH(N103,Config!$D$5:$D$9,1))</f>
        <v>4</v>
      </c>
      <c r="P103" s="7" t="str">
        <f aca="false">IF(O103="","No data",INDEX(Config!$B$5:$B$9,O103))</f>
        <v>Medium-High</v>
      </c>
      <c r="Q103" s="32" t="n">
        <v>0</v>
      </c>
      <c r="R103" s="8"/>
      <c r="S103" s="33"/>
      <c r="T103" s="34" t="n">
        <f aca="false">IF(O103="","",IF(AND(S103="Y",Q103&lt;&gt;0),MAX(1,MIN(5,O103+MAX(-Config!$C$27,MIN(Config!$C$27,Q103)))),O103))</f>
        <v>4</v>
      </c>
      <c r="U103" s="35" t="str">
        <f aca="false">IF(T103="","No data",INDEX(Config!$B$5:$B$9,T103))</f>
        <v>Medium-High</v>
      </c>
      <c r="V103" s="7" t="str">
        <f aca="false">IF(Q103=0,"None",IF(S103="Y","Applied","Pending HO approval"))</f>
        <v>None</v>
      </c>
      <c r="W103" s="36" t="n">
        <f aca="false">SUMPRODUCT((Indicators!$K$5:$K$35&gt;0)*('Indicator Data'!$R$5:$R$35&lt;&gt;""))/SUMPRODUCT(--(Indicators!$K$5:$K$35&gt;0))</f>
        <v>1</v>
      </c>
    </row>
    <row r="104" customFormat="false" ht="15" hidden="false" customHeight="false" outlineLevel="0" collapsed="false">
      <c r="A104" s="26" t="str">
        <f aca="false">Entities!$A$19</f>
        <v>IQ</v>
      </c>
      <c r="B104" s="12" t="str">
        <f aca="false">INDEX(Entities!$B$5:$B$34,MATCH(A104,Entities!$A$5:$A$34,0))</f>
        <v>Arab Bank Iraq</v>
      </c>
      <c r="C104" s="12" t="str">
        <f aca="false">INDEX(Entities!$D$5:$D$34,MATCH(A104,Entities!$A$5:$A$34,0))</f>
        <v>Iraq and Yemen</v>
      </c>
      <c r="D104" s="12" t="s">
        <v>267</v>
      </c>
      <c r="E104" s="12" t="str">
        <f aca="false">INDEX('Risk Taxonomy'!$B$5:$B$24,MATCH(D104,'Risk Taxonomy'!$A$5:$A$24,0))</f>
        <v>Terrorist financing</v>
      </c>
      <c r="F104" s="28" t="n">
        <f aca="false">IFERROR(SUMPRODUCT((Indicators!$B$5:$B$35=F$4)*Indicators!$L$5:$L$35*'Indicator Scores'!$R$5:$R$35)/SUMPRODUCT((Indicators!$B$5:$B$35=F$4)*Indicators!$L$5:$L$35*('Indicator Scores'!$R$5:$R$35&gt;0)),0)</f>
        <v>3.6</v>
      </c>
      <c r="G104" s="28" t="n">
        <f aca="false">IFERROR(SUMPRODUCT((Indicators!$B$5:$B$35=G$4)*Indicators!$L$5:$L$35*'Indicator Scores'!$R$5:$R$35)/SUMPRODUCT((Indicators!$B$5:$B$35=G$4)*Indicators!$L$5:$L$35*('Indicator Scores'!$R$5:$R$35&gt;0)),0)</f>
        <v>3.44444444444444</v>
      </c>
      <c r="H104" s="28" t="n">
        <f aca="false">IFERROR(SUMPRODUCT((Indicators!$B$5:$B$35=H$4)*Indicators!$L$5:$L$35*'Indicator Scores'!$R$5:$R$35)/SUMPRODUCT((Indicators!$B$5:$B$35=H$4)*Indicators!$L$5:$L$35*('Indicator Scores'!$R$5:$R$35&gt;0)),0)</f>
        <v>4.33333333333333</v>
      </c>
      <c r="I104" s="28" t="n">
        <f aca="false">IFERROR(SUMPRODUCT((Indicators!$B$5:$B$35=I$4)*Indicators!$L$5:$L$35*'Indicator Scores'!$R$5:$R$35)/SUMPRODUCT((Indicators!$B$5:$B$35=I$4)*Indicators!$L$5:$L$35*('Indicator Scores'!$R$5:$R$35&gt;0)),0)</f>
        <v>4</v>
      </c>
      <c r="J104" s="28" t="n">
        <f aca="false">IFERROR(SUMPRODUCT((Indicators!$B$5:$B$35=J$4)*Indicators!$L$5:$L$35*'Indicator Scores'!$R$5:$R$35)/SUMPRODUCT((Indicators!$B$5:$B$35=J$4)*Indicators!$L$5:$L$35*('Indicator Scores'!$R$5:$R$35&gt;0)),0)</f>
        <v>4.57142857142857</v>
      </c>
      <c r="K104" s="28" t="n">
        <f aca="false">IFERROR(SUMPRODUCT(F104:J104,INDEX('Factor Weights'!$C$5:$G$11,MATCH(D104,'Factor Weights'!$A$5:$A$11,0),0))/SUMPRODUCT((F104:J104&gt;0)*INDEX('Factor Weights'!$C$5:$G$11,MATCH(D104,'Factor Weights'!$A$5:$A$11,0),0)),0)</f>
        <v>3.89761904761905</v>
      </c>
      <c r="L104" s="29" t="n">
        <f aca="false">MAX(F104:J104)</f>
        <v>4.57142857142857</v>
      </c>
      <c r="M104" s="28" t="n">
        <f aca="false">IF(L104&gt;=Config!$C$13,MAX(K104,Config!$C$14),K104)</f>
        <v>3.89761904761905</v>
      </c>
      <c r="N104" s="30" t="n">
        <f aca="false">IF(Config!$C$12="Weighted average",K104,IF(Config!$C$12="Weighted with floor",M104,L104))</f>
        <v>3.89761904761905</v>
      </c>
      <c r="O104" s="31" t="n">
        <f aca="false">IF(N104&lt;Config!$D$5,"",MATCH(N104,Config!$D$5:$D$9,1))</f>
        <v>4</v>
      </c>
      <c r="P104" s="7" t="str">
        <f aca="false">IF(O104="","No data",INDEX(Config!$B$5:$B$9,O104))</f>
        <v>Medium-High</v>
      </c>
      <c r="Q104" s="32" t="n">
        <v>0</v>
      </c>
      <c r="R104" s="8"/>
      <c r="S104" s="33"/>
      <c r="T104" s="34" t="n">
        <f aca="false">IF(O104="","",IF(AND(S104="Y",Q104&lt;&gt;0),MAX(1,MIN(5,O104+MAX(-Config!$C$27,MIN(Config!$C$27,Q104)))),O104))</f>
        <v>4</v>
      </c>
      <c r="U104" s="35" t="str">
        <f aca="false">IF(T104="","No data",INDEX(Config!$B$5:$B$9,T104))</f>
        <v>Medium-High</v>
      </c>
      <c r="V104" s="7" t="str">
        <f aca="false">IF(Q104=0,"None",IF(S104="Y","Applied","Pending HO approval"))</f>
        <v>None</v>
      </c>
      <c r="W104" s="36" t="n">
        <f aca="false">SUMPRODUCT((Indicators!$L$5:$L$35&gt;0)*('Indicator Data'!$R$5:$R$35&lt;&gt;""))/SUMPRODUCT(--(Indicators!$L$5:$L$35&gt;0))</f>
        <v>1</v>
      </c>
    </row>
    <row r="105" customFormat="false" ht="15" hidden="false" customHeight="false" outlineLevel="0" collapsed="false">
      <c r="A105" s="26" t="str">
        <f aca="false">Entities!$A$19</f>
        <v>IQ</v>
      </c>
      <c r="B105" s="12" t="str">
        <f aca="false">INDEX(Entities!$B$5:$B$34,MATCH(A105,Entities!$A$5:$A$34,0))</f>
        <v>Arab Bank Iraq</v>
      </c>
      <c r="C105" s="12" t="str">
        <f aca="false">INDEX(Entities!$D$5:$D$34,MATCH(A105,Entities!$A$5:$A$34,0))</f>
        <v>Iraq and Yemen</v>
      </c>
      <c r="D105" s="12" t="s">
        <v>270</v>
      </c>
      <c r="E105" s="12" t="str">
        <f aca="false">INDEX('Risk Taxonomy'!$B$5:$B$24,MATCH(D105,'Risk Taxonomy'!$A$5:$A$24,0))</f>
        <v>Proliferation financing</v>
      </c>
      <c r="F105" s="28" t="n">
        <f aca="false">IFERROR(SUMPRODUCT((Indicators!$B$5:$B$35=F$4)*Indicators!$M$5:$M$35*'Indicator Scores'!$R$5:$R$35)/SUMPRODUCT((Indicators!$B$5:$B$35=F$4)*Indicators!$M$5:$M$35*('Indicator Scores'!$R$5:$R$35&gt;0)),0)</f>
        <v>2.5</v>
      </c>
      <c r="G105" s="28" t="n">
        <f aca="false">IFERROR(SUMPRODUCT((Indicators!$B$5:$B$35=G$4)*Indicators!$M$5:$M$35*'Indicator Scores'!$R$5:$R$35)/SUMPRODUCT((Indicators!$B$5:$B$35=G$4)*Indicators!$M$5:$M$35*('Indicator Scores'!$R$5:$R$35&gt;0)),0)</f>
        <v>3.125</v>
      </c>
      <c r="H105" s="28" t="n">
        <f aca="false">IFERROR(SUMPRODUCT((Indicators!$B$5:$B$35=H$4)*Indicators!$M$5:$M$35*'Indicator Scores'!$R$5:$R$35)/SUMPRODUCT((Indicators!$B$5:$B$35=H$4)*Indicators!$M$5:$M$35*('Indicator Scores'!$R$5:$R$35&gt;0)),0)</f>
        <v>4</v>
      </c>
      <c r="I105" s="28" t="n">
        <f aca="false">IFERROR(SUMPRODUCT((Indicators!$B$5:$B$35=I$4)*Indicators!$M$5:$M$35*'Indicator Scores'!$R$5:$R$35)/SUMPRODUCT((Indicators!$B$5:$B$35=I$4)*Indicators!$M$5:$M$35*('Indicator Scores'!$R$5:$R$35&gt;0)),0)</f>
        <v>4</v>
      </c>
      <c r="J105" s="28" t="n">
        <f aca="false">IFERROR(SUMPRODUCT((Indicators!$B$5:$B$35=J$4)*Indicators!$M$5:$M$35*'Indicator Scores'!$R$5:$R$35)/SUMPRODUCT((Indicators!$B$5:$B$35=J$4)*Indicators!$M$5:$M$35*('Indicator Scores'!$R$5:$R$35&gt;0)),0)</f>
        <v>4</v>
      </c>
      <c r="K105" s="28" t="n">
        <f aca="false">IFERROR(SUMPRODUCT(F105:J105,INDEX('Factor Weights'!$C$5:$G$11,MATCH(D105,'Factor Weights'!$A$5:$A$11,0),0))/SUMPRODUCT((F105:J105&gt;0)*INDEX('Factor Weights'!$C$5:$G$11,MATCH(D105,'Factor Weights'!$A$5:$A$11,0),0)),0)</f>
        <v>3.5125</v>
      </c>
      <c r="L105" s="29" t="n">
        <f aca="false">MAX(F105:J105)</f>
        <v>4</v>
      </c>
      <c r="M105" s="28" t="n">
        <f aca="false">IF(L105&gt;=Config!$C$13,MAX(K105,Config!$C$14),K105)</f>
        <v>3.5125</v>
      </c>
      <c r="N105" s="30" t="n">
        <f aca="false">IF(Config!$C$12="Weighted average",K105,IF(Config!$C$12="Weighted with floor",M105,L105))</f>
        <v>3.5125</v>
      </c>
      <c r="O105" s="31" t="n">
        <f aca="false">IF(N105&lt;Config!$D$5,"",MATCH(N105,Config!$D$5:$D$9,1))</f>
        <v>4</v>
      </c>
      <c r="P105" s="7" t="str">
        <f aca="false">IF(O105="","No data",INDEX(Config!$B$5:$B$9,O105))</f>
        <v>Medium-High</v>
      </c>
      <c r="Q105" s="32" t="n">
        <v>0</v>
      </c>
      <c r="R105" s="8"/>
      <c r="S105" s="33"/>
      <c r="T105" s="34" t="n">
        <f aca="false">IF(O105="","",IF(AND(S105="Y",Q105&lt;&gt;0),MAX(1,MIN(5,O105+MAX(-Config!$C$27,MIN(Config!$C$27,Q105)))),O105))</f>
        <v>4</v>
      </c>
      <c r="U105" s="35" t="str">
        <f aca="false">IF(T105="","No data",INDEX(Config!$B$5:$B$9,T105))</f>
        <v>Medium-High</v>
      </c>
      <c r="V105" s="7" t="str">
        <f aca="false">IF(Q105=0,"None",IF(S105="Y","Applied","Pending HO approval"))</f>
        <v>None</v>
      </c>
      <c r="W105" s="36" t="n">
        <f aca="false">SUMPRODUCT((Indicators!$M$5:$M$35&gt;0)*('Indicator Data'!$R$5:$R$35&lt;&gt;""))/SUMPRODUCT(--(Indicators!$M$5:$M$35&gt;0))</f>
        <v>1</v>
      </c>
    </row>
    <row r="106" customFormat="false" ht="15" hidden="false" customHeight="false" outlineLevel="0" collapsed="false">
      <c r="A106" s="26" t="str">
        <f aca="false">Entities!$A$19</f>
        <v>IQ</v>
      </c>
      <c r="B106" s="12" t="str">
        <f aca="false">INDEX(Entities!$B$5:$B$34,MATCH(A106,Entities!$A$5:$A$34,0))</f>
        <v>Arab Bank Iraq</v>
      </c>
      <c r="C106" s="12" t="str">
        <f aca="false">INDEX(Entities!$D$5:$D$34,MATCH(A106,Entities!$A$5:$A$34,0))</f>
        <v>Iraq and Yemen</v>
      </c>
      <c r="D106" s="12" t="s">
        <v>272</v>
      </c>
      <c r="E106" s="12" t="str">
        <f aca="false">INDEX('Risk Taxonomy'!$B$5:$B$24,MATCH(D106,'Risk Taxonomy'!$A$5:$A$24,0))</f>
        <v>Sanctions</v>
      </c>
      <c r="F106" s="28" t="n">
        <f aca="false">IFERROR(SUMPRODUCT((Indicators!$B$5:$B$35=F$4)*Indicators!$N$5:$N$35*'Indicator Scores'!$R$5:$R$35)/SUMPRODUCT((Indicators!$B$5:$B$35=F$4)*Indicators!$N$5:$N$35*('Indicator Scores'!$R$5:$R$35&gt;0)),0)</f>
        <v>3.28571428571429</v>
      </c>
      <c r="G106" s="28" t="n">
        <f aca="false">IFERROR(SUMPRODUCT((Indicators!$B$5:$B$35=G$4)*Indicators!$N$5:$N$35*'Indicator Scores'!$R$5:$R$35)/SUMPRODUCT((Indicators!$B$5:$B$35=G$4)*Indicators!$N$5:$N$35*('Indicator Scores'!$R$5:$R$35&gt;0)),0)</f>
        <v>3</v>
      </c>
      <c r="H106" s="28" t="n">
        <f aca="false">IFERROR(SUMPRODUCT((Indicators!$B$5:$B$35=H$4)*Indicators!$N$5:$N$35*'Indicator Scores'!$R$5:$R$35)/SUMPRODUCT((Indicators!$B$5:$B$35=H$4)*Indicators!$N$5:$N$35*('Indicator Scores'!$R$5:$R$35&gt;0)),0)</f>
        <v>4</v>
      </c>
      <c r="I106" s="28" t="n">
        <f aca="false">IFERROR(SUMPRODUCT((Indicators!$B$5:$B$35=I$4)*Indicators!$N$5:$N$35*'Indicator Scores'!$R$5:$R$35)/SUMPRODUCT((Indicators!$B$5:$B$35=I$4)*Indicators!$N$5:$N$35*('Indicator Scores'!$R$5:$R$35&gt;0)),0)</f>
        <v>4</v>
      </c>
      <c r="J106" s="28" t="n">
        <f aca="false">IFERROR(SUMPRODUCT((Indicators!$B$5:$B$35=J$4)*Indicators!$N$5:$N$35*'Indicator Scores'!$R$5:$R$35)/SUMPRODUCT((Indicators!$B$5:$B$35=J$4)*Indicators!$N$5:$N$35*('Indicator Scores'!$R$5:$R$35&gt;0)),0)</f>
        <v>4.2</v>
      </c>
      <c r="K106" s="28" t="n">
        <f aca="false">IFERROR(SUMPRODUCT(F106:J106,INDEX('Factor Weights'!$C$5:$G$11,MATCH(D106,'Factor Weights'!$A$5:$A$11,0),0))/SUMPRODUCT((F106:J106&gt;0)*INDEX('Factor Weights'!$C$5:$G$11,MATCH(D106,'Factor Weights'!$A$5:$A$11,0),0)),0)</f>
        <v>3.53285714285714</v>
      </c>
      <c r="L106" s="29" t="n">
        <f aca="false">MAX(F106:J106)</f>
        <v>4.2</v>
      </c>
      <c r="M106" s="28" t="n">
        <f aca="false">IF(L106&gt;=Config!$C$13,MAX(K106,Config!$C$14),K106)</f>
        <v>3.53285714285714</v>
      </c>
      <c r="N106" s="30" t="n">
        <f aca="false">IF(Config!$C$12="Weighted average",K106,IF(Config!$C$12="Weighted with floor",M106,L106))</f>
        <v>3.53285714285714</v>
      </c>
      <c r="O106" s="31" t="n">
        <f aca="false">IF(N106&lt;Config!$D$5,"",MATCH(N106,Config!$D$5:$D$9,1))</f>
        <v>4</v>
      </c>
      <c r="P106" s="7" t="str">
        <f aca="false">IF(O106="","No data",INDEX(Config!$B$5:$B$9,O106))</f>
        <v>Medium-High</v>
      </c>
      <c r="Q106" s="32" t="n">
        <v>0</v>
      </c>
      <c r="R106" s="8"/>
      <c r="S106" s="33"/>
      <c r="T106" s="34" t="n">
        <f aca="false">IF(O106="","",IF(AND(S106="Y",Q106&lt;&gt;0),MAX(1,MIN(5,O106+MAX(-Config!$C$27,MIN(Config!$C$27,Q106)))),O106))</f>
        <v>4</v>
      </c>
      <c r="U106" s="35" t="str">
        <f aca="false">IF(T106="","No data",INDEX(Config!$B$5:$B$9,T106))</f>
        <v>Medium-High</v>
      </c>
      <c r="V106" s="7" t="str">
        <f aca="false">IF(Q106=0,"None",IF(S106="Y","Applied","Pending HO approval"))</f>
        <v>None</v>
      </c>
      <c r="W106" s="36" t="n">
        <f aca="false">SUMPRODUCT((Indicators!$N$5:$N$35&gt;0)*('Indicator Data'!$R$5:$R$35&lt;&gt;""))/SUMPRODUCT(--(Indicators!$N$5:$N$35&gt;0))</f>
        <v>1</v>
      </c>
    </row>
    <row r="107" customFormat="false" ht="15" hidden="false" customHeight="false" outlineLevel="0" collapsed="false">
      <c r="A107" s="26" t="str">
        <f aca="false">Entities!$A$19</f>
        <v>IQ</v>
      </c>
      <c r="B107" s="12" t="str">
        <f aca="false">INDEX(Entities!$B$5:$B$34,MATCH(A107,Entities!$A$5:$A$34,0))</f>
        <v>Arab Bank Iraq</v>
      </c>
      <c r="C107" s="12" t="str">
        <f aca="false">INDEX(Entities!$D$5:$D$34,MATCH(A107,Entities!$A$5:$A$34,0))</f>
        <v>Iraq and Yemen</v>
      </c>
      <c r="D107" s="12" t="s">
        <v>275</v>
      </c>
      <c r="E107" s="12" t="str">
        <f aca="false">INDEX('Risk Taxonomy'!$B$5:$B$24,MATCH(D107,'Risk Taxonomy'!$A$5:$A$24,0))</f>
        <v>Bribery and corruption</v>
      </c>
      <c r="F107" s="28" t="n">
        <f aca="false">IFERROR(SUMPRODUCT((Indicators!$B$5:$B$35=F$4)*Indicators!$O$5:$O$35*'Indicator Scores'!$R$5:$R$35)/SUMPRODUCT((Indicators!$B$5:$B$35=F$4)*Indicators!$O$5:$O$35*('Indicator Scores'!$R$5:$R$35&gt;0)),0)</f>
        <v>4</v>
      </c>
      <c r="G107" s="28" t="n">
        <f aca="false">IFERROR(SUMPRODUCT((Indicators!$B$5:$B$35=G$4)*Indicators!$O$5:$O$35*'Indicator Scores'!$R$5:$R$35)/SUMPRODUCT((Indicators!$B$5:$B$35=G$4)*Indicators!$O$5:$O$35*('Indicator Scores'!$R$5:$R$35&gt;0)),0)</f>
        <v>4.6</v>
      </c>
      <c r="H107" s="28" t="n">
        <f aca="false">IFERROR(SUMPRODUCT((Indicators!$B$5:$B$35=H$4)*Indicators!$O$5:$O$35*'Indicator Scores'!$R$5:$R$35)/SUMPRODUCT((Indicators!$B$5:$B$35=H$4)*Indicators!$O$5:$O$35*('Indicator Scores'!$R$5:$R$35&gt;0)),0)</f>
        <v>4</v>
      </c>
      <c r="I107" s="28" t="n">
        <f aca="false">IFERROR(SUMPRODUCT((Indicators!$B$5:$B$35=I$4)*Indicators!$O$5:$O$35*'Indicator Scores'!$R$5:$R$35)/SUMPRODUCT((Indicators!$B$5:$B$35=I$4)*Indicators!$O$5:$O$35*('Indicator Scores'!$R$5:$R$35&gt;0)),0)</f>
        <v>4</v>
      </c>
      <c r="J107" s="28" t="n">
        <f aca="false">IFERROR(SUMPRODUCT((Indicators!$B$5:$B$35=J$4)*Indicators!$O$5:$O$35*'Indicator Scores'!$R$5:$R$35)/SUMPRODUCT((Indicators!$B$5:$B$35=J$4)*Indicators!$O$5:$O$35*('Indicator Scores'!$R$5:$R$35&gt;0)),0)</f>
        <v>3</v>
      </c>
      <c r="K107" s="28" t="n">
        <f aca="false">IFERROR(SUMPRODUCT(F107:J107,INDEX('Factor Weights'!$C$5:$G$11,MATCH(D107,'Factor Weights'!$A$5:$A$11,0),0))/SUMPRODUCT((F107:J107&gt;0)*INDEX('Factor Weights'!$C$5:$G$11,MATCH(D107,'Factor Weights'!$A$5:$A$11,0),0)),0)</f>
        <v>4.05</v>
      </c>
      <c r="L107" s="29" t="n">
        <f aca="false">MAX(F107:J107)</f>
        <v>4.6</v>
      </c>
      <c r="M107" s="28" t="n">
        <f aca="false">IF(L107&gt;=Config!$C$13,MAX(K107,Config!$C$14),K107)</f>
        <v>4.05</v>
      </c>
      <c r="N107" s="30" t="n">
        <f aca="false">IF(Config!$C$12="Weighted average",K107,IF(Config!$C$12="Weighted with floor",M107,L107))</f>
        <v>4.05</v>
      </c>
      <c r="O107" s="31" t="n">
        <f aca="false">IF(N107&lt;Config!$D$5,"",MATCH(N107,Config!$D$5:$D$9,1))</f>
        <v>4</v>
      </c>
      <c r="P107" s="7" t="str">
        <f aca="false">IF(O107="","No data",INDEX(Config!$B$5:$B$9,O107))</f>
        <v>Medium-High</v>
      </c>
      <c r="Q107" s="32" t="n">
        <v>0</v>
      </c>
      <c r="R107" s="8"/>
      <c r="S107" s="33"/>
      <c r="T107" s="34" t="n">
        <f aca="false">IF(O107="","",IF(AND(S107="Y",Q107&lt;&gt;0),MAX(1,MIN(5,O107+MAX(-Config!$C$27,MIN(Config!$C$27,Q107)))),O107))</f>
        <v>4</v>
      </c>
      <c r="U107" s="35" t="str">
        <f aca="false">IF(T107="","No data",INDEX(Config!$B$5:$B$9,T107))</f>
        <v>Medium-High</v>
      </c>
      <c r="V107" s="7" t="str">
        <f aca="false">IF(Q107=0,"None",IF(S107="Y","Applied","Pending HO approval"))</f>
        <v>None</v>
      </c>
      <c r="W107" s="36" t="n">
        <f aca="false">SUMPRODUCT((Indicators!$O$5:$O$35&gt;0)*('Indicator Data'!$R$5:$R$35&lt;&gt;""))/SUMPRODUCT(--(Indicators!$O$5:$O$35&gt;0))</f>
        <v>1</v>
      </c>
    </row>
    <row r="108" customFormat="false" ht="15" hidden="false" customHeight="false" outlineLevel="0" collapsed="false">
      <c r="A108" s="26" t="str">
        <f aca="false">Entities!$A$19</f>
        <v>IQ</v>
      </c>
      <c r="B108" s="12" t="str">
        <f aca="false">INDEX(Entities!$B$5:$B$34,MATCH(A108,Entities!$A$5:$A$34,0))</f>
        <v>Arab Bank Iraq</v>
      </c>
      <c r="C108" s="12" t="str">
        <f aca="false">INDEX(Entities!$D$5:$D$34,MATCH(A108,Entities!$A$5:$A$34,0))</f>
        <v>Iraq and Yemen</v>
      </c>
      <c r="D108" s="12" t="s">
        <v>278</v>
      </c>
      <c r="E108" s="12" t="str">
        <f aca="false">INDEX('Risk Taxonomy'!$B$5:$B$24,MATCH(D108,'Risk Taxonomy'!$A$5:$A$24,0))</f>
        <v>Fraud</v>
      </c>
      <c r="F108" s="28" t="n">
        <f aca="false">IFERROR(SUMPRODUCT((Indicators!$B$5:$B$35=F$4)*Indicators!$P$5:$P$35*'Indicator Scores'!$R$5:$R$35)/SUMPRODUCT((Indicators!$B$5:$B$35=F$4)*Indicators!$P$5:$P$35*('Indicator Scores'!$R$5:$R$35&gt;0)),0)</f>
        <v>3</v>
      </c>
      <c r="G108" s="28" t="n">
        <f aca="false">IFERROR(SUMPRODUCT((Indicators!$B$5:$B$35=G$4)*Indicators!$P$5:$P$35*'Indicator Scores'!$R$5:$R$35)/SUMPRODUCT((Indicators!$B$5:$B$35=G$4)*Indicators!$P$5:$P$35*('Indicator Scores'!$R$5:$R$35&gt;0)),0)</f>
        <v>4</v>
      </c>
      <c r="H108" s="28" t="n">
        <f aca="false">IFERROR(SUMPRODUCT((Indicators!$B$5:$B$35=H$4)*Indicators!$P$5:$P$35*'Indicator Scores'!$R$5:$R$35)/SUMPRODUCT((Indicators!$B$5:$B$35=H$4)*Indicators!$P$5:$P$35*('Indicator Scores'!$R$5:$R$35&gt;0)),0)</f>
        <v>4.4</v>
      </c>
      <c r="I108" s="28" t="n">
        <f aca="false">IFERROR(SUMPRODUCT((Indicators!$B$5:$B$35=I$4)*Indicators!$P$5:$P$35*'Indicator Scores'!$R$5:$R$35)/SUMPRODUCT((Indicators!$B$5:$B$35=I$4)*Indicators!$P$5:$P$35*('Indicator Scores'!$R$5:$R$35&gt;0)),0)</f>
        <v>4</v>
      </c>
      <c r="J108" s="28" t="n">
        <f aca="false">IFERROR(SUMPRODUCT((Indicators!$B$5:$B$35=J$4)*Indicators!$P$5:$P$35*'Indicator Scores'!$R$5:$R$35)/SUMPRODUCT((Indicators!$B$5:$B$35=J$4)*Indicators!$P$5:$P$35*('Indicator Scores'!$R$5:$R$35&gt;0)),0)</f>
        <v>4.4</v>
      </c>
      <c r="K108" s="28" t="n">
        <f aca="false">IFERROR(SUMPRODUCT(F108:J108,INDEX('Factor Weights'!$C$5:$G$11,MATCH(D108,'Factor Weights'!$A$5:$A$11,0),0))/SUMPRODUCT((F108:J108&gt;0)*INDEX('Factor Weights'!$C$5:$G$11,MATCH(D108,'Factor Weights'!$A$5:$A$11,0),0)),0)</f>
        <v>3.96</v>
      </c>
      <c r="L108" s="29" t="n">
        <f aca="false">MAX(F108:J108)</f>
        <v>4.4</v>
      </c>
      <c r="M108" s="28" t="n">
        <f aca="false">IF(L108&gt;=Config!$C$13,MAX(K108,Config!$C$14),K108)</f>
        <v>3.96</v>
      </c>
      <c r="N108" s="30" t="n">
        <f aca="false">IF(Config!$C$12="Weighted average",K108,IF(Config!$C$12="Weighted with floor",M108,L108))</f>
        <v>3.96</v>
      </c>
      <c r="O108" s="31" t="n">
        <f aca="false">IF(N108&lt;Config!$D$5,"",MATCH(N108,Config!$D$5:$D$9,1))</f>
        <v>4</v>
      </c>
      <c r="P108" s="7" t="str">
        <f aca="false">IF(O108="","No data",INDEX(Config!$B$5:$B$9,O108))</f>
        <v>Medium-High</v>
      </c>
      <c r="Q108" s="32" t="n">
        <v>0</v>
      </c>
      <c r="R108" s="8"/>
      <c r="S108" s="33"/>
      <c r="T108" s="34" t="n">
        <f aca="false">IF(O108="","",IF(AND(S108="Y",Q108&lt;&gt;0),MAX(1,MIN(5,O108+MAX(-Config!$C$27,MIN(Config!$C$27,Q108)))),O108))</f>
        <v>4</v>
      </c>
      <c r="U108" s="35" t="str">
        <f aca="false">IF(T108="","No data",INDEX(Config!$B$5:$B$9,T108))</f>
        <v>Medium-High</v>
      </c>
      <c r="V108" s="7" t="str">
        <f aca="false">IF(Q108=0,"None",IF(S108="Y","Applied","Pending HO approval"))</f>
        <v>None</v>
      </c>
      <c r="W108" s="36" t="n">
        <f aca="false">SUMPRODUCT((Indicators!$P$5:$P$35&gt;0)*('Indicator Data'!$R$5:$R$35&lt;&gt;""))/SUMPRODUCT(--(Indicators!$P$5:$P$35&gt;0))</f>
        <v>1</v>
      </c>
    </row>
    <row r="109" customFormat="false" ht="15" hidden="false" customHeight="false" outlineLevel="0" collapsed="false">
      <c r="A109" s="26" t="str">
        <f aca="false">Entities!$A$19</f>
        <v>IQ</v>
      </c>
      <c r="B109" s="12" t="str">
        <f aca="false">INDEX(Entities!$B$5:$B$34,MATCH(A109,Entities!$A$5:$A$34,0))</f>
        <v>Arab Bank Iraq</v>
      </c>
      <c r="C109" s="12" t="str">
        <f aca="false">INDEX(Entities!$D$5:$D$34,MATCH(A109,Entities!$A$5:$A$34,0))</f>
        <v>Iraq and Yemen</v>
      </c>
      <c r="D109" s="12" t="s">
        <v>281</v>
      </c>
      <c r="E109" s="12" t="str">
        <f aca="false">INDEX('Risk Taxonomy'!$B$5:$B$24,MATCH(D109,'Risk Taxonomy'!$A$5:$A$24,0))</f>
        <v>Tax evasion and tax transparency</v>
      </c>
      <c r="F109" s="28" t="n">
        <f aca="false">IFERROR(SUMPRODUCT((Indicators!$B$5:$B$35=F$4)*Indicators!$Q$5:$Q$35*'Indicator Scores'!$R$5:$R$35)/SUMPRODUCT((Indicators!$B$5:$B$35=F$4)*Indicators!$Q$5:$Q$35*('Indicator Scores'!$R$5:$R$35&gt;0)),0)</f>
        <v>3</v>
      </c>
      <c r="G109" s="28" t="n">
        <f aca="false">IFERROR(SUMPRODUCT((Indicators!$B$5:$B$35=G$4)*Indicators!$Q$5:$Q$35*'Indicator Scores'!$R$5:$R$35)/SUMPRODUCT((Indicators!$B$5:$B$35=G$4)*Indicators!$Q$5:$Q$35*('Indicator Scores'!$R$5:$R$35&gt;0)),0)</f>
        <v>4.16666666666667</v>
      </c>
      <c r="H109" s="28" t="n">
        <f aca="false">IFERROR(SUMPRODUCT((Indicators!$B$5:$B$35=H$4)*Indicators!$Q$5:$Q$35*'Indicator Scores'!$R$5:$R$35)/SUMPRODUCT((Indicators!$B$5:$B$35=H$4)*Indicators!$Q$5:$Q$35*('Indicator Scores'!$R$5:$R$35&gt;0)),0)</f>
        <v>4</v>
      </c>
      <c r="I109" s="28" t="n">
        <f aca="false">IFERROR(SUMPRODUCT((Indicators!$B$5:$B$35=I$4)*Indicators!$Q$5:$Q$35*'Indicator Scores'!$R$5:$R$35)/SUMPRODUCT((Indicators!$B$5:$B$35=I$4)*Indicators!$Q$5:$Q$35*('Indicator Scores'!$R$5:$R$35&gt;0)),0)</f>
        <v>4</v>
      </c>
      <c r="J109" s="28" t="n">
        <f aca="false">IFERROR(SUMPRODUCT((Indicators!$B$5:$B$35=J$4)*Indicators!$Q$5:$Q$35*'Indicator Scores'!$R$5:$R$35)/SUMPRODUCT((Indicators!$B$5:$B$35=J$4)*Indicators!$Q$5:$Q$35*('Indicator Scores'!$R$5:$R$35&gt;0)),0)</f>
        <v>4.4</v>
      </c>
      <c r="K109" s="28" t="n">
        <f aca="false">IFERROR(SUMPRODUCT(F109:J109,INDEX('Factor Weights'!$C$5:$G$11,MATCH(D109,'Factor Weights'!$A$5:$A$11,0),0))/SUMPRODUCT((F109:J109&gt;0)*INDEX('Factor Weights'!$C$5:$G$11,MATCH(D109,'Factor Weights'!$A$5:$A$11,0),0)),0)</f>
        <v>3.73166666666667</v>
      </c>
      <c r="L109" s="29" t="n">
        <f aca="false">MAX(F109:J109)</f>
        <v>4.4</v>
      </c>
      <c r="M109" s="28" t="n">
        <f aca="false">IF(L109&gt;=Config!$C$13,MAX(K109,Config!$C$14),K109)</f>
        <v>3.73166666666667</v>
      </c>
      <c r="N109" s="30" t="n">
        <f aca="false">IF(Config!$C$12="Weighted average",K109,IF(Config!$C$12="Weighted with floor",M109,L109))</f>
        <v>3.73166666666667</v>
      </c>
      <c r="O109" s="31" t="n">
        <f aca="false">IF(N109&lt;Config!$D$5,"",MATCH(N109,Config!$D$5:$D$9,1))</f>
        <v>4</v>
      </c>
      <c r="P109" s="7" t="str">
        <f aca="false">IF(O109="","No data",INDEX(Config!$B$5:$B$9,O109))</f>
        <v>Medium-High</v>
      </c>
      <c r="Q109" s="32" t="n">
        <v>0</v>
      </c>
      <c r="R109" s="8"/>
      <c r="S109" s="33"/>
      <c r="T109" s="34" t="n">
        <f aca="false">IF(O109="","",IF(AND(S109="Y",Q109&lt;&gt;0),MAX(1,MIN(5,O109+MAX(-Config!$C$27,MIN(Config!$C$27,Q109)))),O109))</f>
        <v>4</v>
      </c>
      <c r="U109" s="35" t="str">
        <f aca="false">IF(T109="","No data",INDEX(Config!$B$5:$B$9,T109))</f>
        <v>Medium-High</v>
      </c>
      <c r="V109" s="7" t="str">
        <f aca="false">IF(Q109=0,"None",IF(S109="Y","Applied","Pending HO approval"))</f>
        <v>None</v>
      </c>
      <c r="W109" s="36" t="n">
        <f aca="false">SUMPRODUCT((Indicators!$Q$5:$Q$35&gt;0)*('Indicator Data'!$R$5:$R$35&lt;&gt;""))/SUMPRODUCT(--(Indicators!$Q$5:$Q$35&gt;0))</f>
        <v>1</v>
      </c>
    </row>
    <row r="110" customFormat="false" ht="15" hidden="false" customHeight="false" outlineLevel="0" collapsed="false">
      <c r="A110" s="26" t="str">
        <f aca="false">Entities!$A$20</f>
        <v>YE</v>
      </c>
      <c r="B110" s="12" t="str">
        <f aca="false">INDEX(Entities!$B$5:$B$34,MATCH(A110,Entities!$A$5:$A$34,0))</f>
        <v>Arab Bank – Yemen</v>
      </c>
      <c r="C110" s="12" t="str">
        <f aca="false">INDEX(Entities!$D$5:$D$34,MATCH(A110,Entities!$A$5:$A$34,0))</f>
        <v>Iraq and Yemen</v>
      </c>
      <c r="D110" s="12" t="s">
        <v>260</v>
      </c>
      <c r="E110" s="12" t="str">
        <f aca="false">INDEX('Risk Taxonomy'!$B$5:$B$24,MATCH(D110,'Risk Taxonomy'!$A$5:$A$24,0))</f>
        <v>Money laundering</v>
      </c>
      <c r="F110" s="28" t="n">
        <f aca="false">IFERROR(SUMPRODUCT((Indicators!$B$5:$B$35=F$4)*Indicators!$K$5:$K$35*'Indicator Scores'!$S$5:$S$35)/SUMPRODUCT((Indicators!$B$5:$B$35=F$4)*Indicators!$K$5:$K$35*('Indicator Scores'!$S$5:$S$35&gt;0)),0)</f>
        <v>4.08333333333333</v>
      </c>
      <c r="G110" s="28" t="n">
        <f aca="false">IFERROR(SUMPRODUCT((Indicators!$B$5:$B$35=G$4)*Indicators!$K$5:$K$35*'Indicator Scores'!$S$5:$S$35)/SUMPRODUCT((Indicators!$B$5:$B$35=G$4)*Indicators!$K$5:$K$35*('Indicator Scores'!$S$5:$S$35&gt;0)),0)</f>
        <v>4</v>
      </c>
      <c r="H110" s="28" t="n">
        <f aca="false">IFERROR(SUMPRODUCT((Indicators!$B$5:$B$35=H$4)*Indicators!$K$5:$K$35*'Indicator Scores'!$S$5:$S$35)/SUMPRODUCT((Indicators!$B$5:$B$35=H$4)*Indicators!$K$5:$K$35*('Indicator Scores'!$S$5:$S$35&gt;0)),0)</f>
        <v>4.3</v>
      </c>
      <c r="I110" s="28" t="n">
        <f aca="false">IFERROR(SUMPRODUCT((Indicators!$B$5:$B$35=I$4)*Indicators!$K$5:$K$35*'Indicator Scores'!$S$5:$S$35)/SUMPRODUCT((Indicators!$B$5:$B$35=I$4)*Indicators!$K$5:$K$35*('Indicator Scores'!$S$5:$S$35&gt;0)),0)</f>
        <v>4</v>
      </c>
      <c r="J110" s="28" t="n">
        <f aca="false">IFERROR(SUMPRODUCT((Indicators!$B$5:$B$35=J$4)*Indicators!$K$5:$K$35*'Indicator Scores'!$S$5:$S$35)/SUMPRODUCT((Indicators!$B$5:$B$35=J$4)*Indicators!$K$5:$K$35*('Indicator Scores'!$S$5:$S$35&gt;0)),0)</f>
        <v>4</v>
      </c>
      <c r="K110" s="28" t="n">
        <f aca="false">IFERROR(SUMPRODUCT(F110:J110,INDEX('Factor Weights'!$C$5:$G$11,MATCH(D110,'Factor Weights'!$A$5:$A$11,0),0))/SUMPRODUCT((F110:J110&gt;0)*INDEX('Factor Weights'!$C$5:$G$11,MATCH(D110,'Factor Weights'!$A$5:$A$11,0),0)),0)</f>
        <v>4.085</v>
      </c>
      <c r="L110" s="29" t="n">
        <f aca="false">MAX(F110:J110)</f>
        <v>4.3</v>
      </c>
      <c r="M110" s="28" t="n">
        <f aca="false">IF(L110&gt;=Config!$C$13,MAX(K110,Config!$C$14),K110)</f>
        <v>4.085</v>
      </c>
      <c r="N110" s="30" t="n">
        <f aca="false">IF(Config!$C$12="Weighted average",K110,IF(Config!$C$12="Weighted with floor",M110,L110))</f>
        <v>4.085</v>
      </c>
      <c r="O110" s="31" t="n">
        <f aca="false">IF(N110&lt;Config!$D$5,"",MATCH(N110,Config!$D$5:$D$9,1))</f>
        <v>4</v>
      </c>
      <c r="P110" s="7" t="str">
        <f aca="false">IF(O110="","No data",INDEX(Config!$B$5:$B$9,O110))</f>
        <v>Medium-High</v>
      </c>
      <c r="Q110" s="32" t="n">
        <v>0</v>
      </c>
      <c r="R110" s="8"/>
      <c r="S110" s="33"/>
      <c r="T110" s="34" t="n">
        <f aca="false">IF(O110="","",IF(AND(S110="Y",Q110&lt;&gt;0),MAX(1,MIN(5,O110+MAX(-Config!$C$27,MIN(Config!$C$27,Q110)))),O110))</f>
        <v>4</v>
      </c>
      <c r="U110" s="35" t="str">
        <f aca="false">IF(T110="","No data",INDEX(Config!$B$5:$B$9,T110))</f>
        <v>Medium-High</v>
      </c>
      <c r="V110" s="7" t="str">
        <f aca="false">IF(Q110=0,"None",IF(S110="Y","Applied","Pending HO approval"))</f>
        <v>None</v>
      </c>
      <c r="W110" s="36" t="n">
        <f aca="false">SUMPRODUCT((Indicators!$K$5:$K$35&gt;0)*('Indicator Data'!$S$5:$S$35&lt;&gt;""))/SUMPRODUCT(--(Indicators!$K$5:$K$35&gt;0))</f>
        <v>1</v>
      </c>
    </row>
    <row r="111" customFormat="false" ht="15" hidden="false" customHeight="false" outlineLevel="0" collapsed="false">
      <c r="A111" s="26" t="str">
        <f aca="false">Entities!$A$20</f>
        <v>YE</v>
      </c>
      <c r="B111" s="12" t="str">
        <f aca="false">INDEX(Entities!$B$5:$B$34,MATCH(A111,Entities!$A$5:$A$34,0))</f>
        <v>Arab Bank – Yemen</v>
      </c>
      <c r="C111" s="12" t="str">
        <f aca="false">INDEX(Entities!$D$5:$D$34,MATCH(A111,Entities!$A$5:$A$34,0))</f>
        <v>Iraq and Yemen</v>
      </c>
      <c r="D111" s="12" t="s">
        <v>267</v>
      </c>
      <c r="E111" s="12" t="str">
        <f aca="false">INDEX('Risk Taxonomy'!$B$5:$B$24,MATCH(D111,'Risk Taxonomy'!$A$5:$A$24,0))</f>
        <v>Terrorist financing</v>
      </c>
      <c r="F111" s="28" t="n">
        <f aca="false">IFERROR(SUMPRODUCT((Indicators!$B$5:$B$35=F$4)*Indicators!$L$5:$L$35*'Indicator Scores'!$S$5:$S$35)/SUMPRODUCT((Indicators!$B$5:$B$35=F$4)*Indicators!$L$5:$L$35*('Indicator Scores'!$S$5:$S$35&gt;0)),0)</f>
        <v>3.8</v>
      </c>
      <c r="G111" s="28" t="n">
        <f aca="false">IFERROR(SUMPRODUCT((Indicators!$B$5:$B$35=G$4)*Indicators!$L$5:$L$35*'Indicator Scores'!$S$5:$S$35)/SUMPRODUCT((Indicators!$B$5:$B$35=G$4)*Indicators!$L$5:$L$35*('Indicator Scores'!$S$5:$S$35&gt;0)),0)</f>
        <v>4</v>
      </c>
      <c r="H111" s="28" t="n">
        <f aca="false">IFERROR(SUMPRODUCT((Indicators!$B$5:$B$35=H$4)*Indicators!$L$5:$L$35*'Indicator Scores'!$S$5:$S$35)/SUMPRODUCT((Indicators!$B$5:$B$35=H$4)*Indicators!$L$5:$L$35*('Indicator Scores'!$S$5:$S$35&gt;0)),0)</f>
        <v>4.66666666666667</v>
      </c>
      <c r="I111" s="28" t="n">
        <f aca="false">IFERROR(SUMPRODUCT((Indicators!$B$5:$B$35=I$4)*Indicators!$L$5:$L$35*'Indicator Scores'!$S$5:$S$35)/SUMPRODUCT((Indicators!$B$5:$B$35=I$4)*Indicators!$L$5:$L$35*('Indicator Scores'!$S$5:$S$35&gt;0)),0)</f>
        <v>4</v>
      </c>
      <c r="J111" s="28" t="n">
        <f aca="false">IFERROR(SUMPRODUCT((Indicators!$B$5:$B$35=J$4)*Indicators!$L$5:$L$35*'Indicator Scores'!$S$5:$S$35)/SUMPRODUCT((Indicators!$B$5:$B$35=J$4)*Indicators!$L$5:$L$35*('Indicator Scores'!$S$5:$S$35&gt;0)),0)</f>
        <v>3.85714285714286</v>
      </c>
      <c r="K111" s="28" t="n">
        <f aca="false">IFERROR(SUMPRODUCT(F111:J111,INDEX('Factor Weights'!$C$5:$G$11,MATCH(D111,'Factor Weights'!$A$5:$A$11,0),0))/SUMPRODUCT((F111:J111&gt;0)*INDEX('Factor Weights'!$C$5:$G$11,MATCH(D111,'Factor Weights'!$A$5:$A$11,0),0)),0)</f>
        <v>4.02142857142857</v>
      </c>
      <c r="L111" s="29" t="n">
        <f aca="false">MAX(F111:J111)</f>
        <v>4.66666666666667</v>
      </c>
      <c r="M111" s="28" t="n">
        <f aca="false">IF(L111&gt;=Config!$C$13,MAX(K111,Config!$C$14),K111)</f>
        <v>4.02142857142857</v>
      </c>
      <c r="N111" s="30" t="n">
        <f aca="false">IF(Config!$C$12="Weighted average",K111,IF(Config!$C$12="Weighted with floor",M111,L111))</f>
        <v>4.02142857142857</v>
      </c>
      <c r="O111" s="31" t="n">
        <f aca="false">IF(N111&lt;Config!$D$5,"",MATCH(N111,Config!$D$5:$D$9,1))</f>
        <v>4</v>
      </c>
      <c r="P111" s="7" t="str">
        <f aca="false">IF(O111="","No data",INDEX(Config!$B$5:$B$9,O111))</f>
        <v>Medium-High</v>
      </c>
      <c r="Q111" s="32" t="n">
        <v>0</v>
      </c>
      <c r="R111" s="8"/>
      <c r="S111" s="33"/>
      <c r="T111" s="34" t="n">
        <f aca="false">IF(O111="","",IF(AND(S111="Y",Q111&lt;&gt;0),MAX(1,MIN(5,O111+MAX(-Config!$C$27,MIN(Config!$C$27,Q111)))),O111))</f>
        <v>4</v>
      </c>
      <c r="U111" s="35" t="str">
        <f aca="false">IF(T111="","No data",INDEX(Config!$B$5:$B$9,T111))</f>
        <v>Medium-High</v>
      </c>
      <c r="V111" s="7" t="str">
        <f aca="false">IF(Q111=0,"None",IF(S111="Y","Applied","Pending HO approval"))</f>
        <v>None</v>
      </c>
      <c r="W111" s="36" t="n">
        <f aca="false">SUMPRODUCT((Indicators!$L$5:$L$35&gt;0)*('Indicator Data'!$S$5:$S$35&lt;&gt;""))/SUMPRODUCT(--(Indicators!$L$5:$L$35&gt;0))</f>
        <v>1</v>
      </c>
    </row>
    <row r="112" customFormat="false" ht="15" hidden="false" customHeight="false" outlineLevel="0" collapsed="false">
      <c r="A112" s="26" t="str">
        <f aca="false">Entities!$A$20</f>
        <v>YE</v>
      </c>
      <c r="B112" s="12" t="str">
        <f aca="false">INDEX(Entities!$B$5:$B$34,MATCH(A112,Entities!$A$5:$A$34,0))</f>
        <v>Arab Bank – Yemen</v>
      </c>
      <c r="C112" s="12" t="str">
        <f aca="false">INDEX(Entities!$D$5:$D$34,MATCH(A112,Entities!$A$5:$A$34,0))</f>
        <v>Iraq and Yemen</v>
      </c>
      <c r="D112" s="12" t="s">
        <v>270</v>
      </c>
      <c r="E112" s="12" t="str">
        <f aca="false">INDEX('Risk Taxonomy'!$B$5:$B$24,MATCH(D112,'Risk Taxonomy'!$A$5:$A$24,0))</f>
        <v>Proliferation financing</v>
      </c>
      <c r="F112" s="28" t="n">
        <f aca="false">IFERROR(SUMPRODUCT((Indicators!$B$5:$B$35=F$4)*Indicators!$M$5:$M$35*'Indicator Scores'!$S$5:$S$35)/SUMPRODUCT((Indicators!$B$5:$B$35=F$4)*Indicators!$M$5:$M$35*('Indicator Scores'!$S$5:$S$35&gt;0)),0)</f>
        <v>3.5</v>
      </c>
      <c r="G112" s="28" t="n">
        <f aca="false">IFERROR(SUMPRODUCT((Indicators!$B$5:$B$35=G$4)*Indicators!$M$5:$M$35*'Indicator Scores'!$S$5:$S$35)/SUMPRODUCT((Indicators!$B$5:$B$35=G$4)*Indicators!$M$5:$M$35*('Indicator Scores'!$S$5:$S$35&gt;0)),0)</f>
        <v>4.125</v>
      </c>
      <c r="H112" s="28" t="n">
        <f aca="false">IFERROR(SUMPRODUCT((Indicators!$B$5:$B$35=H$4)*Indicators!$M$5:$M$35*'Indicator Scores'!$S$5:$S$35)/SUMPRODUCT((Indicators!$B$5:$B$35=H$4)*Indicators!$M$5:$M$35*('Indicator Scores'!$S$5:$S$35&gt;0)),0)</f>
        <v>4.22222222222222</v>
      </c>
      <c r="I112" s="28" t="n">
        <f aca="false">IFERROR(SUMPRODUCT((Indicators!$B$5:$B$35=I$4)*Indicators!$M$5:$M$35*'Indicator Scores'!$S$5:$S$35)/SUMPRODUCT((Indicators!$B$5:$B$35=I$4)*Indicators!$M$5:$M$35*('Indicator Scores'!$S$5:$S$35&gt;0)),0)</f>
        <v>4.33333333333333</v>
      </c>
      <c r="J112" s="28" t="n">
        <f aca="false">IFERROR(SUMPRODUCT((Indicators!$B$5:$B$35=J$4)*Indicators!$M$5:$M$35*'Indicator Scores'!$S$5:$S$35)/SUMPRODUCT((Indicators!$B$5:$B$35=J$4)*Indicators!$M$5:$M$35*('Indicator Scores'!$S$5:$S$35&gt;0)),0)</f>
        <v>3.5</v>
      </c>
      <c r="K112" s="28" t="n">
        <f aca="false">IFERROR(SUMPRODUCT(F112:J112,INDEX('Factor Weights'!$C$5:$G$11,MATCH(D112,'Factor Weights'!$A$5:$A$11,0),0))/SUMPRODUCT((F112:J112&gt;0)*INDEX('Factor Weights'!$C$5:$G$11,MATCH(D112,'Factor Weights'!$A$5:$A$11,0),0)),0)</f>
        <v>3.94583333333333</v>
      </c>
      <c r="L112" s="29" t="n">
        <f aca="false">MAX(F112:J112)</f>
        <v>4.33333333333333</v>
      </c>
      <c r="M112" s="28" t="n">
        <f aca="false">IF(L112&gt;=Config!$C$13,MAX(K112,Config!$C$14),K112)</f>
        <v>3.94583333333333</v>
      </c>
      <c r="N112" s="30" t="n">
        <f aca="false">IF(Config!$C$12="Weighted average",K112,IF(Config!$C$12="Weighted with floor",M112,L112))</f>
        <v>3.94583333333333</v>
      </c>
      <c r="O112" s="31" t="n">
        <f aca="false">IF(N112&lt;Config!$D$5,"",MATCH(N112,Config!$D$5:$D$9,1))</f>
        <v>4</v>
      </c>
      <c r="P112" s="7" t="str">
        <f aca="false">IF(O112="","No data",INDEX(Config!$B$5:$B$9,O112))</f>
        <v>Medium-High</v>
      </c>
      <c r="Q112" s="32" t="n">
        <v>0</v>
      </c>
      <c r="R112" s="8"/>
      <c r="S112" s="33"/>
      <c r="T112" s="34" t="n">
        <f aca="false">IF(O112="","",IF(AND(S112="Y",Q112&lt;&gt;0),MAX(1,MIN(5,O112+MAX(-Config!$C$27,MIN(Config!$C$27,Q112)))),O112))</f>
        <v>4</v>
      </c>
      <c r="U112" s="35" t="str">
        <f aca="false">IF(T112="","No data",INDEX(Config!$B$5:$B$9,T112))</f>
        <v>Medium-High</v>
      </c>
      <c r="V112" s="7" t="str">
        <f aca="false">IF(Q112=0,"None",IF(S112="Y","Applied","Pending HO approval"))</f>
        <v>None</v>
      </c>
      <c r="W112" s="36" t="n">
        <f aca="false">SUMPRODUCT((Indicators!$M$5:$M$35&gt;0)*('Indicator Data'!$S$5:$S$35&lt;&gt;""))/SUMPRODUCT(--(Indicators!$M$5:$M$35&gt;0))</f>
        <v>1</v>
      </c>
    </row>
    <row r="113" customFormat="false" ht="15" hidden="false" customHeight="false" outlineLevel="0" collapsed="false">
      <c r="A113" s="26" t="str">
        <f aca="false">Entities!$A$20</f>
        <v>YE</v>
      </c>
      <c r="B113" s="12" t="str">
        <f aca="false">INDEX(Entities!$B$5:$B$34,MATCH(A113,Entities!$A$5:$A$34,0))</f>
        <v>Arab Bank – Yemen</v>
      </c>
      <c r="C113" s="12" t="str">
        <f aca="false">INDEX(Entities!$D$5:$D$34,MATCH(A113,Entities!$A$5:$A$34,0))</f>
        <v>Iraq and Yemen</v>
      </c>
      <c r="D113" s="12" t="s">
        <v>272</v>
      </c>
      <c r="E113" s="12" t="str">
        <f aca="false">INDEX('Risk Taxonomy'!$B$5:$B$24,MATCH(D113,'Risk Taxonomy'!$A$5:$A$24,0))</f>
        <v>Sanctions</v>
      </c>
      <c r="F113" s="28" t="n">
        <f aca="false">IFERROR(SUMPRODUCT((Indicators!$B$5:$B$35=F$4)*Indicators!$N$5:$N$35*'Indicator Scores'!$S$5:$S$35)/SUMPRODUCT((Indicators!$B$5:$B$35=F$4)*Indicators!$N$5:$N$35*('Indicator Scores'!$S$5:$S$35&gt;0)),0)</f>
        <v>3.85714285714286</v>
      </c>
      <c r="G113" s="28" t="n">
        <f aca="false">IFERROR(SUMPRODUCT((Indicators!$B$5:$B$35=G$4)*Indicators!$N$5:$N$35*'Indicator Scores'!$S$5:$S$35)/SUMPRODUCT((Indicators!$B$5:$B$35=G$4)*Indicators!$N$5:$N$35*('Indicator Scores'!$S$5:$S$35&gt;0)),0)</f>
        <v>4.28571428571429</v>
      </c>
      <c r="H113" s="28" t="n">
        <f aca="false">IFERROR(SUMPRODUCT((Indicators!$B$5:$B$35=H$4)*Indicators!$N$5:$N$35*'Indicator Scores'!$S$5:$S$35)/SUMPRODUCT((Indicators!$B$5:$B$35=H$4)*Indicators!$N$5:$N$35*('Indicator Scores'!$S$5:$S$35&gt;0)),0)</f>
        <v>4.25</v>
      </c>
      <c r="I113" s="28" t="n">
        <f aca="false">IFERROR(SUMPRODUCT((Indicators!$B$5:$B$35=I$4)*Indicators!$N$5:$N$35*'Indicator Scores'!$S$5:$S$35)/SUMPRODUCT((Indicators!$B$5:$B$35=I$4)*Indicators!$N$5:$N$35*('Indicator Scores'!$S$5:$S$35&gt;0)),0)</f>
        <v>3.66666666666667</v>
      </c>
      <c r="J113" s="28" t="n">
        <f aca="false">IFERROR(SUMPRODUCT((Indicators!$B$5:$B$35=J$4)*Indicators!$N$5:$N$35*'Indicator Scores'!$S$5:$S$35)/SUMPRODUCT((Indicators!$B$5:$B$35=J$4)*Indicators!$N$5:$N$35*('Indicator Scores'!$S$5:$S$35&gt;0)),0)</f>
        <v>3.4</v>
      </c>
      <c r="K113" s="28" t="n">
        <f aca="false">IFERROR(SUMPRODUCT(F113:J113,INDEX('Factor Weights'!$C$5:$G$11,MATCH(D113,'Factor Weights'!$A$5:$A$11,0),0))/SUMPRODUCT((F113:J113&gt;0)*INDEX('Factor Weights'!$C$5:$G$11,MATCH(D113,'Factor Weights'!$A$5:$A$11,0),0)),0)</f>
        <v>4.00619047619048</v>
      </c>
      <c r="L113" s="29" t="n">
        <f aca="false">MAX(F113:J113)</f>
        <v>4.28571428571429</v>
      </c>
      <c r="M113" s="28" t="n">
        <f aca="false">IF(L113&gt;=Config!$C$13,MAX(K113,Config!$C$14),K113)</f>
        <v>4.00619047619048</v>
      </c>
      <c r="N113" s="30" t="n">
        <f aca="false">IF(Config!$C$12="Weighted average",K113,IF(Config!$C$12="Weighted with floor",M113,L113))</f>
        <v>4.00619047619048</v>
      </c>
      <c r="O113" s="31" t="n">
        <f aca="false">IF(N113&lt;Config!$D$5,"",MATCH(N113,Config!$D$5:$D$9,1))</f>
        <v>4</v>
      </c>
      <c r="P113" s="7" t="str">
        <f aca="false">IF(O113="","No data",INDEX(Config!$B$5:$B$9,O113))</f>
        <v>Medium-High</v>
      </c>
      <c r="Q113" s="32" t="n">
        <v>0</v>
      </c>
      <c r="R113" s="8"/>
      <c r="S113" s="33"/>
      <c r="T113" s="34" t="n">
        <f aca="false">IF(O113="","",IF(AND(S113="Y",Q113&lt;&gt;0),MAX(1,MIN(5,O113+MAX(-Config!$C$27,MIN(Config!$C$27,Q113)))),O113))</f>
        <v>4</v>
      </c>
      <c r="U113" s="35" t="str">
        <f aca="false">IF(T113="","No data",INDEX(Config!$B$5:$B$9,T113))</f>
        <v>Medium-High</v>
      </c>
      <c r="V113" s="7" t="str">
        <f aca="false">IF(Q113=0,"None",IF(S113="Y","Applied","Pending HO approval"))</f>
        <v>None</v>
      </c>
      <c r="W113" s="36" t="n">
        <f aca="false">SUMPRODUCT((Indicators!$N$5:$N$35&gt;0)*('Indicator Data'!$S$5:$S$35&lt;&gt;""))/SUMPRODUCT(--(Indicators!$N$5:$N$35&gt;0))</f>
        <v>1</v>
      </c>
    </row>
    <row r="114" customFormat="false" ht="15" hidden="false" customHeight="false" outlineLevel="0" collapsed="false">
      <c r="A114" s="26" t="str">
        <f aca="false">Entities!$A$20</f>
        <v>YE</v>
      </c>
      <c r="B114" s="12" t="str">
        <f aca="false">INDEX(Entities!$B$5:$B$34,MATCH(A114,Entities!$A$5:$A$34,0))</f>
        <v>Arab Bank – Yemen</v>
      </c>
      <c r="C114" s="12" t="str">
        <f aca="false">INDEX(Entities!$D$5:$D$34,MATCH(A114,Entities!$A$5:$A$34,0))</f>
        <v>Iraq and Yemen</v>
      </c>
      <c r="D114" s="12" t="s">
        <v>275</v>
      </c>
      <c r="E114" s="12" t="str">
        <f aca="false">INDEX('Risk Taxonomy'!$B$5:$B$24,MATCH(D114,'Risk Taxonomy'!$A$5:$A$24,0))</f>
        <v>Bribery and corruption</v>
      </c>
      <c r="F114" s="28" t="n">
        <f aca="false">IFERROR(SUMPRODUCT((Indicators!$B$5:$B$35=F$4)*Indicators!$O$5:$O$35*'Indicator Scores'!$S$5:$S$35)/SUMPRODUCT((Indicators!$B$5:$B$35=F$4)*Indicators!$O$5:$O$35*('Indicator Scores'!$S$5:$S$35&gt;0)),0)</f>
        <v>4.11111111111111</v>
      </c>
      <c r="G114" s="28" t="n">
        <f aca="false">IFERROR(SUMPRODUCT((Indicators!$B$5:$B$35=G$4)*Indicators!$O$5:$O$35*'Indicator Scores'!$S$5:$S$35)/SUMPRODUCT((Indicators!$B$5:$B$35=G$4)*Indicators!$O$5:$O$35*('Indicator Scores'!$S$5:$S$35&gt;0)),0)</f>
        <v>4</v>
      </c>
      <c r="H114" s="28" t="n">
        <f aca="false">IFERROR(SUMPRODUCT((Indicators!$B$5:$B$35=H$4)*Indicators!$O$5:$O$35*'Indicator Scores'!$S$5:$S$35)/SUMPRODUCT((Indicators!$B$5:$B$35=H$4)*Indicators!$O$5:$O$35*('Indicator Scores'!$S$5:$S$35&gt;0)),0)</f>
        <v>4</v>
      </c>
      <c r="I114" s="28" t="n">
        <f aca="false">IFERROR(SUMPRODUCT((Indicators!$B$5:$B$35=I$4)*Indicators!$O$5:$O$35*'Indicator Scores'!$S$5:$S$35)/SUMPRODUCT((Indicators!$B$5:$B$35=I$4)*Indicators!$O$5:$O$35*('Indicator Scores'!$S$5:$S$35&gt;0)),0)</f>
        <v>4.4</v>
      </c>
      <c r="J114" s="28" t="n">
        <f aca="false">IFERROR(SUMPRODUCT((Indicators!$B$5:$B$35=J$4)*Indicators!$O$5:$O$35*'Indicator Scores'!$S$5:$S$35)/SUMPRODUCT((Indicators!$B$5:$B$35=J$4)*Indicators!$O$5:$O$35*('Indicator Scores'!$S$5:$S$35&gt;0)),0)</f>
        <v>4</v>
      </c>
      <c r="K114" s="28" t="n">
        <f aca="false">IFERROR(SUMPRODUCT(F114:J114,INDEX('Factor Weights'!$C$5:$G$11,MATCH(D114,'Factor Weights'!$A$5:$A$11,0),0))/SUMPRODUCT((F114:J114&gt;0)*INDEX('Factor Weights'!$C$5:$G$11,MATCH(D114,'Factor Weights'!$A$5:$A$11,0),0)),0)</f>
        <v>4.11333333333333</v>
      </c>
      <c r="L114" s="29" t="n">
        <f aca="false">MAX(F114:J114)</f>
        <v>4.4</v>
      </c>
      <c r="M114" s="28" t="n">
        <f aca="false">IF(L114&gt;=Config!$C$13,MAX(K114,Config!$C$14),K114)</f>
        <v>4.11333333333333</v>
      </c>
      <c r="N114" s="30" t="n">
        <f aca="false">IF(Config!$C$12="Weighted average",K114,IF(Config!$C$12="Weighted with floor",M114,L114))</f>
        <v>4.11333333333333</v>
      </c>
      <c r="O114" s="31" t="n">
        <f aca="false">IF(N114&lt;Config!$D$5,"",MATCH(N114,Config!$D$5:$D$9,1))</f>
        <v>4</v>
      </c>
      <c r="P114" s="7" t="str">
        <f aca="false">IF(O114="","No data",INDEX(Config!$B$5:$B$9,O114))</f>
        <v>Medium-High</v>
      </c>
      <c r="Q114" s="32" t="n">
        <v>0</v>
      </c>
      <c r="R114" s="8"/>
      <c r="S114" s="33"/>
      <c r="T114" s="34" t="n">
        <f aca="false">IF(O114="","",IF(AND(S114="Y",Q114&lt;&gt;0),MAX(1,MIN(5,O114+MAX(-Config!$C$27,MIN(Config!$C$27,Q114)))),O114))</f>
        <v>4</v>
      </c>
      <c r="U114" s="35" t="str">
        <f aca="false">IF(T114="","No data",INDEX(Config!$B$5:$B$9,T114))</f>
        <v>Medium-High</v>
      </c>
      <c r="V114" s="7" t="str">
        <f aca="false">IF(Q114=0,"None",IF(S114="Y","Applied","Pending HO approval"))</f>
        <v>None</v>
      </c>
      <c r="W114" s="36" t="n">
        <f aca="false">SUMPRODUCT((Indicators!$O$5:$O$35&gt;0)*('Indicator Data'!$S$5:$S$35&lt;&gt;""))/SUMPRODUCT(--(Indicators!$O$5:$O$35&gt;0))</f>
        <v>1</v>
      </c>
    </row>
    <row r="115" customFormat="false" ht="15" hidden="false" customHeight="false" outlineLevel="0" collapsed="false">
      <c r="A115" s="26" t="str">
        <f aca="false">Entities!$A$20</f>
        <v>YE</v>
      </c>
      <c r="B115" s="12" t="str">
        <f aca="false">INDEX(Entities!$B$5:$B$34,MATCH(A115,Entities!$A$5:$A$34,0))</f>
        <v>Arab Bank – Yemen</v>
      </c>
      <c r="C115" s="12" t="str">
        <f aca="false">INDEX(Entities!$D$5:$D$34,MATCH(A115,Entities!$A$5:$A$34,0))</f>
        <v>Iraq and Yemen</v>
      </c>
      <c r="D115" s="12" t="s">
        <v>278</v>
      </c>
      <c r="E115" s="12" t="str">
        <f aca="false">INDEX('Risk Taxonomy'!$B$5:$B$24,MATCH(D115,'Risk Taxonomy'!$A$5:$A$24,0))</f>
        <v>Fraud</v>
      </c>
      <c r="F115" s="28" t="n">
        <f aca="false">IFERROR(SUMPRODUCT((Indicators!$B$5:$B$35=F$4)*Indicators!$P$5:$P$35*'Indicator Scores'!$S$5:$S$35)/SUMPRODUCT((Indicators!$B$5:$B$35=F$4)*Indicators!$P$5:$P$35*('Indicator Scores'!$S$5:$S$35&gt;0)),0)</f>
        <v>4.33333333333333</v>
      </c>
      <c r="G115" s="28" t="n">
        <f aca="false">IFERROR(SUMPRODUCT((Indicators!$B$5:$B$35=G$4)*Indicators!$P$5:$P$35*'Indicator Scores'!$S$5:$S$35)/SUMPRODUCT((Indicators!$B$5:$B$35=G$4)*Indicators!$P$5:$P$35*('Indicator Scores'!$S$5:$S$35&gt;0)),0)</f>
        <v>4</v>
      </c>
      <c r="H115" s="28" t="n">
        <f aca="false">IFERROR(SUMPRODUCT((Indicators!$B$5:$B$35=H$4)*Indicators!$P$5:$P$35*'Indicator Scores'!$S$5:$S$35)/SUMPRODUCT((Indicators!$B$5:$B$35=H$4)*Indicators!$P$5:$P$35*('Indicator Scores'!$S$5:$S$35&gt;0)),0)</f>
        <v>4.4</v>
      </c>
      <c r="I115" s="28" t="n">
        <f aca="false">IFERROR(SUMPRODUCT((Indicators!$B$5:$B$35=I$4)*Indicators!$P$5:$P$35*'Indicator Scores'!$S$5:$S$35)/SUMPRODUCT((Indicators!$B$5:$B$35=I$4)*Indicators!$P$5:$P$35*('Indicator Scores'!$S$5:$S$35&gt;0)),0)</f>
        <v>3.77777777777778</v>
      </c>
      <c r="J115" s="28" t="n">
        <f aca="false">IFERROR(SUMPRODUCT((Indicators!$B$5:$B$35=J$4)*Indicators!$P$5:$P$35*'Indicator Scores'!$S$5:$S$35)/SUMPRODUCT((Indicators!$B$5:$B$35=J$4)*Indicators!$P$5:$P$35*('Indicator Scores'!$S$5:$S$35&gt;0)),0)</f>
        <v>3.8</v>
      </c>
      <c r="K115" s="28" t="n">
        <f aca="false">IFERROR(SUMPRODUCT(F115:J115,INDEX('Factor Weights'!$C$5:$G$11,MATCH(D115,'Factor Weights'!$A$5:$A$11,0),0))/SUMPRODUCT((F115:J115&gt;0)*INDEX('Factor Weights'!$C$5:$G$11,MATCH(D115,'Factor Weights'!$A$5:$A$11,0),0)),0)</f>
        <v>4.04</v>
      </c>
      <c r="L115" s="29" t="n">
        <f aca="false">MAX(F115:J115)</f>
        <v>4.4</v>
      </c>
      <c r="M115" s="28" t="n">
        <f aca="false">IF(L115&gt;=Config!$C$13,MAX(K115,Config!$C$14),K115)</f>
        <v>4.04</v>
      </c>
      <c r="N115" s="30" t="n">
        <f aca="false">IF(Config!$C$12="Weighted average",K115,IF(Config!$C$12="Weighted with floor",M115,L115))</f>
        <v>4.04</v>
      </c>
      <c r="O115" s="31" t="n">
        <f aca="false">IF(N115&lt;Config!$D$5,"",MATCH(N115,Config!$D$5:$D$9,1))</f>
        <v>4</v>
      </c>
      <c r="P115" s="7" t="str">
        <f aca="false">IF(O115="","No data",INDEX(Config!$B$5:$B$9,O115))</f>
        <v>Medium-High</v>
      </c>
      <c r="Q115" s="32" t="n">
        <v>0</v>
      </c>
      <c r="R115" s="8"/>
      <c r="S115" s="33"/>
      <c r="T115" s="34" t="n">
        <f aca="false">IF(O115="","",IF(AND(S115="Y",Q115&lt;&gt;0),MAX(1,MIN(5,O115+MAX(-Config!$C$27,MIN(Config!$C$27,Q115)))),O115))</f>
        <v>4</v>
      </c>
      <c r="U115" s="35" t="str">
        <f aca="false">IF(T115="","No data",INDEX(Config!$B$5:$B$9,T115))</f>
        <v>Medium-High</v>
      </c>
      <c r="V115" s="7" t="str">
        <f aca="false">IF(Q115=0,"None",IF(S115="Y","Applied","Pending HO approval"))</f>
        <v>None</v>
      </c>
      <c r="W115" s="36" t="n">
        <f aca="false">SUMPRODUCT((Indicators!$P$5:$P$35&gt;0)*('Indicator Data'!$S$5:$S$35&lt;&gt;""))/SUMPRODUCT(--(Indicators!$P$5:$P$35&gt;0))</f>
        <v>1</v>
      </c>
    </row>
    <row r="116" customFormat="false" ht="15" hidden="false" customHeight="false" outlineLevel="0" collapsed="false">
      <c r="A116" s="26" t="str">
        <f aca="false">Entities!$A$20</f>
        <v>YE</v>
      </c>
      <c r="B116" s="12" t="str">
        <f aca="false">INDEX(Entities!$B$5:$B$34,MATCH(A116,Entities!$A$5:$A$34,0))</f>
        <v>Arab Bank – Yemen</v>
      </c>
      <c r="C116" s="12" t="str">
        <f aca="false">INDEX(Entities!$D$5:$D$34,MATCH(A116,Entities!$A$5:$A$34,0))</f>
        <v>Iraq and Yemen</v>
      </c>
      <c r="D116" s="12" t="s">
        <v>281</v>
      </c>
      <c r="E116" s="12" t="str">
        <f aca="false">INDEX('Risk Taxonomy'!$B$5:$B$24,MATCH(D116,'Risk Taxonomy'!$A$5:$A$24,0))</f>
        <v>Tax evasion and tax transparency</v>
      </c>
      <c r="F116" s="28" t="n">
        <f aca="false">IFERROR(SUMPRODUCT((Indicators!$B$5:$B$35=F$4)*Indicators!$Q$5:$Q$35*'Indicator Scores'!$S$5:$S$35)/SUMPRODUCT((Indicators!$B$5:$B$35=F$4)*Indicators!$Q$5:$Q$35*('Indicator Scores'!$S$5:$S$35&gt;0)),0)</f>
        <v>3.88888888888889</v>
      </c>
      <c r="G116" s="28" t="n">
        <f aca="false">IFERROR(SUMPRODUCT((Indicators!$B$5:$B$35=G$4)*Indicators!$Q$5:$Q$35*'Indicator Scores'!$S$5:$S$35)/SUMPRODUCT((Indicators!$B$5:$B$35=G$4)*Indicators!$Q$5:$Q$35*('Indicator Scores'!$S$5:$S$35&gt;0)),0)</f>
        <v>4</v>
      </c>
      <c r="H116" s="28" t="n">
        <f aca="false">IFERROR(SUMPRODUCT((Indicators!$B$5:$B$35=H$4)*Indicators!$Q$5:$Q$35*'Indicator Scores'!$S$5:$S$35)/SUMPRODUCT((Indicators!$B$5:$B$35=H$4)*Indicators!$Q$5:$Q$35*('Indicator Scores'!$S$5:$S$35&gt;0)),0)</f>
        <v>4.16666666666667</v>
      </c>
      <c r="I116" s="28" t="n">
        <f aca="false">IFERROR(SUMPRODUCT((Indicators!$B$5:$B$35=I$4)*Indicators!$Q$5:$Q$35*'Indicator Scores'!$S$5:$S$35)/SUMPRODUCT((Indicators!$B$5:$B$35=I$4)*Indicators!$Q$5:$Q$35*('Indicator Scores'!$S$5:$S$35&gt;0)),0)</f>
        <v>4.5</v>
      </c>
      <c r="J116" s="28" t="n">
        <f aca="false">IFERROR(SUMPRODUCT((Indicators!$B$5:$B$35=J$4)*Indicators!$Q$5:$Q$35*'Indicator Scores'!$S$5:$S$35)/SUMPRODUCT((Indicators!$B$5:$B$35=J$4)*Indicators!$Q$5:$Q$35*('Indicator Scores'!$S$5:$S$35&gt;0)),0)</f>
        <v>3.8</v>
      </c>
      <c r="K116" s="28" t="n">
        <f aca="false">IFERROR(SUMPRODUCT(F116:J116,INDEX('Factor Weights'!$C$5:$G$11,MATCH(D116,'Factor Weights'!$A$5:$A$11,0),0))/SUMPRODUCT((F116:J116&gt;0)*INDEX('Factor Weights'!$C$5:$G$11,MATCH(D116,'Factor Weights'!$A$5:$A$11,0),0)),0)</f>
        <v>4.02444444444445</v>
      </c>
      <c r="L116" s="29" t="n">
        <f aca="false">MAX(F116:J116)</f>
        <v>4.5</v>
      </c>
      <c r="M116" s="28" t="n">
        <f aca="false">IF(L116&gt;=Config!$C$13,MAX(K116,Config!$C$14),K116)</f>
        <v>4.02444444444445</v>
      </c>
      <c r="N116" s="30" t="n">
        <f aca="false">IF(Config!$C$12="Weighted average",K116,IF(Config!$C$12="Weighted with floor",M116,L116))</f>
        <v>4.02444444444445</v>
      </c>
      <c r="O116" s="31" t="n">
        <f aca="false">IF(N116&lt;Config!$D$5,"",MATCH(N116,Config!$D$5:$D$9,1))</f>
        <v>4</v>
      </c>
      <c r="P116" s="7" t="str">
        <f aca="false">IF(O116="","No data",INDEX(Config!$B$5:$B$9,O116))</f>
        <v>Medium-High</v>
      </c>
      <c r="Q116" s="32" t="n">
        <v>0</v>
      </c>
      <c r="R116" s="8"/>
      <c r="S116" s="33"/>
      <c r="T116" s="34" t="n">
        <f aca="false">IF(O116="","",IF(AND(S116="Y",Q116&lt;&gt;0),MAX(1,MIN(5,O116+MAX(-Config!$C$27,MIN(Config!$C$27,Q116)))),O116))</f>
        <v>4</v>
      </c>
      <c r="U116" s="35" t="str">
        <f aca="false">IF(T116="","No data",INDEX(Config!$B$5:$B$9,T116))</f>
        <v>Medium-High</v>
      </c>
      <c r="V116" s="7" t="str">
        <f aca="false">IF(Q116=0,"None",IF(S116="Y","Applied","Pending HO approval"))</f>
        <v>None</v>
      </c>
      <c r="W116" s="36" t="n">
        <f aca="false">SUMPRODUCT((Indicators!$Q$5:$Q$35&gt;0)*('Indicator Data'!$S$5:$S$35&lt;&gt;""))/SUMPRODUCT(--(Indicators!$Q$5:$Q$35&gt;0))</f>
        <v>1</v>
      </c>
    </row>
    <row r="117" customFormat="false" ht="15" hidden="false" customHeight="false" outlineLevel="0" collapsed="false">
      <c r="A117" s="26" t="str">
        <f aca="false">Entities!$A$21</f>
        <v>EG</v>
      </c>
      <c r="B117" s="12" t="str">
        <f aca="false">INDEX(Entities!$B$5:$B$34,MATCH(A117,Entities!$A$5:$A$34,0))</f>
        <v>Arab Bank – Egypt</v>
      </c>
      <c r="C117" s="12" t="str">
        <f aca="false">INDEX(Entities!$D$5:$D$34,MATCH(A117,Entities!$A$5:$A$34,0))</f>
        <v>North Africa</v>
      </c>
      <c r="D117" s="12" t="s">
        <v>260</v>
      </c>
      <c r="E117" s="12" t="str">
        <f aca="false">INDEX('Risk Taxonomy'!$B$5:$B$24,MATCH(D117,'Risk Taxonomy'!$A$5:$A$24,0))</f>
        <v>Money laundering</v>
      </c>
      <c r="F117" s="28" t="n">
        <f aca="false">IFERROR(SUMPRODUCT((Indicators!$B$5:$B$35=F$4)*Indicators!$K$5:$K$35*'Indicator Scores'!$T$5:$T$35)/SUMPRODUCT((Indicators!$B$5:$B$35=F$4)*Indicators!$K$5:$K$35*('Indicator Scores'!$T$5:$T$35&gt;0)),0)</f>
        <v>2.66666666666667</v>
      </c>
      <c r="G117" s="28" t="n">
        <f aca="false">IFERROR(SUMPRODUCT((Indicators!$B$5:$B$35=G$4)*Indicators!$K$5:$K$35*'Indicator Scores'!$T$5:$T$35)/SUMPRODUCT((Indicators!$B$5:$B$35=G$4)*Indicators!$K$5:$K$35*('Indicator Scores'!$T$5:$T$35&gt;0)),0)</f>
        <v>2.11111111111111</v>
      </c>
      <c r="H117" s="28" t="n">
        <f aca="false">IFERROR(SUMPRODUCT((Indicators!$B$5:$B$35=H$4)*Indicators!$K$5:$K$35*'Indicator Scores'!$T$5:$T$35)/SUMPRODUCT((Indicators!$B$5:$B$35=H$4)*Indicators!$K$5:$K$35*('Indicator Scores'!$T$5:$T$35&gt;0)),0)</f>
        <v>2.1</v>
      </c>
      <c r="I117" s="28" t="n">
        <f aca="false">IFERROR(SUMPRODUCT((Indicators!$B$5:$B$35=I$4)*Indicators!$K$5:$K$35*'Indicator Scores'!$T$5:$T$35)/SUMPRODUCT((Indicators!$B$5:$B$35=I$4)*Indicators!$K$5:$K$35*('Indicator Scores'!$T$5:$T$35&gt;0)),0)</f>
        <v>2.28571428571429</v>
      </c>
      <c r="J117" s="28" t="n">
        <f aca="false">IFERROR(SUMPRODUCT((Indicators!$B$5:$B$35=J$4)*Indicators!$K$5:$K$35*'Indicator Scores'!$T$5:$T$35)/SUMPRODUCT((Indicators!$B$5:$B$35=J$4)*Indicators!$K$5:$K$35*('Indicator Scores'!$T$5:$T$35&gt;0)),0)</f>
        <v>2.6</v>
      </c>
      <c r="K117" s="28" t="n">
        <f aca="false">IFERROR(SUMPRODUCT(F117:J117,INDEX('Factor Weights'!$C$5:$G$11,MATCH(D117,'Factor Weights'!$A$5:$A$11,0),0))/SUMPRODUCT((F117:J117&gt;0)*INDEX('Factor Weights'!$C$5:$G$11,MATCH(D117,'Factor Weights'!$A$5:$A$11,0),0)),0)</f>
        <v>2.35063492063492</v>
      </c>
      <c r="L117" s="29" t="n">
        <f aca="false">MAX(F117:J117)</f>
        <v>2.66666666666667</v>
      </c>
      <c r="M117" s="28" t="n">
        <f aca="false">IF(L117&gt;=Config!$C$13,MAX(K117,Config!$C$14),K117)</f>
        <v>2.35063492063492</v>
      </c>
      <c r="N117" s="30" t="n">
        <f aca="false">IF(Config!$C$12="Weighted average",K117,IF(Config!$C$12="Weighted with floor",M117,L117))</f>
        <v>2.35063492063492</v>
      </c>
      <c r="O117" s="31" t="n">
        <f aca="false">IF(N117&lt;Config!$D$5,"",MATCH(N117,Config!$D$5:$D$9,1))</f>
        <v>2</v>
      </c>
      <c r="P117" s="7" t="str">
        <f aca="false">IF(O117="","No data",INDEX(Config!$B$5:$B$9,O117))</f>
        <v>Medium-Low</v>
      </c>
      <c r="Q117" s="32" t="n">
        <v>0</v>
      </c>
      <c r="R117" s="8"/>
      <c r="S117" s="33"/>
      <c r="T117" s="34" t="n">
        <f aca="false">IF(O117="","",IF(AND(S117="Y",Q117&lt;&gt;0),MAX(1,MIN(5,O117+MAX(-Config!$C$27,MIN(Config!$C$27,Q117)))),O117))</f>
        <v>2</v>
      </c>
      <c r="U117" s="35" t="str">
        <f aca="false">IF(T117="","No data",INDEX(Config!$B$5:$B$9,T117))</f>
        <v>Medium-Low</v>
      </c>
      <c r="V117" s="7" t="str">
        <f aca="false">IF(Q117=0,"None",IF(S117="Y","Applied","Pending HO approval"))</f>
        <v>None</v>
      </c>
      <c r="W117" s="36" t="n">
        <f aca="false">SUMPRODUCT((Indicators!$K$5:$K$35&gt;0)*('Indicator Data'!$T$5:$T$35&lt;&gt;""))/SUMPRODUCT(--(Indicators!$K$5:$K$35&gt;0))</f>
        <v>1</v>
      </c>
    </row>
    <row r="118" customFormat="false" ht="15" hidden="false" customHeight="false" outlineLevel="0" collapsed="false">
      <c r="A118" s="26" t="str">
        <f aca="false">Entities!$A$21</f>
        <v>EG</v>
      </c>
      <c r="B118" s="12" t="str">
        <f aca="false">INDEX(Entities!$B$5:$B$34,MATCH(A118,Entities!$A$5:$A$34,0))</f>
        <v>Arab Bank – Egypt</v>
      </c>
      <c r="C118" s="12" t="str">
        <f aca="false">INDEX(Entities!$D$5:$D$34,MATCH(A118,Entities!$A$5:$A$34,0))</f>
        <v>North Africa</v>
      </c>
      <c r="D118" s="12" t="s">
        <v>267</v>
      </c>
      <c r="E118" s="12" t="str">
        <f aca="false">INDEX('Risk Taxonomy'!$B$5:$B$24,MATCH(D118,'Risk Taxonomy'!$A$5:$A$24,0))</f>
        <v>Terrorist financing</v>
      </c>
      <c r="F118" s="28" t="n">
        <f aca="false">IFERROR(SUMPRODUCT((Indicators!$B$5:$B$35=F$4)*Indicators!$L$5:$L$35*'Indicator Scores'!$T$5:$T$35)/SUMPRODUCT((Indicators!$B$5:$B$35=F$4)*Indicators!$L$5:$L$35*('Indicator Scores'!$T$5:$T$35&gt;0)),0)</f>
        <v>2.7</v>
      </c>
      <c r="G118" s="28" t="n">
        <f aca="false">IFERROR(SUMPRODUCT((Indicators!$B$5:$B$35=G$4)*Indicators!$L$5:$L$35*'Indicator Scores'!$T$5:$T$35)/SUMPRODUCT((Indicators!$B$5:$B$35=G$4)*Indicators!$L$5:$L$35*('Indicator Scores'!$T$5:$T$35&gt;0)),0)</f>
        <v>2.22222222222222</v>
      </c>
      <c r="H118" s="28" t="n">
        <f aca="false">IFERROR(SUMPRODUCT((Indicators!$B$5:$B$35=H$4)*Indicators!$L$5:$L$35*'Indicator Scores'!$T$5:$T$35)/SUMPRODUCT((Indicators!$B$5:$B$35=H$4)*Indicators!$L$5:$L$35*('Indicator Scores'!$T$5:$T$35&gt;0)),0)</f>
        <v>2.16666666666667</v>
      </c>
      <c r="I118" s="28" t="n">
        <f aca="false">IFERROR(SUMPRODUCT((Indicators!$B$5:$B$35=I$4)*Indicators!$L$5:$L$35*'Indicator Scores'!$T$5:$T$35)/SUMPRODUCT((Indicators!$B$5:$B$35=I$4)*Indicators!$L$5:$L$35*('Indicator Scores'!$T$5:$T$35&gt;0)),0)</f>
        <v>2.33333333333333</v>
      </c>
      <c r="J118" s="28" t="n">
        <f aca="false">IFERROR(SUMPRODUCT((Indicators!$B$5:$B$35=J$4)*Indicators!$L$5:$L$35*'Indicator Scores'!$T$5:$T$35)/SUMPRODUCT((Indicators!$B$5:$B$35=J$4)*Indicators!$L$5:$L$35*('Indicator Scores'!$T$5:$T$35&gt;0)),0)</f>
        <v>2.42857142857143</v>
      </c>
      <c r="K118" s="28" t="n">
        <f aca="false">IFERROR(SUMPRODUCT(F118:J118,INDEX('Factor Weights'!$C$5:$G$11,MATCH(D118,'Factor Weights'!$A$5:$A$11,0),0))/SUMPRODUCT((F118:J118&gt;0)*INDEX('Factor Weights'!$C$5:$G$11,MATCH(D118,'Factor Weights'!$A$5:$A$11,0),0)),0)</f>
        <v>2.38571428571429</v>
      </c>
      <c r="L118" s="29" t="n">
        <f aca="false">MAX(F118:J118)</f>
        <v>2.7</v>
      </c>
      <c r="M118" s="28" t="n">
        <f aca="false">IF(L118&gt;=Config!$C$13,MAX(K118,Config!$C$14),K118)</f>
        <v>2.38571428571429</v>
      </c>
      <c r="N118" s="30" t="n">
        <f aca="false">IF(Config!$C$12="Weighted average",K118,IF(Config!$C$12="Weighted with floor",M118,L118))</f>
        <v>2.38571428571429</v>
      </c>
      <c r="O118" s="31" t="n">
        <f aca="false">IF(N118&lt;Config!$D$5,"",MATCH(N118,Config!$D$5:$D$9,1))</f>
        <v>2</v>
      </c>
      <c r="P118" s="7" t="str">
        <f aca="false">IF(O118="","No data",INDEX(Config!$B$5:$B$9,O118))</f>
        <v>Medium-Low</v>
      </c>
      <c r="Q118" s="32" t="n">
        <v>0</v>
      </c>
      <c r="R118" s="8"/>
      <c r="S118" s="33"/>
      <c r="T118" s="34" t="n">
        <f aca="false">IF(O118="","",IF(AND(S118="Y",Q118&lt;&gt;0),MAX(1,MIN(5,O118+MAX(-Config!$C$27,MIN(Config!$C$27,Q118)))),O118))</f>
        <v>2</v>
      </c>
      <c r="U118" s="35" t="str">
        <f aca="false">IF(T118="","No data",INDEX(Config!$B$5:$B$9,T118))</f>
        <v>Medium-Low</v>
      </c>
      <c r="V118" s="7" t="str">
        <f aca="false">IF(Q118=0,"None",IF(S118="Y","Applied","Pending HO approval"))</f>
        <v>None</v>
      </c>
      <c r="W118" s="36" t="n">
        <f aca="false">SUMPRODUCT((Indicators!$L$5:$L$35&gt;0)*('Indicator Data'!$T$5:$T$35&lt;&gt;""))/SUMPRODUCT(--(Indicators!$L$5:$L$35&gt;0))</f>
        <v>1</v>
      </c>
    </row>
    <row r="119" customFormat="false" ht="15" hidden="false" customHeight="false" outlineLevel="0" collapsed="false">
      <c r="A119" s="26" t="str">
        <f aca="false">Entities!$A$21</f>
        <v>EG</v>
      </c>
      <c r="B119" s="12" t="str">
        <f aca="false">INDEX(Entities!$B$5:$B$34,MATCH(A119,Entities!$A$5:$A$34,0))</f>
        <v>Arab Bank – Egypt</v>
      </c>
      <c r="C119" s="12" t="str">
        <f aca="false">INDEX(Entities!$D$5:$D$34,MATCH(A119,Entities!$A$5:$A$34,0))</f>
        <v>North Africa</v>
      </c>
      <c r="D119" s="12" t="s">
        <v>270</v>
      </c>
      <c r="E119" s="12" t="str">
        <f aca="false">INDEX('Risk Taxonomy'!$B$5:$B$24,MATCH(D119,'Risk Taxonomy'!$A$5:$A$24,0))</f>
        <v>Proliferation financing</v>
      </c>
      <c r="F119" s="28" t="n">
        <f aca="false">IFERROR(SUMPRODUCT((Indicators!$B$5:$B$35=F$4)*Indicators!$M$5:$M$35*'Indicator Scores'!$T$5:$T$35)/SUMPRODUCT((Indicators!$B$5:$B$35=F$4)*Indicators!$M$5:$M$35*('Indicator Scores'!$T$5:$T$35&gt;0)),0)</f>
        <v>2.75</v>
      </c>
      <c r="G119" s="28" t="n">
        <f aca="false">IFERROR(SUMPRODUCT((Indicators!$B$5:$B$35=G$4)*Indicators!$M$5:$M$35*'Indicator Scores'!$T$5:$T$35)/SUMPRODUCT((Indicators!$B$5:$B$35=G$4)*Indicators!$M$5:$M$35*('Indicator Scores'!$T$5:$T$35&gt;0)),0)</f>
        <v>2.5</v>
      </c>
      <c r="H119" s="28" t="n">
        <f aca="false">IFERROR(SUMPRODUCT((Indicators!$B$5:$B$35=H$4)*Indicators!$M$5:$M$35*'Indicator Scores'!$T$5:$T$35)/SUMPRODUCT((Indicators!$B$5:$B$35=H$4)*Indicators!$M$5:$M$35*('Indicator Scores'!$T$5:$T$35&gt;0)),0)</f>
        <v>1.88888888888889</v>
      </c>
      <c r="I119" s="28" t="n">
        <f aca="false">IFERROR(SUMPRODUCT((Indicators!$B$5:$B$35=I$4)*Indicators!$M$5:$M$35*'Indicator Scores'!$T$5:$T$35)/SUMPRODUCT((Indicators!$B$5:$B$35=I$4)*Indicators!$M$5:$M$35*('Indicator Scores'!$T$5:$T$35&gt;0)),0)</f>
        <v>2.33333333333333</v>
      </c>
      <c r="J119" s="28" t="n">
        <f aca="false">IFERROR(SUMPRODUCT((Indicators!$B$5:$B$35=J$4)*Indicators!$M$5:$M$35*'Indicator Scores'!$T$5:$T$35)/SUMPRODUCT((Indicators!$B$5:$B$35=J$4)*Indicators!$M$5:$M$35*('Indicator Scores'!$T$5:$T$35&gt;0)),0)</f>
        <v>3</v>
      </c>
      <c r="K119" s="28" t="n">
        <f aca="false">IFERROR(SUMPRODUCT(F119:J119,INDEX('Factor Weights'!$C$5:$G$11,MATCH(D119,'Factor Weights'!$A$5:$A$11,0),0))/SUMPRODUCT((F119:J119&gt;0)*INDEX('Factor Weights'!$C$5:$G$11,MATCH(D119,'Factor Weights'!$A$5:$A$11,0),0)),0)</f>
        <v>2.44583333333333</v>
      </c>
      <c r="L119" s="29" t="n">
        <f aca="false">MAX(F119:J119)</f>
        <v>3</v>
      </c>
      <c r="M119" s="28" t="n">
        <f aca="false">IF(L119&gt;=Config!$C$13,MAX(K119,Config!$C$14),K119)</f>
        <v>2.44583333333333</v>
      </c>
      <c r="N119" s="30" t="n">
        <f aca="false">IF(Config!$C$12="Weighted average",K119,IF(Config!$C$12="Weighted with floor",M119,L119))</f>
        <v>2.44583333333333</v>
      </c>
      <c r="O119" s="31" t="n">
        <f aca="false">IF(N119&lt;Config!$D$5,"",MATCH(N119,Config!$D$5:$D$9,1))</f>
        <v>2</v>
      </c>
      <c r="P119" s="7" t="str">
        <f aca="false">IF(O119="","No data",INDEX(Config!$B$5:$B$9,O119))</f>
        <v>Medium-Low</v>
      </c>
      <c r="Q119" s="32" t="n">
        <v>0</v>
      </c>
      <c r="R119" s="8"/>
      <c r="S119" s="33"/>
      <c r="T119" s="34" t="n">
        <f aca="false">IF(O119="","",IF(AND(S119="Y",Q119&lt;&gt;0),MAX(1,MIN(5,O119+MAX(-Config!$C$27,MIN(Config!$C$27,Q119)))),O119))</f>
        <v>2</v>
      </c>
      <c r="U119" s="35" t="str">
        <f aca="false">IF(T119="","No data",INDEX(Config!$B$5:$B$9,T119))</f>
        <v>Medium-Low</v>
      </c>
      <c r="V119" s="7" t="str">
        <f aca="false">IF(Q119=0,"None",IF(S119="Y","Applied","Pending HO approval"))</f>
        <v>None</v>
      </c>
      <c r="W119" s="36" t="n">
        <f aca="false">SUMPRODUCT((Indicators!$M$5:$M$35&gt;0)*('Indicator Data'!$T$5:$T$35&lt;&gt;""))/SUMPRODUCT(--(Indicators!$M$5:$M$35&gt;0))</f>
        <v>1</v>
      </c>
    </row>
    <row r="120" customFormat="false" ht="15" hidden="false" customHeight="false" outlineLevel="0" collapsed="false">
      <c r="A120" s="26" t="str">
        <f aca="false">Entities!$A$21</f>
        <v>EG</v>
      </c>
      <c r="B120" s="12" t="str">
        <f aca="false">INDEX(Entities!$B$5:$B$34,MATCH(A120,Entities!$A$5:$A$34,0))</f>
        <v>Arab Bank – Egypt</v>
      </c>
      <c r="C120" s="12" t="str">
        <f aca="false">INDEX(Entities!$D$5:$D$34,MATCH(A120,Entities!$A$5:$A$34,0))</f>
        <v>North Africa</v>
      </c>
      <c r="D120" s="12" t="s">
        <v>272</v>
      </c>
      <c r="E120" s="12" t="str">
        <f aca="false">INDEX('Risk Taxonomy'!$B$5:$B$24,MATCH(D120,'Risk Taxonomy'!$A$5:$A$24,0))</f>
        <v>Sanctions</v>
      </c>
      <c r="F120" s="28" t="n">
        <f aca="false">IFERROR(SUMPRODUCT((Indicators!$B$5:$B$35=F$4)*Indicators!$N$5:$N$35*'Indicator Scores'!$T$5:$T$35)/SUMPRODUCT((Indicators!$B$5:$B$35=F$4)*Indicators!$N$5:$N$35*('Indicator Scores'!$T$5:$T$35&gt;0)),0)</f>
        <v>2.28571428571429</v>
      </c>
      <c r="G120" s="28" t="n">
        <f aca="false">IFERROR(SUMPRODUCT((Indicators!$B$5:$B$35=G$4)*Indicators!$N$5:$N$35*'Indicator Scores'!$T$5:$T$35)/SUMPRODUCT((Indicators!$B$5:$B$35=G$4)*Indicators!$N$5:$N$35*('Indicator Scores'!$T$5:$T$35&gt;0)),0)</f>
        <v>2.71428571428571</v>
      </c>
      <c r="H120" s="28" t="n">
        <f aca="false">IFERROR(SUMPRODUCT((Indicators!$B$5:$B$35=H$4)*Indicators!$N$5:$N$35*'Indicator Scores'!$T$5:$T$35)/SUMPRODUCT((Indicators!$B$5:$B$35=H$4)*Indicators!$N$5:$N$35*('Indicator Scores'!$T$5:$T$35&gt;0)),0)</f>
        <v>1.875</v>
      </c>
      <c r="I120" s="28" t="n">
        <f aca="false">IFERROR(SUMPRODUCT((Indicators!$B$5:$B$35=I$4)*Indicators!$N$5:$N$35*'Indicator Scores'!$T$5:$T$35)/SUMPRODUCT((Indicators!$B$5:$B$35=I$4)*Indicators!$N$5:$N$35*('Indicator Scores'!$T$5:$T$35&gt;0)),0)</f>
        <v>2.66666666666667</v>
      </c>
      <c r="J120" s="28" t="n">
        <f aca="false">IFERROR(SUMPRODUCT((Indicators!$B$5:$B$35=J$4)*Indicators!$N$5:$N$35*'Indicator Scores'!$T$5:$T$35)/SUMPRODUCT((Indicators!$B$5:$B$35=J$4)*Indicators!$N$5:$N$35*('Indicator Scores'!$T$5:$T$35&gt;0)),0)</f>
        <v>2.8</v>
      </c>
      <c r="K120" s="28" t="n">
        <f aca="false">IFERROR(SUMPRODUCT(F120:J120,INDEX('Factor Weights'!$C$5:$G$11,MATCH(D120,'Factor Weights'!$A$5:$A$11,0),0))/SUMPRODUCT((F120:J120&gt;0)*INDEX('Factor Weights'!$C$5:$G$11,MATCH(D120,'Factor Weights'!$A$5:$A$11,0),0)),0)</f>
        <v>2.49690476190476</v>
      </c>
      <c r="L120" s="29" t="n">
        <f aca="false">MAX(F120:J120)</f>
        <v>2.8</v>
      </c>
      <c r="M120" s="28" t="n">
        <f aca="false">IF(L120&gt;=Config!$C$13,MAX(K120,Config!$C$14),K120)</f>
        <v>2.49690476190476</v>
      </c>
      <c r="N120" s="30" t="n">
        <f aca="false">IF(Config!$C$12="Weighted average",K120,IF(Config!$C$12="Weighted with floor",M120,L120))</f>
        <v>2.49690476190476</v>
      </c>
      <c r="O120" s="31" t="n">
        <f aca="false">IF(N120&lt;Config!$D$5,"",MATCH(N120,Config!$D$5:$D$9,1))</f>
        <v>2</v>
      </c>
      <c r="P120" s="7" t="str">
        <f aca="false">IF(O120="","No data",INDEX(Config!$B$5:$B$9,O120))</f>
        <v>Medium-Low</v>
      </c>
      <c r="Q120" s="32" t="n">
        <v>0</v>
      </c>
      <c r="R120" s="8"/>
      <c r="S120" s="33"/>
      <c r="T120" s="34" t="n">
        <f aca="false">IF(O120="","",IF(AND(S120="Y",Q120&lt;&gt;0),MAX(1,MIN(5,O120+MAX(-Config!$C$27,MIN(Config!$C$27,Q120)))),O120))</f>
        <v>2</v>
      </c>
      <c r="U120" s="35" t="str">
        <f aca="false">IF(T120="","No data",INDEX(Config!$B$5:$B$9,T120))</f>
        <v>Medium-Low</v>
      </c>
      <c r="V120" s="7" t="str">
        <f aca="false">IF(Q120=0,"None",IF(S120="Y","Applied","Pending HO approval"))</f>
        <v>None</v>
      </c>
      <c r="W120" s="36" t="n">
        <f aca="false">SUMPRODUCT((Indicators!$N$5:$N$35&gt;0)*('Indicator Data'!$T$5:$T$35&lt;&gt;""))/SUMPRODUCT(--(Indicators!$N$5:$N$35&gt;0))</f>
        <v>1</v>
      </c>
    </row>
    <row r="121" customFormat="false" ht="15" hidden="false" customHeight="false" outlineLevel="0" collapsed="false">
      <c r="A121" s="26" t="str">
        <f aca="false">Entities!$A$21</f>
        <v>EG</v>
      </c>
      <c r="B121" s="12" t="str">
        <f aca="false">INDEX(Entities!$B$5:$B$34,MATCH(A121,Entities!$A$5:$A$34,0))</f>
        <v>Arab Bank – Egypt</v>
      </c>
      <c r="C121" s="12" t="str">
        <f aca="false">INDEX(Entities!$D$5:$D$34,MATCH(A121,Entities!$A$5:$A$34,0))</f>
        <v>North Africa</v>
      </c>
      <c r="D121" s="12" t="s">
        <v>275</v>
      </c>
      <c r="E121" s="12" t="str">
        <f aca="false">INDEX('Risk Taxonomy'!$B$5:$B$24,MATCH(D121,'Risk Taxonomy'!$A$5:$A$24,0))</f>
        <v>Bribery and corruption</v>
      </c>
      <c r="F121" s="28" t="n">
        <f aca="false">IFERROR(SUMPRODUCT((Indicators!$B$5:$B$35=F$4)*Indicators!$O$5:$O$35*'Indicator Scores'!$T$5:$T$35)/SUMPRODUCT((Indicators!$B$5:$B$35=F$4)*Indicators!$O$5:$O$35*('Indicator Scores'!$T$5:$T$35&gt;0)),0)</f>
        <v>2</v>
      </c>
      <c r="G121" s="28" t="n">
        <f aca="false">IFERROR(SUMPRODUCT((Indicators!$B$5:$B$35=G$4)*Indicators!$O$5:$O$35*'Indicator Scores'!$T$5:$T$35)/SUMPRODUCT((Indicators!$B$5:$B$35=G$4)*Indicators!$O$5:$O$35*('Indicator Scores'!$T$5:$T$35&gt;0)),0)</f>
        <v>2.4</v>
      </c>
      <c r="H121" s="28" t="n">
        <f aca="false">IFERROR(SUMPRODUCT((Indicators!$B$5:$B$35=H$4)*Indicators!$O$5:$O$35*'Indicator Scores'!$T$5:$T$35)/SUMPRODUCT((Indicators!$B$5:$B$35=H$4)*Indicators!$O$5:$O$35*('Indicator Scores'!$T$5:$T$35&gt;0)),0)</f>
        <v>2</v>
      </c>
      <c r="I121" s="28" t="n">
        <f aca="false">IFERROR(SUMPRODUCT((Indicators!$B$5:$B$35=I$4)*Indicators!$O$5:$O$35*'Indicator Scores'!$T$5:$T$35)/SUMPRODUCT((Indicators!$B$5:$B$35=I$4)*Indicators!$O$5:$O$35*('Indicator Scores'!$T$5:$T$35&gt;0)),0)</f>
        <v>2.6</v>
      </c>
      <c r="J121" s="28" t="n">
        <f aca="false">IFERROR(SUMPRODUCT((Indicators!$B$5:$B$35=J$4)*Indicators!$O$5:$O$35*'Indicator Scores'!$T$5:$T$35)/SUMPRODUCT((Indicators!$B$5:$B$35=J$4)*Indicators!$O$5:$O$35*('Indicator Scores'!$T$5:$T$35&gt;0)),0)</f>
        <v>4</v>
      </c>
      <c r="K121" s="28" t="n">
        <f aca="false">IFERROR(SUMPRODUCT(F121:J121,INDEX('Factor Weights'!$C$5:$G$11,MATCH(D121,'Factor Weights'!$A$5:$A$11,0),0))/SUMPRODUCT((F121:J121&gt;0)*INDEX('Factor Weights'!$C$5:$G$11,MATCH(D121,'Factor Weights'!$A$5:$A$11,0),0)),0)</f>
        <v>2.42</v>
      </c>
      <c r="L121" s="29" t="n">
        <f aca="false">MAX(F121:J121)</f>
        <v>4</v>
      </c>
      <c r="M121" s="28" t="n">
        <f aca="false">IF(L121&gt;=Config!$C$13,MAX(K121,Config!$C$14),K121)</f>
        <v>2.42</v>
      </c>
      <c r="N121" s="30" t="n">
        <f aca="false">IF(Config!$C$12="Weighted average",K121,IF(Config!$C$12="Weighted with floor",M121,L121))</f>
        <v>2.42</v>
      </c>
      <c r="O121" s="31" t="n">
        <f aca="false">IF(N121&lt;Config!$D$5,"",MATCH(N121,Config!$D$5:$D$9,1))</f>
        <v>2</v>
      </c>
      <c r="P121" s="7" t="str">
        <f aca="false">IF(O121="","No data",INDEX(Config!$B$5:$B$9,O121))</f>
        <v>Medium-Low</v>
      </c>
      <c r="Q121" s="32" t="n">
        <v>0</v>
      </c>
      <c r="R121" s="8"/>
      <c r="S121" s="33"/>
      <c r="T121" s="34" t="n">
        <f aca="false">IF(O121="","",IF(AND(S121="Y",Q121&lt;&gt;0),MAX(1,MIN(5,O121+MAX(-Config!$C$27,MIN(Config!$C$27,Q121)))),O121))</f>
        <v>2</v>
      </c>
      <c r="U121" s="35" t="str">
        <f aca="false">IF(T121="","No data",INDEX(Config!$B$5:$B$9,T121))</f>
        <v>Medium-Low</v>
      </c>
      <c r="V121" s="7" t="str">
        <f aca="false">IF(Q121=0,"None",IF(S121="Y","Applied","Pending HO approval"))</f>
        <v>None</v>
      </c>
      <c r="W121" s="36" t="n">
        <f aca="false">SUMPRODUCT((Indicators!$O$5:$O$35&gt;0)*('Indicator Data'!$T$5:$T$35&lt;&gt;""))/SUMPRODUCT(--(Indicators!$O$5:$O$35&gt;0))</f>
        <v>1</v>
      </c>
    </row>
    <row r="122" customFormat="false" ht="15" hidden="false" customHeight="false" outlineLevel="0" collapsed="false">
      <c r="A122" s="26" t="str">
        <f aca="false">Entities!$A$21</f>
        <v>EG</v>
      </c>
      <c r="B122" s="12" t="str">
        <f aca="false">INDEX(Entities!$B$5:$B$34,MATCH(A122,Entities!$A$5:$A$34,0))</f>
        <v>Arab Bank – Egypt</v>
      </c>
      <c r="C122" s="12" t="str">
        <f aca="false">INDEX(Entities!$D$5:$D$34,MATCH(A122,Entities!$A$5:$A$34,0))</f>
        <v>North Africa</v>
      </c>
      <c r="D122" s="12" t="s">
        <v>278</v>
      </c>
      <c r="E122" s="12" t="str">
        <f aca="false">INDEX('Risk Taxonomy'!$B$5:$B$24,MATCH(D122,'Risk Taxonomy'!$A$5:$A$24,0))</f>
        <v>Fraud</v>
      </c>
      <c r="F122" s="28" t="n">
        <f aca="false">IFERROR(SUMPRODUCT((Indicators!$B$5:$B$35=F$4)*Indicators!$P$5:$P$35*'Indicator Scores'!$T$5:$T$35)/SUMPRODUCT((Indicators!$B$5:$B$35=F$4)*Indicators!$P$5:$P$35*('Indicator Scores'!$T$5:$T$35&gt;0)),0)</f>
        <v>3</v>
      </c>
      <c r="G122" s="28" t="n">
        <f aca="false">IFERROR(SUMPRODUCT((Indicators!$B$5:$B$35=G$4)*Indicators!$P$5:$P$35*'Indicator Scores'!$T$5:$T$35)/SUMPRODUCT((Indicators!$B$5:$B$35=G$4)*Indicators!$P$5:$P$35*('Indicator Scores'!$T$5:$T$35&gt;0)),0)</f>
        <v>2.25</v>
      </c>
      <c r="H122" s="28" t="n">
        <f aca="false">IFERROR(SUMPRODUCT((Indicators!$B$5:$B$35=H$4)*Indicators!$P$5:$P$35*'Indicator Scores'!$T$5:$T$35)/SUMPRODUCT((Indicators!$B$5:$B$35=H$4)*Indicators!$P$5:$P$35*('Indicator Scores'!$T$5:$T$35&gt;0)),0)</f>
        <v>2.8</v>
      </c>
      <c r="I122" s="28" t="n">
        <f aca="false">IFERROR(SUMPRODUCT((Indicators!$B$5:$B$35=I$4)*Indicators!$P$5:$P$35*'Indicator Scores'!$T$5:$T$35)/SUMPRODUCT((Indicators!$B$5:$B$35=I$4)*Indicators!$P$5:$P$35*('Indicator Scores'!$T$5:$T$35&gt;0)),0)</f>
        <v>2.33333333333333</v>
      </c>
      <c r="J122" s="28" t="n">
        <f aca="false">IFERROR(SUMPRODUCT((Indicators!$B$5:$B$35=J$4)*Indicators!$P$5:$P$35*'Indicator Scores'!$T$5:$T$35)/SUMPRODUCT((Indicators!$B$5:$B$35=J$4)*Indicators!$P$5:$P$35*('Indicator Scores'!$T$5:$T$35&gt;0)),0)</f>
        <v>3.2</v>
      </c>
      <c r="K122" s="28" t="n">
        <f aca="false">IFERROR(SUMPRODUCT(F122:J122,INDEX('Factor Weights'!$C$5:$G$11,MATCH(D122,'Factor Weights'!$A$5:$A$11,0),0))/SUMPRODUCT((F122:J122&gt;0)*INDEX('Factor Weights'!$C$5:$G$11,MATCH(D122,'Factor Weights'!$A$5:$A$11,0),0)),0)</f>
        <v>2.725</v>
      </c>
      <c r="L122" s="29" t="n">
        <f aca="false">MAX(F122:J122)</f>
        <v>3.2</v>
      </c>
      <c r="M122" s="28" t="n">
        <f aca="false">IF(L122&gt;=Config!$C$13,MAX(K122,Config!$C$14),K122)</f>
        <v>2.725</v>
      </c>
      <c r="N122" s="30" t="n">
        <f aca="false">IF(Config!$C$12="Weighted average",K122,IF(Config!$C$12="Weighted with floor",M122,L122))</f>
        <v>2.725</v>
      </c>
      <c r="O122" s="31" t="n">
        <f aca="false">IF(N122&lt;Config!$D$5,"",MATCH(N122,Config!$D$5:$D$9,1))</f>
        <v>3</v>
      </c>
      <c r="P122" s="7" t="str">
        <f aca="false">IF(O122="","No data",INDEX(Config!$B$5:$B$9,O122))</f>
        <v>Medium</v>
      </c>
      <c r="Q122" s="32" t="n">
        <v>0</v>
      </c>
      <c r="R122" s="8"/>
      <c r="S122" s="33"/>
      <c r="T122" s="34" t="n">
        <f aca="false">IF(O122="","",IF(AND(S122="Y",Q122&lt;&gt;0),MAX(1,MIN(5,O122+MAX(-Config!$C$27,MIN(Config!$C$27,Q122)))),O122))</f>
        <v>3</v>
      </c>
      <c r="U122" s="35" t="str">
        <f aca="false">IF(T122="","No data",INDEX(Config!$B$5:$B$9,T122))</f>
        <v>Medium</v>
      </c>
      <c r="V122" s="7" t="str">
        <f aca="false">IF(Q122=0,"None",IF(S122="Y","Applied","Pending HO approval"))</f>
        <v>None</v>
      </c>
      <c r="W122" s="36" t="n">
        <f aca="false">SUMPRODUCT((Indicators!$P$5:$P$35&gt;0)*('Indicator Data'!$T$5:$T$35&lt;&gt;""))/SUMPRODUCT(--(Indicators!$P$5:$P$35&gt;0))</f>
        <v>1</v>
      </c>
    </row>
    <row r="123" customFormat="false" ht="15" hidden="false" customHeight="false" outlineLevel="0" collapsed="false">
      <c r="A123" s="26" t="str">
        <f aca="false">Entities!$A$21</f>
        <v>EG</v>
      </c>
      <c r="B123" s="12" t="str">
        <f aca="false">INDEX(Entities!$B$5:$B$34,MATCH(A123,Entities!$A$5:$A$34,0))</f>
        <v>Arab Bank – Egypt</v>
      </c>
      <c r="C123" s="12" t="str">
        <f aca="false">INDEX(Entities!$D$5:$D$34,MATCH(A123,Entities!$A$5:$A$34,0))</f>
        <v>North Africa</v>
      </c>
      <c r="D123" s="12" t="s">
        <v>281</v>
      </c>
      <c r="E123" s="12" t="str">
        <f aca="false">INDEX('Risk Taxonomy'!$B$5:$B$24,MATCH(D123,'Risk Taxonomy'!$A$5:$A$24,0))</f>
        <v>Tax evasion and tax transparency</v>
      </c>
      <c r="F123" s="28" t="n">
        <f aca="false">IFERROR(SUMPRODUCT((Indicators!$B$5:$B$35=F$4)*Indicators!$Q$5:$Q$35*'Indicator Scores'!$T$5:$T$35)/SUMPRODUCT((Indicators!$B$5:$B$35=F$4)*Indicators!$Q$5:$Q$35*('Indicator Scores'!$T$5:$T$35&gt;0)),0)</f>
        <v>2.55555555555556</v>
      </c>
      <c r="G123" s="28" t="n">
        <f aca="false">IFERROR(SUMPRODUCT((Indicators!$B$5:$B$35=G$4)*Indicators!$Q$5:$Q$35*'Indicator Scores'!$T$5:$T$35)/SUMPRODUCT((Indicators!$B$5:$B$35=G$4)*Indicators!$Q$5:$Q$35*('Indicator Scores'!$T$5:$T$35&gt;0)),0)</f>
        <v>2</v>
      </c>
      <c r="H123" s="28" t="n">
        <f aca="false">IFERROR(SUMPRODUCT((Indicators!$B$5:$B$35=H$4)*Indicators!$Q$5:$Q$35*'Indicator Scores'!$T$5:$T$35)/SUMPRODUCT((Indicators!$B$5:$B$35=H$4)*Indicators!$Q$5:$Q$35*('Indicator Scores'!$T$5:$T$35&gt;0)),0)</f>
        <v>2.16666666666667</v>
      </c>
      <c r="I123" s="28" t="n">
        <f aca="false">IFERROR(SUMPRODUCT((Indicators!$B$5:$B$35=I$4)*Indicators!$Q$5:$Q$35*'Indicator Scores'!$T$5:$T$35)/SUMPRODUCT((Indicators!$B$5:$B$35=I$4)*Indicators!$Q$5:$Q$35*('Indicator Scores'!$T$5:$T$35&gt;0)),0)</f>
        <v>2</v>
      </c>
      <c r="J123" s="28" t="n">
        <f aca="false">IFERROR(SUMPRODUCT((Indicators!$B$5:$B$35=J$4)*Indicators!$Q$5:$Q$35*'Indicator Scores'!$T$5:$T$35)/SUMPRODUCT((Indicators!$B$5:$B$35=J$4)*Indicators!$Q$5:$Q$35*('Indicator Scores'!$T$5:$T$35&gt;0)),0)</f>
        <v>1.4</v>
      </c>
      <c r="K123" s="28" t="n">
        <f aca="false">IFERROR(SUMPRODUCT(F123:J123,INDEX('Factor Weights'!$C$5:$G$11,MATCH(D123,'Factor Weights'!$A$5:$A$11,0),0))/SUMPRODUCT((F123:J123&gt;0)*INDEX('Factor Weights'!$C$5:$G$11,MATCH(D123,'Factor Weights'!$A$5:$A$11,0),0)),0)</f>
        <v>2.16777777777778</v>
      </c>
      <c r="L123" s="29" t="n">
        <f aca="false">MAX(F123:J123)</f>
        <v>2.55555555555556</v>
      </c>
      <c r="M123" s="28" t="n">
        <f aca="false">IF(L123&gt;=Config!$C$13,MAX(K123,Config!$C$14),K123)</f>
        <v>2.16777777777778</v>
      </c>
      <c r="N123" s="30" t="n">
        <f aca="false">IF(Config!$C$12="Weighted average",K123,IF(Config!$C$12="Weighted with floor",M123,L123))</f>
        <v>2.16777777777778</v>
      </c>
      <c r="O123" s="31" t="n">
        <f aca="false">IF(N123&lt;Config!$D$5,"",MATCH(N123,Config!$D$5:$D$9,1))</f>
        <v>2</v>
      </c>
      <c r="P123" s="7" t="str">
        <f aca="false">IF(O123="","No data",INDEX(Config!$B$5:$B$9,O123))</f>
        <v>Medium-Low</v>
      </c>
      <c r="Q123" s="32" t="n">
        <v>0</v>
      </c>
      <c r="R123" s="8"/>
      <c r="S123" s="33"/>
      <c r="T123" s="34" t="n">
        <f aca="false">IF(O123="","",IF(AND(S123="Y",Q123&lt;&gt;0),MAX(1,MIN(5,O123+MAX(-Config!$C$27,MIN(Config!$C$27,Q123)))),O123))</f>
        <v>2</v>
      </c>
      <c r="U123" s="35" t="str">
        <f aca="false">IF(T123="","No data",INDEX(Config!$B$5:$B$9,T123))</f>
        <v>Medium-Low</v>
      </c>
      <c r="V123" s="7" t="str">
        <f aca="false">IF(Q123=0,"None",IF(S123="Y","Applied","Pending HO approval"))</f>
        <v>None</v>
      </c>
      <c r="W123" s="36" t="n">
        <f aca="false">SUMPRODUCT((Indicators!$Q$5:$Q$35&gt;0)*('Indicator Data'!$T$5:$T$35&lt;&gt;""))/SUMPRODUCT(--(Indicators!$Q$5:$Q$35&gt;0))</f>
        <v>1</v>
      </c>
    </row>
    <row r="124" customFormat="false" ht="15" hidden="false" customHeight="false" outlineLevel="0" collapsed="false">
      <c r="A124" s="26" t="str">
        <f aca="false">Entities!$A$22</f>
        <v>DZ</v>
      </c>
      <c r="B124" s="12" t="str">
        <f aca="false">INDEX(Entities!$B$5:$B$34,MATCH(A124,Entities!$A$5:$A$34,0))</f>
        <v>Arab Bank – Algeria</v>
      </c>
      <c r="C124" s="12" t="str">
        <f aca="false">INDEX(Entities!$D$5:$D$34,MATCH(A124,Entities!$A$5:$A$34,0))</f>
        <v>North Africa</v>
      </c>
      <c r="D124" s="12" t="s">
        <v>260</v>
      </c>
      <c r="E124" s="12" t="str">
        <f aca="false">INDEX('Risk Taxonomy'!$B$5:$B$24,MATCH(D124,'Risk Taxonomy'!$A$5:$A$24,0))</f>
        <v>Money laundering</v>
      </c>
      <c r="F124" s="28" t="n">
        <f aca="false">IFERROR(SUMPRODUCT((Indicators!$B$5:$B$35=F$4)*Indicators!$K$5:$K$35*'Indicator Scores'!$U$5:$U$35)/SUMPRODUCT((Indicators!$B$5:$B$35=F$4)*Indicators!$K$5:$K$35*('Indicator Scores'!$U$5:$U$35&gt;0)),0)</f>
        <v>2.91666666666667</v>
      </c>
      <c r="G124" s="28" t="n">
        <f aca="false">IFERROR(SUMPRODUCT((Indicators!$B$5:$B$35=G$4)*Indicators!$K$5:$K$35*'Indicator Scores'!$U$5:$U$35)/SUMPRODUCT((Indicators!$B$5:$B$35=G$4)*Indicators!$K$5:$K$35*('Indicator Scores'!$U$5:$U$35&gt;0)),0)</f>
        <v>3</v>
      </c>
      <c r="H124" s="28" t="n">
        <f aca="false">IFERROR(SUMPRODUCT((Indicators!$B$5:$B$35=H$4)*Indicators!$K$5:$K$35*'Indicator Scores'!$U$5:$U$35)/SUMPRODUCT((Indicators!$B$5:$B$35=H$4)*Indicators!$K$5:$K$35*('Indicator Scores'!$U$5:$U$35&gt;0)),0)</f>
        <v>3.2</v>
      </c>
      <c r="I124" s="28" t="n">
        <f aca="false">IFERROR(SUMPRODUCT((Indicators!$B$5:$B$35=I$4)*Indicators!$K$5:$K$35*'Indicator Scores'!$U$5:$U$35)/SUMPRODUCT((Indicators!$B$5:$B$35=I$4)*Indicators!$K$5:$K$35*('Indicator Scores'!$U$5:$U$35&gt;0)),0)</f>
        <v>3.42857142857143</v>
      </c>
      <c r="J124" s="28" t="n">
        <f aca="false">IFERROR(SUMPRODUCT((Indicators!$B$5:$B$35=J$4)*Indicators!$K$5:$K$35*'Indicator Scores'!$U$5:$U$35)/SUMPRODUCT((Indicators!$B$5:$B$35=J$4)*Indicators!$K$5:$K$35*('Indicator Scores'!$U$5:$U$35&gt;0)),0)</f>
        <v>3.5</v>
      </c>
      <c r="K124" s="28" t="n">
        <f aca="false">IFERROR(SUMPRODUCT(F124:J124,INDEX('Factor Weights'!$C$5:$G$11,MATCH(D124,'Factor Weights'!$A$5:$A$11,0),0))/SUMPRODUCT((F124:J124&gt;0)*INDEX('Factor Weights'!$C$5:$G$11,MATCH(D124,'Factor Weights'!$A$5:$A$11,0),0)),0)</f>
        <v>3.12928571428571</v>
      </c>
      <c r="L124" s="29" t="n">
        <f aca="false">MAX(F124:J124)</f>
        <v>3.5</v>
      </c>
      <c r="M124" s="28" t="n">
        <f aca="false">IF(L124&gt;=Config!$C$13,MAX(K124,Config!$C$14),K124)</f>
        <v>3.12928571428571</v>
      </c>
      <c r="N124" s="30" t="n">
        <f aca="false">IF(Config!$C$12="Weighted average",K124,IF(Config!$C$12="Weighted with floor",M124,L124))</f>
        <v>3.12928571428571</v>
      </c>
      <c r="O124" s="31" t="n">
        <f aca="false">IF(N124&lt;Config!$D$5,"",MATCH(N124,Config!$D$5:$D$9,1))</f>
        <v>3</v>
      </c>
      <c r="P124" s="7" t="str">
        <f aca="false">IF(O124="","No data",INDEX(Config!$B$5:$B$9,O124))</f>
        <v>Medium</v>
      </c>
      <c r="Q124" s="32" t="n">
        <v>0</v>
      </c>
      <c r="R124" s="8"/>
      <c r="S124" s="33"/>
      <c r="T124" s="34" t="n">
        <f aca="false">IF(O124="","",IF(AND(S124="Y",Q124&lt;&gt;0),MAX(1,MIN(5,O124+MAX(-Config!$C$27,MIN(Config!$C$27,Q124)))),O124))</f>
        <v>3</v>
      </c>
      <c r="U124" s="35" t="str">
        <f aca="false">IF(T124="","No data",INDEX(Config!$B$5:$B$9,T124))</f>
        <v>Medium</v>
      </c>
      <c r="V124" s="7" t="str">
        <f aca="false">IF(Q124=0,"None",IF(S124="Y","Applied","Pending HO approval"))</f>
        <v>None</v>
      </c>
      <c r="W124" s="36" t="n">
        <f aca="false">SUMPRODUCT((Indicators!$K$5:$K$35&gt;0)*('Indicator Data'!$U$5:$U$35&lt;&gt;""))/SUMPRODUCT(--(Indicators!$K$5:$K$35&gt;0))</f>
        <v>1</v>
      </c>
    </row>
    <row r="125" customFormat="false" ht="15" hidden="false" customHeight="false" outlineLevel="0" collapsed="false">
      <c r="A125" s="26" t="str">
        <f aca="false">Entities!$A$22</f>
        <v>DZ</v>
      </c>
      <c r="B125" s="12" t="str">
        <f aca="false">INDEX(Entities!$B$5:$B$34,MATCH(A125,Entities!$A$5:$A$34,0))</f>
        <v>Arab Bank – Algeria</v>
      </c>
      <c r="C125" s="12" t="str">
        <f aca="false">INDEX(Entities!$D$5:$D$34,MATCH(A125,Entities!$A$5:$A$34,0))</f>
        <v>North Africa</v>
      </c>
      <c r="D125" s="12" t="s">
        <v>267</v>
      </c>
      <c r="E125" s="12" t="str">
        <f aca="false">INDEX('Risk Taxonomy'!$B$5:$B$24,MATCH(D125,'Risk Taxonomy'!$A$5:$A$24,0))</f>
        <v>Terrorist financing</v>
      </c>
      <c r="F125" s="28" t="n">
        <f aca="false">IFERROR(SUMPRODUCT((Indicators!$B$5:$B$35=F$4)*Indicators!$L$5:$L$35*'Indicator Scores'!$U$5:$U$35)/SUMPRODUCT((Indicators!$B$5:$B$35=F$4)*Indicators!$L$5:$L$35*('Indicator Scores'!$U$5:$U$35&gt;0)),0)</f>
        <v>3.3</v>
      </c>
      <c r="G125" s="28" t="n">
        <f aca="false">IFERROR(SUMPRODUCT((Indicators!$B$5:$B$35=G$4)*Indicators!$L$5:$L$35*'Indicator Scores'!$U$5:$U$35)/SUMPRODUCT((Indicators!$B$5:$B$35=G$4)*Indicators!$L$5:$L$35*('Indicator Scores'!$U$5:$U$35&gt;0)),0)</f>
        <v>3</v>
      </c>
      <c r="H125" s="28" t="n">
        <f aca="false">IFERROR(SUMPRODUCT((Indicators!$B$5:$B$35=H$4)*Indicators!$L$5:$L$35*'Indicator Scores'!$U$5:$U$35)/SUMPRODUCT((Indicators!$B$5:$B$35=H$4)*Indicators!$L$5:$L$35*('Indicator Scores'!$U$5:$U$35&gt;0)),0)</f>
        <v>3</v>
      </c>
      <c r="I125" s="28" t="n">
        <f aca="false">IFERROR(SUMPRODUCT((Indicators!$B$5:$B$35=I$4)*Indicators!$L$5:$L$35*'Indicator Scores'!$U$5:$U$35)/SUMPRODUCT((Indicators!$B$5:$B$35=I$4)*Indicators!$L$5:$L$35*('Indicator Scores'!$U$5:$U$35&gt;0)),0)</f>
        <v>3.5</v>
      </c>
      <c r="J125" s="28" t="n">
        <f aca="false">IFERROR(SUMPRODUCT((Indicators!$B$5:$B$35=J$4)*Indicators!$L$5:$L$35*'Indicator Scores'!$U$5:$U$35)/SUMPRODUCT((Indicators!$B$5:$B$35=J$4)*Indicators!$L$5:$L$35*('Indicator Scores'!$U$5:$U$35&gt;0)),0)</f>
        <v>3.42857142857143</v>
      </c>
      <c r="K125" s="28" t="n">
        <f aca="false">IFERROR(SUMPRODUCT(F125:J125,INDEX('Factor Weights'!$C$5:$G$11,MATCH(D125,'Factor Weights'!$A$5:$A$11,0),0))/SUMPRODUCT((F125:J125&gt;0)*INDEX('Factor Weights'!$C$5:$G$11,MATCH(D125,'Factor Weights'!$A$5:$A$11,0),0)),0)</f>
        <v>3.21071428571429</v>
      </c>
      <c r="L125" s="29" t="n">
        <f aca="false">MAX(F125:J125)</f>
        <v>3.5</v>
      </c>
      <c r="M125" s="28" t="n">
        <f aca="false">IF(L125&gt;=Config!$C$13,MAX(K125,Config!$C$14),K125)</f>
        <v>3.21071428571429</v>
      </c>
      <c r="N125" s="30" t="n">
        <f aca="false">IF(Config!$C$12="Weighted average",K125,IF(Config!$C$12="Weighted with floor",M125,L125))</f>
        <v>3.21071428571429</v>
      </c>
      <c r="O125" s="31" t="n">
        <f aca="false">IF(N125&lt;Config!$D$5,"",MATCH(N125,Config!$D$5:$D$9,1))</f>
        <v>3</v>
      </c>
      <c r="P125" s="7" t="str">
        <f aca="false">IF(O125="","No data",INDEX(Config!$B$5:$B$9,O125))</f>
        <v>Medium</v>
      </c>
      <c r="Q125" s="32" t="n">
        <v>0</v>
      </c>
      <c r="R125" s="8"/>
      <c r="S125" s="33"/>
      <c r="T125" s="34" t="n">
        <f aca="false">IF(O125="","",IF(AND(S125="Y",Q125&lt;&gt;0),MAX(1,MIN(5,O125+MAX(-Config!$C$27,MIN(Config!$C$27,Q125)))),O125))</f>
        <v>3</v>
      </c>
      <c r="U125" s="35" t="str">
        <f aca="false">IF(T125="","No data",INDEX(Config!$B$5:$B$9,T125))</f>
        <v>Medium</v>
      </c>
      <c r="V125" s="7" t="str">
        <f aca="false">IF(Q125=0,"None",IF(S125="Y","Applied","Pending HO approval"))</f>
        <v>None</v>
      </c>
      <c r="W125" s="36" t="n">
        <f aca="false">SUMPRODUCT((Indicators!$L$5:$L$35&gt;0)*('Indicator Data'!$U$5:$U$35&lt;&gt;""))/SUMPRODUCT(--(Indicators!$L$5:$L$35&gt;0))</f>
        <v>1</v>
      </c>
    </row>
    <row r="126" customFormat="false" ht="15" hidden="false" customHeight="false" outlineLevel="0" collapsed="false">
      <c r="A126" s="26" t="str">
        <f aca="false">Entities!$A$22</f>
        <v>DZ</v>
      </c>
      <c r="B126" s="12" t="str">
        <f aca="false">INDEX(Entities!$B$5:$B$34,MATCH(A126,Entities!$A$5:$A$34,0))</f>
        <v>Arab Bank – Algeria</v>
      </c>
      <c r="C126" s="12" t="str">
        <f aca="false">INDEX(Entities!$D$5:$D$34,MATCH(A126,Entities!$A$5:$A$34,0))</f>
        <v>North Africa</v>
      </c>
      <c r="D126" s="12" t="s">
        <v>270</v>
      </c>
      <c r="E126" s="12" t="str">
        <f aca="false">INDEX('Risk Taxonomy'!$B$5:$B$24,MATCH(D126,'Risk Taxonomy'!$A$5:$A$24,0))</f>
        <v>Proliferation financing</v>
      </c>
      <c r="F126" s="28" t="n">
        <f aca="false">IFERROR(SUMPRODUCT((Indicators!$B$5:$B$35=F$4)*Indicators!$M$5:$M$35*'Indicator Scores'!$U$5:$U$35)/SUMPRODUCT((Indicators!$B$5:$B$35=F$4)*Indicators!$M$5:$M$35*('Indicator Scores'!$U$5:$U$35&gt;0)),0)</f>
        <v>2.75</v>
      </c>
      <c r="G126" s="28" t="n">
        <f aca="false">IFERROR(SUMPRODUCT((Indicators!$B$5:$B$35=G$4)*Indicators!$M$5:$M$35*'Indicator Scores'!$U$5:$U$35)/SUMPRODUCT((Indicators!$B$5:$B$35=G$4)*Indicators!$M$5:$M$35*('Indicator Scores'!$U$5:$U$35&gt;0)),0)</f>
        <v>3</v>
      </c>
      <c r="H126" s="28" t="n">
        <f aca="false">IFERROR(SUMPRODUCT((Indicators!$B$5:$B$35=H$4)*Indicators!$M$5:$M$35*'Indicator Scores'!$U$5:$U$35)/SUMPRODUCT((Indicators!$B$5:$B$35=H$4)*Indicators!$M$5:$M$35*('Indicator Scores'!$U$5:$U$35&gt;0)),0)</f>
        <v>3</v>
      </c>
      <c r="I126" s="28" t="n">
        <f aca="false">IFERROR(SUMPRODUCT((Indicators!$B$5:$B$35=I$4)*Indicators!$M$5:$M$35*'Indicator Scores'!$U$5:$U$35)/SUMPRODUCT((Indicators!$B$5:$B$35=I$4)*Indicators!$M$5:$M$35*('Indicator Scores'!$U$5:$U$35&gt;0)),0)</f>
        <v>3.33333333333333</v>
      </c>
      <c r="J126" s="28" t="n">
        <f aca="false">IFERROR(SUMPRODUCT((Indicators!$B$5:$B$35=J$4)*Indicators!$M$5:$M$35*'Indicator Scores'!$U$5:$U$35)/SUMPRODUCT((Indicators!$B$5:$B$35=J$4)*Indicators!$M$5:$M$35*('Indicator Scores'!$U$5:$U$35&gt;0)),0)</f>
        <v>3.5</v>
      </c>
      <c r="K126" s="28" t="n">
        <f aca="false">IFERROR(SUMPRODUCT(F126:J126,INDEX('Factor Weights'!$C$5:$G$11,MATCH(D126,'Factor Weights'!$A$5:$A$11,0),0))/SUMPRODUCT((F126:J126&gt;0)*INDEX('Factor Weights'!$C$5:$G$11,MATCH(D126,'Factor Weights'!$A$5:$A$11,0),0)),0)</f>
        <v>3.07916666666667</v>
      </c>
      <c r="L126" s="29" t="n">
        <f aca="false">MAX(F126:J126)</f>
        <v>3.5</v>
      </c>
      <c r="M126" s="28" t="n">
        <f aca="false">IF(L126&gt;=Config!$C$13,MAX(K126,Config!$C$14),K126)</f>
        <v>3.07916666666667</v>
      </c>
      <c r="N126" s="30" t="n">
        <f aca="false">IF(Config!$C$12="Weighted average",K126,IF(Config!$C$12="Weighted with floor",M126,L126))</f>
        <v>3.07916666666667</v>
      </c>
      <c r="O126" s="31" t="n">
        <f aca="false">IF(N126&lt;Config!$D$5,"",MATCH(N126,Config!$D$5:$D$9,1))</f>
        <v>3</v>
      </c>
      <c r="P126" s="7" t="str">
        <f aca="false">IF(O126="","No data",INDEX(Config!$B$5:$B$9,O126))</f>
        <v>Medium</v>
      </c>
      <c r="Q126" s="32" t="n">
        <v>0</v>
      </c>
      <c r="R126" s="8"/>
      <c r="S126" s="33"/>
      <c r="T126" s="34" t="n">
        <f aca="false">IF(O126="","",IF(AND(S126="Y",Q126&lt;&gt;0),MAX(1,MIN(5,O126+MAX(-Config!$C$27,MIN(Config!$C$27,Q126)))),O126))</f>
        <v>3</v>
      </c>
      <c r="U126" s="35" t="str">
        <f aca="false">IF(T126="","No data",INDEX(Config!$B$5:$B$9,T126))</f>
        <v>Medium</v>
      </c>
      <c r="V126" s="7" t="str">
        <f aca="false">IF(Q126=0,"None",IF(S126="Y","Applied","Pending HO approval"))</f>
        <v>None</v>
      </c>
      <c r="W126" s="36" t="n">
        <f aca="false">SUMPRODUCT((Indicators!$M$5:$M$35&gt;0)*('Indicator Data'!$U$5:$U$35&lt;&gt;""))/SUMPRODUCT(--(Indicators!$M$5:$M$35&gt;0))</f>
        <v>1</v>
      </c>
    </row>
    <row r="127" customFormat="false" ht="15" hidden="false" customHeight="false" outlineLevel="0" collapsed="false">
      <c r="A127" s="26" t="str">
        <f aca="false">Entities!$A$22</f>
        <v>DZ</v>
      </c>
      <c r="B127" s="12" t="str">
        <f aca="false">INDEX(Entities!$B$5:$B$34,MATCH(A127,Entities!$A$5:$A$34,0))</f>
        <v>Arab Bank – Algeria</v>
      </c>
      <c r="C127" s="12" t="str">
        <f aca="false">INDEX(Entities!$D$5:$D$34,MATCH(A127,Entities!$A$5:$A$34,0))</f>
        <v>North Africa</v>
      </c>
      <c r="D127" s="12" t="s">
        <v>272</v>
      </c>
      <c r="E127" s="12" t="str">
        <f aca="false">INDEX('Risk Taxonomy'!$B$5:$B$24,MATCH(D127,'Risk Taxonomy'!$A$5:$A$24,0))</f>
        <v>Sanctions</v>
      </c>
      <c r="F127" s="28" t="n">
        <f aca="false">IFERROR(SUMPRODUCT((Indicators!$B$5:$B$35=F$4)*Indicators!$N$5:$N$35*'Indicator Scores'!$U$5:$U$35)/SUMPRODUCT((Indicators!$B$5:$B$35=F$4)*Indicators!$N$5:$N$35*('Indicator Scores'!$U$5:$U$35&gt;0)),0)</f>
        <v>3.14285714285714</v>
      </c>
      <c r="G127" s="28" t="n">
        <f aca="false">IFERROR(SUMPRODUCT((Indicators!$B$5:$B$35=G$4)*Indicators!$N$5:$N$35*'Indicator Scores'!$U$5:$U$35)/SUMPRODUCT((Indicators!$B$5:$B$35=G$4)*Indicators!$N$5:$N$35*('Indicator Scores'!$U$5:$U$35&gt;0)),0)</f>
        <v>3</v>
      </c>
      <c r="H127" s="28" t="n">
        <f aca="false">IFERROR(SUMPRODUCT((Indicators!$B$5:$B$35=H$4)*Indicators!$N$5:$N$35*'Indicator Scores'!$U$5:$U$35)/SUMPRODUCT((Indicators!$B$5:$B$35=H$4)*Indicators!$N$5:$N$35*('Indicator Scores'!$U$5:$U$35&gt;0)),0)</f>
        <v>3.125</v>
      </c>
      <c r="I127" s="28" t="n">
        <f aca="false">IFERROR(SUMPRODUCT((Indicators!$B$5:$B$35=I$4)*Indicators!$N$5:$N$35*'Indicator Scores'!$U$5:$U$35)/SUMPRODUCT((Indicators!$B$5:$B$35=I$4)*Indicators!$N$5:$N$35*('Indicator Scores'!$U$5:$U$35&gt;0)),0)</f>
        <v>3.66666666666667</v>
      </c>
      <c r="J127" s="28" t="n">
        <f aca="false">IFERROR(SUMPRODUCT((Indicators!$B$5:$B$35=J$4)*Indicators!$N$5:$N$35*'Indicator Scores'!$U$5:$U$35)/SUMPRODUCT((Indicators!$B$5:$B$35=J$4)*Indicators!$N$5:$N$35*('Indicator Scores'!$U$5:$U$35&gt;0)),0)</f>
        <v>3.4</v>
      </c>
      <c r="K127" s="28" t="n">
        <f aca="false">IFERROR(SUMPRODUCT(F127:J127,INDEX('Factor Weights'!$C$5:$G$11,MATCH(D127,'Factor Weights'!$A$5:$A$11,0),0))/SUMPRODUCT((F127:J127&gt;0)*INDEX('Factor Weights'!$C$5:$G$11,MATCH(D127,'Factor Weights'!$A$5:$A$11,0),0)),0)</f>
        <v>3.15976190476191</v>
      </c>
      <c r="L127" s="29" t="n">
        <f aca="false">MAX(F127:J127)</f>
        <v>3.66666666666667</v>
      </c>
      <c r="M127" s="28" t="n">
        <f aca="false">IF(L127&gt;=Config!$C$13,MAX(K127,Config!$C$14),K127)</f>
        <v>3.15976190476191</v>
      </c>
      <c r="N127" s="30" t="n">
        <f aca="false">IF(Config!$C$12="Weighted average",K127,IF(Config!$C$12="Weighted with floor",M127,L127))</f>
        <v>3.15976190476191</v>
      </c>
      <c r="O127" s="31" t="n">
        <f aca="false">IF(N127&lt;Config!$D$5,"",MATCH(N127,Config!$D$5:$D$9,1))</f>
        <v>3</v>
      </c>
      <c r="P127" s="7" t="str">
        <f aca="false">IF(O127="","No data",INDEX(Config!$B$5:$B$9,O127))</f>
        <v>Medium</v>
      </c>
      <c r="Q127" s="32" t="n">
        <v>0</v>
      </c>
      <c r="R127" s="8"/>
      <c r="S127" s="33"/>
      <c r="T127" s="34" t="n">
        <f aca="false">IF(O127="","",IF(AND(S127="Y",Q127&lt;&gt;0),MAX(1,MIN(5,O127+MAX(-Config!$C$27,MIN(Config!$C$27,Q127)))),O127))</f>
        <v>3</v>
      </c>
      <c r="U127" s="35" t="str">
        <f aca="false">IF(T127="","No data",INDEX(Config!$B$5:$B$9,T127))</f>
        <v>Medium</v>
      </c>
      <c r="V127" s="7" t="str">
        <f aca="false">IF(Q127=0,"None",IF(S127="Y","Applied","Pending HO approval"))</f>
        <v>None</v>
      </c>
      <c r="W127" s="36" t="n">
        <f aca="false">SUMPRODUCT((Indicators!$N$5:$N$35&gt;0)*('Indicator Data'!$U$5:$U$35&lt;&gt;""))/SUMPRODUCT(--(Indicators!$N$5:$N$35&gt;0))</f>
        <v>1</v>
      </c>
    </row>
    <row r="128" customFormat="false" ht="15" hidden="false" customHeight="false" outlineLevel="0" collapsed="false">
      <c r="A128" s="26" t="str">
        <f aca="false">Entities!$A$22</f>
        <v>DZ</v>
      </c>
      <c r="B128" s="12" t="str">
        <f aca="false">INDEX(Entities!$B$5:$B$34,MATCH(A128,Entities!$A$5:$A$34,0))</f>
        <v>Arab Bank – Algeria</v>
      </c>
      <c r="C128" s="12" t="str">
        <f aca="false">INDEX(Entities!$D$5:$D$34,MATCH(A128,Entities!$A$5:$A$34,0))</f>
        <v>North Africa</v>
      </c>
      <c r="D128" s="12" t="s">
        <v>275</v>
      </c>
      <c r="E128" s="12" t="str">
        <f aca="false">INDEX('Risk Taxonomy'!$B$5:$B$24,MATCH(D128,'Risk Taxonomy'!$A$5:$A$24,0))</f>
        <v>Bribery and corruption</v>
      </c>
      <c r="F128" s="28" t="n">
        <f aca="false">IFERROR(SUMPRODUCT((Indicators!$B$5:$B$35=F$4)*Indicators!$O$5:$O$35*'Indicator Scores'!$U$5:$U$35)/SUMPRODUCT((Indicators!$B$5:$B$35=F$4)*Indicators!$O$5:$O$35*('Indicator Scores'!$U$5:$U$35&gt;0)),0)</f>
        <v>3.33333333333333</v>
      </c>
      <c r="G128" s="28" t="n">
        <f aca="false">IFERROR(SUMPRODUCT((Indicators!$B$5:$B$35=G$4)*Indicators!$O$5:$O$35*'Indicator Scores'!$U$5:$U$35)/SUMPRODUCT((Indicators!$B$5:$B$35=G$4)*Indicators!$O$5:$O$35*('Indicator Scores'!$U$5:$U$35&gt;0)),0)</f>
        <v>3</v>
      </c>
      <c r="H128" s="28" t="n">
        <f aca="false">IFERROR(SUMPRODUCT((Indicators!$B$5:$B$35=H$4)*Indicators!$O$5:$O$35*'Indicator Scores'!$U$5:$U$35)/SUMPRODUCT((Indicators!$B$5:$B$35=H$4)*Indicators!$O$5:$O$35*('Indicator Scores'!$U$5:$U$35&gt;0)),0)</f>
        <v>3.5</v>
      </c>
      <c r="I128" s="28" t="n">
        <f aca="false">IFERROR(SUMPRODUCT((Indicators!$B$5:$B$35=I$4)*Indicators!$O$5:$O$35*'Indicator Scores'!$U$5:$U$35)/SUMPRODUCT((Indicators!$B$5:$B$35=I$4)*Indicators!$O$5:$O$35*('Indicator Scores'!$U$5:$U$35&gt;0)),0)</f>
        <v>2.4</v>
      </c>
      <c r="J128" s="28" t="n">
        <f aca="false">IFERROR(SUMPRODUCT((Indicators!$B$5:$B$35=J$4)*Indicators!$O$5:$O$35*'Indicator Scores'!$U$5:$U$35)/SUMPRODUCT((Indicators!$B$5:$B$35=J$4)*Indicators!$O$5:$O$35*('Indicator Scores'!$U$5:$U$35&gt;0)),0)</f>
        <v>4</v>
      </c>
      <c r="K128" s="28" t="n">
        <f aca="false">IFERROR(SUMPRODUCT(F128:J128,INDEX('Factor Weights'!$C$5:$G$11,MATCH(D128,'Factor Weights'!$A$5:$A$11,0),0))/SUMPRODUCT((F128:J128&gt;0)*INDEX('Factor Weights'!$C$5:$G$11,MATCH(D128,'Factor Weights'!$A$5:$A$11,0),0)),0)</f>
        <v>3.155</v>
      </c>
      <c r="L128" s="29" t="n">
        <f aca="false">MAX(F128:J128)</f>
        <v>4</v>
      </c>
      <c r="M128" s="28" t="n">
        <f aca="false">IF(L128&gt;=Config!$C$13,MAX(K128,Config!$C$14),K128)</f>
        <v>3.155</v>
      </c>
      <c r="N128" s="30" t="n">
        <f aca="false">IF(Config!$C$12="Weighted average",K128,IF(Config!$C$12="Weighted with floor",M128,L128))</f>
        <v>3.155</v>
      </c>
      <c r="O128" s="31" t="n">
        <f aca="false">IF(N128&lt;Config!$D$5,"",MATCH(N128,Config!$D$5:$D$9,1))</f>
        <v>3</v>
      </c>
      <c r="P128" s="7" t="str">
        <f aca="false">IF(O128="","No data",INDEX(Config!$B$5:$B$9,O128))</f>
        <v>Medium</v>
      </c>
      <c r="Q128" s="32" t="n">
        <v>0</v>
      </c>
      <c r="R128" s="8"/>
      <c r="S128" s="33"/>
      <c r="T128" s="34" t="n">
        <f aca="false">IF(O128="","",IF(AND(S128="Y",Q128&lt;&gt;0),MAX(1,MIN(5,O128+MAX(-Config!$C$27,MIN(Config!$C$27,Q128)))),O128))</f>
        <v>3</v>
      </c>
      <c r="U128" s="35" t="str">
        <f aca="false">IF(T128="","No data",INDEX(Config!$B$5:$B$9,T128))</f>
        <v>Medium</v>
      </c>
      <c r="V128" s="7" t="str">
        <f aca="false">IF(Q128=0,"None",IF(S128="Y","Applied","Pending HO approval"))</f>
        <v>None</v>
      </c>
      <c r="W128" s="36" t="n">
        <f aca="false">SUMPRODUCT((Indicators!$O$5:$O$35&gt;0)*('Indicator Data'!$U$5:$U$35&lt;&gt;""))/SUMPRODUCT(--(Indicators!$O$5:$O$35&gt;0))</f>
        <v>1</v>
      </c>
    </row>
    <row r="129" customFormat="false" ht="15" hidden="false" customHeight="false" outlineLevel="0" collapsed="false">
      <c r="A129" s="26" t="str">
        <f aca="false">Entities!$A$22</f>
        <v>DZ</v>
      </c>
      <c r="B129" s="12" t="str">
        <f aca="false">INDEX(Entities!$B$5:$B$34,MATCH(A129,Entities!$A$5:$A$34,0))</f>
        <v>Arab Bank – Algeria</v>
      </c>
      <c r="C129" s="12" t="str">
        <f aca="false">INDEX(Entities!$D$5:$D$34,MATCH(A129,Entities!$A$5:$A$34,0))</f>
        <v>North Africa</v>
      </c>
      <c r="D129" s="12" t="s">
        <v>278</v>
      </c>
      <c r="E129" s="12" t="str">
        <f aca="false">INDEX('Risk Taxonomy'!$B$5:$B$24,MATCH(D129,'Risk Taxonomy'!$A$5:$A$24,0))</f>
        <v>Fraud</v>
      </c>
      <c r="F129" s="28" t="n">
        <f aca="false">IFERROR(SUMPRODUCT((Indicators!$B$5:$B$35=F$4)*Indicators!$P$5:$P$35*'Indicator Scores'!$U$5:$U$35)/SUMPRODUCT((Indicators!$B$5:$B$35=F$4)*Indicators!$P$5:$P$35*('Indicator Scores'!$U$5:$U$35&gt;0)),0)</f>
        <v>3</v>
      </c>
      <c r="G129" s="28" t="n">
        <f aca="false">IFERROR(SUMPRODUCT((Indicators!$B$5:$B$35=G$4)*Indicators!$P$5:$P$35*'Indicator Scores'!$U$5:$U$35)/SUMPRODUCT((Indicators!$B$5:$B$35=G$4)*Indicators!$P$5:$P$35*('Indicator Scores'!$U$5:$U$35&gt;0)),0)</f>
        <v>3</v>
      </c>
      <c r="H129" s="28" t="n">
        <f aca="false">IFERROR(SUMPRODUCT((Indicators!$B$5:$B$35=H$4)*Indicators!$P$5:$P$35*'Indicator Scores'!$U$5:$U$35)/SUMPRODUCT((Indicators!$B$5:$B$35=H$4)*Indicators!$P$5:$P$35*('Indicator Scores'!$U$5:$U$35&gt;0)),0)</f>
        <v>3</v>
      </c>
      <c r="I129" s="28" t="n">
        <f aca="false">IFERROR(SUMPRODUCT((Indicators!$B$5:$B$35=I$4)*Indicators!$P$5:$P$35*'Indicator Scores'!$U$5:$U$35)/SUMPRODUCT((Indicators!$B$5:$B$35=I$4)*Indicators!$P$5:$P$35*('Indicator Scores'!$U$5:$U$35&gt;0)),0)</f>
        <v>3.55555555555556</v>
      </c>
      <c r="J129" s="28" t="n">
        <f aca="false">IFERROR(SUMPRODUCT((Indicators!$B$5:$B$35=J$4)*Indicators!$P$5:$P$35*'Indicator Scores'!$U$5:$U$35)/SUMPRODUCT((Indicators!$B$5:$B$35=J$4)*Indicators!$P$5:$P$35*('Indicator Scores'!$U$5:$U$35&gt;0)),0)</f>
        <v>3.6</v>
      </c>
      <c r="K129" s="28" t="n">
        <f aca="false">IFERROR(SUMPRODUCT(F129:J129,INDEX('Factor Weights'!$C$5:$G$11,MATCH(D129,'Factor Weights'!$A$5:$A$11,0),0))/SUMPRODUCT((F129:J129&gt;0)*INDEX('Factor Weights'!$C$5:$G$11,MATCH(D129,'Factor Weights'!$A$5:$A$11,0),0)),0)</f>
        <v>3.28666666666667</v>
      </c>
      <c r="L129" s="29" t="n">
        <f aca="false">MAX(F129:J129)</f>
        <v>3.6</v>
      </c>
      <c r="M129" s="28" t="n">
        <f aca="false">IF(L129&gt;=Config!$C$13,MAX(K129,Config!$C$14),K129)</f>
        <v>3.28666666666667</v>
      </c>
      <c r="N129" s="30" t="n">
        <f aca="false">IF(Config!$C$12="Weighted average",K129,IF(Config!$C$12="Weighted with floor",M129,L129))</f>
        <v>3.28666666666667</v>
      </c>
      <c r="O129" s="31" t="n">
        <f aca="false">IF(N129&lt;Config!$D$5,"",MATCH(N129,Config!$D$5:$D$9,1))</f>
        <v>3</v>
      </c>
      <c r="P129" s="7" t="str">
        <f aca="false">IF(O129="","No data",INDEX(Config!$B$5:$B$9,O129))</f>
        <v>Medium</v>
      </c>
      <c r="Q129" s="32" t="n">
        <v>0</v>
      </c>
      <c r="R129" s="8"/>
      <c r="S129" s="33"/>
      <c r="T129" s="34" t="n">
        <f aca="false">IF(O129="","",IF(AND(S129="Y",Q129&lt;&gt;0),MAX(1,MIN(5,O129+MAX(-Config!$C$27,MIN(Config!$C$27,Q129)))),O129))</f>
        <v>3</v>
      </c>
      <c r="U129" s="35" t="str">
        <f aca="false">IF(T129="","No data",INDEX(Config!$B$5:$B$9,T129))</f>
        <v>Medium</v>
      </c>
      <c r="V129" s="7" t="str">
        <f aca="false">IF(Q129=0,"None",IF(S129="Y","Applied","Pending HO approval"))</f>
        <v>None</v>
      </c>
      <c r="W129" s="36" t="n">
        <f aca="false">SUMPRODUCT((Indicators!$P$5:$P$35&gt;0)*('Indicator Data'!$U$5:$U$35&lt;&gt;""))/SUMPRODUCT(--(Indicators!$P$5:$P$35&gt;0))</f>
        <v>1</v>
      </c>
    </row>
    <row r="130" customFormat="false" ht="15" hidden="false" customHeight="false" outlineLevel="0" collapsed="false">
      <c r="A130" s="26" t="str">
        <f aca="false">Entities!$A$22</f>
        <v>DZ</v>
      </c>
      <c r="B130" s="12" t="str">
        <f aca="false">INDEX(Entities!$B$5:$B$34,MATCH(A130,Entities!$A$5:$A$34,0))</f>
        <v>Arab Bank – Algeria</v>
      </c>
      <c r="C130" s="12" t="str">
        <f aca="false">INDEX(Entities!$D$5:$D$34,MATCH(A130,Entities!$A$5:$A$34,0))</f>
        <v>North Africa</v>
      </c>
      <c r="D130" s="12" t="s">
        <v>281</v>
      </c>
      <c r="E130" s="12" t="str">
        <f aca="false">INDEX('Risk Taxonomy'!$B$5:$B$24,MATCH(D130,'Risk Taxonomy'!$A$5:$A$24,0))</f>
        <v>Tax evasion and tax transparency</v>
      </c>
      <c r="F130" s="28" t="n">
        <f aca="false">IFERROR(SUMPRODUCT((Indicators!$B$5:$B$35=F$4)*Indicators!$Q$5:$Q$35*'Indicator Scores'!$U$5:$U$35)/SUMPRODUCT((Indicators!$B$5:$B$35=F$4)*Indicators!$Q$5:$Q$35*('Indicator Scores'!$U$5:$U$35&gt;0)),0)</f>
        <v>2.88888888888889</v>
      </c>
      <c r="G130" s="28" t="n">
        <f aca="false">IFERROR(SUMPRODUCT((Indicators!$B$5:$B$35=G$4)*Indicators!$Q$5:$Q$35*'Indicator Scores'!$U$5:$U$35)/SUMPRODUCT((Indicators!$B$5:$B$35=G$4)*Indicators!$Q$5:$Q$35*('Indicator Scores'!$U$5:$U$35&gt;0)),0)</f>
        <v>3</v>
      </c>
      <c r="H130" s="28" t="n">
        <f aca="false">IFERROR(SUMPRODUCT((Indicators!$B$5:$B$35=H$4)*Indicators!$Q$5:$Q$35*'Indicator Scores'!$U$5:$U$35)/SUMPRODUCT((Indicators!$B$5:$B$35=H$4)*Indicators!$Q$5:$Q$35*('Indicator Scores'!$U$5:$U$35&gt;0)),0)</f>
        <v>3.5</v>
      </c>
      <c r="I130" s="28" t="n">
        <f aca="false">IFERROR(SUMPRODUCT((Indicators!$B$5:$B$35=I$4)*Indicators!$Q$5:$Q$35*'Indicator Scores'!$U$5:$U$35)/SUMPRODUCT((Indicators!$B$5:$B$35=I$4)*Indicators!$Q$5:$Q$35*('Indicator Scores'!$U$5:$U$35&gt;0)),0)</f>
        <v>3</v>
      </c>
      <c r="J130" s="28" t="n">
        <f aca="false">IFERROR(SUMPRODUCT((Indicators!$B$5:$B$35=J$4)*Indicators!$Q$5:$Q$35*'Indicator Scores'!$U$5:$U$35)/SUMPRODUCT((Indicators!$B$5:$B$35=J$4)*Indicators!$Q$5:$Q$35*('Indicator Scores'!$U$5:$U$35&gt;0)),0)</f>
        <v>3.6</v>
      </c>
      <c r="K130" s="28" t="n">
        <f aca="false">IFERROR(SUMPRODUCT(F130:J130,INDEX('Factor Weights'!$C$5:$G$11,MATCH(D130,'Factor Weights'!$A$5:$A$11,0),0))/SUMPRODUCT((F130:J130&gt;0)*INDEX('Factor Weights'!$C$5:$G$11,MATCH(D130,'Factor Weights'!$A$5:$A$11,0),0)),0)</f>
        <v>3.12111111111111</v>
      </c>
      <c r="L130" s="29" t="n">
        <f aca="false">MAX(F130:J130)</f>
        <v>3.6</v>
      </c>
      <c r="M130" s="28" t="n">
        <f aca="false">IF(L130&gt;=Config!$C$13,MAX(K130,Config!$C$14),K130)</f>
        <v>3.12111111111111</v>
      </c>
      <c r="N130" s="30" t="n">
        <f aca="false">IF(Config!$C$12="Weighted average",K130,IF(Config!$C$12="Weighted with floor",M130,L130))</f>
        <v>3.12111111111111</v>
      </c>
      <c r="O130" s="31" t="n">
        <f aca="false">IF(N130&lt;Config!$D$5,"",MATCH(N130,Config!$D$5:$D$9,1))</f>
        <v>3</v>
      </c>
      <c r="P130" s="7" t="str">
        <f aca="false">IF(O130="","No data",INDEX(Config!$B$5:$B$9,O130))</f>
        <v>Medium</v>
      </c>
      <c r="Q130" s="32" t="n">
        <v>0</v>
      </c>
      <c r="R130" s="8"/>
      <c r="S130" s="33"/>
      <c r="T130" s="34" t="n">
        <f aca="false">IF(O130="","",IF(AND(S130="Y",Q130&lt;&gt;0),MAX(1,MIN(5,O130+MAX(-Config!$C$27,MIN(Config!$C$27,Q130)))),O130))</f>
        <v>3</v>
      </c>
      <c r="U130" s="35" t="str">
        <f aca="false">IF(T130="","No data",INDEX(Config!$B$5:$B$9,T130))</f>
        <v>Medium</v>
      </c>
      <c r="V130" s="7" t="str">
        <f aca="false">IF(Q130=0,"None",IF(S130="Y","Applied","Pending HO approval"))</f>
        <v>None</v>
      </c>
      <c r="W130" s="36" t="n">
        <f aca="false">SUMPRODUCT((Indicators!$Q$5:$Q$35&gt;0)*('Indicator Data'!$U$5:$U$35&lt;&gt;""))/SUMPRODUCT(--(Indicators!$Q$5:$Q$35&gt;0))</f>
        <v>1</v>
      </c>
    </row>
    <row r="131" customFormat="false" ht="15" hidden="false" customHeight="false" outlineLevel="0" collapsed="false">
      <c r="A131" s="26" t="str">
        <f aca="false">Entities!$A$23</f>
        <v>MA</v>
      </c>
      <c r="B131" s="12" t="str">
        <f aca="false">INDEX(Entities!$B$5:$B$34,MATCH(A131,Entities!$A$5:$A$34,0))</f>
        <v>Arab Bank – Morocco</v>
      </c>
      <c r="C131" s="12" t="str">
        <f aca="false">INDEX(Entities!$D$5:$D$34,MATCH(A131,Entities!$A$5:$A$34,0))</f>
        <v>North Africa</v>
      </c>
      <c r="D131" s="12" t="s">
        <v>260</v>
      </c>
      <c r="E131" s="12" t="str">
        <f aca="false">INDEX('Risk Taxonomy'!$B$5:$B$24,MATCH(D131,'Risk Taxonomy'!$A$5:$A$24,0))</f>
        <v>Money laundering</v>
      </c>
      <c r="F131" s="28" t="n">
        <f aca="false">IFERROR(SUMPRODUCT((Indicators!$B$5:$B$35=F$4)*Indicators!$K$5:$K$35*'Indicator Scores'!$V$5:$V$35)/SUMPRODUCT((Indicators!$B$5:$B$35=F$4)*Indicators!$K$5:$K$35*('Indicator Scores'!$V$5:$V$35&gt;0)),0)</f>
        <v>2.91666666666667</v>
      </c>
      <c r="G131" s="28" t="n">
        <f aca="false">IFERROR(SUMPRODUCT((Indicators!$B$5:$B$35=G$4)*Indicators!$K$5:$K$35*'Indicator Scores'!$V$5:$V$35)/SUMPRODUCT((Indicators!$B$5:$B$35=G$4)*Indicators!$K$5:$K$35*('Indicator Scores'!$V$5:$V$35&gt;0)),0)</f>
        <v>3.33333333333333</v>
      </c>
      <c r="H131" s="28" t="n">
        <f aca="false">IFERROR(SUMPRODUCT((Indicators!$B$5:$B$35=H$4)*Indicators!$K$5:$K$35*'Indicator Scores'!$V$5:$V$35)/SUMPRODUCT((Indicators!$B$5:$B$35=H$4)*Indicators!$K$5:$K$35*('Indicator Scores'!$V$5:$V$35&gt;0)),0)</f>
        <v>3.1</v>
      </c>
      <c r="I131" s="28" t="n">
        <f aca="false">IFERROR(SUMPRODUCT((Indicators!$B$5:$B$35=I$4)*Indicators!$K$5:$K$35*'Indicator Scores'!$V$5:$V$35)/SUMPRODUCT((Indicators!$B$5:$B$35=I$4)*Indicators!$K$5:$K$35*('Indicator Scores'!$V$5:$V$35&gt;0)),0)</f>
        <v>3.14285714285714</v>
      </c>
      <c r="J131" s="28" t="n">
        <f aca="false">IFERROR(SUMPRODUCT((Indicators!$B$5:$B$35=J$4)*Indicators!$K$5:$K$35*'Indicator Scores'!$V$5:$V$35)/SUMPRODUCT((Indicators!$B$5:$B$35=J$4)*Indicators!$K$5:$K$35*('Indicator Scores'!$V$5:$V$35&gt;0)),0)</f>
        <v>2.6</v>
      </c>
      <c r="K131" s="28" t="n">
        <f aca="false">IFERROR(SUMPRODUCT(F131:J131,INDEX('Factor Weights'!$C$5:$G$11,MATCH(D131,'Factor Weights'!$A$5:$A$11,0),0))/SUMPRODUCT((F131:J131&gt;0)*INDEX('Factor Weights'!$C$5:$G$11,MATCH(D131,'Factor Weights'!$A$5:$A$11,0),0)),0)</f>
        <v>3.05976190476191</v>
      </c>
      <c r="L131" s="29" t="n">
        <f aca="false">MAX(F131:J131)</f>
        <v>3.33333333333333</v>
      </c>
      <c r="M131" s="28" t="n">
        <f aca="false">IF(L131&gt;=Config!$C$13,MAX(K131,Config!$C$14),K131)</f>
        <v>3.05976190476191</v>
      </c>
      <c r="N131" s="30" t="n">
        <f aca="false">IF(Config!$C$12="Weighted average",K131,IF(Config!$C$12="Weighted with floor",M131,L131))</f>
        <v>3.05976190476191</v>
      </c>
      <c r="O131" s="31" t="n">
        <f aca="false">IF(N131&lt;Config!$D$5,"",MATCH(N131,Config!$D$5:$D$9,1))</f>
        <v>3</v>
      </c>
      <c r="P131" s="7" t="str">
        <f aca="false">IF(O131="","No data",INDEX(Config!$B$5:$B$9,O131))</f>
        <v>Medium</v>
      </c>
      <c r="Q131" s="32" t="n">
        <v>0</v>
      </c>
      <c r="R131" s="8"/>
      <c r="S131" s="33"/>
      <c r="T131" s="34" t="n">
        <f aca="false">IF(O131="","",IF(AND(S131="Y",Q131&lt;&gt;0),MAX(1,MIN(5,O131+MAX(-Config!$C$27,MIN(Config!$C$27,Q131)))),O131))</f>
        <v>3</v>
      </c>
      <c r="U131" s="35" t="str">
        <f aca="false">IF(T131="","No data",INDEX(Config!$B$5:$B$9,T131))</f>
        <v>Medium</v>
      </c>
      <c r="V131" s="7" t="str">
        <f aca="false">IF(Q131=0,"None",IF(S131="Y","Applied","Pending HO approval"))</f>
        <v>None</v>
      </c>
      <c r="W131" s="36" t="n">
        <f aca="false">SUMPRODUCT((Indicators!$K$5:$K$35&gt;0)*('Indicator Data'!$V$5:$V$35&lt;&gt;""))/SUMPRODUCT(--(Indicators!$K$5:$K$35&gt;0))</f>
        <v>1</v>
      </c>
    </row>
    <row r="132" customFormat="false" ht="15" hidden="false" customHeight="false" outlineLevel="0" collapsed="false">
      <c r="A132" s="26" t="str">
        <f aca="false">Entities!$A$23</f>
        <v>MA</v>
      </c>
      <c r="B132" s="12" t="str">
        <f aca="false">INDEX(Entities!$B$5:$B$34,MATCH(A132,Entities!$A$5:$A$34,0))</f>
        <v>Arab Bank – Morocco</v>
      </c>
      <c r="C132" s="12" t="str">
        <f aca="false">INDEX(Entities!$D$5:$D$34,MATCH(A132,Entities!$A$5:$A$34,0))</f>
        <v>North Africa</v>
      </c>
      <c r="D132" s="12" t="s">
        <v>267</v>
      </c>
      <c r="E132" s="12" t="str">
        <f aca="false">INDEX('Risk Taxonomy'!$B$5:$B$24,MATCH(D132,'Risk Taxonomy'!$A$5:$A$24,0))</f>
        <v>Terrorist financing</v>
      </c>
      <c r="F132" s="28" t="n">
        <f aca="false">IFERROR(SUMPRODUCT((Indicators!$B$5:$B$35=F$4)*Indicators!$L$5:$L$35*'Indicator Scores'!$V$5:$V$35)/SUMPRODUCT((Indicators!$B$5:$B$35=F$4)*Indicators!$L$5:$L$35*('Indicator Scores'!$V$5:$V$35&gt;0)),0)</f>
        <v>3.2</v>
      </c>
      <c r="G132" s="28" t="n">
        <f aca="false">IFERROR(SUMPRODUCT((Indicators!$B$5:$B$35=G$4)*Indicators!$L$5:$L$35*'Indicator Scores'!$V$5:$V$35)/SUMPRODUCT((Indicators!$B$5:$B$35=G$4)*Indicators!$L$5:$L$35*('Indicator Scores'!$V$5:$V$35&gt;0)),0)</f>
        <v>3.22222222222222</v>
      </c>
      <c r="H132" s="28" t="n">
        <f aca="false">IFERROR(SUMPRODUCT((Indicators!$B$5:$B$35=H$4)*Indicators!$L$5:$L$35*'Indicator Scores'!$V$5:$V$35)/SUMPRODUCT((Indicators!$B$5:$B$35=H$4)*Indicators!$L$5:$L$35*('Indicator Scores'!$V$5:$V$35&gt;0)),0)</f>
        <v>2.83333333333333</v>
      </c>
      <c r="I132" s="28" t="n">
        <f aca="false">IFERROR(SUMPRODUCT((Indicators!$B$5:$B$35=I$4)*Indicators!$L$5:$L$35*'Indicator Scores'!$V$5:$V$35)/SUMPRODUCT((Indicators!$B$5:$B$35=I$4)*Indicators!$L$5:$L$35*('Indicator Scores'!$V$5:$V$35&gt;0)),0)</f>
        <v>3.16666666666667</v>
      </c>
      <c r="J132" s="28" t="n">
        <f aca="false">IFERROR(SUMPRODUCT((Indicators!$B$5:$B$35=J$4)*Indicators!$L$5:$L$35*'Indicator Scores'!$V$5:$V$35)/SUMPRODUCT((Indicators!$B$5:$B$35=J$4)*Indicators!$L$5:$L$35*('Indicator Scores'!$V$5:$V$35&gt;0)),0)</f>
        <v>2.42857142857143</v>
      </c>
      <c r="K132" s="28" t="n">
        <f aca="false">IFERROR(SUMPRODUCT(F132:J132,INDEX('Factor Weights'!$C$5:$G$11,MATCH(D132,'Factor Weights'!$A$5:$A$11,0),0))/SUMPRODUCT((F132:J132&gt;0)*INDEX('Factor Weights'!$C$5:$G$11,MATCH(D132,'Factor Weights'!$A$5:$A$11,0),0)),0)</f>
        <v>2.99404761904762</v>
      </c>
      <c r="L132" s="29" t="n">
        <f aca="false">MAX(F132:J132)</f>
        <v>3.22222222222222</v>
      </c>
      <c r="M132" s="28" t="n">
        <f aca="false">IF(L132&gt;=Config!$C$13,MAX(K132,Config!$C$14),K132)</f>
        <v>2.99404761904762</v>
      </c>
      <c r="N132" s="30" t="n">
        <f aca="false">IF(Config!$C$12="Weighted average",K132,IF(Config!$C$12="Weighted with floor",M132,L132))</f>
        <v>2.99404761904762</v>
      </c>
      <c r="O132" s="31" t="n">
        <f aca="false">IF(N132&lt;Config!$D$5,"",MATCH(N132,Config!$D$5:$D$9,1))</f>
        <v>3</v>
      </c>
      <c r="P132" s="7" t="str">
        <f aca="false">IF(O132="","No data",INDEX(Config!$B$5:$B$9,O132))</f>
        <v>Medium</v>
      </c>
      <c r="Q132" s="32" t="n">
        <v>0</v>
      </c>
      <c r="R132" s="8"/>
      <c r="S132" s="33"/>
      <c r="T132" s="34" t="n">
        <f aca="false">IF(O132="","",IF(AND(S132="Y",Q132&lt;&gt;0),MAX(1,MIN(5,O132+MAX(-Config!$C$27,MIN(Config!$C$27,Q132)))),O132))</f>
        <v>3</v>
      </c>
      <c r="U132" s="35" t="str">
        <f aca="false">IF(T132="","No data",INDEX(Config!$B$5:$B$9,T132))</f>
        <v>Medium</v>
      </c>
      <c r="V132" s="7" t="str">
        <f aca="false">IF(Q132=0,"None",IF(S132="Y","Applied","Pending HO approval"))</f>
        <v>None</v>
      </c>
      <c r="W132" s="36" t="n">
        <f aca="false">SUMPRODUCT((Indicators!$L$5:$L$35&gt;0)*('Indicator Data'!$V$5:$V$35&lt;&gt;""))/SUMPRODUCT(--(Indicators!$L$5:$L$35&gt;0))</f>
        <v>1</v>
      </c>
    </row>
    <row r="133" customFormat="false" ht="15" hidden="false" customHeight="false" outlineLevel="0" collapsed="false">
      <c r="A133" s="26" t="str">
        <f aca="false">Entities!$A$23</f>
        <v>MA</v>
      </c>
      <c r="B133" s="12" t="str">
        <f aca="false">INDEX(Entities!$B$5:$B$34,MATCH(A133,Entities!$A$5:$A$34,0))</f>
        <v>Arab Bank – Morocco</v>
      </c>
      <c r="C133" s="12" t="str">
        <f aca="false">INDEX(Entities!$D$5:$D$34,MATCH(A133,Entities!$A$5:$A$34,0))</f>
        <v>North Africa</v>
      </c>
      <c r="D133" s="12" t="s">
        <v>270</v>
      </c>
      <c r="E133" s="12" t="str">
        <f aca="false">INDEX('Risk Taxonomy'!$B$5:$B$24,MATCH(D133,'Risk Taxonomy'!$A$5:$A$24,0))</f>
        <v>Proliferation financing</v>
      </c>
      <c r="F133" s="28" t="n">
        <f aca="false">IFERROR(SUMPRODUCT((Indicators!$B$5:$B$35=F$4)*Indicators!$M$5:$M$35*'Indicator Scores'!$V$5:$V$35)/SUMPRODUCT((Indicators!$B$5:$B$35=F$4)*Indicators!$M$5:$M$35*('Indicator Scores'!$V$5:$V$35&gt;0)),0)</f>
        <v>3</v>
      </c>
      <c r="G133" s="28" t="n">
        <f aca="false">IFERROR(SUMPRODUCT((Indicators!$B$5:$B$35=G$4)*Indicators!$M$5:$M$35*'Indicator Scores'!$V$5:$V$35)/SUMPRODUCT((Indicators!$B$5:$B$35=G$4)*Indicators!$M$5:$M$35*('Indicator Scores'!$V$5:$V$35&gt;0)),0)</f>
        <v>3.375</v>
      </c>
      <c r="H133" s="28" t="n">
        <f aca="false">IFERROR(SUMPRODUCT((Indicators!$B$5:$B$35=H$4)*Indicators!$M$5:$M$35*'Indicator Scores'!$V$5:$V$35)/SUMPRODUCT((Indicators!$B$5:$B$35=H$4)*Indicators!$M$5:$M$35*('Indicator Scores'!$V$5:$V$35&gt;0)),0)</f>
        <v>2.55555555555556</v>
      </c>
      <c r="I133" s="28" t="n">
        <f aca="false">IFERROR(SUMPRODUCT((Indicators!$B$5:$B$35=I$4)*Indicators!$M$5:$M$35*'Indicator Scores'!$V$5:$V$35)/SUMPRODUCT((Indicators!$B$5:$B$35=I$4)*Indicators!$M$5:$M$35*('Indicator Scores'!$V$5:$V$35&gt;0)),0)</f>
        <v>2.66666666666667</v>
      </c>
      <c r="J133" s="28" t="n">
        <f aca="false">IFERROR(SUMPRODUCT((Indicators!$B$5:$B$35=J$4)*Indicators!$M$5:$M$35*'Indicator Scores'!$V$5:$V$35)/SUMPRODUCT((Indicators!$B$5:$B$35=J$4)*Indicators!$M$5:$M$35*('Indicator Scores'!$V$5:$V$35&gt;0)),0)</f>
        <v>3</v>
      </c>
      <c r="K133" s="28" t="n">
        <f aca="false">IFERROR(SUMPRODUCT(F133:J133,INDEX('Factor Weights'!$C$5:$G$11,MATCH(D133,'Factor Weights'!$A$5:$A$11,0),0))/SUMPRODUCT((F133:J133&gt;0)*INDEX('Factor Weights'!$C$5:$G$11,MATCH(D133,'Factor Weights'!$A$5:$A$11,0),0)),0)</f>
        <v>2.9625</v>
      </c>
      <c r="L133" s="29" t="n">
        <f aca="false">MAX(F133:J133)</f>
        <v>3.375</v>
      </c>
      <c r="M133" s="28" t="n">
        <f aca="false">IF(L133&gt;=Config!$C$13,MAX(K133,Config!$C$14),K133)</f>
        <v>2.9625</v>
      </c>
      <c r="N133" s="30" t="n">
        <f aca="false">IF(Config!$C$12="Weighted average",K133,IF(Config!$C$12="Weighted with floor",M133,L133))</f>
        <v>2.9625</v>
      </c>
      <c r="O133" s="31" t="n">
        <f aca="false">IF(N133&lt;Config!$D$5,"",MATCH(N133,Config!$D$5:$D$9,1))</f>
        <v>3</v>
      </c>
      <c r="P133" s="7" t="str">
        <f aca="false">IF(O133="","No data",INDEX(Config!$B$5:$B$9,O133))</f>
        <v>Medium</v>
      </c>
      <c r="Q133" s="32" t="n">
        <v>0</v>
      </c>
      <c r="R133" s="8"/>
      <c r="S133" s="33"/>
      <c r="T133" s="34" t="n">
        <f aca="false">IF(O133="","",IF(AND(S133="Y",Q133&lt;&gt;0),MAX(1,MIN(5,O133+MAX(-Config!$C$27,MIN(Config!$C$27,Q133)))),O133))</f>
        <v>3</v>
      </c>
      <c r="U133" s="35" t="str">
        <f aca="false">IF(T133="","No data",INDEX(Config!$B$5:$B$9,T133))</f>
        <v>Medium</v>
      </c>
      <c r="V133" s="7" t="str">
        <f aca="false">IF(Q133=0,"None",IF(S133="Y","Applied","Pending HO approval"))</f>
        <v>None</v>
      </c>
      <c r="W133" s="36" t="n">
        <f aca="false">SUMPRODUCT((Indicators!$M$5:$M$35&gt;0)*('Indicator Data'!$V$5:$V$35&lt;&gt;""))/SUMPRODUCT(--(Indicators!$M$5:$M$35&gt;0))</f>
        <v>1</v>
      </c>
    </row>
    <row r="134" customFormat="false" ht="15" hidden="false" customHeight="false" outlineLevel="0" collapsed="false">
      <c r="A134" s="26" t="str">
        <f aca="false">Entities!$A$23</f>
        <v>MA</v>
      </c>
      <c r="B134" s="12" t="str">
        <f aca="false">INDEX(Entities!$B$5:$B$34,MATCH(A134,Entities!$A$5:$A$34,0))</f>
        <v>Arab Bank – Morocco</v>
      </c>
      <c r="C134" s="12" t="str">
        <f aca="false">INDEX(Entities!$D$5:$D$34,MATCH(A134,Entities!$A$5:$A$34,0))</f>
        <v>North Africa</v>
      </c>
      <c r="D134" s="12" t="s">
        <v>272</v>
      </c>
      <c r="E134" s="12" t="str">
        <f aca="false">INDEX('Risk Taxonomy'!$B$5:$B$24,MATCH(D134,'Risk Taxonomy'!$A$5:$A$24,0))</f>
        <v>Sanctions</v>
      </c>
      <c r="F134" s="28" t="n">
        <f aca="false">IFERROR(SUMPRODUCT((Indicators!$B$5:$B$35=F$4)*Indicators!$N$5:$N$35*'Indicator Scores'!$V$5:$V$35)/SUMPRODUCT((Indicators!$B$5:$B$35=F$4)*Indicators!$N$5:$N$35*('Indicator Scores'!$V$5:$V$35&gt;0)),0)</f>
        <v>3.14285714285714</v>
      </c>
      <c r="G134" s="28" t="n">
        <f aca="false">IFERROR(SUMPRODUCT((Indicators!$B$5:$B$35=G$4)*Indicators!$N$5:$N$35*'Indicator Scores'!$V$5:$V$35)/SUMPRODUCT((Indicators!$B$5:$B$35=G$4)*Indicators!$N$5:$N$35*('Indicator Scores'!$V$5:$V$35&gt;0)),0)</f>
        <v>3.28571428571429</v>
      </c>
      <c r="H134" s="28" t="n">
        <f aca="false">IFERROR(SUMPRODUCT((Indicators!$B$5:$B$35=H$4)*Indicators!$N$5:$N$35*'Indicator Scores'!$V$5:$V$35)/SUMPRODUCT((Indicators!$B$5:$B$35=H$4)*Indicators!$N$5:$N$35*('Indicator Scores'!$V$5:$V$35&gt;0)),0)</f>
        <v>2.75</v>
      </c>
      <c r="I134" s="28" t="n">
        <f aca="false">IFERROR(SUMPRODUCT((Indicators!$B$5:$B$35=I$4)*Indicators!$N$5:$N$35*'Indicator Scores'!$V$5:$V$35)/SUMPRODUCT((Indicators!$B$5:$B$35=I$4)*Indicators!$N$5:$N$35*('Indicator Scores'!$V$5:$V$35&gt;0)),0)</f>
        <v>3.33333333333333</v>
      </c>
      <c r="J134" s="28" t="n">
        <f aca="false">IFERROR(SUMPRODUCT((Indicators!$B$5:$B$35=J$4)*Indicators!$N$5:$N$35*'Indicator Scores'!$V$5:$V$35)/SUMPRODUCT((Indicators!$B$5:$B$35=J$4)*Indicators!$N$5:$N$35*('Indicator Scores'!$V$5:$V$35&gt;0)),0)</f>
        <v>3</v>
      </c>
      <c r="K134" s="28" t="n">
        <f aca="false">IFERROR(SUMPRODUCT(F134:J134,INDEX('Factor Weights'!$C$5:$G$11,MATCH(D134,'Factor Weights'!$A$5:$A$11,0),0))/SUMPRODUCT((F134:J134&gt;0)*INDEX('Factor Weights'!$C$5:$G$11,MATCH(D134,'Factor Weights'!$A$5:$A$11,0),0)),0)</f>
        <v>3.10238095238095</v>
      </c>
      <c r="L134" s="29" t="n">
        <f aca="false">MAX(F134:J134)</f>
        <v>3.33333333333333</v>
      </c>
      <c r="M134" s="28" t="n">
        <f aca="false">IF(L134&gt;=Config!$C$13,MAX(K134,Config!$C$14),K134)</f>
        <v>3.10238095238095</v>
      </c>
      <c r="N134" s="30" t="n">
        <f aca="false">IF(Config!$C$12="Weighted average",K134,IF(Config!$C$12="Weighted with floor",M134,L134))</f>
        <v>3.10238095238095</v>
      </c>
      <c r="O134" s="31" t="n">
        <f aca="false">IF(N134&lt;Config!$D$5,"",MATCH(N134,Config!$D$5:$D$9,1))</f>
        <v>3</v>
      </c>
      <c r="P134" s="7" t="str">
        <f aca="false">IF(O134="","No data",INDEX(Config!$B$5:$B$9,O134))</f>
        <v>Medium</v>
      </c>
      <c r="Q134" s="32" t="n">
        <v>0</v>
      </c>
      <c r="R134" s="8"/>
      <c r="S134" s="33"/>
      <c r="T134" s="34" t="n">
        <f aca="false">IF(O134="","",IF(AND(S134="Y",Q134&lt;&gt;0),MAX(1,MIN(5,O134+MAX(-Config!$C$27,MIN(Config!$C$27,Q134)))),O134))</f>
        <v>3</v>
      </c>
      <c r="U134" s="35" t="str">
        <f aca="false">IF(T134="","No data",INDEX(Config!$B$5:$B$9,T134))</f>
        <v>Medium</v>
      </c>
      <c r="V134" s="7" t="str">
        <f aca="false">IF(Q134=0,"None",IF(S134="Y","Applied","Pending HO approval"))</f>
        <v>None</v>
      </c>
      <c r="W134" s="36" t="n">
        <f aca="false">SUMPRODUCT((Indicators!$N$5:$N$35&gt;0)*('Indicator Data'!$V$5:$V$35&lt;&gt;""))/SUMPRODUCT(--(Indicators!$N$5:$N$35&gt;0))</f>
        <v>1</v>
      </c>
    </row>
    <row r="135" customFormat="false" ht="15" hidden="false" customHeight="false" outlineLevel="0" collapsed="false">
      <c r="A135" s="26" t="str">
        <f aca="false">Entities!$A$23</f>
        <v>MA</v>
      </c>
      <c r="B135" s="12" t="str">
        <f aca="false">INDEX(Entities!$B$5:$B$34,MATCH(A135,Entities!$A$5:$A$34,0))</f>
        <v>Arab Bank – Morocco</v>
      </c>
      <c r="C135" s="12" t="str">
        <f aca="false">INDEX(Entities!$D$5:$D$34,MATCH(A135,Entities!$A$5:$A$34,0))</f>
        <v>North Africa</v>
      </c>
      <c r="D135" s="12" t="s">
        <v>275</v>
      </c>
      <c r="E135" s="12" t="str">
        <f aca="false">INDEX('Risk Taxonomy'!$B$5:$B$24,MATCH(D135,'Risk Taxonomy'!$A$5:$A$24,0))</f>
        <v>Bribery and corruption</v>
      </c>
      <c r="F135" s="28" t="n">
        <f aca="false">IFERROR(SUMPRODUCT((Indicators!$B$5:$B$35=F$4)*Indicators!$O$5:$O$35*'Indicator Scores'!$V$5:$V$35)/SUMPRODUCT((Indicators!$B$5:$B$35=F$4)*Indicators!$O$5:$O$35*('Indicator Scores'!$V$5:$V$35&gt;0)),0)</f>
        <v>3.44444444444444</v>
      </c>
      <c r="G135" s="28" t="n">
        <f aca="false">IFERROR(SUMPRODUCT((Indicators!$B$5:$B$35=G$4)*Indicators!$O$5:$O$35*'Indicator Scores'!$V$5:$V$35)/SUMPRODUCT((Indicators!$B$5:$B$35=G$4)*Indicators!$O$5:$O$35*('Indicator Scores'!$V$5:$V$35&gt;0)),0)</f>
        <v>3.4</v>
      </c>
      <c r="H135" s="28" t="n">
        <f aca="false">IFERROR(SUMPRODUCT((Indicators!$B$5:$B$35=H$4)*Indicators!$O$5:$O$35*'Indicator Scores'!$V$5:$V$35)/SUMPRODUCT((Indicators!$B$5:$B$35=H$4)*Indicators!$O$5:$O$35*('Indicator Scores'!$V$5:$V$35&gt;0)),0)</f>
        <v>3.5</v>
      </c>
      <c r="I135" s="28" t="n">
        <f aca="false">IFERROR(SUMPRODUCT((Indicators!$B$5:$B$35=I$4)*Indicators!$O$5:$O$35*'Indicator Scores'!$V$5:$V$35)/SUMPRODUCT((Indicators!$B$5:$B$35=I$4)*Indicators!$O$5:$O$35*('Indicator Scores'!$V$5:$V$35&gt;0)),0)</f>
        <v>2</v>
      </c>
      <c r="J135" s="28" t="n">
        <f aca="false">IFERROR(SUMPRODUCT((Indicators!$B$5:$B$35=J$4)*Indicators!$O$5:$O$35*'Indicator Scores'!$V$5:$V$35)/SUMPRODUCT((Indicators!$B$5:$B$35=J$4)*Indicators!$O$5:$O$35*('Indicator Scores'!$V$5:$V$35&gt;0)),0)</f>
        <v>3</v>
      </c>
      <c r="K135" s="28" t="n">
        <f aca="false">IFERROR(SUMPRODUCT(F135:J135,INDEX('Factor Weights'!$C$5:$G$11,MATCH(D135,'Factor Weights'!$A$5:$A$11,0),0))/SUMPRODUCT((F135:J135&gt;0)*INDEX('Factor Weights'!$C$5:$G$11,MATCH(D135,'Factor Weights'!$A$5:$A$11,0),0)),0)</f>
        <v>3.10833333333333</v>
      </c>
      <c r="L135" s="29" t="n">
        <f aca="false">MAX(F135:J135)</f>
        <v>3.5</v>
      </c>
      <c r="M135" s="28" t="n">
        <f aca="false">IF(L135&gt;=Config!$C$13,MAX(K135,Config!$C$14),K135)</f>
        <v>3.10833333333333</v>
      </c>
      <c r="N135" s="30" t="n">
        <f aca="false">IF(Config!$C$12="Weighted average",K135,IF(Config!$C$12="Weighted with floor",M135,L135))</f>
        <v>3.10833333333333</v>
      </c>
      <c r="O135" s="31" t="n">
        <f aca="false">IF(N135&lt;Config!$D$5,"",MATCH(N135,Config!$D$5:$D$9,1))</f>
        <v>3</v>
      </c>
      <c r="P135" s="7" t="str">
        <f aca="false">IF(O135="","No data",INDEX(Config!$B$5:$B$9,O135))</f>
        <v>Medium</v>
      </c>
      <c r="Q135" s="32" t="n">
        <v>0</v>
      </c>
      <c r="R135" s="8"/>
      <c r="S135" s="33"/>
      <c r="T135" s="34" t="n">
        <f aca="false">IF(O135="","",IF(AND(S135="Y",Q135&lt;&gt;0),MAX(1,MIN(5,O135+MAX(-Config!$C$27,MIN(Config!$C$27,Q135)))),O135))</f>
        <v>3</v>
      </c>
      <c r="U135" s="35" t="str">
        <f aca="false">IF(T135="","No data",INDEX(Config!$B$5:$B$9,T135))</f>
        <v>Medium</v>
      </c>
      <c r="V135" s="7" t="str">
        <f aca="false">IF(Q135=0,"None",IF(S135="Y","Applied","Pending HO approval"))</f>
        <v>None</v>
      </c>
      <c r="W135" s="36" t="n">
        <f aca="false">SUMPRODUCT((Indicators!$O$5:$O$35&gt;0)*('Indicator Data'!$V$5:$V$35&lt;&gt;""))/SUMPRODUCT(--(Indicators!$O$5:$O$35&gt;0))</f>
        <v>1</v>
      </c>
    </row>
    <row r="136" customFormat="false" ht="15" hidden="false" customHeight="false" outlineLevel="0" collapsed="false">
      <c r="A136" s="26" t="str">
        <f aca="false">Entities!$A$23</f>
        <v>MA</v>
      </c>
      <c r="B136" s="12" t="str">
        <f aca="false">INDEX(Entities!$B$5:$B$34,MATCH(A136,Entities!$A$5:$A$34,0))</f>
        <v>Arab Bank – Morocco</v>
      </c>
      <c r="C136" s="12" t="str">
        <f aca="false">INDEX(Entities!$D$5:$D$34,MATCH(A136,Entities!$A$5:$A$34,0))</f>
        <v>North Africa</v>
      </c>
      <c r="D136" s="12" t="s">
        <v>278</v>
      </c>
      <c r="E136" s="12" t="str">
        <f aca="false">INDEX('Risk Taxonomy'!$B$5:$B$24,MATCH(D136,'Risk Taxonomy'!$A$5:$A$24,0))</f>
        <v>Fraud</v>
      </c>
      <c r="F136" s="28" t="n">
        <f aca="false">IFERROR(SUMPRODUCT((Indicators!$B$5:$B$35=F$4)*Indicators!$P$5:$P$35*'Indicator Scores'!$V$5:$V$35)/SUMPRODUCT((Indicators!$B$5:$B$35=F$4)*Indicators!$P$5:$P$35*('Indicator Scores'!$V$5:$V$35&gt;0)),0)</f>
        <v>2.66666666666667</v>
      </c>
      <c r="G136" s="28" t="n">
        <f aca="false">IFERROR(SUMPRODUCT((Indicators!$B$5:$B$35=G$4)*Indicators!$P$5:$P$35*'Indicator Scores'!$V$5:$V$35)/SUMPRODUCT((Indicators!$B$5:$B$35=G$4)*Indicators!$P$5:$P$35*('Indicator Scores'!$V$5:$V$35&gt;0)),0)</f>
        <v>3.25</v>
      </c>
      <c r="H136" s="28" t="n">
        <f aca="false">IFERROR(SUMPRODUCT((Indicators!$B$5:$B$35=H$4)*Indicators!$P$5:$P$35*'Indicator Scores'!$V$5:$V$35)/SUMPRODUCT((Indicators!$B$5:$B$35=H$4)*Indicators!$P$5:$P$35*('Indicator Scores'!$V$5:$V$35&gt;0)),0)</f>
        <v>3.4</v>
      </c>
      <c r="I136" s="28" t="n">
        <f aca="false">IFERROR(SUMPRODUCT((Indicators!$B$5:$B$35=I$4)*Indicators!$P$5:$P$35*'Indicator Scores'!$V$5:$V$35)/SUMPRODUCT((Indicators!$B$5:$B$35=I$4)*Indicators!$P$5:$P$35*('Indicator Scores'!$V$5:$V$35&gt;0)),0)</f>
        <v>3.44444444444444</v>
      </c>
      <c r="J136" s="28" t="n">
        <f aca="false">IFERROR(SUMPRODUCT((Indicators!$B$5:$B$35=J$4)*Indicators!$P$5:$P$35*'Indicator Scores'!$V$5:$V$35)/SUMPRODUCT((Indicators!$B$5:$B$35=J$4)*Indicators!$P$5:$P$35*('Indicator Scores'!$V$5:$V$35&gt;0)),0)</f>
        <v>3.8</v>
      </c>
      <c r="K136" s="28" t="n">
        <f aca="false">IFERROR(SUMPRODUCT(F136:J136,INDEX('Factor Weights'!$C$5:$G$11,MATCH(D136,'Factor Weights'!$A$5:$A$11,0),0))/SUMPRODUCT((F136:J136&gt;0)*INDEX('Factor Weights'!$C$5:$G$11,MATCH(D136,'Factor Weights'!$A$5:$A$11,0),0)),0)</f>
        <v>3.33166666666667</v>
      </c>
      <c r="L136" s="29" t="n">
        <f aca="false">MAX(F136:J136)</f>
        <v>3.8</v>
      </c>
      <c r="M136" s="28" t="n">
        <f aca="false">IF(L136&gt;=Config!$C$13,MAX(K136,Config!$C$14),K136)</f>
        <v>3.33166666666667</v>
      </c>
      <c r="N136" s="30" t="n">
        <f aca="false">IF(Config!$C$12="Weighted average",K136,IF(Config!$C$12="Weighted with floor",M136,L136))</f>
        <v>3.33166666666667</v>
      </c>
      <c r="O136" s="31" t="n">
        <f aca="false">IF(N136&lt;Config!$D$5,"",MATCH(N136,Config!$D$5:$D$9,1))</f>
        <v>3</v>
      </c>
      <c r="P136" s="7" t="str">
        <f aca="false">IF(O136="","No data",INDEX(Config!$B$5:$B$9,O136))</f>
        <v>Medium</v>
      </c>
      <c r="Q136" s="32" t="n">
        <v>0</v>
      </c>
      <c r="R136" s="8"/>
      <c r="S136" s="33"/>
      <c r="T136" s="34" t="n">
        <f aca="false">IF(O136="","",IF(AND(S136="Y",Q136&lt;&gt;0),MAX(1,MIN(5,O136+MAX(-Config!$C$27,MIN(Config!$C$27,Q136)))),O136))</f>
        <v>3</v>
      </c>
      <c r="U136" s="35" t="str">
        <f aca="false">IF(T136="","No data",INDEX(Config!$B$5:$B$9,T136))</f>
        <v>Medium</v>
      </c>
      <c r="V136" s="7" t="str">
        <f aca="false">IF(Q136=0,"None",IF(S136="Y","Applied","Pending HO approval"))</f>
        <v>None</v>
      </c>
      <c r="W136" s="36" t="n">
        <f aca="false">SUMPRODUCT((Indicators!$P$5:$P$35&gt;0)*('Indicator Data'!$V$5:$V$35&lt;&gt;""))/SUMPRODUCT(--(Indicators!$P$5:$P$35&gt;0))</f>
        <v>1</v>
      </c>
    </row>
    <row r="137" customFormat="false" ht="15" hidden="false" customHeight="false" outlineLevel="0" collapsed="false">
      <c r="A137" s="26" t="str">
        <f aca="false">Entities!$A$23</f>
        <v>MA</v>
      </c>
      <c r="B137" s="12" t="str">
        <f aca="false">INDEX(Entities!$B$5:$B$34,MATCH(A137,Entities!$A$5:$A$34,0))</f>
        <v>Arab Bank – Morocco</v>
      </c>
      <c r="C137" s="12" t="str">
        <f aca="false">INDEX(Entities!$D$5:$D$34,MATCH(A137,Entities!$A$5:$A$34,0))</f>
        <v>North Africa</v>
      </c>
      <c r="D137" s="12" t="s">
        <v>281</v>
      </c>
      <c r="E137" s="12" t="str">
        <f aca="false">INDEX('Risk Taxonomy'!$B$5:$B$24,MATCH(D137,'Risk Taxonomy'!$A$5:$A$24,0))</f>
        <v>Tax evasion and tax transparency</v>
      </c>
      <c r="F137" s="28" t="n">
        <f aca="false">IFERROR(SUMPRODUCT((Indicators!$B$5:$B$35=F$4)*Indicators!$Q$5:$Q$35*'Indicator Scores'!$V$5:$V$35)/SUMPRODUCT((Indicators!$B$5:$B$35=F$4)*Indicators!$Q$5:$Q$35*('Indicator Scores'!$V$5:$V$35&gt;0)),0)</f>
        <v>2.88888888888889</v>
      </c>
      <c r="G137" s="28" t="n">
        <f aca="false">IFERROR(SUMPRODUCT((Indicators!$B$5:$B$35=G$4)*Indicators!$Q$5:$Q$35*'Indicator Scores'!$V$5:$V$35)/SUMPRODUCT((Indicators!$B$5:$B$35=G$4)*Indicators!$Q$5:$Q$35*('Indicator Scores'!$V$5:$V$35&gt;0)),0)</f>
        <v>2.83333333333333</v>
      </c>
      <c r="H137" s="28" t="n">
        <f aca="false">IFERROR(SUMPRODUCT((Indicators!$B$5:$B$35=H$4)*Indicators!$Q$5:$Q$35*'Indicator Scores'!$V$5:$V$35)/SUMPRODUCT((Indicators!$B$5:$B$35=H$4)*Indicators!$Q$5:$Q$35*('Indicator Scores'!$V$5:$V$35&gt;0)),0)</f>
        <v>3.66666666666667</v>
      </c>
      <c r="I137" s="28" t="n">
        <f aca="false">IFERROR(SUMPRODUCT((Indicators!$B$5:$B$35=I$4)*Indicators!$Q$5:$Q$35*'Indicator Scores'!$V$5:$V$35)/SUMPRODUCT((Indicators!$B$5:$B$35=I$4)*Indicators!$Q$5:$Q$35*('Indicator Scores'!$V$5:$V$35&gt;0)),0)</f>
        <v>2.5</v>
      </c>
      <c r="J137" s="28" t="n">
        <f aca="false">IFERROR(SUMPRODUCT((Indicators!$B$5:$B$35=J$4)*Indicators!$Q$5:$Q$35*'Indicator Scores'!$V$5:$V$35)/SUMPRODUCT((Indicators!$B$5:$B$35=J$4)*Indicators!$Q$5:$Q$35*('Indicator Scores'!$V$5:$V$35&gt;0)),0)</f>
        <v>2</v>
      </c>
      <c r="K137" s="28" t="n">
        <f aca="false">IFERROR(SUMPRODUCT(F137:J137,INDEX('Factor Weights'!$C$5:$G$11,MATCH(D137,'Factor Weights'!$A$5:$A$11,0),0))/SUMPRODUCT((F137:J137&gt;0)*INDEX('Factor Weights'!$C$5:$G$11,MATCH(D137,'Factor Weights'!$A$5:$A$11,0),0)),0)</f>
        <v>2.90277777777778</v>
      </c>
      <c r="L137" s="29" t="n">
        <f aca="false">MAX(F137:J137)</f>
        <v>3.66666666666667</v>
      </c>
      <c r="M137" s="28" t="n">
        <f aca="false">IF(L137&gt;=Config!$C$13,MAX(K137,Config!$C$14),K137)</f>
        <v>2.90277777777778</v>
      </c>
      <c r="N137" s="30" t="n">
        <f aca="false">IF(Config!$C$12="Weighted average",K137,IF(Config!$C$12="Weighted with floor",M137,L137))</f>
        <v>2.90277777777778</v>
      </c>
      <c r="O137" s="31" t="n">
        <f aca="false">IF(N137&lt;Config!$D$5,"",MATCH(N137,Config!$D$5:$D$9,1))</f>
        <v>3</v>
      </c>
      <c r="P137" s="7" t="str">
        <f aca="false">IF(O137="","No data",INDEX(Config!$B$5:$B$9,O137))</f>
        <v>Medium</v>
      </c>
      <c r="Q137" s="32" t="n">
        <v>0</v>
      </c>
      <c r="R137" s="8"/>
      <c r="S137" s="33"/>
      <c r="T137" s="34" t="n">
        <f aca="false">IF(O137="","",IF(AND(S137="Y",Q137&lt;&gt;0),MAX(1,MIN(5,O137+MAX(-Config!$C$27,MIN(Config!$C$27,Q137)))),O137))</f>
        <v>3</v>
      </c>
      <c r="U137" s="35" t="str">
        <f aca="false">IF(T137="","No data",INDEX(Config!$B$5:$B$9,T137))</f>
        <v>Medium</v>
      </c>
      <c r="V137" s="7" t="str">
        <f aca="false">IF(Q137=0,"None",IF(S137="Y","Applied","Pending HO approval"))</f>
        <v>None</v>
      </c>
      <c r="W137" s="36" t="n">
        <f aca="false">SUMPRODUCT((Indicators!$Q$5:$Q$35&gt;0)*('Indicator Data'!$V$5:$V$35&lt;&gt;""))/SUMPRODUCT(--(Indicators!$Q$5:$Q$35&gt;0))</f>
        <v>1</v>
      </c>
    </row>
    <row r="138" customFormat="false" ht="15" hidden="false" customHeight="false" outlineLevel="0" collapsed="false">
      <c r="A138" s="26" t="str">
        <f aca="false">Entities!$A$24</f>
        <v>TN</v>
      </c>
      <c r="B138" s="12" t="str">
        <f aca="false">INDEX(Entities!$B$5:$B$34,MATCH(A138,Entities!$A$5:$A$34,0))</f>
        <v>Arab Tunisian Bank</v>
      </c>
      <c r="C138" s="12" t="str">
        <f aca="false">INDEX(Entities!$D$5:$D$34,MATCH(A138,Entities!$A$5:$A$34,0))</f>
        <v>North Africa</v>
      </c>
      <c r="D138" s="12" t="s">
        <v>260</v>
      </c>
      <c r="E138" s="12" t="str">
        <f aca="false">INDEX('Risk Taxonomy'!$B$5:$B$24,MATCH(D138,'Risk Taxonomy'!$A$5:$A$24,0))</f>
        <v>Money laundering</v>
      </c>
      <c r="F138" s="28" t="n">
        <f aca="false">IFERROR(SUMPRODUCT((Indicators!$B$5:$B$35=F$4)*Indicators!$K$5:$K$35*'Indicator Scores'!$W$5:$W$35)/SUMPRODUCT((Indicators!$B$5:$B$35=F$4)*Indicators!$K$5:$K$35*('Indicator Scores'!$W$5:$W$35&gt;0)),0)</f>
        <v>2.66666666666667</v>
      </c>
      <c r="G138" s="28" t="n">
        <f aca="false">IFERROR(SUMPRODUCT((Indicators!$B$5:$B$35=G$4)*Indicators!$K$5:$K$35*'Indicator Scores'!$W$5:$W$35)/SUMPRODUCT((Indicators!$B$5:$B$35=G$4)*Indicators!$K$5:$K$35*('Indicator Scores'!$W$5:$W$35&gt;0)),0)</f>
        <v>2.77777777777778</v>
      </c>
      <c r="H138" s="28" t="n">
        <f aca="false">IFERROR(SUMPRODUCT((Indicators!$B$5:$B$35=H$4)*Indicators!$K$5:$K$35*'Indicator Scores'!$W$5:$W$35)/SUMPRODUCT((Indicators!$B$5:$B$35=H$4)*Indicators!$K$5:$K$35*('Indicator Scores'!$W$5:$W$35&gt;0)),0)</f>
        <v>2.9</v>
      </c>
      <c r="I138" s="28" t="n">
        <f aca="false">IFERROR(SUMPRODUCT((Indicators!$B$5:$B$35=I$4)*Indicators!$K$5:$K$35*'Indicator Scores'!$W$5:$W$35)/SUMPRODUCT((Indicators!$B$5:$B$35=I$4)*Indicators!$K$5:$K$35*('Indicator Scores'!$W$5:$W$35&gt;0)),0)</f>
        <v>2.28571428571429</v>
      </c>
      <c r="J138" s="28" t="n">
        <f aca="false">IFERROR(SUMPRODUCT((Indicators!$B$5:$B$35=J$4)*Indicators!$K$5:$K$35*'Indicator Scores'!$W$5:$W$35)/SUMPRODUCT((Indicators!$B$5:$B$35=J$4)*Indicators!$K$5:$K$35*('Indicator Scores'!$W$5:$W$35&gt;0)),0)</f>
        <v>4.4</v>
      </c>
      <c r="K138" s="28" t="n">
        <f aca="false">IFERROR(SUMPRODUCT(F138:J138,INDEX('Factor Weights'!$C$5:$G$11,MATCH(D138,'Factor Weights'!$A$5:$A$11,0),0))/SUMPRODUCT((F138:J138&gt;0)*INDEX('Factor Weights'!$C$5:$G$11,MATCH(D138,'Factor Weights'!$A$5:$A$11,0),0)),0)</f>
        <v>2.85730158730159</v>
      </c>
      <c r="L138" s="29" t="n">
        <f aca="false">MAX(F138:J138)</f>
        <v>4.4</v>
      </c>
      <c r="M138" s="28" t="n">
        <f aca="false">IF(L138&gt;=Config!$C$13,MAX(K138,Config!$C$14),K138)</f>
        <v>2.85730158730159</v>
      </c>
      <c r="N138" s="30" t="n">
        <f aca="false">IF(Config!$C$12="Weighted average",K138,IF(Config!$C$12="Weighted with floor",M138,L138))</f>
        <v>2.85730158730159</v>
      </c>
      <c r="O138" s="31" t="n">
        <f aca="false">IF(N138&lt;Config!$D$5,"",MATCH(N138,Config!$D$5:$D$9,1))</f>
        <v>3</v>
      </c>
      <c r="P138" s="7" t="str">
        <f aca="false">IF(O138="","No data",INDEX(Config!$B$5:$B$9,O138))</f>
        <v>Medium</v>
      </c>
      <c r="Q138" s="32" t="n">
        <v>0</v>
      </c>
      <c r="R138" s="8"/>
      <c r="S138" s="33"/>
      <c r="T138" s="34" t="n">
        <f aca="false">IF(O138="","",IF(AND(S138="Y",Q138&lt;&gt;0),MAX(1,MIN(5,O138+MAX(-Config!$C$27,MIN(Config!$C$27,Q138)))),O138))</f>
        <v>3</v>
      </c>
      <c r="U138" s="35" t="str">
        <f aca="false">IF(T138="","No data",INDEX(Config!$B$5:$B$9,T138))</f>
        <v>Medium</v>
      </c>
      <c r="V138" s="7" t="str">
        <f aca="false">IF(Q138=0,"None",IF(S138="Y","Applied","Pending HO approval"))</f>
        <v>None</v>
      </c>
      <c r="W138" s="36" t="n">
        <f aca="false">SUMPRODUCT((Indicators!$K$5:$K$35&gt;0)*('Indicator Data'!$W$5:$W$35&lt;&gt;""))/SUMPRODUCT(--(Indicators!$K$5:$K$35&gt;0))</f>
        <v>1</v>
      </c>
    </row>
    <row r="139" customFormat="false" ht="15" hidden="false" customHeight="false" outlineLevel="0" collapsed="false">
      <c r="A139" s="26" t="str">
        <f aca="false">Entities!$A$24</f>
        <v>TN</v>
      </c>
      <c r="B139" s="12" t="str">
        <f aca="false">INDEX(Entities!$B$5:$B$34,MATCH(A139,Entities!$A$5:$A$34,0))</f>
        <v>Arab Tunisian Bank</v>
      </c>
      <c r="C139" s="12" t="str">
        <f aca="false">INDEX(Entities!$D$5:$D$34,MATCH(A139,Entities!$A$5:$A$34,0))</f>
        <v>North Africa</v>
      </c>
      <c r="D139" s="12" t="s">
        <v>267</v>
      </c>
      <c r="E139" s="12" t="str">
        <f aca="false">INDEX('Risk Taxonomy'!$B$5:$B$24,MATCH(D139,'Risk Taxonomy'!$A$5:$A$24,0))</f>
        <v>Terrorist financing</v>
      </c>
      <c r="F139" s="28" t="n">
        <f aca="false">IFERROR(SUMPRODUCT((Indicators!$B$5:$B$35=F$4)*Indicators!$L$5:$L$35*'Indicator Scores'!$W$5:$W$35)/SUMPRODUCT((Indicators!$B$5:$B$35=F$4)*Indicators!$L$5:$L$35*('Indicator Scores'!$W$5:$W$35&gt;0)),0)</f>
        <v>2.7</v>
      </c>
      <c r="G139" s="28" t="n">
        <f aca="false">IFERROR(SUMPRODUCT((Indicators!$B$5:$B$35=G$4)*Indicators!$L$5:$L$35*'Indicator Scores'!$W$5:$W$35)/SUMPRODUCT((Indicators!$B$5:$B$35=G$4)*Indicators!$L$5:$L$35*('Indicator Scores'!$W$5:$W$35&gt;0)),0)</f>
        <v>3</v>
      </c>
      <c r="H139" s="28" t="n">
        <f aca="false">IFERROR(SUMPRODUCT((Indicators!$B$5:$B$35=H$4)*Indicators!$L$5:$L$35*'Indicator Scores'!$W$5:$W$35)/SUMPRODUCT((Indicators!$B$5:$B$35=H$4)*Indicators!$L$5:$L$35*('Indicator Scores'!$W$5:$W$35&gt;0)),0)</f>
        <v>3.16666666666667</v>
      </c>
      <c r="I139" s="28" t="n">
        <f aca="false">IFERROR(SUMPRODUCT((Indicators!$B$5:$B$35=I$4)*Indicators!$L$5:$L$35*'Indicator Scores'!$W$5:$W$35)/SUMPRODUCT((Indicators!$B$5:$B$35=I$4)*Indicators!$L$5:$L$35*('Indicator Scores'!$W$5:$W$35&gt;0)),0)</f>
        <v>2.33333333333333</v>
      </c>
      <c r="J139" s="28" t="n">
        <f aca="false">IFERROR(SUMPRODUCT((Indicators!$B$5:$B$35=J$4)*Indicators!$L$5:$L$35*'Indicator Scores'!$W$5:$W$35)/SUMPRODUCT((Indicators!$B$5:$B$35=J$4)*Indicators!$L$5:$L$35*('Indicator Scores'!$W$5:$W$35&gt;0)),0)</f>
        <v>4.57142857142857</v>
      </c>
      <c r="K139" s="28" t="n">
        <f aca="false">IFERROR(SUMPRODUCT(F139:J139,INDEX('Factor Weights'!$C$5:$G$11,MATCH(D139,'Factor Weights'!$A$5:$A$11,0),0))/SUMPRODUCT((F139:J139&gt;0)*INDEX('Factor Weights'!$C$5:$G$11,MATCH(D139,'Factor Weights'!$A$5:$A$11,0),0)),0)</f>
        <v>3.19761904761905</v>
      </c>
      <c r="L139" s="29" t="n">
        <f aca="false">MAX(F139:J139)</f>
        <v>4.57142857142857</v>
      </c>
      <c r="M139" s="28" t="n">
        <f aca="false">IF(L139&gt;=Config!$C$13,MAX(K139,Config!$C$14),K139)</f>
        <v>3.19761904761905</v>
      </c>
      <c r="N139" s="30" t="n">
        <f aca="false">IF(Config!$C$12="Weighted average",K139,IF(Config!$C$12="Weighted with floor",M139,L139))</f>
        <v>3.19761904761905</v>
      </c>
      <c r="O139" s="31" t="n">
        <f aca="false">IF(N139&lt;Config!$D$5,"",MATCH(N139,Config!$D$5:$D$9,1))</f>
        <v>3</v>
      </c>
      <c r="P139" s="7" t="str">
        <f aca="false">IF(O139="","No data",INDEX(Config!$B$5:$B$9,O139))</f>
        <v>Medium</v>
      </c>
      <c r="Q139" s="32" t="n">
        <v>0</v>
      </c>
      <c r="R139" s="8"/>
      <c r="S139" s="33"/>
      <c r="T139" s="34" t="n">
        <f aca="false">IF(O139="","",IF(AND(S139="Y",Q139&lt;&gt;0),MAX(1,MIN(5,O139+MAX(-Config!$C$27,MIN(Config!$C$27,Q139)))),O139))</f>
        <v>3</v>
      </c>
      <c r="U139" s="35" t="str">
        <f aca="false">IF(T139="","No data",INDEX(Config!$B$5:$B$9,T139))</f>
        <v>Medium</v>
      </c>
      <c r="V139" s="7" t="str">
        <f aca="false">IF(Q139=0,"None",IF(S139="Y","Applied","Pending HO approval"))</f>
        <v>None</v>
      </c>
      <c r="W139" s="36" t="n">
        <f aca="false">SUMPRODUCT((Indicators!$L$5:$L$35&gt;0)*('Indicator Data'!$W$5:$W$35&lt;&gt;""))/SUMPRODUCT(--(Indicators!$L$5:$L$35&gt;0))</f>
        <v>1</v>
      </c>
    </row>
    <row r="140" customFormat="false" ht="15" hidden="false" customHeight="false" outlineLevel="0" collapsed="false">
      <c r="A140" s="26" t="str">
        <f aca="false">Entities!$A$24</f>
        <v>TN</v>
      </c>
      <c r="B140" s="12" t="str">
        <f aca="false">INDEX(Entities!$B$5:$B$34,MATCH(A140,Entities!$A$5:$A$34,0))</f>
        <v>Arab Tunisian Bank</v>
      </c>
      <c r="C140" s="12" t="str">
        <f aca="false">INDEX(Entities!$D$5:$D$34,MATCH(A140,Entities!$A$5:$A$34,0))</f>
        <v>North Africa</v>
      </c>
      <c r="D140" s="12" t="s">
        <v>270</v>
      </c>
      <c r="E140" s="12" t="str">
        <f aca="false">INDEX('Risk Taxonomy'!$B$5:$B$24,MATCH(D140,'Risk Taxonomy'!$A$5:$A$24,0))</f>
        <v>Proliferation financing</v>
      </c>
      <c r="F140" s="28" t="n">
        <f aca="false">IFERROR(SUMPRODUCT((Indicators!$B$5:$B$35=F$4)*Indicators!$M$5:$M$35*'Indicator Scores'!$W$5:$W$35)/SUMPRODUCT((Indicators!$B$5:$B$35=F$4)*Indicators!$M$5:$M$35*('Indicator Scores'!$W$5:$W$35&gt;0)),0)</f>
        <v>2.25</v>
      </c>
      <c r="G140" s="28" t="n">
        <f aca="false">IFERROR(SUMPRODUCT((Indicators!$B$5:$B$35=G$4)*Indicators!$M$5:$M$35*'Indicator Scores'!$W$5:$W$35)/SUMPRODUCT((Indicators!$B$5:$B$35=G$4)*Indicators!$M$5:$M$35*('Indicator Scores'!$W$5:$W$35&gt;0)),0)</f>
        <v>2.75</v>
      </c>
      <c r="H140" s="28" t="n">
        <f aca="false">IFERROR(SUMPRODUCT((Indicators!$B$5:$B$35=H$4)*Indicators!$M$5:$M$35*'Indicator Scores'!$W$5:$W$35)/SUMPRODUCT((Indicators!$B$5:$B$35=H$4)*Indicators!$M$5:$M$35*('Indicator Scores'!$W$5:$W$35&gt;0)),0)</f>
        <v>2.77777777777778</v>
      </c>
      <c r="I140" s="28" t="n">
        <f aca="false">IFERROR(SUMPRODUCT((Indicators!$B$5:$B$35=I$4)*Indicators!$M$5:$M$35*'Indicator Scores'!$W$5:$W$35)/SUMPRODUCT((Indicators!$B$5:$B$35=I$4)*Indicators!$M$5:$M$35*('Indicator Scores'!$W$5:$W$35&gt;0)),0)</f>
        <v>2.66666666666667</v>
      </c>
      <c r="J140" s="28" t="n">
        <f aca="false">IFERROR(SUMPRODUCT((Indicators!$B$5:$B$35=J$4)*Indicators!$M$5:$M$35*'Indicator Scores'!$W$5:$W$35)/SUMPRODUCT((Indicators!$B$5:$B$35=J$4)*Indicators!$M$5:$M$35*('Indicator Scores'!$W$5:$W$35&gt;0)),0)</f>
        <v>3.5</v>
      </c>
      <c r="K140" s="28" t="n">
        <f aca="false">IFERROR(SUMPRODUCT(F140:J140,INDEX('Factor Weights'!$C$5:$G$11,MATCH(D140,'Factor Weights'!$A$5:$A$11,0),0))/SUMPRODUCT((F140:J140&gt;0)*INDEX('Factor Weights'!$C$5:$G$11,MATCH(D140,'Factor Weights'!$A$5:$A$11,0),0)),0)</f>
        <v>2.82916666666667</v>
      </c>
      <c r="L140" s="29" t="n">
        <f aca="false">MAX(F140:J140)</f>
        <v>3.5</v>
      </c>
      <c r="M140" s="28" t="n">
        <f aca="false">IF(L140&gt;=Config!$C$13,MAX(K140,Config!$C$14),K140)</f>
        <v>2.82916666666667</v>
      </c>
      <c r="N140" s="30" t="n">
        <f aca="false">IF(Config!$C$12="Weighted average",K140,IF(Config!$C$12="Weighted with floor",M140,L140))</f>
        <v>2.82916666666667</v>
      </c>
      <c r="O140" s="31" t="n">
        <f aca="false">IF(N140&lt;Config!$D$5,"",MATCH(N140,Config!$D$5:$D$9,1))</f>
        <v>3</v>
      </c>
      <c r="P140" s="7" t="str">
        <f aca="false">IF(O140="","No data",INDEX(Config!$B$5:$B$9,O140))</f>
        <v>Medium</v>
      </c>
      <c r="Q140" s="32" t="n">
        <v>0</v>
      </c>
      <c r="R140" s="8"/>
      <c r="S140" s="33"/>
      <c r="T140" s="34" t="n">
        <f aca="false">IF(O140="","",IF(AND(S140="Y",Q140&lt;&gt;0),MAX(1,MIN(5,O140+MAX(-Config!$C$27,MIN(Config!$C$27,Q140)))),O140))</f>
        <v>3</v>
      </c>
      <c r="U140" s="35" t="str">
        <f aca="false">IF(T140="","No data",INDEX(Config!$B$5:$B$9,T140))</f>
        <v>Medium</v>
      </c>
      <c r="V140" s="7" t="str">
        <f aca="false">IF(Q140=0,"None",IF(S140="Y","Applied","Pending HO approval"))</f>
        <v>None</v>
      </c>
      <c r="W140" s="36" t="n">
        <f aca="false">SUMPRODUCT((Indicators!$M$5:$M$35&gt;0)*('Indicator Data'!$W$5:$W$35&lt;&gt;""))/SUMPRODUCT(--(Indicators!$M$5:$M$35&gt;0))</f>
        <v>1</v>
      </c>
    </row>
    <row r="141" customFormat="false" ht="15" hidden="false" customHeight="false" outlineLevel="0" collapsed="false">
      <c r="A141" s="26" t="str">
        <f aca="false">Entities!$A$24</f>
        <v>TN</v>
      </c>
      <c r="B141" s="12" t="str">
        <f aca="false">INDEX(Entities!$B$5:$B$34,MATCH(A141,Entities!$A$5:$A$34,0))</f>
        <v>Arab Tunisian Bank</v>
      </c>
      <c r="C141" s="12" t="str">
        <f aca="false">INDEX(Entities!$D$5:$D$34,MATCH(A141,Entities!$A$5:$A$34,0))</f>
        <v>North Africa</v>
      </c>
      <c r="D141" s="12" t="s">
        <v>272</v>
      </c>
      <c r="E141" s="12" t="str">
        <f aca="false">INDEX('Risk Taxonomy'!$B$5:$B$24,MATCH(D141,'Risk Taxonomy'!$A$5:$A$24,0))</f>
        <v>Sanctions</v>
      </c>
      <c r="F141" s="28" t="n">
        <f aca="false">IFERROR(SUMPRODUCT((Indicators!$B$5:$B$35=F$4)*Indicators!$N$5:$N$35*'Indicator Scores'!$W$5:$W$35)/SUMPRODUCT((Indicators!$B$5:$B$35=F$4)*Indicators!$N$5:$N$35*('Indicator Scores'!$W$5:$W$35&gt;0)),0)</f>
        <v>2.28571428571429</v>
      </c>
      <c r="G141" s="28" t="n">
        <f aca="false">IFERROR(SUMPRODUCT((Indicators!$B$5:$B$35=G$4)*Indicators!$N$5:$N$35*'Indicator Scores'!$W$5:$W$35)/SUMPRODUCT((Indicators!$B$5:$B$35=G$4)*Indicators!$N$5:$N$35*('Indicator Scores'!$W$5:$W$35&gt;0)),0)</f>
        <v>2.85714285714286</v>
      </c>
      <c r="H141" s="28" t="n">
        <f aca="false">IFERROR(SUMPRODUCT((Indicators!$B$5:$B$35=H$4)*Indicators!$N$5:$N$35*'Indicator Scores'!$W$5:$W$35)/SUMPRODUCT((Indicators!$B$5:$B$35=H$4)*Indicators!$N$5:$N$35*('Indicator Scores'!$W$5:$W$35&gt;0)),0)</f>
        <v>2.875</v>
      </c>
      <c r="I141" s="28" t="n">
        <f aca="false">IFERROR(SUMPRODUCT((Indicators!$B$5:$B$35=I$4)*Indicators!$N$5:$N$35*'Indicator Scores'!$W$5:$W$35)/SUMPRODUCT((Indicators!$B$5:$B$35=I$4)*Indicators!$N$5:$N$35*('Indicator Scores'!$W$5:$W$35&gt;0)),0)</f>
        <v>2.33333333333333</v>
      </c>
      <c r="J141" s="28" t="n">
        <f aca="false">IFERROR(SUMPRODUCT((Indicators!$B$5:$B$35=J$4)*Indicators!$N$5:$N$35*'Indicator Scores'!$W$5:$W$35)/SUMPRODUCT((Indicators!$B$5:$B$35=J$4)*Indicators!$N$5:$N$35*('Indicator Scores'!$W$5:$W$35&gt;0)),0)</f>
        <v>3.6</v>
      </c>
      <c r="K141" s="28" t="n">
        <f aca="false">IFERROR(SUMPRODUCT(F141:J141,INDEX('Factor Weights'!$C$5:$G$11,MATCH(D141,'Factor Weights'!$A$5:$A$11,0),0))/SUMPRODUCT((F141:J141&gt;0)*INDEX('Factor Weights'!$C$5:$G$11,MATCH(D141,'Factor Weights'!$A$5:$A$11,0),0)),0)</f>
        <v>2.89738095238095</v>
      </c>
      <c r="L141" s="29" t="n">
        <f aca="false">MAX(F141:J141)</f>
        <v>3.6</v>
      </c>
      <c r="M141" s="28" t="n">
        <f aca="false">IF(L141&gt;=Config!$C$13,MAX(K141,Config!$C$14),K141)</f>
        <v>2.89738095238095</v>
      </c>
      <c r="N141" s="30" t="n">
        <f aca="false">IF(Config!$C$12="Weighted average",K141,IF(Config!$C$12="Weighted with floor",M141,L141))</f>
        <v>2.89738095238095</v>
      </c>
      <c r="O141" s="31" t="n">
        <f aca="false">IF(N141&lt;Config!$D$5,"",MATCH(N141,Config!$D$5:$D$9,1))</f>
        <v>3</v>
      </c>
      <c r="P141" s="7" t="str">
        <f aca="false">IF(O141="","No data",INDEX(Config!$B$5:$B$9,O141))</f>
        <v>Medium</v>
      </c>
      <c r="Q141" s="32" t="n">
        <v>0</v>
      </c>
      <c r="R141" s="8"/>
      <c r="S141" s="33"/>
      <c r="T141" s="34" t="n">
        <f aca="false">IF(O141="","",IF(AND(S141="Y",Q141&lt;&gt;0),MAX(1,MIN(5,O141+MAX(-Config!$C$27,MIN(Config!$C$27,Q141)))),O141))</f>
        <v>3</v>
      </c>
      <c r="U141" s="35" t="str">
        <f aca="false">IF(T141="","No data",INDEX(Config!$B$5:$B$9,T141))</f>
        <v>Medium</v>
      </c>
      <c r="V141" s="7" t="str">
        <f aca="false">IF(Q141=0,"None",IF(S141="Y","Applied","Pending HO approval"))</f>
        <v>None</v>
      </c>
      <c r="W141" s="36" t="n">
        <f aca="false">SUMPRODUCT((Indicators!$N$5:$N$35&gt;0)*('Indicator Data'!$W$5:$W$35&lt;&gt;""))/SUMPRODUCT(--(Indicators!$N$5:$N$35&gt;0))</f>
        <v>1</v>
      </c>
    </row>
    <row r="142" customFormat="false" ht="15" hidden="false" customHeight="false" outlineLevel="0" collapsed="false">
      <c r="A142" s="26" t="str">
        <f aca="false">Entities!$A$24</f>
        <v>TN</v>
      </c>
      <c r="B142" s="12" t="str">
        <f aca="false">INDEX(Entities!$B$5:$B$34,MATCH(A142,Entities!$A$5:$A$34,0))</f>
        <v>Arab Tunisian Bank</v>
      </c>
      <c r="C142" s="12" t="str">
        <f aca="false">INDEX(Entities!$D$5:$D$34,MATCH(A142,Entities!$A$5:$A$34,0))</f>
        <v>North Africa</v>
      </c>
      <c r="D142" s="12" t="s">
        <v>275</v>
      </c>
      <c r="E142" s="12" t="str">
        <f aca="false">INDEX('Risk Taxonomy'!$B$5:$B$24,MATCH(D142,'Risk Taxonomy'!$A$5:$A$24,0))</f>
        <v>Bribery and corruption</v>
      </c>
      <c r="F142" s="28" t="n">
        <f aca="false">IFERROR(SUMPRODUCT((Indicators!$B$5:$B$35=F$4)*Indicators!$O$5:$O$35*'Indicator Scores'!$W$5:$W$35)/SUMPRODUCT((Indicators!$B$5:$B$35=F$4)*Indicators!$O$5:$O$35*('Indicator Scores'!$W$5:$W$35&gt;0)),0)</f>
        <v>2.55555555555556</v>
      </c>
      <c r="G142" s="28" t="n">
        <f aca="false">IFERROR(SUMPRODUCT((Indicators!$B$5:$B$35=G$4)*Indicators!$O$5:$O$35*'Indicator Scores'!$W$5:$W$35)/SUMPRODUCT((Indicators!$B$5:$B$35=G$4)*Indicators!$O$5:$O$35*('Indicator Scores'!$W$5:$W$35&gt;0)),0)</f>
        <v>2.8</v>
      </c>
      <c r="H142" s="28" t="n">
        <f aca="false">IFERROR(SUMPRODUCT((Indicators!$B$5:$B$35=H$4)*Indicators!$O$5:$O$35*'Indicator Scores'!$W$5:$W$35)/SUMPRODUCT((Indicators!$B$5:$B$35=H$4)*Indicators!$O$5:$O$35*('Indicator Scores'!$W$5:$W$35&gt;0)),0)</f>
        <v>3</v>
      </c>
      <c r="I142" s="28" t="n">
        <f aca="false">IFERROR(SUMPRODUCT((Indicators!$B$5:$B$35=I$4)*Indicators!$O$5:$O$35*'Indicator Scores'!$W$5:$W$35)/SUMPRODUCT((Indicators!$B$5:$B$35=I$4)*Indicators!$O$5:$O$35*('Indicator Scores'!$W$5:$W$35&gt;0)),0)</f>
        <v>4.2</v>
      </c>
      <c r="J142" s="28" t="n">
        <f aca="false">IFERROR(SUMPRODUCT((Indicators!$B$5:$B$35=J$4)*Indicators!$O$5:$O$35*'Indicator Scores'!$W$5:$W$35)/SUMPRODUCT((Indicators!$B$5:$B$35=J$4)*Indicators!$O$5:$O$35*('Indicator Scores'!$W$5:$W$35&gt;0)),0)</f>
        <v>3</v>
      </c>
      <c r="K142" s="28" t="n">
        <f aca="false">IFERROR(SUMPRODUCT(F142:J142,INDEX('Factor Weights'!$C$5:$G$11,MATCH(D142,'Factor Weights'!$A$5:$A$11,0),0))/SUMPRODUCT((F142:J142&gt;0)*INDEX('Factor Weights'!$C$5:$G$11,MATCH(D142,'Factor Weights'!$A$5:$A$11,0),0)),0)</f>
        <v>3.05666666666667</v>
      </c>
      <c r="L142" s="29" t="n">
        <f aca="false">MAX(F142:J142)</f>
        <v>4.2</v>
      </c>
      <c r="M142" s="28" t="n">
        <f aca="false">IF(L142&gt;=Config!$C$13,MAX(K142,Config!$C$14),K142)</f>
        <v>3.05666666666667</v>
      </c>
      <c r="N142" s="30" t="n">
        <f aca="false">IF(Config!$C$12="Weighted average",K142,IF(Config!$C$12="Weighted with floor",M142,L142))</f>
        <v>3.05666666666667</v>
      </c>
      <c r="O142" s="31" t="n">
        <f aca="false">IF(N142&lt;Config!$D$5,"",MATCH(N142,Config!$D$5:$D$9,1))</f>
        <v>3</v>
      </c>
      <c r="P142" s="7" t="str">
        <f aca="false">IF(O142="","No data",INDEX(Config!$B$5:$B$9,O142))</f>
        <v>Medium</v>
      </c>
      <c r="Q142" s="32" t="n">
        <v>0</v>
      </c>
      <c r="R142" s="8"/>
      <c r="S142" s="33"/>
      <c r="T142" s="34" t="n">
        <f aca="false">IF(O142="","",IF(AND(S142="Y",Q142&lt;&gt;0),MAX(1,MIN(5,O142+MAX(-Config!$C$27,MIN(Config!$C$27,Q142)))),O142))</f>
        <v>3</v>
      </c>
      <c r="U142" s="35" t="str">
        <f aca="false">IF(T142="","No data",INDEX(Config!$B$5:$B$9,T142))</f>
        <v>Medium</v>
      </c>
      <c r="V142" s="7" t="str">
        <f aca="false">IF(Q142=0,"None",IF(S142="Y","Applied","Pending HO approval"))</f>
        <v>None</v>
      </c>
      <c r="W142" s="36" t="n">
        <f aca="false">SUMPRODUCT((Indicators!$O$5:$O$35&gt;0)*('Indicator Data'!$W$5:$W$35&lt;&gt;""))/SUMPRODUCT(--(Indicators!$O$5:$O$35&gt;0))</f>
        <v>1</v>
      </c>
    </row>
    <row r="143" customFormat="false" ht="15" hidden="false" customHeight="false" outlineLevel="0" collapsed="false">
      <c r="A143" s="26" t="str">
        <f aca="false">Entities!$A$24</f>
        <v>TN</v>
      </c>
      <c r="B143" s="12" t="str">
        <f aca="false">INDEX(Entities!$B$5:$B$34,MATCH(A143,Entities!$A$5:$A$34,0))</f>
        <v>Arab Tunisian Bank</v>
      </c>
      <c r="C143" s="12" t="str">
        <f aca="false">INDEX(Entities!$D$5:$D$34,MATCH(A143,Entities!$A$5:$A$34,0))</f>
        <v>North Africa</v>
      </c>
      <c r="D143" s="12" t="s">
        <v>278</v>
      </c>
      <c r="E143" s="12" t="str">
        <f aca="false">INDEX('Risk Taxonomy'!$B$5:$B$24,MATCH(D143,'Risk Taxonomy'!$A$5:$A$24,0))</f>
        <v>Fraud</v>
      </c>
      <c r="F143" s="28" t="n">
        <f aca="false">IFERROR(SUMPRODUCT((Indicators!$B$5:$B$35=F$4)*Indicators!$P$5:$P$35*'Indicator Scores'!$W$5:$W$35)/SUMPRODUCT((Indicators!$B$5:$B$35=F$4)*Indicators!$P$5:$P$35*('Indicator Scores'!$W$5:$W$35&gt;0)),0)</f>
        <v>2.66666666666667</v>
      </c>
      <c r="G143" s="28" t="n">
        <f aca="false">IFERROR(SUMPRODUCT((Indicators!$B$5:$B$35=G$4)*Indicators!$P$5:$P$35*'Indicator Scores'!$W$5:$W$35)/SUMPRODUCT((Indicators!$B$5:$B$35=G$4)*Indicators!$P$5:$P$35*('Indicator Scores'!$W$5:$W$35&gt;0)),0)</f>
        <v>3</v>
      </c>
      <c r="H143" s="28" t="n">
        <f aca="false">IFERROR(SUMPRODUCT((Indicators!$B$5:$B$35=H$4)*Indicators!$P$5:$P$35*'Indicator Scores'!$W$5:$W$35)/SUMPRODUCT((Indicators!$B$5:$B$35=H$4)*Indicators!$P$5:$P$35*('Indicator Scores'!$W$5:$W$35&gt;0)),0)</f>
        <v>2.6</v>
      </c>
      <c r="I143" s="28" t="n">
        <f aca="false">IFERROR(SUMPRODUCT((Indicators!$B$5:$B$35=I$4)*Indicators!$P$5:$P$35*'Indicator Scores'!$W$5:$W$35)/SUMPRODUCT((Indicators!$B$5:$B$35=I$4)*Indicators!$P$5:$P$35*('Indicator Scores'!$W$5:$W$35&gt;0)),0)</f>
        <v>2.11111111111111</v>
      </c>
      <c r="J143" s="28" t="n">
        <f aca="false">IFERROR(SUMPRODUCT((Indicators!$B$5:$B$35=J$4)*Indicators!$P$5:$P$35*'Indicator Scores'!$W$5:$W$35)/SUMPRODUCT((Indicators!$B$5:$B$35=J$4)*Indicators!$P$5:$P$35*('Indicator Scores'!$W$5:$W$35&gt;0)),0)</f>
        <v>4.2</v>
      </c>
      <c r="K143" s="28" t="n">
        <f aca="false">IFERROR(SUMPRODUCT(F143:J143,INDEX('Factor Weights'!$C$5:$G$11,MATCH(D143,'Factor Weights'!$A$5:$A$11,0),0))/SUMPRODUCT((F143:J143&gt;0)*INDEX('Factor Weights'!$C$5:$G$11,MATCH(D143,'Factor Weights'!$A$5:$A$11,0),0)),0)</f>
        <v>2.82666666666667</v>
      </c>
      <c r="L143" s="29" t="n">
        <f aca="false">MAX(F143:J143)</f>
        <v>4.2</v>
      </c>
      <c r="M143" s="28" t="n">
        <f aca="false">IF(L143&gt;=Config!$C$13,MAX(K143,Config!$C$14),K143)</f>
        <v>2.82666666666667</v>
      </c>
      <c r="N143" s="30" t="n">
        <f aca="false">IF(Config!$C$12="Weighted average",K143,IF(Config!$C$12="Weighted with floor",M143,L143))</f>
        <v>2.82666666666667</v>
      </c>
      <c r="O143" s="31" t="n">
        <f aca="false">IF(N143&lt;Config!$D$5,"",MATCH(N143,Config!$D$5:$D$9,1))</f>
        <v>3</v>
      </c>
      <c r="P143" s="7" t="str">
        <f aca="false">IF(O143="","No data",INDEX(Config!$B$5:$B$9,O143))</f>
        <v>Medium</v>
      </c>
      <c r="Q143" s="32" t="n">
        <v>0</v>
      </c>
      <c r="R143" s="8"/>
      <c r="S143" s="33"/>
      <c r="T143" s="34" t="n">
        <f aca="false">IF(O143="","",IF(AND(S143="Y",Q143&lt;&gt;0),MAX(1,MIN(5,O143+MAX(-Config!$C$27,MIN(Config!$C$27,Q143)))),O143))</f>
        <v>3</v>
      </c>
      <c r="U143" s="35" t="str">
        <f aca="false">IF(T143="","No data",INDEX(Config!$B$5:$B$9,T143))</f>
        <v>Medium</v>
      </c>
      <c r="V143" s="7" t="str">
        <f aca="false">IF(Q143=0,"None",IF(S143="Y","Applied","Pending HO approval"))</f>
        <v>None</v>
      </c>
      <c r="W143" s="36" t="n">
        <f aca="false">SUMPRODUCT((Indicators!$P$5:$P$35&gt;0)*('Indicator Data'!$W$5:$W$35&lt;&gt;""))/SUMPRODUCT(--(Indicators!$P$5:$P$35&gt;0))</f>
        <v>1</v>
      </c>
    </row>
    <row r="144" customFormat="false" ht="15" hidden="false" customHeight="false" outlineLevel="0" collapsed="false">
      <c r="A144" s="26" t="str">
        <f aca="false">Entities!$A$24</f>
        <v>TN</v>
      </c>
      <c r="B144" s="12" t="str">
        <f aca="false">INDEX(Entities!$B$5:$B$34,MATCH(A144,Entities!$A$5:$A$34,0))</f>
        <v>Arab Tunisian Bank</v>
      </c>
      <c r="C144" s="12" t="str">
        <f aca="false">INDEX(Entities!$D$5:$D$34,MATCH(A144,Entities!$A$5:$A$34,0))</f>
        <v>North Africa</v>
      </c>
      <c r="D144" s="12" t="s">
        <v>281</v>
      </c>
      <c r="E144" s="12" t="str">
        <f aca="false">INDEX('Risk Taxonomy'!$B$5:$B$24,MATCH(D144,'Risk Taxonomy'!$A$5:$A$24,0))</f>
        <v>Tax evasion and tax transparency</v>
      </c>
      <c r="F144" s="28" t="n">
        <f aca="false">IFERROR(SUMPRODUCT((Indicators!$B$5:$B$35=F$4)*Indicators!$Q$5:$Q$35*'Indicator Scores'!$W$5:$W$35)/SUMPRODUCT((Indicators!$B$5:$B$35=F$4)*Indicators!$Q$5:$Q$35*('Indicator Scores'!$W$5:$W$35&gt;0)),0)</f>
        <v>2.33333333333333</v>
      </c>
      <c r="G144" s="28" t="n">
        <f aca="false">IFERROR(SUMPRODUCT((Indicators!$B$5:$B$35=G$4)*Indicators!$Q$5:$Q$35*'Indicator Scores'!$W$5:$W$35)/SUMPRODUCT((Indicators!$B$5:$B$35=G$4)*Indicators!$Q$5:$Q$35*('Indicator Scores'!$W$5:$W$35&gt;0)),0)</f>
        <v>2.83333333333333</v>
      </c>
      <c r="H144" s="28" t="n">
        <f aca="false">IFERROR(SUMPRODUCT((Indicators!$B$5:$B$35=H$4)*Indicators!$Q$5:$Q$35*'Indicator Scores'!$W$5:$W$35)/SUMPRODUCT((Indicators!$B$5:$B$35=H$4)*Indicators!$Q$5:$Q$35*('Indicator Scores'!$W$5:$W$35&gt;0)),0)</f>
        <v>2.83333333333333</v>
      </c>
      <c r="I144" s="28" t="n">
        <f aca="false">IFERROR(SUMPRODUCT((Indicators!$B$5:$B$35=I$4)*Indicators!$Q$5:$Q$35*'Indicator Scores'!$W$5:$W$35)/SUMPRODUCT((Indicators!$B$5:$B$35=I$4)*Indicators!$Q$5:$Q$35*('Indicator Scores'!$W$5:$W$35&gt;0)),0)</f>
        <v>2.5</v>
      </c>
      <c r="J144" s="28" t="n">
        <f aca="false">IFERROR(SUMPRODUCT((Indicators!$B$5:$B$35=J$4)*Indicators!$Q$5:$Q$35*'Indicator Scores'!$W$5:$W$35)/SUMPRODUCT((Indicators!$B$5:$B$35=J$4)*Indicators!$Q$5:$Q$35*('Indicator Scores'!$W$5:$W$35&gt;0)),0)</f>
        <v>3</v>
      </c>
      <c r="K144" s="28" t="n">
        <f aca="false">IFERROR(SUMPRODUCT(F144:J144,INDEX('Factor Weights'!$C$5:$G$11,MATCH(D144,'Factor Weights'!$A$5:$A$11,0),0))/SUMPRODUCT((F144:J144&gt;0)*INDEX('Factor Weights'!$C$5:$G$11,MATCH(D144,'Factor Weights'!$A$5:$A$11,0),0)),0)</f>
        <v>2.64166666666667</v>
      </c>
      <c r="L144" s="29" t="n">
        <f aca="false">MAX(F144:J144)</f>
        <v>3</v>
      </c>
      <c r="M144" s="28" t="n">
        <f aca="false">IF(L144&gt;=Config!$C$13,MAX(K144,Config!$C$14),K144)</f>
        <v>2.64166666666667</v>
      </c>
      <c r="N144" s="30" t="n">
        <f aca="false">IF(Config!$C$12="Weighted average",K144,IF(Config!$C$12="Weighted with floor",M144,L144))</f>
        <v>2.64166666666667</v>
      </c>
      <c r="O144" s="31" t="n">
        <f aca="false">IF(N144&lt;Config!$D$5,"",MATCH(N144,Config!$D$5:$D$9,1))</f>
        <v>3</v>
      </c>
      <c r="P144" s="7" t="str">
        <f aca="false">IF(O144="","No data",INDEX(Config!$B$5:$B$9,O144))</f>
        <v>Medium</v>
      </c>
      <c r="Q144" s="32" t="n">
        <v>0</v>
      </c>
      <c r="R144" s="8"/>
      <c r="S144" s="33"/>
      <c r="T144" s="34" t="n">
        <f aca="false">IF(O144="","",IF(AND(S144="Y",Q144&lt;&gt;0),MAX(1,MIN(5,O144+MAX(-Config!$C$27,MIN(Config!$C$27,Q144)))),O144))</f>
        <v>3</v>
      </c>
      <c r="U144" s="35" t="str">
        <f aca="false">IF(T144="","No data",INDEX(Config!$B$5:$B$9,T144))</f>
        <v>Medium</v>
      </c>
      <c r="V144" s="7" t="str">
        <f aca="false">IF(Q144=0,"None",IF(S144="Y","Applied","Pending HO approval"))</f>
        <v>None</v>
      </c>
      <c r="W144" s="36" t="n">
        <f aca="false">SUMPRODUCT((Indicators!$Q$5:$Q$35&gt;0)*('Indicator Data'!$W$5:$W$35&lt;&gt;""))/SUMPRODUCT(--(Indicators!$Q$5:$Q$35&gt;0))</f>
        <v>1</v>
      </c>
    </row>
    <row r="145" customFormat="false" ht="15" hidden="false" customHeight="false" outlineLevel="0" collapsed="false">
      <c r="A145" s="26" t="str">
        <f aca="false">Entities!$A$25</f>
        <v>SD</v>
      </c>
      <c r="B145" s="12" t="str">
        <f aca="false">INDEX(Entities!$B$5:$B$34,MATCH(A145,Entities!$A$5:$A$34,0))</f>
        <v>Arab Sudanese Bank</v>
      </c>
      <c r="C145" s="12" t="str">
        <f aca="false">INDEX(Entities!$D$5:$D$34,MATCH(A145,Entities!$A$5:$A$34,0))</f>
        <v>North Africa</v>
      </c>
      <c r="D145" s="12" t="s">
        <v>260</v>
      </c>
      <c r="E145" s="12" t="str">
        <f aca="false">INDEX('Risk Taxonomy'!$B$5:$B$24,MATCH(D145,'Risk Taxonomy'!$A$5:$A$24,0))</f>
        <v>Money laundering</v>
      </c>
      <c r="F145" s="28" t="n">
        <f aca="false">IFERROR(SUMPRODUCT((Indicators!$B$5:$B$35=F$4)*Indicators!$K$5:$K$35*'Indicator Scores'!$X$5:$X$35)/SUMPRODUCT((Indicators!$B$5:$B$35=F$4)*Indicators!$K$5:$K$35*('Indicator Scores'!$X$5:$X$35&gt;0)),0)</f>
        <v>4.33333333333333</v>
      </c>
      <c r="G145" s="28" t="n">
        <f aca="false">IFERROR(SUMPRODUCT((Indicators!$B$5:$B$35=G$4)*Indicators!$K$5:$K$35*'Indicator Scores'!$X$5:$X$35)/SUMPRODUCT((Indicators!$B$5:$B$35=G$4)*Indicators!$K$5:$K$35*('Indicator Scores'!$X$5:$X$35&gt;0)),0)</f>
        <v>4</v>
      </c>
      <c r="H145" s="28" t="n">
        <f aca="false">IFERROR(SUMPRODUCT((Indicators!$B$5:$B$35=H$4)*Indicators!$K$5:$K$35*'Indicator Scores'!$X$5:$X$35)/SUMPRODUCT((Indicators!$B$5:$B$35=H$4)*Indicators!$K$5:$K$35*('Indicator Scores'!$X$5:$X$35&gt;0)),0)</f>
        <v>4.2</v>
      </c>
      <c r="I145" s="28" t="n">
        <f aca="false">IFERROR(SUMPRODUCT((Indicators!$B$5:$B$35=I$4)*Indicators!$K$5:$K$35*'Indicator Scores'!$X$5:$X$35)/SUMPRODUCT((Indicators!$B$5:$B$35=I$4)*Indicators!$K$5:$K$35*('Indicator Scores'!$X$5:$X$35&gt;0)),0)</f>
        <v>4.71428571428571</v>
      </c>
      <c r="J145" s="28" t="n">
        <f aca="false">IFERROR(SUMPRODUCT((Indicators!$B$5:$B$35=J$4)*Indicators!$K$5:$K$35*'Indicator Scores'!$X$5:$X$35)/SUMPRODUCT((Indicators!$B$5:$B$35=J$4)*Indicators!$K$5:$K$35*('Indicator Scores'!$X$5:$X$35&gt;0)),0)</f>
        <v>3.8</v>
      </c>
      <c r="K145" s="28" t="n">
        <f aca="false">IFERROR(SUMPRODUCT(F145:J145,INDEX('Factor Weights'!$C$5:$G$11,MATCH(D145,'Factor Weights'!$A$5:$A$11,0),0))/SUMPRODUCT((F145:J145&gt;0)*INDEX('Factor Weights'!$C$5:$G$11,MATCH(D145,'Factor Weights'!$A$5:$A$11,0),0)),0)</f>
        <v>4.22714285714286</v>
      </c>
      <c r="L145" s="29" t="n">
        <f aca="false">MAX(F145:J145)</f>
        <v>4.71428571428571</v>
      </c>
      <c r="M145" s="28" t="n">
        <f aca="false">IF(L145&gt;=Config!$C$13,MAX(K145,Config!$C$14),K145)</f>
        <v>4.22714285714286</v>
      </c>
      <c r="N145" s="30" t="n">
        <f aca="false">IF(Config!$C$12="Weighted average",K145,IF(Config!$C$12="Weighted with floor",M145,L145))</f>
        <v>4.22714285714286</v>
      </c>
      <c r="O145" s="31" t="n">
        <f aca="false">IF(N145&lt;Config!$D$5,"",MATCH(N145,Config!$D$5:$D$9,1))</f>
        <v>5</v>
      </c>
      <c r="P145" s="7" t="str">
        <f aca="false">IF(O145="","No data",INDEX(Config!$B$5:$B$9,O145))</f>
        <v>High</v>
      </c>
      <c r="Q145" s="32" t="n">
        <v>0</v>
      </c>
      <c r="R145" s="8"/>
      <c r="S145" s="33"/>
      <c r="T145" s="34" t="n">
        <f aca="false">IF(O145="","",IF(AND(S145="Y",Q145&lt;&gt;0),MAX(1,MIN(5,O145+MAX(-Config!$C$27,MIN(Config!$C$27,Q145)))),O145))</f>
        <v>5</v>
      </c>
      <c r="U145" s="35" t="str">
        <f aca="false">IF(T145="","No data",INDEX(Config!$B$5:$B$9,T145))</f>
        <v>High</v>
      </c>
      <c r="V145" s="7" t="str">
        <f aca="false">IF(Q145=0,"None",IF(S145="Y","Applied","Pending HO approval"))</f>
        <v>None</v>
      </c>
      <c r="W145" s="36" t="n">
        <f aca="false">SUMPRODUCT((Indicators!$K$5:$K$35&gt;0)*('Indicator Data'!$X$5:$X$35&lt;&gt;""))/SUMPRODUCT(--(Indicators!$K$5:$K$35&gt;0))</f>
        <v>1</v>
      </c>
    </row>
    <row r="146" customFormat="false" ht="15" hidden="false" customHeight="false" outlineLevel="0" collapsed="false">
      <c r="A146" s="26" t="str">
        <f aca="false">Entities!$A$25</f>
        <v>SD</v>
      </c>
      <c r="B146" s="12" t="str">
        <f aca="false">INDEX(Entities!$B$5:$B$34,MATCH(A146,Entities!$A$5:$A$34,0))</f>
        <v>Arab Sudanese Bank</v>
      </c>
      <c r="C146" s="12" t="str">
        <f aca="false">INDEX(Entities!$D$5:$D$34,MATCH(A146,Entities!$A$5:$A$34,0))</f>
        <v>North Africa</v>
      </c>
      <c r="D146" s="12" t="s">
        <v>267</v>
      </c>
      <c r="E146" s="12" t="str">
        <f aca="false">INDEX('Risk Taxonomy'!$B$5:$B$24,MATCH(D146,'Risk Taxonomy'!$A$5:$A$24,0))</f>
        <v>Terrorist financing</v>
      </c>
      <c r="F146" s="28" t="n">
        <f aca="false">IFERROR(SUMPRODUCT((Indicators!$B$5:$B$35=F$4)*Indicators!$L$5:$L$35*'Indicator Scores'!$X$5:$X$35)/SUMPRODUCT((Indicators!$B$5:$B$35=F$4)*Indicators!$L$5:$L$35*('Indicator Scores'!$X$5:$X$35&gt;0)),0)</f>
        <v>4.6</v>
      </c>
      <c r="G146" s="28" t="n">
        <f aca="false">IFERROR(SUMPRODUCT((Indicators!$B$5:$B$35=G$4)*Indicators!$L$5:$L$35*'Indicator Scores'!$X$5:$X$35)/SUMPRODUCT((Indicators!$B$5:$B$35=G$4)*Indicators!$L$5:$L$35*('Indicator Scores'!$X$5:$X$35&gt;0)),0)</f>
        <v>4.22222222222222</v>
      </c>
      <c r="H146" s="28" t="n">
        <f aca="false">IFERROR(SUMPRODUCT((Indicators!$B$5:$B$35=H$4)*Indicators!$L$5:$L$35*'Indicator Scores'!$X$5:$X$35)/SUMPRODUCT((Indicators!$B$5:$B$35=H$4)*Indicators!$L$5:$L$35*('Indicator Scores'!$X$5:$X$35&gt;0)),0)</f>
        <v>4.33333333333333</v>
      </c>
      <c r="I146" s="28" t="n">
        <f aca="false">IFERROR(SUMPRODUCT((Indicators!$B$5:$B$35=I$4)*Indicators!$L$5:$L$35*'Indicator Scores'!$X$5:$X$35)/SUMPRODUCT((Indicators!$B$5:$B$35=I$4)*Indicators!$L$5:$L$35*('Indicator Scores'!$X$5:$X$35&gt;0)),0)</f>
        <v>4.66666666666667</v>
      </c>
      <c r="J146" s="28" t="n">
        <f aca="false">IFERROR(SUMPRODUCT((Indicators!$B$5:$B$35=J$4)*Indicators!$L$5:$L$35*'Indicator Scores'!$X$5:$X$35)/SUMPRODUCT((Indicators!$B$5:$B$35=J$4)*Indicators!$L$5:$L$35*('Indicator Scores'!$X$5:$X$35&gt;0)),0)</f>
        <v>4</v>
      </c>
      <c r="K146" s="28" t="n">
        <f aca="false">IFERROR(SUMPRODUCT(F146:J146,INDEX('Factor Weights'!$C$5:$G$11,MATCH(D146,'Factor Weights'!$A$5:$A$11,0),0))/SUMPRODUCT((F146:J146&gt;0)*INDEX('Factor Weights'!$C$5:$G$11,MATCH(D146,'Factor Weights'!$A$5:$A$11,0),0)),0)</f>
        <v>4.33333333333333</v>
      </c>
      <c r="L146" s="29" t="n">
        <f aca="false">MAX(F146:J146)</f>
        <v>4.66666666666667</v>
      </c>
      <c r="M146" s="28" t="n">
        <f aca="false">IF(L146&gt;=Config!$C$13,MAX(K146,Config!$C$14),K146)</f>
        <v>4.33333333333333</v>
      </c>
      <c r="N146" s="30" t="n">
        <f aca="false">IF(Config!$C$12="Weighted average",K146,IF(Config!$C$12="Weighted with floor",M146,L146))</f>
        <v>4.33333333333333</v>
      </c>
      <c r="O146" s="31" t="n">
        <f aca="false">IF(N146&lt;Config!$D$5,"",MATCH(N146,Config!$D$5:$D$9,1))</f>
        <v>5</v>
      </c>
      <c r="P146" s="7" t="str">
        <f aca="false">IF(O146="","No data",INDEX(Config!$B$5:$B$9,O146))</f>
        <v>High</v>
      </c>
      <c r="Q146" s="32" t="n">
        <v>0</v>
      </c>
      <c r="R146" s="8"/>
      <c r="S146" s="33"/>
      <c r="T146" s="34" t="n">
        <f aca="false">IF(O146="","",IF(AND(S146="Y",Q146&lt;&gt;0),MAX(1,MIN(5,O146+MAX(-Config!$C$27,MIN(Config!$C$27,Q146)))),O146))</f>
        <v>5</v>
      </c>
      <c r="U146" s="35" t="str">
        <f aca="false">IF(T146="","No data",INDEX(Config!$B$5:$B$9,T146))</f>
        <v>High</v>
      </c>
      <c r="V146" s="7" t="str">
        <f aca="false">IF(Q146=0,"None",IF(S146="Y","Applied","Pending HO approval"))</f>
        <v>None</v>
      </c>
      <c r="W146" s="36" t="n">
        <f aca="false">SUMPRODUCT((Indicators!$L$5:$L$35&gt;0)*('Indicator Data'!$X$5:$X$35&lt;&gt;""))/SUMPRODUCT(--(Indicators!$L$5:$L$35&gt;0))</f>
        <v>1</v>
      </c>
    </row>
    <row r="147" customFormat="false" ht="15" hidden="false" customHeight="false" outlineLevel="0" collapsed="false">
      <c r="A147" s="26" t="str">
        <f aca="false">Entities!$A$25</f>
        <v>SD</v>
      </c>
      <c r="B147" s="12" t="str">
        <f aca="false">INDEX(Entities!$B$5:$B$34,MATCH(A147,Entities!$A$5:$A$34,0))</f>
        <v>Arab Sudanese Bank</v>
      </c>
      <c r="C147" s="12" t="str">
        <f aca="false">INDEX(Entities!$D$5:$D$34,MATCH(A147,Entities!$A$5:$A$34,0))</f>
        <v>North Africa</v>
      </c>
      <c r="D147" s="12" t="s">
        <v>270</v>
      </c>
      <c r="E147" s="12" t="str">
        <f aca="false">INDEX('Risk Taxonomy'!$B$5:$B$24,MATCH(D147,'Risk Taxonomy'!$A$5:$A$24,0))</f>
        <v>Proliferation financing</v>
      </c>
      <c r="F147" s="28" t="n">
        <f aca="false">IFERROR(SUMPRODUCT((Indicators!$B$5:$B$35=F$4)*Indicators!$M$5:$M$35*'Indicator Scores'!$X$5:$X$35)/SUMPRODUCT((Indicators!$B$5:$B$35=F$4)*Indicators!$M$5:$M$35*('Indicator Scores'!$X$5:$X$35&gt;0)),0)</f>
        <v>4.5</v>
      </c>
      <c r="G147" s="28" t="n">
        <f aca="false">IFERROR(SUMPRODUCT((Indicators!$B$5:$B$35=G$4)*Indicators!$M$5:$M$35*'Indicator Scores'!$X$5:$X$35)/SUMPRODUCT((Indicators!$B$5:$B$35=G$4)*Indicators!$M$5:$M$35*('Indicator Scores'!$X$5:$X$35&gt;0)),0)</f>
        <v>3.875</v>
      </c>
      <c r="H147" s="28" t="n">
        <f aca="false">IFERROR(SUMPRODUCT((Indicators!$B$5:$B$35=H$4)*Indicators!$M$5:$M$35*'Indicator Scores'!$X$5:$X$35)/SUMPRODUCT((Indicators!$B$5:$B$35=H$4)*Indicators!$M$5:$M$35*('Indicator Scores'!$X$5:$X$35&gt;0)),0)</f>
        <v>4.33333333333333</v>
      </c>
      <c r="I147" s="28" t="n">
        <f aca="false">IFERROR(SUMPRODUCT((Indicators!$B$5:$B$35=I$4)*Indicators!$M$5:$M$35*'Indicator Scores'!$X$5:$X$35)/SUMPRODUCT((Indicators!$B$5:$B$35=I$4)*Indicators!$M$5:$M$35*('Indicator Scores'!$X$5:$X$35&gt;0)),0)</f>
        <v>4.33333333333333</v>
      </c>
      <c r="J147" s="28" t="n">
        <f aca="false">IFERROR(SUMPRODUCT((Indicators!$B$5:$B$35=J$4)*Indicators!$M$5:$M$35*'Indicator Scores'!$X$5:$X$35)/SUMPRODUCT((Indicators!$B$5:$B$35=J$4)*Indicators!$M$5:$M$35*('Indicator Scores'!$X$5:$X$35&gt;0)),0)</f>
        <v>4</v>
      </c>
      <c r="K147" s="28" t="n">
        <f aca="false">IFERROR(SUMPRODUCT(F147:J147,INDEX('Factor Weights'!$C$5:$G$11,MATCH(D147,'Factor Weights'!$A$5:$A$11,0),0))/SUMPRODUCT((F147:J147&gt;0)*INDEX('Factor Weights'!$C$5:$G$11,MATCH(D147,'Factor Weights'!$A$5:$A$11,0),0)),0)</f>
        <v>4.15416666666667</v>
      </c>
      <c r="L147" s="29" t="n">
        <f aca="false">MAX(F147:J147)</f>
        <v>4.5</v>
      </c>
      <c r="M147" s="28" t="n">
        <f aca="false">IF(L147&gt;=Config!$C$13,MAX(K147,Config!$C$14),K147)</f>
        <v>4.15416666666667</v>
      </c>
      <c r="N147" s="30" t="n">
        <f aca="false">IF(Config!$C$12="Weighted average",K147,IF(Config!$C$12="Weighted with floor",M147,L147))</f>
        <v>4.15416666666667</v>
      </c>
      <c r="O147" s="31" t="n">
        <f aca="false">IF(N147&lt;Config!$D$5,"",MATCH(N147,Config!$D$5:$D$9,1))</f>
        <v>4</v>
      </c>
      <c r="P147" s="7" t="str">
        <f aca="false">IF(O147="","No data",INDEX(Config!$B$5:$B$9,O147))</f>
        <v>Medium-High</v>
      </c>
      <c r="Q147" s="32" t="n">
        <v>0</v>
      </c>
      <c r="R147" s="8"/>
      <c r="S147" s="33"/>
      <c r="T147" s="34" t="n">
        <f aca="false">IF(O147="","",IF(AND(S147="Y",Q147&lt;&gt;0),MAX(1,MIN(5,O147+MAX(-Config!$C$27,MIN(Config!$C$27,Q147)))),O147))</f>
        <v>4</v>
      </c>
      <c r="U147" s="35" t="str">
        <f aca="false">IF(T147="","No data",INDEX(Config!$B$5:$B$9,T147))</f>
        <v>Medium-High</v>
      </c>
      <c r="V147" s="7" t="str">
        <f aca="false">IF(Q147=0,"None",IF(S147="Y","Applied","Pending HO approval"))</f>
        <v>None</v>
      </c>
      <c r="W147" s="36" t="n">
        <f aca="false">SUMPRODUCT((Indicators!$M$5:$M$35&gt;0)*('Indicator Data'!$X$5:$X$35&lt;&gt;""))/SUMPRODUCT(--(Indicators!$M$5:$M$35&gt;0))</f>
        <v>1</v>
      </c>
    </row>
    <row r="148" customFormat="false" ht="15" hidden="false" customHeight="false" outlineLevel="0" collapsed="false">
      <c r="A148" s="26" t="str">
        <f aca="false">Entities!$A$25</f>
        <v>SD</v>
      </c>
      <c r="B148" s="12" t="str">
        <f aca="false">INDEX(Entities!$B$5:$B$34,MATCH(A148,Entities!$A$5:$A$34,0))</f>
        <v>Arab Sudanese Bank</v>
      </c>
      <c r="C148" s="12" t="str">
        <f aca="false">INDEX(Entities!$D$5:$D$34,MATCH(A148,Entities!$A$5:$A$34,0))</f>
        <v>North Africa</v>
      </c>
      <c r="D148" s="12" t="s">
        <v>272</v>
      </c>
      <c r="E148" s="12" t="str">
        <f aca="false">INDEX('Risk Taxonomy'!$B$5:$B$24,MATCH(D148,'Risk Taxonomy'!$A$5:$A$24,0))</f>
        <v>Sanctions</v>
      </c>
      <c r="F148" s="28" t="n">
        <f aca="false">IFERROR(SUMPRODUCT((Indicators!$B$5:$B$35=F$4)*Indicators!$N$5:$N$35*'Indicator Scores'!$X$5:$X$35)/SUMPRODUCT((Indicators!$B$5:$B$35=F$4)*Indicators!$N$5:$N$35*('Indicator Scores'!$X$5:$X$35&gt;0)),0)</f>
        <v>4.42857142857143</v>
      </c>
      <c r="G148" s="28" t="n">
        <f aca="false">IFERROR(SUMPRODUCT((Indicators!$B$5:$B$35=G$4)*Indicators!$N$5:$N$35*'Indicator Scores'!$X$5:$X$35)/SUMPRODUCT((Indicators!$B$5:$B$35=G$4)*Indicators!$N$5:$N$35*('Indicator Scores'!$X$5:$X$35&gt;0)),0)</f>
        <v>4</v>
      </c>
      <c r="H148" s="28" t="n">
        <f aca="false">IFERROR(SUMPRODUCT((Indicators!$B$5:$B$35=H$4)*Indicators!$N$5:$N$35*'Indicator Scores'!$X$5:$X$35)/SUMPRODUCT((Indicators!$B$5:$B$35=H$4)*Indicators!$N$5:$N$35*('Indicator Scores'!$X$5:$X$35&gt;0)),0)</f>
        <v>4.25</v>
      </c>
      <c r="I148" s="28" t="n">
        <f aca="false">IFERROR(SUMPRODUCT((Indicators!$B$5:$B$35=I$4)*Indicators!$N$5:$N$35*'Indicator Scores'!$X$5:$X$35)/SUMPRODUCT((Indicators!$B$5:$B$35=I$4)*Indicators!$N$5:$N$35*('Indicator Scores'!$X$5:$X$35&gt;0)),0)</f>
        <v>4.66666666666667</v>
      </c>
      <c r="J148" s="28" t="n">
        <f aca="false">IFERROR(SUMPRODUCT((Indicators!$B$5:$B$35=J$4)*Indicators!$N$5:$N$35*'Indicator Scores'!$X$5:$X$35)/SUMPRODUCT((Indicators!$B$5:$B$35=J$4)*Indicators!$N$5:$N$35*('Indicator Scores'!$X$5:$X$35&gt;0)),0)</f>
        <v>4.2</v>
      </c>
      <c r="K148" s="28" t="n">
        <f aca="false">IFERROR(SUMPRODUCT(F148:J148,INDEX('Factor Weights'!$C$5:$G$11,MATCH(D148,'Factor Weights'!$A$5:$A$11,0),0))/SUMPRODUCT((F148:J148&gt;0)*INDEX('Factor Weights'!$C$5:$G$11,MATCH(D148,'Factor Weights'!$A$5:$A$11,0),0)),0)</f>
        <v>4.18761904761905</v>
      </c>
      <c r="L148" s="29" t="n">
        <f aca="false">MAX(F148:J148)</f>
        <v>4.66666666666667</v>
      </c>
      <c r="M148" s="28" t="n">
        <f aca="false">IF(L148&gt;=Config!$C$13,MAX(K148,Config!$C$14),K148)</f>
        <v>4.18761904761905</v>
      </c>
      <c r="N148" s="30" t="n">
        <f aca="false">IF(Config!$C$12="Weighted average",K148,IF(Config!$C$12="Weighted with floor",M148,L148))</f>
        <v>4.18761904761905</v>
      </c>
      <c r="O148" s="31" t="n">
        <f aca="false">IF(N148&lt;Config!$D$5,"",MATCH(N148,Config!$D$5:$D$9,1))</f>
        <v>4</v>
      </c>
      <c r="P148" s="7" t="str">
        <f aca="false">IF(O148="","No data",INDEX(Config!$B$5:$B$9,O148))</f>
        <v>Medium-High</v>
      </c>
      <c r="Q148" s="32" t="n">
        <v>0</v>
      </c>
      <c r="R148" s="8"/>
      <c r="S148" s="33"/>
      <c r="T148" s="34" t="n">
        <f aca="false">IF(O148="","",IF(AND(S148="Y",Q148&lt;&gt;0),MAX(1,MIN(5,O148+MAX(-Config!$C$27,MIN(Config!$C$27,Q148)))),O148))</f>
        <v>4</v>
      </c>
      <c r="U148" s="35" t="str">
        <f aca="false">IF(T148="","No data",INDEX(Config!$B$5:$B$9,T148))</f>
        <v>Medium-High</v>
      </c>
      <c r="V148" s="7" t="str">
        <f aca="false">IF(Q148=0,"None",IF(S148="Y","Applied","Pending HO approval"))</f>
        <v>None</v>
      </c>
      <c r="W148" s="36" t="n">
        <f aca="false">SUMPRODUCT((Indicators!$N$5:$N$35&gt;0)*('Indicator Data'!$X$5:$X$35&lt;&gt;""))/SUMPRODUCT(--(Indicators!$N$5:$N$35&gt;0))</f>
        <v>1</v>
      </c>
    </row>
    <row r="149" customFormat="false" ht="15" hidden="false" customHeight="false" outlineLevel="0" collapsed="false">
      <c r="A149" s="26" t="str">
        <f aca="false">Entities!$A$25</f>
        <v>SD</v>
      </c>
      <c r="B149" s="12" t="str">
        <f aca="false">INDEX(Entities!$B$5:$B$34,MATCH(A149,Entities!$A$5:$A$34,0))</f>
        <v>Arab Sudanese Bank</v>
      </c>
      <c r="C149" s="12" t="str">
        <f aca="false">INDEX(Entities!$D$5:$D$34,MATCH(A149,Entities!$A$5:$A$34,0))</f>
        <v>North Africa</v>
      </c>
      <c r="D149" s="12" t="s">
        <v>275</v>
      </c>
      <c r="E149" s="12" t="str">
        <f aca="false">INDEX('Risk Taxonomy'!$B$5:$B$24,MATCH(D149,'Risk Taxonomy'!$A$5:$A$24,0))</f>
        <v>Bribery and corruption</v>
      </c>
      <c r="F149" s="28" t="n">
        <f aca="false">IFERROR(SUMPRODUCT((Indicators!$B$5:$B$35=F$4)*Indicators!$O$5:$O$35*'Indicator Scores'!$X$5:$X$35)/SUMPRODUCT((Indicators!$B$5:$B$35=F$4)*Indicators!$O$5:$O$35*('Indicator Scores'!$X$5:$X$35&gt;0)),0)</f>
        <v>4.22222222222222</v>
      </c>
      <c r="G149" s="28" t="n">
        <f aca="false">IFERROR(SUMPRODUCT((Indicators!$B$5:$B$35=G$4)*Indicators!$O$5:$O$35*'Indicator Scores'!$X$5:$X$35)/SUMPRODUCT((Indicators!$B$5:$B$35=G$4)*Indicators!$O$5:$O$35*('Indicator Scores'!$X$5:$X$35&gt;0)),0)</f>
        <v>4</v>
      </c>
      <c r="H149" s="28" t="n">
        <f aca="false">IFERROR(SUMPRODUCT((Indicators!$B$5:$B$35=H$4)*Indicators!$O$5:$O$35*'Indicator Scores'!$X$5:$X$35)/SUMPRODUCT((Indicators!$B$5:$B$35=H$4)*Indicators!$O$5:$O$35*('Indicator Scores'!$X$5:$X$35&gt;0)),0)</f>
        <v>4</v>
      </c>
      <c r="I149" s="28" t="n">
        <f aca="false">IFERROR(SUMPRODUCT((Indicators!$B$5:$B$35=I$4)*Indicators!$O$5:$O$35*'Indicator Scores'!$X$5:$X$35)/SUMPRODUCT((Indicators!$B$5:$B$35=I$4)*Indicators!$O$5:$O$35*('Indicator Scores'!$X$5:$X$35&gt;0)),0)</f>
        <v>4.6</v>
      </c>
      <c r="J149" s="28" t="n">
        <f aca="false">IFERROR(SUMPRODUCT((Indicators!$B$5:$B$35=J$4)*Indicators!$O$5:$O$35*'Indicator Scores'!$X$5:$X$35)/SUMPRODUCT((Indicators!$B$5:$B$35=J$4)*Indicators!$O$5:$O$35*('Indicator Scores'!$X$5:$X$35&gt;0)),0)</f>
        <v>3</v>
      </c>
      <c r="K149" s="28" t="n">
        <f aca="false">IFERROR(SUMPRODUCT(F149:J149,INDEX('Factor Weights'!$C$5:$G$11,MATCH(D149,'Factor Weights'!$A$5:$A$11,0),0))/SUMPRODUCT((F149:J149&gt;0)*INDEX('Factor Weights'!$C$5:$G$11,MATCH(D149,'Factor Weights'!$A$5:$A$11,0),0)),0)</f>
        <v>4.08666666666667</v>
      </c>
      <c r="L149" s="29" t="n">
        <f aca="false">MAX(F149:J149)</f>
        <v>4.6</v>
      </c>
      <c r="M149" s="28" t="n">
        <f aca="false">IF(L149&gt;=Config!$C$13,MAX(K149,Config!$C$14),K149)</f>
        <v>4.08666666666667</v>
      </c>
      <c r="N149" s="30" t="n">
        <f aca="false">IF(Config!$C$12="Weighted average",K149,IF(Config!$C$12="Weighted with floor",M149,L149))</f>
        <v>4.08666666666667</v>
      </c>
      <c r="O149" s="31" t="n">
        <f aca="false">IF(N149&lt;Config!$D$5,"",MATCH(N149,Config!$D$5:$D$9,1))</f>
        <v>4</v>
      </c>
      <c r="P149" s="7" t="str">
        <f aca="false">IF(O149="","No data",INDEX(Config!$B$5:$B$9,O149))</f>
        <v>Medium-High</v>
      </c>
      <c r="Q149" s="32" t="n">
        <v>0</v>
      </c>
      <c r="R149" s="8"/>
      <c r="S149" s="33"/>
      <c r="T149" s="34" t="n">
        <f aca="false">IF(O149="","",IF(AND(S149="Y",Q149&lt;&gt;0),MAX(1,MIN(5,O149+MAX(-Config!$C$27,MIN(Config!$C$27,Q149)))),O149))</f>
        <v>4</v>
      </c>
      <c r="U149" s="35" t="str">
        <f aca="false">IF(T149="","No data",INDEX(Config!$B$5:$B$9,T149))</f>
        <v>Medium-High</v>
      </c>
      <c r="V149" s="7" t="str">
        <f aca="false">IF(Q149=0,"None",IF(S149="Y","Applied","Pending HO approval"))</f>
        <v>None</v>
      </c>
      <c r="W149" s="36" t="n">
        <f aca="false">SUMPRODUCT((Indicators!$O$5:$O$35&gt;0)*('Indicator Data'!$X$5:$X$35&lt;&gt;""))/SUMPRODUCT(--(Indicators!$O$5:$O$35&gt;0))</f>
        <v>1</v>
      </c>
    </row>
    <row r="150" customFormat="false" ht="15" hidden="false" customHeight="false" outlineLevel="0" collapsed="false">
      <c r="A150" s="26" t="str">
        <f aca="false">Entities!$A$25</f>
        <v>SD</v>
      </c>
      <c r="B150" s="12" t="str">
        <f aca="false">INDEX(Entities!$B$5:$B$34,MATCH(A150,Entities!$A$5:$A$34,0))</f>
        <v>Arab Sudanese Bank</v>
      </c>
      <c r="C150" s="12" t="str">
        <f aca="false">INDEX(Entities!$D$5:$D$34,MATCH(A150,Entities!$A$5:$A$34,0))</f>
        <v>North Africa</v>
      </c>
      <c r="D150" s="12" t="s">
        <v>278</v>
      </c>
      <c r="E150" s="12" t="str">
        <f aca="false">INDEX('Risk Taxonomy'!$B$5:$B$24,MATCH(D150,'Risk Taxonomy'!$A$5:$A$24,0))</f>
        <v>Fraud</v>
      </c>
      <c r="F150" s="28" t="n">
        <f aca="false">IFERROR(SUMPRODUCT((Indicators!$B$5:$B$35=F$4)*Indicators!$P$5:$P$35*'Indicator Scores'!$X$5:$X$35)/SUMPRODUCT((Indicators!$B$5:$B$35=F$4)*Indicators!$P$5:$P$35*('Indicator Scores'!$X$5:$X$35&gt;0)),0)</f>
        <v>4.66666666666667</v>
      </c>
      <c r="G150" s="28" t="n">
        <f aca="false">IFERROR(SUMPRODUCT((Indicators!$B$5:$B$35=G$4)*Indicators!$P$5:$P$35*'Indicator Scores'!$X$5:$X$35)/SUMPRODUCT((Indicators!$B$5:$B$35=G$4)*Indicators!$P$5:$P$35*('Indicator Scores'!$X$5:$X$35&gt;0)),0)</f>
        <v>4.25</v>
      </c>
      <c r="H150" s="28" t="n">
        <f aca="false">IFERROR(SUMPRODUCT((Indicators!$B$5:$B$35=H$4)*Indicators!$P$5:$P$35*'Indicator Scores'!$X$5:$X$35)/SUMPRODUCT((Indicators!$B$5:$B$35=H$4)*Indicators!$P$5:$P$35*('Indicator Scores'!$X$5:$X$35&gt;0)),0)</f>
        <v>4.4</v>
      </c>
      <c r="I150" s="28" t="n">
        <f aca="false">IFERROR(SUMPRODUCT((Indicators!$B$5:$B$35=I$4)*Indicators!$P$5:$P$35*'Indicator Scores'!$X$5:$X$35)/SUMPRODUCT((Indicators!$B$5:$B$35=I$4)*Indicators!$P$5:$P$35*('Indicator Scores'!$X$5:$X$35&gt;0)),0)</f>
        <v>4.88888888888889</v>
      </c>
      <c r="J150" s="28" t="n">
        <f aca="false">IFERROR(SUMPRODUCT((Indicators!$B$5:$B$35=J$4)*Indicators!$P$5:$P$35*'Indicator Scores'!$X$5:$X$35)/SUMPRODUCT((Indicators!$B$5:$B$35=J$4)*Indicators!$P$5:$P$35*('Indicator Scores'!$X$5:$X$35&gt;0)),0)</f>
        <v>4.6</v>
      </c>
      <c r="K150" s="28" t="n">
        <f aca="false">IFERROR(SUMPRODUCT(F150:J150,INDEX('Factor Weights'!$C$5:$G$11,MATCH(D150,'Factor Weights'!$A$5:$A$11,0),0))/SUMPRODUCT((F150:J150&gt;0)*INDEX('Factor Weights'!$C$5:$G$11,MATCH(D150,'Factor Weights'!$A$5:$A$11,0),0)),0)</f>
        <v>4.625</v>
      </c>
      <c r="L150" s="29" t="n">
        <f aca="false">MAX(F150:J150)</f>
        <v>4.88888888888889</v>
      </c>
      <c r="M150" s="28" t="n">
        <f aca="false">IF(L150&gt;=Config!$C$13,MAX(K150,Config!$C$14),K150)</f>
        <v>4.625</v>
      </c>
      <c r="N150" s="30" t="n">
        <f aca="false">IF(Config!$C$12="Weighted average",K150,IF(Config!$C$12="Weighted with floor",M150,L150))</f>
        <v>4.625</v>
      </c>
      <c r="O150" s="31" t="n">
        <f aca="false">IF(N150&lt;Config!$D$5,"",MATCH(N150,Config!$D$5:$D$9,1))</f>
        <v>5</v>
      </c>
      <c r="P150" s="7" t="str">
        <f aca="false">IF(O150="","No data",INDEX(Config!$B$5:$B$9,O150))</f>
        <v>High</v>
      </c>
      <c r="Q150" s="32" t="n">
        <v>0</v>
      </c>
      <c r="R150" s="8"/>
      <c r="S150" s="33"/>
      <c r="T150" s="34" t="n">
        <f aca="false">IF(O150="","",IF(AND(S150="Y",Q150&lt;&gt;0),MAX(1,MIN(5,O150+MAX(-Config!$C$27,MIN(Config!$C$27,Q150)))),O150))</f>
        <v>5</v>
      </c>
      <c r="U150" s="35" t="str">
        <f aca="false">IF(T150="","No data",INDEX(Config!$B$5:$B$9,T150))</f>
        <v>High</v>
      </c>
      <c r="V150" s="7" t="str">
        <f aca="false">IF(Q150=0,"None",IF(S150="Y","Applied","Pending HO approval"))</f>
        <v>None</v>
      </c>
      <c r="W150" s="36" t="n">
        <f aca="false">SUMPRODUCT((Indicators!$P$5:$P$35&gt;0)*('Indicator Data'!$X$5:$X$35&lt;&gt;""))/SUMPRODUCT(--(Indicators!$P$5:$P$35&gt;0))</f>
        <v>1</v>
      </c>
    </row>
    <row r="151" customFormat="false" ht="15" hidden="false" customHeight="false" outlineLevel="0" collapsed="false">
      <c r="A151" s="26" t="str">
        <f aca="false">Entities!$A$25</f>
        <v>SD</v>
      </c>
      <c r="B151" s="12" t="str">
        <f aca="false">INDEX(Entities!$B$5:$B$34,MATCH(A151,Entities!$A$5:$A$34,0))</f>
        <v>Arab Sudanese Bank</v>
      </c>
      <c r="C151" s="12" t="str">
        <f aca="false">INDEX(Entities!$D$5:$D$34,MATCH(A151,Entities!$A$5:$A$34,0))</f>
        <v>North Africa</v>
      </c>
      <c r="D151" s="12" t="s">
        <v>281</v>
      </c>
      <c r="E151" s="12" t="str">
        <f aca="false">INDEX('Risk Taxonomy'!$B$5:$B$24,MATCH(D151,'Risk Taxonomy'!$A$5:$A$24,0))</f>
        <v>Tax evasion and tax transparency</v>
      </c>
      <c r="F151" s="28" t="n">
        <f aca="false">IFERROR(SUMPRODUCT((Indicators!$B$5:$B$35=F$4)*Indicators!$Q$5:$Q$35*'Indicator Scores'!$X$5:$X$35)/SUMPRODUCT((Indicators!$B$5:$B$35=F$4)*Indicators!$Q$5:$Q$35*('Indicator Scores'!$X$5:$X$35&gt;0)),0)</f>
        <v>4.33333333333333</v>
      </c>
      <c r="G151" s="28" t="n">
        <f aca="false">IFERROR(SUMPRODUCT((Indicators!$B$5:$B$35=G$4)*Indicators!$Q$5:$Q$35*'Indicator Scores'!$X$5:$X$35)/SUMPRODUCT((Indicators!$B$5:$B$35=G$4)*Indicators!$Q$5:$Q$35*('Indicator Scores'!$X$5:$X$35&gt;0)),0)</f>
        <v>4</v>
      </c>
      <c r="H151" s="28" t="n">
        <f aca="false">IFERROR(SUMPRODUCT((Indicators!$B$5:$B$35=H$4)*Indicators!$Q$5:$Q$35*'Indicator Scores'!$X$5:$X$35)/SUMPRODUCT((Indicators!$B$5:$B$35=H$4)*Indicators!$Q$5:$Q$35*('Indicator Scores'!$X$5:$X$35&gt;0)),0)</f>
        <v>4</v>
      </c>
      <c r="I151" s="28" t="n">
        <f aca="false">IFERROR(SUMPRODUCT((Indicators!$B$5:$B$35=I$4)*Indicators!$Q$5:$Q$35*'Indicator Scores'!$X$5:$X$35)/SUMPRODUCT((Indicators!$B$5:$B$35=I$4)*Indicators!$Q$5:$Q$35*('Indicator Scores'!$X$5:$X$35&gt;0)),0)</f>
        <v>4.5</v>
      </c>
      <c r="J151" s="28" t="n">
        <f aca="false">IFERROR(SUMPRODUCT((Indicators!$B$5:$B$35=J$4)*Indicators!$Q$5:$Q$35*'Indicator Scores'!$X$5:$X$35)/SUMPRODUCT((Indicators!$B$5:$B$35=J$4)*Indicators!$Q$5:$Q$35*('Indicator Scores'!$X$5:$X$35&gt;0)),0)</f>
        <v>2.8</v>
      </c>
      <c r="K151" s="28" t="n">
        <f aca="false">IFERROR(SUMPRODUCT(F151:J151,INDEX('Factor Weights'!$C$5:$G$11,MATCH(D151,'Factor Weights'!$A$5:$A$11,0),0))/SUMPRODUCT((F151:J151&gt;0)*INDEX('Factor Weights'!$C$5:$G$11,MATCH(D151,'Factor Weights'!$A$5:$A$11,0),0)),0)</f>
        <v>4.04666666666667</v>
      </c>
      <c r="L151" s="29" t="n">
        <f aca="false">MAX(F151:J151)</f>
        <v>4.5</v>
      </c>
      <c r="M151" s="28" t="n">
        <f aca="false">IF(L151&gt;=Config!$C$13,MAX(K151,Config!$C$14),K151)</f>
        <v>4.04666666666667</v>
      </c>
      <c r="N151" s="30" t="n">
        <f aca="false">IF(Config!$C$12="Weighted average",K151,IF(Config!$C$12="Weighted with floor",M151,L151))</f>
        <v>4.04666666666667</v>
      </c>
      <c r="O151" s="31" t="n">
        <f aca="false">IF(N151&lt;Config!$D$5,"",MATCH(N151,Config!$D$5:$D$9,1))</f>
        <v>4</v>
      </c>
      <c r="P151" s="7" t="str">
        <f aca="false">IF(O151="","No data",INDEX(Config!$B$5:$B$9,O151))</f>
        <v>Medium-High</v>
      </c>
      <c r="Q151" s="32" t="n">
        <v>0</v>
      </c>
      <c r="R151" s="8"/>
      <c r="S151" s="33"/>
      <c r="T151" s="34" t="n">
        <f aca="false">IF(O151="","",IF(AND(S151="Y",Q151&lt;&gt;0),MAX(1,MIN(5,O151+MAX(-Config!$C$27,MIN(Config!$C$27,Q151)))),O151))</f>
        <v>4</v>
      </c>
      <c r="U151" s="35" t="str">
        <f aca="false">IF(T151="","No data",INDEX(Config!$B$5:$B$9,T151))</f>
        <v>Medium-High</v>
      </c>
      <c r="V151" s="7" t="str">
        <f aca="false">IF(Q151=0,"None",IF(S151="Y","Applied","Pending HO approval"))</f>
        <v>None</v>
      </c>
      <c r="W151" s="36" t="n">
        <f aca="false">SUMPRODUCT((Indicators!$Q$5:$Q$35&gt;0)*('Indicator Data'!$X$5:$X$35&lt;&gt;""))/SUMPRODUCT(--(Indicators!$Q$5:$Q$35&gt;0))</f>
        <v>1</v>
      </c>
    </row>
    <row r="152" customFormat="false" ht="15" hidden="false" customHeight="false" outlineLevel="0" collapsed="false">
      <c r="A152" s="26" t="str">
        <f aca="false">Entities!$A$26</f>
        <v>GB</v>
      </c>
      <c r="B152" s="12" t="str">
        <f aca="false">INDEX(Entities!$B$5:$B$34,MATCH(A152,Entities!$A$5:$A$34,0))</f>
        <v>Europe Arab Bank – United Kingdom</v>
      </c>
      <c r="C152" s="12" t="str">
        <f aca="false">INDEX(Entities!$D$5:$D$34,MATCH(A152,Entities!$A$5:$A$34,0))</f>
        <v>Europe</v>
      </c>
      <c r="D152" s="12" t="s">
        <v>260</v>
      </c>
      <c r="E152" s="12" t="str">
        <f aca="false">INDEX('Risk Taxonomy'!$B$5:$B$24,MATCH(D152,'Risk Taxonomy'!$A$5:$A$24,0))</f>
        <v>Money laundering</v>
      </c>
      <c r="F152" s="28" t="n">
        <f aca="false">IFERROR(SUMPRODUCT((Indicators!$B$5:$B$35=F$4)*Indicators!$K$5:$K$35*'Indicator Scores'!$Y$5:$Y$35)/SUMPRODUCT((Indicators!$B$5:$B$35=F$4)*Indicators!$K$5:$K$35*('Indicator Scores'!$Y$5:$Y$35&gt;0)),0)</f>
        <v>2.16666666666667</v>
      </c>
      <c r="G152" s="28" t="n">
        <f aca="false">IFERROR(SUMPRODUCT((Indicators!$B$5:$B$35=G$4)*Indicators!$K$5:$K$35*'Indicator Scores'!$Y$5:$Y$35)/SUMPRODUCT((Indicators!$B$5:$B$35=G$4)*Indicators!$K$5:$K$35*('Indicator Scores'!$Y$5:$Y$35&gt;0)),0)</f>
        <v>2.44444444444444</v>
      </c>
      <c r="H152" s="28" t="n">
        <f aca="false">IFERROR(SUMPRODUCT((Indicators!$B$5:$B$35=H$4)*Indicators!$K$5:$K$35*'Indicator Scores'!$Y$5:$Y$35)/SUMPRODUCT((Indicators!$B$5:$B$35=H$4)*Indicators!$K$5:$K$35*('Indicator Scores'!$Y$5:$Y$35&gt;0)),0)</f>
        <v>1.9</v>
      </c>
      <c r="I152" s="28" t="n">
        <f aca="false">IFERROR(SUMPRODUCT((Indicators!$B$5:$B$35=I$4)*Indicators!$K$5:$K$35*'Indicator Scores'!$Y$5:$Y$35)/SUMPRODUCT((Indicators!$B$5:$B$35=I$4)*Indicators!$K$5:$K$35*('Indicator Scores'!$Y$5:$Y$35&gt;0)),0)</f>
        <v>2.42857142857143</v>
      </c>
      <c r="J152" s="28" t="n">
        <f aca="false">IFERROR(SUMPRODUCT((Indicators!$B$5:$B$35=J$4)*Indicators!$K$5:$K$35*'Indicator Scores'!$Y$5:$Y$35)/SUMPRODUCT((Indicators!$B$5:$B$35=J$4)*Indicators!$K$5:$K$35*('Indicator Scores'!$Y$5:$Y$35&gt;0)),0)</f>
        <v>1.1</v>
      </c>
      <c r="K152" s="28" t="n">
        <f aca="false">IFERROR(SUMPRODUCT(F152:J152,INDEX('Factor Weights'!$C$5:$G$11,MATCH(D152,'Factor Weights'!$A$5:$A$11,0),0))/SUMPRODUCT((F152:J152&gt;0)*INDEX('Factor Weights'!$C$5:$G$11,MATCH(D152,'Factor Weights'!$A$5:$A$11,0),0)),0)</f>
        <v>2.11539682539683</v>
      </c>
      <c r="L152" s="29" t="n">
        <f aca="false">MAX(F152:J152)</f>
        <v>2.44444444444444</v>
      </c>
      <c r="M152" s="28" t="n">
        <f aca="false">IF(L152&gt;=Config!$C$13,MAX(K152,Config!$C$14),K152)</f>
        <v>2.11539682539683</v>
      </c>
      <c r="N152" s="30" t="n">
        <f aca="false">IF(Config!$C$12="Weighted average",K152,IF(Config!$C$12="Weighted with floor",M152,L152))</f>
        <v>2.11539682539683</v>
      </c>
      <c r="O152" s="31" t="n">
        <f aca="false">IF(N152&lt;Config!$D$5,"",MATCH(N152,Config!$D$5:$D$9,1))</f>
        <v>2</v>
      </c>
      <c r="P152" s="7" t="str">
        <f aca="false">IF(O152="","No data",INDEX(Config!$B$5:$B$9,O152))</f>
        <v>Medium-Low</v>
      </c>
      <c r="Q152" s="32" t="n">
        <v>-1</v>
      </c>
      <c r="R152" s="8" t="s">
        <v>459</v>
      </c>
      <c r="S152" s="33"/>
      <c r="T152" s="34" t="n">
        <f aca="false">IF(O152="","",IF(AND(S152="Y",Q152&lt;&gt;0),MAX(1,MIN(5,O152+MAX(-Config!$C$27,MIN(Config!$C$27,Q152)))),O152))</f>
        <v>2</v>
      </c>
      <c r="U152" s="35" t="str">
        <f aca="false">IF(T152="","No data",INDEX(Config!$B$5:$B$9,T152))</f>
        <v>Medium-Low</v>
      </c>
      <c r="V152" s="7" t="str">
        <f aca="false">IF(Q152=0,"None",IF(S152="Y","Applied","Pending HO approval"))</f>
        <v>Pending HO approval</v>
      </c>
      <c r="W152" s="36" t="n">
        <f aca="false">SUMPRODUCT((Indicators!$K$5:$K$35&gt;0)*('Indicator Data'!$Y$5:$Y$35&lt;&gt;""))/SUMPRODUCT(--(Indicators!$K$5:$K$35&gt;0))</f>
        <v>1</v>
      </c>
    </row>
    <row r="153" customFormat="false" ht="15" hidden="false" customHeight="false" outlineLevel="0" collapsed="false">
      <c r="A153" s="26" t="str">
        <f aca="false">Entities!$A$26</f>
        <v>GB</v>
      </c>
      <c r="B153" s="12" t="str">
        <f aca="false">INDEX(Entities!$B$5:$B$34,MATCH(A153,Entities!$A$5:$A$34,0))</f>
        <v>Europe Arab Bank – United Kingdom</v>
      </c>
      <c r="C153" s="12" t="str">
        <f aca="false">INDEX(Entities!$D$5:$D$34,MATCH(A153,Entities!$A$5:$A$34,0))</f>
        <v>Europe</v>
      </c>
      <c r="D153" s="12" t="s">
        <v>267</v>
      </c>
      <c r="E153" s="12" t="str">
        <f aca="false">INDEX('Risk Taxonomy'!$B$5:$B$24,MATCH(D153,'Risk Taxonomy'!$A$5:$A$24,0))</f>
        <v>Terrorist financing</v>
      </c>
      <c r="F153" s="28" t="n">
        <f aca="false">IFERROR(SUMPRODUCT((Indicators!$B$5:$B$35=F$4)*Indicators!$L$5:$L$35*'Indicator Scores'!$Y$5:$Y$35)/SUMPRODUCT((Indicators!$B$5:$B$35=F$4)*Indicators!$L$5:$L$35*('Indicator Scores'!$Y$5:$Y$35&gt;0)),0)</f>
        <v>2.5</v>
      </c>
      <c r="G153" s="28" t="n">
        <f aca="false">IFERROR(SUMPRODUCT((Indicators!$B$5:$B$35=G$4)*Indicators!$L$5:$L$35*'Indicator Scores'!$Y$5:$Y$35)/SUMPRODUCT((Indicators!$B$5:$B$35=G$4)*Indicators!$L$5:$L$35*('Indicator Scores'!$Y$5:$Y$35&gt;0)),0)</f>
        <v>2.44444444444444</v>
      </c>
      <c r="H153" s="28" t="n">
        <f aca="false">IFERROR(SUMPRODUCT((Indicators!$B$5:$B$35=H$4)*Indicators!$L$5:$L$35*'Indicator Scores'!$Y$5:$Y$35)/SUMPRODUCT((Indicators!$B$5:$B$35=H$4)*Indicators!$L$5:$L$35*('Indicator Scores'!$Y$5:$Y$35&gt;0)),0)</f>
        <v>2.16666666666667</v>
      </c>
      <c r="I153" s="28" t="n">
        <f aca="false">IFERROR(SUMPRODUCT((Indicators!$B$5:$B$35=I$4)*Indicators!$L$5:$L$35*'Indicator Scores'!$Y$5:$Y$35)/SUMPRODUCT((Indicators!$B$5:$B$35=I$4)*Indicators!$L$5:$L$35*('Indicator Scores'!$Y$5:$Y$35&gt;0)),0)</f>
        <v>2.5</v>
      </c>
      <c r="J153" s="28" t="n">
        <f aca="false">IFERROR(SUMPRODUCT((Indicators!$B$5:$B$35=J$4)*Indicators!$L$5:$L$35*'Indicator Scores'!$Y$5:$Y$35)/SUMPRODUCT((Indicators!$B$5:$B$35=J$4)*Indicators!$L$5:$L$35*('Indicator Scores'!$Y$5:$Y$35&gt;0)),0)</f>
        <v>1</v>
      </c>
      <c r="K153" s="28" t="n">
        <f aca="false">IFERROR(SUMPRODUCT(F153:J153,INDEX('Factor Weights'!$C$5:$G$11,MATCH(D153,'Factor Weights'!$A$5:$A$11,0),0))/SUMPRODUCT((F153:J153&gt;0)*INDEX('Factor Weights'!$C$5:$G$11,MATCH(D153,'Factor Weights'!$A$5:$A$11,0),0)),0)</f>
        <v>2.13333333333333</v>
      </c>
      <c r="L153" s="29" t="n">
        <f aca="false">MAX(F153:J153)</f>
        <v>2.5</v>
      </c>
      <c r="M153" s="28" t="n">
        <f aca="false">IF(L153&gt;=Config!$C$13,MAX(K153,Config!$C$14),K153)</f>
        <v>2.13333333333333</v>
      </c>
      <c r="N153" s="30" t="n">
        <f aca="false">IF(Config!$C$12="Weighted average",K153,IF(Config!$C$12="Weighted with floor",M153,L153))</f>
        <v>2.13333333333333</v>
      </c>
      <c r="O153" s="31" t="n">
        <f aca="false">IF(N153&lt;Config!$D$5,"",MATCH(N153,Config!$D$5:$D$9,1))</f>
        <v>2</v>
      </c>
      <c r="P153" s="7" t="str">
        <f aca="false">IF(O153="","No data",INDEX(Config!$B$5:$B$9,O153))</f>
        <v>Medium-Low</v>
      </c>
      <c r="Q153" s="32" t="n">
        <v>0</v>
      </c>
      <c r="R153" s="8"/>
      <c r="S153" s="33"/>
      <c r="T153" s="34" t="n">
        <f aca="false">IF(O153="","",IF(AND(S153="Y",Q153&lt;&gt;0),MAX(1,MIN(5,O153+MAX(-Config!$C$27,MIN(Config!$C$27,Q153)))),O153))</f>
        <v>2</v>
      </c>
      <c r="U153" s="35" t="str">
        <f aca="false">IF(T153="","No data",INDEX(Config!$B$5:$B$9,T153))</f>
        <v>Medium-Low</v>
      </c>
      <c r="V153" s="7" t="str">
        <f aca="false">IF(Q153=0,"None",IF(S153="Y","Applied","Pending HO approval"))</f>
        <v>None</v>
      </c>
      <c r="W153" s="36" t="n">
        <f aca="false">SUMPRODUCT((Indicators!$L$5:$L$35&gt;0)*('Indicator Data'!$Y$5:$Y$35&lt;&gt;""))/SUMPRODUCT(--(Indicators!$L$5:$L$35&gt;0))</f>
        <v>1</v>
      </c>
    </row>
    <row r="154" customFormat="false" ht="15" hidden="false" customHeight="false" outlineLevel="0" collapsed="false">
      <c r="A154" s="26" t="str">
        <f aca="false">Entities!$A$26</f>
        <v>GB</v>
      </c>
      <c r="B154" s="12" t="str">
        <f aca="false">INDEX(Entities!$B$5:$B$34,MATCH(A154,Entities!$A$5:$A$34,0))</f>
        <v>Europe Arab Bank – United Kingdom</v>
      </c>
      <c r="C154" s="12" t="str">
        <f aca="false">INDEX(Entities!$D$5:$D$34,MATCH(A154,Entities!$A$5:$A$34,0))</f>
        <v>Europe</v>
      </c>
      <c r="D154" s="12" t="s">
        <v>270</v>
      </c>
      <c r="E154" s="12" t="str">
        <f aca="false">INDEX('Risk Taxonomy'!$B$5:$B$24,MATCH(D154,'Risk Taxonomy'!$A$5:$A$24,0))</f>
        <v>Proliferation financing</v>
      </c>
      <c r="F154" s="28" t="n">
        <f aca="false">IFERROR(SUMPRODUCT((Indicators!$B$5:$B$35=F$4)*Indicators!$M$5:$M$35*'Indicator Scores'!$Y$5:$Y$35)/SUMPRODUCT((Indicators!$B$5:$B$35=F$4)*Indicators!$M$5:$M$35*('Indicator Scores'!$Y$5:$Y$35&gt;0)),0)</f>
        <v>2.25</v>
      </c>
      <c r="G154" s="28" t="n">
        <f aca="false">IFERROR(SUMPRODUCT((Indicators!$B$5:$B$35=G$4)*Indicators!$M$5:$M$35*'Indicator Scores'!$Y$5:$Y$35)/SUMPRODUCT((Indicators!$B$5:$B$35=G$4)*Indicators!$M$5:$M$35*('Indicator Scores'!$Y$5:$Y$35&gt;0)),0)</f>
        <v>2.125</v>
      </c>
      <c r="H154" s="28" t="n">
        <f aca="false">IFERROR(SUMPRODUCT((Indicators!$B$5:$B$35=H$4)*Indicators!$M$5:$M$35*'Indicator Scores'!$Y$5:$Y$35)/SUMPRODUCT((Indicators!$B$5:$B$35=H$4)*Indicators!$M$5:$M$35*('Indicator Scores'!$Y$5:$Y$35&gt;0)),0)</f>
        <v>2.11111111111111</v>
      </c>
      <c r="I154" s="28" t="n">
        <f aca="false">IFERROR(SUMPRODUCT((Indicators!$B$5:$B$35=I$4)*Indicators!$M$5:$M$35*'Indicator Scores'!$Y$5:$Y$35)/SUMPRODUCT((Indicators!$B$5:$B$35=I$4)*Indicators!$M$5:$M$35*('Indicator Scores'!$Y$5:$Y$35&gt;0)),0)</f>
        <v>3</v>
      </c>
      <c r="J154" s="28" t="n">
        <f aca="false">IFERROR(SUMPRODUCT((Indicators!$B$5:$B$35=J$4)*Indicators!$M$5:$M$35*'Indicator Scores'!$Y$5:$Y$35)/SUMPRODUCT((Indicators!$B$5:$B$35=J$4)*Indicators!$M$5:$M$35*('Indicator Scores'!$Y$5:$Y$35&gt;0)),0)</f>
        <v>1.5</v>
      </c>
      <c r="K154" s="28" t="n">
        <f aca="false">IFERROR(SUMPRODUCT(F154:J154,INDEX('Factor Weights'!$C$5:$G$11,MATCH(D154,'Factor Weights'!$A$5:$A$11,0),0))/SUMPRODUCT((F154:J154&gt;0)*INDEX('Factor Weights'!$C$5:$G$11,MATCH(D154,'Factor Weights'!$A$5:$A$11,0),0)),0)</f>
        <v>2.05833333333333</v>
      </c>
      <c r="L154" s="29" t="n">
        <f aca="false">MAX(F154:J154)</f>
        <v>3</v>
      </c>
      <c r="M154" s="28" t="n">
        <f aca="false">IF(L154&gt;=Config!$C$13,MAX(K154,Config!$C$14),K154)</f>
        <v>2.05833333333333</v>
      </c>
      <c r="N154" s="30" t="n">
        <f aca="false">IF(Config!$C$12="Weighted average",K154,IF(Config!$C$12="Weighted with floor",M154,L154))</f>
        <v>2.05833333333333</v>
      </c>
      <c r="O154" s="31" t="n">
        <f aca="false">IF(N154&lt;Config!$D$5,"",MATCH(N154,Config!$D$5:$D$9,1))</f>
        <v>2</v>
      </c>
      <c r="P154" s="7" t="str">
        <f aca="false">IF(O154="","No data",INDEX(Config!$B$5:$B$9,O154))</f>
        <v>Medium-Low</v>
      </c>
      <c r="Q154" s="32" t="n">
        <v>0</v>
      </c>
      <c r="R154" s="8"/>
      <c r="S154" s="33"/>
      <c r="T154" s="34" t="n">
        <f aca="false">IF(O154="","",IF(AND(S154="Y",Q154&lt;&gt;0),MAX(1,MIN(5,O154+MAX(-Config!$C$27,MIN(Config!$C$27,Q154)))),O154))</f>
        <v>2</v>
      </c>
      <c r="U154" s="35" t="str">
        <f aca="false">IF(T154="","No data",INDEX(Config!$B$5:$B$9,T154))</f>
        <v>Medium-Low</v>
      </c>
      <c r="V154" s="7" t="str">
        <f aca="false">IF(Q154=0,"None",IF(S154="Y","Applied","Pending HO approval"))</f>
        <v>None</v>
      </c>
      <c r="W154" s="36" t="n">
        <f aca="false">SUMPRODUCT((Indicators!$M$5:$M$35&gt;0)*('Indicator Data'!$Y$5:$Y$35&lt;&gt;""))/SUMPRODUCT(--(Indicators!$M$5:$M$35&gt;0))</f>
        <v>1</v>
      </c>
    </row>
    <row r="155" customFormat="false" ht="15" hidden="false" customHeight="false" outlineLevel="0" collapsed="false">
      <c r="A155" s="26" t="str">
        <f aca="false">Entities!$A$26</f>
        <v>GB</v>
      </c>
      <c r="B155" s="12" t="str">
        <f aca="false">INDEX(Entities!$B$5:$B$34,MATCH(A155,Entities!$A$5:$A$34,0))</f>
        <v>Europe Arab Bank – United Kingdom</v>
      </c>
      <c r="C155" s="12" t="str">
        <f aca="false">INDEX(Entities!$D$5:$D$34,MATCH(A155,Entities!$A$5:$A$34,0))</f>
        <v>Europe</v>
      </c>
      <c r="D155" s="12" t="s">
        <v>272</v>
      </c>
      <c r="E155" s="12" t="str">
        <f aca="false">INDEX('Risk Taxonomy'!$B$5:$B$24,MATCH(D155,'Risk Taxonomy'!$A$5:$A$24,0))</f>
        <v>Sanctions</v>
      </c>
      <c r="F155" s="28" t="n">
        <f aca="false">IFERROR(SUMPRODUCT((Indicators!$B$5:$B$35=F$4)*Indicators!$N$5:$N$35*'Indicator Scores'!$Y$5:$Y$35)/SUMPRODUCT((Indicators!$B$5:$B$35=F$4)*Indicators!$N$5:$N$35*('Indicator Scores'!$Y$5:$Y$35&gt;0)),0)</f>
        <v>1.71428571428571</v>
      </c>
      <c r="G155" s="28" t="n">
        <f aca="false">IFERROR(SUMPRODUCT((Indicators!$B$5:$B$35=G$4)*Indicators!$N$5:$N$35*'Indicator Scores'!$Y$5:$Y$35)/SUMPRODUCT((Indicators!$B$5:$B$35=G$4)*Indicators!$N$5:$N$35*('Indicator Scores'!$Y$5:$Y$35&gt;0)),0)</f>
        <v>2</v>
      </c>
      <c r="H155" s="28" t="n">
        <f aca="false">IFERROR(SUMPRODUCT((Indicators!$B$5:$B$35=H$4)*Indicators!$N$5:$N$35*'Indicator Scores'!$Y$5:$Y$35)/SUMPRODUCT((Indicators!$B$5:$B$35=H$4)*Indicators!$N$5:$N$35*('Indicator Scores'!$Y$5:$Y$35&gt;0)),0)</f>
        <v>1.875</v>
      </c>
      <c r="I155" s="28" t="n">
        <f aca="false">IFERROR(SUMPRODUCT((Indicators!$B$5:$B$35=I$4)*Indicators!$N$5:$N$35*'Indicator Scores'!$Y$5:$Y$35)/SUMPRODUCT((Indicators!$B$5:$B$35=I$4)*Indicators!$N$5:$N$35*('Indicator Scores'!$Y$5:$Y$35&gt;0)),0)</f>
        <v>3</v>
      </c>
      <c r="J155" s="28" t="n">
        <f aca="false">IFERROR(SUMPRODUCT((Indicators!$B$5:$B$35=J$4)*Indicators!$N$5:$N$35*'Indicator Scores'!$Y$5:$Y$35)/SUMPRODUCT((Indicators!$B$5:$B$35=J$4)*Indicators!$N$5:$N$35*('Indicator Scores'!$Y$5:$Y$35&gt;0)),0)</f>
        <v>1.4</v>
      </c>
      <c r="K155" s="28" t="n">
        <f aca="false">IFERROR(SUMPRODUCT(F155:J155,INDEX('Factor Weights'!$C$5:$G$11,MATCH(D155,'Factor Weights'!$A$5:$A$11,0),0))/SUMPRODUCT((F155:J155&gt;0)*INDEX('Factor Weights'!$C$5:$G$11,MATCH(D155,'Factor Weights'!$A$5:$A$11,0),0)),0)</f>
        <v>1.86214285714286</v>
      </c>
      <c r="L155" s="29" t="n">
        <f aca="false">MAX(F155:J155)</f>
        <v>3</v>
      </c>
      <c r="M155" s="28" t="n">
        <f aca="false">IF(L155&gt;=Config!$C$13,MAX(K155,Config!$C$14),K155)</f>
        <v>1.86214285714286</v>
      </c>
      <c r="N155" s="30" t="n">
        <f aca="false">IF(Config!$C$12="Weighted average",K155,IF(Config!$C$12="Weighted with floor",M155,L155))</f>
        <v>1.86214285714286</v>
      </c>
      <c r="O155" s="31" t="n">
        <f aca="false">IF(N155&lt;Config!$D$5,"",MATCH(N155,Config!$D$5:$D$9,1))</f>
        <v>2</v>
      </c>
      <c r="P155" s="7" t="str">
        <f aca="false">IF(O155="","No data",INDEX(Config!$B$5:$B$9,O155))</f>
        <v>Medium-Low</v>
      </c>
      <c r="Q155" s="32" t="n">
        <v>0</v>
      </c>
      <c r="R155" s="8"/>
      <c r="S155" s="33"/>
      <c r="T155" s="34" t="n">
        <f aca="false">IF(O155="","",IF(AND(S155="Y",Q155&lt;&gt;0),MAX(1,MIN(5,O155+MAX(-Config!$C$27,MIN(Config!$C$27,Q155)))),O155))</f>
        <v>2</v>
      </c>
      <c r="U155" s="35" t="str">
        <f aca="false">IF(T155="","No data",INDEX(Config!$B$5:$B$9,T155))</f>
        <v>Medium-Low</v>
      </c>
      <c r="V155" s="7" t="str">
        <f aca="false">IF(Q155=0,"None",IF(S155="Y","Applied","Pending HO approval"))</f>
        <v>None</v>
      </c>
      <c r="W155" s="36" t="n">
        <f aca="false">SUMPRODUCT((Indicators!$N$5:$N$35&gt;0)*('Indicator Data'!$Y$5:$Y$35&lt;&gt;""))/SUMPRODUCT(--(Indicators!$N$5:$N$35&gt;0))</f>
        <v>1</v>
      </c>
    </row>
    <row r="156" customFormat="false" ht="15" hidden="false" customHeight="false" outlineLevel="0" collapsed="false">
      <c r="A156" s="26" t="str">
        <f aca="false">Entities!$A$26</f>
        <v>GB</v>
      </c>
      <c r="B156" s="12" t="str">
        <f aca="false">INDEX(Entities!$B$5:$B$34,MATCH(A156,Entities!$A$5:$A$34,0))</f>
        <v>Europe Arab Bank – United Kingdom</v>
      </c>
      <c r="C156" s="12" t="str">
        <f aca="false">INDEX(Entities!$D$5:$D$34,MATCH(A156,Entities!$A$5:$A$34,0))</f>
        <v>Europe</v>
      </c>
      <c r="D156" s="12" t="s">
        <v>275</v>
      </c>
      <c r="E156" s="12" t="str">
        <f aca="false">INDEX('Risk Taxonomy'!$B$5:$B$24,MATCH(D156,'Risk Taxonomy'!$A$5:$A$24,0))</f>
        <v>Bribery and corruption</v>
      </c>
      <c r="F156" s="28" t="n">
        <f aca="false">IFERROR(SUMPRODUCT((Indicators!$B$5:$B$35=F$4)*Indicators!$O$5:$O$35*'Indicator Scores'!$Y$5:$Y$35)/SUMPRODUCT((Indicators!$B$5:$B$35=F$4)*Indicators!$O$5:$O$35*('Indicator Scores'!$Y$5:$Y$35&gt;0)),0)</f>
        <v>1.66666666666667</v>
      </c>
      <c r="G156" s="28" t="n">
        <f aca="false">IFERROR(SUMPRODUCT((Indicators!$B$5:$B$35=G$4)*Indicators!$O$5:$O$35*'Indicator Scores'!$Y$5:$Y$35)/SUMPRODUCT((Indicators!$B$5:$B$35=G$4)*Indicators!$O$5:$O$35*('Indicator Scores'!$Y$5:$Y$35&gt;0)),0)</f>
        <v>3</v>
      </c>
      <c r="H156" s="28" t="n">
        <f aca="false">IFERROR(SUMPRODUCT((Indicators!$B$5:$B$35=H$4)*Indicators!$O$5:$O$35*'Indicator Scores'!$Y$5:$Y$35)/SUMPRODUCT((Indicators!$B$5:$B$35=H$4)*Indicators!$O$5:$O$35*('Indicator Scores'!$Y$5:$Y$35&gt;0)),0)</f>
        <v>2</v>
      </c>
      <c r="I156" s="28" t="n">
        <f aca="false">IFERROR(SUMPRODUCT((Indicators!$B$5:$B$35=I$4)*Indicators!$O$5:$O$35*'Indicator Scores'!$Y$5:$Y$35)/SUMPRODUCT((Indicators!$B$5:$B$35=I$4)*Indicators!$O$5:$O$35*('Indicator Scores'!$Y$5:$Y$35&gt;0)),0)</f>
        <v>1.8</v>
      </c>
      <c r="J156" s="28" t="n">
        <f aca="false">IFERROR(SUMPRODUCT((Indicators!$B$5:$B$35=J$4)*Indicators!$O$5:$O$35*'Indicator Scores'!$Y$5:$Y$35)/SUMPRODUCT((Indicators!$B$5:$B$35=J$4)*Indicators!$O$5:$O$35*('Indicator Scores'!$Y$5:$Y$35&gt;0)),0)</f>
        <v>2</v>
      </c>
      <c r="K156" s="28" t="n">
        <f aca="false">IFERROR(SUMPRODUCT(F156:J156,INDEX('Factor Weights'!$C$5:$G$11,MATCH(D156,'Factor Weights'!$A$5:$A$11,0),0))/SUMPRODUCT((F156:J156&gt;0)*INDEX('Factor Weights'!$C$5:$G$11,MATCH(D156,'Factor Weights'!$A$5:$A$11,0),0)),0)</f>
        <v>2.11</v>
      </c>
      <c r="L156" s="29" t="n">
        <f aca="false">MAX(F156:J156)</f>
        <v>3</v>
      </c>
      <c r="M156" s="28" t="n">
        <f aca="false">IF(L156&gt;=Config!$C$13,MAX(K156,Config!$C$14),K156)</f>
        <v>2.11</v>
      </c>
      <c r="N156" s="30" t="n">
        <f aca="false">IF(Config!$C$12="Weighted average",K156,IF(Config!$C$12="Weighted with floor",M156,L156))</f>
        <v>2.11</v>
      </c>
      <c r="O156" s="31" t="n">
        <f aca="false">IF(N156&lt;Config!$D$5,"",MATCH(N156,Config!$D$5:$D$9,1))</f>
        <v>2</v>
      </c>
      <c r="P156" s="7" t="str">
        <f aca="false">IF(O156="","No data",INDEX(Config!$B$5:$B$9,O156))</f>
        <v>Medium-Low</v>
      </c>
      <c r="Q156" s="32" t="n">
        <v>0</v>
      </c>
      <c r="R156" s="8"/>
      <c r="S156" s="33"/>
      <c r="T156" s="34" t="n">
        <f aca="false">IF(O156="","",IF(AND(S156="Y",Q156&lt;&gt;0),MAX(1,MIN(5,O156+MAX(-Config!$C$27,MIN(Config!$C$27,Q156)))),O156))</f>
        <v>2</v>
      </c>
      <c r="U156" s="35" t="str">
        <f aca="false">IF(T156="","No data",INDEX(Config!$B$5:$B$9,T156))</f>
        <v>Medium-Low</v>
      </c>
      <c r="V156" s="7" t="str">
        <f aca="false">IF(Q156=0,"None",IF(S156="Y","Applied","Pending HO approval"))</f>
        <v>None</v>
      </c>
      <c r="W156" s="36" t="n">
        <f aca="false">SUMPRODUCT((Indicators!$O$5:$O$35&gt;0)*('Indicator Data'!$Y$5:$Y$35&lt;&gt;""))/SUMPRODUCT(--(Indicators!$O$5:$O$35&gt;0))</f>
        <v>1</v>
      </c>
    </row>
    <row r="157" customFormat="false" ht="15" hidden="false" customHeight="false" outlineLevel="0" collapsed="false">
      <c r="A157" s="26" t="str">
        <f aca="false">Entities!$A$26</f>
        <v>GB</v>
      </c>
      <c r="B157" s="12" t="str">
        <f aca="false">INDEX(Entities!$B$5:$B$34,MATCH(A157,Entities!$A$5:$A$34,0))</f>
        <v>Europe Arab Bank – United Kingdom</v>
      </c>
      <c r="C157" s="12" t="str">
        <f aca="false">INDEX(Entities!$D$5:$D$34,MATCH(A157,Entities!$A$5:$A$34,0))</f>
        <v>Europe</v>
      </c>
      <c r="D157" s="12" t="s">
        <v>278</v>
      </c>
      <c r="E157" s="12" t="str">
        <f aca="false">INDEX('Risk Taxonomy'!$B$5:$B$24,MATCH(D157,'Risk Taxonomy'!$A$5:$A$24,0))</f>
        <v>Fraud</v>
      </c>
      <c r="F157" s="28" t="n">
        <f aca="false">IFERROR(SUMPRODUCT((Indicators!$B$5:$B$35=F$4)*Indicators!$P$5:$P$35*'Indicator Scores'!$Y$5:$Y$35)/SUMPRODUCT((Indicators!$B$5:$B$35=F$4)*Indicators!$P$5:$P$35*('Indicator Scores'!$Y$5:$Y$35&gt;0)),0)</f>
        <v>2</v>
      </c>
      <c r="G157" s="28" t="n">
        <f aca="false">IFERROR(SUMPRODUCT((Indicators!$B$5:$B$35=G$4)*Indicators!$P$5:$P$35*'Indicator Scores'!$Y$5:$Y$35)/SUMPRODUCT((Indicators!$B$5:$B$35=G$4)*Indicators!$P$5:$P$35*('Indicator Scores'!$Y$5:$Y$35&gt;0)),0)</f>
        <v>2.75</v>
      </c>
      <c r="H157" s="28" t="n">
        <f aca="false">IFERROR(SUMPRODUCT((Indicators!$B$5:$B$35=H$4)*Indicators!$P$5:$P$35*'Indicator Scores'!$Y$5:$Y$35)/SUMPRODUCT((Indicators!$B$5:$B$35=H$4)*Indicators!$P$5:$P$35*('Indicator Scores'!$Y$5:$Y$35&gt;0)),0)</f>
        <v>2.6</v>
      </c>
      <c r="I157" s="28" t="n">
        <f aca="false">IFERROR(SUMPRODUCT((Indicators!$B$5:$B$35=I$4)*Indicators!$P$5:$P$35*'Indicator Scores'!$Y$5:$Y$35)/SUMPRODUCT((Indicators!$B$5:$B$35=I$4)*Indicators!$P$5:$P$35*('Indicator Scores'!$Y$5:$Y$35&gt;0)),0)</f>
        <v>2.22222222222222</v>
      </c>
      <c r="J157" s="28" t="n">
        <f aca="false">IFERROR(SUMPRODUCT((Indicators!$B$5:$B$35=J$4)*Indicators!$P$5:$P$35*'Indicator Scores'!$Y$5:$Y$35)/SUMPRODUCT((Indicators!$B$5:$B$35=J$4)*Indicators!$P$5:$P$35*('Indicator Scores'!$Y$5:$Y$35&gt;0)),0)</f>
        <v>1</v>
      </c>
      <c r="K157" s="28" t="n">
        <f aca="false">IFERROR(SUMPRODUCT(F157:J157,INDEX('Factor Weights'!$C$5:$G$11,MATCH(D157,'Factor Weights'!$A$5:$A$11,0),0))/SUMPRODUCT((F157:J157&gt;0)*INDEX('Factor Weights'!$C$5:$G$11,MATCH(D157,'Factor Weights'!$A$5:$A$11,0),0)),0)</f>
        <v>2.06166666666667</v>
      </c>
      <c r="L157" s="29" t="n">
        <f aca="false">MAX(F157:J157)</f>
        <v>2.75</v>
      </c>
      <c r="M157" s="28" t="n">
        <f aca="false">IF(L157&gt;=Config!$C$13,MAX(K157,Config!$C$14),K157)</f>
        <v>2.06166666666667</v>
      </c>
      <c r="N157" s="30" t="n">
        <f aca="false">IF(Config!$C$12="Weighted average",K157,IF(Config!$C$12="Weighted with floor",M157,L157))</f>
        <v>2.06166666666667</v>
      </c>
      <c r="O157" s="31" t="n">
        <f aca="false">IF(N157&lt;Config!$D$5,"",MATCH(N157,Config!$D$5:$D$9,1))</f>
        <v>2</v>
      </c>
      <c r="P157" s="7" t="str">
        <f aca="false">IF(O157="","No data",INDEX(Config!$B$5:$B$9,O157))</f>
        <v>Medium-Low</v>
      </c>
      <c r="Q157" s="32" t="n">
        <v>0</v>
      </c>
      <c r="R157" s="8"/>
      <c r="S157" s="33"/>
      <c r="T157" s="34" t="n">
        <f aca="false">IF(O157="","",IF(AND(S157="Y",Q157&lt;&gt;0),MAX(1,MIN(5,O157+MAX(-Config!$C$27,MIN(Config!$C$27,Q157)))),O157))</f>
        <v>2</v>
      </c>
      <c r="U157" s="35" t="str">
        <f aca="false">IF(T157="","No data",INDEX(Config!$B$5:$B$9,T157))</f>
        <v>Medium-Low</v>
      </c>
      <c r="V157" s="7" t="str">
        <f aca="false">IF(Q157=0,"None",IF(S157="Y","Applied","Pending HO approval"))</f>
        <v>None</v>
      </c>
      <c r="W157" s="36" t="n">
        <f aca="false">SUMPRODUCT((Indicators!$P$5:$P$35&gt;0)*('Indicator Data'!$Y$5:$Y$35&lt;&gt;""))/SUMPRODUCT(--(Indicators!$P$5:$P$35&gt;0))</f>
        <v>1</v>
      </c>
    </row>
    <row r="158" customFormat="false" ht="15" hidden="false" customHeight="false" outlineLevel="0" collapsed="false">
      <c r="A158" s="26" t="str">
        <f aca="false">Entities!$A$26</f>
        <v>GB</v>
      </c>
      <c r="B158" s="12" t="str">
        <f aca="false">INDEX(Entities!$B$5:$B$34,MATCH(A158,Entities!$A$5:$A$34,0))</f>
        <v>Europe Arab Bank – United Kingdom</v>
      </c>
      <c r="C158" s="12" t="str">
        <f aca="false">INDEX(Entities!$D$5:$D$34,MATCH(A158,Entities!$A$5:$A$34,0))</f>
        <v>Europe</v>
      </c>
      <c r="D158" s="12" t="s">
        <v>281</v>
      </c>
      <c r="E158" s="12" t="str">
        <f aca="false">INDEX('Risk Taxonomy'!$B$5:$B$24,MATCH(D158,'Risk Taxonomy'!$A$5:$A$24,0))</f>
        <v>Tax evasion and tax transparency</v>
      </c>
      <c r="F158" s="28" t="n">
        <f aca="false">IFERROR(SUMPRODUCT((Indicators!$B$5:$B$35=F$4)*Indicators!$Q$5:$Q$35*'Indicator Scores'!$Y$5:$Y$35)/SUMPRODUCT((Indicators!$B$5:$B$35=F$4)*Indicators!$Q$5:$Q$35*('Indicator Scores'!$Y$5:$Y$35&gt;0)),0)</f>
        <v>2</v>
      </c>
      <c r="G158" s="28" t="n">
        <f aca="false">IFERROR(SUMPRODUCT((Indicators!$B$5:$B$35=G$4)*Indicators!$Q$5:$Q$35*'Indicator Scores'!$Y$5:$Y$35)/SUMPRODUCT((Indicators!$B$5:$B$35=G$4)*Indicators!$Q$5:$Q$35*('Indicator Scores'!$Y$5:$Y$35&gt;0)),0)</f>
        <v>2</v>
      </c>
      <c r="H158" s="28" t="n">
        <f aca="false">IFERROR(SUMPRODUCT((Indicators!$B$5:$B$35=H$4)*Indicators!$Q$5:$Q$35*'Indicator Scores'!$Y$5:$Y$35)/SUMPRODUCT((Indicators!$B$5:$B$35=H$4)*Indicators!$Q$5:$Q$35*('Indicator Scores'!$Y$5:$Y$35&gt;0)),0)</f>
        <v>1.33333333333333</v>
      </c>
      <c r="I158" s="28" t="n">
        <f aca="false">IFERROR(SUMPRODUCT((Indicators!$B$5:$B$35=I$4)*Indicators!$Q$5:$Q$35*'Indicator Scores'!$Y$5:$Y$35)/SUMPRODUCT((Indicators!$B$5:$B$35=I$4)*Indicators!$Q$5:$Q$35*('Indicator Scores'!$Y$5:$Y$35&gt;0)),0)</f>
        <v>2.5</v>
      </c>
      <c r="J158" s="28" t="n">
        <f aca="false">IFERROR(SUMPRODUCT((Indicators!$B$5:$B$35=J$4)*Indicators!$Q$5:$Q$35*'Indicator Scores'!$Y$5:$Y$35)/SUMPRODUCT((Indicators!$B$5:$B$35=J$4)*Indicators!$Q$5:$Q$35*('Indicator Scores'!$Y$5:$Y$35&gt;0)),0)</f>
        <v>1</v>
      </c>
      <c r="K158" s="28" t="n">
        <f aca="false">IFERROR(SUMPRODUCT(F158:J158,INDEX('Factor Weights'!$C$5:$G$11,MATCH(D158,'Factor Weights'!$A$5:$A$11,0),0))/SUMPRODUCT((F158:J158&gt;0)*INDEX('Factor Weights'!$C$5:$G$11,MATCH(D158,'Factor Weights'!$A$5:$A$11,0),0)),0)</f>
        <v>1.81666666666667</v>
      </c>
      <c r="L158" s="29" t="n">
        <f aca="false">MAX(F158:J158)</f>
        <v>2.5</v>
      </c>
      <c r="M158" s="28" t="n">
        <f aca="false">IF(L158&gt;=Config!$C$13,MAX(K158,Config!$C$14),K158)</f>
        <v>1.81666666666667</v>
      </c>
      <c r="N158" s="30" t="n">
        <f aca="false">IF(Config!$C$12="Weighted average",K158,IF(Config!$C$12="Weighted with floor",M158,L158))</f>
        <v>1.81666666666667</v>
      </c>
      <c r="O158" s="31" t="n">
        <f aca="false">IF(N158&lt;Config!$D$5,"",MATCH(N158,Config!$D$5:$D$9,1))</f>
        <v>2</v>
      </c>
      <c r="P158" s="7" t="str">
        <f aca="false">IF(O158="","No data",INDEX(Config!$B$5:$B$9,O158))</f>
        <v>Medium-Low</v>
      </c>
      <c r="Q158" s="32" t="n">
        <v>0</v>
      </c>
      <c r="R158" s="8"/>
      <c r="S158" s="33"/>
      <c r="T158" s="34" t="n">
        <f aca="false">IF(O158="","",IF(AND(S158="Y",Q158&lt;&gt;0),MAX(1,MIN(5,O158+MAX(-Config!$C$27,MIN(Config!$C$27,Q158)))),O158))</f>
        <v>2</v>
      </c>
      <c r="U158" s="35" t="str">
        <f aca="false">IF(T158="","No data",INDEX(Config!$B$5:$B$9,T158))</f>
        <v>Medium-Low</v>
      </c>
      <c r="V158" s="7" t="str">
        <f aca="false">IF(Q158=0,"None",IF(S158="Y","Applied","Pending HO approval"))</f>
        <v>None</v>
      </c>
      <c r="W158" s="36" t="n">
        <f aca="false">SUMPRODUCT((Indicators!$Q$5:$Q$35&gt;0)*('Indicator Data'!$Y$5:$Y$35&lt;&gt;""))/SUMPRODUCT(--(Indicators!$Q$5:$Q$35&gt;0))</f>
        <v>1</v>
      </c>
    </row>
    <row r="159" customFormat="false" ht="15" hidden="false" customHeight="false" outlineLevel="0" collapsed="false">
      <c r="A159" s="26" t="str">
        <f aca="false">Entities!$A$27</f>
        <v>FR</v>
      </c>
      <c r="B159" s="12" t="str">
        <f aca="false">INDEX(Entities!$B$5:$B$34,MATCH(A159,Entities!$A$5:$A$34,0))</f>
        <v>Arab Bank – France</v>
      </c>
      <c r="C159" s="12" t="str">
        <f aca="false">INDEX(Entities!$D$5:$D$34,MATCH(A159,Entities!$A$5:$A$34,0))</f>
        <v>Europe</v>
      </c>
      <c r="D159" s="12" t="s">
        <v>260</v>
      </c>
      <c r="E159" s="12" t="str">
        <f aca="false">INDEX('Risk Taxonomy'!$B$5:$B$24,MATCH(D159,'Risk Taxonomy'!$A$5:$A$24,0))</f>
        <v>Money laundering</v>
      </c>
      <c r="F159" s="28" t="n">
        <f aca="false">IFERROR(SUMPRODUCT((Indicators!$B$5:$B$35=F$4)*Indicators!$K$5:$K$35*'Indicator Scores'!$Z$5:$Z$35)/SUMPRODUCT((Indicators!$B$5:$B$35=F$4)*Indicators!$K$5:$K$35*('Indicator Scores'!$Z$5:$Z$35&gt;0)),0)</f>
        <v>1.58333333333333</v>
      </c>
      <c r="G159" s="28" t="n">
        <f aca="false">IFERROR(SUMPRODUCT((Indicators!$B$5:$B$35=G$4)*Indicators!$K$5:$K$35*'Indicator Scores'!$Z$5:$Z$35)/SUMPRODUCT((Indicators!$B$5:$B$35=G$4)*Indicators!$K$5:$K$35*('Indicator Scores'!$Z$5:$Z$35&gt;0)),0)</f>
        <v>1.88888888888889</v>
      </c>
      <c r="H159" s="28" t="n">
        <f aca="false">IFERROR(SUMPRODUCT((Indicators!$B$5:$B$35=H$4)*Indicators!$K$5:$K$35*'Indicator Scores'!$Z$5:$Z$35)/SUMPRODUCT((Indicators!$B$5:$B$35=H$4)*Indicators!$K$5:$K$35*('Indicator Scores'!$Z$5:$Z$35&gt;0)),0)</f>
        <v>2</v>
      </c>
      <c r="I159" s="28" t="n">
        <f aca="false">IFERROR(SUMPRODUCT((Indicators!$B$5:$B$35=I$4)*Indicators!$K$5:$K$35*'Indicator Scores'!$Z$5:$Z$35)/SUMPRODUCT((Indicators!$B$5:$B$35=I$4)*Indicators!$K$5:$K$35*('Indicator Scores'!$Z$5:$Z$35&gt;0)),0)</f>
        <v>1.85714285714286</v>
      </c>
      <c r="J159" s="28" t="n">
        <f aca="false">IFERROR(SUMPRODUCT((Indicators!$B$5:$B$35=J$4)*Indicators!$K$5:$K$35*'Indicator Scores'!$Z$5:$Z$35)/SUMPRODUCT((Indicators!$B$5:$B$35=J$4)*Indicators!$K$5:$K$35*('Indicator Scores'!$Z$5:$Z$35&gt;0)),0)</f>
        <v>1.8</v>
      </c>
      <c r="K159" s="28" t="n">
        <f aca="false">IFERROR(SUMPRODUCT(F159:J159,INDEX('Factor Weights'!$C$5:$G$11,MATCH(D159,'Factor Weights'!$A$5:$A$11,0),0))/SUMPRODUCT((F159:J159&gt;0)*INDEX('Factor Weights'!$C$5:$G$11,MATCH(D159,'Factor Weights'!$A$5:$A$11,0),0)),0)</f>
        <v>1.80579365079365</v>
      </c>
      <c r="L159" s="29" t="n">
        <f aca="false">MAX(F159:J159)</f>
        <v>2</v>
      </c>
      <c r="M159" s="28" t="n">
        <f aca="false">IF(L159&gt;=Config!$C$13,MAX(K159,Config!$C$14),K159)</f>
        <v>1.80579365079365</v>
      </c>
      <c r="N159" s="30" t="n">
        <f aca="false">IF(Config!$C$12="Weighted average",K159,IF(Config!$C$12="Weighted with floor",M159,L159))</f>
        <v>1.80579365079365</v>
      </c>
      <c r="O159" s="31" t="n">
        <f aca="false">IF(N159&lt;Config!$D$5,"",MATCH(N159,Config!$D$5:$D$9,1))</f>
        <v>1</v>
      </c>
      <c r="P159" s="7" t="str">
        <f aca="false">IF(O159="","No data",INDEX(Config!$B$5:$B$9,O159))</f>
        <v>Low</v>
      </c>
      <c r="Q159" s="32" t="n">
        <v>0</v>
      </c>
      <c r="R159" s="8"/>
      <c r="S159" s="33"/>
      <c r="T159" s="34" t="n">
        <f aca="false">IF(O159="","",IF(AND(S159="Y",Q159&lt;&gt;0),MAX(1,MIN(5,O159+MAX(-Config!$C$27,MIN(Config!$C$27,Q159)))),O159))</f>
        <v>1</v>
      </c>
      <c r="U159" s="35" t="str">
        <f aca="false">IF(T159="","No data",INDEX(Config!$B$5:$B$9,T159))</f>
        <v>Low</v>
      </c>
      <c r="V159" s="7" t="str">
        <f aca="false">IF(Q159=0,"None",IF(S159="Y","Applied","Pending HO approval"))</f>
        <v>None</v>
      </c>
      <c r="W159" s="36" t="n">
        <f aca="false">SUMPRODUCT((Indicators!$K$5:$K$35&gt;0)*('Indicator Data'!$Z$5:$Z$35&lt;&gt;""))/SUMPRODUCT(--(Indicators!$K$5:$K$35&gt;0))</f>
        <v>1</v>
      </c>
    </row>
    <row r="160" customFormat="false" ht="15" hidden="false" customHeight="false" outlineLevel="0" collapsed="false">
      <c r="A160" s="26" t="str">
        <f aca="false">Entities!$A$27</f>
        <v>FR</v>
      </c>
      <c r="B160" s="12" t="str">
        <f aca="false">INDEX(Entities!$B$5:$B$34,MATCH(A160,Entities!$A$5:$A$34,0))</f>
        <v>Arab Bank – France</v>
      </c>
      <c r="C160" s="12" t="str">
        <f aca="false">INDEX(Entities!$D$5:$D$34,MATCH(A160,Entities!$A$5:$A$34,0))</f>
        <v>Europe</v>
      </c>
      <c r="D160" s="12" t="s">
        <v>267</v>
      </c>
      <c r="E160" s="12" t="str">
        <f aca="false">INDEX('Risk Taxonomy'!$B$5:$B$24,MATCH(D160,'Risk Taxonomy'!$A$5:$A$24,0))</f>
        <v>Terrorist financing</v>
      </c>
      <c r="F160" s="28" t="n">
        <f aca="false">IFERROR(SUMPRODUCT((Indicators!$B$5:$B$35=F$4)*Indicators!$L$5:$L$35*'Indicator Scores'!$Z$5:$Z$35)/SUMPRODUCT((Indicators!$B$5:$B$35=F$4)*Indicators!$L$5:$L$35*('Indicator Scores'!$Z$5:$Z$35&gt;0)),0)</f>
        <v>1.5</v>
      </c>
      <c r="G160" s="28" t="n">
        <f aca="false">IFERROR(SUMPRODUCT((Indicators!$B$5:$B$35=G$4)*Indicators!$L$5:$L$35*'Indicator Scores'!$Z$5:$Z$35)/SUMPRODUCT((Indicators!$B$5:$B$35=G$4)*Indicators!$L$5:$L$35*('Indicator Scores'!$Z$5:$Z$35&gt;0)),0)</f>
        <v>1.66666666666667</v>
      </c>
      <c r="H160" s="28" t="n">
        <f aca="false">IFERROR(SUMPRODUCT((Indicators!$B$5:$B$35=H$4)*Indicators!$L$5:$L$35*'Indicator Scores'!$Z$5:$Z$35)/SUMPRODUCT((Indicators!$B$5:$B$35=H$4)*Indicators!$L$5:$L$35*('Indicator Scores'!$Z$5:$Z$35&gt;0)),0)</f>
        <v>1.5</v>
      </c>
      <c r="I160" s="28" t="n">
        <f aca="false">IFERROR(SUMPRODUCT((Indicators!$B$5:$B$35=I$4)*Indicators!$L$5:$L$35*'Indicator Scores'!$Z$5:$Z$35)/SUMPRODUCT((Indicators!$B$5:$B$35=I$4)*Indicators!$L$5:$L$35*('Indicator Scores'!$Z$5:$Z$35&gt;0)),0)</f>
        <v>1.83333333333333</v>
      </c>
      <c r="J160" s="28" t="n">
        <f aca="false">IFERROR(SUMPRODUCT((Indicators!$B$5:$B$35=J$4)*Indicators!$L$5:$L$35*'Indicator Scores'!$Z$5:$Z$35)/SUMPRODUCT((Indicators!$B$5:$B$35=J$4)*Indicators!$L$5:$L$35*('Indicator Scores'!$Z$5:$Z$35&gt;0)),0)</f>
        <v>1.85714285714286</v>
      </c>
      <c r="K160" s="28" t="n">
        <f aca="false">IFERROR(SUMPRODUCT(F160:J160,INDEX('Factor Weights'!$C$5:$G$11,MATCH(D160,'Factor Weights'!$A$5:$A$11,0),0))/SUMPRODUCT((F160:J160&gt;0)*INDEX('Factor Weights'!$C$5:$G$11,MATCH(D160,'Factor Weights'!$A$5:$A$11,0),0)),0)</f>
        <v>1.6547619047619</v>
      </c>
      <c r="L160" s="29" t="n">
        <f aca="false">MAX(F160:J160)</f>
        <v>1.85714285714286</v>
      </c>
      <c r="M160" s="28" t="n">
        <f aca="false">IF(L160&gt;=Config!$C$13,MAX(K160,Config!$C$14),K160)</f>
        <v>1.6547619047619</v>
      </c>
      <c r="N160" s="30" t="n">
        <f aca="false">IF(Config!$C$12="Weighted average",K160,IF(Config!$C$12="Weighted with floor",M160,L160))</f>
        <v>1.6547619047619</v>
      </c>
      <c r="O160" s="31" t="n">
        <f aca="false">IF(N160&lt;Config!$D$5,"",MATCH(N160,Config!$D$5:$D$9,1))</f>
        <v>1</v>
      </c>
      <c r="P160" s="7" t="str">
        <f aca="false">IF(O160="","No data",INDEX(Config!$B$5:$B$9,O160))</f>
        <v>Low</v>
      </c>
      <c r="Q160" s="32" t="n">
        <v>0</v>
      </c>
      <c r="R160" s="8"/>
      <c r="S160" s="33"/>
      <c r="T160" s="34" t="n">
        <f aca="false">IF(O160="","",IF(AND(S160="Y",Q160&lt;&gt;0),MAX(1,MIN(5,O160+MAX(-Config!$C$27,MIN(Config!$C$27,Q160)))),O160))</f>
        <v>1</v>
      </c>
      <c r="U160" s="35" t="str">
        <f aca="false">IF(T160="","No data",INDEX(Config!$B$5:$B$9,T160))</f>
        <v>Low</v>
      </c>
      <c r="V160" s="7" t="str">
        <f aca="false">IF(Q160=0,"None",IF(S160="Y","Applied","Pending HO approval"))</f>
        <v>None</v>
      </c>
      <c r="W160" s="36" t="n">
        <f aca="false">SUMPRODUCT((Indicators!$L$5:$L$35&gt;0)*('Indicator Data'!$Z$5:$Z$35&lt;&gt;""))/SUMPRODUCT(--(Indicators!$L$5:$L$35&gt;0))</f>
        <v>1</v>
      </c>
    </row>
    <row r="161" customFormat="false" ht="15" hidden="false" customHeight="false" outlineLevel="0" collapsed="false">
      <c r="A161" s="26" t="str">
        <f aca="false">Entities!$A$27</f>
        <v>FR</v>
      </c>
      <c r="B161" s="12" t="str">
        <f aca="false">INDEX(Entities!$B$5:$B$34,MATCH(A161,Entities!$A$5:$A$34,0))</f>
        <v>Arab Bank – France</v>
      </c>
      <c r="C161" s="12" t="str">
        <f aca="false">INDEX(Entities!$D$5:$D$34,MATCH(A161,Entities!$A$5:$A$34,0))</f>
        <v>Europe</v>
      </c>
      <c r="D161" s="12" t="s">
        <v>270</v>
      </c>
      <c r="E161" s="12" t="str">
        <f aca="false">INDEX('Risk Taxonomy'!$B$5:$B$24,MATCH(D161,'Risk Taxonomy'!$A$5:$A$24,0))</f>
        <v>Proliferation financing</v>
      </c>
      <c r="F161" s="28" t="n">
        <f aca="false">IFERROR(SUMPRODUCT((Indicators!$B$5:$B$35=F$4)*Indicators!$M$5:$M$35*'Indicator Scores'!$Z$5:$Z$35)/SUMPRODUCT((Indicators!$B$5:$B$35=F$4)*Indicators!$M$5:$M$35*('Indicator Scores'!$Z$5:$Z$35&gt;0)),0)</f>
        <v>1.5</v>
      </c>
      <c r="G161" s="28" t="n">
        <f aca="false">IFERROR(SUMPRODUCT((Indicators!$B$5:$B$35=G$4)*Indicators!$M$5:$M$35*'Indicator Scores'!$Z$5:$Z$35)/SUMPRODUCT((Indicators!$B$5:$B$35=G$4)*Indicators!$M$5:$M$35*('Indicator Scores'!$Z$5:$Z$35&gt;0)),0)</f>
        <v>1.625</v>
      </c>
      <c r="H161" s="28" t="n">
        <f aca="false">IFERROR(SUMPRODUCT((Indicators!$B$5:$B$35=H$4)*Indicators!$M$5:$M$35*'Indicator Scores'!$Z$5:$Z$35)/SUMPRODUCT((Indicators!$B$5:$B$35=H$4)*Indicators!$M$5:$M$35*('Indicator Scores'!$Z$5:$Z$35&gt;0)),0)</f>
        <v>1.77777777777778</v>
      </c>
      <c r="I161" s="28" t="n">
        <f aca="false">IFERROR(SUMPRODUCT((Indicators!$B$5:$B$35=I$4)*Indicators!$M$5:$M$35*'Indicator Scores'!$Z$5:$Z$35)/SUMPRODUCT((Indicators!$B$5:$B$35=I$4)*Indicators!$M$5:$M$35*('Indicator Scores'!$Z$5:$Z$35&gt;0)),0)</f>
        <v>2</v>
      </c>
      <c r="J161" s="28" t="n">
        <f aca="false">IFERROR(SUMPRODUCT((Indicators!$B$5:$B$35=J$4)*Indicators!$M$5:$M$35*'Indicator Scores'!$Z$5:$Z$35)/SUMPRODUCT((Indicators!$B$5:$B$35=J$4)*Indicators!$M$5:$M$35*('Indicator Scores'!$Z$5:$Z$35&gt;0)),0)</f>
        <v>2</v>
      </c>
      <c r="K161" s="28" t="n">
        <f aca="false">IFERROR(SUMPRODUCT(F161:J161,INDEX('Factor Weights'!$C$5:$G$11,MATCH(D161,'Factor Weights'!$A$5:$A$11,0),0))/SUMPRODUCT((F161:J161&gt;0)*INDEX('Factor Weights'!$C$5:$G$11,MATCH(D161,'Factor Weights'!$A$5:$A$11,0),0)),0)</f>
        <v>1.74583333333333</v>
      </c>
      <c r="L161" s="29" t="n">
        <f aca="false">MAX(F161:J161)</f>
        <v>2</v>
      </c>
      <c r="M161" s="28" t="n">
        <f aca="false">IF(L161&gt;=Config!$C$13,MAX(K161,Config!$C$14),K161)</f>
        <v>1.74583333333333</v>
      </c>
      <c r="N161" s="30" t="n">
        <f aca="false">IF(Config!$C$12="Weighted average",K161,IF(Config!$C$12="Weighted with floor",M161,L161))</f>
        <v>1.74583333333333</v>
      </c>
      <c r="O161" s="31" t="n">
        <f aca="false">IF(N161&lt;Config!$D$5,"",MATCH(N161,Config!$D$5:$D$9,1))</f>
        <v>1</v>
      </c>
      <c r="P161" s="7" t="str">
        <f aca="false">IF(O161="","No data",INDEX(Config!$B$5:$B$9,O161))</f>
        <v>Low</v>
      </c>
      <c r="Q161" s="32" t="n">
        <v>0</v>
      </c>
      <c r="R161" s="8"/>
      <c r="S161" s="33"/>
      <c r="T161" s="34" t="n">
        <f aca="false">IF(O161="","",IF(AND(S161="Y",Q161&lt;&gt;0),MAX(1,MIN(5,O161+MAX(-Config!$C$27,MIN(Config!$C$27,Q161)))),O161))</f>
        <v>1</v>
      </c>
      <c r="U161" s="35" t="str">
        <f aca="false">IF(T161="","No data",INDEX(Config!$B$5:$B$9,T161))</f>
        <v>Low</v>
      </c>
      <c r="V161" s="7" t="str">
        <f aca="false">IF(Q161=0,"None",IF(S161="Y","Applied","Pending HO approval"))</f>
        <v>None</v>
      </c>
      <c r="W161" s="36" t="n">
        <f aca="false">SUMPRODUCT((Indicators!$M$5:$M$35&gt;0)*('Indicator Data'!$Z$5:$Z$35&lt;&gt;""))/SUMPRODUCT(--(Indicators!$M$5:$M$35&gt;0))</f>
        <v>1</v>
      </c>
    </row>
    <row r="162" customFormat="false" ht="15" hidden="false" customHeight="false" outlineLevel="0" collapsed="false">
      <c r="A162" s="26" t="str">
        <f aca="false">Entities!$A$27</f>
        <v>FR</v>
      </c>
      <c r="B162" s="12" t="str">
        <f aca="false">INDEX(Entities!$B$5:$B$34,MATCH(A162,Entities!$A$5:$A$34,0))</f>
        <v>Arab Bank – France</v>
      </c>
      <c r="C162" s="12" t="str">
        <f aca="false">INDEX(Entities!$D$5:$D$34,MATCH(A162,Entities!$A$5:$A$34,0))</f>
        <v>Europe</v>
      </c>
      <c r="D162" s="12" t="s">
        <v>272</v>
      </c>
      <c r="E162" s="12" t="str">
        <f aca="false">INDEX('Risk Taxonomy'!$B$5:$B$24,MATCH(D162,'Risk Taxonomy'!$A$5:$A$24,0))</f>
        <v>Sanctions</v>
      </c>
      <c r="F162" s="28" t="n">
        <f aca="false">IFERROR(SUMPRODUCT((Indicators!$B$5:$B$35=F$4)*Indicators!$N$5:$N$35*'Indicator Scores'!$Z$5:$Z$35)/SUMPRODUCT((Indicators!$B$5:$B$35=F$4)*Indicators!$N$5:$N$35*('Indicator Scores'!$Z$5:$Z$35&gt;0)),0)</f>
        <v>1.71428571428571</v>
      </c>
      <c r="G162" s="28" t="n">
        <f aca="false">IFERROR(SUMPRODUCT((Indicators!$B$5:$B$35=G$4)*Indicators!$N$5:$N$35*'Indicator Scores'!$Z$5:$Z$35)/SUMPRODUCT((Indicators!$B$5:$B$35=G$4)*Indicators!$N$5:$N$35*('Indicator Scores'!$Z$5:$Z$35&gt;0)),0)</f>
        <v>1.71428571428571</v>
      </c>
      <c r="H162" s="28" t="n">
        <f aca="false">IFERROR(SUMPRODUCT((Indicators!$B$5:$B$35=H$4)*Indicators!$N$5:$N$35*'Indicator Scores'!$Z$5:$Z$35)/SUMPRODUCT((Indicators!$B$5:$B$35=H$4)*Indicators!$N$5:$N$35*('Indicator Scores'!$Z$5:$Z$35&gt;0)),0)</f>
        <v>1.875</v>
      </c>
      <c r="I162" s="28" t="n">
        <f aca="false">IFERROR(SUMPRODUCT((Indicators!$B$5:$B$35=I$4)*Indicators!$N$5:$N$35*'Indicator Scores'!$Z$5:$Z$35)/SUMPRODUCT((Indicators!$B$5:$B$35=I$4)*Indicators!$N$5:$N$35*('Indicator Scores'!$Z$5:$Z$35&gt;0)),0)</f>
        <v>2</v>
      </c>
      <c r="J162" s="28" t="n">
        <f aca="false">IFERROR(SUMPRODUCT((Indicators!$B$5:$B$35=J$4)*Indicators!$N$5:$N$35*'Indicator Scores'!$Z$5:$Z$35)/SUMPRODUCT((Indicators!$B$5:$B$35=J$4)*Indicators!$N$5:$N$35*('Indicator Scores'!$Z$5:$Z$35&gt;0)),0)</f>
        <v>2</v>
      </c>
      <c r="K162" s="28" t="n">
        <f aca="false">IFERROR(SUMPRODUCT(F162:J162,INDEX('Factor Weights'!$C$5:$G$11,MATCH(D162,'Factor Weights'!$A$5:$A$11,0),0))/SUMPRODUCT((F162:J162&gt;0)*INDEX('Factor Weights'!$C$5:$G$11,MATCH(D162,'Factor Weights'!$A$5:$A$11,0),0)),0)</f>
        <v>1.81785714285714</v>
      </c>
      <c r="L162" s="29" t="n">
        <f aca="false">MAX(F162:J162)</f>
        <v>2</v>
      </c>
      <c r="M162" s="28" t="n">
        <f aca="false">IF(L162&gt;=Config!$C$13,MAX(K162,Config!$C$14),K162)</f>
        <v>1.81785714285714</v>
      </c>
      <c r="N162" s="30" t="n">
        <f aca="false">IF(Config!$C$12="Weighted average",K162,IF(Config!$C$12="Weighted with floor",M162,L162))</f>
        <v>1.81785714285714</v>
      </c>
      <c r="O162" s="31" t="n">
        <f aca="false">IF(N162&lt;Config!$D$5,"",MATCH(N162,Config!$D$5:$D$9,1))</f>
        <v>2</v>
      </c>
      <c r="P162" s="7" t="str">
        <f aca="false">IF(O162="","No data",INDEX(Config!$B$5:$B$9,O162))</f>
        <v>Medium-Low</v>
      </c>
      <c r="Q162" s="32" t="n">
        <v>0</v>
      </c>
      <c r="R162" s="8"/>
      <c r="S162" s="33"/>
      <c r="T162" s="34" t="n">
        <f aca="false">IF(O162="","",IF(AND(S162="Y",Q162&lt;&gt;0),MAX(1,MIN(5,O162+MAX(-Config!$C$27,MIN(Config!$C$27,Q162)))),O162))</f>
        <v>2</v>
      </c>
      <c r="U162" s="35" t="str">
        <f aca="false">IF(T162="","No data",INDEX(Config!$B$5:$B$9,T162))</f>
        <v>Medium-Low</v>
      </c>
      <c r="V162" s="7" t="str">
        <f aca="false">IF(Q162=0,"None",IF(S162="Y","Applied","Pending HO approval"))</f>
        <v>None</v>
      </c>
      <c r="W162" s="36" t="n">
        <f aca="false">SUMPRODUCT((Indicators!$N$5:$N$35&gt;0)*('Indicator Data'!$Z$5:$Z$35&lt;&gt;""))/SUMPRODUCT(--(Indicators!$N$5:$N$35&gt;0))</f>
        <v>1</v>
      </c>
    </row>
    <row r="163" customFormat="false" ht="15" hidden="false" customHeight="false" outlineLevel="0" collapsed="false">
      <c r="A163" s="26" t="str">
        <f aca="false">Entities!$A$27</f>
        <v>FR</v>
      </c>
      <c r="B163" s="12" t="str">
        <f aca="false">INDEX(Entities!$B$5:$B$34,MATCH(A163,Entities!$A$5:$A$34,0))</f>
        <v>Arab Bank – France</v>
      </c>
      <c r="C163" s="12" t="str">
        <f aca="false">INDEX(Entities!$D$5:$D$34,MATCH(A163,Entities!$A$5:$A$34,0))</f>
        <v>Europe</v>
      </c>
      <c r="D163" s="12" t="s">
        <v>275</v>
      </c>
      <c r="E163" s="12" t="str">
        <f aca="false">INDEX('Risk Taxonomy'!$B$5:$B$24,MATCH(D163,'Risk Taxonomy'!$A$5:$A$24,0))</f>
        <v>Bribery and corruption</v>
      </c>
      <c r="F163" s="28" t="n">
        <f aca="false">IFERROR(SUMPRODUCT((Indicators!$B$5:$B$35=F$4)*Indicators!$O$5:$O$35*'Indicator Scores'!$Z$5:$Z$35)/SUMPRODUCT((Indicators!$B$5:$B$35=F$4)*Indicators!$O$5:$O$35*('Indicator Scores'!$Z$5:$Z$35&gt;0)),0)</f>
        <v>1.77777777777778</v>
      </c>
      <c r="G163" s="28" t="n">
        <f aca="false">IFERROR(SUMPRODUCT((Indicators!$B$5:$B$35=G$4)*Indicators!$O$5:$O$35*'Indicator Scores'!$Z$5:$Z$35)/SUMPRODUCT((Indicators!$B$5:$B$35=G$4)*Indicators!$O$5:$O$35*('Indicator Scores'!$Z$5:$Z$35&gt;0)),0)</f>
        <v>2.4</v>
      </c>
      <c r="H163" s="28" t="n">
        <f aca="false">IFERROR(SUMPRODUCT((Indicators!$B$5:$B$35=H$4)*Indicators!$O$5:$O$35*'Indicator Scores'!$Z$5:$Z$35)/SUMPRODUCT((Indicators!$B$5:$B$35=H$4)*Indicators!$O$5:$O$35*('Indicator Scores'!$Z$5:$Z$35&gt;0)),0)</f>
        <v>3</v>
      </c>
      <c r="I163" s="28" t="n">
        <f aca="false">IFERROR(SUMPRODUCT((Indicators!$B$5:$B$35=I$4)*Indicators!$O$5:$O$35*'Indicator Scores'!$Z$5:$Z$35)/SUMPRODUCT((Indicators!$B$5:$B$35=I$4)*Indicators!$O$5:$O$35*('Indicator Scores'!$Z$5:$Z$35&gt;0)),0)</f>
        <v>1.4</v>
      </c>
      <c r="J163" s="28" t="n">
        <f aca="false">IFERROR(SUMPRODUCT((Indicators!$B$5:$B$35=J$4)*Indicators!$O$5:$O$35*'Indicator Scores'!$Z$5:$Z$35)/SUMPRODUCT((Indicators!$B$5:$B$35=J$4)*Indicators!$O$5:$O$35*('Indicator Scores'!$Z$5:$Z$35&gt;0)),0)</f>
        <v>2</v>
      </c>
      <c r="K163" s="28" t="n">
        <f aca="false">IFERROR(SUMPRODUCT(F163:J163,INDEX('Factor Weights'!$C$5:$G$11,MATCH(D163,'Factor Weights'!$A$5:$A$11,0),0))/SUMPRODUCT((F163:J163&gt;0)*INDEX('Factor Weights'!$C$5:$G$11,MATCH(D163,'Factor Weights'!$A$5:$A$11,0),0)),0)</f>
        <v>2.06333333333333</v>
      </c>
      <c r="L163" s="29" t="n">
        <f aca="false">MAX(F163:J163)</f>
        <v>3</v>
      </c>
      <c r="M163" s="28" t="n">
        <f aca="false">IF(L163&gt;=Config!$C$13,MAX(K163,Config!$C$14),K163)</f>
        <v>2.06333333333333</v>
      </c>
      <c r="N163" s="30" t="n">
        <f aca="false">IF(Config!$C$12="Weighted average",K163,IF(Config!$C$12="Weighted with floor",M163,L163))</f>
        <v>2.06333333333333</v>
      </c>
      <c r="O163" s="31" t="n">
        <f aca="false">IF(N163&lt;Config!$D$5,"",MATCH(N163,Config!$D$5:$D$9,1))</f>
        <v>2</v>
      </c>
      <c r="P163" s="7" t="str">
        <f aca="false">IF(O163="","No data",INDEX(Config!$B$5:$B$9,O163))</f>
        <v>Medium-Low</v>
      </c>
      <c r="Q163" s="32" t="n">
        <v>0</v>
      </c>
      <c r="R163" s="8"/>
      <c r="S163" s="33"/>
      <c r="T163" s="34" t="n">
        <f aca="false">IF(O163="","",IF(AND(S163="Y",Q163&lt;&gt;0),MAX(1,MIN(5,O163+MAX(-Config!$C$27,MIN(Config!$C$27,Q163)))),O163))</f>
        <v>2</v>
      </c>
      <c r="U163" s="35" t="str">
        <f aca="false">IF(T163="","No data",INDEX(Config!$B$5:$B$9,T163))</f>
        <v>Medium-Low</v>
      </c>
      <c r="V163" s="7" t="str">
        <f aca="false">IF(Q163=0,"None",IF(S163="Y","Applied","Pending HO approval"))</f>
        <v>None</v>
      </c>
      <c r="W163" s="36" t="n">
        <f aca="false">SUMPRODUCT((Indicators!$O$5:$O$35&gt;0)*('Indicator Data'!$Z$5:$Z$35&lt;&gt;""))/SUMPRODUCT(--(Indicators!$O$5:$O$35&gt;0))</f>
        <v>1</v>
      </c>
    </row>
    <row r="164" customFormat="false" ht="15" hidden="false" customHeight="false" outlineLevel="0" collapsed="false">
      <c r="A164" s="26" t="str">
        <f aca="false">Entities!$A$27</f>
        <v>FR</v>
      </c>
      <c r="B164" s="12" t="str">
        <f aca="false">INDEX(Entities!$B$5:$B$34,MATCH(A164,Entities!$A$5:$A$34,0))</f>
        <v>Arab Bank – France</v>
      </c>
      <c r="C164" s="12" t="str">
        <f aca="false">INDEX(Entities!$D$5:$D$34,MATCH(A164,Entities!$A$5:$A$34,0))</f>
        <v>Europe</v>
      </c>
      <c r="D164" s="12" t="s">
        <v>278</v>
      </c>
      <c r="E164" s="12" t="str">
        <f aca="false">INDEX('Risk Taxonomy'!$B$5:$B$24,MATCH(D164,'Risk Taxonomy'!$A$5:$A$24,0))</f>
        <v>Fraud</v>
      </c>
      <c r="F164" s="28" t="n">
        <f aca="false">IFERROR(SUMPRODUCT((Indicators!$B$5:$B$35=F$4)*Indicators!$P$5:$P$35*'Indicator Scores'!$Z$5:$Z$35)/SUMPRODUCT((Indicators!$B$5:$B$35=F$4)*Indicators!$P$5:$P$35*('Indicator Scores'!$Z$5:$Z$35&gt;0)),0)</f>
        <v>2</v>
      </c>
      <c r="G164" s="28" t="n">
        <f aca="false">IFERROR(SUMPRODUCT((Indicators!$B$5:$B$35=G$4)*Indicators!$P$5:$P$35*'Indicator Scores'!$Z$5:$Z$35)/SUMPRODUCT((Indicators!$B$5:$B$35=G$4)*Indicators!$P$5:$P$35*('Indicator Scores'!$Z$5:$Z$35&gt;0)),0)</f>
        <v>2</v>
      </c>
      <c r="H164" s="28" t="n">
        <f aca="false">IFERROR(SUMPRODUCT((Indicators!$B$5:$B$35=H$4)*Indicators!$P$5:$P$35*'Indicator Scores'!$Z$5:$Z$35)/SUMPRODUCT((Indicators!$B$5:$B$35=H$4)*Indicators!$P$5:$P$35*('Indicator Scores'!$Z$5:$Z$35&gt;0)),0)</f>
        <v>1.8</v>
      </c>
      <c r="I164" s="28" t="n">
        <f aca="false">IFERROR(SUMPRODUCT((Indicators!$B$5:$B$35=I$4)*Indicators!$P$5:$P$35*'Indicator Scores'!$Z$5:$Z$35)/SUMPRODUCT((Indicators!$B$5:$B$35=I$4)*Indicators!$P$5:$P$35*('Indicator Scores'!$Z$5:$Z$35&gt;0)),0)</f>
        <v>1.77777777777778</v>
      </c>
      <c r="J164" s="28" t="n">
        <f aca="false">IFERROR(SUMPRODUCT((Indicators!$B$5:$B$35=J$4)*Indicators!$P$5:$P$35*'Indicator Scores'!$Z$5:$Z$35)/SUMPRODUCT((Indicators!$B$5:$B$35=J$4)*Indicators!$P$5:$P$35*('Indicator Scores'!$Z$5:$Z$35&gt;0)),0)</f>
        <v>2</v>
      </c>
      <c r="K164" s="28" t="n">
        <f aca="false">IFERROR(SUMPRODUCT(F164:J164,INDEX('Factor Weights'!$C$5:$G$11,MATCH(D164,'Factor Weights'!$A$5:$A$11,0),0))/SUMPRODUCT((F164:J164&gt;0)*INDEX('Factor Weights'!$C$5:$G$11,MATCH(D164,'Factor Weights'!$A$5:$A$11,0),0)),0)</f>
        <v>1.89333333333333</v>
      </c>
      <c r="L164" s="29" t="n">
        <f aca="false">MAX(F164:J164)</f>
        <v>2</v>
      </c>
      <c r="M164" s="28" t="n">
        <f aca="false">IF(L164&gt;=Config!$C$13,MAX(K164,Config!$C$14),K164)</f>
        <v>1.89333333333333</v>
      </c>
      <c r="N164" s="30" t="n">
        <f aca="false">IF(Config!$C$12="Weighted average",K164,IF(Config!$C$12="Weighted with floor",M164,L164))</f>
        <v>1.89333333333333</v>
      </c>
      <c r="O164" s="31" t="n">
        <f aca="false">IF(N164&lt;Config!$D$5,"",MATCH(N164,Config!$D$5:$D$9,1))</f>
        <v>2</v>
      </c>
      <c r="P164" s="7" t="str">
        <f aca="false">IF(O164="","No data",INDEX(Config!$B$5:$B$9,O164))</f>
        <v>Medium-Low</v>
      </c>
      <c r="Q164" s="32" t="n">
        <v>0</v>
      </c>
      <c r="R164" s="8"/>
      <c r="S164" s="33"/>
      <c r="T164" s="34" t="n">
        <f aca="false">IF(O164="","",IF(AND(S164="Y",Q164&lt;&gt;0),MAX(1,MIN(5,O164+MAX(-Config!$C$27,MIN(Config!$C$27,Q164)))),O164))</f>
        <v>2</v>
      </c>
      <c r="U164" s="35" t="str">
        <f aca="false">IF(T164="","No data",INDEX(Config!$B$5:$B$9,T164))</f>
        <v>Medium-Low</v>
      </c>
      <c r="V164" s="7" t="str">
        <f aca="false">IF(Q164=0,"None",IF(S164="Y","Applied","Pending HO approval"))</f>
        <v>None</v>
      </c>
      <c r="W164" s="36" t="n">
        <f aca="false">SUMPRODUCT((Indicators!$P$5:$P$35&gt;0)*('Indicator Data'!$Z$5:$Z$35&lt;&gt;""))/SUMPRODUCT(--(Indicators!$P$5:$P$35&gt;0))</f>
        <v>1</v>
      </c>
    </row>
    <row r="165" customFormat="false" ht="15" hidden="false" customHeight="false" outlineLevel="0" collapsed="false">
      <c r="A165" s="26" t="str">
        <f aca="false">Entities!$A$27</f>
        <v>FR</v>
      </c>
      <c r="B165" s="12" t="str">
        <f aca="false">INDEX(Entities!$B$5:$B$34,MATCH(A165,Entities!$A$5:$A$34,0))</f>
        <v>Arab Bank – France</v>
      </c>
      <c r="C165" s="12" t="str">
        <f aca="false">INDEX(Entities!$D$5:$D$34,MATCH(A165,Entities!$A$5:$A$34,0))</f>
        <v>Europe</v>
      </c>
      <c r="D165" s="12" t="s">
        <v>281</v>
      </c>
      <c r="E165" s="12" t="str">
        <f aca="false">INDEX('Risk Taxonomy'!$B$5:$B$24,MATCH(D165,'Risk Taxonomy'!$A$5:$A$24,0))</f>
        <v>Tax evasion and tax transparency</v>
      </c>
      <c r="F165" s="28" t="n">
        <f aca="false">IFERROR(SUMPRODUCT((Indicators!$B$5:$B$35=F$4)*Indicators!$Q$5:$Q$35*'Indicator Scores'!$Z$5:$Z$35)/SUMPRODUCT((Indicators!$B$5:$B$35=F$4)*Indicators!$Q$5:$Q$35*('Indicator Scores'!$Z$5:$Z$35&gt;0)),0)</f>
        <v>1.55555555555556</v>
      </c>
      <c r="G165" s="28" t="n">
        <f aca="false">IFERROR(SUMPRODUCT((Indicators!$B$5:$B$35=G$4)*Indicators!$Q$5:$Q$35*'Indicator Scores'!$Z$5:$Z$35)/SUMPRODUCT((Indicators!$B$5:$B$35=G$4)*Indicators!$Q$5:$Q$35*('Indicator Scores'!$Z$5:$Z$35&gt;0)),0)</f>
        <v>2.5</v>
      </c>
      <c r="H165" s="28" t="n">
        <f aca="false">IFERROR(SUMPRODUCT((Indicators!$B$5:$B$35=H$4)*Indicators!$Q$5:$Q$35*'Indicator Scores'!$Z$5:$Z$35)/SUMPRODUCT((Indicators!$B$5:$B$35=H$4)*Indicators!$Q$5:$Q$35*('Indicator Scores'!$Z$5:$Z$35&gt;0)),0)</f>
        <v>2.33333333333333</v>
      </c>
      <c r="I165" s="28" t="n">
        <f aca="false">IFERROR(SUMPRODUCT((Indicators!$B$5:$B$35=I$4)*Indicators!$Q$5:$Q$35*'Indicator Scores'!$Z$5:$Z$35)/SUMPRODUCT((Indicators!$B$5:$B$35=I$4)*Indicators!$Q$5:$Q$35*('Indicator Scores'!$Z$5:$Z$35&gt;0)),0)</f>
        <v>2</v>
      </c>
      <c r="J165" s="28" t="n">
        <f aca="false">IFERROR(SUMPRODUCT((Indicators!$B$5:$B$35=J$4)*Indicators!$Q$5:$Q$35*'Indicator Scores'!$Z$5:$Z$35)/SUMPRODUCT((Indicators!$B$5:$B$35=J$4)*Indicators!$Q$5:$Q$35*('Indicator Scores'!$Z$5:$Z$35&gt;0)),0)</f>
        <v>1.4</v>
      </c>
      <c r="K165" s="28" t="n">
        <f aca="false">IFERROR(SUMPRODUCT(F165:J165,INDEX('Factor Weights'!$C$5:$G$11,MATCH(D165,'Factor Weights'!$A$5:$A$11,0),0))/SUMPRODUCT((F165:J165&gt;0)*INDEX('Factor Weights'!$C$5:$G$11,MATCH(D165,'Factor Weights'!$A$5:$A$11,0),0)),0)</f>
        <v>1.97611111111111</v>
      </c>
      <c r="L165" s="29" t="n">
        <f aca="false">MAX(F165:J165)</f>
        <v>2.5</v>
      </c>
      <c r="M165" s="28" t="n">
        <f aca="false">IF(L165&gt;=Config!$C$13,MAX(K165,Config!$C$14),K165)</f>
        <v>1.97611111111111</v>
      </c>
      <c r="N165" s="30" t="n">
        <f aca="false">IF(Config!$C$12="Weighted average",K165,IF(Config!$C$12="Weighted with floor",M165,L165))</f>
        <v>1.97611111111111</v>
      </c>
      <c r="O165" s="31" t="n">
        <f aca="false">IF(N165&lt;Config!$D$5,"",MATCH(N165,Config!$D$5:$D$9,1))</f>
        <v>2</v>
      </c>
      <c r="P165" s="7" t="str">
        <f aca="false">IF(O165="","No data",INDEX(Config!$B$5:$B$9,O165))</f>
        <v>Medium-Low</v>
      </c>
      <c r="Q165" s="32" t="n">
        <v>0</v>
      </c>
      <c r="R165" s="8"/>
      <c r="S165" s="33"/>
      <c r="T165" s="34" t="n">
        <f aca="false">IF(O165="","",IF(AND(S165="Y",Q165&lt;&gt;0),MAX(1,MIN(5,O165+MAX(-Config!$C$27,MIN(Config!$C$27,Q165)))),O165))</f>
        <v>2</v>
      </c>
      <c r="U165" s="35" t="str">
        <f aca="false">IF(T165="","No data",INDEX(Config!$B$5:$B$9,T165))</f>
        <v>Medium-Low</v>
      </c>
      <c r="V165" s="7" t="str">
        <f aca="false">IF(Q165=0,"None",IF(S165="Y","Applied","Pending HO approval"))</f>
        <v>None</v>
      </c>
      <c r="W165" s="36" t="n">
        <f aca="false">SUMPRODUCT((Indicators!$Q$5:$Q$35&gt;0)*('Indicator Data'!$Z$5:$Z$35&lt;&gt;""))/SUMPRODUCT(--(Indicators!$Q$5:$Q$35&gt;0))</f>
        <v>1</v>
      </c>
    </row>
    <row r="166" customFormat="false" ht="15" hidden="false" customHeight="false" outlineLevel="0" collapsed="false">
      <c r="A166" s="26" t="str">
        <f aca="false">Entities!$A$28</f>
        <v>DE</v>
      </c>
      <c r="B166" s="12" t="str">
        <f aca="false">INDEX(Entities!$B$5:$B$34,MATCH(A166,Entities!$A$5:$A$34,0))</f>
        <v>Arab Bank – Germany</v>
      </c>
      <c r="C166" s="12" t="str">
        <f aca="false">INDEX(Entities!$D$5:$D$34,MATCH(A166,Entities!$A$5:$A$34,0))</f>
        <v>Europe</v>
      </c>
      <c r="D166" s="12" t="s">
        <v>260</v>
      </c>
      <c r="E166" s="12" t="str">
        <f aca="false">INDEX('Risk Taxonomy'!$B$5:$B$24,MATCH(D166,'Risk Taxonomy'!$A$5:$A$24,0))</f>
        <v>Money laundering</v>
      </c>
      <c r="F166" s="28" t="n">
        <f aca="false">IFERROR(SUMPRODUCT((Indicators!$B$5:$B$35=F$4)*Indicators!$K$5:$K$35*'Indicator Scores'!$AA$5:$AA$35)/SUMPRODUCT((Indicators!$B$5:$B$35=F$4)*Indicators!$K$5:$K$35*('Indicator Scores'!$AA$5:$AA$35&gt;0)),0)</f>
        <v>1.5</v>
      </c>
      <c r="G166" s="28" t="n">
        <f aca="false">IFERROR(SUMPRODUCT((Indicators!$B$5:$B$35=G$4)*Indicators!$K$5:$K$35*'Indicator Scores'!$AA$5:$AA$35)/SUMPRODUCT((Indicators!$B$5:$B$35=G$4)*Indicators!$K$5:$K$35*('Indicator Scores'!$AA$5:$AA$35&gt;0)),0)</f>
        <v>1.77777777777778</v>
      </c>
      <c r="H166" s="28" t="n">
        <f aca="false">IFERROR(SUMPRODUCT((Indicators!$B$5:$B$35=H$4)*Indicators!$K$5:$K$35*'Indicator Scores'!$AA$5:$AA$35)/SUMPRODUCT((Indicators!$B$5:$B$35=H$4)*Indicators!$K$5:$K$35*('Indicator Scores'!$AA$5:$AA$35&gt;0)),0)</f>
        <v>2.2</v>
      </c>
      <c r="I166" s="28" t="n">
        <f aca="false">IFERROR(SUMPRODUCT((Indicators!$B$5:$B$35=I$4)*Indicators!$K$5:$K$35*'Indicator Scores'!$AA$5:$AA$35)/SUMPRODUCT((Indicators!$B$5:$B$35=I$4)*Indicators!$K$5:$K$35*('Indicator Scores'!$AA$5:$AA$35&gt;0)),0)</f>
        <v>1.57142857142857</v>
      </c>
      <c r="J166" s="28" t="n">
        <f aca="false">IFERROR(SUMPRODUCT((Indicators!$B$5:$B$35=J$4)*Indicators!$K$5:$K$35*'Indicator Scores'!$AA$5:$AA$35)/SUMPRODUCT((Indicators!$B$5:$B$35=J$4)*Indicators!$K$5:$K$35*('Indicator Scores'!$AA$5:$AA$35&gt;0)),0)</f>
        <v>2.2</v>
      </c>
      <c r="K166" s="28" t="n">
        <f aca="false">IFERROR(SUMPRODUCT(F166:J166,INDEX('Factor Weights'!$C$5:$G$11,MATCH(D166,'Factor Weights'!$A$5:$A$11,0),0))/SUMPRODUCT((F166:J166&gt;0)*INDEX('Factor Weights'!$C$5:$G$11,MATCH(D166,'Factor Weights'!$A$5:$A$11,0),0)),0)</f>
        <v>1.79015873015873</v>
      </c>
      <c r="L166" s="29" t="n">
        <f aca="false">MAX(F166:J166)</f>
        <v>2.2</v>
      </c>
      <c r="M166" s="28" t="n">
        <f aca="false">IF(L166&gt;=Config!$C$13,MAX(K166,Config!$C$14),K166)</f>
        <v>1.79015873015873</v>
      </c>
      <c r="N166" s="30" t="n">
        <f aca="false">IF(Config!$C$12="Weighted average",K166,IF(Config!$C$12="Weighted with floor",M166,L166))</f>
        <v>1.79015873015873</v>
      </c>
      <c r="O166" s="31" t="n">
        <f aca="false">IF(N166&lt;Config!$D$5,"",MATCH(N166,Config!$D$5:$D$9,1))</f>
        <v>1</v>
      </c>
      <c r="P166" s="7" t="str">
        <f aca="false">IF(O166="","No data",INDEX(Config!$B$5:$B$9,O166))</f>
        <v>Low</v>
      </c>
      <c r="Q166" s="32" t="n">
        <v>0</v>
      </c>
      <c r="R166" s="8"/>
      <c r="S166" s="33"/>
      <c r="T166" s="34" t="n">
        <f aca="false">IF(O166="","",IF(AND(S166="Y",Q166&lt;&gt;0),MAX(1,MIN(5,O166+MAX(-Config!$C$27,MIN(Config!$C$27,Q166)))),O166))</f>
        <v>1</v>
      </c>
      <c r="U166" s="35" t="str">
        <f aca="false">IF(T166="","No data",INDEX(Config!$B$5:$B$9,T166))</f>
        <v>Low</v>
      </c>
      <c r="V166" s="7" t="str">
        <f aca="false">IF(Q166=0,"None",IF(S166="Y","Applied","Pending HO approval"))</f>
        <v>None</v>
      </c>
      <c r="W166" s="36" t="n">
        <f aca="false">SUMPRODUCT((Indicators!$K$5:$K$35&gt;0)*('Indicator Data'!$AA$5:$AA$35&lt;&gt;""))/SUMPRODUCT(--(Indicators!$K$5:$K$35&gt;0))</f>
        <v>1</v>
      </c>
    </row>
    <row r="167" customFormat="false" ht="15" hidden="false" customHeight="false" outlineLevel="0" collapsed="false">
      <c r="A167" s="26" t="str">
        <f aca="false">Entities!$A$28</f>
        <v>DE</v>
      </c>
      <c r="B167" s="12" t="str">
        <f aca="false">INDEX(Entities!$B$5:$B$34,MATCH(A167,Entities!$A$5:$A$34,0))</f>
        <v>Arab Bank – Germany</v>
      </c>
      <c r="C167" s="12" t="str">
        <f aca="false">INDEX(Entities!$D$5:$D$34,MATCH(A167,Entities!$A$5:$A$34,0))</f>
        <v>Europe</v>
      </c>
      <c r="D167" s="12" t="s">
        <v>267</v>
      </c>
      <c r="E167" s="12" t="str">
        <f aca="false">INDEX('Risk Taxonomy'!$B$5:$B$24,MATCH(D167,'Risk Taxonomy'!$A$5:$A$24,0))</f>
        <v>Terrorist financing</v>
      </c>
      <c r="F167" s="28" t="n">
        <f aca="false">IFERROR(SUMPRODUCT((Indicators!$B$5:$B$35=F$4)*Indicators!$L$5:$L$35*'Indicator Scores'!$AA$5:$AA$35)/SUMPRODUCT((Indicators!$B$5:$B$35=F$4)*Indicators!$L$5:$L$35*('Indicator Scores'!$AA$5:$AA$35&gt;0)),0)</f>
        <v>1.4</v>
      </c>
      <c r="G167" s="28" t="n">
        <f aca="false">IFERROR(SUMPRODUCT((Indicators!$B$5:$B$35=G$4)*Indicators!$L$5:$L$35*'Indicator Scores'!$AA$5:$AA$35)/SUMPRODUCT((Indicators!$B$5:$B$35=G$4)*Indicators!$L$5:$L$35*('Indicator Scores'!$AA$5:$AA$35&gt;0)),0)</f>
        <v>1.66666666666667</v>
      </c>
      <c r="H167" s="28" t="n">
        <f aca="false">IFERROR(SUMPRODUCT((Indicators!$B$5:$B$35=H$4)*Indicators!$L$5:$L$35*'Indicator Scores'!$AA$5:$AA$35)/SUMPRODUCT((Indicators!$B$5:$B$35=H$4)*Indicators!$L$5:$L$35*('Indicator Scores'!$AA$5:$AA$35&gt;0)),0)</f>
        <v>2.33333333333333</v>
      </c>
      <c r="I167" s="28" t="n">
        <f aca="false">IFERROR(SUMPRODUCT((Indicators!$B$5:$B$35=I$4)*Indicators!$L$5:$L$35*'Indicator Scores'!$AA$5:$AA$35)/SUMPRODUCT((Indicators!$B$5:$B$35=I$4)*Indicators!$L$5:$L$35*('Indicator Scores'!$AA$5:$AA$35&gt;0)),0)</f>
        <v>1.66666666666667</v>
      </c>
      <c r="J167" s="28" t="n">
        <f aca="false">IFERROR(SUMPRODUCT((Indicators!$B$5:$B$35=J$4)*Indicators!$L$5:$L$35*'Indicator Scores'!$AA$5:$AA$35)/SUMPRODUCT((Indicators!$B$5:$B$35=J$4)*Indicators!$L$5:$L$35*('Indicator Scores'!$AA$5:$AA$35&gt;0)),0)</f>
        <v>2</v>
      </c>
      <c r="K167" s="28" t="n">
        <f aca="false">IFERROR(SUMPRODUCT(F167:J167,INDEX('Factor Weights'!$C$5:$G$11,MATCH(D167,'Factor Weights'!$A$5:$A$11,0),0))/SUMPRODUCT((F167:J167&gt;0)*INDEX('Factor Weights'!$C$5:$G$11,MATCH(D167,'Factor Weights'!$A$5:$A$11,0),0)),0)</f>
        <v>1.76666666666667</v>
      </c>
      <c r="L167" s="29" t="n">
        <f aca="false">MAX(F167:J167)</f>
        <v>2.33333333333333</v>
      </c>
      <c r="M167" s="28" t="n">
        <f aca="false">IF(L167&gt;=Config!$C$13,MAX(K167,Config!$C$14),K167)</f>
        <v>1.76666666666667</v>
      </c>
      <c r="N167" s="30" t="n">
        <f aca="false">IF(Config!$C$12="Weighted average",K167,IF(Config!$C$12="Weighted with floor",M167,L167))</f>
        <v>1.76666666666667</v>
      </c>
      <c r="O167" s="31" t="n">
        <f aca="false">IF(N167&lt;Config!$D$5,"",MATCH(N167,Config!$D$5:$D$9,1))</f>
        <v>1</v>
      </c>
      <c r="P167" s="7" t="str">
        <f aca="false">IF(O167="","No data",INDEX(Config!$B$5:$B$9,O167))</f>
        <v>Low</v>
      </c>
      <c r="Q167" s="32" t="n">
        <v>0</v>
      </c>
      <c r="R167" s="8"/>
      <c r="S167" s="33"/>
      <c r="T167" s="34" t="n">
        <f aca="false">IF(O167="","",IF(AND(S167="Y",Q167&lt;&gt;0),MAX(1,MIN(5,O167+MAX(-Config!$C$27,MIN(Config!$C$27,Q167)))),O167))</f>
        <v>1</v>
      </c>
      <c r="U167" s="35" t="str">
        <f aca="false">IF(T167="","No data",INDEX(Config!$B$5:$B$9,T167))</f>
        <v>Low</v>
      </c>
      <c r="V167" s="7" t="str">
        <f aca="false">IF(Q167=0,"None",IF(S167="Y","Applied","Pending HO approval"))</f>
        <v>None</v>
      </c>
      <c r="W167" s="36" t="n">
        <f aca="false">SUMPRODUCT((Indicators!$L$5:$L$35&gt;0)*('Indicator Data'!$AA$5:$AA$35&lt;&gt;""))/SUMPRODUCT(--(Indicators!$L$5:$L$35&gt;0))</f>
        <v>1</v>
      </c>
    </row>
    <row r="168" customFormat="false" ht="15" hidden="false" customHeight="false" outlineLevel="0" collapsed="false">
      <c r="A168" s="26" t="str">
        <f aca="false">Entities!$A$28</f>
        <v>DE</v>
      </c>
      <c r="B168" s="12" t="str">
        <f aca="false">INDEX(Entities!$B$5:$B$34,MATCH(A168,Entities!$A$5:$A$34,0))</f>
        <v>Arab Bank – Germany</v>
      </c>
      <c r="C168" s="12" t="str">
        <f aca="false">INDEX(Entities!$D$5:$D$34,MATCH(A168,Entities!$A$5:$A$34,0))</f>
        <v>Europe</v>
      </c>
      <c r="D168" s="12" t="s">
        <v>270</v>
      </c>
      <c r="E168" s="12" t="str">
        <f aca="false">INDEX('Risk Taxonomy'!$B$5:$B$24,MATCH(D168,'Risk Taxonomy'!$A$5:$A$24,0))</f>
        <v>Proliferation financing</v>
      </c>
      <c r="F168" s="28" t="n">
        <f aca="false">IFERROR(SUMPRODUCT((Indicators!$B$5:$B$35=F$4)*Indicators!$M$5:$M$35*'Indicator Scores'!$AA$5:$AA$35)/SUMPRODUCT((Indicators!$B$5:$B$35=F$4)*Indicators!$M$5:$M$35*('Indicator Scores'!$AA$5:$AA$35&gt;0)),0)</f>
        <v>1.25</v>
      </c>
      <c r="G168" s="28" t="n">
        <f aca="false">IFERROR(SUMPRODUCT((Indicators!$B$5:$B$35=G$4)*Indicators!$M$5:$M$35*'Indicator Scores'!$AA$5:$AA$35)/SUMPRODUCT((Indicators!$B$5:$B$35=G$4)*Indicators!$M$5:$M$35*('Indicator Scores'!$AA$5:$AA$35&gt;0)),0)</f>
        <v>1.875</v>
      </c>
      <c r="H168" s="28" t="n">
        <f aca="false">IFERROR(SUMPRODUCT((Indicators!$B$5:$B$35=H$4)*Indicators!$M$5:$M$35*'Indicator Scores'!$AA$5:$AA$35)/SUMPRODUCT((Indicators!$B$5:$B$35=H$4)*Indicators!$M$5:$M$35*('Indicator Scores'!$AA$5:$AA$35&gt;0)),0)</f>
        <v>2.33333333333333</v>
      </c>
      <c r="I168" s="28" t="n">
        <f aca="false">IFERROR(SUMPRODUCT((Indicators!$B$5:$B$35=I$4)*Indicators!$M$5:$M$35*'Indicator Scores'!$AA$5:$AA$35)/SUMPRODUCT((Indicators!$B$5:$B$35=I$4)*Indicators!$M$5:$M$35*('Indicator Scores'!$AA$5:$AA$35&gt;0)),0)</f>
        <v>2</v>
      </c>
      <c r="J168" s="28" t="n">
        <f aca="false">IFERROR(SUMPRODUCT((Indicators!$B$5:$B$35=J$4)*Indicators!$M$5:$M$35*'Indicator Scores'!$AA$5:$AA$35)/SUMPRODUCT((Indicators!$B$5:$B$35=J$4)*Indicators!$M$5:$M$35*('Indicator Scores'!$AA$5:$AA$35&gt;0)),0)</f>
        <v>1.5</v>
      </c>
      <c r="K168" s="28" t="n">
        <f aca="false">IFERROR(SUMPRODUCT(F168:J168,INDEX('Factor Weights'!$C$5:$G$11,MATCH(D168,'Factor Weights'!$A$5:$A$11,0),0))/SUMPRODUCT((F168:J168&gt;0)*INDEX('Factor Weights'!$C$5:$G$11,MATCH(D168,'Factor Weights'!$A$5:$A$11,0),0)),0)</f>
        <v>1.85</v>
      </c>
      <c r="L168" s="29" t="n">
        <f aca="false">MAX(F168:J168)</f>
        <v>2.33333333333333</v>
      </c>
      <c r="M168" s="28" t="n">
        <f aca="false">IF(L168&gt;=Config!$C$13,MAX(K168,Config!$C$14),K168)</f>
        <v>1.85</v>
      </c>
      <c r="N168" s="30" t="n">
        <f aca="false">IF(Config!$C$12="Weighted average",K168,IF(Config!$C$12="Weighted with floor",M168,L168))</f>
        <v>1.85</v>
      </c>
      <c r="O168" s="31" t="n">
        <f aca="false">IF(N168&lt;Config!$D$5,"",MATCH(N168,Config!$D$5:$D$9,1))</f>
        <v>2</v>
      </c>
      <c r="P168" s="7" t="str">
        <f aca="false">IF(O168="","No data",INDEX(Config!$B$5:$B$9,O168))</f>
        <v>Medium-Low</v>
      </c>
      <c r="Q168" s="32" t="n">
        <v>0</v>
      </c>
      <c r="R168" s="8"/>
      <c r="S168" s="33"/>
      <c r="T168" s="34" t="n">
        <f aca="false">IF(O168="","",IF(AND(S168="Y",Q168&lt;&gt;0),MAX(1,MIN(5,O168+MAX(-Config!$C$27,MIN(Config!$C$27,Q168)))),O168))</f>
        <v>2</v>
      </c>
      <c r="U168" s="35" t="str">
        <f aca="false">IF(T168="","No data",INDEX(Config!$B$5:$B$9,T168))</f>
        <v>Medium-Low</v>
      </c>
      <c r="V168" s="7" t="str">
        <f aca="false">IF(Q168=0,"None",IF(S168="Y","Applied","Pending HO approval"))</f>
        <v>None</v>
      </c>
      <c r="W168" s="36" t="n">
        <f aca="false">SUMPRODUCT((Indicators!$M$5:$M$35&gt;0)*('Indicator Data'!$AA$5:$AA$35&lt;&gt;""))/SUMPRODUCT(--(Indicators!$M$5:$M$35&gt;0))</f>
        <v>1</v>
      </c>
    </row>
    <row r="169" customFormat="false" ht="15" hidden="false" customHeight="false" outlineLevel="0" collapsed="false">
      <c r="A169" s="26" t="str">
        <f aca="false">Entities!$A$28</f>
        <v>DE</v>
      </c>
      <c r="B169" s="12" t="str">
        <f aca="false">INDEX(Entities!$B$5:$B$34,MATCH(A169,Entities!$A$5:$A$34,0))</f>
        <v>Arab Bank – Germany</v>
      </c>
      <c r="C169" s="12" t="str">
        <f aca="false">INDEX(Entities!$D$5:$D$34,MATCH(A169,Entities!$A$5:$A$34,0))</f>
        <v>Europe</v>
      </c>
      <c r="D169" s="12" t="s">
        <v>272</v>
      </c>
      <c r="E169" s="12" t="str">
        <f aca="false">INDEX('Risk Taxonomy'!$B$5:$B$24,MATCH(D169,'Risk Taxonomy'!$A$5:$A$24,0))</f>
        <v>Sanctions</v>
      </c>
      <c r="F169" s="28" t="n">
        <f aca="false">IFERROR(SUMPRODUCT((Indicators!$B$5:$B$35=F$4)*Indicators!$N$5:$N$35*'Indicator Scores'!$AA$5:$AA$35)/SUMPRODUCT((Indicators!$B$5:$B$35=F$4)*Indicators!$N$5:$N$35*('Indicator Scores'!$AA$5:$AA$35&gt;0)),0)</f>
        <v>1.42857142857143</v>
      </c>
      <c r="G169" s="28" t="n">
        <f aca="false">IFERROR(SUMPRODUCT((Indicators!$B$5:$B$35=G$4)*Indicators!$N$5:$N$35*'Indicator Scores'!$AA$5:$AA$35)/SUMPRODUCT((Indicators!$B$5:$B$35=G$4)*Indicators!$N$5:$N$35*('Indicator Scores'!$AA$5:$AA$35&gt;0)),0)</f>
        <v>1.85714285714286</v>
      </c>
      <c r="H169" s="28" t="n">
        <f aca="false">IFERROR(SUMPRODUCT((Indicators!$B$5:$B$35=H$4)*Indicators!$N$5:$N$35*'Indicator Scores'!$AA$5:$AA$35)/SUMPRODUCT((Indicators!$B$5:$B$35=H$4)*Indicators!$N$5:$N$35*('Indicator Scores'!$AA$5:$AA$35&gt;0)),0)</f>
        <v>2.25</v>
      </c>
      <c r="I169" s="28" t="n">
        <f aca="false">IFERROR(SUMPRODUCT((Indicators!$B$5:$B$35=I$4)*Indicators!$N$5:$N$35*'Indicator Scores'!$AA$5:$AA$35)/SUMPRODUCT((Indicators!$B$5:$B$35=I$4)*Indicators!$N$5:$N$35*('Indicator Scores'!$AA$5:$AA$35&gt;0)),0)</f>
        <v>2</v>
      </c>
      <c r="J169" s="28" t="n">
        <f aca="false">IFERROR(SUMPRODUCT((Indicators!$B$5:$B$35=J$4)*Indicators!$N$5:$N$35*'Indicator Scores'!$AA$5:$AA$35)/SUMPRODUCT((Indicators!$B$5:$B$35=J$4)*Indicators!$N$5:$N$35*('Indicator Scores'!$AA$5:$AA$35&gt;0)),0)</f>
        <v>1.4</v>
      </c>
      <c r="K169" s="28" t="n">
        <f aca="false">IFERROR(SUMPRODUCT(F169:J169,INDEX('Factor Weights'!$C$5:$G$11,MATCH(D169,'Factor Weights'!$A$5:$A$11,0),0))/SUMPRODUCT((F169:J169&gt;0)*INDEX('Factor Weights'!$C$5:$G$11,MATCH(D169,'Factor Weights'!$A$5:$A$11,0),0)),0)</f>
        <v>1.78714285714286</v>
      </c>
      <c r="L169" s="29" t="n">
        <f aca="false">MAX(F169:J169)</f>
        <v>2.25</v>
      </c>
      <c r="M169" s="28" t="n">
        <f aca="false">IF(L169&gt;=Config!$C$13,MAX(K169,Config!$C$14),K169)</f>
        <v>1.78714285714286</v>
      </c>
      <c r="N169" s="30" t="n">
        <f aca="false">IF(Config!$C$12="Weighted average",K169,IF(Config!$C$12="Weighted with floor",M169,L169))</f>
        <v>1.78714285714286</v>
      </c>
      <c r="O169" s="31" t="n">
        <f aca="false">IF(N169&lt;Config!$D$5,"",MATCH(N169,Config!$D$5:$D$9,1))</f>
        <v>1</v>
      </c>
      <c r="P169" s="7" t="str">
        <f aca="false">IF(O169="","No data",INDEX(Config!$B$5:$B$9,O169))</f>
        <v>Low</v>
      </c>
      <c r="Q169" s="32" t="n">
        <v>0</v>
      </c>
      <c r="R169" s="8"/>
      <c r="S169" s="33"/>
      <c r="T169" s="34" t="n">
        <f aca="false">IF(O169="","",IF(AND(S169="Y",Q169&lt;&gt;0),MAX(1,MIN(5,O169+MAX(-Config!$C$27,MIN(Config!$C$27,Q169)))),O169))</f>
        <v>1</v>
      </c>
      <c r="U169" s="35" t="str">
        <f aca="false">IF(T169="","No data",INDEX(Config!$B$5:$B$9,T169))</f>
        <v>Low</v>
      </c>
      <c r="V169" s="7" t="str">
        <f aca="false">IF(Q169=0,"None",IF(S169="Y","Applied","Pending HO approval"))</f>
        <v>None</v>
      </c>
      <c r="W169" s="36" t="n">
        <f aca="false">SUMPRODUCT((Indicators!$N$5:$N$35&gt;0)*('Indicator Data'!$AA$5:$AA$35&lt;&gt;""))/SUMPRODUCT(--(Indicators!$N$5:$N$35&gt;0))</f>
        <v>1</v>
      </c>
    </row>
    <row r="170" customFormat="false" ht="15" hidden="false" customHeight="false" outlineLevel="0" collapsed="false">
      <c r="A170" s="26" t="str">
        <f aca="false">Entities!$A$28</f>
        <v>DE</v>
      </c>
      <c r="B170" s="12" t="str">
        <f aca="false">INDEX(Entities!$B$5:$B$34,MATCH(A170,Entities!$A$5:$A$34,0))</f>
        <v>Arab Bank – Germany</v>
      </c>
      <c r="C170" s="12" t="str">
        <f aca="false">INDEX(Entities!$D$5:$D$34,MATCH(A170,Entities!$A$5:$A$34,0))</f>
        <v>Europe</v>
      </c>
      <c r="D170" s="12" t="s">
        <v>275</v>
      </c>
      <c r="E170" s="12" t="str">
        <f aca="false">INDEX('Risk Taxonomy'!$B$5:$B$24,MATCH(D170,'Risk Taxonomy'!$A$5:$A$24,0))</f>
        <v>Bribery and corruption</v>
      </c>
      <c r="F170" s="28" t="n">
        <f aca="false">IFERROR(SUMPRODUCT((Indicators!$B$5:$B$35=F$4)*Indicators!$O$5:$O$35*'Indicator Scores'!$AA$5:$AA$35)/SUMPRODUCT((Indicators!$B$5:$B$35=F$4)*Indicators!$O$5:$O$35*('Indicator Scores'!$AA$5:$AA$35&gt;0)),0)</f>
        <v>1.33333333333333</v>
      </c>
      <c r="G170" s="28" t="n">
        <f aca="false">IFERROR(SUMPRODUCT((Indicators!$B$5:$B$35=G$4)*Indicators!$O$5:$O$35*'Indicator Scores'!$AA$5:$AA$35)/SUMPRODUCT((Indicators!$B$5:$B$35=G$4)*Indicators!$O$5:$O$35*('Indicator Scores'!$AA$5:$AA$35&gt;0)),0)</f>
        <v>2</v>
      </c>
      <c r="H170" s="28" t="n">
        <f aca="false">IFERROR(SUMPRODUCT((Indicators!$B$5:$B$35=H$4)*Indicators!$O$5:$O$35*'Indicator Scores'!$AA$5:$AA$35)/SUMPRODUCT((Indicators!$B$5:$B$35=H$4)*Indicators!$O$5:$O$35*('Indicator Scores'!$AA$5:$AA$35&gt;0)),0)</f>
        <v>2</v>
      </c>
      <c r="I170" s="28" t="n">
        <f aca="false">IFERROR(SUMPRODUCT((Indicators!$B$5:$B$35=I$4)*Indicators!$O$5:$O$35*'Indicator Scores'!$AA$5:$AA$35)/SUMPRODUCT((Indicators!$B$5:$B$35=I$4)*Indicators!$O$5:$O$35*('Indicator Scores'!$AA$5:$AA$35&gt;0)),0)</f>
        <v>1.4</v>
      </c>
      <c r="J170" s="28" t="n">
        <f aca="false">IFERROR(SUMPRODUCT((Indicators!$B$5:$B$35=J$4)*Indicators!$O$5:$O$35*'Indicator Scores'!$AA$5:$AA$35)/SUMPRODUCT((Indicators!$B$5:$B$35=J$4)*Indicators!$O$5:$O$35*('Indicator Scores'!$AA$5:$AA$35&gt;0)),0)</f>
        <v>2</v>
      </c>
      <c r="K170" s="28" t="n">
        <f aca="false">IFERROR(SUMPRODUCT(F170:J170,INDEX('Factor Weights'!$C$5:$G$11,MATCH(D170,'Factor Weights'!$A$5:$A$11,0),0))/SUMPRODUCT((F170:J170&gt;0)*INDEX('Factor Weights'!$C$5:$G$11,MATCH(D170,'Factor Weights'!$A$5:$A$11,0),0)),0)</f>
        <v>1.68</v>
      </c>
      <c r="L170" s="29" t="n">
        <f aca="false">MAX(F170:J170)</f>
        <v>2</v>
      </c>
      <c r="M170" s="28" t="n">
        <f aca="false">IF(L170&gt;=Config!$C$13,MAX(K170,Config!$C$14),K170)</f>
        <v>1.68</v>
      </c>
      <c r="N170" s="30" t="n">
        <f aca="false">IF(Config!$C$12="Weighted average",K170,IF(Config!$C$12="Weighted with floor",M170,L170))</f>
        <v>1.68</v>
      </c>
      <c r="O170" s="31" t="n">
        <f aca="false">IF(N170&lt;Config!$D$5,"",MATCH(N170,Config!$D$5:$D$9,1))</f>
        <v>1</v>
      </c>
      <c r="P170" s="7" t="str">
        <f aca="false">IF(O170="","No data",INDEX(Config!$B$5:$B$9,O170))</f>
        <v>Low</v>
      </c>
      <c r="Q170" s="32" t="n">
        <v>0</v>
      </c>
      <c r="R170" s="8"/>
      <c r="S170" s="33"/>
      <c r="T170" s="34" t="n">
        <f aca="false">IF(O170="","",IF(AND(S170="Y",Q170&lt;&gt;0),MAX(1,MIN(5,O170+MAX(-Config!$C$27,MIN(Config!$C$27,Q170)))),O170))</f>
        <v>1</v>
      </c>
      <c r="U170" s="35" t="str">
        <f aca="false">IF(T170="","No data",INDEX(Config!$B$5:$B$9,T170))</f>
        <v>Low</v>
      </c>
      <c r="V170" s="7" t="str">
        <f aca="false">IF(Q170=0,"None",IF(S170="Y","Applied","Pending HO approval"))</f>
        <v>None</v>
      </c>
      <c r="W170" s="36" t="n">
        <f aca="false">SUMPRODUCT((Indicators!$O$5:$O$35&gt;0)*('Indicator Data'!$AA$5:$AA$35&lt;&gt;""))/SUMPRODUCT(--(Indicators!$O$5:$O$35&gt;0))</f>
        <v>1</v>
      </c>
    </row>
    <row r="171" customFormat="false" ht="15" hidden="false" customHeight="false" outlineLevel="0" collapsed="false">
      <c r="A171" s="26" t="str">
        <f aca="false">Entities!$A$28</f>
        <v>DE</v>
      </c>
      <c r="B171" s="12" t="str">
        <f aca="false">INDEX(Entities!$B$5:$B$34,MATCH(A171,Entities!$A$5:$A$34,0))</f>
        <v>Arab Bank – Germany</v>
      </c>
      <c r="C171" s="12" t="str">
        <f aca="false">INDEX(Entities!$D$5:$D$34,MATCH(A171,Entities!$A$5:$A$34,0))</f>
        <v>Europe</v>
      </c>
      <c r="D171" s="12" t="s">
        <v>278</v>
      </c>
      <c r="E171" s="12" t="str">
        <f aca="false">INDEX('Risk Taxonomy'!$B$5:$B$24,MATCH(D171,'Risk Taxonomy'!$A$5:$A$24,0))</f>
        <v>Fraud</v>
      </c>
      <c r="F171" s="28" t="n">
        <f aca="false">IFERROR(SUMPRODUCT((Indicators!$B$5:$B$35=F$4)*Indicators!$P$5:$P$35*'Indicator Scores'!$AA$5:$AA$35)/SUMPRODUCT((Indicators!$B$5:$B$35=F$4)*Indicators!$P$5:$P$35*('Indicator Scores'!$AA$5:$AA$35&gt;0)),0)</f>
        <v>1.66666666666667</v>
      </c>
      <c r="G171" s="28" t="n">
        <f aca="false">IFERROR(SUMPRODUCT((Indicators!$B$5:$B$35=G$4)*Indicators!$P$5:$P$35*'Indicator Scores'!$AA$5:$AA$35)/SUMPRODUCT((Indicators!$B$5:$B$35=G$4)*Indicators!$P$5:$P$35*('Indicator Scores'!$AA$5:$AA$35&gt;0)),0)</f>
        <v>1.75</v>
      </c>
      <c r="H171" s="28" t="n">
        <f aca="false">IFERROR(SUMPRODUCT((Indicators!$B$5:$B$35=H$4)*Indicators!$P$5:$P$35*'Indicator Scores'!$AA$5:$AA$35)/SUMPRODUCT((Indicators!$B$5:$B$35=H$4)*Indicators!$P$5:$P$35*('Indicator Scores'!$AA$5:$AA$35&gt;0)),0)</f>
        <v>2.4</v>
      </c>
      <c r="I171" s="28" t="n">
        <f aca="false">IFERROR(SUMPRODUCT((Indicators!$B$5:$B$35=I$4)*Indicators!$P$5:$P$35*'Indicator Scores'!$AA$5:$AA$35)/SUMPRODUCT((Indicators!$B$5:$B$35=I$4)*Indicators!$P$5:$P$35*('Indicator Scores'!$AA$5:$AA$35&gt;0)),0)</f>
        <v>1.44444444444444</v>
      </c>
      <c r="J171" s="28" t="n">
        <f aca="false">IFERROR(SUMPRODUCT((Indicators!$B$5:$B$35=J$4)*Indicators!$P$5:$P$35*'Indicator Scores'!$AA$5:$AA$35)/SUMPRODUCT((Indicators!$B$5:$B$35=J$4)*Indicators!$P$5:$P$35*('Indicator Scores'!$AA$5:$AA$35&gt;0)),0)</f>
        <v>1.2</v>
      </c>
      <c r="K171" s="28" t="n">
        <f aca="false">IFERROR(SUMPRODUCT(F171:J171,INDEX('Factor Weights'!$C$5:$G$11,MATCH(D171,'Factor Weights'!$A$5:$A$11,0),0))/SUMPRODUCT((F171:J171&gt;0)*INDEX('Factor Weights'!$C$5:$G$11,MATCH(D171,'Factor Weights'!$A$5:$A$11,0),0)),0)</f>
        <v>1.66166666666667</v>
      </c>
      <c r="L171" s="29" t="n">
        <f aca="false">MAX(F171:J171)</f>
        <v>2.4</v>
      </c>
      <c r="M171" s="28" t="n">
        <f aca="false">IF(L171&gt;=Config!$C$13,MAX(K171,Config!$C$14),K171)</f>
        <v>1.66166666666667</v>
      </c>
      <c r="N171" s="30" t="n">
        <f aca="false">IF(Config!$C$12="Weighted average",K171,IF(Config!$C$12="Weighted with floor",M171,L171))</f>
        <v>1.66166666666667</v>
      </c>
      <c r="O171" s="31" t="n">
        <f aca="false">IF(N171&lt;Config!$D$5,"",MATCH(N171,Config!$D$5:$D$9,1))</f>
        <v>1</v>
      </c>
      <c r="P171" s="7" t="str">
        <f aca="false">IF(O171="","No data",INDEX(Config!$B$5:$B$9,O171))</f>
        <v>Low</v>
      </c>
      <c r="Q171" s="32" t="n">
        <v>0</v>
      </c>
      <c r="R171" s="8"/>
      <c r="S171" s="33"/>
      <c r="T171" s="34" t="n">
        <f aca="false">IF(O171="","",IF(AND(S171="Y",Q171&lt;&gt;0),MAX(1,MIN(5,O171+MAX(-Config!$C$27,MIN(Config!$C$27,Q171)))),O171))</f>
        <v>1</v>
      </c>
      <c r="U171" s="35" t="str">
        <f aca="false">IF(T171="","No data",INDEX(Config!$B$5:$B$9,T171))</f>
        <v>Low</v>
      </c>
      <c r="V171" s="7" t="str">
        <f aca="false">IF(Q171=0,"None",IF(S171="Y","Applied","Pending HO approval"))</f>
        <v>None</v>
      </c>
      <c r="W171" s="36" t="n">
        <f aca="false">SUMPRODUCT((Indicators!$P$5:$P$35&gt;0)*('Indicator Data'!$AA$5:$AA$35&lt;&gt;""))/SUMPRODUCT(--(Indicators!$P$5:$P$35&gt;0))</f>
        <v>1</v>
      </c>
    </row>
    <row r="172" customFormat="false" ht="15" hidden="false" customHeight="false" outlineLevel="0" collapsed="false">
      <c r="A172" s="26" t="str">
        <f aca="false">Entities!$A$28</f>
        <v>DE</v>
      </c>
      <c r="B172" s="12" t="str">
        <f aca="false">INDEX(Entities!$B$5:$B$34,MATCH(A172,Entities!$A$5:$A$34,0))</f>
        <v>Arab Bank – Germany</v>
      </c>
      <c r="C172" s="12" t="str">
        <f aca="false">INDEX(Entities!$D$5:$D$34,MATCH(A172,Entities!$A$5:$A$34,0))</f>
        <v>Europe</v>
      </c>
      <c r="D172" s="12" t="s">
        <v>281</v>
      </c>
      <c r="E172" s="12" t="str">
        <f aca="false">INDEX('Risk Taxonomy'!$B$5:$B$24,MATCH(D172,'Risk Taxonomy'!$A$5:$A$24,0))</f>
        <v>Tax evasion and tax transparency</v>
      </c>
      <c r="F172" s="28" t="n">
        <f aca="false">IFERROR(SUMPRODUCT((Indicators!$B$5:$B$35=F$4)*Indicators!$Q$5:$Q$35*'Indicator Scores'!$AA$5:$AA$35)/SUMPRODUCT((Indicators!$B$5:$B$35=F$4)*Indicators!$Q$5:$Q$35*('Indicator Scores'!$AA$5:$AA$35&gt;0)),0)</f>
        <v>1.55555555555556</v>
      </c>
      <c r="G172" s="28" t="n">
        <f aca="false">IFERROR(SUMPRODUCT((Indicators!$B$5:$B$35=G$4)*Indicators!$Q$5:$Q$35*'Indicator Scores'!$AA$5:$AA$35)/SUMPRODUCT((Indicators!$B$5:$B$35=G$4)*Indicators!$Q$5:$Q$35*('Indicator Scores'!$AA$5:$AA$35&gt;0)),0)</f>
        <v>1.5</v>
      </c>
      <c r="H172" s="28" t="n">
        <f aca="false">IFERROR(SUMPRODUCT((Indicators!$B$5:$B$35=H$4)*Indicators!$Q$5:$Q$35*'Indicator Scores'!$AA$5:$AA$35)/SUMPRODUCT((Indicators!$B$5:$B$35=H$4)*Indicators!$Q$5:$Q$35*('Indicator Scores'!$AA$5:$AA$35&gt;0)),0)</f>
        <v>2</v>
      </c>
      <c r="I172" s="28" t="n">
        <f aca="false">IFERROR(SUMPRODUCT((Indicators!$B$5:$B$35=I$4)*Indicators!$Q$5:$Q$35*'Indicator Scores'!$AA$5:$AA$35)/SUMPRODUCT((Indicators!$B$5:$B$35=I$4)*Indicators!$Q$5:$Q$35*('Indicator Scores'!$AA$5:$AA$35&gt;0)),0)</f>
        <v>1.5</v>
      </c>
      <c r="J172" s="28" t="n">
        <f aca="false">IFERROR(SUMPRODUCT((Indicators!$B$5:$B$35=J$4)*Indicators!$Q$5:$Q$35*'Indicator Scores'!$AA$5:$AA$35)/SUMPRODUCT((Indicators!$B$5:$B$35=J$4)*Indicators!$Q$5:$Q$35*('Indicator Scores'!$AA$5:$AA$35&gt;0)),0)</f>
        <v>1.8</v>
      </c>
      <c r="K172" s="28" t="n">
        <f aca="false">IFERROR(SUMPRODUCT(F172:J172,INDEX('Factor Weights'!$C$5:$G$11,MATCH(D172,'Factor Weights'!$A$5:$A$11,0),0))/SUMPRODUCT((F172:J172&gt;0)*INDEX('Factor Weights'!$C$5:$G$11,MATCH(D172,'Factor Weights'!$A$5:$A$11,0),0)),0)</f>
        <v>1.64944444444444</v>
      </c>
      <c r="L172" s="29" t="n">
        <f aca="false">MAX(F172:J172)</f>
        <v>2</v>
      </c>
      <c r="M172" s="28" t="n">
        <f aca="false">IF(L172&gt;=Config!$C$13,MAX(K172,Config!$C$14),K172)</f>
        <v>1.64944444444444</v>
      </c>
      <c r="N172" s="30" t="n">
        <f aca="false">IF(Config!$C$12="Weighted average",K172,IF(Config!$C$12="Weighted with floor",M172,L172))</f>
        <v>1.64944444444444</v>
      </c>
      <c r="O172" s="31" t="n">
        <f aca="false">IF(N172&lt;Config!$D$5,"",MATCH(N172,Config!$D$5:$D$9,1))</f>
        <v>1</v>
      </c>
      <c r="P172" s="7" t="str">
        <f aca="false">IF(O172="","No data",INDEX(Config!$B$5:$B$9,O172))</f>
        <v>Low</v>
      </c>
      <c r="Q172" s="32" t="n">
        <v>0</v>
      </c>
      <c r="R172" s="8"/>
      <c r="S172" s="33"/>
      <c r="T172" s="34" t="n">
        <f aca="false">IF(O172="","",IF(AND(S172="Y",Q172&lt;&gt;0),MAX(1,MIN(5,O172+MAX(-Config!$C$27,MIN(Config!$C$27,Q172)))),O172))</f>
        <v>1</v>
      </c>
      <c r="U172" s="35" t="str">
        <f aca="false">IF(T172="","No data",INDEX(Config!$B$5:$B$9,T172))</f>
        <v>Low</v>
      </c>
      <c r="V172" s="7" t="str">
        <f aca="false">IF(Q172=0,"None",IF(S172="Y","Applied","Pending HO approval"))</f>
        <v>None</v>
      </c>
      <c r="W172" s="36" t="n">
        <f aca="false">SUMPRODUCT((Indicators!$Q$5:$Q$35&gt;0)*('Indicator Data'!$AA$5:$AA$35&lt;&gt;""))/SUMPRODUCT(--(Indicators!$Q$5:$Q$35&gt;0))</f>
        <v>1</v>
      </c>
    </row>
    <row r="173" customFormat="false" ht="15" hidden="false" customHeight="false" outlineLevel="0" collapsed="false">
      <c r="A173" s="26" t="str">
        <f aca="false">Entities!$A$29</f>
        <v>IT</v>
      </c>
      <c r="B173" s="12" t="str">
        <f aca="false">INDEX(Entities!$B$5:$B$34,MATCH(A173,Entities!$A$5:$A$34,0))</f>
        <v>Arab Bank – Italy</v>
      </c>
      <c r="C173" s="12" t="str">
        <f aca="false">INDEX(Entities!$D$5:$D$34,MATCH(A173,Entities!$A$5:$A$34,0))</f>
        <v>Europe</v>
      </c>
      <c r="D173" s="12" t="s">
        <v>260</v>
      </c>
      <c r="E173" s="12" t="str">
        <f aca="false">INDEX('Risk Taxonomy'!$B$5:$B$24,MATCH(D173,'Risk Taxonomy'!$A$5:$A$24,0))</f>
        <v>Money laundering</v>
      </c>
      <c r="F173" s="28" t="n">
        <f aca="false">IFERROR(SUMPRODUCT((Indicators!$B$5:$B$35=F$4)*Indicators!$K$5:$K$35*'Indicator Scores'!$AB$5:$AB$35)/SUMPRODUCT((Indicators!$B$5:$B$35=F$4)*Indicators!$K$5:$K$35*('Indicator Scores'!$AB$5:$AB$35&gt;0)),0)</f>
        <v>2.5</v>
      </c>
      <c r="G173" s="28" t="n">
        <f aca="false">IFERROR(SUMPRODUCT((Indicators!$B$5:$B$35=G$4)*Indicators!$K$5:$K$35*'Indicator Scores'!$AB$5:$AB$35)/SUMPRODUCT((Indicators!$B$5:$B$35=G$4)*Indicators!$K$5:$K$35*('Indicator Scores'!$AB$5:$AB$35&gt;0)),0)</f>
        <v>2</v>
      </c>
      <c r="H173" s="28" t="n">
        <f aca="false">IFERROR(SUMPRODUCT((Indicators!$B$5:$B$35=H$4)*Indicators!$K$5:$K$35*'Indicator Scores'!$AB$5:$AB$35)/SUMPRODUCT((Indicators!$B$5:$B$35=H$4)*Indicators!$K$5:$K$35*('Indicator Scores'!$AB$5:$AB$35&gt;0)),0)</f>
        <v>1.6</v>
      </c>
      <c r="I173" s="28" t="n">
        <f aca="false">IFERROR(SUMPRODUCT((Indicators!$B$5:$B$35=I$4)*Indicators!$K$5:$K$35*'Indicator Scores'!$AB$5:$AB$35)/SUMPRODUCT((Indicators!$B$5:$B$35=I$4)*Indicators!$K$5:$K$35*('Indicator Scores'!$AB$5:$AB$35&gt;0)),0)</f>
        <v>1.85714285714286</v>
      </c>
      <c r="J173" s="28" t="n">
        <f aca="false">IFERROR(SUMPRODUCT((Indicators!$B$5:$B$35=J$4)*Indicators!$K$5:$K$35*'Indicator Scores'!$AB$5:$AB$35)/SUMPRODUCT((Indicators!$B$5:$B$35=J$4)*Indicators!$K$5:$K$35*('Indicator Scores'!$AB$5:$AB$35&gt;0)),0)</f>
        <v>1.3</v>
      </c>
      <c r="K173" s="28" t="n">
        <f aca="false">IFERROR(SUMPRODUCT(F173:J173,INDEX('Factor Weights'!$C$5:$G$11,MATCH(D173,'Factor Weights'!$A$5:$A$11,0),0))/SUMPRODUCT((F173:J173&gt;0)*INDEX('Factor Weights'!$C$5:$G$11,MATCH(D173,'Factor Weights'!$A$5:$A$11,0),0)),0)</f>
        <v>1.97857142857143</v>
      </c>
      <c r="L173" s="29" t="n">
        <f aca="false">MAX(F173:J173)</f>
        <v>2.5</v>
      </c>
      <c r="M173" s="28" t="n">
        <f aca="false">IF(L173&gt;=Config!$C$13,MAX(K173,Config!$C$14),K173)</f>
        <v>1.97857142857143</v>
      </c>
      <c r="N173" s="30" t="n">
        <f aca="false">IF(Config!$C$12="Weighted average",K173,IF(Config!$C$12="Weighted with floor",M173,L173))</f>
        <v>1.97857142857143</v>
      </c>
      <c r="O173" s="31" t="n">
        <f aca="false">IF(N173&lt;Config!$D$5,"",MATCH(N173,Config!$D$5:$D$9,1))</f>
        <v>2</v>
      </c>
      <c r="P173" s="7" t="str">
        <f aca="false">IF(O173="","No data",INDEX(Config!$B$5:$B$9,O173))</f>
        <v>Medium-Low</v>
      </c>
      <c r="Q173" s="32" t="n">
        <v>0</v>
      </c>
      <c r="R173" s="8"/>
      <c r="S173" s="33"/>
      <c r="T173" s="34" t="n">
        <f aca="false">IF(O173="","",IF(AND(S173="Y",Q173&lt;&gt;0),MAX(1,MIN(5,O173+MAX(-Config!$C$27,MIN(Config!$C$27,Q173)))),O173))</f>
        <v>2</v>
      </c>
      <c r="U173" s="35" t="str">
        <f aca="false">IF(T173="","No data",INDEX(Config!$B$5:$B$9,T173))</f>
        <v>Medium-Low</v>
      </c>
      <c r="V173" s="7" t="str">
        <f aca="false">IF(Q173=0,"None",IF(S173="Y","Applied","Pending HO approval"))</f>
        <v>None</v>
      </c>
      <c r="W173" s="36" t="n">
        <f aca="false">SUMPRODUCT((Indicators!$K$5:$K$35&gt;0)*('Indicator Data'!$AB$5:$AB$35&lt;&gt;""))/SUMPRODUCT(--(Indicators!$K$5:$K$35&gt;0))</f>
        <v>1</v>
      </c>
    </row>
    <row r="174" customFormat="false" ht="15" hidden="false" customHeight="false" outlineLevel="0" collapsed="false">
      <c r="A174" s="26" t="str">
        <f aca="false">Entities!$A$29</f>
        <v>IT</v>
      </c>
      <c r="B174" s="12" t="str">
        <f aca="false">INDEX(Entities!$B$5:$B$34,MATCH(A174,Entities!$A$5:$A$34,0))</f>
        <v>Arab Bank – Italy</v>
      </c>
      <c r="C174" s="12" t="str">
        <f aca="false">INDEX(Entities!$D$5:$D$34,MATCH(A174,Entities!$A$5:$A$34,0))</f>
        <v>Europe</v>
      </c>
      <c r="D174" s="12" t="s">
        <v>267</v>
      </c>
      <c r="E174" s="12" t="str">
        <f aca="false">INDEX('Risk Taxonomy'!$B$5:$B$24,MATCH(D174,'Risk Taxonomy'!$A$5:$A$24,0))</f>
        <v>Terrorist financing</v>
      </c>
      <c r="F174" s="28" t="n">
        <f aca="false">IFERROR(SUMPRODUCT((Indicators!$B$5:$B$35=F$4)*Indicators!$L$5:$L$35*'Indicator Scores'!$AB$5:$AB$35)/SUMPRODUCT((Indicators!$B$5:$B$35=F$4)*Indicators!$L$5:$L$35*('Indicator Scores'!$AB$5:$AB$35&gt;0)),0)</f>
        <v>2.3</v>
      </c>
      <c r="G174" s="28" t="n">
        <f aca="false">IFERROR(SUMPRODUCT((Indicators!$B$5:$B$35=G$4)*Indicators!$L$5:$L$35*'Indicator Scores'!$AB$5:$AB$35)/SUMPRODUCT((Indicators!$B$5:$B$35=G$4)*Indicators!$L$5:$L$35*('Indicator Scores'!$AB$5:$AB$35&gt;0)),0)</f>
        <v>1.66666666666667</v>
      </c>
      <c r="H174" s="28" t="n">
        <f aca="false">IFERROR(SUMPRODUCT((Indicators!$B$5:$B$35=H$4)*Indicators!$L$5:$L$35*'Indicator Scores'!$AB$5:$AB$35)/SUMPRODUCT((Indicators!$B$5:$B$35=H$4)*Indicators!$L$5:$L$35*('Indicator Scores'!$AB$5:$AB$35&gt;0)),0)</f>
        <v>1.66666666666667</v>
      </c>
      <c r="I174" s="28" t="n">
        <f aca="false">IFERROR(SUMPRODUCT((Indicators!$B$5:$B$35=I$4)*Indicators!$L$5:$L$35*'Indicator Scores'!$AB$5:$AB$35)/SUMPRODUCT((Indicators!$B$5:$B$35=I$4)*Indicators!$L$5:$L$35*('Indicator Scores'!$AB$5:$AB$35&gt;0)),0)</f>
        <v>1.66666666666667</v>
      </c>
      <c r="J174" s="28" t="n">
        <f aca="false">IFERROR(SUMPRODUCT((Indicators!$B$5:$B$35=J$4)*Indicators!$L$5:$L$35*'Indicator Scores'!$AB$5:$AB$35)/SUMPRODUCT((Indicators!$B$5:$B$35=J$4)*Indicators!$L$5:$L$35*('Indicator Scores'!$AB$5:$AB$35&gt;0)),0)</f>
        <v>1.28571428571429</v>
      </c>
      <c r="K174" s="28" t="n">
        <f aca="false">IFERROR(SUMPRODUCT(F174:J174,INDEX('Factor Weights'!$C$5:$G$11,MATCH(D174,'Factor Weights'!$A$5:$A$11,0),0))/SUMPRODUCT((F174:J174&gt;0)*INDEX('Factor Weights'!$C$5:$G$11,MATCH(D174,'Factor Weights'!$A$5:$A$11,0),0)),0)</f>
        <v>1.74880952380952</v>
      </c>
      <c r="L174" s="29" t="n">
        <f aca="false">MAX(F174:J174)</f>
        <v>2.3</v>
      </c>
      <c r="M174" s="28" t="n">
        <f aca="false">IF(L174&gt;=Config!$C$13,MAX(K174,Config!$C$14),K174)</f>
        <v>1.74880952380952</v>
      </c>
      <c r="N174" s="30" t="n">
        <f aca="false">IF(Config!$C$12="Weighted average",K174,IF(Config!$C$12="Weighted with floor",M174,L174))</f>
        <v>1.74880952380952</v>
      </c>
      <c r="O174" s="31" t="n">
        <f aca="false">IF(N174&lt;Config!$D$5,"",MATCH(N174,Config!$D$5:$D$9,1))</f>
        <v>1</v>
      </c>
      <c r="P174" s="7" t="str">
        <f aca="false">IF(O174="","No data",INDEX(Config!$B$5:$B$9,O174))</f>
        <v>Low</v>
      </c>
      <c r="Q174" s="32" t="n">
        <v>0</v>
      </c>
      <c r="R174" s="8"/>
      <c r="S174" s="33"/>
      <c r="T174" s="34" t="n">
        <f aca="false">IF(O174="","",IF(AND(S174="Y",Q174&lt;&gt;0),MAX(1,MIN(5,O174+MAX(-Config!$C$27,MIN(Config!$C$27,Q174)))),O174))</f>
        <v>1</v>
      </c>
      <c r="U174" s="35" t="str">
        <f aca="false">IF(T174="","No data",INDEX(Config!$B$5:$B$9,T174))</f>
        <v>Low</v>
      </c>
      <c r="V174" s="7" t="str">
        <f aca="false">IF(Q174=0,"None",IF(S174="Y","Applied","Pending HO approval"))</f>
        <v>None</v>
      </c>
      <c r="W174" s="36" t="n">
        <f aca="false">SUMPRODUCT((Indicators!$L$5:$L$35&gt;0)*('Indicator Data'!$AB$5:$AB$35&lt;&gt;""))/SUMPRODUCT(--(Indicators!$L$5:$L$35&gt;0))</f>
        <v>1</v>
      </c>
    </row>
    <row r="175" customFormat="false" ht="15" hidden="false" customHeight="false" outlineLevel="0" collapsed="false">
      <c r="A175" s="26" t="str">
        <f aca="false">Entities!$A$29</f>
        <v>IT</v>
      </c>
      <c r="B175" s="12" t="str">
        <f aca="false">INDEX(Entities!$B$5:$B$34,MATCH(A175,Entities!$A$5:$A$34,0))</f>
        <v>Arab Bank – Italy</v>
      </c>
      <c r="C175" s="12" t="str">
        <f aca="false">INDEX(Entities!$D$5:$D$34,MATCH(A175,Entities!$A$5:$A$34,0))</f>
        <v>Europe</v>
      </c>
      <c r="D175" s="12" t="s">
        <v>270</v>
      </c>
      <c r="E175" s="12" t="str">
        <f aca="false">INDEX('Risk Taxonomy'!$B$5:$B$24,MATCH(D175,'Risk Taxonomy'!$A$5:$A$24,0))</f>
        <v>Proliferation financing</v>
      </c>
      <c r="F175" s="28" t="n">
        <f aca="false">IFERROR(SUMPRODUCT((Indicators!$B$5:$B$35=F$4)*Indicators!$M$5:$M$35*'Indicator Scores'!$AB$5:$AB$35)/SUMPRODUCT((Indicators!$B$5:$B$35=F$4)*Indicators!$M$5:$M$35*('Indicator Scores'!$AB$5:$AB$35&gt;0)),0)</f>
        <v>2.75</v>
      </c>
      <c r="G175" s="28" t="n">
        <f aca="false">IFERROR(SUMPRODUCT((Indicators!$B$5:$B$35=G$4)*Indicators!$M$5:$M$35*'Indicator Scores'!$AB$5:$AB$35)/SUMPRODUCT((Indicators!$B$5:$B$35=G$4)*Indicators!$M$5:$M$35*('Indicator Scores'!$AB$5:$AB$35&gt;0)),0)</f>
        <v>1.875</v>
      </c>
      <c r="H175" s="28" t="n">
        <f aca="false">IFERROR(SUMPRODUCT((Indicators!$B$5:$B$35=H$4)*Indicators!$M$5:$M$35*'Indicator Scores'!$AB$5:$AB$35)/SUMPRODUCT((Indicators!$B$5:$B$35=H$4)*Indicators!$M$5:$M$35*('Indicator Scores'!$AB$5:$AB$35&gt;0)),0)</f>
        <v>1.77777777777778</v>
      </c>
      <c r="I175" s="28" t="n">
        <f aca="false">IFERROR(SUMPRODUCT((Indicators!$B$5:$B$35=I$4)*Indicators!$M$5:$M$35*'Indicator Scores'!$AB$5:$AB$35)/SUMPRODUCT((Indicators!$B$5:$B$35=I$4)*Indicators!$M$5:$M$35*('Indicator Scores'!$AB$5:$AB$35&gt;0)),0)</f>
        <v>1.33333333333333</v>
      </c>
      <c r="J175" s="28" t="n">
        <f aca="false">IFERROR(SUMPRODUCT((Indicators!$B$5:$B$35=J$4)*Indicators!$M$5:$M$35*'Indicator Scores'!$AB$5:$AB$35)/SUMPRODUCT((Indicators!$B$5:$B$35=J$4)*Indicators!$M$5:$M$35*('Indicator Scores'!$AB$5:$AB$35&gt;0)),0)</f>
        <v>2</v>
      </c>
      <c r="K175" s="28" t="n">
        <f aca="false">IFERROR(SUMPRODUCT(F175:J175,INDEX('Factor Weights'!$C$5:$G$11,MATCH(D175,'Factor Weights'!$A$5:$A$11,0),0))/SUMPRODUCT((F175:J175&gt;0)*INDEX('Factor Weights'!$C$5:$G$11,MATCH(D175,'Factor Weights'!$A$5:$A$11,0),0)),0)</f>
        <v>1.975</v>
      </c>
      <c r="L175" s="29" t="n">
        <f aca="false">MAX(F175:J175)</f>
        <v>2.75</v>
      </c>
      <c r="M175" s="28" t="n">
        <f aca="false">IF(L175&gt;=Config!$C$13,MAX(K175,Config!$C$14),K175)</f>
        <v>1.975</v>
      </c>
      <c r="N175" s="30" t="n">
        <f aca="false">IF(Config!$C$12="Weighted average",K175,IF(Config!$C$12="Weighted with floor",M175,L175))</f>
        <v>1.975</v>
      </c>
      <c r="O175" s="31" t="n">
        <f aca="false">IF(N175&lt;Config!$D$5,"",MATCH(N175,Config!$D$5:$D$9,1))</f>
        <v>2</v>
      </c>
      <c r="P175" s="7" t="str">
        <f aca="false">IF(O175="","No data",INDEX(Config!$B$5:$B$9,O175))</f>
        <v>Medium-Low</v>
      </c>
      <c r="Q175" s="32" t="n">
        <v>0</v>
      </c>
      <c r="R175" s="8"/>
      <c r="S175" s="33"/>
      <c r="T175" s="34" t="n">
        <f aca="false">IF(O175="","",IF(AND(S175="Y",Q175&lt;&gt;0),MAX(1,MIN(5,O175+MAX(-Config!$C$27,MIN(Config!$C$27,Q175)))),O175))</f>
        <v>2</v>
      </c>
      <c r="U175" s="35" t="str">
        <f aca="false">IF(T175="","No data",INDEX(Config!$B$5:$B$9,T175))</f>
        <v>Medium-Low</v>
      </c>
      <c r="V175" s="7" t="str">
        <f aca="false">IF(Q175=0,"None",IF(S175="Y","Applied","Pending HO approval"))</f>
        <v>None</v>
      </c>
      <c r="W175" s="36" t="n">
        <f aca="false">SUMPRODUCT((Indicators!$M$5:$M$35&gt;0)*('Indicator Data'!$AB$5:$AB$35&lt;&gt;""))/SUMPRODUCT(--(Indicators!$M$5:$M$35&gt;0))</f>
        <v>1</v>
      </c>
    </row>
    <row r="176" customFormat="false" ht="15" hidden="false" customHeight="false" outlineLevel="0" collapsed="false">
      <c r="A176" s="26" t="str">
        <f aca="false">Entities!$A$29</f>
        <v>IT</v>
      </c>
      <c r="B176" s="12" t="str">
        <f aca="false">INDEX(Entities!$B$5:$B$34,MATCH(A176,Entities!$A$5:$A$34,0))</f>
        <v>Arab Bank – Italy</v>
      </c>
      <c r="C176" s="12" t="str">
        <f aca="false">INDEX(Entities!$D$5:$D$34,MATCH(A176,Entities!$A$5:$A$34,0))</f>
        <v>Europe</v>
      </c>
      <c r="D176" s="12" t="s">
        <v>272</v>
      </c>
      <c r="E176" s="12" t="str">
        <f aca="false">INDEX('Risk Taxonomy'!$B$5:$B$24,MATCH(D176,'Risk Taxonomy'!$A$5:$A$24,0))</f>
        <v>Sanctions</v>
      </c>
      <c r="F176" s="28" t="n">
        <f aca="false">IFERROR(SUMPRODUCT((Indicators!$B$5:$B$35=F$4)*Indicators!$N$5:$N$35*'Indicator Scores'!$AB$5:$AB$35)/SUMPRODUCT((Indicators!$B$5:$B$35=F$4)*Indicators!$N$5:$N$35*('Indicator Scores'!$AB$5:$AB$35&gt;0)),0)</f>
        <v>2.42857142857143</v>
      </c>
      <c r="G176" s="28" t="n">
        <f aca="false">IFERROR(SUMPRODUCT((Indicators!$B$5:$B$35=G$4)*Indicators!$N$5:$N$35*'Indicator Scores'!$AB$5:$AB$35)/SUMPRODUCT((Indicators!$B$5:$B$35=G$4)*Indicators!$N$5:$N$35*('Indicator Scores'!$AB$5:$AB$35&gt;0)),0)</f>
        <v>1.85714285714286</v>
      </c>
      <c r="H176" s="28" t="n">
        <f aca="false">IFERROR(SUMPRODUCT((Indicators!$B$5:$B$35=H$4)*Indicators!$N$5:$N$35*'Indicator Scores'!$AB$5:$AB$35)/SUMPRODUCT((Indicators!$B$5:$B$35=H$4)*Indicators!$N$5:$N$35*('Indicator Scores'!$AB$5:$AB$35&gt;0)),0)</f>
        <v>1.625</v>
      </c>
      <c r="I176" s="28" t="n">
        <f aca="false">IFERROR(SUMPRODUCT((Indicators!$B$5:$B$35=I$4)*Indicators!$N$5:$N$35*'Indicator Scores'!$AB$5:$AB$35)/SUMPRODUCT((Indicators!$B$5:$B$35=I$4)*Indicators!$N$5:$N$35*('Indicator Scores'!$AB$5:$AB$35&gt;0)),0)</f>
        <v>1.66666666666667</v>
      </c>
      <c r="J176" s="28" t="n">
        <f aca="false">IFERROR(SUMPRODUCT((Indicators!$B$5:$B$35=J$4)*Indicators!$N$5:$N$35*'Indicator Scores'!$AB$5:$AB$35)/SUMPRODUCT((Indicators!$B$5:$B$35=J$4)*Indicators!$N$5:$N$35*('Indicator Scores'!$AB$5:$AB$35&gt;0)),0)</f>
        <v>2</v>
      </c>
      <c r="K176" s="28" t="n">
        <f aca="false">IFERROR(SUMPRODUCT(F176:J176,INDEX('Factor Weights'!$C$5:$G$11,MATCH(D176,'Factor Weights'!$A$5:$A$11,0),0))/SUMPRODUCT((F176:J176&gt;0)*INDEX('Factor Weights'!$C$5:$G$11,MATCH(D176,'Factor Weights'!$A$5:$A$11,0),0)),0)</f>
        <v>1.91547619047619</v>
      </c>
      <c r="L176" s="29" t="n">
        <f aca="false">MAX(F176:J176)</f>
        <v>2.42857142857143</v>
      </c>
      <c r="M176" s="28" t="n">
        <f aca="false">IF(L176&gt;=Config!$C$13,MAX(K176,Config!$C$14),K176)</f>
        <v>1.91547619047619</v>
      </c>
      <c r="N176" s="30" t="n">
        <f aca="false">IF(Config!$C$12="Weighted average",K176,IF(Config!$C$12="Weighted with floor",M176,L176))</f>
        <v>1.91547619047619</v>
      </c>
      <c r="O176" s="31" t="n">
        <f aca="false">IF(N176&lt;Config!$D$5,"",MATCH(N176,Config!$D$5:$D$9,1))</f>
        <v>2</v>
      </c>
      <c r="P176" s="7" t="str">
        <f aca="false">IF(O176="","No data",INDEX(Config!$B$5:$B$9,O176))</f>
        <v>Medium-Low</v>
      </c>
      <c r="Q176" s="32" t="n">
        <v>0</v>
      </c>
      <c r="R176" s="8"/>
      <c r="S176" s="33"/>
      <c r="T176" s="34" t="n">
        <f aca="false">IF(O176="","",IF(AND(S176="Y",Q176&lt;&gt;0),MAX(1,MIN(5,O176+MAX(-Config!$C$27,MIN(Config!$C$27,Q176)))),O176))</f>
        <v>2</v>
      </c>
      <c r="U176" s="35" t="str">
        <f aca="false">IF(T176="","No data",INDEX(Config!$B$5:$B$9,T176))</f>
        <v>Medium-Low</v>
      </c>
      <c r="V176" s="7" t="str">
        <f aca="false">IF(Q176=0,"None",IF(S176="Y","Applied","Pending HO approval"))</f>
        <v>None</v>
      </c>
      <c r="W176" s="36" t="n">
        <f aca="false">SUMPRODUCT((Indicators!$N$5:$N$35&gt;0)*('Indicator Data'!$AB$5:$AB$35&lt;&gt;""))/SUMPRODUCT(--(Indicators!$N$5:$N$35&gt;0))</f>
        <v>1</v>
      </c>
    </row>
    <row r="177" customFormat="false" ht="15" hidden="false" customHeight="false" outlineLevel="0" collapsed="false">
      <c r="A177" s="26" t="str">
        <f aca="false">Entities!$A$29</f>
        <v>IT</v>
      </c>
      <c r="B177" s="12" t="str">
        <f aca="false">INDEX(Entities!$B$5:$B$34,MATCH(A177,Entities!$A$5:$A$34,0))</f>
        <v>Arab Bank – Italy</v>
      </c>
      <c r="C177" s="12" t="str">
        <f aca="false">INDEX(Entities!$D$5:$D$34,MATCH(A177,Entities!$A$5:$A$34,0))</f>
        <v>Europe</v>
      </c>
      <c r="D177" s="12" t="s">
        <v>275</v>
      </c>
      <c r="E177" s="12" t="str">
        <f aca="false">INDEX('Risk Taxonomy'!$B$5:$B$24,MATCH(D177,'Risk Taxonomy'!$A$5:$A$24,0))</f>
        <v>Bribery and corruption</v>
      </c>
      <c r="F177" s="28" t="n">
        <f aca="false">IFERROR(SUMPRODUCT((Indicators!$B$5:$B$35=F$4)*Indicators!$O$5:$O$35*'Indicator Scores'!$AB$5:$AB$35)/SUMPRODUCT((Indicators!$B$5:$B$35=F$4)*Indicators!$O$5:$O$35*('Indicator Scores'!$AB$5:$AB$35&gt;0)),0)</f>
        <v>2.66666666666667</v>
      </c>
      <c r="G177" s="28" t="n">
        <f aca="false">IFERROR(SUMPRODUCT((Indicators!$B$5:$B$35=G$4)*Indicators!$O$5:$O$35*'Indicator Scores'!$AB$5:$AB$35)/SUMPRODUCT((Indicators!$B$5:$B$35=G$4)*Indicators!$O$5:$O$35*('Indicator Scores'!$AB$5:$AB$35&gt;0)),0)</f>
        <v>2.6</v>
      </c>
      <c r="H177" s="28" t="n">
        <f aca="false">IFERROR(SUMPRODUCT((Indicators!$B$5:$B$35=H$4)*Indicators!$O$5:$O$35*'Indicator Scores'!$AB$5:$AB$35)/SUMPRODUCT((Indicators!$B$5:$B$35=H$4)*Indicators!$O$5:$O$35*('Indicator Scores'!$AB$5:$AB$35&gt;0)),0)</f>
        <v>1.5</v>
      </c>
      <c r="I177" s="28" t="n">
        <f aca="false">IFERROR(SUMPRODUCT((Indicators!$B$5:$B$35=I$4)*Indicators!$O$5:$O$35*'Indicator Scores'!$AB$5:$AB$35)/SUMPRODUCT((Indicators!$B$5:$B$35=I$4)*Indicators!$O$5:$O$35*('Indicator Scores'!$AB$5:$AB$35&gt;0)),0)</f>
        <v>1</v>
      </c>
      <c r="J177" s="28" t="n">
        <f aca="false">IFERROR(SUMPRODUCT((Indicators!$B$5:$B$35=J$4)*Indicators!$O$5:$O$35*'Indicator Scores'!$AB$5:$AB$35)/SUMPRODUCT((Indicators!$B$5:$B$35=J$4)*Indicators!$O$5:$O$35*('Indicator Scores'!$AB$5:$AB$35&gt;0)),0)</f>
        <v>2</v>
      </c>
      <c r="K177" s="28" t="n">
        <f aca="false">IFERROR(SUMPRODUCT(F177:J177,INDEX('Factor Weights'!$C$5:$G$11,MATCH(D177,'Factor Weights'!$A$5:$A$11,0),0))/SUMPRODUCT((F177:J177&gt;0)*INDEX('Factor Weights'!$C$5:$G$11,MATCH(D177,'Factor Weights'!$A$5:$A$11,0),0)),0)</f>
        <v>2.075</v>
      </c>
      <c r="L177" s="29" t="n">
        <f aca="false">MAX(F177:J177)</f>
        <v>2.66666666666667</v>
      </c>
      <c r="M177" s="28" t="n">
        <f aca="false">IF(L177&gt;=Config!$C$13,MAX(K177,Config!$C$14),K177)</f>
        <v>2.075</v>
      </c>
      <c r="N177" s="30" t="n">
        <f aca="false">IF(Config!$C$12="Weighted average",K177,IF(Config!$C$12="Weighted with floor",M177,L177))</f>
        <v>2.075</v>
      </c>
      <c r="O177" s="31" t="n">
        <f aca="false">IF(N177&lt;Config!$D$5,"",MATCH(N177,Config!$D$5:$D$9,1))</f>
        <v>2</v>
      </c>
      <c r="P177" s="7" t="str">
        <f aca="false">IF(O177="","No data",INDEX(Config!$B$5:$B$9,O177))</f>
        <v>Medium-Low</v>
      </c>
      <c r="Q177" s="32" t="n">
        <v>0</v>
      </c>
      <c r="R177" s="8"/>
      <c r="S177" s="33"/>
      <c r="T177" s="34" t="n">
        <f aca="false">IF(O177="","",IF(AND(S177="Y",Q177&lt;&gt;0),MAX(1,MIN(5,O177+MAX(-Config!$C$27,MIN(Config!$C$27,Q177)))),O177))</f>
        <v>2</v>
      </c>
      <c r="U177" s="35" t="str">
        <f aca="false">IF(T177="","No data",INDEX(Config!$B$5:$B$9,T177))</f>
        <v>Medium-Low</v>
      </c>
      <c r="V177" s="7" t="str">
        <f aca="false">IF(Q177=0,"None",IF(S177="Y","Applied","Pending HO approval"))</f>
        <v>None</v>
      </c>
      <c r="W177" s="36" t="n">
        <f aca="false">SUMPRODUCT((Indicators!$O$5:$O$35&gt;0)*('Indicator Data'!$AB$5:$AB$35&lt;&gt;""))/SUMPRODUCT(--(Indicators!$O$5:$O$35&gt;0))</f>
        <v>1</v>
      </c>
    </row>
    <row r="178" customFormat="false" ht="15" hidden="false" customHeight="false" outlineLevel="0" collapsed="false">
      <c r="A178" s="26" t="str">
        <f aca="false">Entities!$A$29</f>
        <v>IT</v>
      </c>
      <c r="B178" s="12" t="str">
        <f aca="false">INDEX(Entities!$B$5:$B$34,MATCH(A178,Entities!$A$5:$A$34,0))</f>
        <v>Arab Bank – Italy</v>
      </c>
      <c r="C178" s="12" t="str">
        <f aca="false">INDEX(Entities!$D$5:$D$34,MATCH(A178,Entities!$A$5:$A$34,0))</f>
        <v>Europe</v>
      </c>
      <c r="D178" s="12" t="s">
        <v>278</v>
      </c>
      <c r="E178" s="12" t="str">
        <f aca="false">INDEX('Risk Taxonomy'!$B$5:$B$24,MATCH(D178,'Risk Taxonomy'!$A$5:$A$24,0))</f>
        <v>Fraud</v>
      </c>
      <c r="F178" s="28" t="n">
        <f aca="false">IFERROR(SUMPRODUCT((Indicators!$B$5:$B$35=F$4)*Indicators!$P$5:$P$35*'Indicator Scores'!$AB$5:$AB$35)/SUMPRODUCT((Indicators!$B$5:$B$35=F$4)*Indicators!$P$5:$P$35*('Indicator Scores'!$AB$5:$AB$35&gt;0)),0)</f>
        <v>2.33333333333333</v>
      </c>
      <c r="G178" s="28" t="n">
        <f aca="false">IFERROR(SUMPRODUCT((Indicators!$B$5:$B$35=G$4)*Indicators!$P$5:$P$35*'Indicator Scores'!$AB$5:$AB$35)/SUMPRODUCT((Indicators!$B$5:$B$35=G$4)*Indicators!$P$5:$P$35*('Indicator Scores'!$AB$5:$AB$35&gt;0)),0)</f>
        <v>2</v>
      </c>
      <c r="H178" s="28" t="n">
        <f aca="false">IFERROR(SUMPRODUCT((Indicators!$B$5:$B$35=H$4)*Indicators!$P$5:$P$35*'Indicator Scores'!$AB$5:$AB$35)/SUMPRODUCT((Indicators!$B$5:$B$35=H$4)*Indicators!$P$5:$P$35*('Indicator Scores'!$AB$5:$AB$35&gt;0)),0)</f>
        <v>2</v>
      </c>
      <c r="I178" s="28" t="n">
        <f aca="false">IFERROR(SUMPRODUCT((Indicators!$B$5:$B$35=I$4)*Indicators!$P$5:$P$35*'Indicator Scores'!$AB$5:$AB$35)/SUMPRODUCT((Indicators!$B$5:$B$35=I$4)*Indicators!$P$5:$P$35*('Indicator Scores'!$AB$5:$AB$35&gt;0)),0)</f>
        <v>2</v>
      </c>
      <c r="J178" s="28" t="n">
        <f aca="false">IFERROR(SUMPRODUCT((Indicators!$B$5:$B$35=J$4)*Indicators!$P$5:$P$35*'Indicator Scores'!$AB$5:$AB$35)/SUMPRODUCT((Indicators!$B$5:$B$35=J$4)*Indicators!$P$5:$P$35*('Indicator Scores'!$AB$5:$AB$35&gt;0)),0)</f>
        <v>1.8</v>
      </c>
      <c r="K178" s="28" t="n">
        <f aca="false">IFERROR(SUMPRODUCT(F178:J178,INDEX('Factor Weights'!$C$5:$G$11,MATCH(D178,'Factor Weights'!$A$5:$A$11,0),0))/SUMPRODUCT((F178:J178&gt;0)*INDEX('Factor Weights'!$C$5:$G$11,MATCH(D178,'Factor Weights'!$A$5:$A$11,0),0)),0)</f>
        <v>2.02666666666667</v>
      </c>
      <c r="L178" s="29" t="n">
        <f aca="false">MAX(F178:J178)</f>
        <v>2.33333333333333</v>
      </c>
      <c r="M178" s="28" t="n">
        <f aca="false">IF(L178&gt;=Config!$C$13,MAX(K178,Config!$C$14),K178)</f>
        <v>2.02666666666667</v>
      </c>
      <c r="N178" s="30" t="n">
        <f aca="false">IF(Config!$C$12="Weighted average",K178,IF(Config!$C$12="Weighted with floor",M178,L178))</f>
        <v>2.02666666666667</v>
      </c>
      <c r="O178" s="31" t="n">
        <f aca="false">IF(N178&lt;Config!$D$5,"",MATCH(N178,Config!$D$5:$D$9,1))</f>
        <v>2</v>
      </c>
      <c r="P178" s="7" t="str">
        <f aca="false">IF(O178="","No data",INDEX(Config!$B$5:$B$9,O178))</f>
        <v>Medium-Low</v>
      </c>
      <c r="Q178" s="32" t="n">
        <v>0</v>
      </c>
      <c r="R178" s="8"/>
      <c r="S178" s="33"/>
      <c r="T178" s="34" t="n">
        <f aca="false">IF(O178="","",IF(AND(S178="Y",Q178&lt;&gt;0),MAX(1,MIN(5,O178+MAX(-Config!$C$27,MIN(Config!$C$27,Q178)))),O178))</f>
        <v>2</v>
      </c>
      <c r="U178" s="35" t="str">
        <f aca="false">IF(T178="","No data",INDEX(Config!$B$5:$B$9,T178))</f>
        <v>Medium-Low</v>
      </c>
      <c r="V178" s="7" t="str">
        <f aca="false">IF(Q178=0,"None",IF(S178="Y","Applied","Pending HO approval"))</f>
        <v>None</v>
      </c>
      <c r="W178" s="36" t="n">
        <f aca="false">SUMPRODUCT((Indicators!$P$5:$P$35&gt;0)*('Indicator Data'!$AB$5:$AB$35&lt;&gt;""))/SUMPRODUCT(--(Indicators!$P$5:$P$35&gt;0))</f>
        <v>1</v>
      </c>
    </row>
    <row r="179" customFormat="false" ht="15" hidden="false" customHeight="false" outlineLevel="0" collapsed="false">
      <c r="A179" s="26" t="str">
        <f aca="false">Entities!$A$29</f>
        <v>IT</v>
      </c>
      <c r="B179" s="12" t="str">
        <f aca="false">INDEX(Entities!$B$5:$B$34,MATCH(A179,Entities!$A$5:$A$34,0))</f>
        <v>Arab Bank – Italy</v>
      </c>
      <c r="C179" s="12" t="str">
        <f aca="false">INDEX(Entities!$D$5:$D$34,MATCH(A179,Entities!$A$5:$A$34,0))</f>
        <v>Europe</v>
      </c>
      <c r="D179" s="12" t="s">
        <v>281</v>
      </c>
      <c r="E179" s="12" t="str">
        <f aca="false">INDEX('Risk Taxonomy'!$B$5:$B$24,MATCH(D179,'Risk Taxonomy'!$A$5:$A$24,0))</f>
        <v>Tax evasion and tax transparency</v>
      </c>
      <c r="F179" s="28" t="n">
        <f aca="false">IFERROR(SUMPRODUCT((Indicators!$B$5:$B$35=F$4)*Indicators!$Q$5:$Q$35*'Indicator Scores'!$AB$5:$AB$35)/SUMPRODUCT((Indicators!$B$5:$B$35=F$4)*Indicators!$Q$5:$Q$35*('Indicator Scores'!$AB$5:$AB$35&gt;0)),0)</f>
        <v>2.22222222222222</v>
      </c>
      <c r="G179" s="28" t="n">
        <f aca="false">IFERROR(SUMPRODUCT((Indicators!$B$5:$B$35=G$4)*Indicators!$Q$5:$Q$35*'Indicator Scores'!$AB$5:$AB$35)/SUMPRODUCT((Indicators!$B$5:$B$35=G$4)*Indicators!$Q$5:$Q$35*('Indicator Scores'!$AB$5:$AB$35&gt;0)),0)</f>
        <v>2.16666666666667</v>
      </c>
      <c r="H179" s="28" t="n">
        <f aca="false">IFERROR(SUMPRODUCT((Indicators!$B$5:$B$35=H$4)*Indicators!$Q$5:$Q$35*'Indicator Scores'!$AB$5:$AB$35)/SUMPRODUCT((Indicators!$B$5:$B$35=H$4)*Indicators!$Q$5:$Q$35*('Indicator Scores'!$AB$5:$AB$35&gt;0)),0)</f>
        <v>1.33333333333333</v>
      </c>
      <c r="I179" s="28" t="n">
        <f aca="false">IFERROR(SUMPRODUCT((Indicators!$B$5:$B$35=I$4)*Indicators!$Q$5:$Q$35*'Indicator Scores'!$AB$5:$AB$35)/SUMPRODUCT((Indicators!$B$5:$B$35=I$4)*Indicators!$Q$5:$Q$35*('Indicator Scores'!$AB$5:$AB$35&gt;0)),0)</f>
        <v>2</v>
      </c>
      <c r="J179" s="28" t="n">
        <f aca="false">IFERROR(SUMPRODUCT((Indicators!$B$5:$B$35=J$4)*Indicators!$Q$5:$Q$35*'Indicator Scores'!$AB$5:$AB$35)/SUMPRODUCT((Indicators!$B$5:$B$35=J$4)*Indicators!$Q$5:$Q$35*('Indicator Scores'!$AB$5:$AB$35&gt;0)),0)</f>
        <v>1.2</v>
      </c>
      <c r="K179" s="28" t="n">
        <f aca="false">IFERROR(SUMPRODUCT(F179:J179,INDEX('Factor Weights'!$C$5:$G$11,MATCH(D179,'Factor Weights'!$A$5:$A$11,0),0))/SUMPRODUCT((F179:J179&gt;0)*INDEX('Factor Weights'!$C$5:$G$11,MATCH(D179,'Factor Weights'!$A$5:$A$11,0),0)),0)</f>
        <v>1.90611111111111</v>
      </c>
      <c r="L179" s="29" t="n">
        <f aca="false">MAX(F179:J179)</f>
        <v>2.22222222222222</v>
      </c>
      <c r="M179" s="28" t="n">
        <f aca="false">IF(L179&gt;=Config!$C$13,MAX(K179,Config!$C$14),K179)</f>
        <v>1.90611111111111</v>
      </c>
      <c r="N179" s="30" t="n">
        <f aca="false">IF(Config!$C$12="Weighted average",K179,IF(Config!$C$12="Weighted with floor",M179,L179))</f>
        <v>1.90611111111111</v>
      </c>
      <c r="O179" s="31" t="n">
        <f aca="false">IF(N179&lt;Config!$D$5,"",MATCH(N179,Config!$D$5:$D$9,1))</f>
        <v>2</v>
      </c>
      <c r="P179" s="7" t="str">
        <f aca="false">IF(O179="","No data",INDEX(Config!$B$5:$B$9,O179))</f>
        <v>Medium-Low</v>
      </c>
      <c r="Q179" s="32" t="n">
        <v>0</v>
      </c>
      <c r="R179" s="8"/>
      <c r="S179" s="33"/>
      <c r="T179" s="34" t="n">
        <f aca="false">IF(O179="","",IF(AND(S179="Y",Q179&lt;&gt;0),MAX(1,MIN(5,O179+MAX(-Config!$C$27,MIN(Config!$C$27,Q179)))),O179))</f>
        <v>2</v>
      </c>
      <c r="U179" s="35" t="str">
        <f aca="false">IF(T179="","No data",INDEX(Config!$B$5:$B$9,T179))</f>
        <v>Medium-Low</v>
      </c>
      <c r="V179" s="7" t="str">
        <f aca="false">IF(Q179=0,"None",IF(S179="Y","Applied","Pending HO approval"))</f>
        <v>None</v>
      </c>
      <c r="W179" s="36" t="n">
        <f aca="false">SUMPRODUCT((Indicators!$Q$5:$Q$35&gt;0)*('Indicator Data'!$AB$5:$AB$35&lt;&gt;""))/SUMPRODUCT(--(Indicators!$Q$5:$Q$35&gt;0))</f>
        <v>1</v>
      </c>
    </row>
    <row r="180" customFormat="false" ht="15" hidden="false" customHeight="false" outlineLevel="0" collapsed="false">
      <c r="A180" s="26" t="str">
        <f aca="false">Entities!$A$30</f>
        <v>CH</v>
      </c>
      <c r="B180" s="12" t="str">
        <f aca="false">INDEX(Entities!$B$5:$B$34,MATCH(A180,Entities!$A$5:$A$34,0))</f>
        <v>Arab Bank (Switzerland) – sister company</v>
      </c>
      <c r="C180" s="12" t="str">
        <f aca="false">INDEX(Entities!$D$5:$D$34,MATCH(A180,Entities!$A$5:$A$34,0))</f>
        <v>Europe</v>
      </c>
      <c r="D180" s="12" t="s">
        <v>260</v>
      </c>
      <c r="E180" s="12" t="str">
        <f aca="false">INDEX('Risk Taxonomy'!$B$5:$B$24,MATCH(D180,'Risk Taxonomy'!$A$5:$A$24,0))</f>
        <v>Money laundering</v>
      </c>
      <c r="F180" s="28" t="n">
        <f aca="false">IFERROR(SUMPRODUCT((Indicators!$B$5:$B$35=F$4)*Indicators!$K$5:$K$35*'Indicator Scores'!$AC$5:$AC$35)/SUMPRODUCT((Indicators!$B$5:$B$35=F$4)*Indicators!$K$5:$K$35*('Indicator Scores'!$AC$5:$AC$35&gt;0)),0)</f>
        <v>1.66666666666667</v>
      </c>
      <c r="G180" s="28" t="n">
        <f aca="false">IFERROR(SUMPRODUCT((Indicators!$B$5:$B$35=G$4)*Indicators!$K$5:$K$35*'Indicator Scores'!$AC$5:$AC$35)/SUMPRODUCT((Indicators!$B$5:$B$35=G$4)*Indicators!$K$5:$K$35*('Indicator Scores'!$AC$5:$AC$35&gt;0)),0)</f>
        <v>2.11111111111111</v>
      </c>
      <c r="H180" s="28" t="n">
        <f aca="false">IFERROR(SUMPRODUCT((Indicators!$B$5:$B$35=H$4)*Indicators!$K$5:$K$35*'Indicator Scores'!$AC$5:$AC$35)/SUMPRODUCT((Indicators!$B$5:$B$35=H$4)*Indicators!$K$5:$K$35*('Indicator Scores'!$AC$5:$AC$35&gt;0)),0)</f>
        <v>2.1</v>
      </c>
      <c r="I180" s="28" t="n">
        <f aca="false">IFERROR(SUMPRODUCT((Indicators!$B$5:$B$35=I$4)*Indicators!$K$5:$K$35*'Indicator Scores'!$AC$5:$AC$35)/SUMPRODUCT((Indicators!$B$5:$B$35=I$4)*Indicators!$K$5:$K$35*('Indicator Scores'!$AC$5:$AC$35&gt;0)),0)</f>
        <v>2</v>
      </c>
      <c r="J180" s="28" t="n">
        <f aca="false">IFERROR(SUMPRODUCT((Indicators!$B$5:$B$35=J$4)*Indicators!$K$5:$K$35*'Indicator Scores'!$AC$5:$AC$35)/SUMPRODUCT((Indicators!$B$5:$B$35=J$4)*Indicators!$K$5:$K$35*('Indicator Scores'!$AC$5:$AC$35&gt;0)),0)</f>
        <v>2.1</v>
      </c>
      <c r="K180" s="28" t="n">
        <f aca="false">IFERROR(SUMPRODUCT(F180:J180,INDEX('Factor Weights'!$C$5:$G$11,MATCH(D180,'Factor Weights'!$A$5:$A$11,0),0))/SUMPRODUCT((F180:J180&gt;0)*INDEX('Factor Weights'!$C$5:$G$11,MATCH(D180,'Factor Weights'!$A$5:$A$11,0),0)),0)</f>
        <v>1.95777777777778</v>
      </c>
      <c r="L180" s="29" t="n">
        <f aca="false">MAX(F180:J180)</f>
        <v>2.11111111111111</v>
      </c>
      <c r="M180" s="28" t="n">
        <f aca="false">IF(L180&gt;=Config!$C$13,MAX(K180,Config!$C$14),K180)</f>
        <v>1.95777777777778</v>
      </c>
      <c r="N180" s="30" t="n">
        <f aca="false">IF(Config!$C$12="Weighted average",K180,IF(Config!$C$12="Weighted with floor",M180,L180))</f>
        <v>1.95777777777778</v>
      </c>
      <c r="O180" s="31" t="n">
        <f aca="false">IF(N180&lt;Config!$D$5,"",MATCH(N180,Config!$D$5:$D$9,1))</f>
        <v>2</v>
      </c>
      <c r="P180" s="7" t="str">
        <f aca="false">IF(O180="","No data",INDEX(Config!$B$5:$B$9,O180))</f>
        <v>Medium-Low</v>
      </c>
      <c r="Q180" s="32" t="n">
        <v>0</v>
      </c>
      <c r="R180" s="8"/>
      <c r="S180" s="33"/>
      <c r="T180" s="34" t="n">
        <f aca="false">IF(O180="","",IF(AND(S180="Y",Q180&lt;&gt;0),MAX(1,MIN(5,O180+MAX(-Config!$C$27,MIN(Config!$C$27,Q180)))),O180))</f>
        <v>2</v>
      </c>
      <c r="U180" s="35" t="str">
        <f aca="false">IF(T180="","No data",INDEX(Config!$B$5:$B$9,T180))</f>
        <v>Medium-Low</v>
      </c>
      <c r="V180" s="7" t="str">
        <f aca="false">IF(Q180=0,"None",IF(S180="Y","Applied","Pending HO approval"))</f>
        <v>None</v>
      </c>
      <c r="W180" s="36" t="n">
        <f aca="false">SUMPRODUCT((Indicators!$K$5:$K$35&gt;0)*('Indicator Data'!$AC$5:$AC$35&lt;&gt;""))/SUMPRODUCT(--(Indicators!$K$5:$K$35&gt;0))</f>
        <v>1</v>
      </c>
    </row>
    <row r="181" customFormat="false" ht="15" hidden="false" customHeight="false" outlineLevel="0" collapsed="false">
      <c r="A181" s="26" t="str">
        <f aca="false">Entities!$A$30</f>
        <v>CH</v>
      </c>
      <c r="B181" s="12" t="str">
        <f aca="false">INDEX(Entities!$B$5:$B$34,MATCH(A181,Entities!$A$5:$A$34,0))</f>
        <v>Arab Bank (Switzerland) – sister company</v>
      </c>
      <c r="C181" s="12" t="str">
        <f aca="false">INDEX(Entities!$D$5:$D$34,MATCH(A181,Entities!$A$5:$A$34,0))</f>
        <v>Europe</v>
      </c>
      <c r="D181" s="12" t="s">
        <v>267</v>
      </c>
      <c r="E181" s="12" t="str">
        <f aca="false">INDEX('Risk Taxonomy'!$B$5:$B$24,MATCH(D181,'Risk Taxonomy'!$A$5:$A$24,0))</f>
        <v>Terrorist financing</v>
      </c>
      <c r="F181" s="28" t="n">
        <f aca="false">IFERROR(SUMPRODUCT((Indicators!$B$5:$B$35=F$4)*Indicators!$L$5:$L$35*'Indicator Scores'!$AC$5:$AC$35)/SUMPRODUCT((Indicators!$B$5:$B$35=F$4)*Indicators!$L$5:$L$35*('Indicator Scores'!$AC$5:$AC$35&gt;0)),0)</f>
        <v>1.6</v>
      </c>
      <c r="G181" s="28" t="n">
        <f aca="false">IFERROR(SUMPRODUCT((Indicators!$B$5:$B$35=G$4)*Indicators!$L$5:$L$35*'Indicator Scores'!$AC$5:$AC$35)/SUMPRODUCT((Indicators!$B$5:$B$35=G$4)*Indicators!$L$5:$L$35*('Indicator Scores'!$AC$5:$AC$35&gt;0)),0)</f>
        <v>1.88888888888889</v>
      </c>
      <c r="H181" s="28" t="n">
        <f aca="false">IFERROR(SUMPRODUCT((Indicators!$B$5:$B$35=H$4)*Indicators!$L$5:$L$35*'Indicator Scores'!$AC$5:$AC$35)/SUMPRODUCT((Indicators!$B$5:$B$35=H$4)*Indicators!$L$5:$L$35*('Indicator Scores'!$AC$5:$AC$35&gt;0)),0)</f>
        <v>2</v>
      </c>
      <c r="I181" s="28" t="n">
        <f aca="false">IFERROR(SUMPRODUCT((Indicators!$B$5:$B$35=I$4)*Indicators!$L$5:$L$35*'Indicator Scores'!$AC$5:$AC$35)/SUMPRODUCT((Indicators!$B$5:$B$35=I$4)*Indicators!$L$5:$L$35*('Indicator Scores'!$AC$5:$AC$35&gt;0)),0)</f>
        <v>2</v>
      </c>
      <c r="J181" s="28" t="n">
        <f aca="false">IFERROR(SUMPRODUCT((Indicators!$B$5:$B$35=J$4)*Indicators!$L$5:$L$35*'Indicator Scores'!$AC$5:$AC$35)/SUMPRODUCT((Indicators!$B$5:$B$35=J$4)*Indicators!$L$5:$L$35*('Indicator Scores'!$AC$5:$AC$35&gt;0)),0)</f>
        <v>1.85714285714286</v>
      </c>
      <c r="K181" s="28" t="n">
        <f aca="false">IFERROR(SUMPRODUCT(F181:J181,INDEX('Factor Weights'!$C$5:$G$11,MATCH(D181,'Factor Weights'!$A$5:$A$11,0),0))/SUMPRODUCT((F181:J181&gt;0)*INDEX('Factor Weights'!$C$5:$G$11,MATCH(D181,'Factor Weights'!$A$5:$A$11,0),0)),0)</f>
        <v>1.83809523809524</v>
      </c>
      <c r="L181" s="29" t="n">
        <f aca="false">MAX(F181:J181)</f>
        <v>2</v>
      </c>
      <c r="M181" s="28" t="n">
        <f aca="false">IF(L181&gt;=Config!$C$13,MAX(K181,Config!$C$14),K181)</f>
        <v>1.83809523809524</v>
      </c>
      <c r="N181" s="30" t="n">
        <f aca="false">IF(Config!$C$12="Weighted average",K181,IF(Config!$C$12="Weighted with floor",M181,L181))</f>
        <v>1.83809523809524</v>
      </c>
      <c r="O181" s="31" t="n">
        <f aca="false">IF(N181&lt;Config!$D$5,"",MATCH(N181,Config!$D$5:$D$9,1))</f>
        <v>2</v>
      </c>
      <c r="P181" s="7" t="str">
        <f aca="false">IF(O181="","No data",INDEX(Config!$B$5:$B$9,O181))</f>
        <v>Medium-Low</v>
      </c>
      <c r="Q181" s="32" t="n">
        <v>0</v>
      </c>
      <c r="R181" s="8"/>
      <c r="S181" s="33"/>
      <c r="T181" s="34" t="n">
        <f aca="false">IF(O181="","",IF(AND(S181="Y",Q181&lt;&gt;0),MAX(1,MIN(5,O181+MAX(-Config!$C$27,MIN(Config!$C$27,Q181)))),O181))</f>
        <v>2</v>
      </c>
      <c r="U181" s="35" t="str">
        <f aca="false">IF(T181="","No data",INDEX(Config!$B$5:$B$9,T181))</f>
        <v>Medium-Low</v>
      </c>
      <c r="V181" s="7" t="str">
        <f aca="false">IF(Q181=0,"None",IF(S181="Y","Applied","Pending HO approval"))</f>
        <v>None</v>
      </c>
      <c r="W181" s="36" t="n">
        <f aca="false">SUMPRODUCT((Indicators!$L$5:$L$35&gt;0)*('Indicator Data'!$AC$5:$AC$35&lt;&gt;""))/SUMPRODUCT(--(Indicators!$L$5:$L$35&gt;0))</f>
        <v>1</v>
      </c>
    </row>
    <row r="182" customFormat="false" ht="15" hidden="false" customHeight="false" outlineLevel="0" collapsed="false">
      <c r="A182" s="26" t="str">
        <f aca="false">Entities!$A$30</f>
        <v>CH</v>
      </c>
      <c r="B182" s="12" t="str">
        <f aca="false">INDEX(Entities!$B$5:$B$34,MATCH(A182,Entities!$A$5:$A$34,0))</f>
        <v>Arab Bank (Switzerland) – sister company</v>
      </c>
      <c r="C182" s="12" t="str">
        <f aca="false">INDEX(Entities!$D$5:$D$34,MATCH(A182,Entities!$A$5:$A$34,0))</f>
        <v>Europe</v>
      </c>
      <c r="D182" s="12" t="s">
        <v>270</v>
      </c>
      <c r="E182" s="12" t="str">
        <f aca="false">INDEX('Risk Taxonomy'!$B$5:$B$24,MATCH(D182,'Risk Taxonomy'!$A$5:$A$24,0))</f>
        <v>Proliferation financing</v>
      </c>
      <c r="F182" s="28" t="n">
        <f aca="false">IFERROR(SUMPRODUCT((Indicators!$B$5:$B$35=F$4)*Indicators!$M$5:$M$35*'Indicator Scores'!$AC$5:$AC$35)/SUMPRODUCT((Indicators!$B$5:$B$35=F$4)*Indicators!$M$5:$M$35*('Indicator Scores'!$AC$5:$AC$35&gt;0)),0)</f>
        <v>2</v>
      </c>
      <c r="G182" s="28" t="n">
        <f aca="false">IFERROR(SUMPRODUCT((Indicators!$B$5:$B$35=G$4)*Indicators!$M$5:$M$35*'Indicator Scores'!$AC$5:$AC$35)/SUMPRODUCT((Indicators!$B$5:$B$35=G$4)*Indicators!$M$5:$M$35*('Indicator Scores'!$AC$5:$AC$35&gt;0)),0)</f>
        <v>2</v>
      </c>
      <c r="H182" s="28" t="n">
        <f aca="false">IFERROR(SUMPRODUCT((Indicators!$B$5:$B$35=H$4)*Indicators!$M$5:$M$35*'Indicator Scores'!$AC$5:$AC$35)/SUMPRODUCT((Indicators!$B$5:$B$35=H$4)*Indicators!$M$5:$M$35*('Indicator Scores'!$AC$5:$AC$35&gt;0)),0)</f>
        <v>2.33333333333333</v>
      </c>
      <c r="I182" s="28" t="n">
        <f aca="false">IFERROR(SUMPRODUCT((Indicators!$B$5:$B$35=I$4)*Indicators!$M$5:$M$35*'Indicator Scores'!$AC$5:$AC$35)/SUMPRODUCT((Indicators!$B$5:$B$35=I$4)*Indicators!$M$5:$M$35*('Indicator Scores'!$AC$5:$AC$35&gt;0)),0)</f>
        <v>2.33333333333333</v>
      </c>
      <c r="J182" s="28" t="n">
        <f aca="false">IFERROR(SUMPRODUCT((Indicators!$B$5:$B$35=J$4)*Indicators!$M$5:$M$35*'Indicator Scores'!$AC$5:$AC$35)/SUMPRODUCT((Indicators!$B$5:$B$35=J$4)*Indicators!$M$5:$M$35*('Indicator Scores'!$AC$5:$AC$35&gt;0)),0)</f>
        <v>2</v>
      </c>
      <c r="K182" s="28" t="n">
        <f aca="false">IFERROR(SUMPRODUCT(F182:J182,INDEX('Factor Weights'!$C$5:$G$11,MATCH(D182,'Factor Weights'!$A$5:$A$11,0),0))/SUMPRODUCT((F182:J182&gt;0)*INDEX('Factor Weights'!$C$5:$G$11,MATCH(D182,'Factor Weights'!$A$5:$A$11,0),0)),0)</f>
        <v>2.11666666666667</v>
      </c>
      <c r="L182" s="29" t="n">
        <f aca="false">MAX(F182:J182)</f>
        <v>2.33333333333333</v>
      </c>
      <c r="M182" s="28" t="n">
        <f aca="false">IF(L182&gt;=Config!$C$13,MAX(K182,Config!$C$14),K182)</f>
        <v>2.11666666666667</v>
      </c>
      <c r="N182" s="30" t="n">
        <f aca="false">IF(Config!$C$12="Weighted average",K182,IF(Config!$C$12="Weighted with floor",M182,L182))</f>
        <v>2.11666666666667</v>
      </c>
      <c r="O182" s="31" t="n">
        <f aca="false">IF(N182&lt;Config!$D$5,"",MATCH(N182,Config!$D$5:$D$9,1))</f>
        <v>2</v>
      </c>
      <c r="P182" s="7" t="str">
        <f aca="false">IF(O182="","No data",INDEX(Config!$B$5:$B$9,O182))</f>
        <v>Medium-Low</v>
      </c>
      <c r="Q182" s="32" t="n">
        <v>0</v>
      </c>
      <c r="R182" s="8"/>
      <c r="S182" s="33"/>
      <c r="T182" s="34" t="n">
        <f aca="false">IF(O182="","",IF(AND(S182="Y",Q182&lt;&gt;0),MAX(1,MIN(5,O182+MAX(-Config!$C$27,MIN(Config!$C$27,Q182)))),O182))</f>
        <v>2</v>
      </c>
      <c r="U182" s="35" t="str">
        <f aca="false">IF(T182="","No data",INDEX(Config!$B$5:$B$9,T182))</f>
        <v>Medium-Low</v>
      </c>
      <c r="V182" s="7" t="str">
        <f aca="false">IF(Q182=0,"None",IF(S182="Y","Applied","Pending HO approval"))</f>
        <v>None</v>
      </c>
      <c r="W182" s="36" t="n">
        <f aca="false">SUMPRODUCT((Indicators!$M$5:$M$35&gt;0)*('Indicator Data'!$AC$5:$AC$35&lt;&gt;""))/SUMPRODUCT(--(Indicators!$M$5:$M$35&gt;0))</f>
        <v>1</v>
      </c>
    </row>
    <row r="183" customFormat="false" ht="15" hidden="false" customHeight="false" outlineLevel="0" collapsed="false">
      <c r="A183" s="26" t="str">
        <f aca="false">Entities!$A$30</f>
        <v>CH</v>
      </c>
      <c r="B183" s="12" t="str">
        <f aca="false">INDEX(Entities!$B$5:$B$34,MATCH(A183,Entities!$A$5:$A$34,0))</f>
        <v>Arab Bank (Switzerland) – sister company</v>
      </c>
      <c r="C183" s="12" t="str">
        <f aca="false">INDEX(Entities!$D$5:$D$34,MATCH(A183,Entities!$A$5:$A$34,0))</f>
        <v>Europe</v>
      </c>
      <c r="D183" s="12" t="s">
        <v>272</v>
      </c>
      <c r="E183" s="12" t="str">
        <f aca="false">INDEX('Risk Taxonomy'!$B$5:$B$24,MATCH(D183,'Risk Taxonomy'!$A$5:$A$24,0))</f>
        <v>Sanctions</v>
      </c>
      <c r="F183" s="28" t="n">
        <f aca="false">IFERROR(SUMPRODUCT((Indicators!$B$5:$B$35=F$4)*Indicators!$N$5:$N$35*'Indicator Scores'!$AC$5:$AC$35)/SUMPRODUCT((Indicators!$B$5:$B$35=F$4)*Indicators!$N$5:$N$35*('Indicator Scores'!$AC$5:$AC$35&gt;0)),0)</f>
        <v>2.28571428571429</v>
      </c>
      <c r="G183" s="28" t="n">
        <f aca="false">IFERROR(SUMPRODUCT((Indicators!$B$5:$B$35=G$4)*Indicators!$N$5:$N$35*'Indicator Scores'!$AC$5:$AC$35)/SUMPRODUCT((Indicators!$B$5:$B$35=G$4)*Indicators!$N$5:$N$35*('Indicator Scores'!$AC$5:$AC$35&gt;0)),0)</f>
        <v>2</v>
      </c>
      <c r="H183" s="28" t="n">
        <f aca="false">IFERROR(SUMPRODUCT((Indicators!$B$5:$B$35=H$4)*Indicators!$N$5:$N$35*'Indicator Scores'!$AC$5:$AC$35)/SUMPRODUCT((Indicators!$B$5:$B$35=H$4)*Indicators!$N$5:$N$35*('Indicator Scores'!$AC$5:$AC$35&gt;0)),0)</f>
        <v>2.25</v>
      </c>
      <c r="I183" s="28" t="n">
        <f aca="false">IFERROR(SUMPRODUCT((Indicators!$B$5:$B$35=I$4)*Indicators!$N$5:$N$35*'Indicator Scores'!$AC$5:$AC$35)/SUMPRODUCT((Indicators!$B$5:$B$35=I$4)*Indicators!$N$5:$N$35*('Indicator Scores'!$AC$5:$AC$35&gt;0)),0)</f>
        <v>1.66666666666667</v>
      </c>
      <c r="J183" s="28" t="n">
        <f aca="false">IFERROR(SUMPRODUCT((Indicators!$B$5:$B$35=J$4)*Indicators!$N$5:$N$35*'Indicator Scores'!$AC$5:$AC$35)/SUMPRODUCT((Indicators!$B$5:$B$35=J$4)*Indicators!$N$5:$N$35*('Indicator Scores'!$AC$5:$AC$35&gt;0)),0)</f>
        <v>1.8</v>
      </c>
      <c r="K183" s="28" t="n">
        <f aca="false">IFERROR(SUMPRODUCT(F183:J183,INDEX('Factor Weights'!$C$5:$G$11,MATCH(D183,'Factor Weights'!$A$5:$A$11,0),0))/SUMPRODUCT((F183:J183&gt;0)*INDEX('Factor Weights'!$C$5:$G$11,MATCH(D183,'Factor Weights'!$A$5:$A$11,0),0)),0)</f>
        <v>2.03619047619048</v>
      </c>
      <c r="L183" s="29" t="n">
        <f aca="false">MAX(F183:J183)</f>
        <v>2.28571428571429</v>
      </c>
      <c r="M183" s="28" t="n">
        <f aca="false">IF(L183&gt;=Config!$C$13,MAX(K183,Config!$C$14),K183)</f>
        <v>2.03619047619048</v>
      </c>
      <c r="N183" s="30" t="n">
        <f aca="false">IF(Config!$C$12="Weighted average",K183,IF(Config!$C$12="Weighted with floor",M183,L183))</f>
        <v>2.03619047619048</v>
      </c>
      <c r="O183" s="31" t="n">
        <f aca="false">IF(N183&lt;Config!$D$5,"",MATCH(N183,Config!$D$5:$D$9,1))</f>
        <v>2</v>
      </c>
      <c r="P183" s="7" t="str">
        <f aca="false">IF(O183="","No data",INDEX(Config!$B$5:$B$9,O183))</f>
        <v>Medium-Low</v>
      </c>
      <c r="Q183" s="32" t="n">
        <v>0</v>
      </c>
      <c r="R183" s="8"/>
      <c r="S183" s="33"/>
      <c r="T183" s="34" t="n">
        <f aca="false">IF(O183="","",IF(AND(S183="Y",Q183&lt;&gt;0),MAX(1,MIN(5,O183+MAX(-Config!$C$27,MIN(Config!$C$27,Q183)))),O183))</f>
        <v>2</v>
      </c>
      <c r="U183" s="35" t="str">
        <f aca="false">IF(T183="","No data",INDEX(Config!$B$5:$B$9,T183))</f>
        <v>Medium-Low</v>
      </c>
      <c r="V183" s="7" t="str">
        <f aca="false">IF(Q183=0,"None",IF(S183="Y","Applied","Pending HO approval"))</f>
        <v>None</v>
      </c>
      <c r="W183" s="36" t="n">
        <f aca="false">SUMPRODUCT((Indicators!$N$5:$N$35&gt;0)*('Indicator Data'!$AC$5:$AC$35&lt;&gt;""))/SUMPRODUCT(--(Indicators!$N$5:$N$35&gt;0))</f>
        <v>1</v>
      </c>
    </row>
    <row r="184" customFormat="false" ht="15" hidden="false" customHeight="false" outlineLevel="0" collapsed="false">
      <c r="A184" s="26" t="str">
        <f aca="false">Entities!$A$30</f>
        <v>CH</v>
      </c>
      <c r="B184" s="12" t="str">
        <f aca="false">INDEX(Entities!$B$5:$B$34,MATCH(A184,Entities!$A$5:$A$34,0))</f>
        <v>Arab Bank (Switzerland) – sister company</v>
      </c>
      <c r="C184" s="12" t="str">
        <f aca="false">INDEX(Entities!$D$5:$D$34,MATCH(A184,Entities!$A$5:$A$34,0))</f>
        <v>Europe</v>
      </c>
      <c r="D184" s="12" t="s">
        <v>275</v>
      </c>
      <c r="E184" s="12" t="str">
        <f aca="false">INDEX('Risk Taxonomy'!$B$5:$B$24,MATCH(D184,'Risk Taxonomy'!$A$5:$A$24,0))</f>
        <v>Bribery and corruption</v>
      </c>
      <c r="F184" s="28" t="n">
        <f aca="false">IFERROR(SUMPRODUCT((Indicators!$B$5:$B$35=F$4)*Indicators!$O$5:$O$35*'Indicator Scores'!$AC$5:$AC$35)/SUMPRODUCT((Indicators!$B$5:$B$35=F$4)*Indicators!$O$5:$O$35*('Indicator Scores'!$AC$5:$AC$35&gt;0)),0)</f>
        <v>2.11111111111111</v>
      </c>
      <c r="G184" s="28" t="n">
        <f aca="false">IFERROR(SUMPRODUCT((Indicators!$B$5:$B$35=G$4)*Indicators!$O$5:$O$35*'Indicator Scores'!$AC$5:$AC$35)/SUMPRODUCT((Indicators!$B$5:$B$35=G$4)*Indicators!$O$5:$O$35*('Indicator Scores'!$AC$5:$AC$35&gt;0)),0)</f>
        <v>2.2</v>
      </c>
      <c r="H184" s="28" t="n">
        <f aca="false">IFERROR(SUMPRODUCT((Indicators!$B$5:$B$35=H$4)*Indicators!$O$5:$O$35*'Indicator Scores'!$AC$5:$AC$35)/SUMPRODUCT((Indicators!$B$5:$B$35=H$4)*Indicators!$O$5:$O$35*('Indicator Scores'!$AC$5:$AC$35&gt;0)),0)</f>
        <v>2</v>
      </c>
      <c r="I184" s="28" t="n">
        <f aca="false">IFERROR(SUMPRODUCT((Indicators!$B$5:$B$35=I$4)*Indicators!$O$5:$O$35*'Indicator Scores'!$AC$5:$AC$35)/SUMPRODUCT((Indicators!$B$5:$B$35=I$4)*Indicators!$O$5:$O$35*('Indicator Scores'!$AC$5:$AC$35&gt;0)),0)</f>
        <v>2.4</v>
      </c>
      <c r="J184" s="28" t="n">
        <f aca="false">IFERROR(SUMPRODUCT((Indicators!$B$5:$B$35=J$4)*Indicators!$O$5:$O$35*'Indicator Scores'!$AC$5:$AC$35)/SUMPRODUCT((Indicators!$B$5:$B$35=J$4)*Indicators!$O$5:$O$35*('Indicator Scores'!$AC$5:$AC$35&gt;0)),0)</f>
        <v>3</v>
      </c>
      <c r="K184" s="28" t="n">
        <f aca="false">IFERROR(SUMPRODUCT(F184:J184,INDEX('Factor Weights'!$C$5:$G$11,MATCH(D184,'Factor Weights'!$A$5:$A$11,0),0))/SUMPRODUCT((F184:J184&gt;0)*INDEX('Factor Weights'!$C$5:$G$11,MATCH(D184,'Factor Weights'!$A$5:$A$11,0),0)),0)</f>
        <v>2.26333333333333</v>
      </c>
      <c r="L184" s="29" t="n">
        <f aca="false">MAX(F184:J184)</f>
        <v>3</v>
      </c>
      <c r="M184" s="28" t="n">
        <f aca="false">IF(L184&gt;=Config!$C$13,MAX(K184,Config!$C$14),K184)</f>
        <v>2.26333333333333</v>
      </c>
      <c r="N184" s="30" t="n">
        <f aca="false">IF(Config!$C$12="Weighted average",K184,IF(Config!$C$12="Weighted with floor",M184,L184))</f>
        <v>2.26333333333333</v>
      </c>
      <c r="O184" s="31" t="n">
        <f aca="false">IF(N184&lt;Config!$D$5,"",MATCH(N184,Config!$D$5:$D$9,1))</f>
        <v>2</v>
      </c>
      <c r="P184" s="7" t="str">
        <f aca="false">IF(O184="","No data",INDEX(Config!$B$5:$B$9,O184))</f>
        <v>Medium-Low</v>
      </c>
      <c r="Q184" s="32" t="n">
        <v>0</v>
      </c>
      <c r="R184" s="8"/>
      <c r="S184" s="33"/>
      <c r="T184" s="34" t="n">
        <f aca="false">IF(O184="","",IF(AND(S184="Y",Q184&lt;&gt;0),MAX(1,MIN(5,O184+MAX(-Config!$C$27,MIN(Config!$C$27,Q184)))),O184))</f>
        <v>2</v>
      </c>
      <c r="U184" s="35" t="str">
        <f aca="false">IF(T184="","No data",INDEX(Config!$B$5:$B$9,T184))</f>
        <v>Medium-Low</v>
      </c>
      <c r="V184" s="7" t="str">
        <f aca="false">IF(Q184=0,"None",IF(S184="Y","Applied","Pending HO approval"))</f>
        <v>None</v>
      </c>
      <c r="W184" s="36" t="n">
        <f aca="false">SUMPRODUCT((Indicators!$O$5:$O$35&gt;0)*('Indicator Data'!$AC$5:$AC$35&lt;&gt;""))/SUMPRODUCT(--(Indicators!$O$5:$O$35&gt;0))</f>
        <v>1</v>
      </c>
    </row>
    <row r="185" customFormat="false" ht="15" hidden="false" customHeight="false" outlineLevel="0" collapsed="false">
      <c r="A185" s="26" t="str">
        <f aca="false">Entities!$A$30</f>
        <v>CH</v>
      </c>
      <c r="B185" s="12" t="str">
        <f aca="false">INDEX(Entities!$B$5:$B$34,MATCH(A185,Entities!$A$5:$A$34,0))</f>
        <v>Arab Bank (Switzerland) – sister company</v>
      </c>
      <c r="C185" s="12" t="str">
        <f aca="false">INDEX(Entities!$D$5:$D$34,MATCH(A185,Entities!$A$5:$A$34,0))</f>
        <v>Europe</v>
      </c>
      <c r="D185" s="12" t="s">
        <v>278</v>
      </c>
      <c r="E185" s="12" t="str">
        <f aca="false">INDEX('Risk Taxonomy'!$B$5:$B$24,MATCH(D185,'Risk Taxonomy'!$A$5:$A$24,0))</f>
        <v>Fraud</v>
      </c>
      <c r="F185" s="28" t="n">
        <f aca="false">IFERROR(SUMPRODUCT((Indicators!$B$5:$B$35=F$4)*Indicators!$P$5:$P$35*'Indicator Scores'!$AC$5:$AC$35)/SUMPRODUCT((Indicators!$B$5:$B$35=F$4)*Indicators!$P$5:$P$35*('Indicator Scores'!$AC$5:$AC$35&gt;0)),0)</f>
        <v>1.66666666666667</v>
      </c>
      <c r="G185" s="28" t="n">
        <f aca="false">IFERROR(SUMPRODUCT((Indicators!$B$5:$B$35=G$4)*Indicators!$P$5:$P$35*'Indicator Scores'!$AC$5:$AC$35)/SUMPRODUCT((Indicators!$B$5:$B$35=G$4)*Indicators!$P$5:$P$35*('Indicator Scores'!$AC$5:$AC$35&gt;0)),0)</f>
        <v>2</v>
      </c>
      <c r="H185" s="28" t="n">
        <f aca="false">IFERROR(SUMPRODUCT((Indicators!$B$5:$B$35=H$4)*Indicators!$P$5:$P$35*'Indicator Scores'!$AC$5:$AC$35)/SUMPRODUCT((Indicators!$B$5:$B$35=H$4)*Indicators!$P$5:$P$35*('Indicator Scores'!$AC$5:$AC$35&gt;0)),0)</f>
        <v>2</v>
      </c>
      <c r="I185" s="28" t="n">
        <f aca="false">IFERROR(SUMPRODUCT((Indicators!$B$5:$B$35=I$4)*Indicators!$P$5:$P$35*'Indicator Scores'!$AC$5:$AC$35)/SUMPRODUCT((Indicators!$B$5:$B$35=I$4)*Indicators!$P$5:$P$35*('Indicator Scores'!$AC$5:$AC$35&gt;0)),0)</f>
        <v>1.77777777777778</v>
      </c>
      <c r="J185" s="28" t="n">
        <f aca="false">IFERROR(SUMPRODUCT((Indicators!$B$5:$B$35=J$4)*Indicators!$P$5:$P$35*'Indicator Scores'!$AC$5:$AC$35)/SUMPRODUCT((Indicators!$B$5:$B$35=J$4)*Indicators!$P$5:$P$35*('Indicator Scores'!$AC$5:$AC$35&gt;0)),0)</f>
        <v>2.4</v>
      </c>
      <c r="K185" s="28" t="n">
        <f aca="false">IFERROR(SUMPRODUCT(F185:J185,INDEX('Factor Weights'!$C$5:$G$11,MATCH(D185,'Factor Weights'!$A$5:$A$11,0),0))/SUMPRODUCT((F185:J185&gt;0)*INDEX('Factor Weights'!$C$5:$G$11,MATCH(D185,'Factor Weights'!$A$5:$A$11,0),0)),0)</f>
        <v>1.94666666666667</v>
      </c>
      <c r="L185" s="29" t="n">
        <f aca="false">MAX(F185:J185)</f>
        <v>2.4</v>
      </c>
      <c r="M185" s="28" t="n">
        <f aca="false">IF(L185&gt;=Config!$C$13,MAX(K185,Config!$C$14),K185)</f>
        <v>1.94666666666667</v>
      </c>
      <c r="N185" s="30" t="n">
        <f aca="false">IF(Config!$C$12="Weighted average",K185,IF(Config!$C$12="Weighted with floor",M185,L185))</f>
        <v>1.94666666666667</v>
      </c>
      <c r="O185" s="31" t="n">
        <f aca="false">IF(N185&lt;Config!$D$5,"",MATCH(N185,Config!$D$5:$D$9,1))</f>
        <v>2</v>
      </c>
      <c r="P185" s="7" t="str">
        <f aca="false">IF(O185="","No data",INDEX(Config!$B$5:$B$9,O185))</f>
        <v>Medium-Low</v>
      </c>
      <c r="Q185" s="32" t="n">
        <v>0</v>
      </c>
      <c r="R185" s="8"/>
      <c r="S185" s="33"/>
      <c r="T185" s="34" t="n">
        <f aca="false">IF(O185="","",IF(AND(S185="Y",Q185&lt;&gt;0),MAX(1,MIN(5,O185+MAX(-Config!$C$27,MIN(Config!$C$27,Q185)))),O185))</f>
        <v>2</v>
      </c>
      <c r="U185" s="35" t="str">
        <f aca="false">IF(T185="","No data",INDEX(Config!$B$5:$B$9,T185))</f>
        <v>Medium-Low</v>
      </c>
      <c r="V185" s="7" t="str">
        <f aca="false">IF(Q185=0,"None",IF(S185="Y","Applied","Pending HO approval"))</f>
        <v>None</v>
      </c>
      <c r="W185" s="36" t="n">
        <f aca="false">SUMPRODUCT((Indicators!$P$5:$P$35&gt;0)*('Indicator Data'!$AC$5:$AC$35&lt;&gt;""))/SUMPRODUCT(--(Indicators!$P$5:$P$35&gt;0))</f>
        <v>1</v>
      </c>
    </row>
    <row r="186" customFormat="false" ht="15" hidden="false" customHeight="false" outlineLevel="0" collapsed="false">
      <c r="A186" s="26" t="str">
        <f aca="false">Entities!$A$30</f>
        <v>CH</v>
      </c>
      <c r="B186" s="12" t="str">
        <f aca="false">INDEX(Entities!$B$5:$B$34,MATCH(A186,Entities!$A$5:$A$34,0))</f>
        <v>Arab Bank (Switzerland) – sister company</v>
      </c>
      <c r="C186" s="12" t="str">
        <f aca="false">INDEX(Entities!$D$5:$D$34,MATCH(A186,Entities!$A$5:$A$34,0))</f>
        <v>Europe</v>
      </c>
      <c r="D186" s="12" t="s">
        <v>281</v>
      </c>
      <c r="E186" s="12" t="str">
        <f aca="false">INDEX('Risk Taxonomy'!$B$5:$B$24,MATCH(D186,'Risk Taxonomy'!$A$5:$A$24,0))</f>
        <v>Tax evasion and tax transparency</v>
      </c>
      <c r="F186" s="28" t="n">
        <f aca="false">IFERROR(SUMPRODUCT((Indicators!$B$5:$B$35=F$4)*Indicators!$Q$5:$Q$35*'Indicator Scores'!$AC$5:$AC$35)/SUMPRODUCT((Indicators!$B$5:$B$35=F$4)*Indicators!$Q$5:$Q$35*('Indicator Scores'!$AC$5:$AC$35&gt;0)),0)</f>
        <v>2.11111111111111</v>
      </c>
      <c r="G186" s="28" t="n">
        <f aca="false">IFERROR(SUMPRODUCT((Indicators!$B$5:$B$35=G$4)*Indicators!$Q$5:$Q$35*'Indicator Scores'!$AC$5:$AC$35)/SUMPRODUCT((Indicators!$B$5:$B$35=G$4)*Indicators!$Q$5:$Q$35*('Indicator Scores'!$AC$5:$AC$35&gt;0)),0)</f>
        <v>2.16666666666667</v>
      </c>
      <c r="H186" s="28" t="n">
        <f aca="false">IFERROR(SUMPRODUCT((Indicators!$B$5:$B$35=H$4)*Indicators!$Q$5:$Q$35*'Indicator Scores'!$AC$5:$AC$35)/SUMPRODUCT((Indicators!$B$5:$B$35=H$4)*Indicators!$Q$5:$Q$35*('Indicator Scores'!$AC$5:$AC$35&gt;0)),0)</f>
        <v>2</v>
      </c>
      <c r="I186" s="28" t="n">
        <f aca="false">IFERROR(SUMPRODUCT((Indicators!$B$5:$B$35=I$4)*Indicators!$Q$5:$Q$35*'Indicator Scores'!$AC$5:$AC$35)/SUMPRODUCT((Indicators!$B$5:$B$35=I$4)*Indicators!$Q$5:$Q$35*('Indicator Scores'!$AC$5:$AC$35&gt;0)),0)</f>
        <v>2.5</v>
      </c>
      <c r="J186" s="28" t="n">
        <f aca="false">IFERROR(SUMPRODUCT((Indicators!$B$5:$B$35=J$4)*Indicators!$Q$5:$Q$35*'Indicator Scores'!$AC$5:$AC$35)/SUMPRODUCT((Indicators!$B$5:$B$35=J$4)*Indicators!$Q$5:$Q$35*('Indicator Scores'!$AC$5:$AC$35&gt;0)),0)</f>
        <v>1.8</v>
      </c>
      <c r="K186" s="28" t="n">
        <f aca="false">IFERROR(SUMPRODUCT(F186:J186,INDEX('Factor Weights'!$C$5:$G$11,MATCH(D186,'Factor Weights'!$A$5:$A$11,0),0))/SUMPRODUCT((F186:J186&gt;0)*INDEX('Factor Weights'!$C$5:$G$11,MATCH(D186,'Factor Weights'!$A$5:$A$11,0),0)),0)</f>
        <v>2.11055555555556</v>
      </c>
      <c r="L186" s="29" t="n">
        <f aca="false">MAX(F186:J186)</f>
        <v>2.5</v>
      </c>
      <c r="M186" s="28" t="n">
        <f aca="false">IF(L186&gt;=Config!$C$13,MAX(K186,Config!$C$14),K186)</f>
        <v>2.11055555555556</v>
      </c>
      <c r="N186" s="30" t="n">
        <f aca="false">IF(Config!$C$12="Weighted average",K186,IF(Config!$C$12="Weighted with floor",M186,L186))</f>
        <v>2.11055555555556</v>
      </c>
      <c r="O186" s="31" t="n">
        <f aca="false">IF(N186&lt;Config!$D$5,"",MATCH(N186,Config!$D$5:$D$9,1))</f>
        <v>2</v>
      </c>
      <c r="P186" s="7" t="str">
        <f aca="false">IF(O186="","No data",INDEX(Config!$B$5:$B$9,O186))</f>
        <v>Medium-Low</v>
      </c>
      <c r="Q186" s="32" t="n">
        <v>0</v>
      </c>
      <c r="R186" s="8"/>
      <c r="S186" s="33"/>
      <c r="T186" s="34" t="n">
        <f aca="false">IF(O186="","",IF(AND(S186="Y",Q186&lt;&gt;0),MAX(1,MIN(5,O186+MAX(-Config!$C$27,MIN(Config!$C$27,Q186)))),O186))</f>
        <v>2</v>
      </c>
      <c r="U186" s="35" t="str">
        <f aca="false">IF(T186="","No data",INDEX(Config!$B$5:$B$9,T186))</f>
        <v>Medium-Low</v>
      </c>
      <c r="V186" s="7" t="str">
        <f aca="false">IF(Q186=0,"None",IF(S186="Y","Applied","Pending HO approval"))</f>
        <v>None</v>
      </c>
      <c r="W186" s="36" t="n">
        <f aca="false">SUMPRODUCT((Indicators!$Q$5:$Q$35&gt;0)*('Indicator Data'!$AC$5:$AC$35&lt;&gt;""))/SUMPRODUCT(--(Indicators!$Q$5:$Q$35&gt;0))</f>
        <v>1</v>
      </c>
    </row>
    <row r="187" customFormat="false" ht="15" hidden="false" customHeight="false" outlineLevel="0" collapsed="false">
      <c r="A187" s="26" t="str">
        <f aca="false">Entities!$A$31</f>
        <v>SG</v>
      </c>
      <c r="B187" s="12" t="str">
        <f aca="false">INDEX(Entities!$B$5:$B$34,MATCH(A187,Entities!$A$5:$A$34,0))</f>
        <v>Arab Bank – Singapore</v>
      </c>
      <c r="C187" s="12" t="str">
        <f aca="false">INDEX(Entities!$D$5:$D$34,MATCH(A187,Entities!$A$5:$A$34,0))</f>
        <v>Asia-Pacific</v>
      </c>
      <c r="D187" s="12" t="s">
        <v>260</v>
      </c>
      <c r="E187" s="12" t="str">
        <f aca="false">INDEX('Risk Taxonomy'!$B$5:$B$24,MATCH(D187,'Risk Taxonomy'!$A$5:$A$24,0))</f>
        <v>Money laundering</v>
      </c>
      <c r="F187" s="28" t="n">
        <f aca="false">IFERROR(SUMPRODUCT((Indicators!$B$5:$B$35=F$4)*Indicators!$K$5:$K$35*'Indicator Scores'!$AD$5:$AD$35)/SUMPRODUCT((Indicators!$B$5:$B$35=F$4)*Indicators!$K$5:$K$35*('Indicator Scores'!$AD$5:$AD$35&gt;0)),0)</f>
        <v>1.83333333333333</v>
      </c>
      <c r="G187" s="28" t="n">
        <f aca="false">IFERROR(SUMPRODUCT((Indicators!$B$5:$B$35=G$4)*Indicators!$K$5:$K$35*'Indicator Scores'!$AD$5:$AD$35)/SUMPRODUCT((Indicators!$B$5:$B$35=G$4)*Indicators!$K$5:$K$35*('Indicator Scores'!$AD$5:$AD$35&gt;0)),0)</f>
        <v>2.22222222222222</v>
      </c>
      <c r="H187" s="28" t="n">
        <f aca="false">IFERROR(SUMPRODUCT((Indicators!$B$5:$B$35=H$4)*Indicators!$K$5:$K$35*'Indicator Scores'!$AD$5:$AD$35)/SUMPRODUCT((Indicators!$B$5:$B$35=H$4)*Indicators!$K$5:$K$35*('Indicator Scores'!$AD$5:$AD$35&gt;0)),0)</f>
        <v>2.4</v>
      </c>
      <c r="I187" s="28" t="n">
        <f aca="false">IFERROR(SUMPRODUCT((Indicators!$B$5:$B$35=I$4)*Indicators!$K$5:$K$35*'Indicator Scores'!$AD$5:$AD$35)/SUMPRODUCT((Indicators!$B$5:$B$35=I$4)*Indicators!$K$5:$K$35*('Indicator Scores'!$AD$5:$AD$35&gt;0)),0)</f>
        <v>1.57142857142857</v>
      </c>
      <c r="J187" s="28" t="n">
        <f aca="false">IFERROR(SUMPRODUCT((Indicators!$B$5:$B$35=J$4)*Indicators!$K$5:$K$35*'Indicator Scores'!$AD$5:$AD$35)/SUMPRODUCT((Indicators!$B$5:$B$35=J$4)*Indicators!$K$5:$K$35*('Indicator Scores'!$AD$5:$AD$35&gt;0)),0)</f>
        <v>1.8</v>
      </c>
      <c r="K187" s="28" t="n">
        <f aca="false">IFERROR(SUMPRODUCT(F187:J187,INDEX('Factor Weights'!$C$5:$G$11,MATCH(D187,'Factor Weights'!$A$5:$A$11,0),0))/SUMPRODUCT((F187:J187&gt;0)*INDEX('Factor Weights'!$C$5:$G$11,MATCH(D187,'Factor Weights'!$A$5:$A$11,0),0)),0)</f>
        <v>2.00126984126984</v>
      </c>
      <c r="L187" s="29" t="n">
        <f aca="false">MAX(F187:J187)</f>
        <v>2.4</v>
      </c>
      <c r="M187" s="28" t="n">
        <f aca="false">IF(L187&gt;=Config!$C$13,MAX(K187,Config!$C$14),K187)</f>
        <v>2.00126984126984</v>
      </c>
      <c r="N187" s="30" t="n">
        <f aca="false">IF(Config!$C$12="Weighted average",K187,IF(Config!$C$12="Weighted with floor",M187,L187))</f>
        <v>2.00126984126984</v>
      </c>
      <c r="O187" s="31" t="n">
        <f aca="false">IF(N187&lt;Config!$D$5,"",MATCH(N187,Config!$D$5:$D$9,1))</f>
        <v>2</v>
      </c>
      <c r="P187" s="7" t="str">
        <f aca="false">IF(O187="","No data",INDEX(Config!$B$5:$B$9,O187))</f>
        <v>Medium-Low</v>
      </c>
      <c r="Q187" s="32" t="n">
        <v>0</v>
      </c>
      <c r="R187" s="8"/>
      <c r="S187" s="33"/>
      <c r="T187" s="34" t="n">
        <f aca="false">IF(O187="","",IF(AND(S187="Y",Q187&lt;&gt;0),MAX(1,MIN(5,O187+MAX(-Config!$C$27,MIN(Config!$C$27,Q187)))),O187))</f>
        <v>2</v>
      </c>
      <c r="U187" s="35" t="str">
        <f aca="false">IF(T187="","No data",INDEX(Config!$B$5:$B$9,T187))</f>
        <v>Medium-Low</v>
      </c>
      <c r="V187" s="7" t="str">
        <f aca="false">IF(Q187=0,"None",IF(S187="Y","Applied","Pending HO approval"))</f>
        <v>None</v>
      </c>
      <c r="W187" s="36" t="n">
        <f aca="false">SUMPRODUCT((Indicators!$K$5:$K$35&gt;0)*('Indicator Data'!$AD$5:$AD$35&lt;&gt;""))/SUMPRODUCT(--(Indicators!$K$5:$K$35&gt;0))</f>
        <v>1</v>
      </c>
    </row>
    <row r="188" customFormat="false" ht="15" hidden="false" customHeight="false" outlineLevel="0" collapsed="false">
      <c r="A188" s="26" t="str">
        <f aca="false">Entities!$A$31</f>
        <v>SG</v>
      </c>
      <c r="B188" s="12" t="str">
        <f aca="false">INDEX(Entities!$B$5:$B$34,MATCH(A188,Entities!$A$5:$A$34,0))</f>
        <v>Arab Bank – Singapore</v>
      </c>
      <c r="C188" s="12" t="str">
        <f aca="false">INDEX(Entities!$D$5:$D$34,MATCH(A188,Entities!$A$5:$A$34,0))</f>
        <v>Asia-Pacific</v>
      </c>
      <c r="D188" s="12" t="s">
        <v>267</v>
      </c>
      <c r="E188" s="12" t="str">
        <f aca="false">INDEX('Risk Taxonomy'!$B$5:$B$24,MATCH(D188,'Risk Taxonomy'!$A$5:$A$24,0))</f>
        <v>Terrorist financing</v>
      </c>
      <c r="F188" s="28" t="n">
        <f aca="false">IFERROR(SUMPRODUCT((Indicators!$B$5:$B$35=F$4)*Indicators!$L$5:$L$35*'Indicator Scores'!$AD$5:$AD$35)/SUMPRODUCT((Indicators!$B$5:$B$35=F$4)*Indicators!$L$5:$L$35*('Indicator Scores'!$AD$5:$AD$35&gt;0)),0)</f>
        <v>1.9</v>
      </c>
      <c r="G188" s="28" t="n">
        <f aca="false">IFERROR(SUMPRODUCT((Indicators!$B$5:$B$35=G$4)*Indicators!$L$5:$L$35*'Indicator Scores'!$AD$5:$AD$35)/SUMPRODUCT((Indicators!$B$5:$B$35=G$4)*Indicators!$L$5:$L$35*('Indicator Scores'!$AD$5:$AD$35&gt;0)),0)</f>
        <v>2.11111111111111</v>
      </c>
      <c r="H188" s="28" t="n">
        <f aca="false">IFERROR(SUMPRODUCT((Indicators!$B$5:$B$35=H$4)*Indicators!$L$5:$L$35*'Indicator Scores'!$AD$5:$AD$35)/SUMPRODUCT((Indicators!$B$5:$B$35=H$4)*Indicators!$L$5:$L$35*('Indicator Scores'!$AD$5:$AD$35&gt;0)),0)</f>
        <v>2</v>
      </c>
      <c r="I188" s="28" t="n">
        <f aca="false">IFERROR(SUMPRODUCT((Indicators!$B$5:$B$35=I$4)*Indicators!$L$5:$L$35*'Indicator Scores'!$AD$5:$AD$35)/SUMPRODUCT((Indicators!$B$5:$B$35=I$4)*Indicators!$L$5:$L$35*('Indicator Scores'!$AD$5:$AD$35&gt;0)),0)</f>
        <v>1.5</v>
      </c>
      <c r="J188" s="28" t="n">
        <f aca="false">IFERROR(SUMPRODUCT((Indicators!$B$5:$B$35=J$4)*Indicators!$L$5:$L$35*'Indicator Scores'!$AD$5:$AD$35)/SUMPRODUCT((Indicators!$B$5:$B$35=J$4)*Indicators!$L$5:$L$35*('Indicator Scores'!$AD$5:$AD$35&gt;0)),0)</f>
        <v>1.71428571428571</v>
      </c>
      <c r="K188" s="28" t="n">
        <f aca="false">IFERROR(SUMPRODUCT(F188:J188,INDEX('Factor Weights'!$C$5:$G$11,MATCH(D188,'Factor Weights'!$A$5:$A$11,0),0))/SUMPRODUCT((F188:J188&gt;0)*INDEX('Factor Weights'!$C$5:$G$11,MATCH(D188,'Factor Weights'!$A$5:$A$11,0),0)),0)</f>
        <v>1.90119047619048</v>
      </c>
      <c r="L188" s="29" t="n">
        <f aca="false">MAX(F188:J188)</f>
        <v>2.11111111111111</v>
      </c>
      <c r="M188" s="28" t="n">
        <f aca="false">IF(L188&gt;=Config!$C$13,MAX(K188,Config!$C$14),K188)</f>
        <v>1.90119047619048</v>
      </c>
      <c r="N188" s="30" t="n">
        <f aca="false">IF(Config!$C$12="Weighted average",K188,IF(Config!$C$12="Weighted with floor",M188,L188))</f>
        <v>1.90119047619048</v>
      </c>
      <c r="O188" s="31" t="n">
        <f aca="false">IF(N188&lt;Config!$D$5,"",MATCH(N188,Config!$D$5:$D$9,1))</f>
        <v>2</v>
      </c>
      <c r="P188" s="7" t="str">
        <f aca="false">IF(O188="","No data",INDEX(Config!$B$5:$B$9,O188))</f>
        <v>Medium-Low</v>
      </c>
      <c r="Q188" s="32" t="n">
        <v>0</v>
      </c>
      <c r="R188" s="8"/>
      <c r="S188" s="33"/>
      <c r="T188" s="34" t="n">
        <f aca="false">IF(O188="","",IF(AND(S188="Y",Q188&lt;&gt;0),MAX(1,MIN(5,O188+MAX(-Config!$C$27,MIN(Config!$C$27,Q188)))),O188))</f>
        <v>2</v>
      </c>
      <c r="U188" s="35" t="str">
        <f aca="false">IF(T188="","No data",INDEX(Config!$B$5:$B$9,T188))</f>
        <v>Medium-Low</v>
      </c>
      <c r="V188" s="7" t="str">
        <f aca="false">IF(Q188=0,"None",IF(S188="Y","Applied","Pending HO approval"))</f>
        <v>None</v>
      </c>
      <c r="W188" s="36" t="n">
        <f aca="false">SUMPRODUCT((Indicators!$L$5:$L$35&gt;0)*('Indicator Data'!$AD$5:$AD$35&lt;&gt;""))/SUMPRODUCT(--(Indicators!$L$5:$L$35&gt;0))</f>
        <v>1</v>
      </c>
    </row>
    <row r="189" customFormat="false" ht="15" hidden="false" customHeight="false" outlineLevel="0" collapsed="false">
      <c r="A189" s="26" t="str">
        <f aca="false">Entities!$A$31</f>
        <v>SG</v>
      </c>
      <c r="B189" s="12" t="str">
        <f aca="false">INDEX(Entities!$B$5:$B$34,MATCH(A189,Entities!$A$5:$A$34,0))</f>
        <v>Arab Bank – Singapore</v>
      </c>
      <c r="C189" s="12" t="str">
        <f aca="false">INDEX(Entities!$D$5:$D$34,MATCH(A189,Entities!$A$5:$A$34,0))</f>
        <v>Asia-Pacific</v>
      </c>
      <c r="D189" s="12" t="s">
        <v>270</v>
      </c>
      <c r="E189" s="12" t="str">
        <f aca="false">INDEX('Risk Taxonomy'!$B$5:$B$24,MATCH(D189,'Risk Taxonomy'!$A$5:$A$24,0))</f>
        <v>Proliferation financing</v>
      </c>
      <c r="F189" s="28" t="n">
        <f aca="false">IFERROR(SUMPRODUCT((Indicators!$B$5:$B$35=F$4)*Indicators!$M$5:$M$35*'Indicator Scores'!$AD$5:$AD$35)/SUMPRODUCT((Indicators!$B$5:$B$35=F$4)*Indicators!$M$5:$M$35*('Indicator Scores'!$AD$5:$AD$35&gt;0)),0)</f>
        <v>2.5</v>
      </c>
      <c r="G189" s="28" t="n">
        <f aca="false">IFERROR(SUMPRODUCT((Indicators!$B$5:$B$35=G$4)*Indicators!$M$5:$M$35*'Indicator Scores'!$AD$5:$AD$35)/SUMPRODUCT((Indicators!$B$5:$B$35=G$4)*Indicators!$M$5:$M$35*('Indicator Scores'!$AD$5:$AD$35&gt;0)),0)</f>
        <v>2.5</v>
      </c>
      <c r="H189" s="28" t="n">
        <f aca="false">IFERROR(SUMPRODUCT((Indicators!$B$5:$B$35=H$4)*Indicators!$M$5:$M$35*'Indicator Scores'!$AD$5:$AD$35)/SUMPRODUCT((Indicators!$B$5:$B$35=H$4)*Indicators!$M$5:$M$35*('Indicator Scores'!$AD$5:$AD$35&gt;0)),0)</f>
        <v>2.11111111111111</v>
      </c>
      <c r="I189" s="28" t="n">
        <f aca="false">IFERROR(SUMPRODUCT((Indicators!$B$5:$B$35=I$4)*Indicators!$M$5:$M$35*'Indicator Scores'!$AD$5:$AD$35)/SUMPRODUCT((Indicators!$B$5:$B$35=I$4)*Indicators!$M$5:$M$35*('Indicator Scores'!$AD$5:$AD$35&gt;0)),0)</f>
        <v>1.66666666666667</v>
      </c>
      <c r="J189" s="28" t="n">
        <f aca="false">IFERROR(SUMPRODUCT((Indicators!$B$5:$B$35=J$4)*Indicators!$M$5:$M$35*'Indicator Scores'!$AD$5:$AD$35)/SUMPRODUCT((Indicators!$B$5:$B$35=J$4)*Indicators!$M$5:$M$35*('Indicator Scores'!$AD$5:$AD$35&gt;0)),0)</f>
        <v>2</v>
      </c>
      <c r="K189" s="28" t="n">
        <f aca="false">IFERROR(SUMPRODUCT(F189:J189,INDEX('Factor Weights'!$C$5:$G$11,MATCH(D189,'Factor Weights'!$A$5:$A$11,0),0))/SUMPRODUCT((F189:J189&gt;0)*INDEX('Factor Weights'!$C$5:$G$11,MATCH(D189,'Factor Weights'!$A$5:$A$11,0),0)),0)</f>
        <v>2.24166666666667</v>
      </c>
      <c r="L189" s="29" t="n">
        <f aca="false">MAX(F189:J189)</f>
        <v>2.5</v>
      </c>
      <c r="M189" s="28" t="n">
        <f aca="false">IF(L189&gt;=Config!$C$13,MAX(K189,Config!$C$14),K189)</f>
        <v>2.24166666666667</v>
      </c>
      <c r="N189" s="30" t="n">
        <f aca="false">IF(Config!$C$12="Weighted average",K189,IF(Config!$C$12="Weighted with floor",M189,L189))</f>
        <v>2.24166666666667</v>
      </c>
      <c r="O189" s="31" t="n">
        <f aca="false">IF(N189&lt;Config!$D$5,"",MATCH(N189,Config!$D$5:$D$9,1))</f>
        <v>2</v>
      </c>
      <c r="P189" s="7" t="str">
        <f aca="false">IF(O189="","No data",INDEX(Config!$B$5:$B$9,O189))</f>
        <v>Medium-Low</v>
      </c>
      <c r="Q189" s="32" t="n">
        <v>0</v>
      </c>
      <c r="R189" s="8"/>
      <c r="S189" s="33"/>
      <c r="T189" s="34" t="n">
        <f aca="false">IF(O189="","",IF(AND(S189="Y",Q189&lt;&gt;0),MAX(1,MIN(5,O189+MAX(-Config!$C$27,MIN(Config!$C$27,Q189)))),O189))</f>
        <v>2</v>
      </c>
      <c r="U189" s="35" t="str">
        <f aca="false">IF(T189="","No data",INDEX(Config!$B$5:$B$9,T189))</f>
        <v>Medium-Low</v>
      </c>
      <c r="V189" s="7" t="str">
        <f aca="false">IF(Q189=0,"None",IF(S189="Y","Applied","Pending HO approval"))</f>
        <v>None</v>
      </c>
      <c r="W189" s="36" t="n">
        <f aca="false">SUMPRODUCT((Indicators!$M$5:$M$35&gt;0)*('Indicator Data'!$AD$5:$AD$35&lt;&gt;""))/SUMPRODUCT(--(Indicators!$M$5:$M$35&gt;0))</f>
        <v>1</v>
      </c>
    </row>
    <row r="190" customFormat="false" ht="15" hidden="false" customHeight="false" outlineLevel="0" collapsed="false">
      <c r="A190" s="26" t="str">
        <f aca="false">Entities!$A$31</f>
        <v>SG</v>
      </c>
      <c r="B190" s="12" t="str">
        <f aca="false">INDEX(Entities!$B$5:$B$34,MATCH(A190,Entities!$A$5:$A$34,0))</f>
        <v>Arab Bank – Singapore</v>
      </c>
      <c r="C190" s="12" t="str">
        <f aca="false">INDEX(Entities!$D$5:$D$34,MATCH(A190,Entities!$A$5:$A$34,0))</f>
        <v>Asia-Pacific</v>
      </c>
      <c r="D190" s="12" t="s">
        <v>272</v>
      </c>
      <c r="E190" s="12" t="str">
        <f aca="false">INDEX('Risk Taxonomy'!$B$5:$B$24,MATCH(D190,'Risk Taxonomy'!$A$5:$A$24,0))</f>
        <v>Sanctions</v>
      </c>
      <c r="F190" s="28" t="n">
        <f aca="false">IFERROR(SUMPRODUCT((Indicators!$B$5:$B$35=F$4)*Indicators!$N$5:$N$35*'Indicator Scores'!$AD$5:$AD$35)/SUMPRODUCT((Indicators!$B$5:$B$35=F$4)*Indicators!$N$5:$N$35*('Indicator Scores'!$AD$5:$AD$35&gt;0)),0)</f>
        <v>2.14285714285714</v>
      </c>
      <c r="G190" s="28" t="n">
        <f aca="false">IFERROR(SUMPRODUCT((Indicators!$B$5:$B$35=G$4)*Indicators!$N$5:$N$35*'Indicator Scores'!$AD$5:$AD$35)/SUMPRODUCT((Indicators!$B$5:$B$35=G$4)*Indicators!$N$5:$N$35*('Indicator Scores'!$AD$5:$AD$35&gt;0)),0)</f>
        <v>2.71428571428571</v>
      </c>
      <c r="H190" s="28" t="n">
        <f aca="false">IFERROR(SUMPRODUCT((Indicators!$B$5:$B$35=H$4)*Indicators!$N$5:$N$35*'Indicator Scores'!$AD$5:$AD$35)/SUMPRODUCT((Indicators!$B$5:$B$35=H$4)*Indicators!$N$5:$N$35*('Indicator Scores'!$AD$5:$AD$35&gt;0)),0)</f>
        <v>2.25</v>
      </c>
      <c r="I190" s="28" t="n">
        <f aca="false">IFERROR(SUMPRODUCT((Indicators!$B$5:$B$35=I$4)*Indicators!$N$5:$N$35*'Indicator Scores'!$AD$5:$AD$35)/SUMPRODUCT((Indicators!$B$5:$B$35=I$4)*Indicators!$N$5:$N$35*('Indicator Scores'!$AD$5:$AD$35&gt;0)),0)</f>
        <v>1.33333333333333</v>
      </c>
      <c r="J190" s="28" t="n">
        <f aca="false">IFERROR(SUMPRODUCT((Indicators!$B$5:$B$35=J$4)*Indicators!$N$5:$N$35*'Indicator Scores'!$AD$5:$AD$35)/SUMPRODUCT((Indicators!$B$5:$B$35=J$4)*Indicators!$N$5:$N$35*('Indicator Scores'!$AD$5:$AD$35&gt;0)),0)</f>
        <v>2</v>
      </c>
      <c r="K190" s="28" t="n">
        <f aca="false">IFERROR(SUMPRODUCT(F190:J190,INDEX('Factor Weights'!$C$5:$G$11,MATCH(D190,'Factor Weights'!$A$5:$A$11,0),0))/SUMPRODUCT((F190:J190&gt;0)*INDEX('Factor Weights'!$C$5:$G$11,MATCH(D190,'Factor Weights'!$A$5:$A$11,0),0)),0)</f>
        <v>2.32380952380952</v>
      </c>
      <c r="L190" s="29" t="n">
        <f aca="false">MAX(F190:J190)</f>
        <v>2.71428571428571</v>
      </c>
      <c r="M190" s="28" t="n">
        <f aca="false">IF(L190&gt;=Config!$C$13,MAX(K190,Config!$C$14),K190)</f>
        <v>2.32380952380952</v>
      </c>
      <c r="N190" s="30" t="n">
        <f aca="false">IF(Config!$C$12="Weighted average",K190,IF(Config!$C$12="Weighted with floor",M190,L190))</f>
        <v>2.32380952380952</v>
      </c>
      <c r="O190" s="31" t="n">
        <f aca="false">IF(N190&lt;Config!$D$5,"",MATCH(N190,Config!$D$5:$D$9,1))</f>
        <v>2</v>
      </c>
      <c r="P190" s="7" t="str">
        <f aca="false">IF(O190="","No data",INDEX(Config!$B$5:$B$9,O190))</f>
        <v>Medium-Low</v>
      </c>
      <c r="Q190" s="32" t="n">
        <v>0</v>
      </c>
      <c r="R190" s="8"/>
      <c r="S190" s="33"/>
      <c r="T190" s="34" t="n">
        <f aca="false">IF(O190="","",IF(AND(S190="Y",Q190&lt;&gt;0),MAX(1,MIN(5,O190+MAX(-Config!$C$27,MIN(Config!$C$27,Q190)))),O190))</f>
        <v>2</v>
      </c>
      <c r="U190" s="35" t="str">
        <f aca="false">IF(T190="","No data",INDEX(Config!$B$5:$B$9,T190))</f>
        <v>Medium-Low</v>
      </c>
      <c r="V190" s="7" t="str">
        <f aca="false">IF(Q190=0,"None",IF(S190="Y","Applied","Pending HO approval"))</f>
        <v>None</v>
      </c>
      <c r="W190" s="36" t="n">
        <f aca="false">SUMPRODUCT((Indicators!$N$5:$N$35&gt;0)*('Indicator Data'!$AD$5:$AD$35&lt;&gt;""))/SUMPRODUCT(--(Indicators!$N$5:$N$35&gt;0))</f>
        <v>1</v>
      </c>
    </row>
    <row r="191" customFormat="false" ht="15" hidden="false" customHeight="false" outlineLevel="0" collapsed="false">
      <c r="A191" s="26" t="str">
        <f aca="false">Entities!$A$31</f>
        <v>SG</v>
      </c>
      <c r="B191" s="12" t="str">
        <f aca="false">INDEX(Entities!$B$5:$B$34,MATCH(A191,Entities!$A$5:$A$34,0))</f>
        <v>Arab Bank – Singapore</v>
      </c>
      <c r="C191" s="12" t="str">
        <f aca="false">INDEX(Entities!$D$5:$D$34,MATCH(A191,Entities!$A$5:$A$34,0))</f>
        <v>Asia-Pacific</v>
      </c>
      <c r="D191" s="12" t="s">
        <v>275</v>
      </c>
      <c r="E191" s="12" t="str">
        <f aca="false">INDEX('Risk Taxonomy'!$B$5:$B$24,MATCH(D191,'Risk Taxonomy'!$A$5:$A$24,0))</f>
        <v>Bribery and corruption</v>
      </c>
      <c r="F191" s="28" t="n">
        <f aca="false">IFERROR(SUMPRODUCT((Indicators!$B$5:$B$35=F$4)*Indicators!$O$5:$O$35*'Indicator Scores'!$AD$5:$AD$35)/SUMPRODUCT((Indicators!$B$5:$B$35=F$4)*Indicators!$O$5:$O$35*('Indicator Scores'!$AD$5:$AD$35&gt;0)),0)</f>
        <v>1.77777777777778</v>
      </c>
      <c r="G191" s="28" t="n">
        <f aca="false">IFERROR(SUMPRODUCT((Indicators!$B$5:$B$35=G$4)*Indicators!$O$5:$O$35*'Indicator Scores'!$AD$5:$AD$35)/SUMPRODUCT((Indicators!$B$5:$B$35=G$4)*Indicators!$O$5:$O$35*('Indicator Scores'!$AD$5:$AD$35&gt;0)),0)</f>
        <v>2</v>
      </c>
      <c r="H191" s="28" t="n">
        <f aca="false">IFERROR(SUMPRODUCT((Indicators!$B$5:$B$35=H$4)*Indicators!$O$5:$O$35*'Indicator Scores'!$AD$5:$AD$35)/SUMPRODUCT((Indicators!$B$5:$B$35=H$4)*Indicators!$O$5:$O$35*('Indicator Scores'!$AD$5:$AD$35&gt;0)),0)</f>
        <v>3</v>
      </c>
      <c r="I191" s="28" t="n">
        <f aca="false">IFERROR(SUMPRODUCT((Indicators!$B$5:$B$35=I$4)*Indicators!$O$5:$O$35*'Indicator Scores'!$AD$5:$AD$35)/SUMPRODUCT((Indicators!$B$5:$B$35=I$4)*Indicators!$O$5:$O$35*('Indicator Scores'!$AD$5:$AD$35&gt;0)),0)</f>
        <v>2</v>
      </c>
      <c r="J191" s="28" t="n">
        <f aca="false">IFERROR(SUMPRODUCT((Indicators!$B$5:$B$35=J$4)*Indicators!$O$5:$O$35*'Indicator Scores'!$AD$5:$AD$35)/SUMPRODUCT((Indicators!$B$5:$B$35=J$4)*Indicators!$O$5:$O$35*('Indicator Scores'!$AD$5:$AD$35&gt;0)),0)</f>
        <v>2</v>
      </c>
      <c r="K191" s="28" t="n">
        <f aca="false">IFERROR(SUMPRODUCT(F191:J191,INDEX('Factor Weights'!$C$5:$G$11,MATCH(D191,'Factor Weights'!$A$5:$A$11,0),0))/SUMPRODUCT((F191:J191&gt;0)*INDEX('Factor Weights'!$C$5:$G$11,MATCH(D191,'Factor Weights'!$A$5:$A$11,0),0)),0)</f>
        <v>2.08333333333333</v>
      </c>
      <c r="L191" s="29" t="n">
        <f aca="false">MAX(F191:J191)</f>
        <v>3</v>
      </c>
      <c r="M191" s="28" t="n">
        <f aca="false">IF(L191&gt;=Config!$C$13,MAX(K191,Config!$C$14),K191)</f>
        <v>2.08333333333333</v>
      </c>
      <c r="N191" s="30" t="n">
        <f aca="false">IF(Config!$C$12="Weighted average",K191,IF(Config!$C$12="Weighted with floor",M191,L191))</f>
        <v>2.08333333333333</v>
      </c>
      <c r="O191" s="31" t="n">
        <f aca="false">IF(N191&lt;Config!$D$5,"",MATCH(N191,Config!$D$5:$D$9,1))</f>
        <v>2</v>
      </c>
      <c r="P191" s="7" t="str">
        <f aca="false">IF(O191="","No data",INDEX(Config!$B$5:$B$9,O191))</f>
        <v>Medium-Low</v>
      </c>
      <c r="Q191" s="32" t="n">
        <v>0</v>
      </c>
      <c r="R191" s="8"/>
      <c r="S191" s="33"/>
      <c r="T191" s="34" t="n">
        <f aca="false">IF(O191="","",IF(AND(S191="Y",Q191&lt;&gt;0),MAX(1,MIN(5,O191+MAX(-Config!$C$27,MIN(Config!$C$27,Q191)))),O191))</f>
        <v>2</v>
      </c>
      <c r="U191" s="35" t="str">
        <f aca="false">IF(T191="","No data",INDEX(Config!$B$5:$B$9,T191))</f>
        <v>Medium-Low</v>
      </c>
      <c r="V191" s="7" t="str">
        <f aca="false">IF(Q191=0,"None",IF(S191="Y","Applied","Pending HO approval"))</f>
        <v>None</v>
      </c>
      <c r="W191" s="36" t="n">
        <f aca="false">SUMPRODUCT((Indicators!$O$5:$O$35&gt;0)*('Indicator Data'!$AD$5:$AD$35&lt;&gt;""))/SUMPRODUCT(--(Indicators!$O$5:$O$35&gt;0))</f>
        <v>1</v>
      </c>
    </row>
    <row r="192" customFormat="false" ht="15" hidden="false" customHeight="false" outlineLevel="0" collapsed="false">
      <c r="A192" s="26" t="str">
        <f aca="false">Entities!$A$31</f>
        <v>SG</v>
      </c>
      <c r="B192" s="12" t="str">
        <f aca="false">INDEX(Entities!$B$5:$B$34,MATCH(A192,Entities!$A$5:$A$34,0))</f>
        <v>Arab Bank – Singapore</v>
      </c>
      <c r="C192" s="12" t="str">
        <f aca="false">INDEX(Entities!$D$5:$D$34,MATCH(A192,Entities!$A$5:$A$34,0))</f>
        <v>Asia-Pacific</v>
      </c>
      <c r="D192" s="12" t="s">
        <v>278</v>
      </c>
      <c r="E192" s="12" t="str">
        <f aca="false">INDEX('Risk Taxonomy'!$B$5:$B$24,MATCH(D192,'Risk Taxonomy'!$A$5:$A$24,0))</f>
        <v>Fraud</v>
      </c>
      <c r="F192" s="28" t="n">
        <f aca="false">IFERROR(SUMPRODUCT((Indicators!$B$5:$B$35=F$4)*Indicators!$P$5:$P$35*'Indicator Scores'!$AD$5:$AD$35)/SUMPRODUCT((Indicators!$B$5:$B$35=F$4)*Indicators!$P$5:$P$35*('Indicator Scores'!$AD$5:$AD$35&gt;0)),0)</f>
        <v>1.66666666666667</v>
      </c>
      <c r="G192" s="28" t="n">
        <f aca="false">IFERROR(SUMPRODUCT((Indicators!$B$5:$B$35=G$4)*Indicators!$P$5:$P$35*'Indicator Scores'!$AD$5:$AD$35)/SUMPRODUCT((Indicators!$B$5:$B$35=G$4)*Indicators!$P$5:$P$35*('Indicator Scores'!$AD$5:$AD$35&gt;0)),0)</f>
        <v>2</v>
      </c>
      <c r="H192" s="28" t="n">
        <f aca="false">IFERROR(SUMPRODUCT((Indicators!$B$5:$B$35=H$4)*Indicators!$P$5:$P$35*'Indicator Scores'!$AD$5:$AD$35)/SUMPRODUCT((Indicators!$B$5:$B$35=H$4)*Indicators!$P$5:$P$35*('Indicator Scores'!$AD$5:$AD$35&gt;0)),0)</f>
        <v>2.2</v>
      </c>
      <c r="I192" s="28" t="n">
        <f aca="false">IFERROR(SUMPRODUCT((Indicators!$B$5:$B$35=I$4)*Indicators!$P$5:$P$35*'Indicator Scores'!$AD$5:$AD$35)/SUMPRODUCT((Indicators!$B$5:$B$35=I$4)*Indicators!$P$5:$P$35*('Indicator Scores'!$AD$5:$AD$35&gt;0)),0)</f>
        <v>1.44444444444444</v>
      </c>
      <c r="J192" s="28" t="n">
        <f aca="false">IFERROR(SUMPRODUCT((Indicators!$B$5:$B$35=J$4)*Indicators!$P$5:$P$35*'Indicator Scores'!$AD$5:$AD$35)/SUMPRODUCT((Indicators!$B$5:$B$35=J$4)*Indicators!$P$5:$P$35*('Indicator Scores'!$AD$5:$AD$35&gt;0)),0)</f>
        <v>2</v>
      </c>
      <c r="K192" s="28" t="n">
        <f aca="false">IFERROR(SUMPRODUCT(F192:J192,INDEX('Factor Weights'!$C$5:$G$11,MATCH(D192,'Factor Weights'!$A$5:$A$11,0),0))/SUMPRODUCT((F192:J192&gt;0)*INDEX('Factor Weights'!$C$5:$G$11,MATCH(D192,'Factor Weights'!$A$5:$A$11,0),0)),0)</f>
        <v>1.80666666666667</v>
      </c>
      <c r="L192" s="29" t="n">
        <f aca="false">MAX(F192:J192)</f>
        <v>2.2</v>
      </c>
      <c r="M192" s="28" t="n">
        <f aca="false">IF(L192&gt;=Config!$C$13,MAX(K192,Config!$C$14),K192)</f>
        <v>1.80666666666667</v>
      </c>
      <c r="N192" s="30" t="n">
        <f aca="false">IF(Config!$C$12="Weighted average",K192,IF(Config!$C$12="Weighted with floor",M192,L192))</f>
        <v>1.80666666666667</v>
      </c>
      <c r="O192" s="31" t="n">
        <f aca="false">IF(N192&lt;Config!$D$5,"",MATCH(N192,Config!$D$5:$D$9,1))</f>
        <v>1</v>
      </c>
      <c r="P192" s="7" t="str">
        <f aca="false">IF(O192="","No data",INDEX(Config!$B$5:$B$9,O192))</f>
        <v>Low</v>
      </c>
      <c r="Q192" s="32" t="n">
        <v>0</v>
      </c>
      <c r="R192" s="8"/>
      <c r="S192" s="33"/>
      <c r="T192" s="34" t="n">
        <f aca="false">IF(O192="","",IF(AND(S192="Y",Q192&lt;&gt;0),MAX(1,MIN(5,O192+MAX(-Config!$C$27,MIN(Config!$C$27,Q192)))),O192))</f>
        <v>1</v>
      </c>
      <c r="U192" s="35" t="str">
        <f aca="false">IF(T192="","No data",INDEX(Config!$B$5:$B$9,T192))</f>
        <v>Low</v>
      </c>
      <c r="V192" s="7" t="str">
        <f aca="false">IF(Q192=0,"None",IF(S192="Y","Applied","Pending HO approval"))</f>
        <v>None</v>
      </c>
      <c r="W192" s="36" t="n">
        <f aca="false">SUMPRODUCT((Indicators!$P$5:$P$35&gt;0)*('Indicator Data'!$AD$5:$AD$35&lt;&gt;""))/SUMPRODUCT(--(Indicators!$P$5:$P$35&gt;0))</f>
        <v>1</v>
      </c>
    </row>
    <row r="193" customFormat="false" ht="15" hidden="false" customHeight="false" outlineLevel="0" collapsed="false">
      <c r="A193" s="26" t="str">
        <f aca="false">Entities!$A$31</f>
        <v>SG</v>
      </c>
      <c r="B193" s="12" t="str">
        <f aca="false">INDEX(Entities!$B$5:$B$34,MATCH(A193,Entities!$A$5:$A$34,0))</f>
        <v>Arab Bank – Singapore</v>
      </c>
      <c r="C193" s="12" t="str">
        <f aca="false">INDEX(Entities!$D$5:$D$34,MATCH(A193,Entities!$A$5:$A$34,0))</f>
        <v>Asia-Pacific</v>
      </c>
      <c r="D193" s="12" t="s">
        <v>281</v>
      </c>
      <c r="E193" s="12" t="str">
        <f aca="false">INDEX('Risk Taxonomy'!$B$5:$B$24,MATCH(D193,'Risk Taxonomy'!$A$5:$A$24,0))</f>
        <v>Tax evasion and tax transparency</v>
      </c>
      <c r="F193" s="28" t="n">
        <f aca="false">IFERROR(SUMPRODUCT((Indicators!$B$5:$B$35=F$4)*Indicators!$Q$5:$Q$35*'Indicator Scores'!$AD$5:$AD$35)/SUMPRODUCT((Indicators!$B$5:$B$35=F$4)*Indicators!$Q$5:$Q$35*('Indicator Scores'!$AD$5:$AD$35&gt;0)),0)</f>
        <v>2.11111111111111</v>
      </c>
      <c r="G193" s="28" t="n">
        <f aca="false">IFERROR(SUMPRODUCT((Indicators!$B$5:$B$35=G$4)*Indicators!$Q$5:$Q$35*'Indicator Scores'!$AD$5:$AD$35)/SUMPRODUCT((Indicators!$B$5:$B$35=G$4)*Indicators!$Q$5:$Q$35*('Indicator Scores'!$AD$5:$AD$35&gt;0)),0)</f>
        <v>2.5</v>
      </c>
      <c r="H193" s="28" t="n">
        <f aca="false">IFERROR(SUMPRODUCT((Indicators!$B$5:$B$35=H$4)*Indicators!$Q$5:$Q$35*'Indicator Scores'!$AD$5:$AD$35)/SUMPRODUCT((Indicators!$B$5:$B$35=H$4)*Indicators!$Q$5:$Q$35*('Indicator Scores'!$AD$5:$AD$35&gt;0)),0)</f>
        <v>2.83333333333333</v>
      </c>
      <c r="I193" s="28" t="n">
        <f aca="false">IFERROR(SUMPRODUCT((Indicators!$B$5:$B$35=I$4)*Indicators!$Q$5:$Q$35*'Indicator Scores'!$AD$5:$AD$35)/SUMPRODUCT((Indicators!$B$5:$B$35=I$4)*Indicators!$Q$5:$Q$35*('Indicator Scores'!$AD$5:$AD$35&gt;0)),0)</f>
        <v>2</v>
      </c>
      <c r="J193" s="28" t="n">
        <f aca="false">IFERROR(SUMPRODUCT((Indicators!$B$5:$B$35=J$4)*Indicators!$Q$5:$Q$35*'Indicator Scores'!$AD$5:$AD$35)/SUMPRODUCT((Indicators!$B$5:$B$35=J$4)*Indicators!$Q$5:$Q$35*('Indicator Scores'!$AD$5:$AD$35&gt;0)),0)</f>
        <v>1.4</v>
      </c>
      <c r="K193" s="28" t="n">
        <f aca="false">IFERROR(SUMPRODUCT(F193:J193,INDEX('Factor Weights'!$C$5:$G$11,MATCH(D193,'Factor Weights'!$A$5:$A$11,0),0))/SUMPRODUCT((F193:J193&gt;0)*INDEX('Factor Weights'!$C$5:$G$11,MATCH(D193,'Factor Weights'!$A$5:$A$11,0),0)),0)</f>
        <v>2.27055555555556</v>
      </c>
      <c r="L193" s="29" t="n">
        <f aca="false">MAX(F193:J193)</f>
        <v>2.83333333333333</v>
      </c>
      <c r="M193" s="28" t="n">
        <f aca="false">IF(L193&gt;=Config!$C$13,MAX(K193,Config!$C$14),K193)</f>
        <v>2.27055555555556</v>
      </c>
      <c r="N193" s="30" t="n">
        <f aca="false">IF(Config!$C$12="Weighted average",K193,IF(Config!$C$12="Weighted with floor",M193,L193))</f>
        <v>2.27055555555556</v>
      </c>
      <c r="O193" s="31" t="n">
        <f aca="false">IF(N193&lt;Config!$D$5,"",MATCH(N193,Config!$D$5:$D$9,1))</f>
        <v>2</v>
      </c>
      <c r="P193" s="7" t="str">
        <f aca="false">IF(O193="","No data",INDEX(Config!$B$5:$B$9,O193))</f>
        <v>Medium-Low</v>
      </c>
      <c r="Q193" s="32" t="n">
        <v>0</v>
      </c>
      <c r="R193" s="8"/>
      <c r="S193" s="33"/>
      <c r="T193" s="34" t="n">
        <f aca="false">IF(O193="","",IF(AND(S193="Y",Q193&lt;&gt;0),MAX(1,MIN(5,O193+MAX(-Config!$C$27,MIN(Config!$C$27,Q193)))),O193))</f>
        <v>2</v>
      </c>
      <c r="U193" s="35" t="str">
        <f aca="false">IF(T193="","No data",INDEX(Config!$B$5:$B$9,T193))</f>
        <v>Medium-Low</v>
      </c>
      <c r="V193" s="7" t="str">
        <f aca="false">IF(Q193=0,"None",IF(S193="Y","Applied","Pending HO approval"))</f>
        <v>None</v>
      </c>
      <c r="W193" s="36" t="n">
        <f aca="false">SUMPRODUCT((Indicators!$Q$5:$Q$35&gt;0)*('Indicator Data'!$AD$5:$AD$35&lt;&gt;""))/SUMPRODUCT(--(Indicators!$Q$5:$Q$35&gt;0))</f>
        <v>1</v>
      </c>
    </row>
    <row r="194" customFormat="false" ht="15" hidden="false" customHeight="false" outlineLevel="0" collapsed="false">
      <c r="A194" s="26" t="str">
        <f aca="false">Entities!$A$32</f>
        <v>CN</v>
      </c>
      <c r="B194" s="12" t="str">
        <f aca="false">INDEX(Entities!$B$5:$B$34,MATCH(A194,Entities!$A$5:$A$34,0))</f>
        <v>Arab Bank – China</v>
      </c>
      <c r="C194" s="12" t="str">
        <f aca="false">INDEX(Entities!$D$5:$D$34,MATCH(A194,Entities!$A$5:$A$34,0))</f>
        <v>Asia-Pacific</v>
      </c>
      <c r="D194" s="12" t="s">
        <v>260</v>
      </c>
      <c r="E194" s="12" t="str">
        <f aca="false">INDEX('Risk Taxonomy'!$B$5:$B$24,MATCH(D194,'Risk Taxonomy'!$A$5:$A$24,0))</f>
        <v>Money laundering</v>
      </c>
      <c r="F194" s="28" t="n">
        <f aca="false">IFERROR(SUMPRODUCT((Indicators!$B$5:$B$35=F$4)*Indicators!$K$5:$K$35*'Indicator Scores'!$AE$5:$AE$35)/SUMPRODUCT((Indicators!$B$5:$B$35=F$4)*Indicators!$K$5:$K$35*('Indicator Scores'!$AE$5:$AE$35&gt;0)),0)</f>
        <v>1.83333333333333</v>
      </c>
      <c r="G194" s="28" t="n">
        <f aca="false">IFERROR(SUMPRODUCT((Indicators!$B$5:$B$35=G$4)*Indicators!$K$5:$K$35*'Indicator Scores'!$AE$5:$AE$35)/SUMPRODUCT((Indicators!$B$5:$B$35=G$4)*Indicators!$K$5:$K$35*('Indicator Scores'!$AE$5:$AE$35&gt;0)),0)</f>
        <v>1.66666666666667</v>
      </c>
      <c r="H194" s="28" t="n">
        <f aca="false">IFERROR(SUMPRODUCT((Indicators!$B$5:$B$35=H$4)*Indicators!$K$5:$K$35*'Indicator Scores'!$AE$5:$AE$35)/SUMPRODUCT((Indicators!$B$5:$B$35=H$4)*Indicators!$K$5:$K$35*('Indicator Scores'!$AE$5:$AE$35&gt;0)),0)</f>
        <v>1.3</v>
      </c>
      <c r="I194" s="28" t="n">
        <f aca="false">IFERROR(SUMPRODUCT((Indicators!$B$5:$B$35=I$4)*Indicators!$K$5:$K$35*'Indicator Scores'!$AE$5:$AE$35)/SUMPRODUCT((Indicators!$B$5:$B$35=I$4)*Indicators!$K$5:$K$35*('Indicator Scores'!$AE$5:$AE$35&gt;0)),0)</f>
        <v>1.71428571428571</v>
      </c>
      <c r="J194" s="28" t="n">
        <f aca="false">IFERROR(SUMPRODUCT((Indicators!$B$5:$B$35=J$4)*Indicators!$K$5:$K$35*'Indicator Scores'!$AE$5:$AE$35)/SUMPRODUCT((Indicators!$B$5:$B$35=J$4)*Indicators!$K$5:$K$35*('Indicator Scores'!$AE$5:$AE$35&gt;0)),0)</f>
        <v>1.8</v>
      </c>
      <c r="K194" s="28" t="n">
        <f aca="false">IFERROR(SUMPRODUCT(F194:J194,INDEX('Factor Weights'!$C$5:$G$11,MATCH(D194,'Factor Weights'!$A$5:$A$11,0),0))/SUMPRODUCT((F194:J194&gt;0)*INDEX('Factor Weights'!$C$5:$G$11,MATCH(D194,'Factor Weights'!$A$5:$A$11,0),0)),0)</f>
        <v>1.66380952380952</v>
      </c>
      <c r="L194" s="29" t="n">
        <f aca="false">MAX(F194:J194)</f>
        <v>1.83333333333333</v>
      </c>
      <c r="M194" s="28" t="n">
        <f aca="false">IF(L194&gt;=Config!$C$13,MAX(K194,Config!$C$14),K194)</f>
        <v>1.66380952380952</v>
      </c>
      <c r="N194" s="30" t="n">
        <f aca="false">IF(Config!$C$12="Weighted average",K194,IF(Config!$C$12="Weighted with floor",M194,L194))</f>
        <v>1.66380952380952</v>
      </c>
      <c r="O194" s="31" t="n">
        <f aca="false">IF(N194&lt;Config!$D$5,"",MATCH(N194,Config!$D$5:$D$9,1))</f>
        <v>1</v>
      </c>
      <c r="P194" s="7" t="str">
        <f aca="false">IF(O194="","No data",INDEX(Config!$B$5:$B$9,O194))</f>
        <v>Low</v>
      </c>
      <c r="Q194" s="32" t="n">
        <v>0</v>
      </c>
      <c r="R194" s="8"/>
      <c r="S194" s="33"/>
      <c r="T194" s="34" t="n">
        <f aca="false">IF(O194="","",IF(AND(S194="Y",Q194&lt;&gt;0),MAX(1,MIN(5,O194+MAX(-Config!$C$27,MIN(Config!$C$27,Q194)))),O194))</f>
        <v>1</v>
      </c>
      <c r="U194" s="35" t="str">
        <f aca="false">IF(T194="","No data",INDEX(Config!$B$5:$B$9,T194))</f>
        <v>Low</v>
      </c>
      <c r="V194" s="7" t="str">
        <f aca="false">IF(Q194=0,"None",IF(S194="Y","Applied","Pending HO approval"))</f>
        <v>None</v>
      </c>
      <c r="W194" s="36" t="n">
        <f aca="false">SUMPRODUCT((Indicators!$K$5:$K$35&gt;0)*('Indicator Data'!$AE$5:$AE$35&lt;&gt;""))/SUMPRODUCT(--(Indicators!$K$5:$K$35&gt;0))</f>
        <v>1</v>
      </c>
    </row>
    <row r="195" customFormat="false" ht="15" hidden="false" customHeight="false" outlineLevel="0" collapsed="false">
      <c r="A195" s="26" t="str">
        <f aca="false">Entities!$A$32</f>
        <v>CN</v>
      </c>
      <c r="B195" s="12" t="str">
        <f aca="false">INDEX(Entities!$B$5:$B$34,MATCH(A195,Entities!$A$5:$A$34,0))</f>
        <v>Arab Bank – China</v>
      </c>
      <c r="C195" s="12" t="str">
        <f aca="false">INDEX(Entities!$D$5:$D$34,MATCH(A195,Entities!$A$5:$A$34,0))</f>
        <v>Asia-Pacific</v>
      </c>
      <c r="D195" s="12" t="s">
        <v>267</v>
      </c>
      <c r="E195" s="12" t="str">
        <f aca="false">INDEX('Risk Taxonomy'!$B$5:$B$24,MATCH(D195,'Risk Taxonomy'!$A$5:$A$24,0))</f>
        <v>Terrorist financing</v>
      </c>
      <c r="F195" s="28" t="n">
        <f aca="false">IFERROR(SUMPRODUCT((Indicators!$B$5:$B$35=F$4)*Indicators!$L$5:$L$35*'Indicator Scores'!$AE$5:$AE$35)/SUMPRODUCT((Indicators!$B$5:$B$35=F$4)*Indicators!$L$5:$L$35*('Indicator Scores'!$AE$5:$AE$35&gt;0)),0)</f>
        <v>2</v>
      </c>
      <c r="G195" s="28" t="n">
        <f aca="false">IFERROR(SUMPRODUCT((Indicators!$B$5:$B$35=G$4)*Indicators!$L$5:$L$35*'Indicator Scores'!$AE$5:$AE$35)/SUMPRODUCT((Indicators!$B$5:$B$35=G$4)*Indicators!$L$5:$L$35*('Indicator Scores'!$AE$5:$AE$35&gt;0)),0)</f>
        <v>1.77777777777778</v>
      </c>
      <c r="H195" s="28" t="n">
        <f aca="false">IFERROR(SUMPRODUCT((Indicators!$B$5:$B$35=H$4)*Indicators!$L$5:$L$35*'Indicator Scores'!$AE$5:$AE$35)/SUMPRODUCT((Indicators!$B$5:$B$35=H$4)*Indicators!$L$5:$L$35*('Indicator Scores'!$AE$5:$AE$35&gt;0)),0)</f>
        <v>1.16666666666667</v>
      </c>
      <c r="I195" s="28" t="n">
        <f aca="false">IFERROR(SUMPRODUCT((Indicators!$B$5:$B$35=I$4)*Indicators!$L$5:$L$35*'Indicator Scores'!$AE$5:$AE$35)/SUMPRODUCT((Indicators!$B$5:$B$35=I$4)*Indicators!$L$5:$L$35*('Indicator Scores'!$AE$5:$AE$35&gt;0)),0)</f>
        <v>1.83333333333333</v>
      </c>
      <c r="J195" s="28" t="n">
        <f aca="false">IFERROR(SUMPRODUCT((Indicators!$B$5:$B$35=J$4)*Indicators!$L$5:$L$35*'Indicator Scores'!$AE$5:$AE$35)/SUMPRODUCT((Indicators!$B$5:$B$35=J$4)*Indicators!$L$5:$L$35*('Indicator Scores'!$AE$5:$AE$35&gt;0)),0)</f>
        <v>1.57142857142857</v>
      </c>
      <c r="K195" s="28" t="n">
        <f aca="false">IFERROR(SUMPRODUCT(F195:J195,INDEX('Factor Weights'!$C$5:$G$11,MATCH(D195,'Factor Weights'!$A$5:$A$11,0),0))/SUMPRODUCT((F195:J195&gt;0)*INDEX('Factor Weights'!$C$5:$G$11,MATCH(D195,'Factor Weights'!$A$5:$A$11,0),0)),0)</f>
        <v>1.70595238095238</v>
      </c>
      <c r="L195" s="29" t="n">
        <f aca="false">MAX(F195:J195)</f>
        <v>2</v>
      </c>
      <c r="M195" s="28" t="n">
        <f aca="false">IF(L195&gt;=Config!$C$13,MAX(K195,Config!$C$14),K195)</f>
        <v>1.70595238095238</v>
      </c>
      <c r="N195" s="30" t="n">
        <f aca="false">IF(Config!$C$12="Weighted average",K195,IF(Config!$C$12="Weighted with floor",M195,L195))</f>
        <v>1.70595238095238</v>
      </c>
      <c r="O195" s="31" t="n">
        <f aca="false">IF(N195&lt;Config!$D$5,"",MATCH(N195,Config!$D$5:$D$9,1))</f>
        <v>1</v>
      </c>
      <c r="P195" s="7" t="str">
        <f aca="false">IF(O195="","No data",INDEX(Config!$B$5:$B$9,O195))</f>
        <v>Low</v>
      </c>
      <c r="Q195" s="32" t="n">
        <v>0</v>
      </c>
      <c r="R195" s="8"/>
      <c r="S195" s="33"/>
      <c r="T195" s="34" t="n">
        <f aca="false">IF(O195="","",IF(AND(S195="Y",Q195&lt;&gt;0),MAX(1,MIN(5,O195+MAX(-Config!$C$27,MIN(Config!$C$27,Q195)))),O195))</f>
        <v>1</v>
      </c>
      <c r="U195" s="35" t="str">
        <f aca="false">IF(T195="","No data",INDEX(Config!$B$5:$B$9,T195))</f>
        <v>Low</v>
      </c>
      <c r="V195" s="7" t="str">
        <f aca="false">IF(Q195=0,"None",IF(S195="Y","Applied","Pending HO approval"))</f>
        <v>None</v>
      </c>
      <c r="W195" s="36" t="n">
        <f aca="false">SUMPRODUCT((Indicators!$L$5:$L$35&gt;0)*('Indicator Data'!$AE$5:$AE$35&lt;&gt;""))/SUMPRODUCT(--(Indicators!$L$5:$L$35&gt;0))</f>
        <v>1</v>
      </c>
    </row>
    <row r="196" customFormat="false" ht="15" hidden="false" customHeight="false" outlineLevel="0" collapsed="false">
      <c r="A196" s="26" t="str">
        <f aca="false">Entities!$A$32</f>
        <v>CN</v>
      </c>
      <c r="B196" s="12" t="str">
        <f aca="false">INDEX(Entities!$B$5:$B$34,MATCH(A196,Entities!$A$5:$A$34,0))</f>
        <v>Arab Bank – China</v>
      </c>
      <c r="C196" s="12" t="str">
        <f aca="false">INDEX(Entities!$D$5:$D$34,MATCH(A196,Entities!$A$5:$A$34,0))</f>
        <v>Asia-Pacific</v>
      </c>
      <c r="D196" s="12" t="s">
        <v>270</v>
      </c>
      <c r="E196" s="12" t="str">
        <f aca="false">INDEX('Risk Taxonomy'!$B$5:$B$24,MATCH(D196,'Risk Taxonomy'!$A$5:$A$24,0))</f>
        <v>Proliferation financing</v>
      </c>
      <c r="F196" s="28" t="n">
        <f aca="false">IFERROR(SUMPRODUCT((Indicators!$B$5:$B$35=F$4)*Indicators!$M$5:$M$35*'Indicator Scores'!$AE$5:$AE$35)/SUMPRODUCT((Indicators!$B$5:$B$35=F$4)*Indicators!$M$5:$M$35*('Indicator Scores'!$AE$5:$AE$35&gt;0)),0)</f>
        <v>1.75</v>
      </c>
      <c r="G196" s="28" t="n">
        <f aca="false">IFERROR(SUMPRODUCT((Indicators!$B$5:$B$35=G$4)*Indicators!$M$5:$M$35*'Indicator Scores'!$AE$5:$AE$35)/SUMPRODUCT((Indicators!$B$5:$B$35=G$4)*Indicators!$M$5:$M$35*('Indicator Scores'!$AE$5:$AE$35&gt;0)),0)</f>
        <v>1.625</v>
      </c>
      <c r="H196" s="28" t="n">
        <f aca="false">IFERROR(SUMPRODUCT((Indicators!$B$5:$B$35=H$4)*Indicators!$M$5:$M$35*'Indicator Scores'!$AE$5:$AE$35)/SUMPRODUCT((Indicators!$B$5:$B$35=H$4)*Indicators!$M$5:$M$35*('Indicator Scores'!$AE$5:$AE$35&gt;0)),0)</f>
        <v>1.44444444444444</v>
      </c>
      <c r="I196" s="28" t="n">
        <f aca="false">IFERROR(SUMPRODUCT((Indicators!$B$5:$B$35=I$4)*Indicators!$M$5:$M$35*'Indicator Scores'!$AE$5:$AE$35)/SUMPRODUCT((Indicators!$B$5:$B$35=I$4)*Indicators!$M$5:$M$35*('Indicator Scores'!$AE$5:$AE$35&gt;0)),0)</f>
        <v>2</v>
      </c>
      <c r="J196" s="28" t="n">
        <f aca="false">IFERROR(SUMPRODUCT((Indicators!$B$5:$B$35=J$4)*Indicators!$M$5:$M$35*'Indicator Scores'!$AE$5:$AE$35)/SUMPRODUCT((Indicators!$B$5:$B$35=J$4)*Indicators!$M$5:$M$35*('Indicator Scores'!$AE$5:$AE$35&gt;0)),0)</f>
        <v>1.5</v>
      </c>
      <c r="K196" s="28" t="n">
        <f aca="false">IFERROR(SUMPRODUCT(F196:J196,INDEX('Factor Weights'!$C$5:$G$11,MATCH(D196,'Factor Weights'!$A$5:$A$11,0),0))/SUMPRODUCT((F196:J196&gt;0)*INDEX('Factor Weights'!$C$5:$G$11,MATCH(D196,'Factor Weights'!$A$5:$A$11,0),0)),0)</f>
        <v>1.58333333333333</v>
      </c>
      <c r="L196" s="29" t="n">
        <f aca="false">MAX(F196:J196)</f>
        <v>2</v>
      </c>
      <c r="M196" s="28" t="n">
        <f aca="false">IF(L196&gt;=Config!$C$13,MAX(K196,Config!$C$14),K196)</f>
        <v>1.58333333333333</v>
      </c>
      <c r="N196" s="30" t="n">
        <f aca="false">IF(Config!$C$12="Weighted average",K196,IF(Config!$C$12="Weighted with floor",M196,L196))</f>
        <v>1.58333333333333</v>
      </c>
      <c r="O196" s="31" t="n">
        <f aca="false">IF(N196&lt;Config!$D$5,"",MATCH(N196,Config!$D$5:$D$9,1))</f>
        <v>1</v>
      </c>
      <c r="P196" s="7" t="str">
        <f aca="false">IF(O196="","No data",INDEX(Config!$B$5:$B$9,O196))</f>
        <v>Low</v>
      </c>
      <c r="Q196" s="32" t="n">
        <v>0</v>
      </c>
      <c r="R196" s="8"/>
      <c r="S196" s="33"/>
      <c r="T196" s="34" t="n">
        <f aca="false">IF(O196="","",IF(AND(S196="Y",Q196&lt;&gt;0),MAX(1,MIN(5,O196+MAX(-Config!$C$27,MIN(Config!$C$27,Q196)))),O196))</f>
        <v>1</v>
      </c>
      <c r="U196" s="35" t="str">
        <f aca="false">IF(T196="","No data",INDEX(Config!$B$5:$B$9,T196))</f>
        <v>Low</v>
      </c>
      <c r="V196" s="7" t="str">
        <f aca="false">IF(Q196=0,"None",IF(S196="Y","Applied","Pending HO approval"))</f>
        <v>None</v>
      </c>
      <c r="W196" s="36" t="n">
        <f aca="false">SUMPRODUCT((Indicators!$M$5:$M$35&gt;0)*('Indicator Data'!$AE$5:$AE$35&lt;&gt;""))/SUMPRODUCT(--(Indicators!$M$5:$M$35&gt;0))</f>
        <v>1</v>
      </c>
    </row>
    <row r="197" customFormat="false" ht="15" hidden="false" customHeight="false" outlineLevel="0" collapsed="false">
      <c r="A197" s="26" t="str">
        <f aca="false">Entities!$A$32</f>
        <v>CN</v>
      </c>
      <c r="B197" s="12" t="str">
        <f aca="false">INDEX(Entities!$B$5:$B$34,MATCH(A197,Entities!$A$5:$A$34,0))</f>
        <v>Arab Bank – China</v>
      </c>
      <c r="C197" s="12" t="str">
        <f aca="false">INDEX(Entities!$D$5:$D$34,MATCH(A197,Entities!$A$5:$A$34,0))</f>
        <v>Asia-Pacific</v>
      </c>
      <c r="D197" s="12" t="s">
        <v>272</v>
      </c>
      <c r="E197" s="12" t="str">
        <f aca="false">INDEX('Risk Taxonomy'!$B$5:$B$24,MATCH(D197,'Risk Taxonomy'!$A$5:$A$24,0))</f>
        <v>Sanctions</v>
      </c>
      <c r="F197" s="28" t="n">
        <f aca="false">IFERROR(SUMPRODUCT((Indicators!$B$5:$B$35=F$4)*Indicators!$N$5:$N$35*'Indicator Scores'!$AE$5:$AE$35)/SUMPRODUCT((Indicators!$B$5:$B$35=F$4)*Indicators!$N$5:$N$35*('Indicator Scores'!$AE$5:$AE$35&gt;0)),0)</f>
        <v>1.85714285714286</v>
      </c>
      <c r="G197" s="28" t="n">
        <f aca="false">IFERROR(SUMPRODUCT((Indicators!$B$5:$B$35=G$4)*Indicators!$N$5:$N$35*'Indicator Scores'!$AE$5:$AE$35)/SUMPRODUCT((Indicators!$B$5:$B$35=G$4)*Indicators!$N$5:$N$35*('Indicator Scores'!$AE$5:$AE$35&gt;0)),0)</f>
        <v>1.71428571428571</v>
      </c>
      <c r="H197" s="28" t="n">
        <f aca="false">IFERROR(SUMPRODUCT((Indicators!$B$5:$B$35=H$4)*Indicators!$N$5:$N$35*'Indicator Scores'!$AE$5:$AE$35)/SUMPRODUCT((Indicators!$B$5:$B$35=H$4)*Indicators!$N$5:$N$35*('Indicator Scores'!$AE$5:$AE$35&gt;0)),0)</f>
        <v>1.375</v>
      </c>
      <c r="I197" s="28" t="n">
        <f aca="false">IFERROR(SUMPRODUCT((Indicators!$B$5:$B$35=I$4)*Indicators!$N$5:$N$35*'Indicator Scores'!$AE$5:$AE$35)/SUMPRODUCT((Indicators!$B$5:$B$35=I$4)*Indicators!$N$5:$N$35*('Indicator Scores'!$AE$5:$AE$35&gt;0)),0)</f>
        <v>2</v>
      </c>
      <c r="J197" s="28" t="n">
        <f aca="false">IFERROR(SUMPRODUCT((Indicators!$B$5:$B$35=J$4)*Indicators!$N$5:$N$35*'Indicator Scores'!$AE$5:$AE$35)/SUMPRODUCT((Indicators!$B$5:$B$35=J$4)*Indicators!$N$5:$N$35*('Indicator Scores'!$AE$5:$AE$35&gt;0)),0)</f>
        <v>1.4</v>
      </c>
      <c r="K197" s="28" t="n">
        <f aca="false">IFERROR(SUMPRODUCT(F197:J197,INDEX('Factor Weights'!$C$5:$G$11,MATCH(D197,'Factor Weights'!$A$5:$A$11,0),0))/SUMPRODUCT((F197:J197&gt;0)*INDEX('Factor Weights'!$C$5:$G$11,MATCH(D197,'Factor Weights'!$A$5:$A$11,0),0)),0)</f>
        <v>1.61928571428571</v>
      </c>
      <c r="L197" s="29" t="n">
        <f aca="false">MAX(F197:J197)</f>
        <v>2</v>
      </c>
      <c r="M197" s="28" t="n">
        <f aca="false">IF(L197&gt;=Config!$C$13,MAX(K197,Config!$C$14),K197)</f>
        <v>1.61928571428571</v>
      </c>
      <c r="N197" s="30" t="n">
        <f aca="false">IF(Config!$C$12="Weighted average",K197,IF(Config!$C$12="Weighted with floor",M197,L197))</f>
        <v>1.61928571428571</v>
      </c>
      <c r="O197" s="31" t="n">
        <f aca="false">IF(N197&lt;Config!$D$5,"",MATCH(N197,Config!$D$5:$D$9,1))</f>
        <v>1</v>
      </c>
      <c r="P197" s="7" t="str">
        <f aca="false">IF(O197="","No data",INDEX(Config!$B$5:$B$9,O197))</f>
        <v>Low</v>
      </c>
      <c r="Q197" s="32" t="n">
        <v>0</v>
      </c>
      <c r="R197" s="8"/>
      <c r="S197" s="33"/>
      <c r="T197" s="34" t="n">
        <f aca="false">IF(O197="","",IF(AND(S197="Y",Q197&lt;&gt;0),MAX(1,MIN(5,O197+MAX(-Config!$C$27,MIN(Config!$C$27,Q197)))),O197))</f>
        <v>1</v>
      </c>
      <c r="U197" s="35" t="str">
        <f aca="false">IF(T197="","No data",INDEX(Config!$B$5:$B$9,T197))</f>
        <v>Low</v>
      </c>
      <c r="V197" s="7" t="str">
        <f aca="false">IF(Q197=0,"None",IF(S197="Y","Applied","Pending HO approval"))</f>
        <v>None</v>
      </c>
      <c r="W197" s="36" t="n">
        <f aca="false">SUMPRODUCT((Indicators!$N$5:$N$35&gt;0)*('Indicator Data'!$AE$5:$AE$35&lt;&gt;""))/SUMPRODUCT(--(Indicators!$N$5:$N$35&gt;0))</f>
        <v>1</v>
      </c>
    </row>
    <row r="198" customFormat="false" ht="15" hidden="false" customHeight="false" outlineLevel="0" collapsed="false">
      <c r="A198" s="26" t="str">
        <f aca="false">Entities!$A$32</f>
        <v>CN</v>
      </c>
      <c r="B198" s="12" t="str">
        <f aca="false">INDEX(Entities!$B$5:$B$34,MATCH(A198,Entities!$A$5:$A$34,0))</f>
        <v>Arab Bank – China</v>
      </c>
      <c r="C198" s="12" t="str">
        <f aca="false">INDEX(Entities!$D$5:$D$34,MATCH(A198,Entities!$A$5:$A$34,0))</f>
        <v>Asia-Pacific</v>
      </c>
      <c r="D198" s="12" t="s">
        <v>275</v>
      </c>
      <c r="E198" s="12" t="str">
        <f aca="false">INDEX('Risk Taxonomy'!$B$5:$B$24,MATCH(D198,'Risk Taxonomy'!$A$5:$A$24,0))</f>
        <v>Bribery and corruption</v>
      </c>
      <c r="F198" s="28" t="n">
        <f aca="false">IFERROR(SUMPRODUCT((Indicators!$B$5:$B$35=F$4)*Indicators!$O$5:$O$35*'Indicator Scores'!$AE$5:$AE$35)/SUMPRODUCT((Indicators!$B$5:$B$35=F$4)*Indicators!$O$5:$O$35*('Indicator Scores'!$AE$5:$AE$35&gt;0)),0)</f>
        <v>1.55555555555556</v>
      </c>
      <c r="G198" s="28" t="n">
        <f aca="false">IFERROR(SUMPRODUCT((Indicators!$B$5:$B$35=G$4)*Indicators!$O$5:$O$35*'Indicator Scores'!$AE$5:$AE$35)/SUMPRODUCT((Indicators!$B$5:$B$35=G$4)*Indicators!$O$5:$O$35*('Indicator Scores'!$AE$5:$AE$35&gt;0)),0)</f>
        <v>1.6</v>
      </c>
      <c r="H198" s="28" t="n">
        <f aca="false">IFERROR(SUMPRODUCT((Indicators!$B$5:$B$35=H$4)*Indicators!$O$5:$O$35*'Indicator Scores'!$AE$5:$AE$35)/SUMPRODUCT((Indicators!$B$5:$B$35=H$4)*Indicators!$O$5:$O$35*('Indicator Scores'!$AE$5:$AE$35&gt;0)),0)</f>
        <v>1</v>
      </c>
      <c r="I198" s="28" t="n">
        <f aca="false">IFERROR(SUMPRODUCT((Indicators!$B$5:$B$35=I$4)*Indicators!$O$5:$O$35*'Indicator Scores'!$AE$5:$AE$35)/SUMPRODUCT((Indicators!$B$5:$B$35=I$4)*Indicators!$O$5:$O$35*('Indicator Scores'!$AE$5:$AE$35&gt;0)),0)</f>
        <v>2</v>
      </c>
      <c r="J198" s="28" t="n">
        <f aca="false">IFERROR(SUMPRODUCT((Indicators!$B$5:$B$35=J$4)*Indicators!$O$5:$O$35*'Indicator Scores'!$AE$5:$AE$35)/SUMPRODUCT((Indicators!$B$5:$B$35=J$4)*Indicators!$O$5:$O$35*('Indicator Scores'!$AE$5:$AE$35&gt;0)),0)</f>
        <v>2</v>
      </c>
      <c r="K198" s="28" t="n">
        <f aca="false">IFERROR(SUMPRODUCT(F198:J198,INDEX('Factor Weights'!$C$5:$G$11,MATCH(D198,'Factor Weights'!$A$5:$A$11,0),0))/SUMPRODUCT((F198:J198&gt;0)*INDEX('Factor Weights'!$C$5:$G$11,MATCH(D198,'Factor Weights'!$A$5:$A$11,0),0)),0)</f>
        <v>1.61666666666667</v>
      </c>
      <c r="L198" s="29" t="n">
        <f aca="false">MAX(F198:J198)</f>
        <v>2</v>
      </c>
      <c r="M198" s="28" t="n">
        <f aca="false">IF(L198&gt;=Config!$C$13,MAX(K198,Config!$C$14),K198)</f>
        <v>1.61666666666667</v>
      </c>
      <c r="N198" s="30" t="n">
        <f aca="false">IF(Config!$C$12="Weighted average",K198,IF(Config!$C$12="Weighted with floor",M198,L198))</f>
        <v>1.61666666666667</v>
      </c>
      <c r="O198" s="31" t="n">
        <f aca="false">IF(N198&lt;Config!$D$5,"",MATCH(N198,Config!$D$5:$D$9,1))</f>
        <v>1</v>
      </c>
      <c r="P198" s="7" t="str">
        <f aca="false">IF(O198="","No data",INDEX(Config!$B$5:$B$9,O198))</f>
        <v>Low</v>
      </c>
      <c r="Q198" s="32" t="n">
        <v>0</v>
      </c>
      <c r="R198" s="8"/>
      <c r="S198" s="33"/>
      <c r="T198" s="34" t="n">
        <f aca="false">IF(O198="","",IF(AND(S198="Y",Q198&lt;&gt;0),MAX(1,MIN(5,O198+MAX(-Config!$C$27,MIN(Config!$C$27,Q198)))),O198))</f>
        <v>1</v>
      </c>
      <c r="U198" s="35" t="str">
        <f aca="false">IF(T198="","No data",INDEX(Config!$B$5:$B$9,T198))</f>
        <v>Low</v>
      </c>
      <c r="V198" s="7" t="str">
        <f aca="false">IF(Q198=0,"None",IF(S198="Y","Applied","Pending HO approval"))</f>
        <v>None</v>
      </c>
      <c r="W198" s="36" t="n">
        <f aca="false">SUMPRODUCT((Indicators!$O$5:$O$35&gt;0)*('Indicator Data'!$AE$5:$AE$35&lt;&gt;""))/SUMPRODUCT(--(Indicators!$O$5:$O$35&gt;0))</f>
        <v>1</v>
      </c>
    </row>
    <row r="199" customFormat="false" ht="15" hidden="false" customHeight="false" outlineLevel="0" collapsed="false">
      <c r="A199" s="26" t="str">
        <f aca="false">Entities!$A$32</f>
        <v>CN</v>
      </c>
      <c r="B199" s="12" t="str">
        <f aca="false">INDEX(Entities!$B$5:$B$34,MATCH(A199,Entities!$A$5:$A$34,0))</f>
        <v>Arab Bank – China</v>
      </c>
      <c r="C199" s="12" t="str">
        <f aca="false">INDEX(Entities!$D$5:$D$34,MATCH(A199,Entities!$A$5:$A$34,0))</f>
        <v>Asia-Pacific</v>
      </c>
      <c r="D199" s="12" t="s">
        <v>278</v>
      </c>
      <c r="E199" s="12" t="str">
        <f aca="false">INDEX('Risk Taxonomy'!$B$5:$B$24,MATCH(D199,'Risk Taxonomy'!$A$5:$A$24,0))</f>
        <v>Fraud</v>
      </c>
      <c r="F199" s="28" t="n">
        <f aca="false">IFERROR(SUMPRODUCT((Indicators!$B$5:$B$35=F$4)*Indicators!$P$5:$P$35*'Indicator Scores'!$AE$5:$AE$35)/SUMPRODUCT((Indicators!$B$5:$B$35=F$4)*Indicators!$P$5:$P$35*('Indicator Scores'!$AE$5:$AE$35&gt;0)),0)</f>
        <v>2.33333333333333</v>
      </c>
      <c r="G199" s="28" t="n">
        <f aca="false">IFERROR(SUMPRODUCT((Indicators!$B$5:$B$35=G$4)*Indicators!$P$5:$P$35*'Indicator Scores'!$AE$5:$AE$35)/SUMPRODUCT((Indicators!$B$5:$B$35=G$4)*Indicators!$P$5:$P$35*('Indicator Scores'!$AE$5:$AE$35&gt;0)),0)</f>
        <v>1.75</v>
      </c>
      <c r="H199" s="28" t="n">
        <f aca="false">IFERROR(SUMPRODUCT((Indicators!$B$5:$B$35=H$4)*Indicators!$P$5:$P$35*'Indicator Scores'!$AE$5:$AE$35)/SUMPRODUCT((Indicators!$B$5:$B$35=H$4)*Indicators!$P$5:$P$35*('Indicator Scores'!$AE$5:$AE$35&gt;0)),0)</f>
        <v>1.4</v>
      </c>
      <c r="I199" s="28" t="n">
        <f aca="false">IFERROR(SUMPRODUCT((Indicators!$B$5:$B$35=I$4)*Indicators!$P$5:$P$35*'Indicator Scores'!$AE$5:$AE$35)/SUMPRODUCT((Indicators!$B$5:$B$35=I$4)*Indicators!$P$5:$P$35*('Indicator Scores'!$AE$5:$AE$35&gt;0)),0)</f>
        <v>1.66666666666667</v>
      </c>
      <c r="J199" s="28" t="n">
        <f aca="false">IFERROR(SUMPRODUCT((Indicators!$B$5:$B$35=J$4)*Indicators!$P$5:$P$35*'Indicator Scores'!$AE$5:$AE$35)/SUMPRODUCT((Indicators!$B$5:$B$35=J$4)*Indicators!$P$5:$P$35*('Indicator Scores'!$AE$5:$AE$35&gt;0)),0)</f>
        <v>1.8</v>
      </c>
      <c r="K199" s="28" t="n">
        <f aca="false">IFERROR(SUMPRODUCT(F199:J199,INDEX('Factor Weights'!$C$5:$G$11,MATCH(D199,'Factor Weights'!$A$5:$A$11,0),0))/SUMPRODUCT((F199:J199&gt;0)*INDEX('Factor Weights'!$C$5:$G$11,MATCH(D199,'Factor Weights'!$A$5:$A$11,0),0)),0)</f>
        <v>1.78166666666667</v>
      </c>
      <c r="L199" s="29" t="n">
        <f aca="false">MAX(F199:J199)</f>
        <v>2.33333333333333</v>
      </c>
      <c r="M199" s="28" t="n">
        <f aca="false">IF(L199&gt;=Config!$C$13,MAX(K199,Config!$C$14),K199)</f>
        <v>1.78166666666667</v>
      </c>
      <c r="N199" s="30" t="n">
        <f aca="false">IF(Config!$C$12="Weighted average",K199,IF(Config!$C$12="Weighted with floor",M199,L199))</f>
        <v>1.78166666666667</v>
      </c>
      <c r="O199" s="31" t="n">
        <f aca="false">IF(N199&lt;Config!$D$5,"",MATCH(N199,Config!$D$5:$D$9,1))</f>
        <v>1</v>
      </c>
      <c r="P199" s="7" t="str">
        <f aca="false">IF(O199="","No data",INDEX(Config!$B$5:$B$9,O199))</f>
        <v>Low</v>
      </c>
      <c r="Q199" s="32" t="n">
        <v>0</v>
      </c>
      <c r="R199" s="8"/>
      <c r="S199" s="33"/>
      <c r="T199" s="34" t="n">
        <f aca="false">IF(O199="","",IF(AND(S199="Y",Q199&lt;&gt;0),MAX(1,MIN(5,O199+MAX(-Config!$C$27,MIN(Config!$C$27,Q199)))),O199))</f>
        <v>1</v>
      </c>
      <c r="U199" s="35" t="str">
        <f aca="false">IF(T199="","No data",INDEX(Config!$B$5:$B$9,T199))</f>
        <v>Low</v>
      </c>
      <c r="V199" s="7" t="str">
        <f aca="false">IF(Q199=0,"None",IF(S199="Y","Applied","Pending HO approval"))</f>
        <v>None</v>
      </c>
      <c r="W199" s="36" t="n">
        <f aca="false">SUMPRODUCT((Indicators!$P$5:$P$35&gt;0)*('Indicator Data'!$AE$5:$AE$35&lt;&gt;""))/SUMPRODUCT(--(Indicators!$P$5:$P$35&gt;0))</f>
        <v>1</v>
      </c>
    </row>
    <row r="200" customFormat="false" ht="15" hidden="false" customHeight="false" outlineLevel="0" collapsed="false">
      <c r="A200" s="26" t="str">
        <f aca="false">Entities!$A$32</f>
        <v>CN</v>
      </c>
      <c r="B200" s="12" t="str">
        <f aca="false">INDEX(Entities!$B$5:$B$34,MATCH(A200,Entities!$A$5:$A$34,0))</f>
        <v>Arab Bank – China</v>
      </c>
      <c r="C200" s="12" t="str">
        <f aca="false">INDEX(Entities!$D$5:$D$34,MATCH(A200,Entities!$A$5:$A$34,0))</f>
        <v>Asia-Pacific</v>
      </c>
      <c r="D200" s="12" t="s">
        <v>281</v>
      </c>
      <c r="E200" s="12" t="str">
        <f aca="false">INDEX('Risk Taxonomy'!$B$5:$B$24,MATCH(D200,'Risk Taxonomy'!$A$5:$A$24,0))</f>
        <v>Tax evasion and tax transparency</v>
      </c>
      <c r="F200" s="28" t="n">
        <f aca="false">IFERROR(SUMPRODUCT((Indicators!$B$5:$B$35=F$4)*Indicators!$Q$5:$Q$35*'Indicator Scores'!$AE$5:$AE$35)/SUMPRODUCT((Indicators!$B$5:$B$35=F$4)*Indicators!$Q$5:$Q$35*('Indicator Scores'!$AE$5:$AE$35&gt;0)),0)</f>
        <v>1.88888888888889</v>
      </c>
      <c r="G200" s="28" t="n">
        <f aca="false">IFERROR(SUMPRODUCT((Indicators!$B$5:$B$35=G$4)*Indicators!$Q$5:$Q$35*'Indicator Scores'!$AE$5:$AE$35)/SUMPRODUCT((Indicators!$B$5:$B$35=G$4)*Indicators!$Q$5:$Q$35*('Indicator Scores'!$AE$5:$AE$35&gt;0)),0)</f>
        <v>2.16666666666667</v>
      </c>
      <c r="H200" s="28" t="n">
        <f aca="false">IFERROR(SUMPRODUCT((Indicators!$B$5:$B$35=H$4)*Indicators!$Q$5:$Q$35*'Indicator Scores'!$AE$5:$AE$35)/SUMPRODUCT((Indicators!$B$5:$B$35=H$4)*Indicators!$Q$5:$Q$35*('Indicator Scores'!$AE$5:$AE$35&gt;0)),0)</f>
        <v>1.33333333333333</v>
      </c>
      <c r="I200" s="28" t="n">
        <f aca="false">IFERROR(SUMPRODUCT((Indicators!$B$5:$B$35=I$4)*Indicators!$Q$5:$Q$35*'Indicator Scores'!$AE$5:$AE$35)/SUMPRODUCT((Indicators!$B$5:$B$35=I$4)*Indicators!$Q$5:$Q$35*('Indicator Scores'!$AE$5:$AE$35&gt;0)),0)</f>
        <v>1.5</v>
      </c>
      <c r="J200" s="28" t="n">
        <f aca="false">IFERROR(SUMPRODUCT((Indicators!$B$5:$B$35=J$4)*Indicators!$Q$5:$Q$35*'Indicator Scores'!$AE$5:$AE$35)/SUMPRODUCT((Indicators!$B$5:$B$35=J$4)*Indicators!$Q$5:$Q$35*('Indicator Scores'!$AE$5:$AE$35&gt;0)),0)</f>
        <v>1.2</v>
      </c>
      <c r="K200" s="28" t="n">
        <f aca="false">IFERROR(SUMPRODUCT(F200:J200,INDEX('Factor Weights'!$C$5:$G$11,MATCH(D200,'Factor Weights'!$A$5:$A$11,0),0))/SUMPRODUCT((F200:J200&gt;0)*INDEX('Factor Weights'!$C$5:$G$11,MATCH(D200,'Factor Weights'!$A$5:$A$11,0),0)),0)</f>
        <v>1.73944444444444</v>
      </c>
      <c r="L200" s="29" t="n">
        <f aca="false">MAX(F200:J200)</f>
        <v>2.16666666666667</v>
      </c>
      <c r="M200" s="28" t="n">
        <f aca="false">IF(L200&gt;=Config!$C$13,MAX(K200,Config!$C$14),K200)</f>
        <v>1.73944444444444</v>
      </c>
      <c r="N200" s="30" t="n">
        <f aca="false">IF(Config!$C$12="Weighted average",K200,IF(Config!$C$12="Weighted with floor",M200,L200))</f>
        <v>1.73944444444444</v>
      </c>
      <c r="O200" s="31" t="n">
        <f aca="false">IF(N200&lt;Config!$D$5,"",MATCH(N200,Config!$D$5:$D$9,1))</f>
        <v>1</v>
      </c>
      <c r="P200" s="7" t="str">
        <f aca="false">IF(O200="","No data",INDEX(Config!$B$5:$B$9,O200))</f>
        <v>Low</v>
      </c>
      <c r="Q200" s="32" t="n">
        <v>0</v>
      </c>
      <c r="R200" s="8"/>
      <c r="S200" s="33"/>
      <c r="T200" s="34" t="n">
        <f aca="false">IF(O200="","",IF(AND(S200="Y",Q200&lt;&gt;0),MAX(1,MIN(5,O200+MAX(-Config!$C$27,MIN(Config!$C$27,Q200)))),O200))</f>
        <v>1</v>
      </c>
      <c r="U200" s="35" t="str">
        <f aca="false">IF(T200="","No data",INDEX(Config!$B$5:$B$9,T200))</f>
        <v>Low</v>
      </c>
      <c r="V200" s="7" t="str">
        <f aca="false">IF(Q200=0,"None",IF(S200="Y","Applied","Pending HO approval"))</f>
        <v>None</v>
      </c>
      <c r="W200" s="36" t="n">
        <f aca="false">SUMPRODUCT((Indicators!$Q$5:$Q$35&gt;0)*('Indicator Data'!$AE$5:$AE$35&lt;&gt;""))/SUMPRODUCT(--(Indicators!$Q$5:$Q$35&gt;0))</f>
        <v>1</v>
      </c>
    </row>
    <row r="201" customFormat="false" ht="15" hidden="false" customHeight="false" outlineLevel="0" collapsed="false">
      <c r="A201" s="26" t="str">
        <f aca="false">Entities!$A$33</f>
        <v>AU</v>
      </c>
      <c r="B201" s="12" t="str">
        <f aca="false">INDEX(Entities!$B$5:$B$34,MATCH(A201,Entities!$A$5:$A$34,0))</f>
        <v>Arab Bank Australia</v>
      </c>
      <c r="C201" s="12" t="str">
        <f aca="false">INDEX(Entities!$D$5:$D$34,MATCH(A201,Entities!$A$5:$A$34,0))</f>
        <v>Asia-Pacific</v>
      </c>
      <c r="D201" s="12" t="s">
        <v>260</v>
      </c>
      <c r="E201" s="12" t="str">
        <f aca="false">INDEX('Risk Taxonomy'!$B$5:$B$24,MATCH(D201,'Risk Taxonomy'!$A$5:$A$24,0))</f>
        <v>Money laundering</v>
      </c>
      <c r="F201" s="28" t="n">
        <f aca="false">IFERROR(SUMPRODUCT((Indicators!$B$5:$B$35=F$4)*Indicators!$K$5:$K$35*'Indicator Scores'!$AF$5:$AF$35)/SUMPRODUCT((Indicators!$B$5:$B$35=F$4)*Indicators!$K$5:$K$35*('Indicator Scores'!$AF$5:$AF$35&gt;0)),0)</f>
        <v>1.75</v>
      </c>
      <c r="G201" s="28" t="n">
        <f aca="false">IFERROR(SUMPRODUCT((Indicators!$B$5:$B$35=G$4)*Indicators!$K$5:$K$35*'Indicator Scores'!$AF$5:$AF$35)/SUMPRODUCT((Indicators!$B$5:$B$35=G$4)*Indicators!$K$5:$K$35*('Indicator Scores'!$AF$5:$AF$35&gt;0)),0)</f>
        <v>1.88888888888889</v>
      </c>
      <c r="H201" s="28" t="n">
        <f aca="false">IFERROR(SUMPRODUCT((Indicators!$B$5:$B$35=H$4)*Indicators!$K$5:$K$35*'Indicator Scores'!$AF$5:$AF$35)/SUMPRODUCT((Indicators!$B$5:$B$35=H$4)*Indicators!$K$5:$K$35*('Indicator Scores'!$AF$5:$AF$35&gt;0)),0)</f>
        <v>2.1</v>
      </c>
      <c r="I201" s="28" t="n">
        <f aca="false">IFERROR(SUMPRODUCT((Indicators!$B$5:$B$35=I$4)*Indicators!$K$5:$K$35*'Indicator Scores'!$AF$5:$AF$35)/SUMPRODUCT((Indicators!$B$5:$B$35=I$4)*Indicators!$K$5:$K$35*('Indicator Scores'!$AF$5:$AF$35&gt;0)),0)</f>
        <v>1.14285714285714</v>
      </c>
      <c r="J201" s="28" t="n">
        <f aca="false">IFERROR(SUMPRODUCT((Indicators!$B$5:$B$35=J$4)*Indicators!$K$5:$K$35*'Indicator Scores'!$AF$5:$AF$35)/SUMPRODUCT((Indicators!$B$5:$B$35=J$4)*Indicators!$K$5:$K$35*('Indicator Scores'!$AF$5:$AF$35&gt;0)),0)</f>
        <v>1.4</v>
      </c>
      <c r="K201" s="28" t="n">
        <f aca="false">IFERROR(SUMPRODUCT(F201:J201,INDEX('Factor Weights'!$C$5:$G$11,MATCH(D201,'Factor Weights'!$A$5:$A$11,0),0))/SUMPRODUCT((F201:J201&gt;0)*INDEX('Factor Weights'!$C$5:$G$11,MATCH(D201,'Factor Weights'!$A$5:$A$11,0),0)),0)</f>
        <v>1.72865079365079</v>
      </c>
      <c r="L201" s="29" t="n">
        <f aca="false">MAX(F201:J201)</f>
        <v>2.1</v>
      </c>
      <c r="M201" s="28" t="n">
        <f aca="false">IF(L201&gt;=Config!$C$13,MAX(K201,Config!$C$14),K201)</f>
        <v>1.72865079365079</v>
      </c>
      <c r="N201" s="30" t="n">
        <f aca="false">IF(Config!$C$12="Weighted average",K201,IF(Config!$C$12="Weighted with floor",M201,L201))</f>
        <v>1.72865079365079</v>
      </c>
      <c r="O201" s="31" t="n">
        <f aca="false">IF(N201&lt;Config!$D$5,"",MATCH(N201,Config!$D$5:$D$9,1))</f>
        <v>1</v>
      </c>
      <c r="P201" s="7" t="str">
        <f aca="false">IF(O201="","No data",INDEX(Config!$B$5:$B$9,O201))</f>
        <v>Low</v>
      </c>
      <c r="Q201" s="32" t="n">
        <v>0</v>
      </c>
      <c r="R201" s="8"/>
      <c r="S201" s="33"/>
      <c r="T201" s="34" t="n">
        <f aca="false">IF(O201="","",IF(AND(S201="Y",Q201&lt;&gt;0),MAX(1,MIN(5,O201+MAX(-Config!$C$27,MIN(Config!$C$27,Q201)))),O201))</f>
        <v>1</v>
      </c>
      <c r="U201" s="35" t="str">
        <f aca="false">IF(T201="","No data",INDEX(Config!$B$5:$B$9,T201))</f>
        <v>Low</v>
      </c>
      <c r="V201" s="7" t="str">
        <f aca="false">IF(Q201=0,"None",IF(S201="Y","Applied","Pending HO approval"))</f>
        <v>None</v>
      </c>
      <c r="W201" s="36" t="n">
        <f aca="false">SUMPRODUCT((Indicators!$K$5:$K$35&gt;0)*('Indicator Data'!$AF$5:$AF$35&lt;&gt;""))/SUMPRODUCT(--(Indicators!$K$5:$K$35&gt;0))</f>
        <v>1</v>
      </c>
    </row>
    <row r="202" customFormat="false" ht="15" hidden="false" customHeight="false" outlineLevel="0" collapsed="false">
      <c r="A202" s="26" t="str">
        <f aca="false">Entities!$A$33</f>
        <v>AU</v>
      </c>
      <c r="B202" s="12" t="str">
        <f aca="false">INDEX(Entities!$B$5:$B$34,MATCH(A202,Entities!$A$5:$A$34,0))</f>
        <v>Arab Bank Australia</v>
      </c>
      <c r="C202" s="12" t="str">
        <f aca="false">INDEX(Entities!$D$5:$D$34,MATCH(A202,Entities!$A$5:$A$34,0))</f>
        <v>Asia-Pacific</v>
      </c>
      <c r="D202" s="12" t="s">
        <v>267</v>
      </c>
      <c r="E202" s="12" t="str">
        <f aca="false">INDEX('Risk Taxonomy'!$B$5:$B$24,MATCH(D202,'Risk Taxonomy'!$A$5:$A$24,0))</f>
        <v>Terrorist financing</v>
      </c>
      <c r="F202" s="28" t="n">
        <f aca="false">IFERROR(SUMPRODUCT((Indicators!$B$5:$B$35=F$4)*Indicators!$L$5:$L$35*'Indicator Scores'!$AF$5:$AF$35)/SUMPRODUCT((Indicators!$B$5:$B$35=F$4)*Indicators!$L$5:$L$35*('Indicator Scores'!$AF$5:$AF$35&gt;0)),0)</f>
        <v>1.5</v>
      </c>
      <c r="G202" s="28" t="n">
        <f aca="false">IFERROR(SUMPRODUCT((Indicators!$B$5:$B$35=G$4)*Indicators!$L$5:$L$35*'Indicator Scores'!$AF$5:$AF$35)/SUMPRODUCT((Indicators!$B$5:$B$35=G$4)*Indicators!$L$5:$L$35*('Indicator Scores'!$AF$5:$AF$35&gt;0)),0)</f>
        <v>1.88888888888889</v>
      </c>
      <c r="H202" s="28" t="n">
        <f aca="false">IFERROR(SUMPRODUCT((Indicators!$B$5:$B$35=H$4)*Indicators!$L$5:$L$35*'Indicator Scores'!$AF$5:$AF$35)/SUMPRODUCT((Indicators!$B$5:$B$35=H$4)*Indicators!$L$5:$L$35*('Indicator Scores'!$AF$5:$AF$35&gt;0)),0)</f>
        <v>2.16666666666667</v>
      </c>
      <c r="I202" s="28" t="n">
        <f aca="false">IFERROR(SUMPRODUCT((Indicators!$B$5:$B$35=I$4)*Indicators!$L$5:$L$35*'Indicator Scores'!$AF$5:$AF$35)/SUMPRODUCT((Indicators!$B$5:$B$35=I$4)*Indicators!$L$5:$L$35*('Indicator Scores'!$AF$5:$AF$35&gt;0)),0)</f>
        <v>1.16666666666667</v>
      </c>
      <c r="J202" s="28" t="n">
        <f aca="false">IFERROR(SUMPRODUCT((Indicators!$B$5:$B$35=J$4)*Indicators!$L$5:$L$35*'Indicator Scores'!$AF$5:$AF$35)/SUMPRODUCT((Indicators!$B$5:$B$35=J$4)*Indicators!$L$5:$L$35*('Indicator Scores'!$AF$5:$AF$35&gt;0)),0)</f>
        <v>1.28571428571429</v>
      </c>
      <c r="K202" s="28" t="n">
        <f aca="false">IFERROR(SUMPRODUCT(F202:J202,INDEX('Factor Weights'!$C$5:$G$11,MATCH(D202,'Factor Weights'!$A$5:$A$11,0),0))/SUMPRODUCT((F202:J202&gt;0)*INDEX('Factor Weights'!$C$5:$G$11,MATCH(D202,'Factor Weights'!$A$5:$A$11,0),0)),0)</f>
        <v>1.64047619047619</v>
      </c>
      <c r="L202" s="29" t="n">
        <f aca="false">MAX(F202:J202)</f>
        <v>2.16666666666667</v>
      </c>
      <c r="M202" s="28" t="n">
        <f aca="false">IF(L202&gt;=Config!$C$13,MAX(K202,Config!$C$14),K202)</f>
        <v>1.64047619047619</v>
      </c>
      <c r="N202" s="30" t="n">
        <f aca="false">IF(Config!$C$12="Weighted average",K202,IF(Config!$C$12="Weighted with floor",M202,L202))</f>
        <v>1.64047619047619</v>
      </c>
      <c r="O202" s="31" t="n">
        <f aca="false">IF(N202&lt;Config!$D$5,"",MATCH(N202,Config!$D$5:$D$9,1))</f>
        <v>1</v>
      </c>
      <c r="P202" s="7" t="str">
        <f aca="false">IF(O202="","No data",INDEX(Config!$B$5:$B$9,O202))</f>
        <v>Low</v>
      </c>
      <c r="Q202" s="32" t="n">
        <v>0</v>
      </c>
      <c r="R202" s="8"/>
      <c r="S202" s="33"/>
      <c r="T202" s="34" t="n">
        <f aca="false">IF(O202="","",IF(AND(S202="Y",Q202&lt;&gt;0),MAX(1,MIN(5,O202+MAX(-Config!$C$27,MIN(Config!$C$27,Q202)))),O202))</f>
        <v>1</v>
      </c>
      <c r="U202" s="35" t="str">
        <f aca="false">IF(T202="","No data",INDEX(Config!$B$5:$B$9,T202))</f>
        <v>Low</v>
      </c>
      <c r="V202" s="7" t="str">
        <f aca="false">IF(Q202=0,"None",IF(S202="Y","Applied","Pending HO approval"))</f>
        <v>None</v>
      </c>
      <c r="W202" s="36" t="n">
        <f aca="false">SUMPRODUCT((Indicators!$L$5:$L$35&gt;0)*('Indicator Data'!$AF$5:$AF$35&lt;&gt;""))/SUMPRODUCT(--(Indicators!$L$5:$L$35&gt;0))</f>
        <v>1</v>
      </c>
    </row>
    <row r="203" customFormat="false" ht="15" hidden="false" customHeight="false" outlineLevel="0" collapsed="false">
      <c r="A203" s="26" t="str">
        <f aca="false">Entities!$A$33</f>
        <v>AU</v>
      </c>
      <c r="B203" s="12" t="str">
        <f aca="false">INDEX(Entities!$B$5:$B$34,MATCH(A203,Entities!$A$5:$A$34,0))</f>
        <v>Arab Bank Australia</v>
      </c>
      <c r="C203" s="12" t="str">
        <f aca="false">INDEX(Entities!$D$5:$D$34,MATCH(A203,Entities!$A$5:$A$34,0))</f>
        <v>Asia-Pacific</v>
      </c>
      <c r="D203" s="12" t="s">
        <v>270</v>
      </c>
      <c r="E203" s="12" t="str">
        <f aca="false">INDEX('Risk Taxonomy'!$B$5:$B$24,MATCH(D203,'Risk Taxonomy'!$A$5:$A$24,0))</f>
        <v>Proliferation financing</v>
      </c>
      <c r="F203" s="28" t="n">
        <f aca="false">IFERROR(SUMPRODUCT((Indicators!$B$5:$B$35=F$4)*Indicators!$M$5:$M$35*'Indicator Scores'!$AF$5:$AF$35)/SUMPRODUCT((Indicators!$B$5:$B$35=F$4)*Indicators!$M$5:$M$35*('Indicator Scores'!$AF$5:$AF$35&gt;0)),0)</f>
        <v>1.75</v>
      </c>
      <c r="G203" s="28" t="n">
        <f aca="false">IFERROR(SUMPRODUCT((Indicators!$B$5:$B$35=G$4)*Indicators!$M$5:$M$35*'Indicator Scores'!$AF$5:$AF$35)/SUMPRODUCT((Indicators!$B$5:$B$35=G$4)*Indicators!$M$5:$M$35*('Indicator Scores'!$AF$5:$AF$35&gt;0)),0)</f>
        <v>1.625</v>
      </c>
      <c r="H203" s="28" t="n">
        <f aca="false">IFERROR(SUMPRODUCT((Indicators!$B$5:$B$35=H$4)*Indicators!$M$5:$M$35*'Indicator Scores'!$AF$5:$AF$35)/SUMPRODUCT((Indicators!$B$5:$B$35=H$4)*Indicators!$M$5:$M$35*('Indicator Scores'!$AF$5:$AF$35&gt;0)),0)</f>
        <v>1.66666666666667</v>
      </c>
      <c r="I203" s="28" t="n">
        <f aca="false">IFERROR(SUMPRODUCT((Indicators!$B$5:$B$35=I$4)*Indicators!$M$5:$M$35*'Indicator Scores'!$AF$5:$AF$35)/SUMPRODUCT((Indicators!$B$5:$B$35=I$4)*Indicators!$M$5:$M$35*('Indicator Scores'!$AF$5:$AF$35&gt;0)),0)</f>
        <v>1</v>
      </c>
      <c r="J203" s="28" t="n">
        <f aca="false">IFERROR(SUMPRODUCT((Indicators!$B$5:$B$35=J$4)*Indicators!$M$5:$M$35*'Indicator Scores'!$AF$5:$AF$35)/SUMPRODUCT((Indicators!$B$5:$B$35=J$4)*Indicators!$M$5:$M$35*('Indicator Scores'!$AF$5:$AF$35&gt;0)),0)</f>
        <v>1</v>
      </c>
      <c r="K203" s="28" t="n">
        <f aca="false">IFERROR(SUMPRODUCT(F203:J203,INDEX('Factor Weights'!$C$5:$G$11,MATCH(D203,'Factor Weights'!$A$5:$A$11,0),0))/SUMPRODUCT((F203:J203&gt;0)*INDEX('Factor Weights'!$C$5:$G$11,MATCH(D203,'Factor Weights'!$A$5:$A$11,0),0)),0)</f>
        <v>1.5</v>
      </c>
      <c r="L203" s="29" t="n">
        <f aca="false">MAX(F203:J203)</f>
        <v>1.75</v>
      </c>
      <c r="M203" s="28" t="n">
        <f aca="false">IF(L203&gt;=Config!$C$13,MAX(K203,Config!$C$14),K203)</f>
        <v>1.5</v>
      </c>
      <c r="N203" s="30" t="n">
        <f aca="false">IF(Config!$C$12="Weighted average",K203,IF(Config!$C$12="Weighted with floor",M203,L203))</f>
        <v>1.5</v>
      </c>
      <c r="O203" s="31" t="n">
        <f aca="false">IF(N203&lt;Config!$D$5,"",MATCH(N203,Config!$D$5:$D$9,1))</f>
        <v>1</v>
      </c>
      <c r="P203" s="7" t="str">
        <f aca="false">IF(O203="","No data",INDEX(Config!$B$5:$B$9,O203))</f>
        <v>Low</v>
      </c>
      <c r="Q203" s="32" t="n">
        <v>0</v>
      </c>
      <c r="R203" s="8"/>
      <c r="S203" s="33"/>
      <c r="T203" s="34" t="n">
        <f aca="false">IF(O203="","",IF(AND(S203="Y",Q203&lt;&gt;0),MAX(1,MIN(5,O203+MAX(-Config!$C$27,MIN(Config!$C$27,Q203)))),O203))</f>
        <v>1</v>
      </c>
      <c r="U203" s="35" t="str">
        <f aca="false">IF(T203="","No data",INDEX(Config!$B$5:$B$9,T203))</f>
        <v>Low</v>
      </c>
      <c r="V203" s="7" t="str">
        <f aca="false">IF(Q203=0,"None",IF(S203="Y","Applied","Pending HO approval"))</f>
        <v>None</v>
      </c>
      <c r="W203" s="36" t="n">
        <f aca="false">SUMPRODUCT((Indicators!$M$5:$M$35&gt;0)*('Indicator Data'!$AF$5:$AF$35&lt;&gt;""))/SUMPRODUCT(--(Indicators!$M$5:$M$35&gt;0))</f>
        <v>1</v>
      </c>
    </row>
    <row r="204" customFormat="false" ht="15" hidden="false" customHeight="false" outlineLevel="0" collapsed="false">
      <c r="A204" s="26" t="str">
        <f aca="false">Entities!$A$33</f>
        <v>AU</v>
      </c>
      <c r="B204" s="12" t="str">
        <f aca="false">INDEX(Entities!$B$5:$B$34,MATCH(A204,Entities!$A$5:$A$34,0))</f>
        <v>Arab Bank Australia</v>
      </c>
      <c r="C204" s="12" t="str">
        <f aca="false">INDEX(Entities!$D$5:$D$34,MATCH(A204,Entities!$A$5:$A$34,0))</f>
        <v>Asia-Pacific</v>
      </c>
      <c r="D204" s="12" t="s">
        <v>272</v>
      </c>
      <c r="E204" s="12" t="str">
        <f aca="false">INDEX('Risk Taxonomy'!$B$5:$B$24,MATCH(D204,'Risk Taxonomy'!$A$5:$A$24,0))</f>
        <v>Sanctions</v>
      </c>
      <c r="F204" s="28" t="n">
        <f aca="false">IFERROR(SUMPRODUCT((Indicators!$B$5:$B$35=F$4)*Indicators!$N$5:$N$35*'Indicator Scores'!$AF$5:$AF$35)/SUMPRODUCT((Indicators!$B$5:$B$35=F$4)*Indicators!$N$5:$N$35*('Indicator Scores'!$AF$5:$AF$35&gt;0)),0)</f>
        <v>1.42857142857143</v>
      </c>
      <c r="G204" s="28" t="n">
        <f aca="false">IFERROR(SUMPRODUCT((Indicators!$B$5:$B$35=G$4)*Indicators!$N$5:$N$35*'Indicator Scores'!$AF$5:$AF$35)/SUMPRODUCT((Indicators!$B$5:$B$35=G$4)*Indicators!$N$5:$N$35*('Indicator Scores'!$AF$5:$AF$35&gt;0)),0)</f>
        <v>1.57142857142857</v>
      </c>
      <c r="H204" s="28" t="n">
        <f aca="false">IFERROR(SUMPRODUCT((Indicators!$B$5:$B$35=H$4)*Indicators!$N$5:$N$35*'Indicator Scores'!$AF$5:$AF$35)/SUMPRODUCT((Indicators!$B$5:$B$35=H$4)*Indicators!$N$5:$N$35*('Indicator Scores'!$AF$5:$AF$35&gt;0)),0)</f>
        <v>1.875</v>
      </c>
      <c r="I204" s="28" t="n">
        <f aca="false">IFERROR(SUMPRODUCT((Indicators!$B$5:$B$35=I$4)*Indicators!$N$5:$N$35*'Indicator Scores'!$AF$5:$AF$35)/SUMPRODUCT((Indicators!$B$5:$B$35=I$4)*Indicators!$N$5:$N$35*('Indicator Scores'!$AF$5:$AF$35&gt;0)),0)</f>
        <v>1</v>
      </c>
      <c r="J204" s="28" t="n">
        <f aca="false">IFERROR(SUMPRODUCT((Indicators!$B$5:$B$35=J$4)*Indicators!$N$5:$N$35*'Indicator Scores'!$AF$5:$AF$35)/SUMPRODUCT((Indicators!$B$5:$B$35=J$4)*Indicators!$N$5:$N$35*('Indicator Scores'!$AF$5:$AF$35&gt;0)),0)</f>
        <v>1</v>
      </c>
      <c r="K204" s="28" t="n">
        <f aca="false">IFERROR(SUMPRODUCT(F204:J204,INDEX('Factor Weights'!$C$5:$G$11,MATCH(D204,'Factor Weights'!$A$5:$A$11,0),0))/SUMPRODUCT((F204:J204&gt;0)*INDEX('Factor Weights'!$C$5:$G$11,MATCH(D204,'Factor Weights'!$A$5:$A$11,0),0)),0)</f>
        <v>1.46785714285714</v>
      </c>
      <c r="L204" s="29" t="n">
        <f aca="false">MAX(F204:J204)</f>
        <v>1.875</v>
      </c>
      <c r="M204" s="28" t="n">
        <f aca="false">IF(L204&gt;=Config!$C$13,MAX(K204,Config!$C$14),K204)</f>
        <v>1.46785714285714</v>
      </c>
      <c r="N204" s="30" t="n">
        <f aca="false">IF(Config!$C$12="Weighted average",K204,IF(Config!$C$12="Weighted with floor",M204,L204))</f>
        <v>1.46785714285714</v>
      </c>
      <c r="O204" s="31" t="n">
        <f aca="false">IF(N204&lt;Config!$D$5,"",MATCH(N204,Config!$D$5:$D$9,1))</f>
        <v>1</v>
      </c>
      <c r="P204" s="7" t="str">
        <f aca="false">IF(O204="","No data",INDEX(Config!$B$5:$B$9,O204))</f>
        <v>Low</v>
      </c>
      <c r="Q204" s="32" t="n">
        <v>0</v>
      </c>
      <c r="R204" s="8"/>
      <c r="S204" s="33"/>
      <c r="T204" s="34" t="n">
        <f aca="false">IF(O204="","",IF(AND(S204="Y",Q204&lt;&gt;0),MAX(1,MIN(5,O204+MAX(-Config!$C$27,MIN(Config!$C$27,Q204)))),O204))</f>
        <v>1</v>
      </c>
      <c r="U204" s="35" t="str">
        <f aca="false">IF(T204="","No data",INDEX(Config!$B$5:$B$9,T204))</f>
        <v>Low</v>
      </c>
      <c r="V204" s="7" t="str">
        <f aca="false">IF(Q204=0,"None",IF(S204="Y","Applied","Pending HO approval"))</f>
        <v>None</v>
      </c>
      <c r="W204" s="36" t="n">
        <f aca="false">SUMPRODUCT((Indicators!$N$5:$N$35&gt;0)*('Indicator Data'!$AF$5:$AF$35&lt;&gt;""))/SUMPRODUCT(--(Indicators!$N$5:$N$35&gt;0))</f>
        <v>1</v>
      </c>
    </row>
    <row r="205" customFormat="false" ht="15" hidden="false" customHeight="false" outlineLevel="0" collapsed="false">
      <c r="A205" s="26" t="str">
        <f aca="false">Entities!$A$33</f>
        <v>AU</v>
      </c>
      <c r="B205" s="12" t="str">
        <f aca="false">INDEX(Entities!$B$5:$B$34,MATCH(A205,Entities!$A$5:$A$34,0))</f>
        <v>Arab Bank Australia</v>
      </c>
      <c r="C205" s="12" t="str">
        <f aca="false">INDEX(Entities!$D$5:$D$34,MATCH(A205,Entities!$A$5:$A$34,0))</f>
        <v>Asia-Pacific</v>
      </c>
      <c r="D205" s="12" t="s">
        <v>275</v>
      </c>
      <c r="E205" s="12" t="str">
        <f aca="false">INDEX('Risk Taxonomy'!$B$5:$B$24,MATCH(D205,'Risk Taxonomy'!$A$5:$A$24,0))</f>
        <v>Bribery and corruption</v>
      </c>
      <c r="F205" s="28" t="n">
        <f aca="false">IFERROR(SUMPRODUCT((Indicators!$B$5:$B$35=F$4)*Indicators!$O$5:$O$35*'Indicator Scores'!$AF$5:$AF$35)/SUMPRODUCT((Indicators!$B$5:$B$35=F$4)*Indicators!$O$5:$O$35*('Indicator Scores'!$AF$5:$AF$35&gt;0)),0)</f>
        <v>1.22222222222222</v>
      </c>
      <c r="G205" s="28" t="n">
        <f aca="false">IFERROR(SUMPRODUCT((Indicators!$B$5:$B$35=G$4)*Indicators!$O$5:$O$35*'Indicator Scores'!$AF$5:$AF$35)/SUMPRODUCT((Indicators!$B$5:$B$35=G$4)*Indicators!$O$5:$O$35*('Indicator Scores'!$AF$5:$AF$35&gt;0)),0)</f>
        <v>2</v>
      </c>
      <c r="H205" s="28" t="n">
        <f aca="false">IFERROR(SUMPRODUCT((Indicators!$B$5:$B$35=H$4)*Indicators!$O$5:$O$35*'Indicator Scores'!$AF$5:$AF$35)/SUMPRODUCT((Indicators!$B$5:$B$35=H$4)*Indicators!$O$5:$O$35*('Indicator Scores'!$AF$5:$AF$35&gt;0)),0)</f>
        <v>2</v>
      </c>
      <c r="I205" s="28" t="n">
        <f aca="false">IFERROR(SUMPRODUCT((Indicators!$B$5:$B$35=I$4)*Indicators!$O$5:$O$35*'Indicator Scores'!$AF$5:$AF$35)/SUMPRODUCT((Indicators!$B$5:$B$35=I$4)*Indicators!$O$5:$O$35*('Indicator Scores'!$AF$5:$AF$35&gt;0)),0)</f>
        <v>1</v>
      </c>
      <c r="J205" s="28" t="n">
        <f aca="false">IFERROR(SUMPRODUCT((Indicators!$B$5:$B$35=J$4)*Indicators!$O$5:$O$35*'Indicator Scores'!$AF$5:$AF$35)/SUMPRODUCT((Indicators!$B$5:$B$35=J$4)*Indicators!$O$5:$O$35*('Indicator Scores'!$AF$5:$AF$35&gt;0)),0)</f>
        <v>1</v>
      </c>
      <c r="K205" s="28" t="n">
        <f aca="false">IFERROR(SUMPRODUCT(F205:J205,INDEX('Factor Weights'!$C$5:$G$11,MATCH(D205,'Factor Weights'!$A$5:$A$11,0),0))/SUMPRODUCT((F205:J205&gt;0)*INDEX('Factor Weights'!$C$5:$G$11,MATCH(D205,'Factor Weights'!$A$5:$A$11,0),0)),0)</f>
        <v>1.46666666666667</v>
      </c>
      <c r="L205" s="29" t="n">
        <f aca="false">MAX(F205:J205)</f>
        <v>2</v>
      </c>
      <c r="M205" s="28" t="n">
        <f aca="false">IF(L205&gt;=Config!$C$13,MAX(K205,Config!$C$14),K205)</f>
        <v>1.46666666666667</v>
      </c>
      <c r="N205" s="30" t="n">
        <f aca="false">IF(Config!$C$12="Weighted average",K205,IF(Config!$C$12="Weighted with floor",M205,L205))</f>
        <v>1.46666666666667</v>
      </c>
      <c r="O205" s="31" t="n">
        <f aca="false">IF(N205&lt;Config!$D$5,"",MATCH(N205,Config!$D$5:$D$9,1))</f>
        <v>1</v>
      </c>
      <c r="P205" s="7" t="str">
        <f aca="false">IF(O205="","No data",INDEX(Config!$B$5:$B$9,O205))</f>
        <v>Low</v>
      </c>
      <c r="Q205" s="32" t="n">
        <v>0</v>
      </c>
      <c r="R205" s="8"/>
      <c r="S205" s="33"/>
      <c r="T205" s="34" t="n">
        <f aca="false">IF(O205="","",IF(AND(S205="Y",Q205&lt;&gt;0),MAX(1,MIN(5,O205+MAX(-Config!$C$27,MIN(Config!$C$27,Q205)))),O205))</f>
        <v>1</v>
      </c>
      <c r="U205" s="35" t="str">
        <f aca="false">IF(T205="","No data",INDEX(Config!$B$5:$B$9,T205))</f>
        <v>Low</v>
      </c>
      <c r="V205" s="7" t="str">
        <f aca="false">IF(Q205=0,"None",IF(S205="Y","Applied","Pending HO approval"))</f>
        <v>None</v>
      </c>
      <c r="W205" s="36" t="n">
        <f aca="false">SUMPRODUCT((Indicators!$O$5:$O$35&gt;0)*('Indicator Data'!$AF$5:$AF$35&lt;&gt;""))/SUMPRODUCT(--(Indicators!$O$5:$O$35&gt;0))</f>
        <v>1</v>
      </c>
    </row>
    <row r="206" customFormat="false" ht="15" hidden="false" customHeight="false" outlineLevel="0" collapsed="false">
      <c r="A206" s="26" t="str">
        <f aca="false">Entities!$A$33</f>
        <v>AU</v>
      </c>
      <c r="B206" s="12" t="str">
        <f aca="false">INDEX(Entities!$B$5:$B$34,MATCH(A206,Entities!$A$5:$A$34,0))</f>
        <v>Arab Bank Australia</v>
      </c>
      <c r="C206" s="12" t="str">
        <f aca="false">INDEX(Entities!$D$5:$D$34,MATCH(A206,Entities!$A$5:$A$34,0))</f>
        <v>Asia-Pacific</v>
      </c>
      <c r="D206" s="12" t="s">
        <v>278</v>
      </c>
      <c r="E206" s="12" t="str">
        <f aca="false">INDEX('Risk Taxonomy'!$B$5:$B$24,MATCH(D206,'Risk Taxonomy'!$A$5:$A$24,0))</f>
        <v>Fraud</v>
      </c>
      <c r="F206" s="28" t="n">
        <f aca="false">IFERROR(SUMPRODUCT((Indicators!$B$5:$B$35=F$4)*Indicators!$P$5:$P$35*'Indicator Scores'!$AF$5:$AF$35)/SUMPRODUCT((Indicators!$B$5:$B$35=F$4)*Indicators!$P$5:$P$35*('Indicator Scores'!$AF$5:$AF$35&gt;0)),0)</f>
        <v>2</v>
      </c>
      <c r="G206" s="28" t="n">
        <f aca="false">IFERROR(SUMPRODUCT((Indicators!$B$5:$B$35=G$4)*Indicators!$P$5:$P$35*'Indicator Scores'!$AF$5:$AF$35)/SUMPRODUCT((Indicators!$B$5:$B$35=G$4)*Indicators!$P$5:$P$35*('Indicator Scores'!$AF$5:$AF$35&gt;0)),0)</f>
        <v>2</v>
      </c>
      <c r="H206" s="28" t="n">
        <f aca="false">IFERROR(SUMPRODUCT((Indicators!$B$5:$B$35=H$4)*Indicators!$P$5:$P$35*'Indicator Scores'!$AF$5:$AF$35)/SUMPRODUCT((Indicators!$B$5:$B$35=H$4)*Indicators!$P$5:$P$35*('Indicator Scores'!$AF$5:$AF$35&gt;0)),0)</f>
        <v>2.2</v>
      </c>
      <c r="I206" s="28" t="n">
        <f aca="false">IFERROR(SUMPRODUCT((Indicators!$B$5:$B$35=I$4)*Indicators!$P$5:$P$35*'Indicator Scores'!$AF$5:$AF$35)/SUMPRODUCT((Indicators!$B$5:$B$35=I$4)*Indicators!$P$5:$P$35*('Indicator Scores'!$AF$5:$AF$35&gt;0)),0)</f>
        <v>1.22222222222222</v>
      </c>
      <c r="J206" s="28" t="n">
        <f aca="false">IFERROR(SUMPRODUCT((Indicators!$B$5:$B$35=J$4)*Indicators!$P$5:$P$35*'Indicator Scores'!$AF$5:$AF$35)/SUMPRODUCT((Indicators!$B$5:$B$35=J$4)*Indicators!$P$5:$P$35*('Indicator Scores'!$AF$5:$AF$35&gt;0)),0)</f>
        <v>1.6</v>
      </c>
      <c r="K206" s="28" t="n">
        <f aca="false">IFERROR(SUMPRODUCT(F206:J206,INDEX('Factor Weights'!$C$5:$G$11,MATCH(D206,'Factor Weights'!$A$5:$A$11,0),0))/SUMPRODUCT((F206:J206&gt;0)*INDEX('Factor Weights'!$C$5:$G$11,MATCH(D206,'Factor Weights'!$A$5:$A$11,0),0)),0)</f>
        <v>1.72666666666667</v>
      </c>
      <c r="L206" s="29" t="n">
        <f aca="false">MAX(F206:J206)</f>
        <v>2.2</v>
      </c>
      <c r="M206" s="28" t="n">
        <f aca="false">IF(L206&gt;=Config!$C$13,MAX(K206,Config!$C$14),K206)</f>
        <v>1.72666666666667</v>
      </c>
      <c r="N206" s="30" t="n">
        <f aca="false">IF(Config!$C$12="Weighted average",K206,IF(Config!$C$12="Weighted with floor",M206,L206))</f>
        <v>1.72666666666667</v>
      </c>
      <c r="O206" s="31" t="n">
        <f aca="false">IF(N206&lt;Config!$D$5,"",MATCH(N206,Config!$D$5:$D$9,1))</f>
        <v>1</v>
      </c>
      <c r="P206" s="7" t="str">
        <f aca="false">IF(O206="","No data",INDEX(Config!$B$5:$B$9,O206))</f>
        <v>Low</v>
      </c>
      <c r="Q206" s="32" t="n">
        <v>0</v>
      </c>
      <c r="R206" s="8"/>
      <c r="S206" s="33"/>
      <c r="T206" s="34" t="n">
        <f aca="false">IF(O206="","",IF(AND(S206="Y",Q206&lt;&gt;0),MAX(1,MIN(5,O206+MAX(-Config!$C$27,MIN(Config!$C$27,Q206)))),O206))</f>
        <v>1</v>
      </c>
      <c r="U206" s="35" t="str">
        <f aca="false">IF(T206="","No data",INDEX(Config!$B$5:$B$9,T206))</f>
        <v>Low</v>
      </c>
      <c r="V206" s="7" t="str">
        <f aca="false">IF(Q206=0,"None",IF(S206="Y","Applied","Pending HO approval"))</f>
        <v>None</v>
      </c>
      <c r="W206" s="36" t="n">
        <f aca="false">SUMPRODUCT((Indicators!$P$5:$P$35&gt;0)*('Indicator Data'!$AF$5:$AF$35&lt;&gt;""))/SUMPRODUCT(--(Indicators!$P$5:$P$35&gt;0))</f>
        <v>1</v>
      </c>
    </row>
    <row r="207" customFormat="false" ht="15" hidden="false" customHeight="false" outlineLevel="0" collapsed="false">
      <c r="A207" s="26" t="str">
        <f aca="false">Entities!$A$33</f>
        <v>AU</v>
      </c>
      <c r="B207" s="12" t="str">
        <f aca="false">INDEX(Entities!$B$5:$B$34,MATCH(A207,Entities!$A$5:$A$34,0))</f>
        <v>Arab Bank Australia</v>
      </c>
      <c r="C207" s="12" t="str">
        <f aca="false">INDEX(Entities!$D$5:$D$34,MATCH(A207,Entities!$A$5:$A$34,0))</f>
        <v>Asia-Pacific</v>
      </c>
      <c r="D207" s="12" t="s">
        <v>281</v>
      </c>
      <c r="E207" s="12" t="str">
        <f aca="false">INDEX('Risk Taxonomy'!$B$5:$B$24,MATCH(D207,'Risk Taxonomy'!$A$5:$A$24,0))</f>
        <v>Tax evasion and tax transparency</v>
      </c>
      <c r="F207" s="28" t="n">
        <f aca="false">IFERROR(SUMPRODUCT((Indicators!$B$5:$B$35=F$4)*Indicators!$Q$5:$Q$35*'Indicator Scores'!$AF$5:$AF$35)/SUMPRODUCT((Indicators!$B$5:$B$35=F$4)*Indicators!$Q$5:$Q$35*('Indicator Scores'!$AF$5:$AF$35&gt;0)),0)</f>
        <v>1.66666666666667</v>
      </c>
      <c r="G207" s="28" t="n">
        <f aca="false">IFERROR(SUMPRODUCT((Indicators!$B$5:$B$35=G$4)*Indicators!$Q$5:$Q$35*'Indicator Scores'!$AF$5:$AF$35)/SUMPRODUCT((Indicators!$B$5:$B$35=G$4)*Indicators!$Q$5:$Q$35*('Indicator Scores'!$AF$5:$AF$35&gt;0)),0)</f>
        <v>2</v>
      </c>
      <c r="H207" s="28" t="n">
        <f aca="false">IFERROR(SUMPRODUCT((Indicators!$B$5:$B$35=H$4)*Indicators!$Q$5:$Q$35*'Indicator Scores'!$AF$5:$AF$35)/SUMPRODUCT((Indicators!$B$5:$B$35=H$4)*Indicators!$Q$5:$Q$35*('Indicator Scores'!$AF$5:$AF$35&gt;0)),0)</f>
        <v>2.5</v>
      </c>
      <c r="I207" s="28" t="n">
        <f aca="false">IFERROR(SUMPRODUCT((Indicators!$B$5:$B$35=I$4)*Indicators!$Q$5:$Q$35*'Indicator Scores'!$AF$5:$AF$35)/SUMPRODUCT((Indicators!$B$5:$B$35=I$4)*Indicators!$Q$5:$Q$35*('Indicator Scores'!$AF$5:$AF$35&gt;0)),0)</f>
        <v>1</v>
      </c>
      <c r="J207" s="28" t="n">
        <f aca="false">IFERROR(SUMPRODUCT((Indicators!$B$5:$B$35=J$4)*Indicators!$Q$5:$Q$35*'Indicator Scores'!$AF$5:$AF$35)/SUMPRODUCT((Indicators!$B$5:$B$35=J$4)*Indicators!$Q$5:$Q$35*('Indicator Scores'!$AF$5:$AF$35&gt;0)),0)</f>
        <v>1</v>
      </c>
      <c r="K207" s="28" t="n">
        <f aca="false">IFERROR(SUMPRODUCT(F207:J207,INDEX('Factor Weights'!$C$5:$G$11,MATCH(D207,'Factor Weights'!$A$5:$A$11,0),0))/SUMPRODUCT((F207:J207&gt;0)*INDEX('Factor Weights'!$C$5:$G$11,MATCH(D207,'Factor Weights'!$A$5:$A$11,0),0)),0)</f>
        <v>1.78333333333333</v>
      </c>
      <c r="L207" s="29" t="n">
        <f aca="false">MAX(F207:J207)</f>
        <v>2.5</v>
      </c>
      <c r="M207" s="28" t="n">
        <f aca="false">IF(L207&gt;=Config!$C$13,MAX(K207,Config!$C$14),K207)</f>
        <v>1.78333333333333</v>
      </c>
      <c r="N207" s="30" t="n">
        <f aca="false">IF(Config!$C$12="Weighted average",K207,IF(Config!$C$12="Weighted with floor",M207,L207))</f>
        <v>1.78333333333333</v>
      </c>
      <c r="O207" s="31" t="n">
        <f aca="false">IF(N207&lt;Config!$D$5,"",MATCH(N207,Config!$D$5:$D$9,1))</f>
        <v>1</v>
      </c>
      <c r="P207" s="7" t="str">
        <f aca="false">IF(O207="","No data",INDEX(Config!$B$5:$B$9,O207))</f>
        <v>Low</v>
      </c>
      <c r="Q207" s="32" t="n">
        <v>0</v>
      </c>
      <c r="R207" s="8"/>
      <c r="S207" s="33"/>
      <c r="T207" s="34" t="n">
        <f aca="false">IF(O207="","",IF(AND(S207="Y",Q207&lt;&gt;0),MAX(1,MIN(5,O207+MAX(-Config!$C$27,MIN(Config!$C$27,Q207)))),O207))</f>
        <v>1</v>
      </c>
      <c r="U207" s="35" t="str">
        <f aca="false">IF(T207="","No data",INDEX(Config!$B$5:$B$9,T207))</f>
        <v>Low</v>
      </c>
      <c r="V207" s="7" t="str">
        <f aca="false">IF(Q207=0,"None",IF(S207="Y","Applied","Pending HO approval"))</f>
        <v>None</v>
      </c>
      <c r="W207" s="36" t="n">
        <f aca="false">SUMPRODUCT((Indicators!$Q$5:$Q$35&gt;0)*('Indicator Data'!$AF$5:$AF$35&lt;&gt;""))/SUMPRODUCT(--(Indicators!$Q$5:$Q$35&gt;0))</f>
        <v>1</v>
      </c>
    </row>
    <row r="208" customFormat="false" ht="15" hidden="false" customHeight="false" outlineLevel="0" collapsed="false">
      <c r="A208" s="26" t="str">
        <f aca="false">Entities!$A$34</f>
        <v>US</v>
      </c>
      <c r="B208" s="12" t="str">
        <f aca="false">INDEX(Entities!$B$5:$B$34,MATCH(A208,Entities!$A$5:$A$34,0))</f>
        <v>Arab Bank – United States (if retained)</v>
      </c>
      <c r="C208" s="12" t="str">
        <f aca="false">INDEX(Entities!$D$5:$D$34,MATCH(A208,Entities!$A$5:$A$34,0))</f>
        <v>Americas</v>
      </c>
      <c r="D208" s="12" t="s">
        <v>260</v>
      </c>
      <c r="E208" s="12" t="str">
        <f aca="false">INDEX('Risk Taxonomy'!$B$5:$B$24,MATCH(D208,'Risk Taxonomy'!$A$5:$A$24,0))</f>
        <v>Money laundering</v>
      </c>
      <c r="F208" s="28" t="n">
        <f aca="false">IFERROR(SUMPRODUCT((Indicators!$B$5:$B$35=F$4)*Indicators!$K$5:$K$35*'Indicator Scores'!$AG$5:$AG$35)/SUMPRODUCT((Indicators!$B$5:$B$35=F$4)*Indicators!$K$5:$K$35*('Indicator Scores'!$AG$5:$AG$35&gt;0)),0)</f>
        <v>1.41666666666667</v>
      </c>
      <c r="G208" s="28" t="n">
        <f aca="false">IFERROR(SUMPRODUCT((Indicators!$B$5:$B$35=G$4)*Indicators!$K$5:$K$35*'Indicator Scores'!$AG$5:$AG$35)/SUMPRODUCT((Indicators!$B$5:$B$35=G$4)*Indicators!$K$5:$K$35*('Indicator Scores'!$AG$5:$AG$35&gt;0)),0)</f>
        <v>2.11111111111111</v>
      </c>
      <c r="H208" s="28" t="n">
        <f aca="false">IFERROR(SUMPRODUCT((Indicators!$B$5:$B$35=H$4)*Indicators!$K$5:$K$35*'Indicator Scores'!$AG$5:$AG$35)/SUMPRODUCT((Indicators!$B$5:$B$35=H$4)*Indicators!$K$5:$K$35*('Indicator Scores'!$AG$5:$AG$35&gt;0)),0)</f>
        <v>1.3</v>
      </c>
      <c r="I208" s="28" t="n">
        <f aca="false">IFERROR(SUMPRODUCT((Indicators!$B$5:$B$35=I$4)*Indicators!$K$5:$K$35*'Indicator Scores'!$AG$5:$AG$35)/SUMPRODUCT((Indicators!$B$5:$B$35=I$4)*Indicators!$K$5:$K$35*('Indicator Scores'!$AG$5:$AG$35&gt;0)),0)</f>
        <v>2</v>
      </c>
      <c r="J208" s="28" t="n">
        <f aca="false">IFERROR(SUMPRODUCT((Indicators!$B$5:$B$35=J$4)*Indicators!$K$5:$K$35*'Indicator Scores'!$AG$5:$AG$35)/SUMPRODUCT((Indicators!$B$5:$B$35=J$4)*Indicators!$K$5:$K$35*('Indicator Scores'!$AG$5:$AG$35&gt;0)),0)</f>
        <v>1.66666666666667</v>
      </c>
      <c r="K208" s="28" t="n">
        <f aca="false">IFERROR(SUMPRODUCT(F208:J208,INDEX('Factor Weights'!$C$5:$G$11,MATCH(D208,'Factor Weights'!$A$5:$A$11,0),0))/SUMPRODUCT((F208:J208&gt;0)*INDEX('Factor Weights'!$C$5:$G$11,MATCH(D208,'Factor Weights'!$A$5:$A$11,0),0)),0)</f>
        <v>1.67944444444444</v>
      </c>
      <c r="L208" s="29" t="n">
        <f aca="false">MAX(F208:J208)</f>
        <v>2.11111111111111</v>
      </c>
      <c r="M208" s="28" t="n">
        <f aca="false">IF(L208&gt;=Config!$C$13,MAX(K208,Config!$C$14),K208)</f>
        <v>1.67944444444444</v>
      </c>
      <c r="N208" s="30" t="n">
        <f aca="false">IF(Config!$C$12="Weighted average",K208,IF(Config!$C$12="Weighted with floor",M208,L208))</f>
        <v>1.67944444444444</v>
      </c>
      <c r="O208" s="31" t="n">
        <f aca="false">IF(N208&lt;Config!$D$5,"",MATCH(N208,Config!$D$5:$D$9,1))</f>
        <v>1</v>
      </c>
      <c r="P208" s="7" t="str">
        <f aca="false">IF(O208="","No data",INDEX(Config!$B$5:$B$9,O208))</f>
        <v>Low</v>
      </c>
      <c r="Q208" s="32" t="n">
        <v>0</v>
      </c>
      <c r="R208" s="8"/>
      <c r="S208" s="33"/>
      <c r="T208" s="34" t="n">
        <f aca="false">IF(O208="","",IF(AND(S208="Y",Q208&lt;&gt;0),MAX(1,MIN(5,O208+MAX(-Config!$C$27,MIN(Config!$C$27,Q208)))),O208))</f>
        <v>1</v>
      </c>
      <c r="U208" s="35" t="str">
        <f aca="false">IF(T208="","No data",INDEX(Config!$B$5:$B$9,T208))</f>
        <v>Low</v>
      </c>
      <c r="V208" s="7" t="str">
        <f aca="false">IF(Q208=0,"None",IF(S208="Y","Applied","Pending HO approval"))</f>
        <v>None</v>
      </c>
      <c r="W208" s="36" t="n">
        <f aca="false">SUMPRODUCT((Indicators!$K$5:$K$35&gt;0)*('Indicator Data'!$AG$5:$AG$35&lt;&gt;""))/SUMPRODUCT(--(Indicators!$K$5:$K$35&gt;0))</f>
        <v>0.925925925925926</v>
      </c>
    </row>
    <row r="209" customFormat="false" ht="15" hidden="false" customHeight="false" outlineLevel="0" collapsed="false">
      <c r="A209" s="26" t="str">
        <f aca="false">Entities!$A$34</f>
        <v>US</v>
      </c>
      <c r="B209" s="12" t="str">
        <f aca="false">INDEX(Entities!$B$5:$B$34,MATCH(A209,Entities!$A$5:$A$34,0))</f>
        <v>Arab Bank – United States (if retained)</v>
      </c>
      <c r="C209" s="12" t="str">
        <f aca="false">INDEX(Entities!$D$5:$D$34,MATCH(A209,Entities!$A$5:$A$34,0))</f>
        <v>Americas</v>
      </c>
      <c r="D209" s="12" t="s">
        <v>267</v>
      </c>
      <c r="E209" s="12" t="str">
        <f aca="false">INDEX('Risk Taxonomy'!$B$5:$B$24,MATCH(D209,'Risk Taxonomy'!$A$5:$A$24,0))</f>
        <v>Terrorist financing</v>
      </c>
      <c r="F209" s="28" t="n">
        <f aca="false">IFERROR(SUMPRODUCT((Indicators!$B$5:$B$35=F$4)*Indicators!$L$5:$L$35*'Indicator Scores'!$AG$5:$AG$35)/SUMPRODUCT((Indicators!$B$5:$B$35=F$4)*Indicators!$L$5:$L$35*('Indicator Scores'!$AG$5:$AG$35&gt;0)),0)</f>
        <v>1.4</v>
      </c>
      <c r="G209" s="28" t="n">
        <f aca="false">IFERROR(SUMPRODUCT((Indicators!$B$5:$B$35=G$4)*Indicators!$L$5:$L$35*'Indicator Scores'!$AG$5:$AG$35)/SUMPRODUCT((Indicators!$B$5:$B$35=G$4)*Indicators!$L$5:$L$35*('Indicator Scores'!$AG$5:$AG$35&gt;0)),0)</f>
        <v>1.88888888888889</v>
      </c>
      <c r="H209" s="28" t="n">
        <f aca="false">IFERROR(SUMPRODUCT((Indicators!$B$5:$B$35=H$4)*Indicators!$L$5:$L$35*'Indicator Scores'!$AG$5:$AG$35)/SUMPRODUCT((Indicators!$B$5:$B$35=H$4)*Indicators!$L$5:$L$35*('Indicator Scores'!$AG$5:$AG$35&gt;0)),0)</f>
        <v>1.66666666666667</v>
      </c>
      <c r="I209" s="28" t="n">
        <f aca="false">IFERROR(SUMPRODUCT((Indicators!$B$5:$B$35=I$4)*Indicators!$L$5:$L$35*'Indicator Scores'!$AG$5:$AG$35)/SUMPRODUCT((Indicators!$B$5:$B$35=I$4)*Indicators!$L$5:$L$35*('Indicator Scores'!$AG$5:$AG$35&gt;0)),0)</f>
        <v>2</v>
      </c>
      <c r="J209" s="28" t="n">
        <f aca="false">IFERROR(SUMPRODUCT((Indicators!$B$5:$B$35=J$4)*Indicators!$L$5:$L$35*'Indicator Scores'!$AG$5:$AG$35)/SUMPRODUCT((Indicators!$B$5:$B$35=J$4)*Indicators!$L$5:$L$35*('Indicator Scores'!$AG$5:$AG$35&gt;0)),0)</f>
        <v>1.57142857142857</v>
      </c>
      <c r="K209" s="28" t="n">
        <f aca="false">IFERROR(SUMPRODUCT(F209:J209,INDEX('Factor Weights'!$C$5:$G$11,MATCH(D209,'Factor Weights'!$A$5:$A$11,0),0))/SUMPRODUCT((F209:J209&gt;0)*INDEX('Factor Weights'!$C$5:$G$11,MATCH(D209,'Factor Weights'!$A$5:$A$11,0),0)),0)</f>
        <v>1.68095238095238</v>
      </c>
      <c r="L209" s="29" t="n">
        <f aca="false">MAX(F209:J209)</f>
        <v>2</v>
      </c>
      <c r="M209" s="28" t="n">
        <f aca="false">IF(L209&gt;=Config!$C$13,MAX(K209,Config!$C$14),K209)</f>
        <v>1.68095238095238</v>
      </c>
      <c r="N209" s="30" t="n">
        <f aca="false">IF(Config!$C$12="Weighted average",K209,IF(Config!$C$12="Weighted with floor",M209,L209))</f>
        <v>1.68095238095238</v>
      </c>
      <c r="O209" s="31" t="n">
        <f aca="false">IF(N209&lt;Config!$D$5,"",MATCH(N209,Config!$D$5:$D$9,1))</f>
        <v>1</v>
      </c>
      <c r="P209" s="7" t="str">
        <f aca="false">IF(O209="","No data",INDEX(Config!$B$5:$B$9,O209))</f>
        <v>Low</v>
      </c>
      <c r="Q209" s="32" t="n">
        <v>0</v>
      </c>
      <c r="R209" s="8"/>
      <c r="S209" s="33"/>
      <c r="T209" s="34" t="n">
        <f aca="false">IF(O209="","",IF(AND(S209="Y",Q209&lt;&gt;0),MAX(1,MIN(5,O209+MAX(-Config!$C$27,MIN(Config!$C$27,Q209)))),O209))</f>
        <v>1</v>
      </c>
      <c r="U209" s="35" t="str">
        <f aca="false">IF(T209="","No data",INDEX(Config!$B$5:$B$9,T209))</f>
        <v>Low</v>
      </c>
      <c r="V209" s="7" t="str">
        <f aca="false">IF(Q209=0,"None",IF(S209="Y","Applied","Pending HO approval"))</f>
        <v>None</v>
      </c>
      <c r="W209" s="36" t="n">
        <f aca="false">SUMPRODUCT((Indicators!$L$5:$L$35&gt;0)*('Indicator Data'!$AG$5:$AG$35&lt;&gt;""))/SUMPRODUCT(--(Indicators!$L$5:$L$35&gt;0))</f>
        <v>0.954545454545455</v>
      </c>
    </row>
    <row r="210" customFormat="false" ht="15" hidden="false" customHeight="false" outlineLevel="0" collapsed="false">
      <c r="A210" s="26" t="str">
        <f aca="false">Entities!$A$34</f>
        <v>US</v>
      </c>
      <c r="B210" s="12" t="str">
        <f aca="false">INDEX(Entities!$B$5:$B$34,MATCH(A210,Entities!$A$5:$A$34,0))</f>
        <v>Arab Bank – United States (if retained)</v>
      </c>
      <c r="C210" s="12" t="str">
        <f aca="false">INDEX(Entities!$D$5:$D$34,MATCH(A210,Entities!$A$5:$A$34,0))</f>
        <v>Americas</v>
      </c>
      <c r="D210" s="12" t="s">
        <v>270</v>
      </c>
      <c r="E210" s="12" t="str">
        <f aca="false">INDEX('Risk Taxonomy'!$B$5:$B$24,MATCH(D210,'Risk Taxonomy'!$A$5:$A$24,0))</f>
        <v>Proliferation financing</v>
      </c>
      <c r="F210" s="28" t="n">
        <f aca="false">IFERROR(SUMPRODUCT((Indicators!$B$5:$B$35=F$4)*Indicators!$M$5:$M$35*'Indicator Scores'!$AG$5:$AG$35)/SUMPRODUCT((Indicators!$B$5:$B$35=F$4)*Indicators!$M$5:$M$35*('Indicator Scores'!$AG$5:$AG$35&gt;0)),0)</f>
        <v>1.5</v>
      </c>
      <c r="G210" s="28" t="n">
        <f aca="false">IFERROR(SUMPRODUCT((Indicators!$B$5:$B$35=G$4)*Indicators!$M$5:$M$35*'Indicator Scores'!$AG$5:$AG$35)/SUMPRODUCT((Indicators!$B$5:$B$35=G$4)*Indicators!$M$5:$M$35*('Indicator Scores'!$AG$5:$AG$35&gt;0)),0)</f>
        <v>2</v>
      </c>
      <c r="H210" s="28" t="n">
        <f aca="false">IFERROR(SUMPRODUCT((Indicators!$B$5:$B$35=H$4)*Indicators!$M$5:$M$35*'Indicator Scores'!$AG$5:$AG$35)/SUMPRODUCT((Indicators!$B$5:$B$35=H$4)*Indicators!$M$5:$M$35*('Indicator Scores'!$AG$5:$AG$35&gt;0)),0)</f>
        <v>1.22222222222222</v>
      </c>
      <c r="I210" s="28" t="n">
        <f aca="false">IFERROR(SUMPRODUCT((Indicators!$B$5:$B$35=I$4)*Indicators!$M$5:$M$35*'Indicator Scores'!$AG$5:$AG$35)/SUMPRODUCT((Indicators!$B$5:$B$35=I$4)*Indicators!$M$5:$M$35*('Indicator Scores'!$AG$5:$AG$35&gt;0)),0)</f>
        <v>2</v>
      </c>
      <c r="J210" s="28" t="n">
        <f aca="false">IFERROR(SUMPRODUCT((Indicators!$B$5:$B$35=J$4)*Indicators!$M$5:$M$35*'Indicator Scores'!$AG$5:$AG$35)/SUMPRODUCT((Indicators!$B$5:$B$35=J$4)*Indicators!$M$5:$M$35*('Indicator Scores'!$AG$5:$AG$35&gt;0)),0)</f>
        <v>1</v>
      </c>
      <c r="K210" s="28" t="n">
        <f aca="false">IFERROR(SUMPRODUCT(F210:J210,INDEX('Factor Weights'!$C$5:$G$11,MATCH(D210,'Factor Weights'!$A$5:$A$11,0),0))/SUMPRODUCT((F210:J210&gt;0)*INDEX('Factor Weights'!$C$5:$G$11,MATCH(D210,'Factor Weights'!$A$5:$A$11,0),0)),0)</f>
        <v>1.49166666666667</v>
      </c>
      <c r="L210" s="29" t="n">
        <f aca="false">MAX(F210:J210)</f>
        <v>2</v>
      </c>
      <c r="M210" s="28" t="n">
        <f aca="false">IF(L210&gt;=Config!$C$13,MAX(K210,Config!$C$14),K210)</f>
        <v>1.49166666666667</v>
      </c>
      <c r="N210" s="30" t="n">
        <f aca="false">IF(Config!$C$12="Weighted average",K210,IF(Config!$C$12="Weighted with floor",M210,L210))</f>
        <v>1.49166666666667</v>
      </c>
      <c r="O210" s="31" t="n">
        <f aca="false">IF(N210&lt;Config!$D$5,"",MATCH(N210,Config!$D$5:$D$9,1))</f>
        <v>1</v>
      </c>
      <c r="P210" s="7" t="str">
        <f aca="false">IF(O210="","No data",INDEX(Config!$B$5:$B$9,O210))</f>
        <v>Low</v>
      </c>
      <c r="Q210" s="32" t="n">
        <v>0</v>
      </c>
      <c r="R210" s="8"/>
      <c r="S210" s="33"/>
      <c r="T210" s="34" t="n">
        <f aca="false">IF(O210="","",IF(AND(S210="Y",Q210&lt;&gt;0),MAX(1,MIN(5,O210+MAX(-Config!$C$27,MIN(Config!$C$27,Q210)))),O210))</f>
        <v>1</v>
      </c>
      <c r="U210" s="35" t="str">
        <f aca="false">IF(T210="","No data",INDEX(Config!$B$5:$B$9,T210))</f>
        <v>Low</v>
      </c>
      <c r="V210" s="7" t="str">
        <f aca="false">IF(Q210=0,"None",IF(S210="Y","Applied","Pending HO approval"))</f>
        <v>None</v>
      </c>
      <c r="W210" s="36" t="n">
        <f aca="false">SUMPRODUCT((Indicators!$M$5:$M$35&gt;0)*('Indicator Data'!$AG$5:$AG$35&lt;&gt;""))/SUMPRODUCT(--(Indicators!$M$5:$M$35&gt;0))</f>
        <v>0.866666666666667</v>
      </c>
    </row>
    <row r="211" customFormat="false" ht="15" hidden="false" customHeight="false" outlineLevel="0" collapsed="false">
      <c r="A211" s="26" t="str">
        <f aca="false">Entities!$A$34</f>
        <v>US</v>
      </c>
      <c r="B211" s="12" t="str">
        <f aca="false">INDEX(Entities!$B$5:$B$34,MATCH(A211,Entities!$A$5:$A$34,0))</f>
        <v>Arab Bank – United States (if retained)</v>
      </c>
      <c r="C211" s="12" t="str">
        <f aca="false">INDEX(Entities!$D$5:$D$34,MATCH(A211,Entities!$A$5:$A$34,0))</f>
        <v>Americas</v>
      </c>
      <c r="D211" s="12" t="s">
        <v>272</v>
      </c>
      <c r="E211" s="12" t="str">
        <f aca="false">INDEX('Risk Taxonomy'!$B$5:$B$24,MATCH(D211,'Risk Taxonomy'!$A$5:$A$24,0))</f>
        <v>Sanctions</v>
      </c>
      <c r="F211" s="28" t="n">
        <f aca="false">IFERROR(SUMPRODUCT((Indicators!$B$5:$B$35=F$4)*Indicators!$N$5:$N$35*'Indicator Scores'!$AG$5:$AG$35)/SUMPRODUCT((Indicators!$B$5:$B$35=F$4)*Indicators!$N$5:$N$35*('Indicator Scores'!$AG$5:$AG$35&gt;0)),0)</f>
        <v>1.42857142857143</v>
      </c>
      <c r="G211" s="28" t="n">
        <f aca="false">IFERROR(SUMPRODUCT((Indicators!$B$5:$B$35=G$4)*Indicators!$N$5:$N$35*'Indicator Scores'!$AG$5:$AG$35)/SUMPRODUCT((Indicators!$B$5:$B$35=G$4)*Indicators!$N$5:$N$35*('Indicator Scores'!$AG$5:$AG$35&gt;0)),0)</f>
        <v>2</v>
      </c>
      <c r="H211" s="28" t="n">
        <f aca="false">IFERROR(SUMPRODUCT((Indicators!$B$5:$B$35=H$4)*Indicators!$N$5:$N$35*'Indicator Scores'!$AG$5:$AG$35)/SUMPRODUCT((Indicators!$B$5:$B$35=H$4)*Indicators!$N$5:$N$35*('Indicator Scores'!$AG$5:$AG$35&gt;0)),0)</f>
        <v>1.25</v>
      </c>
      <c r="I211" s="28" t="n">
        <f aca="false">IFERROR(SUMPRODUCT((Indicators!$B$5:$B$35=I$4)*Indicators!$N$5:$N$35*'Indicator Scores'!$AG$5:$AG$35)/SUMPRODUCT((Indicators!$B$5:$B$35=I$4)*Indicators!$N$5:$N$35*('Indicator Scores'!$AG$5:$AG$35&gt;0)),0)</f>
        <v>2</v>
      </c>
      <c r="J211" s="28" t="n">
        <f aca="false">IFERROR(SUMPRODUCT((Indicators!$B$5:$B$35=J$4)*Indicators!$N$5:$N$35*'Indicator Scores'!$AG$5:$AG$35)/SUMPRODUCT((Indicators!$B$5:$B$35=J$4)*Indicators!$N$5:$N$35*('Indicator Scores'!$AG$5:$AG$35&gt;0)),0)</f>
        <v>1</v>
      </c>
      <c r="K211" s="28" t="n">
        <f aca="false">IFERROR(SUMPRODUCT(F211:J211,INDEX('Factor Weights'!$C$5:$G$11,MATCH(D211,'Factor Weights'!$A$5:$A$11,0),0))/SUMPRODUCT((F211:J211&gt;0)*INDEX('Factor Weights'!$C$5:$G$11,MATCH(D211,'Factor Weights'!$A$5:$A$11,0),0)),0)</f>
        <v>1.56428571428571</v>
      </c>
      <c r="L211" s="29" t="n">
        <f aca="false">MAX(F211:J211)</f>
        <v>2</v>
      </c>
      <c r="M211" s="28" t="n">
        <f aca="false">IF(L211&gt;=Config!$C$13,MAX(K211,Config!$C$14),K211)</f>
        <v>1.56428571428571</v>
      </c>
      <c r="N211" s="30" t="n">
        <f aca="false">IF(Config!$C$12="Weighted average",K211,IF(Config!$C$12="Weighted with floor",M211,L211))</f>
        <v>1.56428571428571</v>
      </c>
      <c r="O211" s="31" t="n">
        <f aca="false">IF(N211&lt;Config!$D$5,"",MATCH(N211,Config!$D$5:$D$9,1))</f>
        <v>1</v>
      </c>
      <c r="P211" s="7" t="str">
        <f aca="false">IF(O211="","No data",INDEX(Config!$B$5:$B$9,O211))</f>
        <v>Low</v>
      </c>
      <c r="Q211" s="32" t="n">
        <v>0</v>
      </c>
      <c r="R211" s="8"/>
      <c r="S211" s="33"/>
      <c r="T211" s="34" t="n">
        <f aca="false">IF(O211="","",IF(AND(S211="Y",Q211&lt;&gt;0),MAX(1,MIN(5,O211+MAX(-Config!$C$27,MIN(Config!$C$27,Q211)))),O211))</f>
        <v>1</v>
      </c>
      <c r="U211" s="35" t="str">
        <f aca="false">IF(T211="","No data",INDEX(Config!$B$5:$B$9,T211))</f>
        <v>Low</v>
      </c>
      <c r="V211" s="7" t="str">
        <f aca="false">IF(Q211=0,"None",IF(S211="Y","Applied","Pending HO approval"))</f>
        <v>None</v>
      </c>
      <c r="W211" s="36" t="n">
        <f aca="false">SUMPRODUCT((Indicators!$N$5:$N$35&gt;0)*('Indicator Data'!$AG$5:$AG$35&lt;&gt;""))/SUMPRODUCT(--(Indicators!$N$5:$N$35&gt;0))</f>
        <v>0.888888888888889</v>
      </c>
    </row>
    <row r="212" customFormat="false" ht="15" hidden="false" customHeight="false" outlineLevel="0" collapsed="false">
      <c r="A212" s="26" t="str">
        <f aca="false">Entities!$A$34</f>
        <v>US</v>
      </c>
      <c r="B212" s="12" t="str">
        <f aca="false">INDEX(Entities!$B$5:$B$34,MATCH(A212,Entities!$A$5:$A$34,0))</f>
        <v>Arab Bank – United States (if retained)</v>
      </c>
      <c r="C212" s="12" t="str">
        <f aca="false">INDEX(Entities!$D$5:$D$34,MATCH(A212,Entities!$A$5:$A$34,0))</f>
        <v>Americas</v>
      </c>
      <c r="D212" s="12" t="s">
        <v>275</v>
      </c>
      <c r="E212" s="12" t="str">
        <f aca="false">INDEX('Risk Taxonomy'!$B$5:$B$24,MATCH(D212,'Risk Taxonomy'!$A$5:$A$24,0))</f>
        <v>Bribery and corruption</v>
      </c>
      <c r="F212" s="28" t="n">
        <f aca="false">IFERROR(SUMPRODUCT((Indicators!$B$5:$B$35=F$4)*Indicators!$O$5:$O$35*'Indicator Scores'!$AG$5:$AG$35)/SUMPRODUCT((Indicators!$B$5:$B$35=F$4)*Indicators!$O$5:$O$35*('Indicator Scores'!$AG$5:$AG$35&gt;0)),0)</f>
        <v>1.11111111111111</v>
      </c>
      <c r="G212" s="28" t="n">
        <f aca="false">IFERROR(SUMPRODUCT((Indicators!$B$5:$B$35=G$4)*Indicators!$O$5:$O$35*'Indicator Scores'!$AG$5:$AG$35)/SUMPRODUCT((Indicators!$B$5:$B$35=G$4)*Indicators!$O$5:$O$35*('Indicator Scores'!$AG$5:$AG$35&gt;0)),0)</f>
        <v>2.2</v>
      </c>
      <c r="H212" s="28" t="n">
        <f aca="false">IFERROR(SUMPRODUCT((Indicators!$B$5:$B$35=H$4)*Indicators!$O$5:$O$35*'Indicator Scores'!$AG$5:$AG$35)/SUMPRODUCT((Indicators!$B$5:$B$35=H$4)*Indicators!$O$5:$O$35*('Indicator Scores'!$AG$5:$AG$35&gt;0)),0)</f>
        <v>1</v>
      </c>
      <c r="I212" s="28" t="n">
        <f aca="false">IFERROR(SUMPRODUCT((Indicators!$B$5:$B$35=I$4)*Indicators!$O$5:$O$35*'Indicator Scores'!$AG$5:$AG$35)/SUMPRODUCT((Indicators!$B$5:$B$35=I$4)*Indicators!$O$5:$O$35*('Indicator Scores'!$AG$5:$AG$35&gt;0)),0)</f>
        <v>1.4</v>
      </c>
      <c r="J212" s="28" t="n">
        <f aca="false">IFERROR(SUMPRODUCT((Indicators!$B$5:$B$35=J$4)*Indicators!$O$5:$O$35*'Indicator Scores'!$AG$5:$AG$35)/SUMPRODUCT((Indicators!$B$5:$B$35=J$4)*Indicators!$O$5:$O$35*('Indicator Scores'!$AG$5:$AG$35&gt;0)),0)</f>
        <v>0</v>
      </c>
      <c r="K212" s="28" t="n">
        <f aca="false">IFERROR(SUMPRODUCT(F212:J212,INDEX('Factor Weights'!$C$5:$G$11,MATCH(D212,'Factor Weights'!$A$5:$A$11,0),0))/SUMPRODUCT((F212:J212&gt;0)*INDEX('Factor Weights'!$C$5:$G$11,MATCH(D212,'Factor Weights'!$A$5:$A$11,0),0)),0)</f>
        <v>1.45925925925926</v>
      </c>
      <c r="L212" s="29" t="n">
        <f aca="false">MAX(F212:J212)</f>
        <v>2.2</v>
      </c>
      <c r="M212" s="28" t="n">
        <f aca="false">IF(L212&gt;=Config!$C$13,MAX(K212,Config!$C$14),K212)</f>
        <v>1.45925925925926</v>
      </c>
      <c r="N212" s="30" t="n">
        <f aca="false">IF(Config!$C$12="Weighted average",K212,IF(Config!$C$12="Weighted with floor",M212,L212))</f>
        <v>1.45925925925926</v>
      </c>
      <c r="O212" s="31" t="n">
        <f aca="false">IF(N212&lt;Config!$D$5,"",MATCH(N212,Config!$D$5:$D$9,1))</f>
        <v>1</v>
      </c>
      <c r="P212" s="7" t="str">
        <f aca="false">IF(O212="","No data",INDEX(Config!$B$5:$B$9,O212))</f>
        <v>Low</v>
      </c>
      <c r="Q212" s="32" t="n">
        <v>0</v>
      </c>
      <c r="R212" s="8"/>
      <c r="S212" s="33"/>
      <c r="T212" s="34" t="n">
        <f aca="false">IF(O212="","",IF(AND(S212="Y",Q212&lt;&gt;0),MAX(1,MIN(5,O212+MAX(-Config!$C$27,MIN(Config!$C$27,Q212)))),O212))</f>
        <v>1</v>
      </c>
      <c r="U212" s="35" t="str">
        <f aca="false">IF(T212="","No data",INDEX(Config!$B$5:$B$9,T212))</f>
        <v>Low</v>
      </c>
      <c r="V212" s="7" t="str">
        <f aca="false">IF(Q212=0,"None",IF(S212="Y","Applied","Pending HO approval"))</f>
        <v>None</v>
      </c>
      <c r="W212" s="36" t="n">
        <f aca="false">SUMPRODUCT((Indicators!$O$5:$O$35&gt;0)*('Indicator Data'!$AG$5:$AG$35&lt;&gt;""))/SUMPRODUCT(--(Indicators!$O$5:$O$35&gt;0))</f>
        <v>0.923076923076923</v>
      </c>
    </row>
    <row r="213" customFormat="false" ht="15" hidden="false" customHeight="false" outlineLevel="0" collapsed="false">
      <c r="A213" s="26" t="str">
        <f aca="false">Entities!$A$34</f>
        <v>US</v>
      </c>
      <c r="B213" s="12" t="str">
        <f aca="false">INDEX(Entities!$B$5:$B$34,MATCH(A213,Entities!$A$5:$A$34,0))</f>
        <v>Arab Bank – United States (if retained)</v>
      </c>
      <c r="C213" s="12" t="str">
        <f aca="false">INDEX(Entities!$D$5:$D$34,MATCH(A213,Entities!$A$5:$A$34,0))</f>
        <v>Americas</v>
      </c>
      <c r="D213" s="12" t="s">
        <v>278</v>
      </c>
      <c r="E213" s="12" t="str">
        <f aca="false">INDEX('Risk Taxonomy'!$B$5:$B$24,MATCH(D213,'Risk Taxonomy'!$A$5:$A$24,0))</f>
        <v>Fraud</v>
      </c>
      <c r="F213" s="28" t="n">
        <f aca="false">IFERROR(SUMPRODUCT((Indicators!$B$5:$B$35=F$4)*Indicators!$P$5:$P$35*'Indicator Scores'!$AG$5:$AG$35)/SUMPRODUCT((Indicators!$B$5:$B$35=F$4)*Indicators!$P$5:$P$35*('Indicator Scores'!$AG$5:$AG$35&gt;0)),0)</f>
        <v>1.66666666666667</v>
      </c>
      <c r="G213" s="28" t="n">
        <f aca="false">IFERROR(SUMPRODUCT((Indicators!$B$5:$B$35=G$4)*Indicators!$P$5:$P$35*'Indicator Scores'!$AG$5:$AG$35)/SUMPRODUCT((Indicators!$B$5:$B$35=G$4)*Indicators!$P$5:$P$35*('Indicator Scores'!$AG$5:$AG$35&gt;0)),0)</f>
        <v>2</v>
      </c>
      <c r="H213" s="28" t="n">
        <f aca="false">IFERROR(SUMPRODUCT((Indicators!$B$5:$B$35=H$4)*Indicators!$P$5:$P$35*'Indicator Scores'!$AG$5:$AG$35)/SUMPRODUCT((Indicators!$B$5:$B$35=H$4)*Indicators!$P$5:$P$35*('Indicator Scores'!$AG$5:$AG$35&gt;0)),0)</f>
        <v>1.4</v>
      </c>
      <c r="I213" s="28" t="n">
        <f aca="false">IFERROR(SUMPRODUCT((Indicators!$B$5:$B$35=I$4)*Indicators!$P$5:$P$35*'Indicator Scores'!$AG$5:$AG$35)/SUMPRODUCT((Indicators!$B$5:$B$35=I$4)*Indicators!$P$5:$P$35*('Indicator Scores'!$AG$5:$AG$35&gt;0)),0)</f>
        <v>2</v>
      </c>
      <c r="J213" s="28" t="n">
        <f aca="false">IFERROR(SUMPRODUCT((Indicators!$B$5:$B$35=J$4)*Indicators!$P$5:$P$35*'Indicator Scores'!$AG$5:$AG$35)/SUMPRODUCT((Indicators!$B$5:$B$35=J$4)*Indicators!$P$5:$P$35*('Indicator Scores'!$AG$5:$AG$35&gt;0)),0)</f>
        <v>2.8</v>
      </c>
      <c r="K213" s="28" t="n">
        <f aca="false">IFERROR(SUMPRODUCT(F213:J213,INDEX('Factor Weights'!$C$5:$G$11,MATCH(D213,'Factor Weights'!$A$5:$A$11,0),0))/SUMPRODUCT((F213:J213&gt;0)*INDEX('Factor Weights'!$C$5:$G$11,MATCH(D213,'Factor Weights'!$A$5:$A$11,0),0)),0)</f>
        <v>1.97333333333333</v>
      </c>
      <c r="L213" s="29" t="n">
        <f aca="false">MAX(F213:J213)</f>
        <v>2.8</v>
      </c>
      <c r="M213" s="28" t="n">
        <f aca="false">IF(L213&gt;=Config!$C$13,MAX(K213,Config!$C$14),K213)</f>
        <v>1.97333333333333</v>
      </c>
      <c r="N213" s="30" t="n">
        <f aca="false">IF(Config!$C$12="Weighted average",K213,IF(Config!$C$12="Weighted with floor",M213,L213))</f>
        <v>1.97333333333333</v>
      </c>
      <c r="O213" s="31" t="n">
        <f aca="false">IF(N213&lt;Config!$D$5,"",MATCH(N213,Config!$D$5:$D$9,1))</f>
        <v>2</v>
      </c>
      <c r="P213" s="7" t="str">
        <f aca="false">IF(O213="","No data",INDEX(Config!$B$5:$B$9,O213))</f>
        <v>Medium-Low</v>
      </c>
      <c r="Q213" s="32" t="n">
        <v>0</v>
      </c>
      <c r="R213" s="8"/>
      <c r="S213" s="33"/>
      <c r="T213" s="34" t="n">
        <f aca="false">IF(O213="","",IF(AND(S213="Y",Q213&lt;&gt;0),MAX(1,MIN(5,O213+MAX(-Config!$C$27,MIN(Config!$C$27,Q213)))),O213))</f>
        <v>2</v>
      </c>
      <c r="U213" s="35" t="str">
        <f aca="false">IF(T213="","No data",INDEX(Config!$B$5:$B$9,T213))</f>
        <v>Medium-Low</v>
      </c>
      <c r="V213" s="7" t="str">
        <f aca="false">IF(Q213=0,"None",IF(S213="Y","Applied","Pending HO approval"))</f>
        <v>None</v>
      </c>
      <c r="W213" s="36" t="n">
        <f aca="false">SUMPRODUCT((Indicators!$P$5:$P$35&gt;0)*('Indicator Data'!$AG$5:$AG$35&lt;&gt;""))/SUMPRODUCT(--(Indicators!$P$5:$P$35&gt;0))</f>
        <v>0.941176470588235</v>
      </c>
    </row>
    <row r="214" customFormat="false" ht="15" hidden="false" customHeight="false" outlineLevel="0" collapsed="false">
      <c r="A214" s="26" t="str">
        <f aca="false">Entities!$A$34</f>
        <v>US</v>
      </c>
      <c r="B214" s="12" t="str">
        <f aca="false">INDEX(Entities!$B$5:$B$34,MATCH(A214,Entities!$A$5:$A$34,0))</f>
        <v>Arab Bank – United States (if retained)</v>
      </c>
      <c r="C214" s="12" t="str">
        <f aca="false">INDEX(Entities!$D$5:$D$34,MATCH(A214,Entities!$A$5:$A$34,0))</f>
        <v>Americas</v>
      </c>
      <c r="D214" s="12" t="s">
        <v>281</v>
      </c>
      <c r="E214" s="12" t="str">
        <f aca="false">INDEX('Risk Taxonomy'!$B$5:$B$24,MATCH(D214,'Risk Taxonomy'!$A$5:$A$24,0))</f>
        <v>Tax evasion and tax transparency</v>
      </c>
      <c r="F214" s="28" t="n">
        <f aca="false">IFERROR(SUMPRODUCT((Indicators!$B$5:$B$35=F$4)*Indicators!$Q$5:$Q$35*'Indicator Scores'!$AG$5:$AG$35)/SUMPRODUCT((Indicators!$B$5:$B$35=F$4)*Indicators!$Q$5:$Q$35*('Indicator Scores'!$AG$5:$AG$35&gt;0)),0)</f>
        <v>1.44444444444444</v>
      </c>
      <c r="G214" s="28" t="n">
        <f aca="false">IFERROR(SUMPRODUCT((Indicators!$B$5:$B$35=G$4)*Indicators!$Q$5:$Q$35*'Indicator Scores'!$AG$5:$AG$35)/SUMPRODUCT((Indicators!$B$5:$B$35=G$4)*Indicators!$Q$5:$Q$35*('Indicator Scores'!$AG$5:$AG$35&gt;0)),0)</f>
        <v>2.16666666666667</v>
      </c>
      <c r="H214" s="28" t="n">
        <f aca="false">IFERROR(SUMPRODUCT((Indicators!$B$5:$B$35=H$4)*Indicators!$Q$5:$Q$35*'Indicator Scores'!$AG$5:$AG$35)/SUMPRODUCT((Indicators!$B$5:$B$35=H$4)*Indicators!$Q$5:$Q$35*('Indicator Scores'!$AG$5:$AG$35&gt;0)),0)</f>
        <v>1.16666666666667</v>
      </c>
      <c r="I214" s="28" t="n">
        <f aca="false">IFERROR(SUMPRODUCT((Indicators!$B$5:$B$35=I$4)*Indicators!$Q$5:$Q$35*'Indicator Scores'!$AG$5:$AG$35)/SUMPRODUCT((Indicators!$B$5:$B$35=I$4)*Indicators!$Q$5:$Q$35*('Indicator Scores'!$AG$5:$AG$35&gt;0)),0)</f>
        <v>2</v>
      </c>
      <c r="J214" s="28" t="n">
        <f aca="false">IFERROR(SUMPRODUCT((Indicators!$B$5:$B$35=J$4)*Indicators!$Q$5:$Q$35*'Indicator Scores'!$AG$5:$AG$35)/SUMPRODUCT((Indicators!$B$5:$B$35=J$4)*Indicators!$Q$5:$Q$35*('Indicator Scores'!$AG$5:$AG$35&gt;0)),0)</f>
        <v>1.6</v>
      </c>
      <c r="K214" s="28" t="n">
        <f aca="false">IFERROR(SUMPRODUCT(F214:J214,INDEX('Factor Weights'!$C$5:$G$11,MATCH(D214,'Factor Weights'!$A$5:$A$11,0),0))/SUMPRODUCT((F214:J214&gt;0)*INDEX('Factor Weights'!$C$5:$G$11,MATCH(D214,'Factor Weights'!$A$5:$A$11,0),0)),0)</f>
        <v>1.64055555555556</v>
      </c>
      <c r="L214" s="29" t="n">
        <f aca="false">MAX(F214:J214)</f>
        <v>2.16666666666667</v>
      </c>
      <c r="M214" s="28" t="n">
        <f aca="false">IF(L214&gt;=Config!$C$13,MAX(K214,Config!$C$14),K214)</f>
        <v>1.64055555555556</v>
      </c>
      <c r="N214" s="30" t="n">
        <f aca="false">IF(Config!$C$12="Weighted average",K214,IF(Config!$C$12="Weighted with floor",M214,L214))</f>
        <v>1.64055555555556</v>
      </c>
      <c r="O214" s="31" t="n">
        <f aca="false">IF(N214&lt;Config!$D$5,"",MATCH(N214,Config!$D$5:$D$9,1))</f>
        <v>1</v>
      </c>
      <c r="P214" s="7" t="str">
        <f aca="false">IF(O214="","No data",INDEX(Config!$B$5:$B$9,O214))</f>
        <v>Low</v>
      </c>
      <c r="Q214" s="32" t="n">
        <v>0</v>
      </c>
      <c r="R214" s="8"/>
      <c r="S214" s="33"/>
      <c r="T214" s="34" t="n">
        <f aca="false">IF(O214="","",IF(AND(S214="Y",Q214&lt;&gt;0),MAX(1,MIN(5,O214+MAX(-Config!$C$27,MIN(Config!$C$27,Q214)))),O214))</f>
        <v>1</v>
      </c>
      <c r="U214" s="35" t="str">
        <f aca="false">IF(T214="","No data",INDEX(Config!$B$5:$B$9,T214))</f>
        <v>Low</v>
      </c>
      <c r="V214" s="7" t="str">
        <f aca="false">IF(Q214=0,"None",IF(S214="Y","Applied","Pending HO approval"))</f>
        <v>None</v>
      </c>
      <c r="W214" s="36" t="n">
        <f aca="false">SUMPRODUCT((Indicators!$Q$5:$Q$35&gt;0)*('Indicator Data'!$AG$5:$AG$35&lt;&gt;""))/SUMPRODUCT(--(Indicators!$Q$5:$Q$35&gt;0))</f>
        <v>1</v>
      </c>
    </row>
  </sheetData>
  <autoFilter ref="A4:W214"/>
  <conditionalFormatting sqref="O5:O214">
    <cfRule type="expression" priority="2" aboveAverage="0" equalAverage="0" bottom="0" percent="0" rank="0" text="" dxfId="0">
      <formula>O5=1</formula>
    </cfRule>
    <cfRule type="expression" priority="3" aboveAverage="0" equalAverage="0" bottom="0" percent="0" rank="0" text="" dxfId="1">
      <formula>O5=2</formula>
    </cfRule>
    <cfRule type="expression" priority="4" aboveAverage="0" equalAverage="0" bottom="0" percent="0" rank="0" text="" dxfId="2">
      <formula>O5=3</formula>
    </cfRule>
    <cfRule type="expression" priority="5" aboveAverage="0" equalAverage="0" bottom="0" percent="0" rank="0" text="" dxfId="3">
      <formula>O5=4</formula>
    </cfRule>
    <cfRule type="expression" priority="6" aboveAverage="0" equalAverage="0" bottom="0" percent="0" rank="0" text="" dxfId="4">
      <formula>O5=5</formula>
    </cfRule>
  </conditionalFormatting>
  <conditionalFormatting sqref="T5:T214">
    <cfRule type="expression" priority="7" aboveAverage="0" equalAverage="0" bottom="0" percent="0" rank="0" text="" dxfId="0">
      <formula>T5=1</formula>
    </cfRule>
    <cfRule type="expression" priority="8" aboveAverage="0" equalAverage="0" bottom="0" percent="0" rank="0" text="" dxfId="1">
      <formula>T5=2</formula>
    </cfRule>
    <cfRule type="expression" priority="9" aboveAverage="0" equalAverage="0" bottom="0" percent="0" rank="0" text="" dxfId="2">
      <formula>T5=3</formula>
    </cfRule>
    <cfRule type="expression" priority="10" aboveAverage="0" equalAverage="0" bottom="0" percent="0" rank="0" text="" dxfId="3">
      <formula>T5=4</formula>
    </cfRule>
    <cfRule type="expression" priority="11" aboveAverage="0" equalAverage="0" bottom="0" percent="0" rank="0" text="" dxfId="4">
      <formula>T5=5</formula>
    </cfRule>
  </conditionalFormatting>
  <dataValidations count="2">
    <dataValidation allowBlank="false" errorStyle="stop" operator="between" showDropDown="false" showErrorMessage="false" showInputMessage="false" sqref="S5:S214" type="list">
      <formula1>Config!$H$15:$H$16</formula1>
      <formula2>0</formula2>
    </dataValidation>
    <dataValidation allowBlank="false" errorStyle="stop" operator="between" showDropDown="false" showErrorMessage="false" showInputMessage="false" sqref="Q5:Q214" type="whole">
      <formula1>-4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10" min="7" style="0" width="11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10"/>
    <col collapsed="false" customWidth="true" hidden="false" outlineLevel="0" max="17" min="17" style="0" width="40"/>
    <col collapsed="false" customWidth="true" hidden="false" outlineLevel="0" max="19" min="18" style="0" width="10"/>
    <col collapsed="false" customWidth="true" hidden="false" outlineLevel="0" max="20" min="20" style="0" width="13"/>
    <col collapsed="false" customWidth="true" hidden="false" outlineLevel="0" max="21" min="21" style="0" width="18"/>
    <col collapsed="false" customWidth="true" hidden="false" outlineLevel="0" max="22" min="22" style="0" width="50"/>
  </cols>
  <sheetData>
    <row r="1" customFormat="false" ht="17.35" hidden="false" customHeight="false" outlineLevel="0" collapsed="false">
      <c r="A1" s="1" t="s">
        <v>460</v>
      </c>
    </row>
    <row r="2" customFormat="false" ht="15" hidden="false" customHeight="false" outlineLevel="0" collapsed="false">
      <c r="A2" s="2" t="s">
        <v>461</v>
      </c>
    </row>
    <row r="4" customFormat="false" ht="42" hidden="false" customHeight="true" outlineLevel="0" collapsed="false">
      <c r="A4" s="5" t="s">
        <v>134</v>
      </c>
      <c r="B4" s="5" t="s">
        <v>135</v>
      </c>
      <c r="C4" s="5" t="s">
        <v>137</v>
      </c>
      <c r="D4" s="5" t="s">
        <v>444</v>
      </c>
      <c r="E4" s="5" t="s">
        <v>327</v>
      </c>
      <c r="F4" s="5" t="s">
        <v>462</v>
      </c>
      <c r="G4" s="5" t="s">
        <v>463</v>
      </c>
      <c r="H4" s="5" t="s">
        <v>464</v>
      </c>
      <c r="I4" s="5" t="s">
        <v>465</v>
      </c>
      <c r="J4" s="5" t="s">
        <v>466</v>
      </c>
      <c r="K4" s="5" t="s">
        <v>467</v>
      </c>
      <c r="L4" s="5" t="s">
        <v>468</v>
      </c>
      <c r="M4" s="5" t="s">
        <v>469</v>
      </c>
      <c r="N4" s="5" t="s">
        <v>449</v>
      </c>
      <c r="O4" s="5" t="s">
        <v>450</v>
      </c>
      <c r="P4" s="5" t="s">
        <v>451</v>
      </c>
      <c r="Q4" s="5" t="s">
        <v>452</v>
      </c>
      <c r="R4" s="5" t="s">
        <v>453</v>
      </c>
      <c r="S4" s="5" t="s">
        <v>454</v>
      </c>
      <c r="T4" s="5" t="s">
        <v>455</v>
      </c>
      <c r="U4" s="5" t="s">
        <v>456</v>
      </c>
      <c r="V4" s="5" t="s">
        <v>470</v>
      </c>
    </row>
    <row r="5" customFormat="false" ht="15" hidden="false" customHeight="false" outlineLevel="0" collapsed="false">
      <c r="A5" s="26" t="str">
        <f aca="false">Entities!$A$5</f>
        <v>JO-HO</v>
      </c>
      <c r="B5" s="12" t="str">
        <f aca="false">INDEX(Entities!$B$5:$B$34,MATCH(A5,Entities!$A$5:$A$34,0))</f>
        <v>Arab Bank plc – Jordan (HO and domestic network)</v>
      </c>
      <c r="C5" s="12" t="str">
        <f aca="false">INDEX(Entities!$D$5:$D$34,MATCH(A5,Entities!$A$5:$A$34,0))</f>
        <v>Jordan (home)</v>
      </c>
      <c r="D5" s="12" t="s">
        <v>284</v>
      </c>
      <c r="E5" s="12" t="str">
        <f aca="false">INDEX('Risk Taxonomy'!$B$5:$B$24,MATCH(D5,'Risk Taxonomy'!$A$5:$A$24,0))</f>
        <v>Regulatory compliance</v>
      </c>
      <c r="F5" s="7" t="str">
        <f aca="false">IF(D5="RC-04",IF(INDEX(Entities!$G$5:$G$34,MATCH(A5,Entities!$A$5:$A$34,0))="Y","Yes","N/A"),"Yes")</f>
        <v>Yes</v>
      </c>
      <c r="G5" s="24" t="n">
        <v>4</v>
      </c>
      <c r="H5" s="24" t="n">
        <v>1</v>
      </c>
      <c r="I5" s="24" t="n">
        <v>4</v>
      </c>
      <c r="J5" s="24" t="n">
        <v>4</v>
      </c>
      <c r="K5" s="24" t="n">
        <v>3</v>
      </c>
      <c r="L5" s="37" t="n">
        <f aca="false">IF(F5="N/A","",IF(COUNT(H5:K5)=0,"",IF(Config!$C$19="Highest dimension",MAX(H5:K5),ROUND(H5*Config!$C$20+I5*Config!$C$21+J5*Config!$C$22+K5*Config!$C$23,1))))</f>
        <v>4</v>
      </c>
      <c r="M5" s="38" t="n">
        <f aca="false">IF(OR(L5="",G5=""),"",G5*L5)</f>
        <v>16</v>
      </c>
      <c r="N5" s="31" t="n">
        <f aca="false">IF(M5="","",MATCH(M5,Config!$E$5:$E$9,1))</f>
        <v>4</v>
      </c>
      <c r="O5" s="7" t="str">
        <f aca="false">IF(F5="N/A","N/A",IF(N5="","Not assessed",INDEX(Config!$B$5:$B$9,N5)))</f>
        <v>Medium-High</v>
      </c>
      <c r="P5" s="32" t="n">
        <v>0</v>
      </c>
      <c r="Q5" s="8"/>
      <c r="R5" s="33"/>
      <c r="S5" s="34" t="n">
        <f aca="false">IF(N5="","",IF(AND(R5="Y",P5&lt;&gt;0),MAX(1,MIN(5,N5+MAX(-Config!$C$27,MIN(Config!$C$27,P5)))),N5))</f>
        <v>4</v>
      </c>
      <c r="T5" s="35" t="str">
        <f aca="false">IF(F5="N/A","N/A",IF(S5="","Not assessed",INDEX(Config!$B$5:$B$9,S5)))</f>
        <v>Medium-High</v>
      </c>
      <c r="U5" s="7" t="str">
        <f aca="false">IF(P5=0,"None",IF(R5="Y","Applied","Pending HO approval"))</f>
        <v>None</v>
      </c>
      <c r="V5" s="8" t="s">
        <v>471</v>
      </c>
    </row>
    <row r="6" customFormat="false" ht="15" hidden="false" customHeight="false" outlineLevel="0" collapsed="false">
      <c r="A6" s="26" t="str">
        <f aca="false">Entities!$A$5</f>
        <v>JO-HO</v>
      </c>
      <c r="B6" s="12" t="str">
        <f aca="false">INDEX(Entities!$B$5:$B$34,MATCH(A6,Entities!$A$5:$A$34,0))</f>
        <v>Arab Bank plc – Jordan (HO and domestic network)</v>
      </c>
      <c r="C6" s="12" t="str">
        <f aca="false">INDEX(Entities!$D$5:$D$34,MATCH(A6,Entities!$A$5:$A$34,0))</f>
        <v>Jordan (home)</v>
      </c>
      <c r="D6" s="12" t="s">
        <v>288</v>
      </c>
      <c r="E6" s="12" t="str">
        <f aca="false">INDEX('Risk Taxonomy'!$B$5:$B$24,MATCH(D6,'Risk Taxonomy'!$A$5:$A$24,0))</f>
        <v>Conduct and consumer protection</v>
      </c>
      <c r="F6" s="7" t="str">
        <f aca="false">IF(D6="RC-04",IF(INDEX(Entities!$G$5:$G$34,MATCH(A6,Entities!$A$5:$A$34,0))="Y","Yes","N/A"),"Yes")</f>
        <v>Yes</v>
      </c>
      <c r="G6" s="24" t="n">
        <v>3</v>
      </c>
      <c r="H6" s="24" t="n">
        <v>2</v>
      </c>
      <c r="I6" s="24" t="n">
        <v>3</v>
      </c>
      <c r="J6" s="24" t="n">
        <v>2</v>
      </c>
      <c r="K6" s="24" t="n">
        <v>2</v>
      </c>
      <c r="L6" s="37" t="n">
        <f aca="false">IF(F6="N/A","",IF(COUNT(H6:K6)=0,"",IF(Config!$C$19="Highest dimension",MAX(H6:K6),ROUND(H6*Config!$C$20+I6*Config!$C$21+J6*Config!$C$22+K6*Config!$C$23,1))))</f>
        <v>3</v>
      </c>
      <c r="M6" s="38" t="n">
        <f aca="false">IF(OR(L6="",G6=""),"",G6*L6)</f>
        <v>9</v>
      </c>
      <c r="N6" s="31" t="n">
        <f aca="false">IF(M6="","",MATCH(M6,Config!$E$5:$E$9,1))</f>
        <v>3</v>
      </c>
      <c r="O6" s="7" t="str">
        <f aca="false">IF(F6="N/A","N/A",IF(N6="","Not assessed",INDEX(Config!$B$5:$B$9,N6)))</f>
        <v>Medium</v>
      </c>
      <c r="P6" s="32" t="n">
        <v>0</v>
      </c>
      <c r="Q6" s="8"/>
      <c r="R6" s="33"/>
      <c r="S6" s="34" t="n">
        <f aca="false">IF(N6="","",IF(AND(R6="Y",P6&lt;&gt;0),MAX(1,MIN(5,N6+MAX(-Config!$C$27,MIN(Config!$C$27,P6)))),N6))</f>
        <v>3</v>
      </c>
      <c r="T6" s="35" t="str">
        <f aca="false">IF(F6="N/A","N/A",IF(S6="","Not assessed",INDEX(Config!$B$5:$B$9,S6)))</f>
        <v>Medium</v>
      </c>
      <c r="U6" s="7" t="str">
        <f aca="false">IF(P6=0,"None",IF(R6="Y","Applied","Pending HO approval"))</f>
        <v>None</v>
      </c>
      <c r="V6" s="8"/>
    </row>
    <row r="7" customFormat="false" ht="15" hidden="false" customHeight="false" outlineLevel="0" collapsed="false">
      <c r="A7" s="26" t="str">
        <f aca="false">Entities!$A$5</f>
        <v>JO-HO</v>
      </c>
      <c r="B7" s="12" t="str">
        <f aca="false">INDEX(Entities!$B$5:$B$34,MATCH(A7,Entities!$A$5:$A$34,0))</f>
        <v>Arab Bank plc – Jordan (HO and domestic network)</v>
      </c>
      <c r="C7" s="12" t="str">
        <f aca="false">INDEX(Entities!$D$5:$D$34,MATCH(A7,Entities!$A$5:$A$34,0))</f>
        <v>Jordan (home)</v>
      </c>
      <c r="D7" s="12" t="s">
        <v>290</v>
      </c>
      <c r="E7" s="12" t="str">
        <f aca="false">INDEX('Risk Taxonomy'!$B$5:$B$24,MATCH(D7,'Risk Taxonomy'!$A$5:$A$24,0))</f>
        <v>Data protection and privacy</v>
      </c>
      <c r="F7" s="7" t="str">
        <f aca="false">IF(D7="RC-04",IF(INDEX(Entities!$G$5:$G$34,MATCH(A7,Entities!$A$5:$A$34,0))="Y","Yes","N/A"),"Yes")</f>
        <v>Yes</v>
      </c>
      <c r="G7" s="24" t="n">
        <v>3</v>
      </c>
      <c r="H7" s="24" t="n">
        <v>2</v>
      </c>
      <c r="I7" s="24" t="n">
        <v>3</v>
      </c>
      <c r="J7" s="24" t="n">
        <v>3</v>
      </c>
      <c r="K7" s="24" t="n">
        <v>2</v>
      </c>
      <c r="L7" s="37" t="n">
        <f aca="false">IF(F7="N/A","",IF(COUNT(H7:K7)=0,"",IF(Config!$C$19="Highest dimension",MAX(H7:K7),ROUND(H7*Config!$C$20+I7*Config!$C$21+J7*Config!$C$22+K7*Config!$C$23,1))))</f>
        <v>3</v>
      </c>
      <c r="M7" s="38" t="n">
        <f aca="false">IF(OR(L7="",G7=""),"",G7*L7)</f>
        <v>9</v>
      </c>
      <c r="N7" s="31" t="n">
        <f aca="false">IF(M7="","",MATCH(M7,Config!$E$5:$E$9,1))</f>
        <v>3</v>
      </c>
      <c r="O7" s="7" t="str">
        <f aca="false">IF(F7="N/A","N/A",IF(N7="","Not assessed",INDEX(Config!$B$5:$B$9,N7)))</f>
        <v>Medium</v>
      </c>
      <c r="P7" s="32" t="n">
        <v>0</v>
      </c>
      <c r="Q7" s="8"/>
      <c r="R7" s="33"/>
      <c r="S7" s="34" t="n">
        <f aca="false">IF(N7="","",IF(AND(R7="Y",P7&lt;&gt;0),MAX(1,MIN(5,N7+MAX(-Config!$C$27,MIN(Config!$C$27,P7)))),N7))</f>
        <v>3</v>
      </c>
      <c r="T7" s="35" t="str">
        <f aca="false">IF(F7="N/A","N/A",IF(S7="","Not assessed",INDEX(Config!$B$5:$B$9,S7)))</f>
        <v>Medium</v>
      </c>
      <c r="U7" s="7" t="str">
        <f aca="false">IF(P7=0,"None",IF(R7="Y","Applied","Pending HO approval"))</f>
        <v>None</v>
      </c>
      <c r="V7" s="8"/>
    </row>
    <row r="8" customFormat="false" ht="15" hidden="false" customHeight="false" outlineLevel="0" collapsed="false">
      <c r="A8" s="26" t="str">
        <f aca="false">Entities!$A$5</f>
        <v>JO-HO</v>
      </c>
      <c r="B8" s="12" t="str">
        <f aca="false">INDEX(Entities!$B$5:$B$34,MATCH(A8,Entities!$A$5:$A$34,0))</f>
        <v>Arab Bank plc – Jordan (HO and domestic network)</v>
      </c>
      <c r="C8" s="12" t="str">
        <f aca="false">INDEX(Entities!$D$5:$D$34,MATCH(A8,Entities!$A$5:$A$34,0))</f>
        <v>Jordan (home)</v>
      </c>
      <c r="D8" s="12" t="s">
        <v>293</v>
      </c>
      <c r="E8" s="12" t="str">
        <f aca="false">INDEX('Risk Taxonomy'!$B$5:$B$24,MATCH(D8,'Risk Taxonomy'!$A$5:$A$24,0))</f>
        <v>Shariah non-compliance</v>
      </c>
      <c r="F8" s="7" t="str">
        <f aca="false">IF(D8="RC-04",IF(INDEX(Entities!$G$5:$G$34,MATCH(A8,Entities!$A$5:$A$34,0))="Y","Yes","N/A"),"Yes")</f>
        <v>N/A</v>
      </c>
      <c r="G8" s="24"/>
      <c r="H8" s="24"/>
      <c r="I8" s="24"/>
      <c r="J8" s="24"/>
      <c r="K8" s="24"/>
      <c r="L8" s="37" t="str">
        <f aca="false">IF(F8="N/A","",IF(COUNT(H8:K8)=0,"",IF(Config!$C$19="Highest dimension",MAX(H8:K8),ROUND(H8*Config!$C$20+I8*Config!$C$21+J8*Config!$C$22+K8*Config!$C$23,1))))</f>
        <v/>
      </c>
      <c r="M8" s="38" t="str">
        <f aca="false">IF(OR(L8="",G8=""),"",G8*L8)</f>
        <v/>
      </c>
      <c r="N8" s="31" t="str">
        <f aca="false">IF(M8="","",MATCH(M8,Config!$E$5:$E$9,1))</f>
        <v/>
      </c>
      <c r="O8" s="7" t="str">
        <f aca="false">IF(F8="N/A","N/A",IF(N8="","Not assessed",INDEX(Config!$B$5:$B$9,N8)))</f>
        <v>N/A</v>
      </c>
      <c r="P8" s="32" t="n">
        <v>0</v>
      </c>
      <c r="Q8" s="8"/>
      <c r="R8" s="33"/>
      <c r="S8" s="34" t="str">
        <f aca="false">IF(N8="","",IF(AND(R8="Y",P8&lt;&gt;0),MAX(1,MIN(5,N8+MAX(-Config!$C$27,MIN(Config!$C$27,P8)))),N8))</f>
        <v/>
      </c>
      <c r="T8" s="35" t="str">
        <f aca="false">IF(F8="N/A","N/A",IF(S8="","Not assessed",INDEX(Config!$B$5:$B$9,S8)))</f>
        <v>N/A</v>
      </c>
      <c r="U8" s="7" t="str">
        <f aca="false">IF(P8=0,"None",IF(R8="Y","Applied","Pending HO approval"))</f>
        <v>None</v>
      </c>
      <c r="V8" s="8"/>
    </row>
    <row r="9" customFormat="false" ht="15" hidden="false" customHeight="false" outlineLevel="0" collapsed="false">
      <c r="A9" s="26" t="str">
        <f aca="false">Entities!$A$5</f>
        <v>JO-HO</v>
      </c>
      <c r="B9" s="12" t="str">
        <f aca="false">INDEX(Entities!$B$5:$B$34,MATCH(A9,Entities!$A$5:$A$34,0))</f>
        <v>Arab Bank plc – Jordan (HO and domestic network)</v>
      </c>
      <c r="C9" s="12" t="str">
        <f aca="false">INDEX(Entities!$D$5:$D$34,MATCH(A9,Entities!$A$5:$A$34,0))</f>
        <v>Jordan (home)</v>
      </c>
      <c r="D9" s="12" t="s">
        <v>297</v>
      </c>
      <c r="E9" s="12" t="str">
        <f aca="false">INDEX('Risk Taxonomy'!$B$5:$B$24,MATCH(D9,'Risk Taxonomy'!$A$5:$A$24,0))</f>
        <v>Credit risk</v>
      </c>
      <c r="F9" s="7" t="str">
        <f aca="false">IF(D9="RC-04",IF(INDEX(Entities!$G$5:$G$34,MATCH(A9,Entities!$A$5:$A$34,0))="Y","Yes","N/A"),"Yes")</f>
        <v>Yes</v>
      </c>
      <c r="G9" s="24" t="n">
        <v>3</v>
      </c>
      <c r="H9" s="24" t="n">
        <v>1</v>
      </c>
      <c r="I9" s="24" t="n">
        <v>3</v>
      </c>
      <c r="J9" s="24" t="n">
        <v>3</v>
      </c>
      <c r="K9" s="24" t="n">
        <v>3</v>
      </c>
      <c r="L9" s="37" t="n">
        <f aca="false">IF(F9="N/A","",IF(COUNT(H9:K9)=0,"",IF(Config!$C$19="Highest dimension",MAX(H9:K9),ROUND(H9*Config!$C$20+I9*Config!$C$21+J9*Config!$C$22+K9*Config!$C$23,1))))</f>
        <v>3</v>
      </c>
      <c r="M9" s="38" t="n">
        <f aca="false">IF(OR(L9="",G9=""),"",G9*L9)</f>
        <v>9</v>
      </c>
      <c r="N9" s="31" t="n">
        <f aca="false">IF(M9="","",MATCH(M9,Config!$E$5:$E$9,1))</f>
        <v>3</v>
      </c>
      <c r="O9" s="7" t="str">
        <f aca="false">IF(F9="N/A","N/A",IF(N9="","Not assessed",INDEX(Config!$B$5:$B$9,N9)))</f>
        <v>Medium</v>
      </c>
      <c r="P9" s="32" t="n">
        <v>0</v>
      </c>
      <c r="Q9" s="8"/>
      <c r="R9" s="33"/>
      <c r="S9" s="34" t="n">
        <f aca="false">IF(N9="","",IF(AND(R9="Y",P9&lt;&gt;0),MAX(1,MIN(5,N9+MAX(-Config!$C$27,MIN(Config!$C$27,P9)))),N9))</f>
        <v>3</v>
      </c>
      <c r="T9" s="35" t="str">
        <f aca="false">IF(F9="N/A","N/A",IF(S9="","Not assessed",INDEX(Config!$B$5:$B$9,S9)))</f>
        <v>Medium</v>
      </c>
      <c r="U9" s="7" t="str">
        <f aca="false">IF(P9=0,"None",IF(R9="Y","Applied","Pending HO approval"))</f>
        <v>None</v>
      </c>
      <c r="V9" s="8"/>
    </row>
    <row r="10" customFormat="false" ht="15" hidden="false" customHeight="false" outlineLevel="0" collapsed="false">
      <c r="A10" s="26" t="str">
        <f aca="false">Entities!$A$5</f>
        <v>JO-HO</v>
      </c>
      <c r="B10" s="12" t="str">
        <f aca="false">INDEX(Entities!$B$5:$B$34,MATCH(A10,Entities!$A$5:$A$34,0))</f>
        <v>Arab Bank plc – Jordan (HO and domestic network)</v>
      </c>
      <c r="C10" s="12" t="str">
        <f aca="false">INDEX(Entities!$D$5:$D$34,MATCH(A10,Entities!$A$5:$A$34,0))</f>
        <v>Jordan (home)</v>
      </c>
      <c r="D10" s="12" t="s">
        <v>302</v>
      </c>
      <c r="E10" s="12" t="str">
        <f aca="false">INDEX('Risk Taxonomy'!$B$5:$B$24,MATCH(D10,'Risk Taxonomy'!$A$5:$A$24,0))</f>
        <v>Market risk</v>
      </c>
      <c r="F10" s="7" t="str">
        <f aca="false">IF(D10="RC-04",IF(INDEX(Entities!$G$5:$G$34,MATCH(A10,Entities!$A$5:$A$34,0))="Y","Yes","N/A"),"Yes")</f>
        <v>Yes</v>
      </c>
      <c r="G10" s="24" t="n">
        <v>3</v>
      </c>
      <c r="H10" s="24" t="n">
        <v>4</v>
      </c>
      <c r="I10" s="24" t="n">
        <v>2</v>
      </c>
      <c r="J10" s="24" t="n">
        <v>3</v>
      </c>
      <c r="K10" s="24" t="n">
        <v>2</v>
      </c>
      <c r="L10" s="37" t="n">
        <f aca="false">IF(F10="N/A","",IF(COUNT(H10:K10)=0,"",IF(Config!$C$19="Highest dimension",MAX(H10:K10),ROUND(H10*Config!$C$20+I10*Config!$C$21+J10*Config!$C$22+K10*Config!$C$23,1))))</f>
        <v>4</v>
      </c>
      <c r="M10" s="38" t="n">
        <f aca="false">IF(OR(L10="",G10=""),"",G10*L10)</f>
        <v>12</v>
      </c>
      <c r="N10" s="31" t="n">
        <f aca="false">IF(M10="","",MATCH(M10,Config!$E$5:$E$9,1))</f>
        <v>3</v>
      </c>
      <c r="O10" s="7" t="str">
        <f aca="false">IF(F10="N/A","N/A",IF(N10="","Not assessed",INDEX(Config!$B$5:$B$9,N10)))</f>
        <v>Medium</v>
      </c>
      <c r="P10" s="32" t="n">
        <v>0</v>
      </c>
      <c r="Q10" s="8"/>
      <c r="R10" s="33"/>
      <c r="S10" s="34" t="n">
        <f aca="false">IF(N10="","",IF(AND(R10="Y",P10&lt;&gt;0),MAX(1,MIN(5,N10+MAX(-Config!$C$27,MIN(Config!$C$27,P10)))),N10))</f>
        <v>3</v>
      </c>
      <c r="T10" s="35" t="str">
        <f aca="false">IF(F10="N/A","N/A",IF(S10="","Not assessed",INDEX(Config!$B$5:$B$9,S10)))</f>
        <v>Medium</v>
      </c>
      <c r="U10" s="7" t="str">
        <f aca="false">IF(P10=0,"None",IF(R10="Y","Applied","Pending HO approval"))</f>
        <v>None</v>
      </c>
      <c r="V10" s="8"/>
    </row>
    <row r="11" customFormat="false" ht="15" hidden="false" customHeight="false" outlineLevel="0" collapsed="false">
      <c r="A11" s="26" t="str">
        <f aca="false">Entities!$A$5</f>
        <v>JO-HO</v>
      </c>
      <c r="B11" s="12" t="str">
        <f aca="false">INDEX(Entities!$B$5:$B$34,MATCH(A11,Entities!$A$5:$A$34,0))</f>
        <v>Arab Bank plc – Jordan (HO and domestic network)</v>
      </c>
      <c r="C11" s="12" t="str">
        <f aca="false">INDEX(Entities!$D$5:$D$34,MATCH(A11,Entities!$A$5:$A$34,0))</f>
        <v>Jordan (home)</v>
      </c>
      <c r="D11" s="12" t="s">
        <v>304</v>
      </c>
      <c r="E11" s="12" t="str">
        <f aca="false">INDEX('Risk Taxonomy'!$B$5:$B$24,MATCH(D11,'Risk Taxonomy'!$A$5:$A$24,0))</f>
        <v>Liquidity and funding risk</v>
      </c>
      <c r="F11" s="7" t="str">
        <f aca="false">IF(D11="RC-04",IF(INDEX(Entities!$G$5:$G$34,MATCH(A11,Entities!$A$5:$A$34,0))="Y","Yes","N/A"),"Yes")</f>
        <v>Yes</v>
      </c>
      <c r="G11" s="24" t="n">
        <v>3</v>
      </c>
      <c r="H11" s="24" t="n">
        <v>3</v>
      </c>
      <c r="I11" s="24" t="n">
        <v>3</v>
      </c>
      <c r="J11" s="24" t="n">
        <v>4</v>
      </c>
      <c r="K11" s="24" t="n">
        <v>2</v>
      </c>
      <c r="L11" s="37" t="n">
        <f aca="false">IF(F11="N/A","",IF(COUNT(H11:K11)=0,"",IF(Config!$C$19="Highest dimension",MAX(H11:K11),ROUND(H11*Config!$C$20+I11*Config!$C$21+J11*Config!$C$22+K11*Config!$C$23,1))))</f>
        <v>4</v>
      </c>
      <c r="M11" s="38" t="n">
        <f aca="false">IF(OR(L11="",G11=""),"",G11*L11)</f>
        <v>12</v>
      </c>
      <c r="N11" s="31" t="n">
        <f aca="false">IF(M11="","",MATCH(M11,Config!$E$5:$E$9,1))</f>
        <v>3</v>
      </c>
      <c r="O11" s="7" t="str">
        <f aca="false">IF(F11="N/A","N/A",IF(N11="","Not assessed",INDEX(Config!$B$5:$B$9,N11)))</f>
        <v>Medium</v>
      </c>
      <c r="P11" s="32" t="n">
        <v>0</v>
      </c>
      <c r="Q11" s="8"/>
      <c r="R11" s="33"/>
      <c r="S11" s="34" t="n">
        <f aca="false">IF(N11="","",IF(AND(R11="Y",P11&lt;&gt;0),MAX(1,MIN(5,N11+MAX(-Config!$C$27,MIN(Config!$C$27,P11)))),N11))</f>
        <v>3</v>
      </c>
      <c r="T11" s="35" t="str">
        <f aca="false">IF(F11="N/A","N/A",IF(S11="","Not assessed",INDEX(Config!$B$5:$B$9,S11)))</f>
        <v>Medium</v>
      </c>
      <c r="U11" s="7" t="str">
        <f aca="false">IF(P11=0,"None",IF(R11="Y","Applied","Pending HO approval"))</f>
        <v>None</v>
      </c>
      <c r="V11" s="8"/>
    </row>
    <row r="12" customFormat="false" ht="15" hidden="false" customHeight="false" outlineLevel="0" collapsed="false">
      <c r="A12" s="26" t="str">
        <f aca="false">Entities!$A$5</f>
        <v>JO-HO</v>
      </c>
      <c r="B12" s="12" t="str">
        <f aca="false">INDEX(Entities!$B$5:$B$34,MATCH(A12,Entities!$A$5:$A$34,0))</f>
        <v>Arab Bank plc – Jordan (HO and domestic network)</v>
      </c>
      <c r="C12" s="12" t="str">
        <f aca="false">INDEX(Entities!$D$5:$D$34,MATCH(A12,Entities!$A$5:$A$34,0))</f>
        <v>Jordan (home)</v>
      </c>
      <c r="D12" s="12" t="s">
        <v>307</v>
      </c>
      <c r="E12" s="12" t="str">
        <f aca="false">INDEX('Risk Taxonomy'!$B$5:$B$24,MATCH(D12,'Risk Taxonomy'!$A$5:$A$24,0))</f>
        <v>Operational risk</v>
      </c>
      <c r="F12" s="7" t="str">
        <f aca="false">IF(D12="RC-04",IF(INDEX(Entities!$G$5:$G$34,MATCH(A12,Entities!$A$5:$A$34,0))="Y","Yes","N/A"),"Yes")</f>
        <v>Yes</v>
      </c>
      <c r="G12" s="24" t="n">
        <v>3</v>
      </c>
      <c r="H12" s="24" t="n">
        <v>2</v>
      </c>
      <c r="I12" s="24" t="n">
        <v>1</v>
      </c>
      <c r="J12" s="24" t="n">
        <v>3</v>
      </c>
      <c r="K12" s="24" t="n">
        <v>4</v>
      </c>
      <c r="L12" s="37" t="n">
        <f aca="false">IF(F12="N/A","",IF(COUNT(H12:K12)=0,"",IF(Config!$C$19="Highest dimension",MAX(H12:K12),ROUND(H12*Config!$C$20+I12*Config!$C$21+J12*Config!$C$22+K12*Config!$C$23,1))))</f>
        <v>4</v>
      </c>
      <c r="M12" s="38" t="n">
        <f aca="false">IF(OR(L12="",G12=""),"",G12*L12)</f>
        <v>12</v>
      </c>
      <c r="N12" s="31" t="n">
        <f aca="false">IF(M12="","",MATCH(M12,Config!$E$5:$E$9,1))</f>
        <v>3</v>
      </c>
      <c r="O12" s="7" t="str">
        <f aca="false">IF(F12="N/A","N/A",IF(N12="","Not assessed",INDEX(Config!$B$5:$B$9,N12)))</f>
        <v>Medium</v>
      </c>
      <c r="P12" s="32" t="n">
        <v>0</v>
      </c>
      <c r="Q12" s="8"/>
      <c r="R12" s="33"/>
      <c r="S12" s="34" t="n">
        <f aca="false">IF(N12="","",IF(AND(R12="Y",P12&lt;&gt;0),MAX(1,MIN(5,N12+MAX(-Config!$C$27,MIN(Config!$C$27,P12)))),N12))</f>
        <v>3</v>
      </c>
      <c r="T12" s="35" t="str">
        <f aca="false">IF(F12="N/A","N/A",IF(S12="","Not assessed",INDEX(Config!$B$5:$B$9,S12)))</f>
        <v>Medium</v>
      </c>
      <c r="U12" s="7" t="str">
        <f aca="false">IF(P12=0,"None",IF(R12="Y","Applied","Pending HO approval"))</f>
        <v>None</v>
      </c>
      <c r="V12" s="8"/>
    </row>
    <row r="13" customFormat="false" ht="15" hidden="false" customHeight="false" outlineLevel="0" collapsed="false">
      <c r="A13" s="26" t="str">
        <f aca="false">Entities!$A$5</f>
        <v>JO-HO</v>
      </c>
      <c r="B13" s="12" t="str">
        <f aca="false">INDEX(Entities!$B$5:$B$34,MATCH(A13,Entities!$A$5:$A$34,0))</f>
        <v>Arab Bank plc – Jordan (HO and domestic network)</v>
      </c>
      <c r="C13" s="12" t="str">
        <f aca="false">INDEX(Entities!$D$5:$D$34,MATCH(A13,Entities!$A$5:$A$34,0))</f>
        <v>Jordan (home)</v>
      </c>
      <c r="D13" s="12" t="s">
        <v>310</v>
      </c>
      <c r="E13" s="12" t="str">
        <f aca="false">INDEX('Risk Taxonomy'!$B$5:$B$24,MATCH(D13,'Risk Taxonomy'!$A$5:$A$24,0))</f>
        <v>Cyber, information security and technology</v>
      </c>
      <c r="F13" s="7" t="str">
        <f aca="false">IF(D13="RC-04",IF(INDEX(Entities!$G$5:$G$34,MATCH(A13,Entities!$A$5:$A$34,0))="Y","Yes","N/A"),"Yes")</f>
        <v>Yes</v>
      </c>
      <c r="G13" s="24" t="n">
        <v>3</v>
      </c>
      <c r="H13" s="24" t="n">
        <v>3</v>
      </c>
      <c r="I13" s="24" t="n">
        <v>3</v>
      </c>
      <c r="J13" s="24" t="n">
        <v>3</v>
      </c>
      <c r="K13" s="24" t="n">
        <v>4</v>
      </c>
      <c r="L13" s="37" t="n">
        <f aca="false">IF(F13="N/A","",IF(COUNT(H13:K13)=0,"",IF(Config!$C$19="Highest dimension",MAX(H13:K13),ROUND(H13*Config!$C$20+I13*Config!$C$21+J13*Config!$C$22+K13*Config!$C$23,1))))</f>
        <v>4</v>
      </c>
      <c r="M13" s="38" t="n">
        <f aca="false">IF(OR(L13="",G13=""),"",G13*L13)</f>
        <v>12</v>
      </c>
      <c r="N13" s="31" t="n">
        <f aca="false">IF(M13="","",MATCH(M13,Config!$E$5:$E$9,1))</f>
        <v>3</v>
      </c>
      <c r="O13" s="7" t="str">
        <f aca="false">IF(F13="N/A","N/A",IF(N13="","Not assessed",INDEX(Config!$B$5:$B$9,N13)))</f>
        <v>Medium</v>
      </c>
      <c r="P13" s="32" t="n">
        <v>0</v>
      </c>
      <c r="Q13" s="8"/>
      <c r="R13" s="33"/>
      <c r="S13" s="34" t="n">
        <f aca="false">IF(N13="","",IF(AND(R13="Y",P13&lt;&gt;0),MAX(1,MIN(5,N13+MAX(-Config!$C$27,MIN(Config!$C$27,P13)))),N13))</f>
        <v>3</v>
      </c>
      <c r="T13" s="35" t="str">
        <f aca="false">IF(F13="N/A","N/A",IF(S13="","Not assessed",INDEX(Config!$B$5:$B$9,S13)))</f>
        <v>Medium</v>
      </c>
      <c r="U13" s="7" t="str">
        <f aca="false">IF(P13=0,"None",IF(R13="Y","Applied","Pending HO approval"))</f>
        <v>None</v>
      </c>
      <c r="V13" s="8"/>
    </row>
    <row r="14" customFormat="false" ht="15" hidden="false" customHeight="false" outlineLevel="0" collapsed="false">
      <c r="A14" s="26" t="str">
        <f aca="false">Entities!$A$5</f>
        <v>JO-HO</v>
      </c>
      <c r="B14" s="12" t="str">
        <f aca="false">INDEX(Entities!$B$5:$B$34,MATCH(A14,Entities!$A$5:$A$34,0))</f>
        <v>Arab Bank plc – Jordan (HO and domestic network)</v>
      </c>
      <c r="C14" s="12" t="str">
        <f aca="false">INDEX(Entities!$D$5:$D$34,MATCH(A14,Entities!$A$5:$A$34,0))</f>
        <v>Jordan (home)</v>
      </c>
      <c r="D14" s="12" t="s">
        <v>313</v>
      </c>
      <c r="E14" s="12" t="str">
        <f aca="false">INDEX('Risk Taxonomy'!$B$5:$B$24,MATCH(D14,'Risk Taxonomy'!$A$5:$A$24,0))</f>
        <v>Third-party and outsourcing</v>
      </c>
      <c r="F14" s="7" t="str">
        <f aca="false">IF(D14="RC-04",IF(INDEX(Entities!$G$5:$G$34,MATCH(A14,Entities!$A$5:$A$34,0))="Y","Yes","N/A"),"Yes")</f>
        <v>Yes</v>
      </c>
      <c r="G14" s="24" t="n">
        <v>3</v>
      </c>
      <c r="H14" s="24" t="n">
        <v>3</v>
      </c>
      <c r="I14" s="24" t="n">
        <v>3</v>
      </c>
      <c r="J14" s="24" t="n">
        <v>3</v>
      </c>
      <c r="K14" s="24" t="n">
        <v>3</v>
      </c>
      <c r="L14" s="37" t="n">
        <f aca="false">IF(F14="N/A","",IF(COUNT(H14:K14)=0,"",IF(Config!$C$19="Highest dimension",MAX(H14:K14),ROUND(H14*Config!$C$20+I14*Config!$C$21+J14*Config!$C$22+K14*Config!$C$23,1))))</f>
        <v>3</v>
      </c>
      <c r="M14" s="38" t="n">
        <f aca="false">IF(OR(L14="",G14=""),"",G14*L14)</f>
        <v>9</v>
      </c>
      <c r="N14" s="31" t="n">
        <f aca="false">IF(M14="","",MATCH(M14,Config!$E$5:$E$9,1))</f>
        <v>3</v>
      </c>
      <c r="O14" s="7" t="str">
        <f aca="false">IF(F14="N/A","N/A",IF(N14="","Not assessed",INDEX(Config!$B$5:$B$9,N14)))</f>
        <v>Medium</v>
      </c>
      <c r="P14" s="32" t="n">
        <v>0</v>
      </c>
      <c r="Q14" s="8"/>
      <c r="R14" s="33"/>
      <c r="S14" s="34" t="n">
        <f aca="false">IF(N14="","",IF(AND(R14="Y",P14&lt;&gt;0),MAX(1,MIN(5,N14+MAX(-Config!$C$27,MIN(Config!$C$27,P14)))),N14))</f>
        <v>3</v>
      </c>
      <c r="T14" s="35" t="str">
        <f aca="false">IF(F14="N/A","N/A",IF(S14="","Not assessed",INDEX(Config!$B$5:$B$9,S14)))</f>
        <v>Medium</v>
      </c>
      <c r="U14" s="7" t="str">
        <f aca="false">IF(P14=0,"None",IF(R14="Y","Applied","Pending HO approval"))</f>
        <v>None</v>
      </c>
      <c r="V14" s="8"/>
    </row>
    <row r="15" customFormat="false" ht="15" hidden="false" customHeight="false" outlineLevel="0" collapsed="false">
      <c r="A15" s="26" t="str">
        <f aca="false">Entities!$A$5</f>
        <v>JO-HO</v>
      </c>
      <c r="B15" s="12" t="str">
        <f aca="false">INDEX(Entities!$B$5:$B$34,MATCH(A15,Entities!$A$5:$A$34,0))</f>
        <v>Arab Bank plc – Jordan (HO and domestic network)</v>
      </c>
      <c r="C15" s="12" t="str">
        <f aca="false">INDEX(Entities!$D$5:$D$34,MATCH(A15,Entities!$A$5:$A$34,0))</f>
        <v>Jordan (home)</v>
      </c>
      <c r="D15" s="12" t="s">
        <v>316</v>
      </c>
      <c r="E15" s="12" t="str">
        <f aca="false">INDEX('Risk Taxonomy'!$B$5:$B$24,MATCH(D15,'Risk Taxonomy'!$A$5:$A$24,0))</f>
        <v>Legal and litigation</v>
      </c>
      <c r="F15" s="7" t="str">
        <f aca="false">IF(D15="RC-04",IF(INDEX(Entities!$G$5:$G$34,MATCH(A15,Entities!$A$5:$A$34,0))="Y","Yes","N/A"),"Yes")</f>
        <v>Yes</v>
      </c>
      <c r="G15" s="24" t="n">
        <v>3</v>
      </c>
      <c r="H15" s="24" t="n">
        <v>2</v>
      </c>
      <c r="I15" s="24" t="n">
        <v>3</v>
      </c>
      <c r="J15" s="24" t="n">
        <v>1</v>
      </c>
      <c r="K15" s="24" t="n">
        <v>2</v>
      </c>
      <c r="L15" s="37" t="n">
        <f aca="false">IF(F15="N/A","",IF(COUNT(H15:K15)=0,"",IF(Config!$C$19="Highest dimension",MAX(H15:K15),ROUND(H15*Config!$C$20+I15*Config!$C$21+J15*Config!$C$22+K15*Config!$C$23,1))))</f>
        <v>3</v>
      </c>
      <c r="M15" s="38" t="n">
        <f aca="false">IF(OR(L15="",G15=""),"",G15*L15)</f>
        <v>9</v>
      </c>
      <c r="N15" s="31" t="n">
        <f aca="false">IF(M15="","",MATCH(M15,Config!$E$5:$E$9,1))</f>
        <v>3</v>
      </c>
      <c r="O15" s="7" t="str">
        <f aca="false">IF(F15="N/A","N/A",IF(N15="","Not assessed",INDEX(Config!$B$5:$B$9,N15)))</f>
        <v>Medium</v>
      </c>
      <c r="P15" s="32" t="n">
        <v>0</v>
      </c>
      <c r="Q15" s="8"/>
      <c r="R15" s="33"/>
      <c r="S15" s="34" t="n">
        <f aca="false">IF(N15="","",IF(AND(R15="Y",P15&lt;&gt;0),MAX(1,MIN(5,N15+MAX(-Config!$C$27,MIN(Config!$C$27,P15)))),N15))</f>
        <v>3</v>
      </c>
      <c r="T15" s="35" t="str">
        <f aca="false">IF(F15="N/A","N/A",IF(S15="","Not assessed",INDEX(Config!$B$5:$B$9,S15)))</f>
        <v>Medium</v>
      </c>
      <c r="U15" s="7" t="str">
        <f aca="false">IF(P15=0,"None",IF(R15="Y","Applied","Pending HO approval"))</f>
        <v>None</v>
      </c>
      <c r="V15" s="8"/>
    </row>
    <row r="16" customFormat="false" ht="15" hidden="false" customHeight="false" outlineLevel="0" collapsed="false">
      <c r="A16" s="26" t="str">
        <f aca="false">Entities!$A$5</f>
        <v>JO-HO</v>
      </c>
      <c r="B16" s="12" t="str">
        <f aca="false">INDEX(Entities!$B$5:$B$34,MATCH(A16,Entities!$A$5:$A$34,0))</f>
        <v>Arab Bank plc – Jordan (HO and domestic network)</v>
      </c>
      <c r="C16" s="12" t="str">
        <f aca="false">INDEX(Entities!$D$5:$D$34,MATCH(A16,Entities!$A$5:$A$34,0))</f>
        <v>Jordan (home)</v>
      </c>
      <c r="D16" s="12" t="s">
        <v>319</v>
      </c>
      <c r="E16" s="12" t="str">
        <f aca="false">INDEX('Risk Taxonomy'!$B$5:$B$24,MATCH(D16,'Risk Taxonomy'!$A$5:$A$24,0))</f>
        <v>Reputational</v>
      </c>
      <c r="F16" s="7" t="str">
        <f aca="false">IF(D16="RC-04",IF(INDEX(Entities!$G$5:$G$34,MATCH(A16,Entities!$A$5:$A$34,0))="Y","Yes","N/A"),"Yes")</f>
        <v>Yes</v>
      </c>
      <c r="G16" s="24" t="n">
        <v>4</v>
      </c>
      <c r="H16" s="24" t="n">
        <v>4</v>
      </c>
      <c r="I16" s="24" t="n">
        <v>3</v>
      </c>
      <c r="J16" s="24" t="n">
        <v>3</v>
      </c>
      <c r="K16" s="24" t="n">
        <v>3</v>
      </c>
      <c r="L16" s="37" t="n">
        <f aca="false">IF(F16="N/A","",IF(COUNT(H16:K16)=0,"",IF(Config!$C$19="Highest dimension",MAX(H16:K16),ROUND(H16*Config!$C$20+I16*Config!$C$21+J16*Config!$C$22+K16*Config!$C$23,1))))</f>
        <v>4</v>
      </c>
      <c r="M16" s="38" t="n">
        <f aca="false">IF(OR(L16="",G16=""),"",G16*L16)</f>
        <v>16</v>
      </c>
      <c r="N16" s="31" t="n">
        <f aca="false">IF(M16="","",MATCH(M16,Config!$E$5:$E$9,1))</f>
        <v>4</v>
      </c>
      <c r="O16" s="7" t="str">
        <f aca="false">IF(F16="N/A","N/A",IF(N16="","Not assessed",INDEX(Config!$B$5:$B$9,N16)))</f>
        <v>Medium-High</v>
      </c>
      <c r="P16" s="32" t="n">
        <v>0</v>
      </c>
      <c r="Q16" s="8"/>
      <c r="R16" s="33"/>
      <c r="S16" s="34" t="n">
        <f aca="false">IF(N16="","",IF(AND(R16="Y",P16&lt;&gt;0),MAX(1,MIN(5,N16+MAX(-Config!$C$27,MIN(Config!$C$27,P16)))),N16))</f>
        <v>4</v>
      </c>
      <c r="T16" s="35" t="str">
        <f aca="false">IF(F16="N/A","N/A",IF(S16="","Not assessed",INDEX(Config!$B$5:$B$9,S16)))</f>
        <v>Medium-High</v>
      </c>
      <c r="U16" s="7" t="str">
        <f aca="false">IF(P16=0,"None",IF(R16="Y","Applied","Pending HO approval"))</f>
        <v>None</v>
      </c>
      <c r="V16" s="8"/>
    </row>
    <row r="17" customFormat="false" ht="15" hidden="false" customHeight="false" outlineLevel="0" collapsed="false">
      <c r="A17" s="26" t="str">
        <f aca="false">Entities!$A$5</f>
        <v>JO-HO</v>
      </c>
      <c r="B17" s="12" t="str">
        <f aca="false">INDEX(Entities!$B$5:$B$34,MATCH(A17,Entities!$A$5:$A$34,0))</f>
        <v>Arab Bank plc – Jordan (HO and domestic network)</v>
      </c>
      <c r="C17" s="12" t="str">
        <f aca="false">INDEX(Entities!$D$5:$D$34,MATCH(A17,Entities!$A$5:$A$34,0))</f>
        <v>Jordan (home)</v>
      </c>
      <c r="D17" s="12" t="s">
        <v>322</v>
      </c>
      <c r="E17" s="12" t="str">
        <f aca="false">INDEX('Risk Taxonomy'!$B$5:$B$24,MATCH(D17,'Risk Taxonomy'!$A$5:$A$24,0))</f>
        <v>Strategic, business model and ESG</v>
      </c>
      <c r="F17" s="7" t="str">
        <f aca="false">IF(D17="RC-04",IF(INDEX(Entities!$G$5:$G$34,MATCH(A17,Entities!$A$5:$A$34,0))="Y","Yes","N/A"),"Yes")</f>
        <v>Yes</v>
      </c>
      <c r="G17" s="24" t="n">
        <v>2</v>
      </c>
      <c r="H17" s="24" t="n">
        <v>2</v>
      </c>
      <c r="I17" s="24" t="n">
        <v>2</v>
      </c>
      <c r="J17" s="24" t="n">
        <v>2</v>
      </c>
      <c r="K17" s="24" t="n">
        <v>3</v>
      </c>
      <c r="L17" s="37" t="n">
        <f aca="false">IF(F17="N/A","",IF(COUNT(H17:K17)=0,"",IF(Config!$C$19="Highest dimension",MAX(H17:K17),ROUND(H17*Config!$C$20+I17*Config!$C$21+J17*Config!$C$22+K17*Config!$C$23,1))))</f>
        <v>3</v>
      </c>
      <c r="M17" s="38" t="n">
        <f aca="false">IF(OR(L17="",G17=""),"",G17*L17)</f>
        <v>6</v>
      </c>
      <c r="N17" s="31" t="n">
        <f aca="false">IF(M17="","",MATCH(M17,Config!$E$5:$E$9,1))</f>
        <v>2</v>
      </c>
      <c r="O17" s="7" t="str">
        <f aca="false">IF(F17="N/A","N/A",IF(N17="","Not assessed",INDEX(Config!$B$5:$B$9,N17)))</f>
        <v>Medium-Low</v>
      </c>
      <c r="P17" s="32" t="n">
        <v>0</v>
      </c>
      <c r="Q17" s="8"/>
      <c r="R17" s="33"/>
      <c r="S17" s="34" t="n">
        <f aca="false">IF(N17="","",IF(AND(R17="Y",P17&lt;&gt;0),MAX(1,MIN(5,N17+MAX(-Config!$C$27,MIN(Config!$C$27,P17)))),N17))</f>
        <v>2</v>
      </c>
      <c r="T17" s="35" t="str">
        <f aca="false">IF(F17="N/A","N/A",IF(S17="","Not assessed",INDEX(Config!$B$5:$B$9,S17)))</f>
        <v>Medium-Low</v>
      </c>
      <c r="U17" s="7" t="str">
        <f aca="false">IF(P17=0,"None",IF(R17="Y","Applied","Pending HO approval"))</f>
        <v>None</v>
      </c>
      <c r="V17" s="8"/>
    </row>
    <row r="18" customFormat="false" ht="15" hidden="false" customHeight="false" outlineLevel="0" collapsed="false">
      <c r="A18" s="26" t="str">
        <f aca="false">Entities!$A$6</f>
        <v>JO-IIAB</v>
      </c>
      <c r="B18" s="12" t="str">
        <f aca="false">INDEX(Entities!$B$5:$B$34,MATCH(A18,Entities!$A$5:$A$34,0))</f>
        <v>Islamic International Arab Bank</v>
      </c>
      <c r="C18" s="12" t="str">
        <f aca="false">INDEX(Entities!$D$5:$D$34,MATCH(A18,Entities!$A$5:$A$34,0))</f>
        <v>Jordan (home)</v>
      </c>
      <c r="D18" s="12" t="s">
        <v>284</v>
      </c>
      <c r="E18" s="12" t="str">
        <f aca="false">INDEX('Risk Taxonomy'!$B$5:$B$24,MATCH(D18,'Risk Taxonomy'!$A$5:$A$24,0))</f>
        <v>Regulatory compliance</v>
      </c>
      <c r="F18" s="7" t="str">
        <f aca="false">IF(D18="RC-04",IF(INDEX(Entities!$G$5:$G$34,MATCH(A18,Entities!$A$5:$A$34,0))="Y","Yes","N/A"),"Yes")</f>
        <v>Yes</v>
      </c>
      <c r="G18" s="24" t="n">
        <v>5</v>
      </c>
      <c r="H18" s="24" t="n">
        <v>3</v>
      </c>
      <c r="I18" s="24" t="n">
        <v>4</v>
      </c>
      <c r="J18" s="24" t="n">
        <v>4</v>
      </c>
      <c r="K18" s="24" t="n">
        <v>2</v>
      </c>
      <c r="L18" s="37" t="n">
        <f aca="false">IF(F18="N/A","",IF(COUNT(H18:K18)=0,"",IF(Config!$C$19="Highest dimension",MAX(H18:K18),ROUND(H18*Config!$C$20+I18*Config!$C$21+J18*Config!$C$22+K18*Config!$C$23,1))))</f>
        <v>4</v>
      </c>
      <c r="M18" s="38" t="n">
        <f aca="false">IF(OR(L18="",G18=""),"",G18*L18)</f>
        <v>20</v>
      </c>
      <c r="N18" s="31" t="n">
        <f aca="false">IF(M18="","",MATCH(M18,Config!$E$5:$E$9,1))</f>
        <v>5</v>
      </c>
      <c r="O18" s="7" t="str">
        <f aca="false">IF(F18="N/A","N/A",IF(N18="","Not assessed",INDEX(Config!$B$5:$B$9,N18)))</f>
        <v>High</v>
      </c>
      <c r="P18" s="32" t="n">
        <v>0</v>
      </c>
      <c r="Q18" s="8"/>
      <c r="R18" s="33"/>
      <c r="S18" s="34" t="n">
        <f aca="false">IF(N18="","",IF(AND(R18="Y",P18&lt;&gt;0),MAX(1,MIN(5,N18+MAX(-Config!$C$27,MIN(Config!$C$27,P18)))),N18))</f>
        <v>5</v>
      </c>
      <c r="T18" s="35" t="str">
        <f aca="false">IF(F18="N/A","N/A",IF(S18="","Not assessed",INDEX(Config!$B$5:$B$9,S18)))</f>
        <v>High</v>
      </c>
      <c r="U18" s="7" t="str">
        <f aca="false">IF(P18=0,"None",IF(R18="Y","Applied","Pending HO approval"))</f>
        <v>None</v>
      </c>
      <c r="V18" s="8"/>
    </row>
    <row r="19" customFormat="false" ht="15" hidden="false" customHeight="false" outlineLevel="0" collapsed="false">
      <c r="A19" s="26" t="str">
        <f aca="false">Entities!$A$6</f>
        <v>JO-IIAB</v>
      </c>
      <c r="B19" s="12" t="str">
        <f aca="false">INDEX(Entities!$B$5:$B$34,MATCH(A19,Entities!$A$5:$A$34,0))</f>
        <v>Islamic International Arab Bank</v>
      </c>
      <c r="C19" s="12" t="str">
        <f aca="false">INDEX(Entities!$D$5:$D$34,MATCH(A19,Entities!$A$5:$A$34,0))</f>
        <v>Jordan (home)</v>
      </c>
      <c r="D19" s="12" t="s">
        <v>288</v>
      </c>
      <c r="E19" s="12" t="str">
        <f aca="false">INDEX('Risk Taxonomy'!$B$5:$B$24,MATCH(D19,'Risk Taxonomy'!$A$5:$A$24,0))</f>
        <v>Conduct and consumer protection</v>
      </c>
      <c r="F19" s="7" t="str">
        <f aca="false">IF(D19="RC-04",IF(INDEX(Entities!$G$5:$G$34,MATCH(A19,Entities!$A$5:$A$34,0))="Y","Yes","N/A"),"Yes")</f>
        <v>Yes</v>
      </c>
      <c r="G19" s="24" t="n">
        <v>3</v>
      </c>
      <c r="H19" s="24" t="n">
        <v>3</v>
      </c>
      <c r="I19" s="24" t="n">
        <v>4</v>
      </c>
      <c r="J19" s="24" t="n">
        <v>3</v>
      </c>
      <c r="K19" s="24" t="n">
        <v>3</v>
      </c>
      <c r="L19" s="37" t="n">
        <f aca="false">IF(F19="N/A","",IF(COUNT(H19:K19)=0,"",IF(Config!$C$19="Highest dimension",MAX(H19:K19),ROUND(H19*Config!$C$20+I19*Config!$C$21+J19*Config!$C$22+K19*Config!$C$23,1))))</f>
        <v>4</v>
      </c>
      <c r="M19" s="38" t="n">
        <f aca="false">IF(OR(L19="",G19=""),"",G19*L19)</f>
        <v>12</v>
      </c>
      <c r="N19" s="31" t="n">
        <f aca="false">IF(M19="","",MATCH(M19,Config!$E$5:$E$9,1))</f>
        <v>3</v>
      </c>
      <c r="O19" s="7" t="str">
        <f aca="false">IF(F19="N/A","N/A",IF(N19="","Not assessed",INDEX(Config!$B$5:$B$9,N19)))</f>
        <v>Medium</v>
      </c>
      <c r="P19" s="32" t="n">
        <v>0</v>
      </c>
      <c r="Q19" s="8"/>
      <c r="R19" s="33"/>
      <c r="S19" s="34" t="n">
        <f aca="false">IF(N19="","",IF(AND(R19="Y",P19&lt;&gt;0),MAX(1,MIN(5,N19+MAX(-Config!$C$27,MIN(Config!$C$27,P19)))),N19))</f>
        <v>3</v>
      </c>
      <c r="T19" s="35" t="str">
        <f aca="false">IF(F19="N/A","N/A",IF(S19="","Not assessed",INDEX(Config!$B$5:$B$9,S19)))</f>
        <v>Medium</v>
      </c>
      <c r="U19" s="7" t="str">
        <f aca="false">IF(P19=0,"None",IF(R19="Y","Applied","Pending HO approval"))</f>
        <v>None</v>
      </c>
      <c r="V19" s="8"/>
    </row>
    <row r="20" customFormat="false" ht="15" hidden="false" customHeight="false" outlineLevel="0" collapsed="false">
      <c r="A20" s="26" t="str">
        <f aca="false">Entities!$A$6</f>
        <v>JO-IIAB</v>
      </c>
      <c r="B20" s="12" t="str">
        <f aca="false">INDEX(Entities!$B$5:$B$34,MATCH(A20,Entities!$A$5:$A$34,0))</f>
        <v>Islamic International Arab Bank</v>
      </c>
      <c r="C20" s="12" t="str">
        <f aca="false">INDEX(Entities!$D$5:$D$34,MATCH(A20,Entities!$A$5:$A$34,0))</f>
        <v>Jordan (home)</v>
      </c>
      <c r="D20" s="12" t="s">
        <v>290</v>
      </c>
      <c r="E20" s="12" t="str">
        <f aca="false">INDEX('Risk Taxonomy'!$B$5:$B$24,MATCH(D20,'Risk Taxonomy'!$A$5:$A$24,0))</f>
        <v>Data protection and privacy</v>
      </c>
      <c r="F20" s="7" t="str">
        <f aca="false">IF(D20="RC-04",IF(INDEX(Entities!$G$5:$G$34,MATCH(A20,Entities!$A$5:$A$34,0))="Y","Yes","N/A"),"Yes")</f>
        <v>Yes</v>
      </c>
      <c r="G20" s="24" t="n">
        <v>2</v>
      </c>
      <c r="H20" s="24" t="n">
        <v>4</v>
      </c>
      <c r="I20" s="24" t="n">
        <v>3</v>
      </c>
      <c r="J20" s="24" t="n">
        <v>3</v>
      </c>
      <c r="K20" s="24" t="n">
        <v>3</v>
      </c>
      <c r="L20" s="37" t="n">
        <f aca="false">IF(F20="N/A","",IF(COUNT(H20:K20)=0,"",IF(Config!$C$19="Highest dimension",MAX(H20:K20),ROUND(H20*Config!$C$20+I20*Config!$C$21+J20*Config!$C$22+K20*Config!$C$23,1))))</f>
        <v>4</v>
      </c>
      <c r="M20" s="38" t="n">
        <f aca="false">IF(OR(L20="",G20=""),"",G20*L20)</f>
        <v>8</v>
      </c>
      <c r="N20" s="31" t="n">
        <f aca="false">IF(M20="","",MATCH(M20,Config!$E$5:$E$9,1))</f>
        <v>2</v>
      </c>
      <c r="O20" s="7" t="str">
        <f aca="false">IF(F20="N/A","N/A",IF(N20="","Not assessed",INDEX(Config!$B$5:$B$9,N20)))</f>
        <v>Medium-Low</v>
      </c>
      <c r="P20" s="32" t="n">
        <v>0</v>
      </c>
      <c r="Q20" s="8"/>
      <c r="R20" s="33"/>
      <c r="S20" s="34" t="n">
        <f aca="false">IF(N20="","",IF(AND(R20="Y",P20&lt;&gt;0),MAX(1,MIN(5,N20+MAX(-Config!$C$27,MIN(Config!$C$27,P20)))),N20))</f>
        <v>2</v>
      </c>
      <c r="T20" s="35" t="str">
        <f aca="false">IF(F20="N/A","N/A",IF(S20="","Not assessed",INDEX(Config!$B$5:$B$9,S20)))</f>
        <v>Medium-Low</v>
      </c>
      <c r="U20" s="7" t="str">
        <f aca="false">IF(P20=0,"None",IF(R20="Y","Applied","Pending HO approval"))</f>
        <v>None</v>
      </c>
      <c r="V20" s="8"/>
    </row>
    <row r="21" customFormat="false" ht="15" hidden="false" customHeight="false" outlineLevel="0" collapsed="false">
      <c r="A21" s="26" t="str">
        <f aca="false">Entities!$A$6</f>
        <v>JO-IIAB</v>
      </c>
      <c r="B21" s="12" t="str">
        <f aca="false">INDEX(Entities!$B$5:$B$34,MATCH(A21,Entities!$A$5:$A$34,0))</f>
        <v>Islamic International Arab Bank</v>
      </c>
      <c r="C21" s="12" t="str">
        <f aca="false">INDEX(Entities!$D$5:$D$34,MATCH(A21,Entities!$A$5:$A$34,0))</f>
        <v>Jordan (home)</v>
      </c>
      <c r="D21" s="12" t="s">
        <v>293</v>
      </c>
      <c r="E21" s="12" t="str">
        <f aca="false">INDEX('Risk Taxonomy'!$B$5:$B$24,MATCH(D21,'Risk Taxonomy'!$A$5:$A$24,0))</f>
        <v>Shariah non-compliance</v>
      </c>
      <c r="F21" s="7" t="str">
        <f aca="false">IF(D21="RC-04",IF(INDEX(Entities!$G$5:$G$34,MATCH(A21,Entities!$A$5:$A$34,0))="Y","Yes","N/A"),"Yes")</f>
        <v>Yes</v>
      </c>
      <c r="G21" s="24" t="n">
        <v>2</v>
      </c>
      <c r="H21" s="24" t="n">
        <v>2</v>
      </c>
      <c r="I21" s="24" t="n">
        <v>4</v>
      </c>
      <c r="J21" s="24" t="n">
        <v>3</v>
      </c>
      <c r="K21" s="24" t="n">
        <v>2</v>
      </c>
      <c r="L21" s="37" t="n">
        <f aca="false">IF(F21="N/A","",IF(COUNT(H21:K21)=0,"",IF(Config!$C$19="Highest dimension",MAX(H21:K21),ROUND(H21*Config!$C$20+I21*Config!$C$21+J21*Config!$C$22+K21*Config!$C$23,1))))</f>
        <v>4</v>
      </c>
      <c r="M21" s="38" t="n">
        <f aca="false">IF(OR(L21="",G21=""),"",G21*L21)</f>
        <v>8</v>
      </c>
      <c r="N21" s="31" t="n">
        <f aca="false">IF(M21="","",MATCH(M21,Config!$E$5:$E$9,1))</f>
        <v>2</v>
      </c>
      <c r="O21" s="7" t="str">
        <f aca="false">IF(F21="N/A","N/A",IF(N21="","Not assessed",INDEX(Config!$B$5:$B$9,N21)))</f>
        <v>Medium-Low</v>
      </c>
      <c r="P21" s="32" t="n">
        <v>0</v>
      </c>
      <c r="Q21" s="8"/>
      <c r="R21" s="33"/>
      <c r="S21" s="34" t="n">
        <f aca="false">IF(N21="","",IF(AND(R21="Y",P21&lt;&gt;0),MAX(1,MIN(5,N21+MAX(-Config!$C$27,MIN(Config!$C$27,P21)))),N21))</f>
        <v>2</v>
      </c>
      <c r="T21" s="35" t="str">
        <f aca="false">IF(F21="N/A","N/A",IF(S21="","Not assessed",INDEX(Config!$B$5:$B$9,S21)))</f>
        <v>Medium-Low</v>
      </c>
      <c r="U21" s="7" t="str">
        <f aca="false">IF(P21=0,"None",IF(R21="Y","Applied","Pending HO approval"))</f>
        <v>None</v>
      </c>
      <c r="V21" s="8"/>
    </row>
    <row r="22" customFormat="false" ht="15" hidden="false" customHeight="false" outlineLevel="0" collapsed="false">
      <c r="A22" s="26" t="str">
        <f aca="false">Entities!$A$6</f>
        <v>JO-IIAB</v>
      </c>
      <c r="B22" s="12" t="str">
        <f aca="false">INDEX(Entities!$B$5:$B$34,MATCH(A22,Entities!$A$5:$A$34,0))</f>
        <v>Islamic International Arab Bank</v>
      </c>
      <c r="C22" s="12" t="str">
        <f aca="false">INDEX(Entities!$D$5:$D$34,MATCH(A22,Entities!$A$5:$A$34,0))</f>
        <v>Jordan (home)</v>
      </c>
      <c r="D22" s="12" t="s">
        <v>297</v>
      </c>
      <c r="E22" s="12" t="str">
        <f aca="false">INDEX('Risk Taxonomy'!$B$5:$B$24,MATCH(D22,'Risk Taxonomy'!$A$5:$A$24,0))</f>
        <v>Credit risk</v>
      </c>
      <c r="F22" s="7" t="str">
        <f aca="false">IF(D22="RC-04",IF(INDEX(Entities!$G$5:$G$34,MATCH(A22,Entities!$A$5:$A$34,0))="Y","Yes","N/A"),"Yes")</f>
        <v>Yes</v>
      </c>
      <c r="G22" s="24" t="n">
        <v>4</v>
      </c>
      <c r="H22" s="24" t="n">
        <v>2</v>
      </c>
      <c r="I22" s="24" t="n">
        <v>4</v>
      </c>
      <c r="J22" s="24" t="n">
        <v>3</v>
      </c>
      <c r="K22" s="24" t="n">
        <v>3</v>
      </c>
      <c r="L22" s="37" t="n">
        <f aca="false">IF(F22="N/A","",IF(COUNT(H22:K22)=0,"",IF(Config!$C$19="Highest dimension",MAX(H22:K22),ROUND(H22*Config!$C$20+I22*Config!$C$21+J22*Config!$C$22+K22*Config!$C$23,1))))</f>
        <v>4</v>
      </c>
      <c r="M22" s="38" t="n">
        <f aca="false">IF(OR(L22="",G22=""),"",G22*L22)</f>
        <v>16</v>
      </c>
      <c r="N22" s="31" t="n">
        <f aca="false">IF(M22="","",MATCH(M22,Config!$E$5:$E$9,1))</f>
        <v>4</v>
      </c>
      <c r="O22" s="7" t="str">
        <f aca="false">IF(F22="N/A","N/A",IF(N22="","Not assessed",INDEX(Config!$B$5:$B$9,N22)))</f>
        <v>Medium-High</v>
      </c>
      <c r="P22" s="32" t="n">
        <v>0</v>
      </c>
      <c r="Q22" s="8"/>
      <c r="R22" s="33"/>
      <c r="S22" s="34" t="n">
        <f aca="false">IF(N22="","",IF(AND(R22="Y",P22&lt;&gt;0),MAX(1,MIN(5,N22+MAX(-Config!$C$27,MIN(Config!$C$27,P22)))),N22))</f>
        <v>4</v>
      </c>
      <c r="T22" s="35" t="str">
        <f aca="false">IF(F22="N/A","N/A",IF(S22="","Not assessed",INDEX(Config!$B$5:$B$9,S22)))</f>
        <v>Medium-High</v>
      </c>
      <c r="U22" s="7" t="str">
        <f aca="false">IF(P22=0,"None",IF(R22="Y","Applied","Pending HO approval"))</f>
        <v>None</v>
      </c>
      <c r="V22" s="8"/>
    </row>
    <row r="23" customFormat="false" ht="15" hidden="false" customHeight="false" outlineLevel="0" collapsed="false">
      <c r="A23" s="26" t="str">
        <f aca="false">Entities!$A$6</f>
        <v>JO-IIAB</v>
      </c>
      <c r="B23" s="12" t="str">
        <f aca="false">INDEX(Entities!$B$5:$B$34,MATCH(A23,Entities!$A$5:$A$34,0))</f>
        <v>Islamic International Arab Bank</v>
      </c>
      <c r="C23" s="12" t="str">
        <f aca="false">INDEX(Entities!$D$5:$D$34,MATCH(A23,Entities!$A$5:$A$34,0))</f>
        <v>Jordan (home)</v>
      </c>
      <c r="D23" s="12" t="s">
        <v>302</v>
      </c>
      <c r="E23" s="12" t="str">
        <f aca="false">INDEX('Risk Taxonomy'!$B$5:$B$24,MATCH(D23,'Risk Taxonomy'!$A$5:$A$24,0))</f>
        <v>Market risk</v>
      </c>
      <c r="F23" s="7" t="str">
        <f aca="false">IF(D23="RC-04",IF(INDEX(Entities!$G$5:$G$34,MATCH(A23,Entities!$A$5:$A$34,0))="Y","Yes","N/A"),"Yes")</f>
        <v>Yes</v>
      </c>
      <c r="G23" s="24" t="n">
        <v>3</v>
      </c>
      <c r="H23" s="24" t="n">
        <v>3</v>
      </c>
      <c r="I23" s="24" t="n">
        <v>3</v>
      </c>
      <c r="J23" s="24" t="n">
        <v>4</v>
      </c>
      <c r="K23" s="24" t="n">
        <v>3</v>
      </c>
      <c r="L23" s="37" t="n">
        <f aca="false">IF(F23="N/A","",IF(COUNT(H23:K23)=0,"",IF(Config!$C$19="Highest dimension",MAX(H23:K23),ROUND(H23*Config!$C$20+I23*Config!$C$21+J23*Config!$C$22+K23*Config!$C$23,1))))</f>
        <v>4</v>
      </c>
      <c r="M23" s="38" t="n">
        <f aca="false">IF(OR(L23="",G23=""),"",G23*L23)</f>
        <v>12</v>
      </c>
      <c r="N23" s="31" t="n">
        <f aca="false">IF(M23="","",MATCH(M23,Config!$E$5:$E$9,1))</f>
        <v>3</v>
      </c>
      <c r="O23" s="7" t="str">
        <f aca="false">IF(F23="N/A","N/A",IF(N23="","Not assessed",INDEX(Config!$B$5:$B$9,N23)))</f>
        <v>Medium</v>
      </c>
      <c r="P23" s="32" t="n">
        <v>0</v>
      </c>
      <c r="Q23" s="8"/>
      <c r="R23" s="33"/>
      <c r="S23" s="34" t="n">
        <f aca="false">IF(N23="","",IF(AND(R23="Y",P23&lt;&gt;0),MAX(1,MIN(5,N23+MAX(-Config!$C$27,MIN(Config!$C$27,P23)))),N23))</f>
        <v>3</v>
      </c>
      <c r="T23" s="35" t="str">
        <f aca="false">IF(F23="N/A","N/A",IF(S23="","Not assessed",INDEX(Config!$B$5:$B$9,S23)))</f>
        <v>Medium</v>
      </c>
      <c r="U23" s="7" t="str">
        <f aca="false">IF(P23=0,"None",IF(R23="Y","Applied","Pending HO approval"))</f>
        <v>None</v>
      </c>
      <c r="V23" s="8"/>
    </row>
    <row r="24" customFormat="false" ht="15" hidden="false" customHeight="false" outlineLevel="0" collapsed="false">
      <c r="A24" s="26" t="str">
        <f aca="false">Entities!$A$6</f>
        <v>JO-IIAB</v>
      </c>
      <c r="B24" s="12" t="str">
        <f aca="false">INDEX(Entities!$B$5:$B$34,MATCH(A24,Entities!$A$5:$A$34,0))</f>
        <v>Islamic International Arab Bank</v>
      </c>
      <c r="C24" s="12" t="str">
        <f aca="false">INDEX(Entities!$D$5:$D$34,MATCH(A24,Entities!$A$5:$A$34,0))</f>
        <v>Jordan (home)</v>
      </c>
      <c r="D24" s="12" t="s">
        <v>304</v>
      </c>
      <c r="E24" s="12" t="str">
        <f aca="false">INDEX('Risk Taxonomy'!$B$5:$B$24,MATCH(D24,'Risk Taxonomy'!$A$5:$A$24,0))</f>
        <v>Liquidity and funding risk</v>
      </c>
      <c r="F24" s="7" t="str">
        <f aca="false">IF(D24="RC-04",IF(INDEX(Entities!$G$5:$G$34,MATCH(A24,Entities!$A$5:$A$34,0))="Y","Yes","N/A"),"Yes")</f>
        <v>Yes</v>
      </c>
      <c r="G24" s="24" t="n">
        <v>2</v>
      </c>
      <c r="H24" s="24" t="n">
        <v>3</v>
      </c>
      <c r="I24" s="24" t="n">
        <v>2</v>
      </c>
      <c r="J24" s="24" t="n">
        <v>2</v>
      </c>
      <c r="K24" s="24" t="n">
        <v>3</v>
      </c>
      <c r="L24" s="37" t="n">
        <f aca="false">IF(F24="N/A","",IF(COUNT(H24:K24)=0,"",IF(Config!$C$19="Highest dimension",MAX(H24:K24),ROUND(H24*Config!$C$20+I24*Config!$C$21+J24*Config!$C$22+K24*Config!$C$23,1))))</f>
        <v>3</v>
      </c>
      <c r="M24" s="38" t="n">
        <f aca="false">IF(OR(L24="",G24=""),"",G24*L24)</f>
        <v>6</v>
      </c>
      <c r="N24" s="31" t="n">
        <f aca="false">IF(M24="","",MATCH(M24,Config!$E$5:$E$9,1))</f>
        <v>2</v>
      </c>
      <c r="O24" s="7" t="str">
        <f aca="false">IF(F24="N/A","N/A",IF(N24="","Not assessed",INDEX(Config!$B$5:$B$9,N24)))</f>
        <v>Medium-Low</v>
      </c>
      <c r="P24" s="32" t="n">
        <v>0</v>
      </c>
      <c r="Q24" s="8"/>
      <c r="R24" s="33"/>
      <c r="S24" s="34" t="n">
        <f aca="false">IF(N24="","",IF(AND(R24="Y",P24&lt;&gt;0),MAX(1,MIN(5,N24+MAX(-Config!$C$27,MIN(Config!$C$27,P24)))),N24))</f>
        <v>2</v>
      </c>
      <c r="T24" s="35" t="str">
        <f aca="false">IF(F24="N/A","N/A",IF(S24="","Not assessed",INDEX(Config!$B$5:$B$9,S24)))</f>
        <v>Medium-Low</v>
      </c>
      <c r="U24" s="7" t="str">
        <f aca="false">IF(P24=0,"None",IF(R24="Y","Applied","Pending HO approval"))</f>
        <v>None</v>
      </c>
      <c r="V24" s="8"/>
    </row>
    <row r="25" customFormat="false" ht="15" hidden="false" customHeight="false" outlineLevel="0" collapsed="false">
      <c r="A25" s="26" t="str">
        <f aca="false">Entities!$A$6</f>
        <v>JO-IIAB</v>
      </c>
      <c r="B25" s="12" t="str">
        <f aca="false">INDEX(Entities!$B$5:$B$34,MATCH(A25,Entities!$A$5:$A$34,0))</f>
        <v>Islamic International Arab Bank</v>
      </c>
      <c r="C25" s="12" t="str">
        <f aca="false">INDEX(Entities!$D$5:$D$34,MATCH(A25,Entities!$A$5:$A$34,0))</f>
        <v>Jordan (home)</v>
      </c>
      <c r="D25" s="12" t="s">
        <v>307</v>
      </c>
      <c r="E25" s="12" t="str">
        <f aca="false">INDEX('Risk Taxonomy'!$B$5:$B$24,MATCH(D25,'Risk Taxonomy'!$A$5:$A$24,0))</f>
        <v>Operational risk</v>
      </c>
      <c r="F25" s="7" t="str">
        <f aca="false">IF(D25="RC-04",IF(INDEX(Entities!$G$5:$G$34,MATCH(A25,Entities!$A$5:$A$34,0))="Y","Yes","N/A"),"Yes")</f>
        <v>Yes</v>
      </c>
      <c r="G25" s="24" t="n">
        <v>2</v>
      </c>
      <c r="H25" s="24" t="n">
        <v>4</v>
      </c>
      <c r="I25" s="24" t="n">
        <v>3</v>
      </c>
      <c r="J25" s="24" t="n">
        <v>3</v>
      </c>
      <c r="K25" s="24" t="n">
        <v>2</v>
      </c>
      <c r="L25" s="37" t="n">
        <f aca="false">IF(F25="N/A","",IF(COUNT(H25:K25)=0,"",IF(Config!$C$19="Highest dimension",MAX(H25:K25),ROUND(H25*Config!$C$20+I25*Config!$C$21+J25*Config!$C$22+K25*Config!$C$23,1))))</f>
        <v>4</v>
      </c>
      <c r="M25" s="38" t="n">
        <f aca="false">IF(OR(L25="",G25=""),"",G25*L25)</f>
        <v>8</v>
      </c>
      <c r="N25" s="31" t="n">
        <f aca="false">IF(M25="","",MATCH(M25,Config!$E$5:$E$9,1))</f>
        <v>2</v>
      </c>
      <c r="O25" s="7" t="str">
        <f aca="false">IF(F25="N/A","N/A",IF(N25="","Not assessed",INDEX(Config!$B$5:$B$9,N25)))</f>
        <v>Medium-Low</v>
      </c>
      <c r="P25" s="32" t="n">
        <v>0</v>
      </c>
      <c r="Q25" s="8"/>
      <c r="R25" s="33"/>
      <c r="S25" s="34" t="n">
        <f aca="false">IF(N25="","",IF(AND(R25="Y",P25&lt;&gt;0),MAX(1,MIN(5,N25+MAX(-Config!$C$27,MIN(Config!$C$27,P25)))),N25))</f>
        <v>2</v>
      </c>
      <c r="T25" s="35" t="str">
        <f aca="false">IF(F25="N/A","N/A",IF(S25="","Not assessed",INDEX(Config!$B$5:$B$9,S25)))</f>
        <v>Medium-Low</v>
      </c>
      <c r="U25" s="7" t="str">
        <f aca="false">IF(P25=0,"None",IF(R25="Y","Applied","Pending HO approval"))</f>
        <v>None</v>
      </c>
      <c r="V25" s="8"/>
    </row>
    <row r="26" customFormat="false" ht="15" hidden="false" customHeight="false" outlineLevel="0" collapsed="false">
      <c r="A26" s="26" t="str">
        <f aca="false">Entities!$A$6</f>
        <v>JO-IIAB</v>
      </c>
      <c r="B26" s="12" t="str">
        <f aca="false">INDEX(Entities!$B$5:$B$34,MATCH(A26,Entities!$A$5:$A$34,0))</f>
        <v>Islamic International Arab Bank</v>
      </c>
      <c r="C26" s="12" t="str">
        <f aca="false">INDEX(Entities!$D$5:$D$34,MATCH(A26,Entities!$A$5:$A$34,0))</f>
        <v>Jordan (home)</v>
      </c>
      <c r="D26" s="12" t="s">
        <v>310</v>
      </c>
      <c r="E26" s="12" t="str">
        <f aca="false">INDEX('Risk Taxonomy'!$B$5:$B$24,MATCH(D26,'Risk Taxonomy'!$A$5:$A$24,0))</f>
        <v>Cyber, information security and technology</v>
      </c>
      <c r="F26" s="7" t="str">
        <f aca="false">IF(D26="RC-04",IF(INDEX(Entities!$G$5:$G$34,MATCH(A26,Entities!$A$5:$A$34,0))="Y","Yes","N/A"),"Yes")</f>
        <v>Yes</v>
      </c>
      <c r="G26" s="24" t="n">
        <v>4</v>
      </c>
      <c r="H26" s="24" t="n">
        <v>2</v>
      </c>
      <c r="I26" s="24" t="n">
        <v>3</v>
      </c>
      <c r="J26" s="24" t="n">
        <v>3</v>
      </c>
      <c r="K26" s="24" t="n">
        <v>3</v>
      </c>
      <c r="L26" s="37" t="n">
        <f aca="false">IF(F26="N/A","",IF(COUNT(H26:K26)=0,"",IF(Config!$C$19="Highest dimension",MAX(H26:K26),ROUND(H26*Config!$C$20+I26*Config!$C$21+J26*Config!$C$22+K26*Config!$C$23,1))))</f>
        <v>3</v>
      </c>
      <c r="M26" s="38" t="n">
        <f aca="false">IF(OR(L26="",G26=""),"",G26*L26)</f>
        <v>12</v>
      </c>
      <c r="N26" s="31" t="n">
        <f aca="false">IF(M26="","",MATCH(M26,Config!$E$5:$E$9,1))</f>
        <v>3</v>
      </c>
      <c r="O26" s="7" t="str">
        <f aca="false">IF(F26="N/A","N/A",IF(N26="","Not assessed",INDEX(Config!$B$5:$B$9,N26)))</f>
        <v>Medium</v>
      </c>
      <c r="P26" s="32" t="n">
        <v>0</v>
      </c>
      <c r="Q26" s="8"/>
      <c r="R26" s="33"/>
      <c r="S26" s="34" t="n">
        <f aca="false">IF(N26="","",IF(AND(R26="Y",P26&lt;&gt;0),MAX(1,MIN(5,N26+MAX(-Config!$C$27,MIN(Config!$C$27,P26)))),N26))</f>
        <v>3</v>
      </c>
      <c r="T26" s="35" t="str">
        <f aca="false">IF(F26="N/A","N/A",IF(S26="","Not assessed",INDEX(Config!$B$5:$B$9,S26)))</f>
        <v>Medium</v>
      </c>
      <c r="U26" s="7" t="str">
        <f aca="false">IF(P26=0,"None",IF(R26="Y","Applied","Pending HO approval"))</f>
        <v>None</v>
      </c>
      <c r="V26" s="8"/>
    </row>
    <row r="27" customFormat="false" ht="15" hidden="false" customHeight="false" outlineLevel="0" collapsed="false">
      <c r="A27" s="26" t="str">
        <f aca="false">Entities!$A$6</f>
        <v>JO-IIAB</v>
      </c>
      <c r="B27" s="12" t="str">
        <f aca="false">INDEX(Entities!$B$5:$B$34,MATCH(A27,Entities!$A$5:$A$34,0))</f>
        <v>Islamic International Arab Bank</v>
      </c>
      <c r="C27" s="12" t="str">
        <f aca="false">INDEX(Entities!$D$5:$D$34,MATCH(A27,Entities!$A$5:$A$34,0))</f>
        <v>Jordan (home)</v>
      </c>
      <c r="D27" s="12" t="s">
        <v>313</v>
      </c>
      <c r="E27" s="12" t="str">
        <f aca="false">INDEX('Risk Taxonomy'!$B$5:$B$24,MATCH(D27,'Risk Taxonomy'!$A$5:$A$24,0))</f>
        <v>Third-party and outsourcing</v>
      </c>
      <c r="F27" s="7" t="str">
        <f aca="false">IF(D27="RC-04",IF(INDEX(Entities!$G$5:$G$34,MATCH(A27,Entities!$A$5:$A$34,0))="Y","Yes","N/A"),"Yes")</f>
        <v>Yes</v>
      </c>
      <c r="G27" s="24" t="n">
        <v>3</v>
      </c>
      <c r="H27" s="24" t="n">
        <v>3</v>
      </c>
      <c r="I27" s="24" t="n">
        <v>2</v>
      </c>
      <c r="J27" s="24" t="n">
        <v>3</v>
      </c>
      <c r="K27" s="24" t="n">
        <v>4</v>
      </c>
      <c r="L27" s="37" t="n">
        <f aca="false">IF(F27="N/A","",IF(COUNT(H27:K27)=0,"",IF(Config!$C$19="Highest dimension",MAX(H27:K27),ROUND(H27*Config!$C$20+I27*Config!$C$21+J27*Config!$C$22+K27*Config!$C$23,1))))</f>
        <v>4</v>
      </c>
      <c r="M27" s="38" t="n">
        <f aca="false">IF(OR(L27="",G27=""),"",G27*L27)</f>
        <v>12</v>
      </c>
      <c r="N27" s="31" t="n">
        <f aca="false">IF(M27="","",MATCH(M27,Config!$E$5:$E$9,1))</f>
        <v>3</v>
      </c>
      <c r="O27" s="7" t="str">
        <f aca="false">IF(F27="N/A","N/A",IF(N27="","Not assessed",INDEX(Config!$B$5:$B$9,N27)))</f>
        <v>Medium</v>
      </c>
      <c r="P27" s="32" t="n">
        <v>0</v>
      </c>
      <c r="Q27" s="8"/>
      <c r="R27" s="33"/>
      <c r="S27" s="34" t="n">
        <f aca="false">IF(N27="","",IF(AND(R27="Y",P27&lt;&gt;0),MAX(1,MIN(5,N27+MAX(-Config!$C$27,MIN(Config!$C$27,P27)))),N27))</f>
        <v>3</v>
      </c>
      <c r="T27" s="35" t="str">
        <f aca="false">IF(F27="N/A","N/A",IF(S27="","Not assessed",INDEX(Config!$B$5:$B$9,S27)))</f>
        <v>Medium</v>
      </c>
      <c r="U27" s="7" t="str">
        <f aca="false">IF(P27=0,"None",IF(R27="Y","Applied","Pending HO approval"))</f>
        <v>None</v>
      </c>
      <c r="V27" s="8"/>
    </row>
    <row r="28" customFormat="false" ht="15" hidden="false" customHeight="false" outlineLevel="0" collapsed="false">
      <c r="A28" s="26" t="str">
        <f aca="false">Entities!$A$6</f>
        <v>JO-IIAB</v>
      </c>
      <c r="B28" s="12" t="str">
        <f aca="false">INDEX(Entities!$B$5:$B$34,MATCH(A28,Entities!$A$5:$A$34,0))</f>
        <v>Islamic International Arab Bank</v>
      </c>
      <c r="C28" s="12" t="str">
        <f aca="false">INDEX(Entities!$D$5:$D$34,MATCH(A28,Entities!$A$5:$A$34,0))</f>
        <v>Jordan (home)</v>
      </c>
      <c r="D28" s="12" t="s">
        <v>316</v>
      </c>
      <c r="E28" s="12" t="str">
        <f aca="false">INDEX('Risk Taxonomy'!$B$5:$B$24,MATCH(D28,'Risk Taxonomy'!$A$5:$A$24,0))</f>
        <v>Legal and litigation</v>
      </c>
      <c r="F28" s="7" t="str">
        <f aca="false">IF(D28="RC-04",IF(INDEX(Entities!$G$5:$G$34,MATCH(A28,Entities!$A$5:$A$34,0))="Y","Yes","N/A"),"Yes")</f>
        <v>Yes</v>
      </c>
      <c r="G28" s="24" t="n">
        <v>1</v>
      </c>
      <c r="H28" s="24" t="n">
        <v>2</v>
      </c>
      <c r="I28" s="24" t="n">
        <v>4</v>
      </c>
      <c r="J28" s="24" t="n">
        <v>2</v>
      </c>
      <c r="K28" s="24" t="n">
        <v>4</v>
      </c>
      <c r="L28" s="37" t="n">
        <f aca="false">IF(F28="N/A","",IF(COUNT(H28:K28)=0,"",IF(Config!$C$19="Highest dimension",MAX(H28:K28),ROUND(H28*Config!$C$20+I28*Config!$C$21+J28*Config!$C$22+K28*Config!$C$23,1))))</f>
        <v>4</v>
      </c>
      <c r="M28" s="38" t="n">
        <f aca="false">IF(OR(L28="",G28=""),"",G28*L28)</f>
        <v>4</v>
      </c>
      <c r="N28" s="31" t="n">
        <f aca="false">IF(M28="","",MATCH(M28,Config!$E$5:$E$9,1))</f>
        <v>1</v>
      </c>
      <c r="O28" s="7" t="str">
        <f aca="false">IF(F28="N/A","N/A",IF(N28="","Not assessed",INDEX(Config!$B$5:$B$9,N28)))</f>
        <v>Low</v>
      </c>
      <c r="P28" s="32" t="n">
        <v>0</v>
      </c>
      <c r="Q28" s="8"/>
      <c r="R28" s="33"/>
      <c r="S28" s="34" t="n">
        <f aca="false">IF(N28="","",IF(AND(R28="Y",P28&lt;&gt;0),MAX(1,MIN(5,N28+MAX(-Config!$C$27,MIN(Config!$C$27,P28)))),N28))</f>
        <v>1</v>
      </c>
      <c r="T28" s="35" t="str">
        <f aca="false">IF(F28="N/A","N/A",IF(S28="","Not assessed",INDEX(Config!$B$5:$B$9,S28)))</f>
        <v>Low</v>
      </c>
      <c r="U28" s="7" t="str">
        <f aca="false">IF(P28=0,"None",IF(R28="Y","Applied","Pending HO approval"))</f>
        <v>None</v>
      </c>
      <c r="V28" s="8"/>
    </row>
    <row r="29" customFormat="false" ht="15" hidden="false" customHeight="false" outlineLevel="0" collapsed="false">
      <c r="A29" s="26" t="str">
        <f aca="false">Entities!$A$6</f>
        <v>JO-IIAB</v>
      </c>
      <c r="B29" s="12" t="str">
        <f aca="false">INDEX(Entities!$B$5:$B$34,MATCH(A29,Entities!$A$5:$A$34,0))</f>
        <v>Islamic International Arab Bank</v>
      </c>
      <c r="C29" s="12" t="str">
        <f aca="false">INDEX(Entities!$D$5:$D$34,MATCH(A29,Entities!$A$5:$A$34,0))</f>
        <v>Jordan (home)</v>
      </c>
      <c r="D29" s="12" t="s">
        <v>319</v>
      </c>
      <c r="E29" s="12" t="str">
        <f aca="false">INDEX('Risk Taxonomy'!$B$5:$B$24,MATCH(D29,'Risk Taxonomy'!$A$5:$A$24,0))</f>
        <v>Reputational</v>
      </c>
      <c r="F29" s="7" t="str">
        <f aca="false">IF(D29="RC-04",IF(INDEX(Entities!$G$5:$G$34,MATCH(A29,Entities!$A$5:$A$34,0))="Y","Yes","N/A"),"Yes")</f>
        <v>Yes</v>
      </c>
      <c r="G29" s="24" t="n">
        <v>2</v>
      </c>
      <c r="H29" s="24" t="n">
        <v>3</v>
      </c>
      <c r="I29" s="24" t="n">
        <v>2</v>
      </c>
      <c r="J29" s="24" t="n">
        <v>4</v>
      </c>
      <c r="K29" s="24" t="n">
        <v>2</v>
      </c>
      <c r="L29" s="37" t="n">
        <f aca="false">IF(F29="N/A","",IF(COUNT(H29:K29)=0,"",IF(Config!$C$19="Highest dimension",MAX(H29:K29),ROUND(H29*Config!$C$20+I29*Config!$C$21+J29*Config!$C$22+K29*Config!$C$23,1))))</f>
        <v>4</v>
      </c>
      <c r="M29" s="38" t="n">
        <f aca="false">IF(OR(L29="",G29=""),"",G29*L29)</f>
        <v>8</v>
      </c>
      <c r="N29" s="31" t="n">
        <f aca="false">IF(M29="","",MATCH(M29,Config!$E$5:$E$9,1))</f>
        <v>2</v>
      </c>
      <c r="O29" s="7" t="str">
        <f aca="false">IF(F29="N/A","N/A",IF(N29="","Not assessed",INDEX(Config!$B$5:$B$9,N29)))</f>
        <v>Medium-Low</v>
      </c>
      <c r="P29" s="32" t="n">
        <v>0</v>
      </c>
      <c r="Q29" s="8"/>
      <c r="R29" s="33"/>
      <c r="S29" s="34" t="n">
        <f aca="false">IF(N29="","",IF(AND(R29="Y",P29&lt;&gt;0),MAX(1,MIN(5,N29+MAX(-Config!$C$27,MIN(Config!$C$27,P29)))),N29))</f>
        <v>2</v>
      </c>
      <c r="T29" s="35" t="str">
        <f aca="false">IF(F29="N/A","N/A",IF(S29="","Not assessed",INDEX(Config!$B$5:$B$9,S29)))</f>
        <v>Medium-Low</v>
      </c>
      <c r="U29" s="7" t="str">
        <f aca="false">IF(P29=0,"None",IF(R29="Y","Applied","Pending HO approval"))</f>
        <v>None</v>
      </c>
      <c r="V29" s="8"/>
    </row>
    <row r="30" customFormat="false" ht="15" hidden="false" customHeight="false" outlineLevel="0" collapsed="false">
      <c r="A30" s="26" t="str">
        <f aca="false">Entities!$A$6</f>
        <v>JO-IIAB</v>
      </c>
      <c r="B30" s="12" t="str">
        <f aca="false">INDEX(Entities!$B$5:$B$34,MATCH(A30,Entities!$A$5:$A$34,0))</f>
        <v>Islamic International Arab Bank</v>
      </c>
      <c r="C30" s="12" t="str">
        <f aca="false">INDEX(Entities!$D$5:$D$34,MATCH(A30,Entities!$A$5:$A$34,0))</f>
        <v>Jordan (home)</v>
      </c>
      <c r="D30" s="12" t="s">
        <v>322</v>
      </c>
      <c r="E30" s="12" t="str">
        <f aca="false">INDEX('Risk Taxonomy'!$B$5:$B$24,MATCH(D30,'Risk Taxonomy'!$A$5:$A$24,0))</f>
        <v>Strategic, business model and ESG</v>
      </c>
      <c r="F30" s="7" t="str">
        <f aca="false">IF(D30="RC-04",IF(INDEX(Entities!$G$5:$G$34,MATCH(A30,Entities!$A$5:$A$34,0))="Y","Yes","N/A"),"Yes")</f>
        <v>Yes</v>
      </c>
      <c r="G30" s="24" t="n">
        <v>3</v>
      </c>
      <c r="H30" s="24" t="n">
        <v>3</v>
      </c>
      <c r="I30" s="24" t="n">
        <v>4</v>
      </c>
      <c r="J30" s="24" t="n">
        <v>3</v>
      </c>
      <c r="K30" s="24" t="n">
        <v>4</v>
      </c>
      <c r="L30" s="37" t="n">
        <f aca="false">IF(F30="N/A","",IF(COUNT(H30:K30)=0,"",IF(Config!$C$19="Highest dimension",MAX(H30:K30),ROUND(H30*Config!$C$20+I30*Config!$C$21+J30*Config!$C$22+K30*Config!$C$23,1))))</f>
        <v>4</v>
      </c>
      <c r="M30" s="38" t="n">
        <f aca="false">IF(OR(L30="",G30=""),"",G30*L30)</f>
        <v>12</v>
      </c>
      <c r="N30" s="31" t="n">
        <f aca="false">IF(M30="","",MATCH(M30,Config!$E$5:$E$9,1))</f>
        <v>3</v>
      </c>
      <c r="O30" s="7" t="str">
        <f aca="false">IF(F30="N/A","N/A",IF(N30="","Not assessed",INDEX(Config!$B$5:$B$9,N30)))</f>
        <v>Medium</v>
      </c>
      <c r="P30" s="32" t="n">
        <v>0</v>
      </c>
      <c r="Q30" s="8"/>
      <c r="R30" s="33"/>
      <c r="S30" s="34" t="n">
        <f aca="false">IF(N30="","",IF(AND(R30="Y",P30&lt;&gt;0),MAX(1,MIN(5,N30+MAX(-Config!$C$27,MIN(Config!$C$27,P30)))),N30))</f>
        <v>3</v>
      </c>
      <c r="T30" s="35" t="str">
        <f aca="false">IF(F30="N/A","N/A",IF(S30="","Not assessed",INDEX(Config!$B$5:$B$9,S30)))</f>
        <v>Medium</v>
      </c>
      <c r="U30" s="7" t="str">
        <f aca="false">IF(P30=0,"None",IF(R30="Y","Applied","Pending HO approval"))</f>
        <v>None</v>
      </c>
      <c r="V30" s="8"/>
    </row>
    <row r="31" customFormat="false" ht="15" hidden="false" customHeight="false" outlineLevel="0" collapsed="false">
      <c r="A31" s="26" t="str">
        <f aca="false">Entities!$A$7</f>
        <v>JO-INV</v>
      </c>
      <c r="B31" s="12" t="str">
        <f aca="false">INDEX(Entities!$B$5:$B$34,MATCH(A31,Entities!$A$5:$A$34,0))</f>
        <v>Al-Arabi Investment Group (AB Invest)</v>
      </c>
      <c r="C31" s="12" t="str">
        <f aca="false">INDEX(Entities!$D$5:$D$34,MATCH(A31,Entities!$A$5:$A$34,0))</f>
        <v>Jordan (home)</v>
      </c>
      <c r="D31" s="12" t="s">
        <v>284</v>
      </c>
      <c r="E31" s="12" t="str">
        <f aca="false">INDEX('Risk Taxonomy'!$B$5:$B$24,MATCH(D31,'Risk Taxonomy'!$A$5:$A$24,0))</f>
        <v>Regulatory compliance</v>
      </c>
      <c r="F31" s="7" t="str">
        <f aca="false">IF(D31="RC-04",IF(INDEX(Entities!$G$5:$G$34,MATCH(A31,Entities!$A$5:$A$34,0))="Y","Yes","N/A"),"Yes")</f>
        <v>Yes</v>
      </c>
      <c r="G31" s="24" t="n">
        <v>3</v>
      </c>
      <c r="H31" s="24" t="n">
        <v>2</v>
      </c>
      <c r="I31" s="24" t="n">
        <v>1</v>
      </c>
      <c r="J31" s="24" t="n">
        <v>3</v>
      </c>
      <c r="K31" s="24" t="n">
        <v>3</v>
      </c>
      <c r="L31" s="37" t="n">
        <f aca="false">IF(F31="N/A","",IF(COUNT(H31:K31)=0,"",IF(Config!$C$19="Highest dimension",MAX(H31:K31),ROUND(H31*Config!$C$20+I31*Config!$C$21+J31*Config!$C$22+K31*Config!$C$23,1))))</f>
        <v>3</v>
      </c>
      <c r="M31" s="38" t="n">
        <f aca="false">IF(OR(L31="",G31=""),"",G31*L31)</f>
        <v>9</v>
      </c>
      <c r="N31" s="31" t="n">
        <f aca="false">IF(M31="","",MATCH(M31,Config!$E$5:$E$9,1))</f>
        <v>3</v>
      </c>
      <c r="O31" s="7" t="str">
        <f aca="false">IF(F31="N/A","N/A",IF(N31="","Not assessed",INDEX(Config!$B$5:$B$9,N31)))</f>
        <v>Medium</v>
      </c>
      <c r="P31" s="32" t="n">
        <v>0</v>
      </c>
      <c r="Q31" s="8"/>
      <c r="R31" s="33"/>
      <c r="S31" s="34" t="n">
        <f aca="false">IF(N31="","",IF(AND(R31="Y",P31&lt;&gt;0),MAX(1,MIN(5,N31+MAX(-Config!$C$27,MIN(Config!$C$27,P31)))),N31))</f>
        <v>3</v>
      </c>
      <c r="T31" s="35" t="str">
        <f aca="false">IF(F31="N/A","N/A",IF(S31="","Not assessed",INDEX(Config!$B$5:$B$9,S31)))</f>
        <v>Medium</v>
      </c>
      <c r="U31" s="7" t="str">
        <f aca="false">IF(P31=0,"None",IF(R31="Y","Applied","Pending HO approval"))</f>
        <v>None</v>
      </c>
      <c r="V31" s="8"/>
    </row>
    <row r="32" customFormat="false" ht="15" hidden="false" customHeight="false" outlineLevel="0" collapsed="false">
      <c r="A32" s="26" t="str">
        <f aca="false">Entities!$A$7</f>
        <v>JO-INV</v>
      </c>
      <c r="B32" s="12" t="str">
        <f aca="false">INDEX(Entities!$B$5:$B$34,MATCH(A32,Entities!$A$5:$A$34,0))</f>
        <v>Al-Arabi Investment Group (AB Invest)</v>
      </c>
      <c r="C32" s="12" t="str">
        <f aca="false">INDEX(Entities!$D$5:$D$34,MATCH(A32,Entities!$A$5:$A$34,0))</f>
        <v>Jordan (home)</v>
      </c>
      <c r="D32" s="12" t="s">
        <v>288</v>
      </c>
      <c r="E32" s="12" t="str">
        <f aca="false">INDEX('Risk Taxonomy'!$B$5:$B$24,MATCH(D32,'Risk Taxonomy'!$A$5:$A$24,0))</f>
        <v>Conduct and consumer protection</v>
      </c>
      <c r="F32" s="7" t="str">
        <f aca="false">IF(D32="RC-04",IF(INDEX(Entities!$G$5:$G$34,MATCH(A32,Entities!$A$5:$A$34,0))="Y","Yes","N/A"),"Yes")</f>
        <v>Yes</v>
      </c>
      <c r="G32" s="24" t="n">
        <v>3</v>
      </c>
      <c r="H32" s="24" t="n">
        <v>3</v>
      </c>
      <c r="I32" s="24" t="n">
        <v>3</v>
      </c>
      <c r="J32" s="24" t="n">
        <v>4</v>
      </c>
      <c r="K32" s="24" t="n">
        <v>3</v>
      </c>
      <c r="L32" s="37" t="n">
        <f aca="false">IF(F32="N/A","",IF(COUNT(H32:K32)=0,"",IF(Config!$C$19="Highest dimension",MAX(H32:K32),ROUND(H32*Config!$C$20+I32*Config!$C$21+J32*Config!$C$22+K32*Config!$C$23,1))))</f>
        <v>4</v>
      </c>
      <c r="M32" s="38" t="n">
        <f aca="false">IF(OR(L32="",G32=""),"",G32*L32)</f>
        <v>12</v>
      </c>
      <c r="N32" s="31" t="n">
        <f aca="false">IF(M32="","",MATCH(M32,Config!$E$5:$E$9,1))</f>
        <v>3</v>
      </c>
      <c r="O32" s="7" t="str">
        <f aca="false">IF(F32="N/A","N/A",IF(N32="","Not assessed",INDEX(Config!$B$5:$B$9,N32)))</f>
        <v>Medium</v>
      </c>
      <c r="P32" s="32" t="n">
        <v>0</v>
      </c>
      <c r="Q32" s="8"/>
      <c r="R32" s="33"/>
      <c r="S32" s="34" t="n">
        <f aca="false">IF(N32="","",IF(AND(R32="Y",P32&lt;&gt;0),MAX(1,MIN(5,N32+MAX(-Config!$C$27,MIN(Config!$C$27,P32)))),N32))</f>
        <v>3</v>
      </c>
      <c r="T32" s="35" t="str">
        <f aca="false">IF(F32="N/A","N/A",IF(S32="","Not assessed",INDEX(Config!$B$5:$B$9,S32)))</f>
        <v>Medium</v>
      </c>
      <c r="U32" s="7" t="str">
        <f aca="false">IF(P32=0,"None",IF(R32="Y","Applied","Pending HO approval"))</f>
        <v>None</v>
      </c>
      <c r="V32" s="8"/>
    </row>
    <row r="33" customFormat="false" ht="15" hidden="false" customHeight="false" outlineLevel="0" collapsed="false">
      <c r="A33" s="26" t="str">
        <f aca="false">Entities!$A$7</f>
        <v>JO-INV</v>
      </c>
      <c r="B33" s="12" t="str">
        <f aca="false">INDEX(Entities!$B$5:$B$34,MATCH(A33,Entities!$A$5:$A$34,0))</f>
        <v>Al-Arabi Investment Group (AB Invest)</v>
      </c>
      <c r="C33" s="12" t="str">
        <f aca="false">INDEX(Entities!$D$5:$D$34,MATCH(A33,Entities!$A$5:$A$34,0))</f>
        <v>Jordan (home)</v>
      </c>
      <c r="D33" s="12" t="s">
        <v>290</v>
      </c>
      <c r="E33" s="12" t="str">
        <f aca="false">INDEX('Risk Taxonomy'!$B$5:$B$24,MATCH(D33,'Risk Taxonomy'!$A$5:$A$24,0))</f>
        <v>Data protection and privacy</v>
      </c>
      <c r="F33" s="7" t="str">
        <f aca="false">IF(D33="RC-04",IF(INDEX(Entities!$G$5:$G$34,MATCH(A33,Entities!$A$5:$A$34,0))="Y","Yes","N/A"),"Yes")</f>
        <v>Yes</v>
      </c>
      <c r="G33" s="24" t="n">
        <v>2</v>
      </c>
      <c r="H33" s="24" t="n">
        <v>2</v>
      </c>
      <c r="I33" s="24" t="n">
        <v>3</v>
      </c>
      <c r="J33" s="24" t="n">
        <v>4</v>
      </c>
      <c r="K33" s="24" t="n">
        <v>3</v>
      </c>
      <c r="L33" s="37" t="n">
        <f aca="false">IF(F33="N/A","",IF(COUNT(H33:K33)=0,"",IF(Config!$C$19="Highest dimension",MAX(H33:K33),ROUND(H33*Config!$C$20+I33*Config!$C$21+J33*Config!$C$22+K33*Config!$C$23,1))))</f>
        <v>4</v>
      </c>
      <c r="M33" s="38" t="n">
        <f aca="false">IF(OR(L33="",G33=""),"",G33*L33)</f>
        <v>8</v>
      </c>
      <c r="N33" s="31" t="n">
        <f aca="false">IF(M33="","",MATCH(M33,Config!$E$5:$E$9,1))</f>
        <v>2</v>
      </c>
      <c r="O33" s="7" t="str">
        <f aca="false">IF(F33="N/A","N/A",IF(N33="","Not assessed",INDEX(Config!$B$5:$B$9,N33)))</f>
        <v>Medium-Low</v>
      </c>
      <c r="P33" s="32" t="n">
        <v>0</v>
      </c>
      <c r="Q33" s="8"/>
      <c r="R33" s="33"/>
      <c r="S33" s="34" t="n">
        <f aca="false">IF(N33="","",IF(AND(R33="Y",P33&lt;&gt;0),MAX(1,MIN(5,N33+MAX(-Config!$C$27,MIN(Config!$C$27,P33)))),N33))</f>
        <v>2</v>
      </c>
      <c r="T33" s="35" t="str">
        <f aca="false">IF(F33="N/A","N/A",IF(S33="","Not assessed",INDEX(Config!$B$5:$B$9,S33)))</f>
        <v>Medium-Low</v>
      </c>
      <c r="U33" s="7" t="str">
        <f aca="false">IF(P33=0,"None",IF(R33="Y","Applied","Pending HO approval"))</f>
        <v>None</v>
      </c>
      <c r="V33" s="8"/>
    </row>
    <row r="34" customFormat="false" ht="15" hidden="false" customHeight="false" outlineLevel="0" collapsed="false">
      <c r="A34" s="26" t="str">
        <f aca="false">Entities!$A$7</f>
        <v>JO-INV</v>
      </c>
      <c r="B34" s="12" t="str">
        <f aca="false">INDEX(Entities!$B$5:$B$34,MATCH(A34,Entities!$A$5:$A$34,0))</f>
        <v>Al-Arabi Investment Group (AB Invest)</v>
      </c>
      <c r="C34" s="12" t="str">
        <f aca="false">INDEX(Entities!$D$5:$D$34,MATCH(A34,Entities!$A$5:$A$34,0))</f>
        <v>Jordan (home)</v>
      </c>
      <c r="D34" s="12" t="s">
        <v>293</v>
      </c>
      <c r="E34" s="12" t="str">
        <f aca="false">INDEX('Risk Taxonomy'!$B$5:$B$24,MATCH(D34,'Risk Taxonomy'!$A$5:$A$24,0))</f>
        <v>Shariah non-compliance</v>
      </c>
      <c r="F34" s="7" t="str">
        <f aca="false">IF(D34="RC-04",IF(INDEX(Entities!$G$5:$G$34,MATCH(A34,Entities!$A$5:$A$34,0))="Y","Yes","N/A"),"Yes")</f>
        <v>N/A</v>
      </c>
      <c r="G34" s="24"/>
      <c r="H34" s="24"/>
      <c r="I34" s="24"/>
      <c r="J34" s="24"/>
      <c r="K34" s="24"/>
      <c r="L34" s="37" t="str">
        <f aca="false">IF(F34="N/A","",IF(COUNT(H34:K34)=0,"",IF(Config!$C$19="Highest dimension",MAX(H34:K34),ROUND(H34*Config!$C$20+I34*Config!$C$21+J34*Config!$C$22+K34*Config!$C$23,1))))</f>
        <v/>
      </c>
      <c r="M34" s="38" t="str">
        <f aca="false">IF(OR(L34="",G34=""),"",G34*L34)</f>
        <v/>
      </c>
      <c r="N34" s="31" t="str">
        <f aca="false">IF(M34="","",MATCH(M34,Config!$E$5:$E$9,1))</f>
        <v/>
      </c>
      <c r="O34" s="7" t="str">
        <f aca="false">IF(F34="N/A","N/A",IF(N34="","Not assessed",INDEX(Config!$B$5:$B$9,N34)))</f>
        <v>N/A</v>
      </c>
      <c r="P34" s="32" t="n">
        <v>0</v>
      </c>
      <c r="Q34" s="8"/>
      <c r="R34" s="33"/>
      <c r="S34" s="34" t="str">
        <f aca="false">IF(N34="","",IF(AND(R34="Y",P34&lt;&gt;0),MAX(1,MIN(5,N34+MAX(-Config!$C$27,MIN(Config!$C$27,P34)))),N34))</f>
        <v/>
      </c>
      <c r="T34" s="35" t="str">
        <f aca="false">IF(F34="N/A","N/A",IF(S34="","Not assessed",INDEX(Config!$B$5:$B$9,S34)))</f>
        <v>N/A</v>
      </c>
      <c r="U34" s="7" t="str">
        <f aca="false">IF(P34=0,"None",IF(R34="Y","Applied","Pending HO approval"))</f>
        <v>None</v>
      </c>
      <c r="V34" s="8"/>
    </row>
    <row r="35" customFormat="false" ht="15" hidden="false" customHeight="false" outlineLevel="0" collapsed="false">
      <c r="A35" s="26" t="str">
        <f aca="false">Entities!$A$7</f>
        <v>JO-INV</v>
      </c>
      <c r="B35" s="12" t="str">
        <f aca="false">INDEX(Entities!$B$5:$B$34,MATCH(A35,Entities!$A$5:$A$34,0))</f>
        <v>Al-Arabi Investment Group (AB Invest)</v>
      </c>
      <c r="C35" s="12" t="str">
        <f aca="false">INDEX(Entities!$D$5:$D$34,MATCH(A35,Entities!$A$5:$A$34,0))</f>
        <v>Jordan (home)</v>
      </c>
      <c r="D35" s="12" t="s">
        <v>297</v>
      </c>
      <c r="E35" s="12" t="str">
        <f aca="false">INDEX('Risk Taxonomy'!$B$5:$B$24,MATCH(D35,'Risk Taxonomy'!$A$5:$A$24,0))</f>
        <v>Credit risk</v>
      </c>
      <c r="F35" s="7" t="str">
        <f aca="false">IF(D35="RC-04",IF(INDEX(Entities!$G$5:$G$34,MATCH(A35,Entities!$A$5:$A$34,0))="Y","Yes","N/A"),"Yes")</f>
        <v>Yes</v>
      </c>
      <c r="G35" s="24" t="n">
        <v>3</v>
      </c>
      <c r="H35" s="24" t="n">
        <v>4</v>
      </c>
      <c r="I35" s="24" t="n">
        <v>3</v>
      </c>
      <c r="J35" s="24" t="n">
        <v>1</v>
      </c>
      <c r="K35" s="24" t="n">
        <v>2</v>
      </c>
      <c r="L35" s="37" t="n">
        <f aca="false">IF(F35="N/A","",IF(COUNT(H35:K35)=0,"",IF(Config!$C$19="Highest dimension",MAX(H35:K35),ROUND(H35*Config!$C$20+I35*Config!$C$21+J35*Config!$C$22+K35*Config!$C$23,1))))</f>
        <v>4</v>
      </c>
      <c r="M35" s="38" t="n">
        <f aca="false">IF(OR(L35="",G35=""),"",G35*L35)</f>
        <v>12</v>
      </c>
      <c r="N35" s="31" t="n">
        <f aca="false">IF(M35="","",MATCH(M35,Config!$E$5:$E$9,1))</f>
        <v>3</v>
      </c>
      <c r="O35" s="7" t="str">
        <f aca="false">IF(F35="N/A","N/A",IF(N35="","Not assessed",INDEX(Config!$B$5:$B$9,N35)))</f>
        <v>Medium</v>
      </c>
      <c r="P35" s="32" t="n">
        <v>0</v>
      </c>
      <c r="Q35" s="8"/>
      <c r="R35" s="33"/>
      <c r="S35" s="34" t="n">
        <f aca="false">IF(N35="","",IF(AND(R35="Y",P35&lt;&gt;0),MAX(1,MIN(5,N35+MAX(-Config!$C$27,MIN(Config!$C$27,P35)))),N35))</f>
        <v>3</v>
      </c>
      <c r="T35" s="35" t="str">
        <f aca="false">IF(F35="N/A","N/A",IF(S35="","Not assessed",INDEX(Config!$B$5:$B$9,S35)))</f>
        <v>Medium</v>
      </c>
      <c r="U35" s="7" t="str">
        <f aca="false">IF(P35=0,"None",IF(R35="Y","Applied","Pending HO approval"))</f>
        <v>None</v>
      </c>
      <c r="V35" s="8"/>
    </row>
    <row r="36" customFormat="false" ht="15" hidden="false" customHeight="false" outlineLevel="0" collapsed="false">
      <c r="A36" s="26" t="str">
        <f aca="false">Entities!$A$7</f>
        <v>JO-INV</v>
      </c>
      <c r="B36" s="12" t="str">
        <f aca="false">INDEX(Entities!$B$5:$B$34,MATCH(A36,Entities!$A$5:$A$34,0))</f>
        <v>Al-Arabi Investment Group (AB Invest)</v>
      </c>
      <c r="C36" s="12" t="str">
        <f aca="false">INDEX(Entities!$D$5:$D$34,MATCH(A36,Entities!$A$5:$A$34,0))</f>
        <v>Jordan (home)</v>
      </c>
      <c r="D36" s="12" t="s">
        <v>302</v>
      </c>
      <c r="E36" s="12" t="str">
        <f aca="false">INDEX('Risk Taxonomy'!$B$5:$B$24,MATCH(D36,'Risk Taxonomy'!$A$5:$A$24,0))</f>
        <v>Market risk</v>
      </c>
      <c r="F36" s="7" t="str">
        <f aca="false">IF(D36="RC-04",IF(INDEX(Entities!$G$5:$G$34,MATCH(A36,Entities!$A$5:$A$34,0))="Y","Yes","N/A"),"Yes")</f>
        <v>Yes</v>
      </c>
      <c r="G36" s="24" t="n">
        <v>2</v>
      </c>
      <c r="H36" s="24" t="n">
        <v>4</v>
      </c>
      <c r="I36" s="24" t="n">
        <v>2</v>
      </c>
      <c r="J36" s="24" t="n">
        <v>2</v>
      </c>
      <c r="K36" s="24" t="n">
        <v>2</v>
      </c>
      <c r="L36" s="37" t="n">
        <f aca="false">IF(F36="N/A","",IF(COUNT(H36:K36)=0,"",IF(Config!$C$19="Highest dimension",MAX(H36:K36),ROUND(H36*Config!$C$20+I36*Config!$C$21+J36*Config!$C$22+K36*Config!$C$23,1))))</f>
        <v>4</v>
      </c>
      <c r="M36" s="38" t="n">
        <f aca="false">IF(OR(L36="",G36=""),"",G36*L36)</f>
        <v>8</v>
      </c>
      <c r="N36" s="31" t="n">
        <f aca="false">IF(M36="","",MATCH(M36,Config!$E$5:$E$9,1))</f>
        <v>2</v>
      </c>
      <c r="O36" s="7" t="str">
        <f aca="false">IF(F36="N/A","N/A",IF(N36="","Not assessed",INDEX(Config!$B$5:$B$9,N36)))</f>
        <v>Medium-Low</v>
      </c>
      <c r="P36" s="32" t="n">
        <v>0</v>
      </c>
      <c r="Q36" s="8"/>
      <c r="R36" s="33"/>
      <c r="S36" s="34" t="n">
        <f aca="false">IF(N36="","",IF(AND(R36="Y",P36&lt;&gt;0),MAX(1,MIN(5,N36+MAX(-Config!$C$27,MIN(Config!$C$27,P36)))),N36))</f>
        <v>2</v>
      </c>
      <c r="T36" s="35" t="str">
        <f aca="false">IF(F36="N/A","N/A",IF(S36="","Not assessed",INDEX(Config!$B$5:$B$9,S36)))</f>
        <v>Medium-Low</v>
      </c>
      <c r="U36" s="7" t="str">
        <f aca="false">IF(P36=0,"None",IF(R36="Y","Applied","Pending HO approval"))</f>
        <v>None</v>
      </c>
      <c r="V36" s="8"/>
    </row>
    <row r="37" customFormat="false" ht="15" hidden="false" customHeight="false" outlineLevel="0" collapsed="false">
      <c r="A37" s="26" t="str">
        <f aca="false">Entities!$A$7</f>
        <v>JO-INV</v>
      </c>
      <c r="B37" s="12" t="str">
        <f aca="false">INDEX(Entities!$B$5:$B$34,MATCH(A37,Entities!$A$5:$A$34,0))</f>
        <v>Al-Arabi Investment Group (AB Invest)</v>
      </c>
      <c r="C37" s="12" t="str">
        <f aca="false">INDEX(Entities!$D$5:$D$34,MATCH(A37,Entities!$A$5:$A$34,0))</f>
        <v>Jordan (home)</v>
      </c>
      <c r="D37" s="12" t="s">
        <v>304</v>
      </c>
      <c r="E37" s="12" t="str">
        <f aca="false">INDEX('Risk Taxonomy'!$B$5:$B$24,MATCH(D37,'Risk Taxonomy'!$A$5:$A$24,0))</f>
        <v>Liquidity and funding risk</v>
      </c>
      <c r="F37" s="7" t="str">
        <f aca="false">IF(D37="RC-04",IF(INDEX(Entities!$G$5:$G$34,MATCH(A37,Entities!$A$5:$A$34,0))="Y","Yes","N/A"),"Yes")</f>
        <v>Yes</v>
      </c>
      <c r="G37" s="24" t="n">
        <v>4</v>
      </c>
      <c r="H37" s="24" t="n">
        <v>2</v>
      </c>
      <c r="I37" s="24" t="n">
        <v>3</v>
      </c>
      <c r="J37" s="24" t="n">
        <v>4</v>
      </c>
      <c r="K37" s="24" t="n">
        <v>3</v>
      </c>
      <c r="L37" s="37" t="n">
        <f aca="false">IF(F37="N/A","",IF(COUNT(H37:K37)=0,"",IF(Config!$C$19="Highest dimension",MAX(H37:K37),ROUND(H37*Config!$C$20+I37*Config!$C$21+J37*Config!$C$22+K37*Config!$C$23,1))))</f>
        <v>4</v>
      </c>
      <c r="M37" s="38" t="n">
        <f aca="false">IF(OR(L37="",G37=""),"",G37*L37)</f>
        <v>16</v>
      </c>
      <c r="N37" s="31" t="n">
        <f aca="false">IF(M37="","",MATCH(M37,Config!$E$5:$E$9,1))</f>
        <v>4</v>
      </c>
      <c r="O37" s="7" t="str">
        <f aca="false">IF(F37="N/A","N/A",IF(N37="","Not assessed",INDEX(Config!$B$5:$B$9,N37)))</f>
        <v>Medium-High</v>
      </c>
      <c r="P37" s="32" t="n">
        <v>0</v>
      </c>
      <c r="Q37" s="8"/>
      <c r="R37" s="33"/>
      <c r="S37" s="34" t="n">
        <f aca="false">IF(N37="","",IF(AND(R37="Y",P37&lt;&gt;0),MAX(1,MIN(5,N37+MAX(-Config!$C$27,MIN(Config!$C$27,P37)))),N37))</f>
        <v>4</v>
      </c>
      <c r="T37" s="35" t="str">
        <f aca="false">IF(F37="N/A","N/A",IF(S37="","Not assessed",INDEX(Config!$B$5:$B$9,S37)))</f>
        <v>Medium-High</v>
      </c>
      <c r="U37" s="7" t="str">
        <f aca="false">IF(P37=0,"None",IF(R37="Y","Applied","Pending HO approval"))</f>
        <v>None</v>
      </c>
      <c r="V37" s="8"/>
    </row>
    <row r="38" customFormat="false" ht="15" hidden="false" customHeight="false" outlineLevel="0" collapsed="false">
      <c r="A38" s="26" t="str">
        <f aca="false">Entities!$A$7</f>
        <v>JO-INV</v>
      </c>
      <c r="B38" s="12" t="str">
        <f aca="false">INDEX(Entities!$B$5:$B$34,MATCH(A38,Entities!$A$5:$A$34,0))</f>
        <v>Al-Arabi Investment Group (AB Invest)</v>
      </c>
      <c r="C38" s="12" t="str">
        <f aca="false">INDEX(Entities!$D$5:$D$34,MATCH(A38,Entities!$A$5:$A$34,0))</f>
        <v>Jordan (home)</v>
      </c>
      <c r="D38" s="12" t="s">
        <v>307</v>
      </c>
      <c r="E38" s="12" t="str">
        <f aca="false">INDEX('Risk Taxonomy'!$B$5:$B$24,MATCH(D38,'Risk Taxonomy'!$A$5:$A$24,0))</f>
        <v>Operational risk</v>
      </c>
      <c r="F38" s="7" t="str">
        <f aca="false">IF(D38="RC-04",IF(INDEX(Entities!$G$5:$G$34,MATCH(A38,Entities!$A$5:$A$34,0))="Y","Yes","N/A"),"Yes")</f>
        <v>Yes</v>
      </c>
      <c r="G38" s="24" t="n">
        <v>3</v>
      </c>
      <c r="H38" s="24" t="n">
        <v>3</v>
      </c>
      <c r="I38" s="24" t="n">
        <v>3</v>
      </c>
      <c r="J38" s="24" t="n">
        <v>2</v>
      </c>
      <c r="K38" s="24" t="n">
        <v>2</v>
      </c>
      <c r="L38" s="37" t="n">
        <f aca="false">IF(F38="N/A","",IF(COUNT(H38:K38)=0,"",IF(Config!$C$19="Highest dimension",MAX(H38:K38),ROUND(H38*Config!$C$20+I38*Config!$C$21+J38*Config!$C$22+K38*Config!$C$23,1))))</f>
        <v>3</v>
      </c>
      <c r="M38" s="38" t="n">
        <f aca="false">IF(OR(L38="",G38=""),"",G38*L38)</f>
        <v>9</v>
      </c>
      <c r="N38" s="31" t="n">
        <f aca="false">IF(M38="","",MATCH(M38,Config!$E$5:$E$9,1))</f>
        <v>3</v>
      </c>
      <c r="O38" s="7" t="str">
        <f aca="false">IF(F38="N/A","N/A",IF(N38="","Not assessed",INDEX(Config!$B$5:$B$9,N38)))</f>
        <v>Medium</v>
      </c>
      <c r="P38" s="32" t="n">
        <v>0</v>
      </c>
      <c r="Q38" s="8"/>
      <c r="R38" s="33"/>
      <c r="S38" s="34" t="n">
        <f aca="false">IF(N38="","",IF(AND(R38="Y",P38&lt;&gt;0),MAX(1,MIN(5,N38+MAX(-Config!$C$27,MIN(Config!$C$27,P38)))),N38))</f>
        <v>3</v>
      </c>
      <c r="T38" s="35" t="str">
        <f aca="false">IF(F38="N/A","N/A",IF(S38="","Not assessed",INDEX(Config!$B$5:$B$9,S38)))</f>
        <v>Medium</v>
      </c>
      <c r="U38" s="7" t="str">
        <f aca="false">IF(P38=0,"None",IF(R38="Y","Applied","Pending HO approval"))</f>
        <v>None</v>
      </c>
      <c r="V38" s="8"/>
    </row>
    <row r="39" customFormat="false" ht="15" hidden="false" customHeight="false" outlineLevel="0" collapsed="false">
      <c r="A39" s="26" t="str">
        <f aca="false">Entities!$A$7</f>
        <v>JO-INV</v>
      </c>
      <c r="B39" s="12" t="str">
        <f aca="false">INDEX(Entities!$B$5:$B$34,MATCH(A39,Entities!$A$5:$A$34,0))</f>
        <v>Al-Arabi Investment Group (AB Invest)</v>
      </c>
      <c r="C39" s="12" t="str">
        <f aca="false">INDEX(Entities!$D$5:$D$34,MATCH(A39,Entities!$A$5:$A$34,0))</f>
        <v>Jordan (home)</v>
      </c>
      <c r="D39" s="12" t="s">
        <v>310</v>
      </c>
      <c r="E39" s="12" t="str">
        <f aca="false">INDEX('Risk Taxonomy'!$B$5:$B$24,MATCH(D39,'Risk Taxonomy'!$A$5:$A$24,0))</f>
        <v>Cyber, information security and technology</v>
      </c>
      <c r="F39" s="7" t="str">
        <f aca="false">IF(D39="RC-04",IF(INDEX(Entities!$G$5:$G$34,MATCH(A39,Entities!$A$5:$A$34,0))="Y","Yes","N/A"),"Yes")</f>
        <v>Yes</v>
      </c>
      <c r="G39" s="24" t="n">
        <v>3</v>
      </c>
      <c r="H39" s="24" t="n">
        <v>3</v>
      </c>
      <c r="I39" s="24" t="n">
        <v>2</v>
      </c>
      <c r="J39" s="24" t="n">
        <v>3</v>
      </c>
      <c r="K39" s="24" t="n">
        <v>4</v>
      </c>
      <c r="L39" s="37" t="n">
        <f aca="false">IF(F39="N/A","",IF(COUNT(H39:K39)=0,"",IF(Config!$C$19="Highest dimension",MAX(H39:K39),ROUND(H39*Config!$C$20+I39*Config!$C$21+J39*Config!$C$22+K39*Config!$C$23,1))))</f>
        <v>4</v>
      </c>
      <c r="M39" s="38" t="n">
        <f aca="false">IF(OR(L39="",G39=""),"",G39*L39)</f>
        <v>12</v>
      </c>
      <c r="N39" s="31" t="n">
        <f aca="false">IF(M39="","",MATCH(M39,Config!$E$5:$E$9,1))</f>
        <v>3</v>
      </c>
      <c r="O39" s="7" t="str">
        <f aca="false">IF(F39="N/A","N/A",IF(N39="","Not assessed",INDEX(Config!$B$5:$B$9,N39)))</f>
        <v>Medium</v>
      </c>
      <c r="P39" s="32" t="n">
        <v>0</v>
      </c>
      <c r="Q39" s="8"/>
      <c r="R39" s="33"/>
      <c r="S39" s="34" t="n">
        <f aca="false">IF(N39="","",IF(AND(R39="Y",P39&lt;&gt;0),MAX(1,MIN(5,N39+MAX(-Config!$C$27,MIN(Config!$C$27,P39)))),N39))</f>
        <v>3</v>
      </c>
      <c r="T39" s="35" t="str">
        <f aca="false">IF(F39="N/A","N/A",IF(S39="","Not assessed",INDEX(Config!$B$5:$B$9,S39)))</f>
        <v>Medium</v>
      </c>
      <c r="U39" s="7" t="str">
        <f aca="false">IF(P39=0,"None",IF(R39="Y","Applied","Pending HO approval"))</f>
        <v>None</v>
      </c>
      <c r="V39" s="8"/>
    </row>
    <row r="40" customFormat="false" ht="15" hidden="false" customHeight="false" outlineLevel="0" collapsed="false">
      <c r="A40" s="26" t="str">
        <f aca="false">Entities!$A$7</f>
        <v>JO-INV</v>
      </c>
      <c r="B40" s="12" t="str">
        <f aca="false">INDEX(Entities!$B$5:$B$34,MATCH(A40,Entities!$A$5:$A$34,0))</f>
        <v>Al-Arabi Investment Group (AB Invest)</v>
      </c>
      <c r="C40" s="12" t="str">
        <f aca="false">INDEX(Entities!$D$5:$D$34,MATCH(A40,Entities!$A$5:$A$34,0))</f>
        <v>Jordan (home)</v>
      </c>
      <c r="D40" s="12" t="s">
        <v>313</v>
      </c>
      <c r="E40" s="12" t="str">
        <f aca="false">INDEX('Risk Taxonomy'!$B$5:$B$24,MATCH(D40,'Risk Taxonomy'!$A$5:$A$24,0))</f>
        <v>Third-party and outsourcing</v>
      </c>
      <c r="F40" s="7" t="str">
        <f aca="false">IF(D40="RC-04",IF(INDEX(Entities!$G$5:$G$34,MATCH(A40,Entities!$A$5:$A$34,0))="Y","Yes","N/A"),"Yes")</f>
        <v>Yes</v>
      </c>
      <c r="G40" s="24" t="n">
        <v>3</v>
      </c>
      <c r="H40" s="24" t="n">
        <v>2</v>
      </c>
      <c r="I40" s="24" t="n">
        <v>4</v>
      </c>
      <c r="J40" s="24" t="n">
        <v>3</v>
      </c>
      <c r="K40" s="24" t="n">
        <v>3</v>
      </c>
      <c r="L40" s="37" t="n">
        <f aca="false">IF(F40="N/A","",IF(COUNT(H40:K40)=0,"",IF(Config!$C$19="Highest dimension",MAX(H40:K40),ROUND(H40*Config!$C$20+I40*Config!$C$21+J40*Config!$C$22+K40*Config!$C$23,1))))</f>
        <v>4</v>
      </c>
      <c r="M40" s="38" t="n">
        <f aca="false">IF(OR(L40="",G40=""),"",G40*L40)</f>
        <v>12</v>
      </c>
      <c r="N40" s="31" t="n">
        <f aca="false">IF(M40="","",MATCH(M40,Config!$E$5:$E$9,1))</f>
        <v>3</v>
      </c>
      <c r="O40" s="7" t="str">
        <f aca="false">IF(F40="N/A","N/A",IF(N40="","Not assessed",INDEX(Config!$B$5:$B$9,N40)))</f>
        <v>Medium</v>
      </c>
      <c r="P40" s="32" t="n">
        <v>0</v>
      </c>
      <c r="Q40" s="8"/>
      <c r="R40" s="33"/>
      <c r="S40" s="34" t="n">
        <f aca="false">IF(N40="","",IF(AND(R40="Y",P40&lt;&gt;0),MAX(1,MIN(5,N40+MAX(-Config!$C$27,MIN(Config!$C$27,P40)))),N40))</f>
        <v>3</v>
      </c>
      <c r="T40" s="35" t="str">
        <f aca="false">IF(F40="N/A","N/A",IF(S40="","Not assessed",INDEX(Config!$B$5:$B$9,S40)))</f>
        <v>Medium</v>
      </c>
      <c r="U40" s="7" t="str">
        <f aca="false">IF(P40=0,"None",IF(R40="Y","Applied","Pending HO approval"))</f>
        <v>None</v>
      </c>
      <c r="V40" s="8"/>
    </row>
    <row r="41" customFormat="false" ht="15" hidden="false" customHeight="false" outlineLevel="0" collapsed="false">
      <c r="A41" s="26" t="str">
        <f aca="false">Entities!$A$7</f>
        <v>JO-INV</v>
      </c>
      <c r="B41" s="12" t="str">
        <f aca="false">INDEX(Entities!$B$5:$B$34,MATCH(A41,Entities!$A$5:$A$34,0))</f>
        <v>Al-Arabi Investment Group (AB Invest)</v>
      </c>
      <c r="C41" s="12" t="str">
        <f aca="false">INDEX(Entities!$D$5:$D$34,MATCH(A41,Entities!$A$5:$A$34,0))</f>
        <v>Jordan (home)</v>
      </c>
      <c r="D41" s="12" t="s">
        <v>316</v>
      </c>
      <c r="E41" s="12" t="str">
        <f aca="false">INDEX('Risk Taxonomy'!$B$5:$B$24,MATCH(D41,'Risk Taxonomy'!$A$5:$A$24,0))</f>
        <v>Legal and litigation</v>
      </c>
      <c r="F41" s="7" t="str">
        <f aca="false">IF(D41="RC-04",IF(INDEX(Entities!$G$5:$G$34,MATCH(A41,Entities!$A$5:$A$34,0))="Y","Yes","N/A"),"Yes")</f>
        <v>Yes</v>
      </c>
      <c r="G41" s="24" t="n">
        <v>2</v>
      </c>
      <c r="H41" s="24" t="n">
        <v>4</v>
      </c>
      <c r="I41" s="24" t="n">
        <v>4</v>
      </c>
      <c r="J41" s="24" t="n">
        <v>3</v>
      </c>
      <c r="K41" s="24" t="n">
        <v>4</v>
      </c>
      <c r="L41" s="37" t="n">
        <f aca="false">IF(F41="N/A","",IF(COUNT(H41:K41)=0,"",IF(Config!$C$19="Highest dimension",MAX(H41:K41),ROUND(H41*Config!$C$20+I41*Config!$C$21+J41*Config!$C$22+K41*Config!$C$23,1))))</f>
        <v>4</v>
      </c>
      <c r="M41" s="38" t="n">
        <f aca="false">IF(OR(L41="",G41=""),"",G41*L41)</f>
        <v>8</v>
      </c>
      <c r="N41" s="31" t="n">
        <f aca="false">IF(M41="","",MATCH(M41,Config!$E$5:$E$9,1))</f>
        <v>2</v>
      </c>
      <c r="O41" s="7" t="str">
        <f aca="false">IF(F41="N/A","N/A",IF(N41="","Not assessed",INDEX(Config!$B$5:$B$9,N41)))</f>
        <v>Medium-Low</v>
      </c>
      <c r="P41" s="32" t="n">
        <v>0</v>
      </c>
      <c r="Q41" s="8"/>
      <c r="R41" s="33"/>
      <c r="S41" s="34" t="n">
        <f aca="false">IF(N41="","",IF(AND(R41="Y",P41&lt;&gt;0),MAX(1,MIN(5,N41+MAX(-Config!$C$27,MIN(Config!$C$27,P41)))),N41))</f>
        <v>2</v>
      </c>
      <c r="T41" s="35" t="str">
        <f aca="false">IF(F41="N/A","N/A",IF(S41="","Not assessed",INDEX(Config!$B$5:$B$9,S41)))</f>
        <v>Medium-Low</v>
      </c>
      <c r="U41" s="7" t="str">
        <f aca="false">IF(P41=0,"None",IF(R41="Y","Applied","Pending HO approval"))</f>
        <v>None</v>
      </c>
      <c r="V41" s="8"/>
    </row>
    <row r="42" customFormat="false" ht="15" hidden="false" customHeight="false" outlineLevel="0" collapsed="false">
      <c r="A42" s="26" t="str">
        <f aca="false">Entities!$A$7</f>
        <v>JO-INV</v>
      </c>
      <c r="B42" s="12" t="str">
        <f aca="false">INDEX(Entities!$B$5:$B$34,MATCH(A42,Entities!$A$5:$A$34,0))</f>
        <v>Al-Arabi Investment Group (AB Invest)</v>
      </c>
      <c r="C42" s="12" t="str">
        <f aca="false">INDEX(Entities!$D$5:$D$34,MATCH(A42,Entities!$A$5:$A$34,0))</f>
        <v>Jordan (home)</v>
      </c>
      <c r="D42" s="12" t="s">
        <v>319</v>
      </c>
      <c r="E42" s="12" t="str">
        <f aca="false">INDEX('Risk Taxonomy'!$B$5:$B$24,MATCH(D42,'Risk Taxonomy'!$A$5:$A$24,0))</f>
        <v>Reputational</v>
      </c>
      <c r="F42" s="7" t="str">
        <f aca="false">IF(D42="RC-04",IF(INDEX(Entities!$G$5:$G$34,MATCH(A42,Entities!$A$5:$A$34,0))="Y","Yes","N/A"),"Yes")</f>
        <v>Yes</v>
      </c>
      <c r="G42" s="24" t="n">
        <v>3</v>
      </c>
      <c r="H42" s="24" t="n">
        <v>3</v>
      </c>
      <c r="I42" s="24" t="n">
        <v>2</v>
      </c>
      <c r="J42" s="24" t="n">
        <v>2</v>
      </c>
      <c r="K42" s="24" t="n">
        <v>3</v>
      </c>
      <c r="L42" s="37" t="n">
        <f aca="false">IF(F42="N/A","",IF(COUNT(H42:K42)=0,"",IF(Config!$C$19="Highest dimension",MAX(H42:K42),ROUND(H42*Config!$C$20+I42*Config!$C$21+J42*Config!$C$22+K42*Config!$C$23,1))))</f>
        <v>3</v>
      </c>
      <c r="M42" s="38" t="n">
        <f aca="false">IF(OR(L42="",G42=""),"",G42*L42)</f>
        <v>9</v>
      </c>
      <c r="N42" s="31" t="n">
        <f aca="false">IF(M42="","",MATCH(M42,Config!$E$5:$E$9,1))</f>
        <v>3</v>
      </c>
      <c r="O42" s="7" t="str">
        <f aca="false">IF(F42="N/A","N/A",IF(N42="","Not assessed",INDEX(Config!$B$5:$B$9,N42)))</f>
        <v>Medium</v>
      </c>
      <c r="P42" s="32" t="n">
        <v>0</v>
      </c>
      <c r="Q42" s="8"/>
      <c r="R42" s="33"/>
      <c r="S42" s="34" t="n">
        <f aca="false">IF(N42="","",IF(AND(R42="Y",P42&lt;&gt;0),MAX(1,MIN(5,N42+MAX(-Config!$C$27,MIN(Config!$C$27,P42)))),N42))</f>
        <v>3</v>
      </c>
      <c r="T42" s="35" t="str">
        <f aca="false">IF(F42="N/A","N/A",IF(S42="","Not assessed",INDEX(Config!$B$5:$B$9,S42)))</f>
        <v>Medium</v>
      </c>
      <c r="U42" s="7" t="str">
        <f aca="false">IF(P42=0,"None",IF(R42="Y","Applied","Pending HO approval"))</f>
        <v>None</v>
      </c>
      <c r="V42" s="8"/>
    </row>
    <row r="43" customFormat="false" ht="15" hidden="false" customHeight="false" outlineLevel="0" collapsed="false">
      <c r="A43" s="26" t="str">
        <f aca="false">Entities!$A$7</f>
        <v>JO-INV</v>
      </c>
      <c r="B43" s="12" t="str">
        <f aca="false">INDEX(Entities!$B$5:$B$34,MATCH(A43,Entities!$A$5:$A$34,0))</f>
        <v>Al-Arabi Investment Group (AB Invest)</v>
      </c>
      <c r="C43" s="12" t="str">
        <f aca="false">INDEX(Entities!$D$5:$D$34,MATCH(A43,Entities!$A$5:$A$34,0))</f>
        <v>Jordan (home)</v>
      </c>
      <c r="D43" s="12" t="s">
        <v>322</v>
      </c>
      <c r="E43" s="12" t="str">
        <f aca="false">INDEX('Risk Taxonomy'!$B$5:$B$24,MATCH(D43,'Risk Taxonomy'!$A$5:$A$24,0))</f>
        <v>Strategic, business model and ESG</v>
      </c>
      <c r="F43" s="7" t="str">
        <f aca="false">IF(D43="RC-04",IF(INDEX(Entities!$G$5:$G$34,MATCH(A43,Entities!$A$5:$A$34,0))="Y","Yes","N/A"),"Yes")</f>
        <v>Yes</v>
      </c>
      <c r="G43" s="24" t="n">
        <v>2</v>
      </c>
      <c r="H43" s="24" t="n">
        <v>3</v>
      </c>
      <c r="I43" s="24" t="n">
        <v>3</v>
      </c>
      <c r="J43" s="24" t="n">
        <v>3</v>
      </c>
      <c r="K43" s="24" t="n">
        <v>2</v>
      </c>
      <c r="L43" s="37" t="n">
        <f aca="false">IF(F43="N/A","",IF(COUNT(H43:K43)=0,"",IF(Config!$C$19="Highest dimension",MAX(H43:K43),ROUND(H43*Config!$C$20+I43*Config!$C$21+J43*Config!$C$22+K43*Config!$C$23,1))))</f>
        <v>3</v>
      </c>
      <c r="M43" s="38" t="n">
        <f aca="false">IF(OR(L43="",G43=""),"",G43*L43)</f>
        <v>6</v>
      </c>
      <c r="N43" s="31" t="n">
        <f aca="false">IF(M43="","",MATCH(M43,Config!$E$5:$E$9,1))</f>
        <v>2</v>
      </c>
      <c r="O43" s="7" t="str">
        <f aca="false">IF(F43="N/A","N/A",IF(N43="","Not assessed",INDEX(Config!$B$5:$B$9,N43)))</f>
        <v>Medium-Low</v>
      </c>
      <c r="P43" s="32" t="n">
        <v>0</v>
      </c>
      <c r="Q43" s="8"/>
      <c r="R43" s="33"/>
      <c r="S43" s="34" t="n">
        <f aca="false">IF(N43="","",IF(AND(R43="Y",P43&lt;&gt;0),MAX(1,MIN(5,N43+MAX(-Config!$C$27,MIN(Config!$C$27,P43)))),N43))</f>
        <v>2</v>
      </c>
      <c r="T43" s="35" t="str">
        <f aca="false">IF(F43="N/A","N/A",IF(S43="","Not assessed",INDEX(Config!$B$5:$B$9,S43)))</f>
        <v>Medium-Low</v>
      </c>
      <c r="U43" s="7" t="str">
        <f aca="false">IF(P43=0,"None",IF(R43="Y","Applied","Pending HO approval"))</f>
        <v>None</v>
      </c>
      <c r="V43" s="8"/>
    </row>
    <row r="44" customFormat="false" ht="15" hidden="false" customHeight="false" outlineLevel="0" collapsed="false">
      <c r="A44" s="26" t="str">
        <f aca="false">Entities!$A$8</f>
        <v>JO-INS</v>
      </c>
      <c r="B44" s="12" t="str">
        <f aca="false">INDEX(Entities!$B$5:$B$34,MATCH(A44,Entities!$A$5:$A$34,0))</f>
        <v>Insurance subsidiary – Jordan</v>
      </c>
      <c r="C44" s="12" t="str">
        <f aca="false">INDEX(Entities!$D$5:$D$34,MATCH(A44,Entities!$A$5:$A$34,0))</f>
        <v>Jordan (home)</v>
      </c>
      <c r="D44" s="12" t="s">
        <v>284</v>
      </c>
      <c r="E44" s="12" t="str">
        <f aca="false">INDEX('Risk Taxonomy'!$B$5:$B$24,MATCH(D44,'Risk Taxonomy'!$A$5:$A$24,0))</f>
        <v>Regulatory compliance</v>
      </c>
      <c r="F44" s="7" t="str">
        <f aca="false">IF(D44="RC-04",IF(INDEX(Entities!$G$5:$G$34,MATCH(A44,Entities!$A$5:$A$34,0))="Y","Yes","N/A"),"Yes")</f>
        <v>Yes</v>
      </c>
      <c r="G44" s="24" t="n">
        <v>3</v>
      </c>
      <c r="H44" s="24" t="n">
        <v>3</v>
      </c>
      <c r="I44" s="24" t="n">
        <v>3</v>
      </c>
      <c r="J44" s="24" t="n">
        <v>1</v>
      </c>
      <c r="K44" s="24" t="n">
        <v>2</v>
      </c>
      <c r="L44" s="37" t="n">
        <f aca="false">IF(F44="N/A","",IF(COUNT(H44:K44)=0,"",IF(Config!$C$19="Highest dimension",MAX(H44:K44),ROUND(H44*Config!$C$20+I44*Config!$C$21+J44*Config!$C$22+K44*Config!$C$23,1))))</f>
        <v>3</v>
      </c>
      <c r="M44" s="38" t="n">
        <f aca="false">IF(OR(L44="",G44=""),"",G44*L44)</f>
        <v>9</v>
      </c>
      <c r="N44" s="31" t="n">
        <f aca="false">IF(M44="","",MATCH(M44,Config!$E$5:$E$9,1))</f>
        <v>3</v>
      </c>
      <c r="O44" s="7" t="str">
        <f aca="false">IF(F44="N/A","N/A",IF(N44="","Not assessed",INDEX(Config!$B$5:$B$9,N44)))</f>
        <v>Medium</v>
      </c>
      <c r="P44" s="32" t="n">
        <v>0</v>
      </c>
      <c r="Q44" s="8"/>
      <c r="R44" s="33"/>
      <c r="S44" s="34" t="n">
        <f aca="false">IF(N44="","",IF(AND(R44="Y",P44&lt;&gt;0),MAX(1,MIN(5,N44+MAX(-Config!$C$27,MIN(Config!$C$27,P44)))),N44))</f>
        <v>3</v>
      </c>
      <c r="T44" s="35" t="str">
        <f aca="false">IF(F44="N/A","N/A",IF(S44="","Not assessed",INDEX(Config!$B$5:$B$9,S44)))</f>
        <v>Medium</v>
      </c>
      <c r="U44" s="7" t="str">
        <f aca="false">IF(P44=0,"None",IF(R44="Y","Applied","Pending HO approval"))</f>
        <v>None</v>
      </c>
      <c r="V44" s="8"/>
    </row>
    <row r="45" customFormat="false" ht="15" hidden="false" customHeight="false" outlineLevel="0" collapsed="false">
      <c r="A45" s="26" t="str">
        <f aca="false">Entities!$A$8</f>
        <v>JO-INS</v>
      </c>
      <c r="B45" s="12" t="str">
        <f aca="false">INDEX(Entities!$B$5:$B$34,MATCH(A45,Entities!$A$5:$A$34,0))</f>
        <v>Insurance subsidiary – Jordan</v>
      </c>
      <c r="C45" s="12" t="str">
        <f aca="false">INDEX(Entities!$D$5:$D$34,MATCH(A45,Entities!$A$5:$A$34,0))</f>
        <v>Jordan (home)</v>
      </c>
      <c r="D45" s="12" t="s">
        <v>288</v>
      </c>
      <c r="E45" s="12" t="str">
        <f aca="false">INDEX('Risk Taxonomy'!$B$5:$B$24,MATCH(D45,'Risk Taxonomy'!$A$5:$A$24,0))</f>
        <v>Conduct and consumer protection</v>
      </c>
      <c r="F45" s="7" t="str">
        <f aca="false">IF(D45="RC-04",IF(INDEX(Entities!$G$5:$G$34,MATCH(A45,Entities!$A$5:$A$34,0))="Y","Yes","N/A"),"Yes")</f>
        <v>Yes</v>
      </c>
      <c r="G45" s="24" t="n">
        <v>3</v>
      </c>
      <c r="H45" s="24" t="n">
        <v>2</v>
      </c>
      <c r="I45" s="24" t="n">
        <v>3</v>
      </c>
      <c r="J45" s="24" t="n">
        <v>2</v>
      </c>
      <c r="K45" s="24" t="n">
        <v>3</v>
      </c>
      <c r="L45" s="37" t="n">
        <f aca="false">IF(F45="N/A","",IF(COUNT(H45:K45)=0,"",IF(Config!$C$19="Highest dimension",MAX(H45:K45),ROUND(H45*Config!$C$20+I45*Config!$C$21+J45*Config!$C$22+K45*Config!$C$23,1))))</f>
        <v>3</v>
      </c>
      <c r="M45" s="38" t="n">
        <f aca="false">IF(OR(L45="",G45=""),"",G45*L45)</f>
        <v>9</v>
      </c>
      <c r="N45" s="31" t="n">
        <f aca="false">IF(M45="","",MATCH(M45,Config!$E$5:$E$9,1))</f>
        <v>3</v>
      </c>
      <c r="O45" s="7" t="str">
        <f aca="false">IF(F45="N/A","N/A",IF(N45="","Not assessed",INDEX(Config!$B$5:$B$9,N45)))</f>
        <v>Medium</v>
      </c>
      <c r="P45" s="32" t="n">
        <v>0</v>
      </c>
      <c r="Q45" s="8"/>
      <c r="R45" s="33"/>
      <c r="S45" s="34" t="n">
        <f aca="false">IF(N45="","",IF(AND(R45="Y",P45&lt;&gt;0),MAX(1,MIN(5,N45+MAX(-Config!$C$27,MIN(Config!$C$27,P45)))),N45))</f>
        <v>3</v>
      </c>
      <c r="T45" s="35" t="str">
        <f aca="false">IF(F45="N/A","N/A",IF(S45="","Not assessed",INDEX(Config!$B$5:$B$9,S45)))</f>
        <v>Medium</v>
      </c>
      <c r="U45" s="7" t="str">
        <f aca="false">IF(P45=0,"None",IF(R45="Y","Applied","Pending HO approval"))</f>
        <v>None</v>
      </c>
      <c r="V45" s="8"/>
    </row>
    <row r="46" customFormat="false" ht="15" hidden="false" customHeight="false" outlineLevel="0" collapsed="false">
      <c r="A46" s="26" t="str">
        <f aca="false">Entities!$A$8</f>
        <v>JO-INS</v>
      </c>
      <c r="B46" s="12" t="str">
        <f aca="false">INDEX(Entities!$B$5:$B$34,MATCH(A46,Entities!$A$5:$A$34,0))</f>
        <v>Insurance subsidiary – Jordan</v>
      </c>
      <c r="C46" s="12" t="str">
        <f aca="false">INDEX(Entities!$D$5:$D$34,MATCH(A46,Entities!$A$5:$A$34,0))</f>
        <v>Jordan (home)</v>
      </c>
      <c r="D46" s="12" t="s">
        <v>290</v>
      </c>
      <c r="E46" s="12" t="str">
        <f aca="false">INDEX('Risk Taxonomy'!$B$5:$B$24,MATCH(D46,'Risk Taxonomy'!$A$5:$A$24,0))</f>
        <v>Data protection and privacy</v>
      </c>
      <c r="F46" s="7" t="str">
        <f aca="false">IF(D46="RC-04",IF(INDEX(Entities!$G$5:$G$34,MATCH(A46,Entities!$A$5:$A$34,0))="Y","Yes","N/A"),"Yes")</f>
        <v>Yes</v>
      </c>
      <c r="G46" s="24" t="n">
        <v>4</v>
      </c>
      <c r="H46" s="24" t="n">
        <v>2</v>
      </c>
      <c r="I46" s="24" t="n">
        <v>4</v>
      </c>
      <c r="J46" s="24" t="n">
        <v>3</v>
      </c>
      <c r="K46" s="24" t="n">
        <v>2</v>
      </c>
      <c r="L46" s="37" t="n">
        <f aca="false">IF(F46="N/A","",IF(COUNT(H46:K46)=0,"",IF(Config!$C$19="Highest dimension",MAX(H46:K46),ROUND(H46*Config!$C$20+I46*Config!$C$21+J46*Config!$C$22+K46*Config!$C$23,1))))</f>
        <v>4</v>
      </c>
      <c r="M46" s="38" t="n">
        <f aca="false">IF(OR(L46="",G46=""),"",G46*L46)</f>
        <v>16</v>
      </c>
      <c r="N46" s="31" t="n">
        <f aca="false">IF(M46="","",MATCH(M46,Config!$E$5:$E$9,1))</f>
        <v>4</v>
      </c>
      <c r="O46" s="7" t="str">
        <f aca="false">IF(F46="N/A","N/A",IF(N46="","Not assessed",INDEX(Config!$B$5:$B$9,N46)))</f>
        <v>Medium-High</v>
      </c>
      <c r="P46" s="32" t="n">
        <v>0</v>
      </c>
      <c r="Q46" s="8"/>
      <c r="R46" s="33"/>
      <c r="S46" s="34" t="n">
        <f aca="false">IF(N46="","",IF(AND(R46="Y",P46&lt;&gt;0),MAX(1,MIN(5,N46+MAX(-Config!$C$27,MIN(Config!$C$27,P46)))),N46))</f>
        <v>4</v>
      </c>
      <c r="T46" s="35" t="str">
        <f aca="false">IF(F46="N/A","N/A",IF(S46="","Not assessed",INDEX(Config!$B$5:$B$9,S46)))</f>
        <v>Medium-High</v>
      </c>
      <c r="U46" s="7" t="str">
        <f aca="false">IF(P46=0,"None",IF(R46="Y","Applied","Pending HO approval"))</f>
        <v>None</v>
      </c>
      <c r="V46" s="8"/>
    </row>
    <row r="47" customFormat="false" ht="15" hidden="false" customHeight="false" outlineLevel="0" collapsed="false">
      <c r="A47" s="26" t="str">
        <f aca="false">Entities!$A$8</f>
        <v>JO-INS</v>
      </c>
      <c r="B47" s="12" t="str">
        <f aca="false">INDEX(Entities!$B$5:$B$34,MATCH(A47,Entities!$A$5:$A$34,0))</f>
        <v>Insurance subsidiary – Jordan</v>
      </c>
      <c r="C47" s="12" t="str">
        <f aca="false">INDEX(Entities!$D$5:$D$34,MATCH(A47,Entities!$A$5:$A$34,0))</f>
        <v>Jordan (home)</v>
      </c>
      <c r="D47" s="12" t="s">
        <v>293</v>
      </c>
      <c r="E47" s="12" t="str">
        <f aca="false">INDEX('Risk Taxonomy'!$B$5:$B$24,MATCH(D47,'Risk Taxonomy'!$A$5:$A$24,0))</f>
        <v>Shariah non-compliance</v>
      </c>
      <c r="F47" s="7" t="str">
        <f aca="false">IF(D47="RC-04",IF(INDEX(Entities!$G$5:$G$34,MATCH(A47,Entities!$A$5:$A$34,0))="Y","Yes","N/A"),"Yes")</f>
        <v>N/A</v>
      </c>
      <c r="G47" s="24"/>
      <c r="H47" s="24"/>
      <c r="I47" s="24"/>
      <c r="J47" s="24"/>
      <c r="K47" s="24"/>
      <c r="L47" s="37" t="str">
        <f aca="false">IF(F47="N/A","",IF(COUNT(H47:K47)=0,"",IF(Config!$C$19="Highest dimension",MAX(H47:K47),ROUND(H47*Config!$C$20+I47*Config!$C$21+J47*Config!$C$22+K47*Config!$C$23,1))))</f>
        <v/>
      </c>
      <c r="M47" s="38" t="str">
        <f aca="false">IF(OR(L47="",G47=""),"",G47*L47)</f>
        <v/>
      </c>
      <c r="N47" s="31" t="str">
        <f aca="false">IF(M47="","",MATCH(M47,Config!$E$5:$E$9,1))</f>
        <v/>
      </c>
      <c r="O47" s="7" t="str">
        <f aca="false">IF(F47="N/A","N/A",IF(N47="","Not assessed",INDEX(Config!$B$5:$B$9,N47)))</f>
        <v>N/A</v>
      </c>
      <c r="P47" s="32" t="n">
        <v>0</v>
      </c>
      <c r="Q47" s="8"/>
      <c r="R47" s="33"/>
      <c r="S47" s="34" t="str">
        <f aca="false">IF(N47="","",IF(AND(R47="Y",P47&lt;&gt;0),MAX(1,MIN(5,N47+MAX(-Config!$C$27,MIN(Config!$C$27,P47)))),N47))</f>
        <v/>
      </c>
      <c r="T47" s="35" t="str">
        <f aca="false">IF(F47="N/A","N/A",IF(S47="","Not assessed",INDEX(Config!$B$5:$B$9,S47)))</f>
        <v>N/A</v>
      </c>
      <c r="U47" s="7" t="str">
        <f aca="false">IF(P47=0,"None",IF(R47="Y","Applied","Pending HO approval"))</f>
        <v>None</v>
      </c>
      <c r="V47" s="8"/>
    </row>
    <row r="48" customFormat="false" ht="15" hidden="false" customHeight="false" outlineLevel="0" collapsed="false">
      <c r="A48" s="26" t="str">
        <f aca="false">Entities!$A$8</f>
        <v>JO-INS</v>
      </c>
      <c r="B48" s="12" t="str">
        <f aca="false">INDEX(Entities!$B$5:$B$34,MATCH(A48,Entities!$A$5:$A$34,0))</f>
        <v>Insurance subsidiary – Jordan</v>
      </c>
      <c r="C48" s="12" t="str">
        <f aca="false">INDEX(Entities!$D$5:$D$34,MATCH(A48,Entities!$A$5:$A$34,0))</f>
        <v>Jordan (home)</v>
      </c>
      <c r="D48" s="12" t="s">
        <v>297</v>
      </c>
      <c r="E48" s="12" t="str">
        <f aca="false">INDEX('Risk Taxonomy'!$B$5:$B$24,MATCH(D48,'Risk Taxonomy'!$A$5:$A$24,0))</f>
        <v>Credit risk</v>
      </c>
      <c r="F48" s="7" t="str">
        <f aca="false">IF(D48="RC-04",IF(INDEX(Entities!$G$5:$G$34,MATCH(A48,Entities!$A$5:$A$34,0))="Y","Yes","N/A"),"Yes")</f>
        <v>Yes</v>
      </c>
      <c r="G48" s="24" t="n">
        <v>3</v>
      </c>
      <c r="H48" s="24" t="n">
        <v>2</v>
      </c>
      <c r="I48" s="24" t="n">
        <v>2</v>
      </c>
      <c r="J48" s="24" t="n">
        <v>3</v>
      </c>
      <c r="K48" s="24" t="n">
        <v>3</v>
      </c>
      <c r="L48" s="37" t="n">
        <f aca="false">IF(F48="N/A","",IF(COUNT(H48:K48)=0,"",IF(Config!$C$19="Highest dimension",MAX(H48:K48),ROUND(H48*Config!$C$20+I48*Config!$C$21+J48*Config!$C$22+K48*Config!$C$23,1))))</f>
        <v>3</v>
      </c>
      <c r="M48" s="38" t="n">
        <f aca="false">IF(OR(L48="",G48=""),"",G48*L48)</f>
        <v>9</v>
      </c>
      <c r="N48" s="31" t="n">
        <f aca="false">IF(M48="","",MATCH(M48,Config!$E$5:$E$9,1))</f>
        <v>3</v>
      </c>
      <c r="O48" s="7" t="str">
        <f aca="false">IF(F48="N/A","N/A",IF(N48="","Not assessed",INDEX(Config!$B$5:$B$9,N48)))</f>
        <v>Medium</v>
      </c>
      <c r="P48" s="32" t="n">
        <v>0</v>
      </c>
      <c r="Q48" s="8"/>
      <c r="R48" s="33"/>
      <c r="S48" s="34" t="n">
        <f aca="false">IF(N48="","",IF(AND(R48="Y",P48&lt;&gt;0),MAX(1,MIN(5,N48+MAX(-Config!$C$27,MIN(Config!$C$27,P48)))),N48))</f>
        <v>3</v>
      </c>
      <c r="T48" s="35" t="str">
        <f aca="false">IF(F48="N/A","N/A",IF(S48="","Not assessed",INDEX(Config!$B$5:$B$9,S48)))</f>
        <v>Medium</v>
      </c>
      <c r="U48" s="7" t="str">
        <f aca="false">IF(P48=0,"None",IF(R48="Y","Applied","Pending HO approval"))</f>
        <v>None</v>
      </c>
      <c r="V48" s="8"/>
    </row>
    <row r="49" customFormat="false" ht="15" hidden="false" customHeight="false" outlineLevel="0" collapsed="false">
      <c r="A49" s="26" t="str">
        <f aca="false">Entities!$A$8</f>
        <v>JO-INS</v>
      </c>
      <c r="B49" s="12" t="str">
        <f aca="false">INDEX(Entities!$B$5:$B$34,MATCH(A49,Entities!$A$5:$A$34,0))</f>
        <v>Insurance subsidiary – Jordan</v>
      </c>
      <c r="C49" s="12" t="str">
        <f aca="false">INDEX(Entities!$D$5:$D$34,MATCH(A49,Entities!$A$5:$A$34,0))</f>
        <v>Jordan (home)</v>
      </c>
      <c r="D49" s="12" t="s">
        <v>302</v>
      </c>
      <c r="E49" s="12" t="str">
        <f aca="false">INDEX('Risk Taxonomy'!$B$5:$B$24,MATCH(D49,'Risk Taxonomy'!$A$5:$A$24,0))</f>
        <v>Market risk</v>
      </c>
      <c r="F49" s="7" t="str">
        <f aca="false">IF(D49="RC-04",IF(INDEX(Entities!$G$5:$G$34,MATCH(A49,Entities!$A$5:$A$34,0))="Y","Yes","N/A"),"Yes")</f>
        <v>Yes</v>
      </c>
      <c r="G49" s="24" t="n">
        <v>3</v>
      </c>
      <c r="H49" s="24" t="n">
        <v>4</v>
      </c>
      <c r="I49" s="24" t="n">
        <v>3</v>
      </c>
      <c r="J49" s="24" t="n">
        <v>4</v>
      </c>
      <c r="K49" s="24" t="n">
        <v>2</v>
      </c>
      <c r="L49" s="37" t="n">
        <f aca="false">IF(F49="N/A","",IF(COUNT(H49:K49)=0,"",IF(Config!$C$19="Highest dimension",MAX(H49:K49),ROUND(H49*Config!$C$20+I49*Config!$C$21+J49*Config!$C$22+K49*Config!$C$23,1))))</f>
        <v>4</v>
      </c>
      <c r="M49" s="38" t="n">
        <f aca="false">IF(OR(L49="",G49=""),"",G49*L49)</f>
        <v>12</v>
      </c>
      <c r="N49" s="31" t="n">
        <f aca="false">IF(M49="","",MATCH(M49,Config!$E$5:$E$9,1))</f>
        <v>3</v>
      </c>
      <c r="O49" s="7" t="str">
        <f aca="false">IF(F49="N/A","N/A",IF(N49="","Not assessed",INDEX(Config!$B$5:$B$9,N49)))</f>
        <v>Medium</v>
      </c>
      <c r="P49" s="32" t="n">
        <v>0</v>
      </c>
      <c r="Q49" s="8"/>
      <c r="R49" s="33"/>
      <c r="S49" s="34" t="n">
        <f aca="false">IF(N49="","",IF(AND(R49="Y",P49&lt;&gt;0),MAX(1,MIN(5,N49+MAX(-Config!$C$27,MIN(Config!$C$27,P49)))),N49))</f>
        <v>3</v>
      </c>
      <c r="T49" s="35" t="str">
        <f aca="false">IF(F49="N/A","N/A",IF(S49="","Not assessed",INDEX(Config!$B$5:$B$9,S49)))</f>
        <v>Medium</v>
      </c>
      <c r="U49" s="7" t="str">
        <f aca="false">IF(P49=0,"None",IF(R49="Y","Applied","Pending HO approval"))</f>
        <v>None</v>
      </c>
      <c r="V49" s="8"/>
    </row>
    <row r="50" customFormat="false" ht="15" hidden="false" customHeight="false" outlineLevel="0" collapsed="false">
      <c r="A50" s="26" t="str">
        <f aca="false">Entities!$A$8</f>
        <v>JO-INS</v>
      </c>
      <c r="B50" s="12" t="str">
        <f aca="false">INDEX(Entities!$B$5:$B$34,MATCH(A50,Entities!$A$5:$A$34,0))</f>
        <v>Insurance subsidiary – Jordan</v>
      </c>
      <c r="C50" s="12" t="str">
        <f aca="false">INDEX(Entities!$D$5:$D$34,MATCH(A50,Entities!$A$5:$A$34,0))</f>
        <v>Jordan (home)</v>
      </c>
      <c r="D50" s="12" t="s">
        <v>304</v>
      </c>
      <c r="E50" s="12" t="str">
        <f aca="false">INDEX('Risk Taxonomy'!$B$5:$B$24,MATCH(D50,'Risk Taxonomy'!$A$5:$A$24,0))</f>
        <v>Liquidity and funding risk</v>
      </c>
      <c r="F50" s="7" t="str">
        <f aca="false">IF(D50="RC-04",IF(INDEX(Entities!$G$5:$G$34,MATCH(A50,Entities!$A$5:$A$34,0))="Y","Yes","N/A"),"Yes")</f>
        <v>Yes</v>
      </c>
      <c r="G50" s="24" t="n">
        <v>3</v>
      </c>
      <c r="H50" s="24" t="n">
        <v>3</v>
      </c>
      <c r="I50" s="24" t="n">
        <v>3</v>
      </c>
      <c r="J50" s="24" t="n">
        <v>4</v>
      </c>
      <c r="K50" s="24" t="n">
        <v>2</v>
      </c>
      <c r="L50" s="37" t="n">
        <f aca="false">IF(F50="N/A","",IF(COUNT(H50:K50)=0,"",IF(Config!$C$19="Highest dimension",MAX(H50:K50),ROUND(H50*Config!$C$20+I50*Config!$C$21+J50*Config!$C$22+K50*Config!$C$23,1))))</f>
        <v>4</v>
      </c>
      <c r="M50" s="38" t="n">
        <f aca="false">IF(OR(L50="",G50=""),"",G50*L50)</f>
        <v>12</v>
      </c>
      <c r="N50" s="31" t="n">
        <f aca="false">IF(M50="","",MATCH(M50,Config!$E$5:$E$9,1))</f>
        <v>3</v>
      </c>
      <c r="O50" s="7" t="str">
        <f aca="false">IF(F50="N/A","N/A",IF(N50="","Not assessed",INDEX(Config!$B$5:$B$9,N50)))</f>
        <v>Medium</v>
      </c>
      <c r="P50" s="32" t="n">
        <v>0</v>
      </c>
      <c r="Q50" s="8"/>
      <c r="R50" s="33"/>
      <c r="S50" s="34" t="n">
        <f aca="false">IF(N50="","",IF(AND(R50="Y",P50&lt;&gt;0),MAX(1,MIN(5,N50+MAX(-Config!$C$27,MIN(Config!$C$27,P50)))),N50))</f>
        <v>3</v>
      </c>
      <c r="T50" s="35" t="str">
        <f aca="false">IF(F50="N/A","N/A",IF(S50="","Not assessed",INDEX(Config!$B$5:$B$9,S50)))</f>
        <v>Medium</v>
      </c>
      <c r="U50" s="7" t="str">
        <f aca="false">IF(P50=0,"None",IF(R50="Y","Applied","Pending HO approval"))</f>
        <v>None</v>
      </c>
      <c r="V50" s="8"/>
    </row>
    <row r="51" customFormat="false" ht="15" hidden="false" customHeight="false" outlineLevel="0" collapsed="false">
      <c r="A51" s="26" t="str">
        <f aca="false">Entities!$A$8</f>
        <v>JO-INS</v>
      </c>
      <c r="B51" s="12" t="str">
        <f aca="false">INDEX(Entities!$B$5:$B$34,MATCH(A51,Entities!$A$5:$A$34,0))</f>
        <v>Insurance subsidiary – Jordan</v>
      </c>
      <c r="C51" s="12" t="str">
        <f aca="false">INDEX(Entities!$D$5:$D$34,MATCH(A51,Entities!$A$5:$A$34,0))</f>
        <v>Jordan (home)</v>
      </c>
      <c r="D51" s="12" t="s">
        <v>307</v>
      </c>
      <c r="E51" s="12" t="str">
        <f aca="false">INDEX('Risk Taxonomy'!$B$5:$B$24,MATCH(D51,'Risk Taxonomy'!$A$5:$A$24,0))</f>
        <v>Operational risk</v>
      </c>
      <c r="F51" s="7" t="str">
        <f aca="false">IF(D51="RC-04",IF(INDEX(Entities!$G$5:$G$34,MATCH(A51,Entities!$A$5:$A$34,0))="Y","Yes","N/A"),"Yes")</f>
        <v>Yes</v>
      </c>
      <c r="G51" s="24" t="n">
        <v>4</v>
      </c>
      <c r="H51" s="24" t="n">
        <v>3</v>
      </c>
      <c r="I51" s="24" t="n">
        <v>2</v>
      </c>
      <c r="J51" s="24" t="n">
        <v>2</v>
      </c>
      <c r="K51" s="24" t="n">
        <v>3</v>
      </c>
      <c r="L51" s="37" t="n">
        <f aca="false">IF(F51="N/A","",IF(COUNT(H51:K51)=0,"",IF(Config!$C$19="Highest dimension",MAX(H51:K51),ROUND(H51*Config!$C$20+I51*Config!$C$21+J51*Config!$C$22+K51*Config!$C$23,1))))</f>
        <v>3</v>
      </c>
      <c r="M51" s="38" t="n">
        <f aca="false">IF(OR(L51="",G51=""),"",G51*L51)</f>
        <v>12</v>
      </c>
      <c r="N51" s="31" t="n">
        <f aca="false">IF(M51="","",MATCH(M51,Config!$E$5:$E$9,1))</f>
        <v>3</v>
      </c>
      <c r="O51" s="7" t="str">
        <f aca="false">IF(F51="N/A","N/A",IF(N51="","Not assessed",INDEX(Config!$B$5:$B$9,N51)))</f>
        <v>Medium</v>
      </c>
      <c r="P51" s="32" t="n">
        <v>0</v>
      </c>
      <c r="Q51" s="8"/>
      <c r="R51" s="33"/>
      <c r="S51" s="34" t="n">
        <f aca="false">IF(N51="","",IF(AND(R51="Y",P51&lt;&gt;0),MAX(1,MIN(5,N51+MAX(-Config!$C$27,MIN(Config!$C$27,P51)))),N51))</f>
        <v>3</v>
      </c>
      <c r="T51" s="35" t="str">
        <f aca="false">IF(F51="N/A","N/A",IF(S51="","Not assessed",INDEX(Config!$B$5:$B$9,S51)))</f>
        <v>Medium</v>
      </c>
      <c r="U51" s="7" t="str">
        <f aca="false">IF(P51=0,"None",IF(R51="Y","Applied","Pending HO approval"))</f>
        <v>None</v>
      </c>
      <c r="V51" s="8"/>
    </row>
    <row r="52" customFormat="false" ht="15" hidden="false" customHeight="false" outlineLevel="0" collapsed="false">
      <c r="A52" s="26" t="str">
        <f aca="false">Entities!$A$8</f>
        <v>JO-INS</v>
      </c>
      <c r="B52" s="12" t="str">
        <f aca="false">INDEX(Entities!$B$5:$B$34,MATCH(A52,Entities!$A$5:$A$34,0))</f>
        <v>Insurance subsidiary – Jordan</v>
      </c>
      <c r="C52" s="12" t="str">
        <f aca="false">INDEX(Entities!$D$5:$D$34,MATCH(A52,Entities!$A$5:$A$34,0))</f>
        <v>Jordan (home)</v>
      </c>
      <c r="D52" s="12" t="s">
        <v>310</v>
      </c>
      <c r="E52" s="12" t="str">
        <f aca="false">INDEX('Risk Taxonomy'!$B$5:$B$24,MATCH(D52,'Risk Taxonomy'!$A$5:$A$24,0))</f>
        <v>Cyber, information security and technology</v>
      </c>
      <c r="F52" s="7" t="str">
        <f aca="false">IF(D52="RC-04",IF(INDEX(Entities!$G$5:$G$34,MATCH(A52,Entities!$A$5:$A$34,0))="Y","Yes","N/A"),"Yes")</f>
        <v>Yes</v>
      </c>
      <c r="G52" s="24" t="n">
        <v>3</v>
      </c>
      <c r="H52" s="24" t="n">
        <v>3</v>
      </c>
      <c r="I52" s="24" t="n">
        <v>3</v>
      </c>
      <c r="J52" s="24" t="n">
        <v>2</v>
      </c>
      <c r="K52" s="24" t="n">
        <v>4</v>
      </c>
      <c r="L52" s="37" t="n">
        <f aca="false">IF(F52="N/A","",IF(COUNT(H52:K52)=0,"",IF(Config!$C$19="Highest dimension",MAX(H52:K52),ROUND(H52*Config!$C$20+I52*Config!$C$21+J52*Config!$C$22+K52*Config!$C$23,1))))</f>
        <v>4</v>
      </c>
      <c r="M52" s="38" t="n">
        <f aca="false">IF(OR(L52="",G52=""),"",G52*L52)</f>
        <v>12</v>
      </c>
      <c r="N52" s="31" t="n">
        <f aca="false">IF(M52="","",MATCH(M52,Config!$E$5:$E$9,1))</f>
        <v>3</v>
      </c>
      <c r="O52" s="7" t="str">
        <f aca="false">IF(F52="N/A","N/A",IF(N52="","Not assessed",INDEX(Config!$B$5:$B$9,N52)))</f>
        <v>Medium</v>
      </c>
      <c r="P52" s="32" t="n">
        <v>0</v>
      </c>
      <c r="Q52" s="8"/>
      <c r="R52" s="33"/>
      <c r="S52" s="34" t="n">
        <f aca="false">IF(N52="","",IF(AND(R52="Y",P52&lt;&gt;0),MAX(1,MIN(5,N52+MAX(-Config!$C$27,MIN(Config!$C$27,P52)))),N52))</f>
        <v>3</v>
      </c>
      <c r="T52" s="35" t="str">
        <f aca="false">IF(F52="N/A","N/A",IF(S52="","Not assessed",INDEX(Config!$B$5:$B$9,S52)))</f>
        <v>Medium</v>
      </c>
      <c r="U52" s="7" t="str">
        <f aca="false">IF(P52=0,"None",IF(R52="Y","Applied","Pending HO approval"))</f>
        <v>None</v>
      </c>
      <c r="V52" s="8"/>
    </row>
    <row r="53" customFormat="false" ht="15" hidden="false" customHeight="false" outlineLevel="0" collapsed="false">
      <c r="A53" s="26" t="str">
        <f aca="false">Entities!$A$8</f>
        <v>JO-INS</v>
      </c>
      <c r="B53" s="12" t="str">
        <f aca="false">INDEX(Entities!$B$5:$B$34,MATCH(A53,Entities!$A$5:$A$34,0))</f>
        <v>Insurance subsidiary – Jordan</v>
      </c>
      <c r="C53" s="12" t="str">
        <f aca="false">INDEX(Entities!$D$5:$D$34,MATCH(A53,Entities!$A$5:$A$34,0))</f>
        <v>Jordan (home)</v>
      </c>
      <c r="D53" s="12" t="s">
        <v>313</v>
      </c>
      <c r="E53" s="12" t="str">
        <f aca="false">INDEX('Risk Taxonomy'!$B$5:$B$24,MATCH(D53,'Risk Taxonomy'!$A$5:$A$24,0))</f>
        <v>Third-party and outsourcing</v>
      </c>
      <c r="F53" s="7" t="str">
        <f aca="false">IF(D53="RC-04",IF(INDEX(Entities!$G$5:$G$34,MATCH(A53,Entities!$A$5:$A$34,0))="Y","Yes","N/A"),"Yes")</f>
        <v>Yes</v>
      </c>
      <c r="G53" s="24" t="n">
        <v>3</v>
      </c>
      <c r="H53" s="24" t="n">
        <v>4</v>
      </c>
      <c r="I53" s="24" t="n">
        <v>3</v>
      </c>
      <c r="J53" s="24" t="n">
        <v>2</v>
      </c>
      <c r="K53" s="24" t="n">
        <v>2</v>
      </c>
      <c r="L53" s="37" t="n">
        <f aca="false">IF(F53="N/A","",IF(COUNT(H53:K53)=0,"",IF(Config!$C$19="Highest dimension",MAX(H53:K53),ROUND(H53*Config!$C$20+I53*Config!$C$21+J53*Config!$C$22+K53*Config!$C$23,1))))</f>
        <v>4</v>
      </c>
      <c r="M53" s="38" t="n">
        <f aca="false">IF(OR(L53="",G53=""),"",G53*L53)</f>
        <v>12</v>
      </c>
      <c r="N53" s="31" t="n">
        <f aca="false">IF(M53="","",MATCH(M53,Config!$E$5:$E$9,1))</f>
        <v>3</v>
      </c>
      <c r="O53" s="7" t="str">
        <f aca="false">IF(F53="N/A","N/A",IF(N53="","Not assessed",INDEX(Config!$B$5:$B$9,N53)))</f>
        <v>Medium</v>
      </c>
      <c r="P53" s="32" t="n">
        <v>0</v>
      </c>
      <c r="Q53" s="8"/>
      <c r="R53" s="33"/>
      <c r="S53" s="34" t="n">
        <f aca="false">IF(N53="","",IF(AND(R53="Y",P53&lt;&gt;0),MAX(1,MIN(5,N53+MAX(-Config!$C$27,MIN(Config!$C$27,P53)))),N53))</f>
        <v>3</v>
      </c>
      <c r="T53" s="35" t="str">
        <f aca="false">IF(F53="N/A","N/A",IF(S53="","Not assessed",INDEX(Config!$B$5:$B$9,S53)))</f>
        <v>Medium</v>
      </c>
      <c r="U53" s="7" t="str">
        <f aca="false">IF(P53=0,"None",IF(R53="Y","Applied","Pending HO approval"))</f>
        <v>None</v>
      </c>
      <c r="V53" s="8"/>
    </row>
    <row r="54" customFormat="false" ht="15" hidden="false" customHeight="false" outlineLevel="0" collapsed="false">
      <c r="A54" s="26" t="str">
        <f aca="false">Entities!$A$8</f>
        <v>JO-INS</v>
      </c>
      <c r="B54" s="12" t="str">
        <f aca="false">INDEX(Entities!$B$5:$B$34,MATCH(A54,Entities!$A$5:$A$34,0))</f>
        <v>Insurance subsidiary – Jordan</v>
      </c>
      <c r="C54" s="12" t="str">
        <f aca="false">INDEX(Entities!$D$5:$D$34,MATCH(A54,Entities!$A$5:$A$34,0))</f>
        <v>Jordan (home)</v>
      </c>
      <c r="D54" s="12" t="s">
        <v>316</v>
      </c>
      <c r="E54" s="12" t="str">
        <f aca="false">INDEX('Risk Taxonomy'!$B$5:$B$24,MATCH(D54,'Risk Taxonomy'!$A$5:$A$24,0))</f>
        <v>Legal and litigation</v>
      </c>
      <c r="F54" s="7" t="str">
        <f aca="false">IF(D54="RC-04",IF(INDEX(Entities!$G$5:$G$34,MATCH(A54,Entities!$A$5:$A$34,0))="Y","Yes","N/A"),"Yes")</f>
        <v>Yes</v>
      </c>
      <c r="G54" s="24" t="n">
        <v>4</v>
      </c>
      <c r="H54" s="24" t="n">
        <v>3</v>
      </c>
      <c r="I54" s="24" t="n">
        <v>2</v>
      </c>
      <c r="J54" s="24" t="n">
        <v>3</v>
      </c>
      <c r="K54" s="24" t="n">
        <v>2</v>
      </c>
      <c r="L54" s="37" t="n">
        <f aca="false">IF(F54="N/A","",IF(COUNT(H54:K54)=0,"",IF(Config!$C$19="Highest dimension",MAX(H54:K54),ROUND(H54*Config!$C$20+I54*Config!$C$21+J54*Config!$C$22+K54*Config!$C$23,1))))</f>
        <v>3</v>
      </c>
      <c r="M54" s="38" t="n">
        <f aca="false">IF(OR(L54="",G54=""),"",G54*L54)</f>
        <v>12</v>
      </c>
      <c r="N54" s="31" t="n">
        <f aca="false">IF(M54="","",MATCH(M54,Config!$E$5:$E$9,1))</f>
        <v>3</v>
      </c>
      <c r="O54" s="7" t="str">
        <f aca="false">IF(F54="N/A","N/A",IF(N54="","Not assessed",INDEX(Config!$B$5:$B$9,N54)))</f>
        <v>Medium</v>
      </c>
      <c r="P54" s="32" t="n">
        <v>0</v>
      </c>
      <c r="Q54" s="8"/>
      <c r="R54" s="33"/>
      <c r="S54" s="34" t="n">
        <f aca="false">IF(N54="","",IF(AND(R54="Y",P54&lt;&gt;0),MAX(1,MIN(5,N54+MAX(-Config!$C$27,MIN(Config!$C$27,P54)))),N54))</f>
        <v>3</v>
      </c>
      <c r="T54" s="35" t="str">
        <f aca="false">IF(F54="N/A","N/A",IF(S54="","Not assessed",INDEX(Config!$B$5:$B$9,S54)))</f>
        <v>Medium</v>
      </c>
      <c r="U54" s="7" t="str">
        <f aca="false">IF(P54=0,"None",IF(R54="Y","Applied","Pending HO approval"))</f>
        <v>None</v>
      </c>
      <c r="V54" s="8"/>
    </row>
    <row r="55" customFormat="false" ht="15" hidden="false" customHeight="false" outlineLevel="0" collapsed="false">
      <c r="A55" s="26" t="str">
        <f aca="false">Entities!$A$8</f>
        <v>JO-INS</v>
      </c>
      <c r="B55" s="12" t="str">
        <f aca="false">INDEX(Entities!$B$5:$B$34,MATCH(A55,Entities!$A$5:$A$34,0))</f>
        <v>Insurance subsidiary – Jordan</v>
      </c>
      <c r="C55" s="12" t="str">
        <f aca="false">INDEX(Entities!$D$5:$D$34,MATCH(A55,Entities!$A$5:$A$34,0))</f>
        <v>Jordan (home)</v>
      </c>
      <c r="D55" s="12" t="s">
        <v>319</v>
      </c>
      <c r="E55" s="12" t="str">
        <f aca="false">INDEX('Risk Taxonomy'!$B$5:$B$24,MATCH(D55,'Risk Taxonomy'!$A$5:$A$24,0))</f>
        <v>Reputational</v>
      </c>
      <c r="F55" s="7" t="str">
        <f aca="false">IF(D55="RC-04",IF(INDEX(Entities!$G$5:$G$34,MATCH(A55,Entities!$A$5:$A$34,0))="Y","Yes","N/A"),"Yes")</f>
        <v>Yes</v>
      </c>
      <c r="G55" s="24" t="n">
        <v>3</v>
      </c>
      <c r="H55" s="24" t="n">
        <v>3</v>
      </c>
      <c r="I55" s="24" t="n">
        <v>3</v>
      </c>
      <c r="J55" s="24" t="n">
        <v>1</v>
      </c>
      <c r="K55" s="24" t="n">
        <v>2</v>
      </c>
      <c r="L55" s="37" t="n">
        <f aca="false">IF(F55="N/A","",IF(COUNT(H55:K55)=0,"",IF(Config!$C$19="Highest dimension",MAX(H55:K55),ROUND(H55*Config!$C$20+I55*Config!$C$21+J55*Config!$C$22+K55*Config!$C$23,1))))</f>
        <v>3</v>
      </c>
      <c r="M55" s="38" t="n">
        <f aca="false">IF(OR(L55="",G55=""),"",G55*L55)</f>
        <v>9</v>
      </c>
      <c r="N55" s="31" t="n">
        <f aca="false">IF(M55="","",MATCH(M55,Config!$E$5:$E$9,1))</f>
        <v>3</v>
      </c>
      <c r="O55" s="7" t="str">
        <f aca="false">IF(F55="N/A","N/A",IF(N55="","Not assessed",INDEX(Config!$B$5:$B$9,N55)))</f>
        <v>Medium</v>
      </c>
      <c r="P55" s="32" t="n">
        <v>0</v>
      </c>
      <c r="Q55" s="8"/>
      <c r="R55" s="33"/>
      <c r="S55" s="34" t="n">
        <f aca="false">IF(N55="","",IF(AND(R55="Y",P55&lt;&gt;0),MAX(1,MIN(5,N55+MAX(-Config!$C$27,MIN(Config!$C$27,P55)))),N55))</f>
        <v>3</v>
      </c>
      <c r="T55" s="35" t="str">
        <f aca="false">IF(F55="N/A","N/A",IF(S55="","Not assessed",INDEX(Config!$B$5:$B$9,S55)))</f>
        <v>Medium</v>
      </c>
      <c r="U55" s="7" t="str">
        <f aca="false">IF(P55=0,"None",IF(R55="Y","Applied","Pending HO approval"))</f>
        <v>None</v>
      </c>
      <c r="V55" s="8"/>
    </row>
    <row r="56" customFormat="false" ht="15" hidden="false" customHeight="false" outlineLevel="0" collapsed="false">
      <c r="A56" s="26" t="str">
        <f aca="false">Entities!$A$8</f>
        <v>JO-INS</v>
      </c>
      <c r="B56" s="12" t="str">
        <f aca="false">INDEX(Entities!$B$5:$B$34,MATCH(A56,Entities!$A$5:$A$34,0))</f>
        <v>Insurance subsidiary – Jordan</v>
      </c>
      <c r="C56" s="12" t="str">
        <f aca="false">INDEX(Entities!$D$5:$D$34,MATCH(A56,Entities!$A$5:$A$34,0))</f>
        <v>Jordan (home)</v>
      </c>
      <c r="D56" s="12" t="s">
        <v>322</v>
      </c>
      <c r="E56" s="12" t="str">
        <f aca="false">INDEX('Risk Taxonomy'!$B$5:$B$24,MATCH(D56,'Risk Taxonomy'!$A$5:$A$24,0))</f>
        <v>Strategic, business model and ESG</v>
      </c>
      <c r="F56" s="7" t="str">
        <f aca="false">IF(D56="RC-04",IF(INDEX(Entities!$G$5:$G$34,MATCH(A56,Entities!$A$5:$A$34,0))="Y","Yes","N/A"),"Yes")</f>
        <v>Yes</v>
      </c>
      <c r="G56" s="24" t="n">
        <v>2</v>
      </c>
      <c r="H56" s="24" t="n">
        <v>3</v>
      </c>
      <c r="I56" s="24" t="n">
        <v>2</v>
      </c>
      <c r="J56" s="24" t="n">
        <v>4</v>
      </c>
      <c r="K56" s="24" t="n">
        <v>1</v>
      </c>
      <c r="L56" s="37" t="n">
        <f aca="false">IF(F56="N/A","",IF(COUNT(H56:K56)=0,"",IF(Config!$C$19="Highest dimension",MAX(H56:K56),ROUND(H56*Config!$C$20+I56*Config!$C$21+J56*Config!$C$22+K56*Config!$C$23,1))))</f>
        <v>4</v>
      </c>
      <c r="M56" s="38" t="n">
        <f aca="false">IF(OR(L56="",G56=""),"",G56*L56)</f>
        <v>8</v>
      </c>
      <c r="N56" s="31" t="n">
        <f aca="false">IF(M56="","",MATCH(M56,Config!$E$5:$E$9,1))</f>
        <v>2</v>
      </c>
      <c r="O56" s="7" t="str">
        <f aca="false">IF(F56="N/A","N/A",IF(N56="","Not assessed",INDEX(Config!$B$5:$B$9,N56)))</f>
        <v>Medium-Low</v>
      </c>
      <c r="P56" s="32" t="n">
        <v>0</v>
      </c>
      <c r="Q56" s="8"/>
      <c r="R56" s="33"/>
      <c r="S56" s="34" t="n">
        <f aca="false">IF(N56="","",IF(AND(R56="Y",P56&lt;&gt;0),MAX(1,MIN(5,N56+MAX(-Config!$C$27,MIN(Config!$C$27,P56)))),N56))</f>
        <v>2</v>
      </c>
      <c r="T56" s="35" t="str">
        <f aca="false">IF(F56="N/A","N/A",IF(S56="","Not assessed",INDEX(Config!$B$5:$B$9,S56)))</f>
        <v>Medium-Low</v>
      </c>
      <c r="U56" s="7" t="str">
        <f aca="false">IF(P56=0,"None",IF(R56="Y","Applied","Pending HO approval"))</f>
        <v>None</v>
      </c>
      <c r="V56" s="8"/>
    </row>
    <row r="57" customFormat="false" ht="15" hidden="false" customHeight="false" outlineLevel="0" collapsed="false">
      <c r="A57" s="26" t="str">
        <f aca="false">Entities!$A$9</f>
        <v>JO-LSG</v>
      </c>
      <c r="B57" s="12" t="str">
        <f aca="false">INDEX(Entities!$B$5:$B$34,MATCH(A57,Entities!$A$5:$A$34,0))</f>
        <v>Leasing subsidiary – Jordan</v>
      </c>
      <c r="C57" s="12" t="str">
        <f aca="false">INDEX(Entities!$D$5:$D$34,MATCH(A57,Entities!$A$5:$A$34,0))</f>
        <v>Jordan (home)</v>
      </c>
      <c r="D57" s="12" t="s">
        <v>284</v>
      </c>
      <c r="E57" s="12" t="str">
        <f aca="false">INDEX('Risk Taxonomy'!$B$5:$B$24,MATCH(D57,'Risk Taxonomy'!$A$5:$A$24,0))</f>
        <v>Regulatory compliance</v>
      </c>
      <c r="F57" s="7" t="str">
        <f aca="false">IF(D57="RC-04",IF(INDEX(Entities!$G$5:$G$34,MATCH(A57,Entities!$A$5:$A$34,0))="Y","Yes","N/A"),"Yes")</f>
        <v>Yes</v>
      </c>
      <c r="G57" s="24" t="n">
        <v>3</v>
      </c>
      <c r="H57" s="24" t="n">
        <v>3</v>
      </c>
      <c r="I57" s="24" t="n">
        <v>3</v>
      </c>
      <c r="J57" s="24" t="n">
        <v>2</v>
      </c>
      <c r="K57" s="24" t="n">
        <v>3</v>
      </c>
      <c r="L57" s="37" t="n">
        <f aca="false">IF(F57="N/A","",IF(COUNT(H57:K57)=0,"",IF(Config!$C$19="Highest dimension",MAX(H57:K57),ROUND(H57*Config!$C$20+I57*Config!$C$21+J57*Config!$C$22+K57*Config!$C$23,1))))</f>
        <v>3</v>
      </c>
      <c r="M57" s="38" t="n">
        <f aca="false">IF(OR(L57="",G57=""),"",G57*L57)</f>
        <v>9</v>
      </c>
      <c r="N57" s="31" t="n">
        <f aca="false">IF(M57="","",MATCH(M57,Config!$E$5:$E$9,1))</f>
        <v>3</v>
      </c>
      <c r="O57" s="7" t="str">
        <f aca="false">IF(F57="N/A","N/A",IF(N57="","Not assessed",INDEX(Config!$B$5:$B$9,N57)))</f>
        <v>Medium</v>
      </c>
      <c r="P57" s="32" t="n">
        <v>0</v>
      </c>
      <c r="Q57" s="8"/>
      <c r="R57" s="33"/>
      <c r="S57" s="34" t="n">
        <f aca="false">IF(N57="","",IF(AND(R57="Y",P57&lt;&gt;0),MAX(1,MIN(5,N57+MAX(-Config!$C$27,MIN(Config!$C$27,P57)))),N57))</f>
        <v>3</v>
      </c>
      <c r="T57" s="35" t="str">
        <f aca="false">IF(F57="N/A","N/A",IF(S57="","Not assessed",INDEX(Config!$B$5:$B$9,S57)))</f>
        <v>Medium</v>
      </c>
      <c r="U57" s="7" t="str">
        <f aca="false">IF(P57=0,"None",IF(R57="Y","Applied","Pending HO approval"))</f>
        <v>None</v>
      </c>
      <c r="V57" s="8"/>
    </row>
    <row r="58" customFormat="false" ht="15" hidden="false" customHeight="false" outlineLevel="0" collapsed="false">
      <c r="A58" s="26" t="str">
        <f aca="false">Entities!$A$9</f>
        <v>JO-LSG</v>
      </c>
      <c r="B58" s="12" t="str">
        <f aca="false">INDEX(Entities!$B$5:$B$34,MATCH(A58,Entities!$A$5:$A$34,0))</f>
        <v>Leasing subsidiary – Jordan</v>
      </c>
      <c r="C58" s="12" t="str">
        <f aca="false">INDEX(Entities!$D$5:$D$34,MATCH(A58,Entities!$A$5:$A$34,0))</f>
        <v>Jordan (home)</v>
      </c>
      <c r="D58" s="12" t="s">
        <v>288</v>
      </c>
      <c r="E58" s="12" t="str">
        <f aca="false">INDEX('Risk Taxonomy'!$B$5:$B$24,MATCH(D58,'Risk Taxonomy'!$A$5:$A$24,0))</f>
        <v>Conduct and consumer protection</v>
      </c>
      <c r="F58" s="7" t="str">
        <f aca="false">IF(D58="RC-04",IF(INDEX(Entities!$G$5:$G$34,MATCH(A58,Entities!$A$5:$A$34,0))="Y","Yes","N/A"),"Yes")</f>
        <v>Yes</v>
      </c>
      <c r="G58" s="24" t="n">
        <v>1</v>
      </c>
      <c r="H58" s="24" t="n">
        <v>3</v>
      </c>
      <c r="I58" s="24" t="n">
        <v>3</v>
      </c>
      <c r="J58" s="24" t="n">
        <v>4</v>
      </c>
      <c r="K58" s="24" t="n">
        <v>3</v>
      </c>
      <c r="L58" s="37" t="n">
        <f aca="false">IF(F58="N/A","",IF(COUNT(H58:K58)=0,"",IF(Config!$C$19="Highest dimension",MAX(H58:K58),ROUND(H58*Config!$C$20+I58*Config!$C$21+J58*Config!$C$22+K58*Config!$C$23,1))))</f>
        <v>4</v>
      </c>
      <c r="M58" s="38" t="n">
        <f aca="false">IF(OR(L58="",G58=""),"",G58*L58)</f>
        <v>4</v>
      </c>
      <c r="N58" s="31" t="n">
        <f aca="false">IF(M58="","",MATCH(M58,Config!$E$5:$E$9,1))</f>
        <v>1</v>
      </c>
      <c r="O58" s="7" t="str">
        <f aca="false">IF(F58="N/A","N/A",IF(N58="","Not assessed",INDEX(Config!$B$5:$B$9,N58)))</f>
        <v>Low</v>
      </c>
      <c r="P58" s="32" t="n">
        <v>0</v>
      </c>
      <c r="Q58" s="8"/>
      <c r="R58" s="33"/>
      <c r="S58" s="34" t="n">
        <f aca="false">IF(N58="","",IF(AND(R58="Y",P58&lt;&gt;0),MAX(1,MIN(5,N58+MAX(-Config!$C$27,MIN(Config!$C$27,P58)))),N58))</f>
        <v>1</v>
      </c>
      <c r="T58" s="35" t="str">
        <f aca="false">IF(F58="N/A","N/A",IF(S58="","Not assessed",INDEX(Config!$B$5:$B$9,S58)))</f>
        <v>Low</v>
      </c>
      <c r="U58" s="7" t="str">
        <f aca="false">IF(P58=0,"None",IF(R58="Y","Applied","Pending HO approval"))</f>
        <v>None</v>
      </c>
      <c r="V58" s="8"/>
    </row>
    <row r="59" customFormat="false" ht="15" hidden="false" customHeight="false" outlineLevel="0" collapsed="false">
      <c r="A59" s="26" t="str">
        <f aca="false">Entities!$A$9</f>
        <v>JO-LSG</v>
      </c>
      <c r="B59" s="12" t="str">
        <f aca="false">INDEX(Entities!$B$5:$B$34,MATCH(A59,Entities!$A$5:$A$34,0))</f>
        <v>Leasing subsidiary – Jordan</v>
      </c>
      <c r="C59" s="12" t="str">
        <f aca="false">INDEX(Entities!$D$5:$D$34,MATCH(A59,Entities!$A$5:$A$34,0))</f>
        <v>Jordan (home)</v>
      </c>
      <c r="D59" s="12" t="s">
        <v>290</v>
      </c>
      <c r="E59" s="12" t="str">
        <f aca="false">INDEX('Risk Taxonomy'!$B$5:$B$24,MATCH(D59,'Risk Taxonomy'!$A$5:$A$24,0))</f>
        <v>Data protection and privacy</v>
      </c>
      <c r="F59" s="7" t="str">
        <f aca="false">IF(D59="RC-04",IF(INDEX(Entities!$G$5:$G$34,MATCH(A59,Entities!$A$5:$A$34,0))="Y","Yes","N/A"),"Yes")</f>
        <v>Yes</v>
      </c>
      <c r="G59" s="24" t="n">
        <v>3</v>
      </c>
      <c r="H59" s="24" t="n">
        <v>4</v>
      </c>
      <c r="I59" s="24" t="n">
        <v>5</v>
      </c>
      <c r="J59" s="24" t="n">
        <v>3</v>
      </c>
      <c r="K59" s="24" t="n">
        <v>3</v>
      </c>
      <c r="L59" s="37" t="n">
        <f aca="false">IF(F59="N/A","",IF(COUNT(H59:K59)=0,"",IF(Config!$C$19="Highest dimension",MAX(H59:K59),ROUND(H59*Config!$C$20+I59*Config!$C$21+J59*Config!$C$22+K59*Config!$C$23,1))))</f>
        <v>5</v>
      </c>
      <c r="M59" s="38" t="n">
        <f aca="false">IF(OR(L59="",G59=""),"",G59*L59)</f>
        <v>15</v>
      </c>
      <c r="N59" s="31" t="n">
        <f aca="false">IF(M59="","",MATCH(M59,Config!$E$5:$E$9,1))</f>
        <v>4</v>
      </c>
      <c r="O59" s="7" t="str">
        <f aca="false">IF(F59="N/A","N/A",IF(N59="","Not assessed",INDEX(Config!$B$5:$B$9,N59)))</f>
        <v>Medium-High</v>
      </c>
      <c r="P59" s="32" t="n">
        <v>0</v>
      </c>
      <c r="Q59" s="8"/>
      <c r="R59" s="33"/>
      <c r="S59" s="34" t="n">
        <f aca="false">IF(N59="","",IF(AND(R59="Y",P59&lt;&gt;0),MAX(1,MIN(5,N59+MAX(-Config!$C$27,MIN(Config!$C$27,P59)))),N59))</f>
        <v>4</v>
      </c>
      <c r="T59" s="35" t="str">
        <f aca="false">IF(F59="N/A","N/A",IF(S59="","Not assessed",INDEX(Config!$B$5:$B$9,S59)))</f>
        <v>Medium-High</v>
      </c>
      <c r="U59" s="7" t="str">
        <f aca="false">IF(P59=0,"None",IF(R59="Y","Applied","Pending HO approval"))</f>
        <v>None</v>
      </c>
      <c r="V59" s="8"/>
    </row>
    <row r="60" customFormat="false" ht="15" hidden="false" customHeight="false" outlineLevel="0" collapsed="false">
      <c r="A60" s="26" t="str">
        <f aca="false">Entities!$A$9</f>
        <v>JO-LSG</v>
      </c>
      <c r="B60" s="12" t="str">
        <f aca="false">INDEX(Entities!$B$5:$B$34,MATCH(A60,Entities!$A$5:$A$34,0))</f>
        <v>Leasing subsidiary – Jordan</v>
      </c>
      <c r="C60" s="12" t="str">
        <f aca="false">INDEX(Entities!$D$5:$D$34,MATCH(A60,Entities!$A$5:$A$34,0))</f>
        <v>Jordan (home)</v>
      </c>
      <c r="D60" s="12" t="s">
        <v>293</v>
      </c>
      <c r="E60" s="12" t="str">
        <f aca="false">INDEX('Risk Taxonomy'!$B$5:$B$24,MATCH(D60,'Risk Taxonomy'!$A$5:$A$24,0))</f>
        <v>Shariah non-compliance</v>
      </c>
      <c r="F60" s="7" t="str">
        <f aca="false">IF(D60="RC-04",IF(INDEX(Entities!$G$5:$G$34,MATCH(A60,Entities!$A$5:$A$34,0))="Y","Yes","N/A"),"Yes")</f>
        <v>N/A</v>
      </c>
      <c r="G60" s="24"/>
      <c r="H60" s="24"/>
      <c r="I60" s="24"/>
      <c r="J60" s="24"/>
      <c r="K60" s="24"/>
      <c r="L60" s="37" t="str">
        <f aca="false">IF(F60="N/A","",IF(COUNT(H60:K60)=0,"",IF(Config!$C$19="Highest dimension",MAX(H60:K60),ROUND(H60*Config!$C$20+I60*Config!$C$21+J60*Config!$C$22+K60*Config!$C$23,1))))</f>
        <v/>
      </c>
      <c r="M60" s="38" t="str">
        <f aca="false">IF(OR(L60="",G60=""),"",G60*L60)</f>
        <v/>
      </c>
      <c r="N60" s="31" t="str">
        <f aca="false">IF(M60="","",MATCH(M60,Config!$E$5:$E$9,1))</f>
        <v/>
      </c>
      <c r="O60" s="7" t="str">
        <f aca="false">IF(F60="N/A","N/A",IF(N60="","Not assessed",INDEX(Config!$B$5:$B$9,N60)))</f>
        <v>N/A</v>
      </c>
      <c r="P60" s="32" t="n">
        <v>0</v>
      </c>
      <c r="Q60" s="8"/>
      <c r="R60" s="33"/>
      <c r="S60" s="34" t="str">
        <f aca="false">IF(N60="","",IF(AND(R60="Y",P60&lt;&gt;0),MAX(1,MIN(5,N60+MAX(-Config!$C$27,MIN(Config!$C$27,P60)))),N60))</f>
        <v/>
      </c>
      <c r="T60" s="35" t="str">
        <f aca="false">IF(F60="N/A","N/A",IF(S60="","Not assessed",INDEX(Config!$B$5:$B$9,S60)))</f>
        <v>N/A</v>
      </c>
      <c r="U60" s="7" t="str">
        <f aca="false">IF(P60=0,"None",IF(R60="Y","Applied","Pending HO approval"))</f>
        <v>None</v>
      </c>
      <c r="V60" s="8"/>
    </row>
    <row r="61" customFormat="false" ht="15" hidden="false" customHeight="false" outlineLevel="0" collapsed="false">
      <c r="A61" s="26" t="str">
        <f aca="false">Entities!$A$9</f>
        <v>JO-LSG</v>
      </c>
      <c r="B61" s="12" t="str">
        <f aca="false">INDEX(Entities!$B$5:$B$34,MATCH(A61,Entities!$A$5:$A$34,0))</f>
        <v>Leasing subsidiary – Jordan</v>
      </c>
      <c r="C61" s="12" t="str">
        <f aca="false">INDEX(Entities!$D$5:$D$34,MATCH(A61,Entities!$A$5:$A$34,0))</f>
        <v>Jordan (home)</v>
      </c>
      <c r="D61" s="12" t="s">
        <v>297</v>
      </c>
      <c r="E61" s="12" t="str">
        <f aca="false">INDEX('Risk Taxonomy'!$B$5:$B$24,MATCH(D61,'Risk Taxonomy'!$A$5:$A$24,0))</f>
        <v>Credit risk</v>
      </c>
      <c r="F61" s="7" t="str">
        <f aca="false">IF(D61="RC-04",IF(INDEX(Entities!$G$5:$G$34,MATCH(A61,Entities!$A$5:$A$34,0))="Y","Yes","N/A"),"Yes")</f>
        <v>Yes</v>
      </c>
      <c r="G61" s="24" t="n">
        <v>4</v>
      </c>
      <c r="H61" s="24" t="n">
        <v>2</v>
      </c>
      <c r="I61" s="24" t="n">
        <v>4</v>
      </c>
      <c r="J61" s="24" t="n">
        <v>4</v>
      </c>
      <c r="K61" s="24" t="n">
        <v>3</v>
      </c>
      <c r="L61" s="37" t="n">
        <f aca="false">IF(F61="N/A","",IF(COUNT(H61:K61)=0,"",IF(Config!$C$19="Highest dimension",MAX(H61:K61),ROUND(H61*Config!$C$20+I61*Config!$C$21+J61*Config!$C$22+K61*Config!$C$23,1))))</f>
        <v>4</v>
      </c>
      <c r="M61" s="38" t="n">
        <f aca="false">IF(OR(L61="",G61=""),"",G61*L61)</f>
        <v>16</v>
      </c>
      <c r="N61" s="31" t="n">
        <f aca="false">IF(M61="","",MATCH(M61,Config!$E$5:$E$9,1))</f>
        <v>4</v>
      </c>
      <c r="O61" s="7" t="str">
        <f aca="false">IF(F61="N/A","N/A",IF(N61="","Not assessed",INDEX(Config!$B$5:$B$9,N61)))</f>
        <v>Medium-High</v>
      </c>
      <c r="P61" s="32" t="n">
        <v>0</v>
      </c>
      <c r="Q61" s="8"/>
      <c r="R61" s="33"/>
      <c r="S61" s="34" t="n">
        <f aca="false">IF(N61="","",IF(AND(R61="Y",P61&lt;&gt;0),MAX(1,MIN(5,N61+MAX(-Config!$C$27,MIN(Config!$C$27,P61)))),N61))</f>
        <v>4</v>
      </c>
      <c r="T61" s="35" t="str">
        <f aca="false">IF(F61="N/A","N/A",IF(S61="","Not assessed",INDEX(Config!$B$5:$B$9,S61)))</f>
        <v>Medium-High</v>
      </c>
      <c r="U61" s="7" t="str">
        <f aca="false">IF(P61=0,"None",IF(R61="Y","Applied","Pending HO approval"))</f>
        <v>None</v>
      </c>
      <c r="V61" s="8"/>
    </row>
    <row r="62" customFormat="false" ht="15" hidden="false" customHeight="false" outlineLevel="0" collapsed="false">
      <c r="A62" s="26" t="str">
        <f aca="false">Entities!$A$9</f>
        <v>JO-LSG</v>
      </c>
      <c r="B62" s="12" t="str">
        <f aca="false">INDEX(Entities!$B$5:$B$34,MATCH(A62,Entities!$A$5:$A$34,0))</f>
        <v>Leasing subsidiary – Jordan</v>
      </c>
      <c r="C62" s="12" t="str">
        <f aca="false">INDEX(Entities!$D$5:$D$34,MATCH(A62,Entities!$A$5:$A$34,0))</f>
        <v>Jordan (home)</v>
      </c>
      <c r="D62" s="12" t="s">
        <v>302</v>
      </c>
      <c r="E62" s="12" t="str">
        <f aca="false">INDEX('Risk Taxonomy'!$B$5:$B$24,MATCH(D62,'Risk Taxonomy'!$A$5:$A$24,0))</f>
        <v>Market risk</v>
      </c>
      <c r="F62" s="7" t="str">
        <f aca="false">IF(D62="RC-04",IF(INDEX(Entities!$G$5:$G$34,MATCH(A62,Entities!$A$5:$A$34,0))="Y","Yes","N/A"),"Yes")</f>
        <v>Yes</v>
      </c>
      <c r="G62" s="24" t="n">
        <v>2</v>
      </c>
      <c r="H62" s="24" t="n">
        <v>3</v>
      </c>
      <c r="I62" s="24" t="n">
        <v>3</v>
      </c>
      <c r="J62" s="24" t="n">
        <v>2</v>
      </c>
      <c r="K62" s="24" t="n">
        <v>2</v>
      </c>
      <c r="L62" s="37" t="n">
        <f aca="false">IF(F62="N/A","",IF(COUNT(H62:K62)=0,"",IF(Config!$C$19="Highest dimension",MAX(H62:K62),ROUND(H62*Config!$C$20+I62*Config!$C$21+J62*Config!$C$22+K62*Config!$C$23,1))))</f>
        <v>3</v>
      </c>
      <c r="M62" s="38" t="n">
        <f aca="false">IF(OR(L62="",G62=""),"",G62*L62)</f>
        <v>6</v>
      </c>
      <c r="N62" s="31" t="n">
        <f aca="false">IF(M62="","",MATCH(M62,Config!$E$5:$E$9,1))</f>
        <v>2</v>
      </c>
      <c r="O62" s="7" t="str">
        <f aca="false">IF(F62="N/A","N/A",IF(N62="","Not assessed",INDEX(Config!$B$5:$B$9,N62)))</f>
        <v>Medium-Low</v>
      </c>
      <c r="P62" s="32" t="n">
        <v>0</v>
      </c>
      <c r="Q62" s="8"/>
      <c r="R62" s="33"/>
      <c r="S62" s="34" t="n">
        <f aca="false">IF(N62="","",IF(AND(R62="Y",P62&lt;&gt;0),MAX(1,MIN(5,N62+MAX(-Config!$C$27,MIN(Config!$C$27,P62)))),N62))</f>
        <v>2</v>
      </c>
      <c r="T62" s="35" t="str">
        <f aca="false">IF(F62="N/A","N/A",IF(S62="","Not assessed",INDEX(Config!$B$5:$B$9,S62)))</f>
        <v>Medium-Low</v>
      </c>
      <c r="U62" s="7" t="str">
        <f aca="false">IF(P62=0,"None",IF(R62="Y","Applied","Pending HO approval"))</f>
        <v>None</v>
      </c>
      <c r="V62" s="8"/>
    </row>
    <row r="63" customFormat="false" ht="15" hidden="false" customHeight="false" outlineLevel="0" collapsed="false">
      <c r="A63" s="26" t="str">
        <f aca="false">Entities!$A$9</f>
        <v>JO-LSG</v>
      </c>
      <c r="B63" s="12" t="str">
        <f aca="false">INDEX(Entities!$B$5:$B$34,MATCH(A63,Entities!$A$5:$A$34,0))</f>
        <v>Leasing subsidiary – Jordan</v>
      </c>
      <c r="C63" s="12" t="str">
        <f aca="false">INDEX(Entities!$D$5:$D$34,MATCH(A63,Entities!$A$5:$A$34,0))</f>
        <v>Jordan (home)</v>
      </c>
      <c r="D63" s="12" t="s">
        <v>304</v>
      </c>
      <c r="E63" s="12" t="str">
        <f aca="false">INDEX('Risk Taxonomy'!$B$5:$B$24,MATCH(D63,'Risk Taxonomy'!$A$5:$A$24,0))</f>
        <v>Liquidity and funding risk</v>
      </c>
      <c r="F63" s="7" t="str">
        <f aca="false">IF(D63="RC-04",IF(INDEX(Entities!$G$5:$G$34,MATCH(A63,Entities!$A$5:$A$34,0))="Y","Yes","N/A"),"Yes")</f>
        <v>Yes</v>
      </c>
      <c r="G63" s="24" t="n">
        <v>3</v>
      </c>
      <c r="H63" s="24" t="n">
        <v>2</v>
      </c>
      <c r="I63" s="24" t="n">
        <v>4</v>
      </c>
      <c r="J63" s="24" t="n">
        <v>3</v>
      </c>
      <c r="K63" s="24" t="n">
        <v>2</v>
      </c>
      <c r="L63" s="37" t="n">
        <f aca="false">IF(F63="N/A","",IF(COUNT(H63:K63)=0,"",IF(Config!$C$19="Highest dimension",MAX(H63:K63),ROUND(H63*Config!$C$20+I63*Config!$C$21+J63*Config!$C$22+K63*Config!$C$23,1))))</f>
        <v>4</v>
      </c>
      <c r="M63" s="38" t="n">
        <f aca="false">IF(OR(L63="",G63=""),"",G63*L63)</f>
        <v>12</v>
      </c>
      <c r="N63" s="31" t="n">
        <f aca="false">IF(M63="","",MATCH(M63,Config!$E$5:$E$9,1))</f>
        <v>3</v>
      </c>
      <c r="O63" s="7" t="str">
        <f aca="false">IF(F63="N/A","N/A",IF(N63="","Not assessed",INDEX(Config!$B$5:$B$9,N63)))</f>
        <v>Medium</v>
      </c>
      <c r="P63" s="32" t="n">
        <v>0</v>
      </c>
      <c r="Q63" s="8"/>
      <c r="R63" s="33"/>
      <c r="S63" s="34" t="n">
        <f aca="false">IF(N63="","",IF(AND(R63="Y",P63&lt;&gt;0),MAX(1,MIN(5,N63+MAX(-Config!$C$27,MIN(Config!$C$27,P63)))),N63))</f>
        <v>3</v>
      </c>
      <c r="T63" s="35" t="str">
        <f aca="false">IF(F63="N/A","N/A",IF(S63="","Not assessed",INDEX(Config!$B$5:$B$9,S63)))</f>
        <v>Medium</v>
      </c>
      <c r="U63" s="7" t="str">
        <f aca="false">IF(P63=0,"None",IF(R63="Y","Applied","Pending HO approval"))</f>
        <v>None</v>
      </c>
      <c r="V63" s="8"/>
    </row>
    <row r="64" customFormat="false" ht="15" hidden="false" customHeight="false" outlineLevel="0" collapsed="false">
      <c r="A64" s="26" t="str">
        <f aca="false">Entities!$A$9</f>
        <v>JO-LSG</v>
      </c>
      <c r="B64" s="12" t="str">
        <f aca="false">INDEX(Entities!$B$5:$B$34,MATCH(A64,Entities!$A$5:$A$34,0))</f>
        <v>Leasing subsidiary – Jordan</v>
      </c>
      <c r="C64" s="12" t="str">
        <f aca="false">INDEX(Entities!$D$5:$D$34,MATCH(A64,Entities!$A$5:$A$34,0))</f>
        <v>Jordan (home)</v>
      </c>
      <c r="D64" s="12" t="s">
        <v>307</v>
      </c>
      <c r="E64" s="12" t="str">
        <f aca="false">INDEX('Risk Taxonomy'!$B$5:$B$24,MATCH(D64,'Risk Taxonomy'!$A$5:$A$24,0))</f>
        <v>Operational risk</v>
      </c>
      <c r="F64" s="7" t="str">
        <f aca="false">IF(D64="RC-04",IF(INDEX(Entities!$G$5:$G$34,MATCH(A64,Entities!$A$5:$A$34,0))="Y","Yes","N/A"),"Yes")</f>
        <v>Yes</v>
      </c>
      <c r="G64" s="24" t="n">
        <v>3</v>
      </c>
      <c r="H64" s="24" t="n">
        <v>3</v>
      </c>
      <c r="I64" s="24" t="n">
        <v>4</v>
      </c>
      <c r="J64" s="24" t="n">
        <v>4</v>
      </c>
      <c r="K64" s="24" t="n">
        <v>2</v>
      </c>
      <c r="L64" s="37" t="n">
        <f aca="false">IF(F64="N/A","",IF(COUNT(H64:K64)=0,"",IF(Config!$C$19="Highest dimension",MAX(H64:K64),ROUND(H64*Config!$C$20+I64*Config!$C$21+J64*Config!$C$22+K64*Config!$C$23,1))))</f>
        <v>4</v>
      </c>
      <c r="M64" s="38" t="n">
        <f aca="false">IF(OR(L64="",G64=""),"",G64*L64)</f>
        <v>12</v>
      </c>
      <c r="N64" s="31" t="n">
        <f aca="false">IF(M64="","",MATCH(M64,Config!$E$5:$E$9,1))</f>
        <v>3</v>
      </c>
      <c r="O64" s="7" t="str">
        <f aca="false">IF(F64="N/A","N/A",IF(N64="","Not assessed",INDEX(Config!$B$5:$B$9,N64)))</f>
        <v>Medium</v>
      </c>
      <c r="P64" s="32" t="n">
        <v>0</v>
      </c>
      <c r="Q64" s="8"/>
      <c r="R64" s="33"/>
      <c r="S64" s="34" t="n">
        <f aca="false">IF(N64="","",IF(AND(R64="Y",P64&lt;&gt;0),MAX(1,MIN(5,N64+MAX(-Config!$C$27,MIN(Config!$C$27,P64)))),N64))</f>
        <v>3</v>
      </c>
      <c r="T64" s="35" t="str">
        <f aca="false">IF(F64="N/A","N/A",IF(S64="","Not assessed",INDEX(Config!$B$5:$B$9,S64)))</f>
        <v>Medium</v>
      </c>
      <c r="U64" s="7" t="str">
        <f aca="false">IF(P64=0,"None",IF(R64="Y","Applied","Pending HO approval"))</f>
        <v>None</v>
      </c>
      <c r="V64" s="8"/>
    </row>
    <row r="65" customFormat="false" ht="15" hidden="false" customHeight="false" outlineLevel="0" collapsed="false">
      <c r="A65" s="26" t="str">
        <f aca="false">Entities!$A$9</f>
        <v>JO-LSG</v>
      </c>
      <c r="B65" s="12" t="str">
        <f aca="false">INDEX(Entities!$B$5:$B$34,MATCH(A65,Entities!$A$5:$A$34,0))</f>
        <v>Leasing subsidiary – Jordan</v>
      </c>
      <c r="C65" s="12" t="str">
        <f aca="false">INDEX(Entities!$D$5:$D$34,MATCH(A65,Entities!$A$5:$A$34,0))</f>
        <v>Jordan (home)</v>
      </c>
      <c r="D65" s="12" t="s">
        <v>310</v>
      </c>
      <c r="E65" s="12" t="str">
        <f aca="false">INDEX('Risk Taxonomy'!$B$5:$B$24,MATCH(D65,'Risk Taxonomy'!$A$5:$A$24,0))</f>
        <v>Cyber, information security and technology</v>
      </c>
      <c r="F65" s="7" t="str">
        <f aca="false">IF(D65="RC-04",IF(INDEX(Entities!$G$5:$G$34,MATCH(A65,Entities!$A$5:$A$34,0))="Y","Yes","N/A"),"Yes")</f>
        <v>Yes</v>
      </c>
      <c r="G65" s="24" t="n">
        <v>4</v>
      </c>
      <c r="H65" s="24" t="n">
        <v>4</v>
      </c>
      <c r="I65" s="24" t="n">
        <v>1</v>
      </c>
      <c r="J65" s="24" t="n">
        <v>2</v>
      </c>
      <c r="K65" s="24" t="n">
        <v>2</v>
      </c>
      <c r="L65" s="37" t="n">
        <f aca="false">IF(F65="N/A","",IF(COUNT(H65:K65)=0,"",IF(Config!$C$19="Highest dimension",MAX(H65:K65),ROUND(H65*Config!$C$20+I65*Config!$C$21+J65*Config!$C$22+K65*Config!$C$23,1))))</f>
        <v>4</v>
      </c>
      <c r="M65" s="38" t="n">
        <f aca="false">IF(OR(L65="",G65=""),"",G65*L65)</f>
        <v>16</v>
      </c>
      <c r="N65" s="31" t="n">
        <f aca="false">IF(M65="","",MATCH(M65,Config!$E$5:$E$9,1))</f>
        <v>4</v>
      </c>
      <c r="O65" s="7" t="str">
        <f aca="false">IF(F65="N/A","N/A",IF(N65="","Not assessed",INDEX(Config!$B$5:$B$9,N65)))</f>
        <v>Medium-High</v>
      </c>
      <c r="P65" s="32" t="n">
        <v>0</v>
      </c>
      <c r="Q65" s="8"/>
      <c r="R65" s="33"/>
      <c r="S65" s="34" t="n">
        <f aca="false">IF(N65="","",IF(AND(R65="Y",P65&lt;&gt;0),MAX(1,MIN(5,N65+MAX(-Config!$C$27,MIN(Config!$C$27,P65)))),N65))</f>
        <v>4</v>
      </c>
      <c r="T65" s="35" t="str">
        <f aca="false">IF(F65="N/A","N/A",IF(S65="","Not assessed",INDEX(Config!$B$5:$B$9,S65)))</f>
        <v>Medium-High</v>
      </c>
      <c r="U65" s="7" t="str">
        <f aca="false">IF(P65=0,"None",IF(R65="Y","Applied","Pending HO approval"))</f>
        <v>None</v>
      </c>
      <c r="V65" s="8"/>
    </row>
    <row r="66" customFormat="false" ht="15" hidden="false" customHeight="false" outlineLevel="0" collapsed="false">
      <c r="A66" s="26" t="str">
        <f aca="false">Entities!$A$9</f>
        <v>JO-LSG</v>
      </c>
      <c r="B66" s="12" t="str">
        <f aca="false">INDEX(Entities!$B$5:$B$34,MATCH(A66,Entities!$A$5:$A$34,0))</f>
        <v>Leasing subsidiary – Jordan</v>
      </c>
      <c r="C66" s="12" t="str">
        <f aca="false">INDEX(Entities!$D$5:$D$34,MATCH(A66,Entities!$A$5:$A$34,0))</f>
        <v>Jordan (home)</v>
      </c>
      <c r="D66" s="12" t="s">
        <v>313</v>
      </c>
      <c r="E66" s="12" t="str">
        <f aca="false">INDEX('Risk Taxonomy'!$B$5:$B$24,MATCH(D66,'Risk Taxonomy'!$A$5:$A$24,0))</f>
        <v>Third-party and outsourcing</v>
      </c>
      <c r="F66" s="7" t="str">
        <f aca="false">IF(D66="RC-04",IF(INDEX(Entities!$G$5:$G$34,MATCH(A66,Entities!$A$5:$A$34,0))="Y","Yes","N/A"),"Yes")</f>
        <v>Yes</v>
      </c>
      <c r="G66" s="24" t="n">
        <v>4</v>
      </c>
      <c r="H66" s="24" t="n">
        <v>3</v>
      </c>
      <c r="I66" s="24" t="n">
        <v>3</v>
      </c>
      <c r="J66" s="24" t="n">
        <v>1</v>
      </c>
      <c r="K66" s="24" t="n">
        <v>4</v>
      </c>
      <c r="L66" s="37" t="n">
        <f aca="false">IF(F66="N/A","",IF(COUNT(H66:K66)=0,"",IF(Config!$C$19="Highest dimension",MAX(H66:K66),ROUND(H66*Config!$C$20+I66*Config!$C$21+J66*Config!$C$22+K66*Config!$C$23,1))))</f>
        <v>4</v>
      </c>
      <c r="M66" s="38" t="n">
        <f aca="false">IF(OR(L66="",G66=""),"",G66*L66)</f>
        <v>16</v>
      </c>
      <c r="N66" s="31" t="n">
        <f aca="false">IF(M66="","",MATCH(M66,Config!$E$5:$E$9,1))</f>
        <v>4</v>
      </c>
      <c r="O66" s="7" t="str">
        <f aca="false">IF(F66="N/A","N/A",IF(N66="","Not assessed",INDEX(Config!$B$5:$B$9,N66)))</f>
        <v>Medium-High</v>
      </c>
      <c r="P66" s="32" t="n">
        <v>0</v>
      </c>
      <c r="Q66" s="8"/>
      <c r="R66" s="33"/>
      <c r="S66" s="34" t="n">
        <f aca="false">IF(N66="","",IF(AND(R66="Y",P66&lt;&gt;0),MAX(1,MIN(5,N66+MAX(-Config!$C$27,MIN(Config!$C$27,P66)))),N66))</f>
        <v>4</v>
      </c>
      <c r="T66" s="35" t="str">
        <f aca="false">IF(F66="N/A","N/A",IF(S66="","Not assessed",INDEX(Config!$B$5:$B$9,S66)))</f>
        <v>Medium-High</v>
      </c>
      <c r="U66" s="7" t="str">
        <f aca="false">IF(P66=0,"None",IF(R66="Y","Applied","Pending HO approval"))</f>
        <v>None</v>
      </c>
      <c r="V66" s="8"/>
    </row>
    <row r="67" customFormat="false" ht="15" hidden="false" customHeight="false" outlineLevel="0" collapsed="false">
      <c r="A67" s="26" t="str">
        <f aca="false">Entities!$A$9</f>
        <v>JO-LSG</v>
      </c>
      <c r="B67" s="12" t="str">
        <f aca="false">INDEX(Entities!$B$5:$B$34,MATCH(A67,Entities!$A$5:$A$34,0))</f>
        <v>Leasing subsidiary – Jordan</v>
      </c>
      <c r="C67" s="12" t="str">
        <f aca="false">INDEX(Entities!$D$5:$D$34,MATCH(A67,Entities!$A$5:$A$34,0))</f>
        <v>Jordan (home)</v>
      </c>
      <c r="D67" s="12" t="s">
        <v>316</v>
      </c>
      <c r="E67" s="12" t="str">
        <f aca="false">INDEX('Risk Taxonomy'!$B$5:$B$24,MATCH(D67,'Risk Taxonomy'!$A$5:$A$24,0))</f>
        <v>Legal and litigation</v>
      </c>
      <c r="F67" s="7" t="str">
        <f aca="false">IF(D67="RC-04",IF(INDEX(Entities!$G$5:$G$34,MATCH(A67,Entities!$A$5:$A$34,0))="Y","Yes","N/A"),"Yes")</f>
        <v>Yes</v>
      </c>
      <c r="G67" s="24" t="n">
        <v>2</v>
      </c>
      <c r="H67" s="24" t="n">
        <v>4</v>
      </c>
      <c r="I67" s="24" t="n">
        <v>4</v>
      </c>
      <c r="J67" s="24" t="n">
        <v>2</v>
      </c>
      <c r="K67" s="24" t="n">
        <v>2</v>
      </c>
      <c r="L67" s="37" t="n">
        <f aca="false">IF(F67="N/A","",IF(COUNT(H67:K67)=0,"",IF(Config!$C$19="Highest dimension",MAX(H67:K67),ROUND(H67*Config!$C$20+I67*Config!$C$21+J67*Config!$C$22+K67*Config!$C$23,1))))</f>
        <v>4</v>
      </c>
      <c r="M67" s="38" t="n">
        <f aca="false">IF(OR(L67="",G67=""),"",G67*L67)</f>
        <v>8</v>
      </c>
      <c r="N67" s="31" t="n">
        <f aca="false">IF(M67="","",MATCH(M67,Config!$E$5:$E$9,1))</f>
        <v>2</v>
      </c>
      <c r="O67" s="7" t="str">
        <f aca="false">IF(F67="N/A","N/A",IF(N67="","Not assessed",INDEX(Config!$B$5:$B$9,N67)))</f>
        <v>Medium-Low</v>
      </c>
      <c r="P67" s="32" t="n">
        <v>0</v>
      </c>
      <c r="Q67" s="8"/>
      <c r="R67" s="33"/>
      <c r="S67" s="34" t="n">
        <f aca="false">IF(N67="","",IF(AND(R67="Y",P67&lt;&gt;0),MAX(1,MIN(5,N67+MAX(-Config!$C$27,MIN(Config!$C$27,P67)))),N67))</f>
        <v>2</v>
      </c>
      <c r="T67" s="35" t="str">
        <f aca="false">IF(F67="N/A","N/A",IF(S67="","Not assessed",INDEX(Config!$B$5:$B$9,S67)))</f>
        <v>Medium-Low</v>
      </c>
      <c r="U67" s="7" t="str">
        <f aca="false">IF(P67=0,"None",IF(R67="Y","Applied","Pending HO approval"))</f>
        <v>None</v>
      </c>
      <c r="V67" s="8"/>
    </row>
    <row r="68" customFormat="false" ht="15" hidden="false" customHeight="false" outlineLevel="0" collapsed="false">
      <c r="A68" s="26" t="str">
        <f aca="false">Entities!$A$9</f>
        <v>JO-LSG</v>
      </c>
      <c r="B68" s="12" t="str">
        <f aca="false">INDEX(Entities!$B$5:$B$34,MATCH(A68,Entities!$A$5:$A$34,0))</f>
        <v>Leasing subsidiary – Jordan</v>
      </c>
      <c r="C68" s="12" t="str">
        <f aca="false">INDEX(Entities!$D$5:$D$34,MATCH(A68,Entities!$A$5:$A$34,0))</f>
        <v>Jordan (home)</v>
      </c>
      <c r="D68" s="12" t="s">
        <v>319</v>
      </c>
      <c r="E68" s="12" t="str">
        <f aca="false">INDEX('Risk Taxonomy'!$B$5:$B$24,MATCH(D68,'Risk Taxonomy'!$A$5:$A$24,0))</f>
        <v>Reputational</v>
      </c>
      <c r="F68" s="7" t="str">
        <f aca="false">IF(D68="RC-04",IF(INDEX(Entities!$G$5:$G$34,MATCH(A68,Entities!$A$5:$A$34,0))="Y","Yes","N/A"),"Yes")</f>
        <v>Yes</v>
      </c>
      <c r="G68" s="24" t="n">
        <v>2</v>
      </c>
      <c r="H68" s="24" t="n">
        <v>2</v>
      </c>
      <c r="I68" s="24" t="n">
        <v>2</v>
      </c>
      <c r="J68" s="24" t="n">
        <v>3</v>
      </c>
      <c r="K68" s="24" t="n">
        <v>3</v>
      </c>
      <c r="L68" s="37" t="n">
        <f aca="false">IF(F68="N/A","",IF(COUNT(H68:K68)=0,"",IF(Config!$C$19="Highest dimension",MAX(H68:K68),ROUND(H68*Config!$C$20+I68*Config!$C$21+J68*Config!$C$22+K68*Config!$C$23,1))))</f>
        <v>3</v>
      </c>
      <c r="M68" s="38" t="n">
        <f aca="false">IF(OR(L68="",G68=""),"",G68*L68)</f>
        <v>6</v>
      </c>
      <c r="N68" s="31" t="n">
        <f aca="false">IF(M68="","",MATCH(M68,Config!$E$5:$E$9,1))</f>
        <v>2</v>
      </c>
      <c r="O68" s="7" t="str">
        <f aca="false">IF(F68="N/A","N/A",IF(N68="","Not assessed",INDEX(Config!$B$5:$B$9,N68)))</f>
        <v>Medium-Low</v>
      </c>
      <c r="P68" s="32" t="n">
        <v>0</v>
      </c>
      <c r="Q68" s="8"/>
      <c r="R68" s="33"/>
      <c r="S68" s="34" t="n">
        <f aca="false">IF(N68="","",IF(AND(R68="Y",P68&lt;&gt;0),MAX(1,MIN(5,N68+MAX(-Config!$C$27,MIN(Config!$C$27,P68)))),N68))</f>
        <v>2</v>
      </c>
      <c r="T68" s="35" t="str">
        <f aca="false">IF(F68="N/A","N/A",IF(S68="","Not assessed",INDEX(Config!$B$5:$B$9,S68)))</f>
        <v>Medium-Low</v>
      </c>
      <c r="U68" s="7" t="str">
        <f aca="false">IF(P68=0,"None",IF(R68="Y","Applied","Pending HO approval"))</f>
        <v>None</v>
      </c>
      <c r="V68" s="8"/>
    </row>
    <row r="69" customFormat="false" ht="15" hidden="false" customHeight="false" outlineLevel="0" collapsed="false">
      <c r="A69" s="26" t="str">
        <f aca="false">Entities!$A$9</f>
        <v>JO-LSG</v>
      </c>
      <c r="B69" s="12" t="str">
        <f aca="false">INDEX(Entities!$B$5:$B$34,MATCH(A69,Entities!$A$5:$A$34,0))</f>
        <v>Leasing subsidiary – Jordan</v>
      </c>
      <c r="C69" s="12" t="str">
        <f aca="false">INDEX(Entities!$D$5:$D$34,MATCH(A69,Entities!$A$5:$A$34,0))</f>
        <v>Jordan (home)</v>
      </c>
      <c r="D69" s="12" t="s">
        <v>322</v>
      </c>
      <c r="E69" s="12" t="str">
        <f aca="false">INDEX('Risk Taxonomy'!$B$5:$B$24,MATCH(D69,'Risk Taxonomy'!$A$5:$A$24,0))</f>
        <v>Strategic, business model and ESG</v>
      </c>
      <c r="F69" s="7" t="str">
        <f aca="false">IF(D69="RC-04",IF(INDEX(Entities!$G$5:$G$34,MATCH(A69,Entities!$A$5:$A$34,0))="Y","Yes","N/A"),"Yes")</f>
        <v>Yes</v>
      </c>
      <c r="G69" s="24" t="n">
        <v>2</v>
      </c>
      <c r="H69" s="24" t="n">
        <v>3</v>
      </c>
      <c r="I69" s="24" t="n">
        <v>3</v>
      </c>
      <c r="J69" s="24" t="n">
        <v>3</v>
      </c>
      <c r="K69" s="24" t="n">
        <v>3</v>
      </c>
      <c r="L69" s="37" t="n">
        <f aca="false">IF(F69="N/A","",IF(COUNT(H69:K69)=0,"",IF(Config!$C$19="Highest dimension",MAX(H69:K69),ROUND(H69*Config!$C$20+I69*Config!$C$21+J69*Config!$C$22+K69*Config!$C$23,1))))</f>
        <v>3</v>
      </c>
      <c r="M69" s="38" t="n">
        <f aca="false">IF(OR(L69="",G69=""),"",G69*L69)</f>
        <v>6</v>
      </c>
      <c r="N69" s="31" t="n">
        <f aca="false">IF(M69="","",MATCH(M69,Config!$E$5:$E$9,1))</f>
        <v>2</v>
      </c>
      <c r="O69" s="7" t="str">
        <f aca="false">IF(F69="N/A","N/A",IF(N69="","Not assessed",INDEX(Config!$B$5:$B$9,N69)))</f>
        <v>Medium-Low</v>
      </c>
      <c r="P69" s="32" t="n">
        <v>0</v>
      </c>
      <c r="Q69" s="8"/>
      <c r="R69" s="33"/>
      <c r="S69" s="34" t="n">
        <f aca="false">IF(N69="","",IF(AND(R69="Y",P69&lt;&gt;0),MAX(1,MIN(5,N69+MAX(-Config!$C$27,MIN(Config!$C$27,P69)))),N69))</f>
        <v>2</v>
      </c>
      <c r="T69" s="35" t="str">
        <f aca="false">IF(F69="N/A","N/A",IF(S69="","Not assessed",INDEX(Config!$B$5:$B$9,S69)))</f>
        <v>Medium-Low</v>
      </c>
      <c r="U69" s="7" t="str">
        <f aca="false">IF(P69=0,"None",IF(R69="Y","Applied","Pending HO approval"))</f>
        <v>None</v>
      </c>
      <c r="V69" s="8"/>
    </row>
    <row r="70" customFormat="false" ht="15" hidden="false" customHeight="false" outlineLevel="0" collapsed="false">
      <c r="A70" s="26" t="str">
        <f aca="false">Entities!$A$10</f>
        <v>PS</v>
      </c>
      <c r="B70" s="12" t="str">
        <f aca="false">INDEX(Entities!$B$5:$B$34,MATCH(A70,Entities!$A$5:$A$34,0))</f>
        <v>Arab Bank – Palestine</v>
      </c>
      <c r="C70" s="12" t="str">
        <f aca="false">INDEX(Entities!$D$5:$D$34,MATCH(A70,Entities!$A$5:$A$34,0))</f>
        <v>Levant</v>
      </c>
      <c r="D70" s="12" t="s">
        <v>284</v>
      </c>
      <c r="E70" s="12" t="str">
        <f aca="false">INDEX('Risk Taxonomy'!$B$5:$B$24,MATCH(D70,'Risk Taxonomy'!$A$5:$A$24,0))</f>
        <v>Regulatory compliance</v>
      </c>
      <c r="F70" s="7" t="str">
        <f aca="false">IF(D70="RC-04",IF(INDEX(Entities!$G$5:$G$34,MATCH(A70,Entities!$A$5:$A$34,0))="Y","Yes","N/A"),"Yes")</f>
        <v>Yes</v>
      </c>
      <c r="G70" s="24" t="n">
        <v>4</v>
      </c>
      <c r="H70" s="24" t="n">
        <v>3</v>
      </c>
      <c r="I70" s="24" t="n">
        <v>5</v>
      </c>
      <c r="J70" s="24" t="n">
        <v>4</v>
      </c>
      <c r="K70" s="24" t="n">
        <v>4</v>
      </c>
      <c r="L70" s="37" t="n">
        <f aca="false">IF(F70="N/A","",IF(COUNT(H70:K70)=0,"",IF(Config!$C$19="Highest dimension",MAX(H70:K70),ROUND(H70*Config!$C$20+I70*Config!$C$21+J70*Config!$C$22+K70*Config!$C$23,1))))</f>
        <v>5</v>
      </c>
      <c r="M70" s="38" t="n">
        <f aca="false">IF(OR(L70="",G70=""),"",G70*L70)</f>
        <v>20</v>
      </c>
      <c r="N70" s="31" t="n">
        <f aca="false">IF(M70="","",MATCH(M70,Config!$E$5:$E$9,1))</f>
        <v>5</v>
      </c>
      <c r="O70" s="7" t="str">
        <f aca="false">IF(F70="N/A","N/A",IF(N70="","Not assessed",INDEX(Config!$B$5:$B$9,N70)))</f>
        <v>High</v>
      </c>
      <c r="P70" s="32" t="n">
        <v>0</v>
      </c>
      <c r="Q70" s="8"/>
      <c r="R70" s="33"/>
      <c r="S70" s="34" t="n">
        <f aca="false">IF(N70="","",IF(AND(R70="Y",P70&lt;&gt;0),MAX(1,MIN(5,N70+MAX(-Config!$C$27,MIN(Config!$C$27,P70)))),N70))</f>
        <v>5</v>
      </c>
      <c r="T70" s="35" t="str">
        <f aca="false">IF(F70="N/A","N/A",IF(S70="","Not assessed",INDEX(Config!$B$5:$B$9,S70)))</f>
        <v>High</v>
      </c>
      <c r="U70" s="7" t="str">
        <f aca="false">IF(P70=0,"None",IF(R70="Y","Applied","Pending HO approval"))</f>
        <v>None</v>
      </c>
      <c r="V70" s="8"/>
    </row>
    <row r="71" customFormat="false" ht="15" hidden="false" customHeight="false" outlineLevel="0" collapsed="false">
      <c r="A71" s="26" t="str">
        <f aca="false">Entities!$A$10</f>
        <v>PS</v>
      </c>
      <c r="B71" s="12" t="str">
        <f aca="false">INDEX(Entities!$B$5:$B$34,MATCH(A71,Entities!$A$5:$A$34,0))</f>
        <v>Arab Bank – Palestine</v>
      </c>
      <c r="C71" s="12" t="str">
        <f aca="false">INDEX(Entities!$D$5:$D$34,MATCH(A71,Entities!$A$5:$A$34,0))</f>
        <v>Levant</v>
      </c>
      <c r="D71" s="12" t="s">
        <v>288</v>
      </c>
      <c r="E71" s="12" t="str">
        <f aca="false">INDEX('Risk Taxonomy'!$B$5:$B$24,MATCH(D71,'Risk Taxonomy'!$A$5:$A$24,0))</f>
        <v>Conduct and consumer protection</v>
      </c>
      <c r="F71" s="7" t="str">
        <f aca="false">IF(D71="RC-04",IF(INDEX(Entities!$G$5:$G$34,MATCH(A71,Entities!$A$5:$A$34,0))="Y","Yes","N/A"),"Yes")</f>
        <v>Yes</v>
      </c>
      <c r="G71" s="24" t="n">
        <v>2</v>
      </c>
      <c r="H71" s="24" t="n">
        <v>3</v>
      </c>
      <c r="I71" s="24" t="n">
        <v>4</v>
      </c>
      <c r="J71" s="24" t="n">
        <v>4</v>
      </c>
      <c r="K71" s="24" t="n">
        <v>4</v>
      </c>
      <c r="L71" s="37" t="n">
        <f aca="false">IF(F71="N/A","",IF(COUNT(H71:K71)=0,"",IF(Config!$C$19="Highest dimension",MAX(H71:K71),ROUND(H71*Config!$C$20+I71*Config!$C$21+J71*Config!$C$22+K71*Config!$C$23,1))))</f>
        <v>4</v>
      </c>
      <c r="M71" s="38" t="n">
        <f aca="false">IF(OR(L71="",G71=""),"",G71*L71)</f>
        <v>8</v>
      </c>
      <c r="N71" s="31" t="n">
        <f aca="false">IF(M71="","",MATCH(M71,Config!$E$5:$E$9,1))</f>
        <v>2</v>
      </c>
      <c r="O71" s="7" t="str">
        <f aca="false">IF(F71="N/A","N/A",IF(N71="","Not assessed",INDEX(Config!$B$5:$B$9,N71)))</f>
        <v>Medium-Low</v>
      </c>
      <c r="P71" s="32" t="n">
        <v>0</v>
      </c>
      <c r="Q71" s="8"/>
      <c r="R71" s="33"/>
      <c r="S71" s="34" t="n">
        <f aca="false">IF(N71="","",IF(AND(R71="Y",P71&lt;&gt;0),MAX(1,MIN(5,N71+MAX(-Config!$C$27,MIN(Config!$C$27,P71)))),N71))</f>
        <v>2</v>
      </c>
      <c r="T71" s="35" t="str">
        <f aca="false">IF(F71="N/A","N/A",IF(S71="","Not assessed",INDEX(Config!$B$5:$B$9,S71)))</f>
        <v>Medium-Low</v>
      </c>
      <c r="U71" s="7" t="str">
        <f aca="false">IF(P71=0,"None",IF(R71="Y","Applied","Pending HO approval"))</f>
        <v>None</v>
      </c>
      <c r="V71" s="8"/>
    </row>
    <row r="72" customFormat="false" ht="15" hidden="false" customHeight="false" outlineLevel="0" collapsed="false">
      <c r="A72" s="26" t="str">
        <f aca="false">Entities!$A$10</f>
        <v>PS</v>
      </c>
      <c r="B72" s="12" t="str">
        <f aca="false">INDEX(Entities!$B$5:$B$34,MATCH(A72,Entities!$A$5:$A$34,0))</f>
        <v>Arab Bank – Palestine</v>
      </c>
      <c r="C72" s="12" t="str">
        <f aca="false">INDEX(Entities!$D$5:$D$34,MATCH(A72,Entities!$A$5:$A$34,0))</f>
        <v>Levant</v>
      </c>
      <c r="D72" s="12" t="s">
        <v>290</v>
      </c>
      <c r="E72" s="12" t="str">
        <f aca="false">INDEX('Risk Taxonomy'!$B$5:$B$24,MATCH(D72,'Risk Taxonomy'!$A$5:$A$24,0))</f>
        <v>Data protection and privacy</v>
      </c>
      <c r="F72" s="7" t="str">
        <f aca="false">IF(D72="RC-04",IF(INDEX(Entities!$G$5:$G$34,MATCH(A72,Entities!$A$5:$A$34,0))="Y","Yes","N/A"),"Yes")</f>
        <v>Yes</v>
      </c>
      <c r="G72" s="24" t="n">
        <v>4</v>
      </c>
      <c r="H72" s="24" t="n">
        <v>4</v>
      </c>
      <c r="I72" s="24" t="n">
        <v>4</v>
      </c>
      <c r="J72" s="24" t="n">
        <v>4</v>
      </c>
      <c r="K72" s="24" t="n">
        <v>4</v>
      </c>
      <c r="L72" s="37" t="n">
        <f aca="false">IF(F72="N/A","",IF(COUNT(H72:K72)=0,"",IF(Config!$C$19="Highest dimension",MAX(H72:K72),ROUND(H72*Config!$C$20+I72*Config!$C$21+J72*Config!$C$22+K72*Config!$C$23,1))))</f>
        <v>4</v>
      </c>
      <c r="M72" s="38" t="n">
        <f aca="false">IF(OR(L72="",G72=""),"",G72*L72)</f>
        <v>16</v>
      </c>
      <c r="N72" s="31" t="n">
        <f aca="false">IF(M72="","",MATCH(M72,Config!$E$5:$E$9,1))</f>
        <v>4</v>
      </c>
      <c r="O72" s="7" t="str">
        <f aca="false">IF(F72="N/A","N/A",IF(N72="","Not assessed",INDEX(Config!$B$5:$B$9,N72)))</f>
        <v>Medium-High</v>
      </c>
      <c r="P72" s="32" t="n">
        <v>0</v>
      </c>
      <c r="Q72" s="8"/>
      <c r="R72" s="33"/>
      <c r="S72" s="34" t="n">
        <f aca="false">IF(N72="","",IF(AND(R72="Y",P72&lt;&gt;0),MAX(1,MIN(5,N72+MAX(-Config!$C$27,MIN(Config!$C$27,P72)))),N72))</f>
        <v>4</v>
      </c>
      <c r="T72" s="35" t="str">
        <f aca="false">IF(F72="N/A","N/A",IF(S72="","Not assessed",INDEX(Config!$B$5:$B$9,S72)))</f>
        <v>Medium-High</v>
      </c>
      <c r="U72" s="7" t="str">
        <f aca="false">IF(P72=0,"None",IF(R72="Y","Applied","Pending HO approval"))</f>
        <v>None</v>
      </c>
      <c r="V72" s="8"/>
    </row>
    <row r="73" customFormat="false" ht="15" hidden="false" customHeight="false" outlineLevel="0" collapsed="false">
      <c r="A73" s="26" t="str">
        <f aca="false">Entities!$A$10</f>
        <v>PS</v>
      </c>
      <c r="B73" s="12" t="str">
        <f aca="false">INDEX(Entities!$B$5:$B$34,MATCH(A73,Entities!$A$5:$A$34,0))</f>
        <v>Arab Bank – Palestine</v>
      </c>
      <c r="C73" s="12" t="str">
        <f aca="false">INDEX(Entities!$D$5:$D$34,MATCH(A73,Entities!$A$5:$A$34,0))</f>
        <v>Levant</v>
      </c>
      <c r="D73" s="12" t="s">
        <v>293</v>
      </c>
      <c r="E73" s="12" t="str">
        <f aca="false">INDEX('Risk Taxonomy'!$B$5:$B$24,MATCH(D73,'Risk Taxonomy'!$A$5:$A$24,0))</f>
        <v>Shariah non-compliance</v>
      </c>
      <c r="F73" s="7" t="str">
        <f aca="false">IF(D73="RC-04",IF(INDEX(Entities!$G$5:$G$34,MATCH(A73,Entities!$A$5:$A$34,0))="Y","Yes","N/A"),"Yes")</f>
        <v>N/A</v>
      </c>
      <c r="G73" s="24"/>
      <c r="H73" s="24"/>
      <c r="I73" s="24"/>
      <c r="J73" s="24"/>
      <c r="K73" s="24"/>
      <c r="L73" s="37" t="str">
        <f aca="false">IF(F73="N/A","",IF(COUNT(H73:K73)=0,"",IF(Config!$C$19="Highest dimension",MAX(H73:K73),ROUND(H73*Config!$C$20+I73*Config!$C$21+J73*Config!$C$22+K73*Config!$C$23,1))))</f>
        <v/>
      </c>
      <c r="M73" s="38" t="str">
        <f aca="false">IF(OR(L73="",G73=""),"",G73*L73)</f>
        <v/>
      </c>
      <c r="N73" s="31" t="str">
        <f aca="false">IF(M73="","",MATCH(M73,Config!$E$5:$E$9,1))</f>
        <v/>
      </c>
      <c r="O73" s="7" t="str">
        <f aca="false">IF(F73="N/A","N/A",IF(N73="","Not assessed",INDEX(Config!$B$5:$B$9,N73)))</f>
        <v>N/A</v>
      </c>
      <c r="P73" s="32" t="n">
        <v>0</v>
      </c>
      <c r="Q73" s="8"/>
      <c r="R73" s="33"/>
      <c r="S73" s="34" t="str">
        <f aca="false">IF(N73="","",IF(AND(R73="Y",P73&lt;&gt;0),MAX(1,MIN(5,N73+MAX(-Config!$C$27,MIN(Config!$C$27,P73)))),N73))</f>
        <v/>
      </c>
      <c r="T73" s="35" t="str">
        <f aca="false">IF(F73="N/A","N/A",IF(S73="","Not assessed",INDEX(Config!$B$5:$B$9,S73)))</f>
        <v>N/A</v>
      </c>
      <c r="U73" s="7" t="str">
        <f aca="false">IF(P73=0,"None",IF(R73="Y","Applied","Pending HO approval"))</f>
        <v>None</v>
      </c>
      <c r="V73" s="8"/>
    </row>
    <row r="74" customFormat="false" ht="15" hidden="false" customHeight="false" outlineLevel="0" collapsed="false">
      <c r="A74" s="26" t="str">
        <f aca="false">Entities!$A$10</f>
        <v>PS</v>
      </c>
      <c r="B74" s="12" t="str">
        <f aca="false">INDEX(Entities!$B$5:$B$34,MATCH(A74,Entities!$A$5:$A$34,0))</f>
        <v>Arab Bank – Palestine</v>
      </c>
      <c r="C74" s="12" t="str">
        <f aca="false">INDEX(Entities!$D$5:$D$34,MATCH(A74,Entities!$A$5:$A$34,0))</f>
        <v>Levant</v>
      </c>
      <c r="D74" s="12" t="s">
        <v>297</v>
      </c>
      <c r="E74" s="12" t="str">
        <f aca="false">INDEX('Risk Taxonomy'!$B$5:$B$24,MATCH(D74,'Risk Taxonomy'!$A$5:$A$24,0))</f>
        <v>Credit risk</v>
      </c>
      <c r="F74" s="7" t="str">
        <f aca="false">IF(D74="RC-04",IF(INDEX(Entities!$G$5:$G$34,MATCH(A74,Entities!$A$5:$A$34,0))="Y","Yes","N/A"),"Yes")</f>
        <v>Yes</v>
      </c>
      <c r="G74" s="24" t="n">
        <v>5</v>
      </c>
      <c r="H74" s="24" t="n">
        <v>4</v>
      </c>
      <c r="I74" s="24" t="n">
        <v>3</v>
      </c>
      <c r="J74" s="24" t="n">
        <v>4</v>
      </c>
      <c r="K74" s="24" t="n">
        <v>3</v>
      </c>
      <c r="L74" s="37" t="n">
        <f aca="false">IF(F74="N/A","",IF(COUNT(H74:K74)=0,"",IF(Config!$C$19="Highest dimension",MAX(H74:K74),ROUND(H74*Config!$C$20+I74*Config!$C$21+J74*Config!$C$22+K74*Config!$C$23,1))))</f>
        <v>4</v>
      </c>
      <c r="M74" s="38" t="n">
        <f aca="false">IF(OR(L74="",G74=""),"",G74*L74)</f>
        <v>20</v>
      </c>
      <c r="N74" s="31" t="n">
        <f aca="false">IF(M74="","",MATCH(M74,Config!$E$5:$E$9,1))</f>
        <v>5</v>
      </c>
      <c r="O74" s="7" t="str">
        <f aca="false">IF(F74="N/A","N/A",IF(N74="","Not assessed",INDEX(Config!$B$5:$B$9,N74)))</f>
        <v>High</v>
      </c>
      <c r="P74" s="32" t="n">
        <v>0</v>
      </c>
      <c r="Q74" s="8"/>
      <c r="R74" s="33"/>
      <c r="S74" s="34" t="n">
        <f aca="false">IF(N74="","",IF(AND(R74="Y",P74&lt;&gt;0),MAX(1,MIN(5,N74+MAX(-Config!$C$27,MIN(Config!$C$27,P74)))),N74))</f>
        <v>5</v>
      </c>
      <c r="T74" s="35" t="str">
        <f aca="false">IF(F74="N/A","N/A",IF(S74="","Not assessed",INDEX(Config!$B$5:$B$9,S74)))</f>
        <v>High</v>
      </c>
      <c r="U74" s="7" t="str">
        <f aca="false">IF(P74=0,"None",IF(R74="Y","Applied","Pending HO approval"))</f>
        <v>None</v>
      </c>
      <c r="V74" s="8"/>
    </row>
    <row r="75" customFormat="false" ht="15" hidden="false" customHeight="false" outlineLevel="0" collapsed="false">
      <c r="A75" s="26" t="str">
        <f aca="false">Entities!$A$10</f>
        <v>PS</v>
      </c>
      <c r="B75" s="12" t="str">
        <f aca="false">INDEX(Entities!$B$5:$B$34,MATCH(A75,Entities!$A$5:$A$34,0))</f>
        <v>Arab Bank – Palestine</v>
      </c>
      <c r="C75" s="12" t="str">
        <f aca="false">INDEX(Entities!$D$5:$D$34,MATCH(A75,Entities!$A$5:$A$34,0))</f>
        <v>Levant</v>
      </c>
      <c r="D75" s="12" t="s">
        <v>302</v>
      </c>
      <c r="E75" s="12" t="str">
        <f aca="false">INDEX('Risk Taxonomy'!$B$5:$B$24,MATCH(D75,'Risk Taxonomy'!$A$5:$A$24,0))</f>
        <v>Market risk</v>
      </c>
      <c r="F75" s="7" t="str">
        <f aca="false">IF(D75="RC-04",IF(INDEX(Entities!$G$5:$G$34,MATCH(A75,Entities!$A$5:$A$34,0))="Y","Yes","N/A"),"Yes")</f>
        <v>Yes</v>
      </c>
      <c r="G75" s="24" t="n">
        <v>4</v>
      </c>
      <c r="H75" s="24" t="n">
        <v>3</v>
      </c>
      <c r="I75" s="24" t="n">
        <v>4</v>
      </c>
      <c r="J75" s="24" t="n">
        <v>4</v>
      </c>
      <c r="K75" s="24" t="n">
        <v>4</v>
      </c>
      <c r="L75" s="37" t="n">
        <f aca="false">IF(F75="N/A","",IF(COUNT(H75:K75)=0,"",IF(Config!$C$19="Highest dimension",MAX(H75:K75),ROUND(H75*Config!$C$20+I75*Config!$C$21+J75*Config!$C$22+K75*Config!$C$23,1))))</f>
        <v>4</v>
      </c>
      <c r="M75" s="38" t="n">
        <f aca="false">IF(OR(L75="",G75=""),"",G75*L75)</f>
        <v>16</v>
      </c>
      <c r="N75" s="31" t="n">
        <f aca="false">IF(M75="","",MATCH(M75,Config!$E$5:$E$9,1))</f>
        <v>4</v>
      </c>
      <c r="O75" s="7" t="str">
        <f aca="false">IF(F75="N/A","N/A",IF(N75="","Not assessed",INDEX(Config!$B$5:$B$9,N75)))</f>
        <v>Medium-High</v>
      </c>
      <c r="P75" s="32" t="n">
        <v>0</v>
      </c>
      <c r="Q75" s="8"/>
      <c r="R75" s="33"/>
      <c r="S75" s="34" t="n">
        <f aca="false">IF(N75="","",IF(AND(R75="Y",P75&lt;&gt;0),MAX(1,MIN(5,N75+MAX(-Config!$C$27,MIN(Config!$C$27,P75)))),N75))</f>
        <v>4</v>
      </c>
      <c r="T75" s="35" t="str">
        <f aca="false">IF(F75="N/A","N/A",IF(S75="","Not assessed",INDEX(Config!$B$5:$B$9,S75)))</f>
        <v>Medium-High</v>
      </c>
      <c r="U75" s="7" t="str">
        <f aca="false">IF(P75=0,"None",IF(R75="Y","Applied","Pending HO approval"))</f>
        <v>None</v>
      </c>
      <c r="V75" s="8"/>
    </row>
    <row r="76" customFormat="false" ht="15" hidden="false" customHeight="false" outlineLevel="0" collapsed="false">
      <c r="A76" s="26" t="str">
        <f aca="false">Entities!$A$10</f>
        <v>PS</v>
      </c>
      <c r="B76" s="12" t="str">
        <f aca="false">INDEX(Entities!$B$5:$B$34,MATCH(A76,Entities!$A$5:$A$34,0))</f>
        <v>Arab Bank – Palestine</v>
      </c>
      <c r="C76" s="12" t="str">
        <f aca="false">INDEX(Entities!$D$5:$D$34,MATCH(A76,Entities!$A$5:$A$34,0))</f>
        <v>Levant</v>
      </c>
      <c r="D76" s="12" t="s">
        <v>304</v>
      </c>
      <c r="E76" s="12" t="str">
        <f aca="false">INDEX('Risk Taxonomy'!$B$5:$B$24,MATCH(D76,'Risk Taxonomy'!$A$5:$A$24,0))</f>
        <v>Liquidity and funding risk</v>
      </c>
      <c r="F76" s="7" t="str">
        <f aca="false">IF(D76="RC-04",IF(INDEX(Entities!$G$5:$G$34,MATCH(A76,Entities!$A$5:$A$34,0))="Y","Yes","N/A"),"Yes")</f>
        <v>Yes</v>
      </c>
      <c r="G76" s="24" t="n">
        <v>4</v>
      </c>
      <c r="H76" s="24" t="n">
        <v>5</v>
      </c>
      <c r="I76" s="24" t="n">
        <v>4</v>
      </c>
      <c r="J76" s="24" t="n">
        <v>4</v>
      </c>
      <c r="K76" s="24" t="n">
        <v>4</v>
      </c>
      <c r="L76" s="37" t="n">
        <f aca="false">IF(F76="N/A","",IF(COUNT(H76:K76)=0,"",IF(Config!$C$19="Highest dimension",MAX(H76:K76),ROUND(H76*Config!$C$20+I76*Config!$C$21+J76*Config!$C$22+K76*Config!$C$23,1))))</f>
        <v>5</v>
      </c>
      <c r="M76" s="38" t="n">
        <f aca="false">IF(OR(L76="",G76=""),"",G76*L76)</f>
        <v>20</v>
      </c>
      <c r="N76" s="31" t="n">
        <f aca="false">IF(M76="","",MATCH(M76,Config!$E$5:$E$9,1))</f>
        <v>5</v>
      </c>
      <c r="O76" s="7" t="str">
        <f aca="false">IF(F76="N/A","N/A",IF(N76="","Not assessed",INDEX(Config!$B$5:$B$9,N76)))</f>
        <v>High</v>
      </c>
      <c r="P76" s="32" t="n">
        <v>0</v>
      </c>
      <c r="Q76" s="8"/>
      <c r="R76" s="33"/>
      <c r="S76" s="34" t="n">
        <f aca="false">IF(N76="","",IF(AND(R76="Y",P76&lt;&gt;0),MAX(1,MIN(5,N76+MAX(-Config!$C$27,MIN(Config!$C$27,P76)))),N76))</f>
        <v>5</v>
      </c>
      <c r="T76" s="35" t="str">
        <f aca="false">IF(F76="N/A","N/A",IF(S76="","Not assessed",INDEX(Config!$B$5:$B$9,S76)))</f>
        <v>High</v>
      </c>
      <c r="U76" s="7" t="str">
        <f aca="false">IF(P76=0,"None",IF(R76="Y","Applied","Pending HO approval"))</f>
        <v>None</v>
      </c>
      <c r="V76" s="8"/>
    </row>
    <row r="77" customFormat="false" ht="15" hidden="false" customHeight="false" outlineLevel="0" collapsed="false">
      <c r="A77" s="26" t="str">
        <f aca="false">Entities!$A$10</f>
        <v>PS</v>
      </c>
      <c r="B77" s="12" t="str">
        <f aca="false">INDEX(Entities!$B$5:$B$34,MATCH(A77,Entities!$A$5:$A$34,0))</f>
        <v>Arab Bank – Palestine</v>
      </c>
      <c r="C77" s="12" t="str">
        <f aca="false">INDEX(Entities!$D$5:$D$34,MATCH(A77,Entities!$A$5:$A$34,0))</f>
        <v>Levant</v>
      </c>
      <c r="D77" s="12" t="s">
        <v>307</v>
      </c>
      <c r="E77" s="12" t="str">
        <f aca="false">INDEX('Risk Taxonomy'!$B$5:$B$24,MATCH(D77,'Risk Taxonomy'!$A$5:$A$24,0))</f>
        <v>Operational risk</v>
      </c>
      <c r="F77" s="7" t="str">
        <f aca="false">IF(D77="RC-04",IF(INDEX(Entities!$G$5:$G$34,MATCH(A77,Entities!$A$5:$A$34,0))="Y","Yes","N/A"),"Yes")</f>
        <v>Yes</v>
      </c>
      <c r="G77" s="24" t="n">
        <v>4</v>
      </c>
      <c r="H77" s="24" t="n">
        <v>4</v>
      </c>
      <c r="I77" s="24" t="n">
        <v>3</v>
      </c>
      <c r="J77" s="24" t="n">
        <v>3</v>
      </c>
      <c r="K77" s="24" t="n">
        <v>3</v>
      </c>
      <c r="L77" s="37" t="n">
        <f aca="false">IF(F77="N/A","",IF(COUNT(H77:K77)=0,"",IF(Config!$C$19="Highest dimension",MAX(H77:K77),ROUND(H77*Config!$C$20+I77*Config!$C$21+J77*Config!$C$22+K77*Config!$C$23,1))))</f>
        <v>4</v>
      </c>
      <c r="M77" s="38" t="n">
        <f aca="false">IF(OR(L77="",G77=""),"",G77*L77)</f>
        <v>16</v>
      </c>
      <c r="N77" s="31" t="n">
        <f aca="false">IF(M77="","",MATCH(M77,Config!$E$5:$E$9,1))</f>
        <v>4</v>
      </c>
      <c r="O77" s="7" t="str">
        <f aca="false">IF(F77="N/A","N/A",IF(N77="","Not assessed",INDEX(Config!$B$5:$B$9,N77)))</f>
        <v>Medium-High</v>
      </c>
      <c r="P77" s="32" t="n">
        <v>0</v>
      </c>
      <c r="Q77" s="8"/>
      <c r="R77" s="33"/>
      <c r="S77" s="34" t="n">
        <f aca="false">IF(N77="","",IF(AND(R77="Y",P77&lt;&gt;0),MAX(1,MIN(5,N77+MAX(-Config!$C$27,MIN(Config!$C$27,P77)))),N77))</f>
        <v>4</v>
      </c>
      <c r="T77" s="35" t="str">
        <f aca="false">IF(F77="N/A","N/A",IF(S77="","Not assessed",INDEX(Config!$B$5:$B$9,S77)))</f>
        <v>Medium-High</v>
      </c>
      <c r="U77" s="7" t="str">
        <f aca="false">IF(P77=0,"None",IF(R77="Y","Applied","Pending HO approval"))</f>
        <v>None</v>
      </c>
      <c r="V77" s="8"/>
    </row>
    <row r="78" customFormat="false" ht="15" hidden="false" customHeight="false" outlineLevel="0" collapsed="false">
      <c r="A78" s="26" t="str">
        <f aca="false">Entities!$A$10</f>
        <v>PS</v>
      </c>
      <c r="B78" s="12" t="str">
        <f aca="false">INDEX(Entities!$B$5:$B$34,MATCH(A78,Entities!$A$5:$A$34,0))</f>
        <v>Arab Bank – Palestine</v>
      </c>
      <c r="C78" s="12" t="str">
        <f aca="false">INDEX(Entities!$D$5:$D$34,MATCH(A78,Entities!$A$5:$A$34,0))</f>
        <v>Levant</v>
      </c>
      <c r="D78" s="12" t="s">
        <v>310</v>
      </c>
      <c r="E78" s="12" t="str">
        <f aca="false">INDEX('Risk Taxonomy'!$B$5:$B$24,MATCH(D78,'Risk Taxonomy'!$A$5:$A$24,0))</f>
        <v>Cyber, information security and technology</v>
      </c>
      <c r="F78" s="7" t="str">
        <f aca="false">IF(D78="RC-04",IF(INDEX(Entities!$G$5:$G$34,MATCH(A78,Entities!$A$5:$A$34,0))="Y","Yes","N/A"),"Yes")</f>
        <v>Yes</v>
      </c>
      <c r="G78" s="24" t="n">
        <v>5</v>
      </c>
      <c r="H78" s="24" t="n">
        <v>4</v>
      </c>
      <c r="I78" s="24" t="n">
        <v>2</v>
      </c>
      <c r="J78" s="24" t="n">
        <v>4</v>
      </c>
      <c r="K78" s="24" t="n">
        <v>4</v>
      </c>
      <c r="L78" s="37" t="n">
        <f aca="false">IF(F78="N/A","",IF(COUNT(H78:K78)=0,"",IF(Config!$C$19="Highest dimension",MAX(H78:K78),ROUND(H78*Config!$C$20+I78*Config!$C$21+J78*Config!$C$22+K78*Config!$C$23,1))))</f>
        <v>4</v>
      </c>
      <c r="M78" s="38" t="n">
        <f aca="false">IF(OR(L78="",G78=""),"",G78*L78)</f>
        <v>20</v>
      </c>
      <c r="N78" s="31" t="n">
        <f aca="false">IF(M78="","",MATCH(M78,Config!$E$5:$E$9,1))</f>
        <v>5</v>
      </c>
      <c r="O78" s="7" t="str">
        <f aca="false">IF(F78="N/A","N/A",IF(N78="","Not assessed",INDEX(Config!$B$5:$B$9,N78)))</f>
        <v>High</v>
      </c>
      <c r="P78" s="32" t="n">
        <v>0</v>
      </c>
      <c r="Q78" s="8"/>
      <c r="R78" s="33"/>
      <c r="S78" s="34" t="n">
        <f aca="false">IF(N78="","",IF(AND(R78="Y",P78&lt;&gt;0),MAX(1,MIN(5,N78+MAX(-Config!$C$27,MIN(Config!$C$27,P78)))),N78))</f>
        <v>5</v>
      </c>
      <c r="T78" s="35" t="str">
        <f aca="false">IF(F78="N/A","N/A",IF(S78="","Not assessed",INDEX(Config!$B$5:$B$9,S78)))</f>
        <v>High</v>
      </c>
      <c r="U78" s="7" t="str">
        <f aca="false">IF(P78=0,"None",IF(R78="Y","Applied","Pending HO approval"))</f>
        <v>None</v>
      </c>
      <c r="V78" s="8"/>
    </row>
    <row r="79" customFormat="false" ht="15" hidden="false" customHeight="false" outlineLevel="0" collapsed="false">
      <c r="A79" s="26" t="str">
        <f aca="false">Entities!$A$10</f>
        <v>PS</v>
      </c>
      <c r="B79" s="12" t="str">
        <f aca="false">INDEX(Entities!$B$5:$B$34,MATCH(A79,Entities!$A$5:$A$34,0))</f>
        <v>Arab Bank – Palestine</v>
      </c>
      <c r="C79" s="12" t="str">
        <f aca="false">INDEX(Entities!$D$5:$D$34,MATCH(A79,Entities!$A$5:$A$34,0))</f>
        <v>Levant</v>
      </c>
      <c r="D79" s="12" t="s">
        <v>313</v>
      </c>
      <c r="E79" s="12" t="str">
        <f aca="false">INDEX('Risk Taxonomy'!$B$5:$B$24,MATCH(D79,'Risk Taxonomy'!$A$5:$A$24,0))</f>
        <v>Third-party and outsourcing</v>
      </c>
      <c r="F79" s="7" t="str">
        <f aca="false">IF(D79="RC-04",IF(INDEX(Entities!$G$5:$G$34,MATCH(A79,Entities!$A$5:$A$34,0))="Y","Yes","N/A"),"Yes")</f>
        <v>Yes</v>
      </c>
      <c r="G79" s="24" t="n">
        <v>4</v>
      </c>
      <c r="H79" s="24" t="n">
        <v>4</v>
      </c>
      <c r="I79" s="24" t="n">
        <v>1</v>
      </c>
      <c r="J79" s="24" t="n">
        <v>4</v>
      </c>
      <c r="K79" s="24" t="n">
        <v>4</v>
      </c>
      <c r="L79" s="37" t="n">
        <f aca="false">IF(F79="N/A","",IF(COUNT(H79:K79)=0,"",IF(Config!$C$19="Highest dimension",MAX(H79:K79),ROUND(H79*Config!$C$20+I79*Config!$C$21+J79*Config!$C$22+K79*Config!$C$23,1))))</f>
        <v>4</v>
      </c>
      <c r="M79" s="38" t="n">
        <f aca="false">IF(OR(L79="",G79=""),"",G79*L79)</f>
        <v>16</v>
      </c>
      <c r="N79" s="31" t="n">
        <f aca="false">IF(M79="","",MATCH(M79,Config!$E$5:$E$9,1))</f>
        <v>4</v>
      </c>
      <c r="O79" s="7" t="str">
        <f aca="false">IF(F79="N/A","N/A",IF(N79="","Not assessed",INDEX(Config!$B$5:$B$9,N79)))</f>
        <v>Medium-High</v>
      </c>
      <c r="P79" s="32" t="n">
        <v>0</v>
      </c>
      <c r="Q79" s="8"/>
      <c r="R79" s="33"/>
      <c r="S79" s="34" t="n">
        <f aca="false">IF(N79="","",IF(AND(R79="Y",P79&lt;&gt;0),MAX(1,MIN(5,N79+MAX(-Config!$C$27,MIN(Config!$C$27,P79)))),N79))</f>
        <v>4</v>
      </c>
      <c r="T79" s="35" t="str">
        <f aca="false">IF(F79="N/A","N/A",IF(S79="","Not assessed",INDEX(Config!$B$5:$B$9,S79)))</f>
        <v>Medium-High</v>
      </c>
      <c r="U79" s="7" t="str">
        <f aca="false">IF(P79=0,"None",IF(R79="Y","Applied","Pending HO approval"))</f>
        <v>None</v>
      </c>
      <c r="V79" s="8"/>
    </row>
    <row r="80" customFormat="false" ht="15" hidden="false" customHeight="false" outlineLevel="0" collapsed="false">
      <c r="A80" s="26" t="str">
        <f aca="false">Entities!$A$10</f>
        <v>PS</v>
      </c>
      <c r="B80" s="12" t="str">
        <f aca="false">INDEX(Entities!$B$5:$B$34,MATCH(A80,Entities!$A$5:$A$34,0))</f>
        <v>Arab Bank – Palestine</v>
      </c>
      <c r="C80" s="12" t="str">
        <f aca="false">INDEX(Entities!$D$5:$D$34,MATCH(A80,Entities!$A$5:$A$34,0))</f>
        <v>Levant</v>
      </c>
      <c r="D80" s="12" t="s">
        <v>316</v>
      </c>
      <c r="E80" s="12" t="str">
        <f aca="false">INDEX('Risk Taxonomy'!$B$5:$B$24,MATCH(D80,'Risk Taxonomy'!$A$5:$A$24,0))</f>
        <v>Legal and litigation</v>
      </c>
      <c r="F80" s="7" t="str">
        <f aca="false">IF(D80="RC-04",IF(INDEX(Entities!$G$5:$G$34,MATCH(A80,Entities!$A$5:$A$34,0))="Y","Yes","N/A"),"Yes")</f>
        <v>Yes</v>
      </c>
      <c r="G80" s="24" t="n">
        <v>4</v>
      </c>
      <c r="H80" s="24" t="n">
        <v>4</v>
      </c>
      <c r="I80" s="24" t="n">
        <v>4</v>
      </c>
      <c r="J80" s="24" t="n">
        <v>5</v>
      </c>
      <c r="K80" s="24" t="n">
        <v>3</v>
      </c>
      <c r="L80" s="37" t="n">
        <f aca="false">IF(F80="N/A","",IF(COUNT(H80:K80)=0,"",IF(Config!$C$19="Highest dimension",MAX(H80:K80),ROUND(H80*Config!$C$20+I80*Config!$C$21+J80*Config!$C$22+K80*Config!$C$23,1))))</f>
        <v>5</v>
      </c>
      <c r="M80" s="38" t="n">
        <f aca="false">IF(OR(L80="",G80=""),"",G80*L80)</f>
        <v>20</v>
      </c>
      <c r="N80" s="31" t="n">
        <f aca="false">IF(M80="","",MATCH(M80,Config!$E$5:$E$9,1))</f>
        <v>5</v>
      </c>
      <c r="O80" s="7" t="str">
        <f aca="false">IF(F80="N/A","N/A",IF(N80="","Not assessed",INDEX(Config!$B$5:$B$9,N80)))</f>
        <v>High</v>
      </c>
      <c r="P80" s="32" t="n">
        <v>0</v>
      </c>
      <c r="Q80" s="8"/>
      <c r="R80" s="33"/>
      <c r="S80" s="34" t="n">
        <f aca="false">IF(N80="","",IF(AND(R80="Y",P80&lt;&gt;0),MAX(1,MIN(5,N80+MAX(-Config!$C$27,MIN(Config!$C$27,P80)))),N80))</f>
        <v>5</v>
      </c>
      <c r="T80" s="35" t="str">
        <f aca="false">IF(F80="N/A","N/A",IF(S80="","Not assessed",INDEX(Config!$B$5:$B$9,S80)))</f>
        <v>High</v>
      </c>
      <c r="U80" s="7" t="str">
        <f aca="false">IF(P80=0,"None",IF(R80="Y","Applied","Pending HO approval"))</f>
        <v>None</v>
      </c>
      <c r="V80" s="8"/>
    </row>
    <row r="81" customFormat="false" ht="15" hidden="false" customHeight="false" outlineLevel="0" collapsed="false">
      <c r="A81" s="26" t="str">
        <f aca="false">Entities!$A$10</f>
        <v>PS</v>
      </c>
      <c r="B81" s="12" t="str">
        <f aca="false">INDEX(Entities!$B$5:$B$34,MATCH(A81,Entities!$A$5:$A$34,0))</f>
        <v>Arab Bank – Palestine</v>
      </c>
      <c r="C81" s="12" t="str">
        <f aca="false">INDEX(Entities!$D$5:$D$34,MATCH(A81,Entities!$A$5:$A$34,0))</f>
        <v>Levant</v>
      </c>
      <c r="D81" s="12" t="s">
        <v>319</v>
      </c>
      <c r="E81" s="12" t="str">
        <f aca="false">INDEX('Risk Taxonomy'!$B$5:$B$24,MATCH(D81,'Risk Taxonomy'!$A$5:$A$24,0))</f>
        <v>Reputational</v>
      </c>
      <c r="F81" s="7" t="str">
        <f aca="false">IF(D81="RC-04",IF(INDEX(Entities!$G$5:$G$34,MATCH(A81,Entities!$A$5:$A$34,0))="Y","Yes","N/A"),"Yes")</f>
        <v>Yes</v>
      </c>
      <c r="G81" s="24" t="n">
        <v>4</v>
      </c>
      <c r="H81" s="24" t="n">
        <v>2</v>
      </c>
      <c r="I81" s="24" t="n">
        <v>4</v>
      </c>
      <c r="J81" s="24" t="n">
        <v>3</v>
      </c>
      <c r="K81" s="24" t="n">
        <v>3</v>
      </c>
      <c r="L81" s="37" t="n">
        <f aca="false">IF(F81="N/A","",IF(COUNT(H81:K81)=0,"",IF(Config!$C$19="Highest dimension",MAX(H81:K81),ROUND(H81*Config!$C$20+I81*Config!$C$21+J81*Config!$C$22+K81*Config!$C$23,1))))</f>
        <v>4</v>
      </c>
      <c r="M81" s="38" t="n">
        <f aca="false">IF(OR(L81="",G81=""),"",G81*L81)</f>
        <v>16</v>
      </c>
      <c r="N81" s="31" t="n">
        <f aca="false">IF(M81="","",MATCH(M81,Config!$E$5:$E$9,1))</f>
        <v>4</v>
      </c>
      <c r="O81" s="7" t="str">
        <f aca="false">IF(F81="N/A","N/A",IF(N81="","Not assessed",INDEX(Config!$B$5:$B$9,N81)))</f>
        <v>Medium-High</v>
      </c>
      <c r="P81" s="32" t="n">
        <v>0</v>
      </c>
      <c r="Q81" s="8"/>
      <c r="R81" s="33"/>
      <c r="S81" s="34" t="n">
        <f aca="false">IF(N81="","",IF(AND(R81="Y",P81&lt;&gt;0),MAX(1,MIN(5,N81+MAX(-Config!$C$27,MIN(Config!$C$27,P81)))),N81))</f>
        <v>4</v>
      </c>
      <c r="T81" s="35" t="str">
        <f aca="false">IF(F81="N/A","N/A",IF(S81="","Not assessed",INDEX(Config!$B$5:$B$9,S81)))</f>
        <v>Medium-High</v>
      </c>
      <c r="U81" s="7" t="str">
        <f aca="false">IF(P81=0,"None",IF(R81="Y","Applied","Pending HO approval"))</f>
        <v>None</v>
      </c>
      <c r="V81" s="8"/>
    </row>
    <row r="82" customFormat="false" ht="15" hidden="false" customHeight="false" outlineLevel="0" collapsed="false">
      <c r="A82" s="26" t="str">
        <f aca="false">Entities!$A$10</f>
        <v>PS</v>
      </c>
      <c r="B82" s="12" t="str">
        <f aca="false">INDEX(Entities!$B$5:$B$34,MATCH(A82,Entities!$A$5:$A$34,0))</f>
        <v>Arab Bank – Palestine</v>
      </c>
      <c r="C82" s="12" t="str">
        <f aca="false">INDEX(Entities!$D$5:$D$34,MATCH(A82,Entities!$A$5:$A$34,0))</f>
        <v>Levant</v>
      </c>
      <c r="D82" s="12" t="s">
        <v>322</v>
      </c>
      <c r="E82" s="12" t="str">
        <f aca="false">INDEX('Risk Taxonomy'!$B$5:$B$24,MATCH(D82,'Risk Taxonomy'!$A$5:$A$24,0))</f>
        <v>Strategic, business model and ESG</v>
      </c>
      <c r="F82" s="7" t="str">
        <f aca="false">IF(D82="RC-04",IF(INDEX(Entities!$G$5:$G$34,MATCH(A82,Entities!$A$5:$A$34,0))="Y","Yes","N/A"),"Yes")</f>
        <v>Yes</v>
      </c>
      <c r="G82" s="24" t="n">
        <v>5</v>
      </c>
      <c r="H82" s="24" t="n">
        <v>5</v>
      </c>
      <c r="I82" s="24" t="n">
        <v>4</v>
      </c>
      <c r="J82" s="24" t="n">
        <v>4</v>
      </c>
      <c r="K82" s="24" t="n">
        <v>4</v>
      </c>
      <c r="L82" s="37" t="n">
        <f aca="false">IF(F82="N/A","",IF(COUNT(H82:K82)=0,"",IF(Config!$C$19="Highest dimension",MAX(H82:K82),ROUND(H82*Config!$C$20+I82*Config!$C$21+J82*Config!$C$22+K82*Config!$C$23,1))))</f>
        <v>5</v>
      </c>
      <c r="M82" s="38" t="n">
        <f aca="false">IF(OR(L82="",G82=""),"",G82*L82)</f>
        <v>25</v>
      </c>
      <c r="N82" s="31" t="n">
        <f aca="false">IF(M82="","",MATCH(M82,Config!$E$5:$E$9,1))</f>
        <v>5</v>
      </c>
      <c r="O82" s="7" t="str">
        <f aca="false">IF(F82="N/A","N/A",IF(N82="","Not assessed",INDEX(Config!$B$5:$B$9,N82)))</f>
        <v>High</v>
      </c>
      <c r="P82" s="32" t="n">
        <v>0</v>
      </c>
      <c r="Q82" s="8"/>
      <c r="R82" s="33"/>
      <c r="S82" s="34" t="n">
        <f aca="false">IF(N82="","",IF(AND(R82="Y",P82&lt;&gt;0),MAX(1,MIN(5,N82+MAX(-Config!$C$27,MIN(Config!$C$27,P82)))),N82))</f>
        <v>5</v>
      </c>
      <c r="T82" s="35" t="str">
        <f aca="false">IF(F82="N/A","N/A",IF(S82="","Not assessed",INDEX(Config!$B$5:$B$9,S82)))</f>
        <v>High</v>
      </c>
      <c r="U82" s="7" t="str">
        <f aca="false">IF(P82=0,"None",IF(R82="Y","Applied","Pending HO approval"))</f>
        <v>None</v>
      </c>
      <c r="V82" s="8"/>
    </row>
    <row r="83" customFormat="false" ht="15" hidden="false" customHeight="false" outlineLevel="0" collapsed="false">
      <c r="A83" s="26" t="str">
        <f aca="false">Entities!$A$11</f>
        <v>PS-INV</v>
      </c>
      <c r="B83" s="12" t="str">
        <f aca="false">INDEX(Entities!$B$5:$B$34,MATCH(A83,Entities!$A$5:$A$34,0))</f>
        <v>Al-Arabi Investment Group – Palestine</v>
      </c>
      <c r="C83" s="12" t="str">
        <f aca="false">INDEX(Entities!$D$5:$D$34,MATCH(A83,Entities!$A$5:$A$34,0))</f>
        <v>Levant</v>
      </c>
      <c r="D83" s="12" t="s">
        <v>284</v>
      </c>
      <c r="E83" s="12" t="str">
        <f aca="false">INDEX('Risk Taxonomy'!$B$5:$B$24,MATCH(D83,'Risk Taxonomy'!$A$5:$A$24,0))</f>
        <v>Regulatory compliance</v>
      </c>
      <c r="F83" s="7" t="str">
        <f aca="false">IF(D83="RC-04",IF(INDEX(Entities!$G$5:$G$34,MATCH(A83,Entities!$A$5:$A$34,0))="Y","Yes","N/A"),"Yes")</f>
        <v>Yes</v>
      </c>
      <c r="G83" s="24" t="n">
        <v>5</v>
      </c>
      <c r="H83" s="24" t="n">
        <v>2</v>
      </c>
      <c r="I83" s="24" t="n">
        <v>5</v>
      </c>
      <c r="J83" s="24" t="n">
        <v>5</v>
      </c>
      <c r="K83" s="24" t="n">
        <v>3</v>
      </c>
      <c r="L83" s="37" t="n">
        <f aca="false">IF(F83="N/A","",IF(COUNT(H83:K83)=0,"",IF(Config!$C$19="Highest dimension",MAX(H83:K83),ROUND(H83*Config!$C$20+I83*Config!$C$21+J83*Config!$C$22+K83*Config!$C$23,1))))</f>
        <v>5</v>
      </c>
      <c r="M83" s="38" t="n">
        <f aca="false">IF(OR(L83="",G83=""),"",G83*L83)</f>
        <v>25</v>
      </c>
      <c r="N83" s="31" t="n">
        <f aca="false">IF(M83="","",MATCH(M83,Config!$E$5:$E$9,1))</f>
        <v>5</v>
      </c>
      <c r="O83" s="7" t="str">
        <f aca="false">IF(F83="N/A","N/A",IF(N83="","Not assessed",INDEX(Config!$B$5:$B$9,N83)))</f>
        <v>High</v>
      </c>
      <c r="P83" s="32" t="n">
        <v>0</v>
      </c>
      <c r="Q83" s="8"/>
      <c r="R83" s="33"/>
      <c r="S83" s="34" t="n">
        <f aca="false">IF(N83="","",IF(AND(R83="Y",P83&lt;&gt;0),MAX(1,MIN(5,N83+MAX(-Config!$C$27,MIN(Config!$C$27,P83)))),N83))</f>
        <v>5</v>
      </c>
      <c r="T83" s="35" t="str">
        <f aca="false">IF(F83="N/A","N/A",IF(S83="","Not assessed",INDEX(Config!$B$5:$B$9,S83)))</f>
        <v>High</v>
      </c>
      <c r="U83" s="7" t="str">
        <f aca="false">IF(P83=0,"None",IF(R83="Y","Applied","Pending HO approval"))</f>
        <v>None</v>
      </c>
      <c r="V83" s="8"/>
    </row>
    <row r="84" customFormat="false" ht="15" hidden="false" customHeight="false" outlineLevel="0" collapsed="false">
      <c r="A84" s="26" t="str">
        <f aca="false">Entities!$A$11</f>
        <v>PS-INV</v>
      </c>
      <c r="B84" s="12" t="str">
        <f aca="false">INDEX(Entities!$B$5:$B$34,MATCH(A84,Entities!$A$5:$A$34,0))</f>
        <v>Al-Arabi Investment Group – Palestine</v>
      </c>
      <c r="C84" s="12" t="str">
        <f aca="false">INDEX(Entities!$D$5:$D$34,MATCH(A84,Entities!$A$5:$A$34,0))</f>
        <v>Levant</v>
      </c>
      <c r="D84" s="12" t="s">
        <v>288</v>
      </c>
      <c r="E84" s="12" t="str">
        <f aca="false">INDEX('Risk Taxonomy'!$B$5:$B$24,MATCH(D84,'Risk Taxonomy'!$A$5:$A$24,0))</f>
        <v>Conduct and consumer protection</v>
      </c>
      <c r="F84" s="7" t="str">
        <f aca="false">IF(D84="RC-04",IF(INDEX(Entities!$G$5:$G$34,MATCH(A84,Entities!$A$5:$A$34,0))="Y","Yes","N/A"),"Yes")</f>
        <v>Yes</v>
      </c>
      <c r="G84" s="24" t="n">
        <v>5</v>
      </c>
      <c r="H84" s="24" t="n">
        <v>3</v>
      </c>
      <c r="I84" s="24" t="n">
        <v>4</v>
      </c>
      <c r="J84" s="24" t="n">
        <v>4</v>
      </c>
      <c r="K84" s="24" t="n">
        <v>3</v>
      </c>
      <c r="L84" s="37" t="n">
        <f aca="false">IF(F84="N/A","",IF(COUNT(H84:K84)=0,"",IF(Config!$C$19="Highest dimension",MAX(H84:K84),ROUND(H84*Config!$C$20+I84*Config!$C$21+J84*Config!$C$22+K84*Config!$C$23,1))))</f>
        <v>4</v>
      </c>
      <c r="M84" s="38" t="n">
        <f aca="false">IF(OR(L84="",G84=""),"",G84*L84)</f>
        <v>20</v>
      </c>
      <c r="N84" s="31" t="n">
        <f aca="false">IF(M84="","",MATCH(M84,Config!$E$5:$E$9,1))</f>
        <v>5</v>
      </c>
      <c r="O84" s="7" t="str">
        <f aca="false">IF(F84="N/A","N/A",IF(N84="","Not assessed",INDEX(Config!$B$5:$B$9,N84)))</f>
        <v>High</v>
      </c>
      <c r="P84" s="32" t="n">
        <v>0</v>
      </c>
      <c r="Q84" s="8"/>
      <c r="R84" s="33"/>
      <c r="S84" s="34" t="n">
        <f aca="false">IF(N84="","",IF(AND(R84="Y",P84&lt;&gt;0),MAX(1,MIN(5,N84+MAX(-Config!$C$27,MIN(Config!$C$27,P84)))),N84))</f>
        <v>5</v>
      </c>
      <c r="T84" s="35" t="str">
        <f aca="false">IF(F84="N/A","N/A",IF(S84="","Not assessed",INDEX(Config!$B$5:$B$9,S84)))</f>
        <v>High</v>
      </c>
      <c r="U84" s="7" t="str">
        <f aca="false">IF(P84=0,"None",IF(R84="Y","Applied","Pending HO approval"))</f>
        <v>None</v>
      </c>
      <c r="V84" s="8"/>
    </row>
    <row r="85" customFormat="false" ht="15" hidden="false" customHeight="false" outlineLevel="0" collapsed="false">
      <c r="A85" s="26" t="str">
        <f aca="false">Entities!$A$11</f>
        <v>PS-INV</v>
      </c>
      <c r="B85" s="12" t="str">
        <f aca="false">INDEX(Entities!$B$5:$B$34,MATCH(A85,Entities!$A$5:$A$34,0))</f>
        <v>Al-Arabi Investment Group – Palestine</v>
      </c>
      <c r="C85" s="12" t="str">
        <f aca="false">INDEX(Entities!$D$5:$D$34,MATCH(A85,Entities!$A$5:$A$34,0))</f>
        <v>Levant</v>
      </c>
      <c r="D85" s="12" t="s">
        <v>290</v>
      </c>
      <c r="E85" s="12" t="str">
        <f aca="false">INDEX('Risk Taxonomy'!$B$5:$B$24,MATCH(D85,'Risk Taxonomy'!$A$5:$A$24,0))</f>
        <v>Data protection and privacy</v>
      </c>
      <c r="F85" s="7" t="str">
        <f aca="false">IF(D85="RC-04",IF(INDEX(Entities!$G$5:$G$34,MATCH(A85,Entities!$A$5:$A$34,0))="Y","Yes","N/A"),"Yes")</f>
        <v>Yes</v>
      </c>
      <c r="G85" s="24" t="n">
        <v>4</v>
      </c>
      <c r="H85" s="24" t="n">
        <v>4</v>
      </c>
      <c r="I85" s="24" t="n">
        <v>4</v>
      </c>
      <c r="J85" s="24" t="n">
        <v>4</v>
      </c>
      <c r="K85" s="24" t="n">
        <v>4</v>
      </c>
      <c r="L85" s="37" t="n">
        <f aca="false">IF(F85="N/A","",IF(COUNT(H85:K85)=0,"",IF(Config!$C$19="Highest dimension",MAX(H85:K85),ROUND(H85*Config!$C$20+I85*Config!$C$21+J85*Config!$C$22+K85*Config!$C$23,1))))</f>
        <v>4</v>
      </c>
      <c r="M85" s="38" t="n">
        <f aca="false">IF(OR(L85="",G85=""),"",G85*L85)</f>
        <v>16</v>
      </c>
      <c r="N85" s="31" t="n">
        <f aca="false">IF(M85="","",MATCH(M85,Config!$E$5:$E$9,1))</f>
        <v>4</v>
      </c>
      <c r="O85" s="7" t="str">
        <f aca="false">IF(F85="N/A","N/A",IF(N85="","Not assessed",INDEX(Config!$B$5:$B$9,N85)))</f>
        <v>Medium-High</v>
      </c>
      <c r="P85" s="32" t="n">
        <v>0</v>
      </c>
      <c r="Q85" s="8"/>
      <c r="R85" s="33"/>
      <c r="S85" s="34" t="n">
        <f aca="false">IF(N85="","",IF(AND(R85="Y",P85&lt;&gt;0),MAX(1,MIN(5,N85+MAX(-Config!$C$27,MIN(Config!$C$27,P85)))),N85))</f>
        <v>4</v>
      </c>
      <c r="T85" s="35" t="str">
        <f aca="false">IF(F85="N/A","N/A",IF(S85="","Not assessed",INDEX(Config!$B$5:$B$9,S85)))</f>
        <v>Medium-High</v>
      </c>
      <c r="U85" s="7" t="str">
        <f aca="false">IF(P85=0,"None",IF(R85="Y","Applied","Pending HO approval"))</f>
        <v>None</v>
      </c>
      <c r="V85" s="8"/>
    </row>
    <row r="86" customFormat="false" ht="15" hidden="false" customHeight="false" outlineLevel="0" collapsed="false">
      <c r="A86" s="26" t="str">
        <f aca="false">Entities!$A$11</f>
        <v>PS-INV</v>
      </c>
      <c r="B86" s="12" t="str">
        <f aca="false">INDEX(Entities!$B$5:$B$34,MATCH(A86,Entities!$A$5:$A$34,0))</f>
        <v>Al-Arabi Investment Group – Palestine</v>
      </c>
      <c r="C86" s="12" t="str">
        <f aca="false">INDEX(Entities!$D$5:$D$34,MATCH(A86,Entities!$A$5:$A$34,0))</f>
        <v>Levant</v>
      </c>
      <c r="D86" s="12" t="s">
        <v>293</v>
      </c>
      <c r="E86" s="12" t="str">
        <f aca="false">INDEX('Risk Taxonomy'!$B$5:$B$24,MATCH(D86,'Risk Taxonomy'!$A$5:$A$24,0))</f>
        <v>Shariah non-compliance</v>
      </c>
      <c r="F86" s="7" t="str">
        <f aca="false">IF(D86="RC-04",IF(INDEX(Entities!$G$5:$G$34,MATCH(A86,Entities!$A$5:$A$34,0))="Y","Yes","N/A"),"Yes")</f>
        <v>N/A</v>
      </c>
      <c r="G86" s="24"/>
      <c r="H86" s="24"/>
      <c r="I86" s="24"/>
      <c r="J86" s="24"/>
      <c r="K86" s="24"/>
      <c r="L86" s="37" t="str">
        <f aca="false">IF(F86="N/A","",IF(COUNT(H86:K86)=0,"",IF(Config!$C$19="Highest dimension",MAX(H86:K86),ROUND(H86*Config!$C$20+I86*Config!$C$21+J86*Config!$C$22+K86*Config!$C$23,1))))</f>
        <v/>
      </c>
      <c r="M86" s="38" t="str">
        <f aca="false">IF(OR(L86="",G86=""),"",G86*L86)</f>
        <v/>
      </c>
      <c r="N86" s="31" t="str">
        <f aca="false">IF(M86="","",MATCH(M86,Config!$E$5:$E$9,1))</f>
        <v/>
      </c>
      <c r="O86" s="7" t="str">
        <f aca="false">IF(F86="N/A","N/A",IF(N86="","Not assessed",INDEX(Config!$B$5:$B$9,N86)))</f>
        <v>N/A</v>
      </c>
      <c r="P86" s="32" t="n">
        <v>0</v>
      </c>
      <c r="Q86" s="8"/>
      <c r="R86" s="33"/>
      <c r="S86" s="34" t="str">
        <f aca="false">IF(N86="","",IF(AND(R86="Y",P86&lt;&gt;0),MAX(1,MIN(5,N86+MAX(-Config!$C$27,MIN(Config!$C$27,P86)))),N86))</f>
        <v/>
      </c>
      <c r="T86" s="35" t="str">
        <f aca="false">IF(F86="N/A","N/A",IF(S86="","Not assessed",INDEX(Config!$B$5:$B$9,S86)))</f>
        <v>N/A</v>
      </c>
      <c r="U86" s="7" t="str">
        <f aca="false">IF(P86=0,"None",IF(R86="Y","Applied","Pending HO approval"))</f>
        <v>None</v>
      </c>
      <c r="V86" s="8"/>
    </row>
    <row r="87" customFormat="false" ht="15" hidden="false" customHeight="false" outlineLevel="0" collapsed="false">
      <c r="A87" s="26" t="str">
        <f aca="false">Entities!$A$11</f>
        <v>PS-INV</v>
      </c>
      <c r="B87" s="12" t="str">
        <f aca="false">INDEX(Entities!$B$5:$B$34,MATCH(A87,Entities!$A$5:$A$34,0))</f>
        <v>Al-Arabi Investment Group – Palestine</v>
      </c>
      <c r="C87" s="12" t="str">
        <f aca="false">INDEX(Entities!$D$5:$D$34,MATCH(A87,Entities!$A$5:$A$34,0))</f>
        <v>Levant</v>
      </c>
      <c r="D87" s="12" t="s">
        <v>297</v>
      </c>
      <c r="E87" s="12" t="str">
        <f aca="false">INDEX('Risk Taxonomy'!$B$5:$B$24,MATCH(D87,'Risk Taxonomy'!$A$5:$A$24,0))</f>
        <v>Credit risk</v>
      </c>
      <c r="F87" s="7" t="str">
        <f aca="false">IF(D87="RC-04",IF(INDEX(Entities!$G$5:$G$34,MATCH(A87,Entities!$A$5:$A$34,0))="Y","Yes","N/A"),"Yes")</f>
        <v>Yes</v>
      </c>
      <c r="G87" s="24" t="n">
        <v>5</v>
      </c>
      <c r="H87" s="24" t="n">
        <v>3</v>
      </c>
      <c r="I87" s="24" t="n">
        <v>3</v>
      </c>
      <c r="J87" s="24" t="n">
        <v>4</v>
      </c>
      <c r="K87" s="24" t="n">
        <v>5</v>
      </c>
      <c r="L87" s="37" t="n">
        <f aca="false">IF(F87="N/A","",IF(COUNT(H87:K87)=0,"",IF(Config!$C$19="Highest dimension",MAX(H87:K87),ROUND(H87*Config!$C$20+I87*Config!$C$21+J87*Config!$C$22+K87*Config!$C$23,1))))</f>
        <v>5</v>
      </c>
      <c r="M87" s="38" t="n">
        <f aca="false">IF(OR(L87="",G87=""),"",G87*L87)</f>
        <v>25</v>
      </c>
      <c r="N87" s="31" t="n">
        <f aca="false">IF(M87="","",MATCH(M87,Config!$E$5:$E$9,1))</f>
        <v>5</v>
      </c>
      <c r="O87" s="7" t="str">
        <f aca="false">IF(F87="N/A","N/A",IF(N87="","Not assessed",INDEX(Config!$B$5:$B$9,N87)))</f>
        <v>High</v>
      </c>
      <c r="P87" s="32" t="n">
        <v>0</v>
      </c>
      <c r="Q87" s="8"/>
      <c r="R87" s="33"/>
      <c r="S87" s="34" t="n">
        <f aca="false">IF(N87="","",IF(AND(R87="Y",P87&lt;&gt;0),MAX(1,MIN(5,N87+MAX(-Config!$C$27,MIN(Config!$C$27,P87)))),N87))</f>
        <v>5</v>
      </c>
      <c r="T87" s="35" t="str">
        <f aca="false">IF(F87="N/A","N/A",IF(S87="","Not assessed",INDEX(Config!$B$5:$B$9,S87)))</f>
        <v>High</v>
      </c>
      <c r="U87" s="7" t="str">
        <f aca="false">IF(P87=0,"None",IF(R87="Y","Applied","Pending HO approval"))</f>
        <v>None</v>
      </c>
      <c r="V87" s="8"/>
    </row>
    <row r="88" customFormat="false" ht="15" hidden="false" customHeight="false" outlineLevel="0" collapsed="false">
      <c r="A88" s="26" t="str">
        <f aca="false">Entities!$A$11</f>
        <v>PS-INV</v>
      </c>
      <c r="B88" s="12" t="str">
        <f aca="false">INDEX(Entities!$B$5:$B$34,MATCH(A88,Entities!$A$5:$A$34,0))</f>
        <v>Al-Arabi Investment Group – Palestine</v>
      </c>
      <c r="C88" s="12" t="str">
        <f aca="false">INDEX(Entities!$D$5:$D$34,MATCH(A88,Entities!$A$5:$A$34,0))</f>
        <v>Levant</v>
      </c>
      <c r="D88" s="12" t="s">
        <v>302</v>
      </c>
      <c r="E88" s="12" t="str">
        <f aca="false">INDEX('Risk Taxonomy'!$B$5:$B$24,MATCH(D88,'Risk Taxonomy'!$A$5:$A$24,0))</f>
        <v>Market risk</v>
      </c>
      <c r="F88" s="7" t="str">
        <f aca="false">IF(D88="RC-04",IF(INDEX(Entities!$G$5:$G$34,MATCH(A88,Entities!$A$5:$A$34,0))="Y","Yes","N/A"),"Yes")</f>
        <v>Yes</v>
      </c>
      <c r="G88" s="24" t="n">
        <v>3</v>
      </c>
      <c r="H88" s="24" t="n">
        <v>5</v>
      </c>
      <c r="I88" s="24" t="n">
        <v>2</v>
      </c>
      <c r="J88" s="24" t="n">
        <v>4</v>
      </c>
      <c r="K88" s="24" t="n">
        <v>3</v>
      </c>
      <c r="L88" s="37" t="n">
        <f aca="false">IF(F88="N/A","",IF(COUNT(H88:K88)=0,"",IF(Config!$C$19="Highest dimension",MAX(H88:K88),ROUND(H88*Config!$C$20+I88*Config!$C$21+J88*Config!$C$22+K88*Config!$C$23,1))))</f>
        <v>5</v>
      </c>
      <c r="M88" s="38" t="n">
        <f aca="false">IF(OR(L88="",G88=""),"",G88*L88)</f>
        <v>15</v>
      </c>
      <c r="N88" s="31" t="n">
        <f aca="false">IF(M88="","",MATCH(M88,Config!$E$5:$E$9,1))</f>
        <v>4</v>
      </c>
      <c r="O88" s="7" t="str">
        <f aca="false">IF(F88="N/A","N/A",IF(N88="","Not assessed",INDEX(Config!$B$5:$B$9,N88)))</f>
        <v>Medium-High</v>
      </c>
      <c r="P88" s="32" t="n">
        <v>0</v>
      </c>
      <c r="Q88" s="8"/>
      <c r="R88" s="33"/>
      <c r="S88" s="34" t="n">
        <f aca="false">IF(N88="","",IF(AND(R88="Y",P88&lt;&gt;0),MAX(1,MIN(5,N88+MAX(-Config!$C$27,MIN(Config!$C$27,P88)))),N88))</f>
        <v>4</v>
      </c>
      <c r="T88" s="35" t="str">
        <f aca="false">IF(F88="N/A","N/A",IF(S88="","Not assessed",INDEX(Config!$B$5:$B$9,S88)))</f>
        <v>Medium-High</v>
      </c>
      <c r="U88" s="7" t="str">
        <f aca="false">IF(P88=0,"None",IF(R88="Y","Applied","Pending HO approval"))</f>
        <v>None</v>
      </c>
      <c r="V88" s="8"/>
    </row>
    <row r="89" customFormat="false" ht="15" hidden="false" customHeight="false" outlineLevel="0" collapsed="false">
      <c r="A89" s="26" t="str">
        <f aca="false">Entities!$A$11</f>
        <v>PS-INV</v>
      </c>
      <c r="B89" s="12" t="str">
        <f aca="false">INDEX(Entities!$B$5:$B$34,MATCH(A89,Entities!$A$5:$A$34,0))</f>
        <v>Al-Arabi Investment Group – Palestine</v>
      </c>
      <c r="C89" s="12" t="str">
        <f aca="false">INDEX(Entities!$D$5:$D$34,MATCH(A89,Entities!$A$5:$A$34,0))</f>
        <v>Levant</v>
      </c>
      <c r="D89" s="12" t="s">
        <v>304</v>
      </c>
      <c r="E89" s="12" t="str">
        <f aca="false">INDEX('Risk Taxonomy'!$B$5:$B$24,MATCH(D89,'Risk Taxonomy'!$A$5:$A$24,0))</f>
        <v>Liquidity and funding risk</v>
      </c>
      <c r="F89" s="7" t="str">
        <f aca="false">IF(D89="RC-04",IF(INDEX(Entities!$G$5:$G$34,MATCH(A89,Entities!$A$5:$A$34,0))="Y","Yes","N/A"),"Yes")</f>
        <v>Yes</v>
      </c>
      <c r="G89" s="24" t="n">
        <v>3</v>
      </c>
      <c r="H89" s="24" t="n">
        <v>3</v>
      </c>
      <c r="I89" s="24" t="n">
        <v>2</v>
      </c>
      <c r="J89" s="24" t="n">
        <v>4</v>
      </c>
      <c r="K89" s="24" t="n">
        <v>4</v>
      </c>
      <c r="L89" s="37" t="n">
        <f aca="false">IF(F89="N/A","",IF(COUNT(H89:K89)=0,"",IF(Config!$C$19="Highest dimension",MAX(H89:K89),ROUND(H89*Config!$C$20+I89*Config!$C$21+J89*Config!$C$22+K89*Config!$C$23,1))))</f>
        <v>4</v>
      </c>
      <c r="M89" s="38" t="n">
        <f aca="false">IF(OR(L89="",G89=""),"",G89*L89)</f>
        <v>12</v>
      </c>
      <c r="N89" s="31" t="n">
        <f aca="false">IF(M89="","",MATCH(M89,Config!$E$5:$E$9,1))</f>
        <v>3</v>
      </c>
      <c r="O89" s="7" t="str">
        <f aca="false">IF(F89="N/A","N/A",IF(N89="","Not assessed",INDEX(Config!$B$5:$B$9,N89)))</f>
        <v>Medium</v>
      </c>
      <c r="P89" s="32" t="n">
        <v>0</v>
      </c>
      <c r="Q89" s="8"/>
      <c r="R89" s="33"/>
      <c r="S89" s="34" t="n">
        <f aca="false">IF(N89="","",IF(AND(R89="Y",P89&lt;&gt;0),MAX(1,MIN(5,N89+MAX(-Config!$C$27,MIN(Config!$C$27,P89)))),N89))</f>
        <v>3</v>
      </c>
      <c r="T89" s="35" t="str">
        <f aca="false">IF(F89="N/A","N/A",IF(S89="","Not assessed",INDEX(Config!$B$5:$B$9,S89)))</f>
        <v>Medium</v>
      </c>
      <c r="U89" s="7" t="str">
        <f aca="false">IF(P89=0,"None",IF(R89="Y","Applied","Pending HO approval"))</f>
        <v>None</v>
      </c>
      <c r="V89" s="8"/>
    </row>
    <row r="90" customFormat="false" ht="15" hidden="false" customHeight="false" outlineLevel="0" collapsed="false">
      <c r="A90" s="26" t="str">
        <f aca="false">Entities!$A$11</f>
        <v>PS-INV</v>
      </c>
      <c r="B90" s="12" t="str">
        <f aca="false">INDEX(Entities!$B$5:$B$34,MATCH(A90,Entities!$A$5:$A$34,0))</f>
        <v>Al-Arabi Investment Group – Palestine</v>
      </c>
      <c r="C90" s="12" t="str">
        <f aca="false">INDEX(Entities!$D$5:$D$34,MATCH(A90,Entities!$A$5:$A$34,0))</f>
        <v>Levant</v>
      </c>
      <c r="D90" s="12" t="s">
        <v>307</v>
      </c>
      <c r="E90" s="12" t="str">
        <f aca="false">INDEX('Risk Taxonomy'!$B$5:$B$24,MATCH(D90,'Risk Taxonomy'!$A$5:$A$24,0))</f>
        <v>Operational risk</v>
      </c>
      <c r="F90" s="7" t="str">
        <f aca="false">IF(D90="RC-04",IF(INDEX(Entities!$G$5:$G$34,MATCH(A90,Entities!$A$5:$A$34,0))="Y","Yes","N/A"),"Yes")</f>
        <v>Yes</v>
      </c>
      <c r="G90" s="24" t="n">
        <v>4</v>
      </c>
      <c r="H90" s="24" t="n">
        <v>3</v>
      </c>
      <c r="I90" s="24" t="n">
        <v>5</v>
      </c>
      <c r="J90" s="24" t="n">
        <v>3</v>
      </c>
      <c r="K90" s="24" t="n">
        <v>4</v>
      </c>
      <c r="L90" s="37" t="n">
        <f aca="false">IF(F90="N/A","",IF(COUNT(H90:K90)=0,"",IF(Config!$C$19="Highest dimension",MAX(H90:K90),ROUND(H90*Config!$C$20+I90*Config!$C$21+J90*Config!$C$22+K90*Config!$C$23,1))))</f>
        <v>5</v>
      </c>
      <c r="M90" s="38" t="n">
        <f aca="false">IF(OR(L90="",G90=""),"",G90*L90)</f>
        <v>20</v>
      </c>
      <c r="N90" s="31" t="n">
        <f aca="false">IF(M90="","",MATCH(M90,Config!$E$5:$E$9,1))</f>
        <v>5</v>
      </c>
      <c r="O90" s="7" t="str">
        <f aca="false">IF(F90="N/A","N/A",IF(N90="","Not assessed",INDEX(Config!$B$5:$B$9,N90)))</f>
        <v>High</v>
      </c>
      <c r="P90" s="32" t="n">
        <v>0</v>
      </c>
      <c r="Q90" s="8"/>
      <c r="R90" s="33"/>
      <c r="S90" s="34" t="n">
        <f aca="false">IF(N90="","",IF(AND(R90="Y",P90&lt;&gt;0),MAX(1,MIN(5,N90+MAX(-Config!$C$27,MIN(Config!$C$27,P90)))),N90))</f>
        <v>5</v>
      </c>
      <c r="T90" s="35" t="str">
        <f aca="false">IF(F90="N/A","N/A",IF(S90="","Not assessed",INDEX(Config!$B$5:$B$9,S90)))</f>
        <v>High</v>
      </c>
      <c r="U90" s="7" t="str">
        <f aca="false">IF(P90=0,"None",IF(R90="Y","Applied","Pending HO approval"))</f>
        <v>None</v>
      </c>
      <c r="V90" s="8"/>
    </row>
    <row r="91" customFormat="false" ht="15" hidden="false" customHeight="false" outlineLevel="0" collapsed="false">
      <c r="A91" s="26" t="str">
        <f aca="false">Entities!$A$11</f>
        <v>PS-INV</v>
      </c>
      <c r="B91" s="12" t="str">
        <f aca="false">INDEX(Entities!$B$5:$B$34,MATCH(A91,Entities!$A$5:$A$34,0))</f>
        <v>Al-Arabi Investment Group – Palestine</v>
      </c>
      <c r="C91" s="12" t="str">
        <f aca="false">INDEX(Entities!$D$5:$D$34,MATCH(A91,Entities!$A$5:$A$34,0))</f>
        <v>Levant</v>
      </c>
      <c r="D91" s="12" t="s">
        <v>310</v>
      </c>
      <c r="E91" s="12" t="str">
        <f aca="false">INDEX('Risk Taxonomy'!$B$5:$B$24,MATCH(D91,'Risk Taxonomy'!$A$5:$A$24,0))</f>
        <v>Cyber, information security and technology</v>
      </c>
      <c r="F91" s="7" t="str">
        <f aca="false">IF(D91="RC-04",IF(INDEX(Entities!$G$5:$G$34,MATCH(A91,Entities!$A$5:$A$34,0))="Y","Yes","N/A"),"Yes")</f>
        <v>Yes</v>
      </c>
      <c r="G91" s="24" t="n">
        <v>5</v>
      </c>
      <c r="H91" s="24" t="n">
        <v>2</v>
      </c>
      <c r="I91" s="24" t="n">
        <v>5</v>
      </c>
      <c r="J91" s="24" t="n">
        <v>4</v>
      </c>
      <c r="K91" s="24" t="n">
        <v>4</v>
      </c>
      <c r="L91" s="37" t="n">
        <f aca="false">IF(F91="N/A","",IF(COUNT(H91:K91)=0,"",IF(Config!$C$19="Highest dimension",MAX(H91:K91),ROUND(H91*Config!$C$20+I91*Config!$C$21+J91*Config!$C$22+K91*Config!$C$23,1))))</f>
        <v>5</v>
      </c>
      <c r="M91" s="38" t="n">
        <f aca="false">IF(OR(L91="",G91=""),"",G91*L91)</f>
        <v>25</v>
      </c>
      <c r="N91" s="31" t="n">
        <f aca="false">IF(M91="","",MATCH(M91,Config!$E$5:$E$9,1))</f>
        <v>5</v>
      </c>
      <c r="O91" s="7" t="str">
        <f aca="false">IF(F91="N/A","N/A",IF(N91="","Not assessed",INDEX(Config!$B$5:$B$9,N91)))</f>
        <v>High</v>
      </c>
      <c r="P91" s="32" t="n">
        <v>0</v>
      </c>
      <c r="Q91" s="8"/>
      <c r="R91" s="33"/>
      <c r="S91" s="34" t="n">
        <f aca="false">IF(N91="","",IF(AND(R91="Y",P91&lt;&gt;0),MAX(1,MIN(5,N91+MAX(-Config!$C$27,MIN(Config!$C$27,P91)))),N91))</f>
        <v>5</v>
      </c>
      <c r="T91" s="35" t="str">
        <f aca="false">IF(F91="N/A","N/A",IF(S91="","Not assessed",INDEX(Config!$B$5:$B$9,S91)))</f>
        <v>High</v>
      </c>
      <c r="U91" s="7" t="str">
        <f aca="false">IF(P91=0,"None",IF(R91="Y","Applied","Pending HO approval"))</f>
        <v>None</v>
      </c>
      <c r="V91" s="8"/>
    </row>
    <row r="92" customFormat="false" ht="15" hidden="false" customHeight="false" outlineLevel="0" collapsed="false">
      <c r="A92" s="26" t="str">
        <f aca="false">Entities!$A$11</f>
        <v>PS-INV</v>
      </c>
      <c r="B92" s="12" t="str">
        <f aca="false">INDEX(Entities!$B$5:$B$34,MATCH(A92,Entities!$A$5:$A$34,0))</f>
        <v>Al-Arabi Investment Group – Palestine</v>
      </c>
      <c r="C92" s="12" t="str">
        <f aca="false">INDEX(Entities!$D$5:$D$34,MATCH(A92,Entities!$A$5:$A$34,0))</f>
        <v>Levant</v>
      </c>
      <c r="D92" s="12" t="s">
        <v>313</v>
      </c>
      <c r="E92" s="12" t="str">
        <f aca="false">INDEX('Risk Taxonomy'!$B$5:$B$24,MATCH(D92,'Risk Taxonomy'!$A$5:$A$24,0))</f>
        <v>Third-party and outsourcing</v>
      </c>
      <c r="F92" s="7" t="str">
        <f aca="false">IF(D92="RC-04",IF(INDEX(Entities!$G$5:$G$34,MATCH(A92,Entities!$A$5:$A$34,0))="Y","Yes","N/A"),"Yes")</f>
        <v>Yes</v>
      </c>
      <c r="G92" s="24" t="n">
        <v>4</v>
      </c>
      <c r="H92" s="24" t="n">
        <v>4</v>
      </c>
      <c r="I92" s="24" t="n">
        <v>5</v>
      </c>
      <c r="J92" s="24" t="n">
        <v>4</v>
      </c>
      <c r="K92" s="24" t="n">
        <v>4</v>
      </c>
      <c r="L92" s="37" t="n">
        <f aca="false">IF(F92="N/A","",IF(COUNT(H92:K92)=0,"",IF(Config!$C$19="Highest dimension",MAX(H92:K92),ROUND(H92*Config!$C$20+I92*Config!$C$21+J92*Config!$C$22+K92*Config!$C$23,1))))</f>
        <v>5</v>
      </c>
      <c r="M92" s="38" t="n">
        <f aca="false">IF(OR(L92="",G92=""),"",G92*L92)</f>
        <v>20</v>
      </c>
      <c r="N92" s="31" t="n">
        <f aca="false">IF(M92="","",MATCH(M92,Config!$E$5:$E$9,1))</f>
        <v>5</v>
      </c>
      <c r="O92" s="7" t="str">
        <f aca="false">IF(F92="N/A","N/A",IF(N92="","Not assessed",INDEX(Config!$B$5:$B$9,N92)))</f>
        <v>High</v>
      </c>
      <c r="P92" s="32" t="n">
        <v>0</v>
      </c>
      <c r="Q92" s="8"/>
      <c r="R92" s="33"/>
      <c r="S92" s="34" t="n">
        <f aca="false">IF(N92="","",IF(AND(R92="Y",P92&lt;&gt;0),MAX(1,MIN(5,N92+MAX(-Config!$C$27,MIN(Config!$C$27,P92)))),N92))</f>
        <v>5</v>
      </c>
      <c r="T92" s="35" t="str">
        <f aca="false">IF(F92="N/A","N/A",IF(S92="","Not assessed",INDEX(Config!$B$5:$B$9,S92)))</f>
        <v>High</v>
      </c>
      <c r="U92" s="7" t="str">
        <f aca="false">IF(P92=0,"None",IF(R92="Y","Applied","Pending HO approval"))</f>
        <v>None</v>
      </c>
      <c r="V92" s="8"/>
    </row>
    <row r="93" customFormat="false" ht="15" hidden="false" customHeight="false" outlineLevel="0" collapsed="false">
      <c r="A93" s="26" t="str">
        <f aca="false">Entities!$A$11</f>
        <v>PS-INV</v>
      </c>
      <c r="B93" s="12" t="str">
        <f aca="false">INDEX(Entities!$B$5:$B$34,MATCH(A93,Entities!$A$5:$A$34,0))</f>
        <v>Al-Arabi Investment Group – Palestine</v>
      </c>
      <c r="C93" s="12" t="str">
        <f aca="false">INDEX(Entities!$D$5:$D$34,MATCH(A93,Entities!$A$5:$A$34,0))</f>
        <v>Levant</v>
      </c>
      <c r="D93" s="12" t="s">
        <v>316</v>
      </c>
      <c r="E93" s="12" t="str">
        <f aca="false">INDEX('Risk Taxonomy'!$B$5:$B$24,MATCH(D93,'Risk Taxonomy'!$A$5:$A$24,0))</f>
        <v>Legal and litigation</v>
      </c>
      <c r="F93" s="7" t="str">
        <f aca="false">IF(D93="RC-04",IF(INDEX(Entities!$G$5:$G$34,MATCH(A93,Entities!$A$5:$A$34,0))="Y","Yes","N/A"),"Yes")</f>
        <v>Yes</v>
      </c>
      <c r="G93" s="24" t="n">
        <v>4</v>
      </c>
      <c r="H93" s="24" t="n">
        <v>3</v>
      </c>
      <c r="I93" s="24" t="n">
        <v>4</v>
      </c>
      <c r="J93" s="24" t="n">
        <v>3</v>
      </c>
      <c r="K93" s="24" t="n">
        <v>3</v>
      </c>
      <c r="L93" s="37" t="n">
        <f aca="false">IF(F93="N/A","",IF(COUNT(H93:K93)=0,"",IF(Config!$C$19="Highest dimension",MAX(H93:K93),ROUND(H93*Config!$C$20+I93*Config!$C$21+J93*Config!$C$22+K93*Config!$C$23,1))))</f>
        <v>4</v>
      </c>
      <c r="M93" s="38" t="n">
        <f aca="false">IF(OR(L93="",G93=""),"",G93*L93)</f>
        <v>16</v>
      </c>
      <c r="N93" s="31" t="n">
        <f aca="false">IF(M93="","",MATCH(M93,Config!$E$5:$E$9,1))</f>
        <v>4</v>
      </c>
      <c r="O93" s="7" t="str">
        <f aca="false">IF(F93="N/A","N/A",IF(N93="","Not assessed",INDEX(Config!$B$5:$B$9,N93)))</f>
        <v>Medium-High</v>
      </c>
      <c r="P93" s="32" t="n">
        <v>0</v>
      </c>
      <c r="Q93" s="8"/>
      <c r="R93" s="33"/>
      <c r="S93" s="34" t="n">
        <f aca="false">IF(N93="","",IF(AND(R93="Y",P93&lt;&gt;0),MAX(1,MIN(5,N93+MAX(-Config!$C$27,MIN(Config!$C$27,P93)))),N93))</f>
        <v>4</v>
      </c>
      <c r="T93" s="35" t="str">
        <f aca="false">IF(F93="N/A","N/A",IF(S93="","Not assessed",INDEX(Config!$B$5:$B$9,S93)))</f>
        <v>Medium-High</v>
      </c>
      <c r="U93" s="7" t="str">
        <f aca="false">IF(P93=0,"None",IF(R93="Y","Applied","Pending HO approval"))</f>
        <v>None</v>
      </c>
      <c r="V93" s="8"/>
    </row>
    <row r="94" customFormat="false" ht="15" hidden="false" customHeight="false" outlineLevel="0" collapsed="false">
      <c r="A94" s="26" t="str">
        <f aca="false">Entities!$A$11</f>
        <v>PS-INV</v>
      </c>
      <c r="B94" s="12" t="str">
        <f aca="false">INDEX(Entities!$B$5:$B$34,MATCH(A94,Entities!$A$5:$A$34,0))</f>
        <v>Al-Arabi Investment Group – Palestine</v>
      </c>
      <c r="C94" s="12" t="str">
        <f aca="false">INDEX(Entities!$D$5:$D$34,MATCH(A94,Entities!$A$5:$A$34,0))</f>
        <v>Levant</v>
      </c>
      <c r="D94" s="12" t="s">
        <v>319</v>
      </c>
      <c r="E94" s="12" t="str">
        <f aca="false">INDEX('Risk Taxonomy'!$B$5:$B$24,MATCH(D94,'Risk Taxonomy'!$A$5:$A$24,0))</f>
        <v>Reputational</v>
      </c>
      <c r="F94" s="7" t="str">
        <f aca="false">IF(D94="RC-04",IF(INDEX(Entities!$G$5:$G$34,MATCH(A94,Entities!$A$5:$A$34,0))="Y","Yes","N/A"),"Yes")</f>
        <v>Yes</v>
      </c>
      <c r="G94" s="24" t="n">
        <v>4</v>
      </c>
      <c r="H94" s="24" t="n">
        <v>4</v>
      </c>
      <c r="I94" s="24" t="n">
        <v>3</v>
      </c>
      <c r="J94" s="24" t="n">
        <v>3</v>
      </c>
      <c r="K94" s="24" t="n">
        <v>2</v>
      </c>
      <c r="L94" s="37" t="n">
        <f aca="false">IF(F94="N/A","",IF(COUNT(H94:K94)=0,"",IF(Config!$C$19="Highest dimension",MAX(H94:K94),ROUND(H94*Config!$C$20+I94*Config!$C$21+J94*Config!$C$22+K94*Config!$C$23,1))))</f>
        <v>4</v>
      </c>
      <c r="M94" s="38" t="n">
        <f aca="false">IF(OR(L94="",G94=""),"",G94*L94)</f>
        <v>16</v>
      </c>
      <c r="N94" s="31" t="n">
        <f aca="false">IF(M94="","",MATCH(M94,Config!$E$5:$E$9,1))</f>
        <v>4</v>
      </c>
      <c r="O94" s="7" t="str">
        <f aca="false">IF(F94="N/A","N/A",IF(N94="","Not assessed",INDEX(Config!$B$5:$B$9,N94)))</f>
        <v>Medium-High</v>
      </c>
      <c r="P94" s="32" t="n">
        <v>0</v>
      </c>
      <c r="Q94" s="8"/>
      <c r="R94" s="33"/>
      <c r="S94" s="34" t="n">
        <f aca="false">IF(N94="","",IF(AND(R94="Y",P94&lt;&gt;0),MAX(1,MIN(5,N94+MAX(-Config!$C$27,MIN(Config!$C$27,P94)))),N94))</f>
        <v>4</v>
      </c>
      <c r="T94" s="35" t="str">
        <f aca="false">IF(F94="N/A","N/A",IF(S94="","Not assessed",INDEX(Config!$B$5:$B$9,S94)))</f>
        <v>Medium-High</v>
      </c>
      <c r="U94" s="7" t="str">
        <f aca="false">IF(P94=0,"None",IF(R94="Y","Applied","Pending HO approval"))</f>
        <v>None</v>
      </c>
      <c r="V94" s="8"/>
    </row>
    <row r="95" customFormat="false" ht="15" hidden="false" customHeight="false" outlineLevel="0" collapsed="false">
      <c r="A95" s="26" t="str">
        <f aca="false">Entities!$A$11</f>
        <v>PS-INV</v>
      </c>
      <c r="B95" s="12" t="str">
        <f aca="false">INDEX(Entities!$B$5:$B$34,MATCH(A95,Entities!$A$5:$A$34,0))</f>
        <v>Al-Arabi Investment Group – Palestine</v>
      </c>
      <c r="C95" s="12" t="str">
        <f aca="false">INDEX(Entities!$D$5:$D$34,MATCH(A95,Entities!$A$5:$A$34,0))</f>
        <v>Levant</v>
      </c>
      <c r="D95" s="12" t="s">
        <v>322</v>
      </c>
      <c r="E95" s="12" t="str">
        <f aca="false">INDEX('Risk Taxonomy'!$B$5:$B$24,MATCH(D95,'Risk Taxonomy'!$A$5:$A$24,0))</f>
        <v>Strategic, business model and ESG</v>
      </c>
      <c r="F95" s="7" t="str">
        <f aca="false">IF(D95="RC-04",IF(INDEX(Entities!$G$5:$G$34,MATCH(A95,Entities!$A$5:$A$34,0))="Y","Yes","N/A"),"Yes")</f>
        <v>Yes</v>
      </c>
      <c r="G95" s="24" t="n">
        <v>4</v>
      </c>
      <c r="H95" s="24" t="n">
        <v>3</v>
      </c>
      <c r="I95" s="24" t="n">
        <v>5</v>
      </c>
      <c r="J95" s="24" t="n">
        <v>3</v>
      </c>
      <c r="K95" s="24" t="n">
        <v>5</v>
      </c>
      <c r="L95" s="37" t="n">
        <f aca="false">IF(F95="N/A","",IF(COUNT(H95:K95)=0,"",IF(Config!$C$19="Highest dimension",MAX(H95:K95),ROUND(H95*Config!$C$20+I95*Config!$C$21+J95*Config!$C$22+K95*Config!$C$23,1))))</f>
        <v>5</v>
      </c>
      <c r="M95" s="38" t="n">
        <f aca="false">IF(OR(L95="",G95=""),"",G95*L95)</f>
        <v>20</v>
      </c>
      <c r="N95" s="31" t="n">
        <f aca="false">IF(M95="","",MATCH(M95,Config!$E$5:$E$9,1))</f>
        <v>5</v>
      </c>
      <c r="O95" s="7" t="str">
        <f aca="false">IF(F95="N/A","N/A",IF(N95="","Not assessed",INDEX(Config!$B$5:$B$9,N95)))</f>
        <v>High</v>
      </c>
      <c r="P95" s="32" t="n">
        <v>0</v>
      </c>
      <c r="Q95" s="8"/>
      <c r="R95" s="33"/>
      <c r="S95" s="34" t="n">
        <f aca="false">IF(N95="","",IF(AND(R95="Y",P95&lt;&gt;0),MAX(1,MIN(5,N95+MAX(-Config!$C$27,MIN(Config!$C$27,P95)))),N95))</f>
        <v>5</v>
      </c>
      <c r="T95" s="35" t="str">
        <f aca="false">IF(F95="N/A","N/A",IF(S95="","Not assessed",INDEX(Config!$B$5:$B$9,S95)))</f>
        <v>High</v>
      </c>
      <c r="U95" s="7" t="str">
        <f aca="false">IF(P95=0,"None",IF(R95="Y","Applied","Pending HO approval"))</f>
        <v>None</v>
      </c>
      <c r="V95" s="8"/>
    </row>
    <row r="96" customFormat="false" ht="15" hidden="false" customHeight="false" outlineLevel="0" collapsed="false">
      <c r="A96" s="26" t="str">
        <f aca="false">Entities!$A$12</f>
        <v>LB</v>
      </c>
      <c r="B96" s="12" t="str">
        <f aca="false">INDEX(Entities!$B$5:$B$34,MATCH(A96,Entities!$A$5:$A$34,0))</f>
        <v>Arab Bank – Lebanon</v>
      </c>
      <c r="C96" s="12" t="str">
        <f aca="false">INDEX(Entities!$D$5:$D$34,MATCH(A96,Entities!$A$5:$A$34,0))</f>
        <v>Levant</v>
      </c>
      <c r="D96" s="12" t="s">
        <v>284</v>
      </c>
      <c r="E96" s="12" t="str">
        <f aca="false">INDEX('Risk Taxonomy'!$B$5:$B$24,MATCH(D96,'Risk Taxonomy'!$A$5:$A$24,0))</f>
        <v>Regulatory compliance</v>
      </c>
      <c r="F96" s="7" t="str">
        <f aca="false">IF(D96="RC-04",IF(INDEX(Entities!$G$5:$G$34,MATCH(A96,Entities!$A$5:$A$34,0))="Y","Yes","N/A"),"Yes")</f>
        <v>Yes</v>
      </c>
      <c r="G96" s="24" t="n">
        <v>4</v>
      </c>
      <c r="H96" s="24" t="n">
        <v>3</v>
      </c>
      <c r="I96" s="24" t="n">
        <v>5</v>
      </c>
      <c r="J96" s="24" t="n">
        <v>3</v>
      </c>
      <c r="K96" s="24" t="n">
        <v>3</v>
      </c>
      <c r="L96" s="37" t="n">
        <f aca="false">IF(F96="N/A","",IF(COUNT(H96:K96)=0,"",IF(Config!$C$19="Highest dimension",MAX(H96:K96),ROUND(H96*Config!$C$20+I96*Config!$C$21+J96*Config!$C$22+K96*Config!$C$23,1))))</f>
        <v>5</v>
      </c>
      <c r="M96" s="38" t="n">
        <f aca="false">IF(OR(L96="",G96=""),"",G96*L96)</f>
        <v>20</v>
      </c>
      <c r="N96" s="31" t="n">
        <f aca="false">IF(M96="","",MATCH(M96,Config!$E$5:$E$9,1))</f>
        <v>5</v>
      </c>
      <c r="O96" s="7" t="str">
        <f aca="false">IF(F96="N/A","N/A",IF(N96="","Not assessed",INDEX(Config!$B$5:$B$9,N96)))</f>
        <v>High</v>
      </c>
      <c r="P96" s="32" t="n">
        <v>0</v>
      </c>
      <c r="Q96" s="8"/>
      <c r="R96" s="33"/>
      <c r="S96" s="34" t="n">
        <f aca="false">IF(N96="","",IF(AND(R96="Y",P96&lt;&gt;0),MAX(1,MIN(5,N96+MAX(-Config!$C$27,MIN(Config!$C$27,P96)))),N96))</f>
        <v>5</v>
      </c>
      <c r="T96" s="35" t="str">
        <f aca="false">IF(F96="N/A","N/A",IF(S96="","Not assessed",INDEX(Config!$B$5:$B$9,S96)))</f>
        <v>High</v>
      </c>
      <c r="U96" s="7" t="str">
        <f aca="false">IF(P96=0,"None",IF(R96="Y","Applied","Pending HO approval"))</f>
        <v>None</v>
      </c>
      <c r="V96" s="8"/>
    </row>
    <row r="97" customFormat="false" ht="15" hidden="false" customHeight="false" outlineLevel="0" collapsed="false">
      <c r="A97" s="26" t="str">
        <f aca="false">Entities!$A$12</f>
        <v>LB</v>
      </c>
      <c r="B97" s="12" t="str">
        <f aca="false">INDEX(Entities!$B$5:$B$34,MATCH(A97,Entities!$A$5:$A$34,0))</f>
        <v>Arab Bank – Lebanon</v>
      </c>
      <c r="C97" s="12" t="str">
        <f aca="false">INDEX(Entities!$D$5:$D$34,MATCH(A97,Entities!$A$5:$A$34,0))</f>
        <v>Levant</v>
      </c>
      <c r="D97" s="12" t="s">
        <v>288</v>
      </c>
      <c r="E97" s="12" t="str">
        <f aca="false">INDEX('Risk Taxonomy'!$B$5:$B$24,MATCH(D97,'Risk Taxonomy'!$A$5:$A$24,0))</f>
        <v>Conduct and consumer protection</v>
      </c>
      <c r="F97" s="7" t="str">
        <f aca="false">IF(D97="RC-04",IF(INDEX(Entities!$G$5:$G$34,MATCH(A97,Entities!$A$5:$A$34,0))="Y","Yes","N/A"),"Yes")</f>
        <v>Yes</v>
      </c>
      <c r="G97" s="24" t="n">
        <v>4</v>
      </c>
      <c r="H97" s="24" t="n">
        <v>4</v>
      </c>
      <c r="I97" s="24" t="n">
        <v>5</v>
      </c>
      <c r="J97" s="24" t="n">
        <v>4</v>
      </c>
      <c r="K97" s="24" t="n">
        <v>2</v>
      </c>
      <c r="L97" s="37" t="n">
        <f aca="false">IF(F97="N/A","",IF(COUNT(H97:K97)=0,"",IF(Config!$C$19="Highest dimension",MAX(H97:K97),ROUND(H97*Config!$C$20+I97*Config!$C$21+J97*Config!$C$22+K97*Config!$C$23,1))))</f>
        <v>5</v>
      </c>
      <c r="M97" s="38" t="n">
        <f aca="false">IF(OR(L97="",G97=""),"",G97*L97)</f>
        <v>20</v>
      </c>
      <c r="N97" s="31" t="n">
        <f aca="false">IF(M97="","",MATCH(M97,Config!$E$5:$E$9,1))</f>
        <v>5</v>
      </c>
      <c r="O97" s="7" t="str">
        <f aca="false">IF(F97="N/A","N/A",IF(N97="","Not assessed",INDEX(Config!$B$5:$B$9,N97)))</f>
        <v>High</v>
      </c>
      <c r="P97" s="32" t="n">
        <v>0</v>
      </c>
      <c r="Q97" s="8"/>
      <c r="R97" s="33"/>
      <c r="S97" s="34" t="n">
        <f aca="false">IF(N97="","",IF(AND(R97="Y",P97&lt;&gt;0),MAX(1,MIN(5,N97+MAX(-Config!$C$27,MIN(Config!$C$27,P97)))),N97))</f>
        <v>5</v>
      </c>
      <c r="T97" s="35" t="str">
        <f aca="false">IF(F97="N/A","N/A",IF(S97="","Not assessed",INDEX(Config!$B$5:$B$9,S97)))</f>
        <v>High</v>
      </c>
      <c r="U97" s="7" t="str">
        <f aca="false">IF(P97=0,"None",IF(R97="Y","Applied","Pending HO approval"))</f>
        <v>None</v>
      </c>
      <c r="V97" s="8"/>
    </row>
    <row r="98" customFormat="false" ht="15" hidden="false" customHeight="false" outlineLevel="0" collapsed="false">
      <c r="A98" s="26" t="str">
        <f aca="false">Entities!$A$12</f>
        <v>LB</v>
      </c>
      <c r="B98" s="12" t="str">
        <f aca="false">INDEX(Entities!$B$5:$B$34,MATCH(A98,Entities!$A$5:$A$34,0))</f>
        <v>Arab Bank – Lebanon</v>
      </c>
      <c r="C98" s="12" t="str">
        <f aca="false">INDEX(Entities!$D$5:$D$34,MATCH(A98,Entities!$A$5:$A$34,0))</f>
        <v>Levant</v>
      </c>
      <c r="D98" s="12" t="s">
        <v>290</v>
      </c>
      <c r="E98" s="12" t="str">
        <f aca="false">INDEX('Risk Taxonomy'!$B$5:$B$24,MATCH(D98,'Risk Taxonomy'!$A$5:$A$24,0))</f>
        <v>Data protection and privacy</v>
      </c>
      <c r="F98" s="7" t="str">
        <f aca="false">IF(D98="RC-04",IF(INDEX(Entities!$G$5:$G$34,MATCH(A98,Entities!$A$5:$A$34,0))="Y","Yes","N/A"),"Yes")</f>
        <v>Yes</v>
      </c>
      <c r="G98" s="24" t="n">
        <v>4</v>
      </c>
      <c r="H98" s="24" t="n">
        <v>3</v>
      </c>
      <c r="I98" s="24" t="n">
        <v>5</v>
      </c>
      <c r="J98" s="24" t="n">
        <v>3</v>
      </c>
      <c r="K98" s="24" t="n">
        <v>4</v>
      </c>
      <c r="L98" s="37" t="n">
        <f aca="false">IF(F98="N/A","",IF(COUNT(H98:K98)=0,"",IF(Config!$C$19="Highest dimension",MAX(H98:K98),ROUND(H98*Config!$C$20+I98*Config!$C$21+J98*Config!$C$22+K98*Config!$C$23,1))))</f>
        <v>5</v>
      </c>
      <c r="M98" s="38" t="n">
        <f aca="false">IF(OR(L98="",G98=""),"",G98*L98)</f>
        <v>20</v>
      </c>
      <c r="N98" s="31" t="n">
        <f aca="false">IF(M98="","",MATCH(M98,Config!$E$5:$E$9,1))</f>
        <v>5</v>
      </c>
      <c r="O98" s="7" t="str">
        <f aca="false">IF(F98="N/A","N/A",IF(N98="","Not assessed",INDEX(Config!$B$5:$B$9,N98)))</f>
        <v>High</v>
      </c>
      <c r="P98" s="32" t="n">
        <v>0</v>
      </c>
      <c r="Q98" s="8"/>
      <c r="R98" s="33"/>
      <c r="S98" s="34" t="n">
        <f aca="false">IF(N98="","",IF(AND(R98="Y",P98&lt;&gt;0),MAX(1,MIN(5,N98+MAX(-Config!$C$27,MIN(Config!$C$27,P98)))),N98))</f>
        <v>5</v>
      </c>
      <c r="T98" s="35" t="str">
        <f aca="false">IF(F98="N/A","N/A",IF(S98="","Not assessed",INDEX(Config!$B$5:$B$9,S98)))</f>
        <v>High</v>
      </c>
      <c r="U98" s="7" t="str">
        <f aca="false">IF(P98=0,"None",IF(R98="Y","Applied","Pending HO approval"))</f>
        <v>None</v>
      </c>
      <c r="V98" s="8"/>
    </row>
    <row r="99" customFormat="false" ht="15" hidden="false" customHeight="false" outlineLevel="0" collapsed="false">
      <c r="A99" s="26" t="str">
        <f aca="false">Entities!$A$12</f>
        <v>LB</v>
      </c>
      <c r="B99" s="12" t="str">
        <f aca="false">INDEX(Entities!$B$5:$B$34,MATCH(A99,Entities!$A$5:$A$34,0))</f>
        <v>Arab Bank – Lebanon</v>
      </c>
      <c r="C99" s="12" t="str">
        <f aca="false">INDEX(Entities!$D$5:$D$34,MATCH(A99,Entities!$A$5:$A$34,0))</f>
        <v>Levant</v>
      </c>
      <c r="D99" s="12" t="s">
        <v>293</v>
      </c>
      <c r="E99" s="12" t="str">
        <f aca="false">INDEX('Risk Taxonomy'!$B$5:$B$24,MATCH(D99,'Risk Taxonomy'!$A$5:$A$24,0))</f>
        <v>Shariah non-compliance</v>
      </c>
      <c r="F99" s="7" t="str">
        <f aca="false">IF(D99="RC-04",IF(INDEX(Entities!$G$5:$G$34,MATCH(A99,Entities!$A$5:$A$34,0))="Y","Yes","N/A"),"Yes")</f>
        <v>N/A</v>
      </c>
      <c r="G99" s="24"/>
      <c r="H99" s="24"/>
      <c r="I99" s="24"/>
      <c r="J99" s="24"/>
      <c r="K99" s="24"/>
      <c r="L99" s="37" t="str">
        <f aca="false">IF(F99="N/A","",IF(COUNT(H99:K99)=0,"",IF(Config!$C$19="Highest dimension",MAX(H99:K99),ROUND(H99*Config!$C$20+I99*Config!$C$21+J99*Config!$C$22+K99*Config!$C$23,1))))</f>
        <v/>
      </c>
      <c r="M99" s="38" t="str">
        <f aca="false">IF(OR(L99="",G99=""),"",G99*L99)</f>
        <v/>
      </c>
      <c r="N99" s="31" t="str">
        <f aca="false">IF(M99="","",MATCH(M99,Config!$E$5:$E$9,1))</f>
        <v/>
      </c>
      <c r="O99" s="7" t="str">
        <f aca="false">IF(F99="N/A","N/A",IF(N99="","Not assessed",INDEX(Config!$B$5:$B$9,N99)))</f>
        <v>N/A</v>
      </c>
      <c r="P99" s="32" t="n">
        <v>0</v>
      </c>
      <c r="Q99" s="8"/>
      <c r="R99" s="33"/>
      <c r="S99" s="34" t="str">
        <f aca="false">IF(N99="","",IF(AND(R99="Y",P99&lt;&gt;0),MAX(1,MIN(5,N99+MAX(-Config!$C$27,MIN(Config!$C$27,P99)))),N99))</f>
        <v/>
      </c>
      <c r="T99" s="35" t="str">
        <f aca="false">IF(F99="N/A","N/A",IF(S99="","Not assessed",INDEX(Config!$B$5:$B$9,S99)))</f>
        <v>N/A</v>
      </c>
      <c r="U99" s="7" t="str">
        <f aca="false">IF(P99=0,"None",IF(R99="Y","Applied","Pending HO approval"))</f>
        <v>None</v>
      </c>
      <c r="V99" s="8"/>
    </row>
    <row r="100" customFormat="false" ht="15" hidden="false" customHeight="false" outlineLevel="0" collapsed="false">
      <c r="A100" s="26" t="str">
        <f aca="false">Entities!$A$12</f>
        <v>LB</v>
      </c>
      <c r="B100" s="12" t="str">
        <f aca="false">INDEX(Entities!$B$5:$B$34,MATCH(A100,Entities!$A$5:$A$34,0))</f>
        <v>Arab Bank – Lebanon</v>
      </c>
      <c r="C100" s="12" t="str">
        <f aca="false">INDEX(Entities!$D$5:$D$34,MATCH(A100,Entities!$A$5:$A$34,0))</f>
        <v>Levant</v>
      </c>
      <c r="D100" s="12" t="s">
        <v>297</v>
      </c>
      <c r="E100" s="12" t="str">
        <f aca="false">INDEX('Risk Taxonomy'!$B$5:$B$24,MATCH(D100,'Risk Taxonomy'!$A$5:$A$24,0))</f>
        <v>Credit risk</v>
      </c>
      <c r="F100" s="7" t="str">
        <f aca="false">IF(D100="RC-04",IF(INDEX(Entities!$G$5:$G$34,MATCH(A100,Entities!$A$5:$A$34,0))="Y","Yes","N/A"),"Yes")</f>
        <v>Yes</v>
      </c>
      <c r="G100" s="24" t="n">
        <v>5</v>
      </c>
      <c r="H100" s="24" t="n">
        <v>4</v>
      </c>
      <c r="I100" s="24" t="n">
        <v>3</v>
      </c>
      <c r="J100" s="24" t="n">
        <v>4</v>
      </c>
      <c r="K100" s="24" t="n">
        <v>5</v>
      </c>
      <c r="L100" s="37" t="n">
        <f aca="false">IF(F100="N/A","",IF(COUNT(H100:K100)=0,"",IF(Config!$C$19="Highest dimension",MAX(H100:K100),ROUND(H100*Config!$C$20+I100*Config!$C$21+J100*Config!$C$22+K100*Config!$C$23,1))))</f>
        <v>5</v>
      </c>
      <c r="M100" s="38" t="n">
        <f aca="false">IF(OR(L100="",G100=""),"",G100*L100)</f>
        <v>25</v>
      </c>
      <c r="N100" s="31" t="n">
        <f aca="false">IF(M100="","",MATCH(M100,Config!$E$5:$E$9,1))</f>
        <v>5</v>
      </c>
      <c r="O100" s="7" t="str">
        <f aca="false">IF(F100="N/A","N/A",IF(N100="","Not assessed",INDEX(Config!$B$5:$B$9,N100)))</f>
        <v>High</v>
      </c>
      <c r="P100" s="32" t="n">
        <v>0</v>
      </c>
      <c r="Q100" s="8"/>
      <c r="R100" s="33"/>
      <c r="S100" s="34" t="n">
        <f aca="false">IF(N100="","",IF(AND(R100="Y",P100&lt;&gt;0),MAX(1,MIN(5,N100+MAX(-Config!$C$27,MIN(Config!$C$27,P100)))),N100))</f>
        <v>5</v>
      </c>
      <c r="T100" s="35" t="str">
        <f aca="false">IF(F100="N/A","N/A",IF(S100="","Not assessed",INDEX(Config!$B$5:$B$9,S100)))</f>
        <v>High</v>
      </c>
      <c r="U100" s="7" t="str">
        <f aca="false">IF(P100=0,"None",IF(R100="Y","Applied","Pending HO approval"))</f>
        <v>None</v>
      </c>
      <c r="V100" s="8"/>
    </row>
    <row r="101" customFormat="false" ht="15" hidden="false" customHeight="false" outlineLevel="0" collapsed="false">
      <c r="A101" s="26" t="str">
        <f aca="false">Entities!$A$12</f>
        <v>LB</v>
      </c>
      <c r="B101" s="12" t="str">
        <f aca="false">INDEX(Entities!$B$5:$B$34,MATCH(A101,Entities!$A$5:$A$34,0))</f>
        <v>Arab Bank – Lebanon</v>
      </c>
      <c r="C101" s="12" t="str">
        <f aca="false">INDEX(Entities!$D$5:$D$34,MATCH(A101,Entities!$A$5:$A$34,0))</f>
        <v>Levant</v>
      </c>
      <c r="D101" s="12" t="s">
        <v>302</v>
      </c>
      <c r="E101" s="12" t="str">
        <f aca="false">INDEX('Risk Taxonomy'!$B$5:$B$24,MATCH(D101,'Risk Taxonomy'!$A$5:$A$24,0))</f>
        <v>Market risk</v>
      </c>
      <c r="F101" s="7" t="str">
        <f aca="false">IF(D101="RC-04",IF(INDEX(Entities!$G$5:$G$34,MATCH(A101,Entities!$A$5:$A$34,0))="Y","Yes","N/A"),"Yes")</f>
        <v>Yes</v>
      </c>
      <c r="G101" s="24" t="n">
        <v>4</v>
      </c>
      <c r="H101" s="24" t="n">
        <v>3</v>
      </c>
      <c r="I101" s="24" t="n">
        <v>4</v>
      </c>
      <c r="J101" s="24" t="n">
        <v>2</v>
      </c>
      <c r="K101" s="24" t="n">
        <v>5</v>
      </c>
      <c r="L101" s="37" t="n">
        <f aca="false">IF(F101="N/A","",IF(COUNT(H101:K101)=0,"",IF(Config!$C$19="Highest dimension",MAX(H101:K101),ROUND(H101*Config!$C$20+I101*Config!$C$21+J101*Config!$C$22+K101*Config!$C$23,1))))</f>
        <v>5</v>
      </c>
      <c r="M101" s="38" t="n">
        <f aca="false">IF(OR(L101="",G101=""),"",G101*L101)</f>
        <v>20</v>
      </c>
      <c r="N101" s="31" t="n">
        <f aca="false">IF(M101="","",MATCH(M101,Config!$E$5:$E$9,1))</f>
        <v>5</v>
      </c>
      <c r="O101" s="7" t="str">
        <f aca="false">IF(F101="N/A","N/A",IF(N101="","Not assessed",INDEX(Config!$B$5:$B$9,N101)))</f>
        <v>High</v>
      </c>
      <c r="P101" s="32" t="n">
        <v>0</v>
      </c>
      <c r="Q101" s="8"/>
      <c r="R101" s="33"/>
      <c r="S101" s="34" t="n">
        <f aca="false">IF(N101="","",IF(AND(R101="Y",P101&lt;&gt;0),MAX(1,MIN(5,N101+MAX(-Config!$C$27,MIN(Config!$C$27,P101)))),N101))</f>
        <v>5</v>
      </c>
      <c r="T101" s="35" t="str">
        <f aca="false">IF(F101="N/A","N/A",IF(S101="","Not assessed",INDEX(Config!$B$5:$B$9,S101)))</f>
        <v>High</v>
      </c>
      <c r="U101" s="7" t="str">
        <f aca="false">IF(P101=0,"None",IF(R101="Y","Applied","Pending HO approval"))</f>
        <v>None</v>
      </c>
      <c r="V101" s="8"/>
    </row>
    <row r="102" customFormat="false" ht="15" hidden="false" customHeight="false" outlineLevel="0" collapsed="false">
      <c r="A102" s="26" t="str">
        <f aca="false">Entities!$A$12</f>
        <v>LB</v>
      </c>
      <c r="B102" s="12" t="str">
        <f aca="false">INDEX(Entities!$B$5:$B$34,MATCH(A102,Entities!$A$5:$A$34,0))</f>
        <v>Arab Bank – Lebanon</v>
      </c>
      <c r="C102" s="12" t="str">
        <f aca="false">INDEX(Entities!$D$5:$D$34,MATCH(A102,Entities!$A$5:$A$34,0))</f>
        <v>Levant</v>
      </c>
      <c r="D102" s="12" t="s">
        <v>304</v>
      </c>
      <c r="E102" s="12" t="str">
        <f aca="false">INDEX('Risk Taxonomy'!$B$5:$B$24,MATCH(D102,'Risk Taxonomy'!$A$5:$A$24,0))</f>
        <v>Liquidity and funding risk</v>
      </c>
      <c r="F102" s="7" t="str">
        <f aca="false">IF(D102="RC-04",IF(INDEX(Entities!$G$5:$G$34,MATCH(A102,Entities!$A$5:$A$34,0))="Y","Yes","N/A"),"Yes")</f>
        <v>Yes</v>
      </c>
      <c r="G102" s="24" t="n">
        <v>5</v>
      </c>
      <c r="H102" s="24" t="n">
        <v>3</v>
      </c>
      <c r="I102" s="24" t="n">
        <v>4</v>
      </c>
      <c r="J102" s="24" t="n">
        <v>4</v>
      </c>
      <c r="K102" s="24" t="n">
        <v>4</v>
      </c>
      <c r="L102" s="37" t="n">
        <f aca="false">IF(F102="N/A","",IF(COUNT(H102:K102)=0,"",IF(Config!$C$19="Highest dimension",MAX(H102:K102),ROUND(H102*Config!$C$20+I102*Config!$C$21+J102*Config!$C$22+K102*Config!$C$23,1))))</f>
        <v>4</v>
      </c>
      <c r="M102" s="38" t="n">
        <f aca="false">IF(OR(L102="",G102=""),"",G102*L102)</f>
        <v>20</v>
      </c>
      <c r="N102" s="31" t="n">
        <f aca="false">IF(M102="","",MATCH(M102,Config!$E$5:$E$9,1))</f>
        <v>5</v>
      </c>
      <c r="O102" s="7" t="str">
        <f aca="false">IF(F102="N/A","N/A",IF(N102="","Not assessed",INDEX(Config!$B$5:$B$9,N102)))</f>
        <v>High</v>
      </c>
      <c r="P102" s="32" t="n">
        <v>1</v>
      </c>
      <c r="Q102" s="8" t="s">
        <v>472</v>
      </c>
      <c r="R102" s="33" t="s">
        <v>111</v>
      </c>
      <c r="S102" s="34" t="n">
        <f aca="false">IF(N102="","",IF(AND(R102="Y",P102&lt;&gt;0),MAX(1,MIN(5,N102+MAX(-Config!$C$27,MIN(Config!$C$27,P102)))),N102))</f>
        <v>5</v>
      </c>
      <c r="T102" s="35" t="str">
        <f aca="false">IF(F102="N/A","N/A",IF(S102="","Not assessed",INDEX(Config!$B$5:$B$9,S102)))</f>
        <v>High</v>
      </c>
      <c r="U102" s="7" t="str">
        <f aca="false">IF(P102=0,"None",IF(R102="Y","Applied","Pending HO approval"))</f>
        <v>Applied</v>
      </c>
      <c r="V102" s="8"/>
    </row>
    <row r="103" customFormat="false" ht="15" hidden="false" customHeight="false" outlineLevel="0" collapsed="false">
      <c r="A103" s="26" t="str">
        <f aca="false">Entities!$A$12</f>
        <v>LB</v>
      </c>
      <c r="B103" s="12" t="str">
        <f aca="false">INDEX(Entities!$B$5:$B$34,MATCH(A103,Entities!$A$5:$A$34,0))</f>
        <v>Arab Bank – Lebanon</v>
      </c>
      <c r="C103" s="12" t="str">
        <f aca="false">INDEX(Entities!$D$5:$D$34,MATCH(A103,Entities!$A$5:$A$34,0))</f>
        <v>Levant</v>
      </c>
      <c r="D103" s="12" t="s">
        <v>307</v>
      </c>
      <c r="E103" s="12" t="str">
        <f aca="false">INDEX('Risk Taxonomy'!$B$5:$B$24,MATCH(D103,'Risk Taxonomy'!$A$5:$A$24,0))</f>
        <v>Operational risk</v>
      </c>
      <c r="F103" s="7" t="str">
        <f aca="false">IF(D103="RC-04",IF(INDEX(Entities!$G$5:$G$34,MATCH(A103,Entities!$A$5:$A$34,0))="Y","Yes","N/A"),"Yes")</f>
        <v>Yes</v>
      </c>
      <c r="G103" s="24" t="n">
        <v>4</v>
      </c>
      <c r="H103" s="24" t="n">
        <v>3</v>
      </c>
      <c r="I103" s="24" t="n">
        <v>4</v>
      </c>
      <c r="J103" s="24" t="n">
        <v>4</v>
      </c>
      <c r="K103" s="24" t="n">
        <v>3</v>
      </c>
      <c r="L103" s="37" t="n">
        <f aca="false">IF(F103="N/A","",IF(COUNT(H103:K103)=0,"",IF(Config!$C$19="Highest dimension",MAX(H103:K103),ROUND(H103*Config!$C$20+I103*Config!$C$21+J103*Config!$C$22+K103*Config!$C$23,1))))</f>
        <v>4</v>
      </c>
      <c r="M103" s="38" t="n">
        <f aca="false">IF(OR(L103="",G103=""),"",G103*L103)</f>
        <v>16</v>
      </c>
      <c r="N103" s="31" t="n">
        <f aca="false">IF(M103="","",MATCH(M103,Config!$E$5:$E$9,1))</f>
        <v>4</v>
      </c>
      <c r="O103" s="7" t="str">
        <f aca="false">IF(F103="N/A","N/A",IF(N103="","Not assessed",INDEX(Config!$B$5:$B$9,N103)))</f>
        <v>Medium-High</v>
      </c>
      <c r="P103" s="32" t="n">
        <v>0</v>
      </c>
      <c r="Q103" s="8"/>
      <c r="R103" s="33"/>
      <c r="S103" s="34" t="n">
        <f aca="false">IF(N103="","",IF(AND(R103="Y",P103&lt;&gt;0),MAX(1,MIN(5,N103+MAX(-Config!$C$27,MIN(Config!$C$27,P103)))),N103))</f>
        <v>4</v>
      </c>
      <c r="T103" s="35" t="str">
        <f aca="false">IF(F103="N/A","N/A",IF(S103="","Not assessed",INDEX(Config!$B$5:$B$9,S103)))</f>
        <v>Medium-High</v>
      </c>
      <c r="U103" s="7" t="str">
        <f aca="false">IF(P103=0,"None",IF(R103="Y","Applied","Pending HO approval"))</f>
        <v>None</v>
      </c>
      <c r="V103" s="8"/>
    </row>
    <row r="104" customFormat="false" ht="15" hidden="false" customHeight="false" outlineLevel="0" collapsed="false">
      <c r="A104" s="26" t="str">
        <f aca="false">Entities!$A$12</f>
        <v>LB</v>
      </c>
      <c r="B104" s="12" t="str">
        <f aca="false">INDEX(Entities!$B$5:$B$34,MATCH(A104,Entities!$A$5:$A$34,0))</f>
        <v>Arab Bank – Lebanon</v>
      </c>
      <c r="C104" s="12" t="str">
        <f aca="false">INDEX(Entities!$D$5:$D$34,MATCH(A104,Entities!$A$5:$A$34,0))</f>
        <v>Levant</v>
      </c>
      <c r="D104" s="12" t="s">
        <v>310</v>
      </c>
      <c r="E104" s="12" t="str">
        <f aca="false">INDEX('Risk Taxonomy'!$B$5:$B$24,MATCH(D104,'Risk Taxonomy'!$A$5:$A$24,0))</f>
        <v>Cyber, information security and technology</v>
      </c>
      <c r="F104" s="7" t="str">
        <f aca="false">IF(D104="RC-04",IF(INDEX(Entities!$G$5:$G$34,MATCH(A104,Entities!$A$5:$A$34,0))="Y","Yes","N/A"),"Yes")</f>
        <v>Yes</v>
      </c>
      <c r="G104" s="24" t="n">
        <v>4</v>
      </c>
      <c r="H104" s="24" t="n">
        <v>4</v>
      </c>
      <c r="I104" s="24" t="n">
        <v>4</v>
      </c>
      <c r="J104" s="24" t="n">
        <v>4</v>
      </c>
      <c r="K104" s="24" t="n">
        <v>3</v>
      </c>
      <c r="L104" s="37" t="n">
        <f aca="false">IF(F104="N/A","",IF(COUNT(H104:K104)=0,"",IF(Config!$C$19="Highest dimension",MAX(H104:K104),ROUND(H104*Config!$C$20+I104*Config!$C$21+J104*Config!$C$22+K104*Config!$C$23,1))))</f>
        <v>4</v>
      </c>
      <c r="M104" s="38" t="n">
        <f aca="false">IF(OR(L104="",G104=""),"",G104*L104)</f>
        <v>16</v>
      </c>
      <c r="N104" s="31" t="n">
        <f aca="false">IF(M104="","",MATCH(M104,Config!$E$5:$E$9,1))</f>
        <v>4</v>
      </c>
      <c r="O104" s="7" t="str">
        <f aca="false">IF(F104="N/A","N/A",IF(N104="","Not assessed",INDEX(Config!$B$5:$B$9,N104)))</f>
        <v>Medium-High</v>
      </c>
      <c r="P104" s="32" t="n">
        <v>0</v>
      </c>
      <c r="Q104" s="8"/>
      <c r="R104" s="33"/>
      <c r="S104" s="34" t="n">
        <f aca="false">IF(N104="","",IF(AND(R104="Y",P104&lt;&gt;0),MAX(1,MIN(5,N104+MAX(-Config!$C$27,MIN(Config!$C$27,P104)))),N104))</f>
        <v>4</v>
      </c>
      <c r="T104" s="35" t="str">
        <f aca="false">IF(F104="N/A","N/A",IF(S104="","Not assessed",INDEX(Config!$B$5:$B$9,S104)))</f>
        <v>Medium-High</v>
      </c>
      <c r="U104" s="7" t="str">
        <f aca="false">IF(P104=0,"None",IF(R104="Y","Applied","Pending HO approval"))</f>
        <v>None</v>
      </c>
      <c r="V104" s="8"/>
    </row>
    <row r="105" customFormat="false" ht="15" hidden="false" customHeight="false" outlineLevel="0" collapsed="false">
      <c r="A105" s="26" t="str">
        <f aca="false">Entities!$A$12</f>
        <v>LB</v>
      </c>
      <c r="B105" s="12" t="str">
        <f aca="false">INDEX(Entities!$B$5:$B$34,MATCH(A105,Entities!$A$5:$A$34,0))</f>
        <v>Arab Bank – Lebanon</v>
      </c>
      <c r="C105" s="12" t="str">
        <f aca="false">INDEX(Entities!$D$5:$D$34,MATCH(A105,Entities!$A$5:$A$34,0))</f>
        <v>Levant</v>
      </c>
      <c r="D105" s="12" t="s">
        <v>313</v>
      </c>
      <c r="E105" s="12" t="str">
        <f aca="false">INDEX('Risk Taxonomy'!$B$5:$B$24,MATCH(D105,'Risk Taxonomy'!$A$5:$A$24,0))</f>
        <v>Third-party and outsourcing</v>
      </c>
      <c r="F105" s="7" t="str">
        <f aca="false">IF(D105="RC-04",IF(INDEX(Entities!$G$5:$G$34,MATCH(A105,Entities!$A$5:$A$34,0))="Y","Yes","N/A"),"Yes")</f>
        <v>Yes</v>
      </c>
      <c r="G105" s="24" t="n">
        <v>4</v>
      </c>
      <c r="H105" s="24" t="n">
        <v>4</v>
      </c>
      <c r="I105" s="24" t="n">
        <v>5</v>
      </c>
      <c r="J105" s="24" t="n">
        <v>4</v>
      </c>
      <c r="K105" s="24" t="n">
        <v>5</v>
      </c>
      <c r="L105" s="37" t="n">
        <f aca="false">IF(F105="N/A","",IF(COUNT(H105:K105)=0,"",IF(Config!$C$19="Highest dimension",MAX(H105:K105),ROUND(H105*Config!$C$20+I105*Config!$C$21+J105*Config!$C$22+K105*Config!$C$23,1))))</f>
        <v>5</v>
      </c>
      <c r="M105" s="38" t="n">
        <f aca="false">IF(OR(L105="",G105=""),"",G105*L105)</f>
        <v>20</v>
      </c>
      <c r="N105" s="31" t="n">
        <f aca="false">IF(M105="","",MATCH(M105,Config!$E$5:$E$9,1))</f>
        <v>5</v>
      </c>
      <c r="O105" s="7" t="str">
        <f aca="false">IF(F105="N/A","N/A",IF(N105="","Not assessed",INDEX(Config!$B$5:$B$9,N105)))</f>
        <v>High</v>
      </c>
      <c r="P105" s="32" t="n">
        <v>0</v>
      </c>
      <c r="Q105" s="8"/>
      <c r="R105" s="33"/>
      <c r="S105" s="34" t="n">
        <f aca="false">IF(N105="","",IF(AND(R105="Y",P105&lt;&gt;0),MAX(1,MIN(5,N105+MAX(-Config!$C$27,MIN(Config!$C$27,P105)))),N105))</f>
        <v>5</v>
      </c>
      <c r="T105" s="35" t="str">
        <f aca="false">IF(F105="N/A","N/A",IF(S105="","Not assessed",INDEX(Config!$B$5:$B$9,S105)))</f>
        <v>High</v>
      </c>
      <c r="U105" s="7" t="str">
        <f aca="false">IF(P105=0,"None",IF(R105="Y","Applied","Pending HO approval"))</f>
        <v>None</v>
      </c>
      <c r="V105" s="8"/>
    </row>
    <row r="106" customFormat="false" ht="15" hidden="false" customHeight="false" outlineLevel="0" collapsed="false">
      <c r="A106" s="26" t="str">
        <f aca="false">Entities!$A$12</f>
        <v>LB</v>
      </c>
      <c r="B106" s="12" t="str">
        <f aca="false">INDEX(Entities!$B$5:$B$34,MATCH(A106,Entities!$A$5:$A$34,0))</f>
        <v>Arab Bank – Lebanon</v>
      </c>
      <c r="C106" s="12" t="str">
        <f aca="false">INDEX(Entities!$D$5:$D$34,MATCH(A106,Entities!$A$5:$A$34,0))</f>
        <v>Levant</v>
      </c>
      <c r="D106" s="12" t="s">
        <v>316</v>
      </c>
      <c r="E106" s="12" t="str">
        <f aca="false">INDEX('Risk Taxonomy'!$B$5:$B$24,MATCH(D106,'Risk Taxonomy'!$A$5:$A$24,0))</f>
        <v>Legal and litigation</v>
      </c>
      <c r="F106" s="7" t="str">
        <f aca="false">IF(D106="RC-04",IF(INDEX(Entities!$G$5:$G$34,MATCH(A106,Entities!$A$5:$A$34,0))="Y","Yes","N/A"),"Yes")</f>
        <v>Yes</v>
      </c>
      <c r="G106" s="24" t="n">
        <v>3</v>
      </c>
      <c r="H106" s="24" t="n">
        <v>5</v>
      </c>
      <c r="I106" s="24" t="n">
        <v>4</v>
      </c>
      <c r="J106" s="24" t="n">
        <v>4</v>
      </c>
      <c r="K106" s="24" t="n">
        <v>2</v>
      </c>
      <c r="L106" s="37" t="n">
        <f aca="false">IF(F106="N/A","",IF(COUNT(H106:K106)=0,"",IF(Config!$C$19="Highest dimension",MAX(H106:K106),ROUND(H106*Config!$C$20+I106*Config!$C$21+J106*Config!$C$22+K106*Config!$C$23,1))))</f>
        <v>5</v>
      </c>
      <c r="M106" s="38" t="n">
        <f aca="false">IF(OR(L106="",G106=""),"",G106*L106)</f>
        <v>15</v>
      </c>
      <c r="N106" s="31" t="n">
        <f aca="false">IF(M106="","",MATCH(M106,Config!$E$5:$E$9,1))</f>
        <v>4</v>
      </c>
      <c r="O106" s="7" t="str">
        <f aca="false">IF(F106="N/A","N/A",IF(N106="","Not assessed",INDEX(Config!$B$5:$B$9,N106)))</f>
        <v>Medium-High</v>
      </c>
      <c r="P106" s="32" t="n">
        <v>0</v>
      </c>
      <c r="Q106" s="8"/>
      <c r="R106" s="33"/>
      <c r="S106" s="34" t="n">
        <f aca="false">IF(N106="","",IF(AND(R106="Y",P106&lt;&gt;0),MAX(1,MIN(5,N106+MAX(-Config!$C$27,MIN(Config!$C$27,P106)))),N106))</f>
        <v>4</v>
      </c>
      <c r="T106" s="35" t="str">
        <f aca="false">IF(F106="N/A","N/A",IF(S106="","Not assessed",INDEX(Config!$B$5:$B$9,S106)))</f>
        <v>Medium-High</v>
      </c>
      <c r="U106" s="7" t="str">
        <f aca="false">IF(P106=0,"None",IF(R106="Y","Applied","Pending HO approval"))</f>
        <v>None</v>
      </c>
      <c r="V106" s="8"/>
    </row>
    <row r="107" customFormat="false" ht="15" hidden="false" customHeight="false" outlineLevel="0" collapsed="false">
      <c r="A107" s="26" t="str">
        <f aca="false">Entities!$A$12</f>
        <v>LB</v>
      </c>
      <c r="B107" s="12" t="str">
        <f aca="false">INDEX(Entities!$B$5:$B$34,MATCH(A107,Entities!$A$5:$A$34,0))</f>
        <v>Arab Bank – Lebanon</v>
      </c>
      <c r="C107" s="12" t="str">
        <f aca="false">INDEX(Entities!$D$5:$D$34,MATCH(A107,Entities!$A$5:$A$34,0))</f>
        <v>Levant</v>
      </c>
      <c r="D107" s="12" t="s">
        <v>319</v>
      </c>
      <c r="E107" s="12" t="str">
        <f aca="false">INDEX('Risk Taxonomy'!$B$5:$B$24,MATCH(D107,'Risk Taxonomy'!$A$5:$A$24,0))</f>
        <v>Reputational</v>
      </c>
      <c r="F107" s="7" t="str">
        <f aca="false">IF(D107="RC-04",IF(INDEX(Entities!$G$5:$G$34,MATCH(A107,Entities!$A$5:$A$34,0))="Y","Yes","N/A"),"Yes")</f>
        <v>Yes</v>
      </c>
      <c r="G107" s="24" t="n">
        <v>5</v>
      </c>
      <c r="H107" s="24" t="n">
        <v>5</v>
      </c>
      <c r="I107" s="24" t="n">
        <v>5</v>
      </c>
      <c r="J107" s="24" t="n">
        <v>3</v>
      </c>
      <c r="K107" s="24" t="n">
        <v>4</v>
      </c>
      <c r="L107" s="37" t="n">
        <f aca="false">IF(F107="N/A","",IF(COUNT(H107:K107)=0,"",IF(Config!$C$19="Highest dimension",MAX(H107:K107),ROUND(H107*Config!$C$20+I107*Config!$C$21+J107*Config!$C$22+K107*Config!$C$23,1))))</f>
        <v>5</v>
      </c>
      <c r="M107" s="38" t="n">
        <f aca="false">IF(OR(L107="",G107=""),"",G107*L107)</f>
        <v>25</v>
      </c>
      <c r="N107" s="31" t="n">
        <f aca="false">IF(M107="","",MATCH(M107,Config!$E$5:$E$9,1))</f>
        <v>5</v>
      </c>
      <c r="O107" s="7" t="str">
        <f aca="false">IF(F107="N/A","N/A",IF(N107="","Not assessed",INDEX(Config!$B$5:$B$9,N107)))</f>
        <v>High</v>
      </c>
      <c r="P107" s="32" t="n">
        <v>0</v>
      </c>
      <c r="Q107" s="8"/>
      <c r="R107" s="33"/>
      <c r="S107" s="34" t="n">
        <f aca="false">IF(N107="","",IF(AND(R107="Y",P107&lt;&gt;0),MAX(1,MIN(5,N107+MAX(-Config!$C$27,MIN(Config!$C$27,P107)))),N107))</f>
        <v>5</v>
      </c>
      <c r="T107" s="35" t="str">
        <f aca="false">IF(F107="N/A","N/A",IF(S107="","Not assessed",INDEX(Config!$B$5:$B$9,S107)))</f>
        <v>High</v>
      </c>
      <c r="U107" s="7" t="str">
        <f aca="false">IF(P107=0,"None",IF(R107="Y","Applied","Pending HO approval"))</f>
        <v>None</v>
      </c>
      <c r="V107" s="8"/>
    </row>
    <row r="108" customFormat="false" ht="15" hidden="false" customHeight="false" outlineLevel="0" collapsed="false">
      <c r="A108" s="26" t="str">
        <f aca="false">Entities!$A$12</f>
        <v>LB</v>
      </c>
      <c r="B108" s="12" t="str">
        <f aca="false">INDEX(Entities!$B$5:$B$34,MATCH(A108,Entities!$A$5:$A$34,0))</f>
        <v>Arab Bank – Lebanon</v>
      </c>
      <c r="C108" s="12" t="str">
        <f aca="false">INDEX(Entities!$D$5:$D$34,MATCH(A108,Entities!$A$5:$A$34,0))</f>
        <v>Levant</v>
      </c>
      <c r="D108" s="12" t="s">
        <v>322</v>
      </c>
      <c r="E108" s="12" t="str">
        <f aca="false">INDEX('Risk Taxonomy'!$B$5:$B$24,MATCH(D108,'Risk Taxonomy'!$A$5:$A$24,0))</f>
        <v>Strategic, business model and ESG</v>
      </c>
      <c r="F108" s="7" t="str">
        <f aca="false">IF(D108="RC-04",IF(INDEX(Entities!$G$5:$G$34,MATCH(A108,Entities!$A$5:$A$34,0))="Y","Yes","N/A"),"Yes")</f>
        <v>Yes</v>
      </c>
      <c r="G108" s="24" t="n">
        <v>4</v>
      </c>
      <c r="H108" s="24" t="n">
        <v>5</v>
      </c>
      <c r="I108" s="24" t="n">
        <v>4</v>
      </c>
      <c r="J108" s="24" t="n">
        <v>4</v>
      </c>
      <c r="K108" s="24" t="n">
        <v>3</v>
      </c>
      <c r="L108" s="37" t="n">
        <f aca="false">IF(F108="N/A","",IF(COUNT(H108:K108)=0,"",IF(Config!$C$19="Highest dimension",MAX(H108:K108),ROUND(H108*Config!$C$20+I108*Config!$C$21+J108*Config!$C$22+K108*Config!$C$23,1))))</f>
        <v>5</v>
      </c>
      <c r="M108" s="38" t="n">
        <f aca="false">IF(OR(L108="",G108=""),"",G108*L108)</f>
        <v>20</v>
      </c>
      <c r="N108" s="31" t="n">
        <f aca="false">IF(M108="","",MATCH(M108,Config!$E$5:$E$9,1))</f>
        <v>5</v>
      </c>
      <c r="O108" s="7" t="str">
        <f aca="false">IF(F108="N/A","N/A",IF(N108="","Not assessed",INDEX(Config!$B$5:$B$9,N108)))</f>
        <v>High</v>
      </c>
      <c r="P108" s="32" t="n">
        <v>0</v>
      </c>
      <c r="Q108" s="8"/>
      <c r="R108" s="33"/>
      <c r="S108" s="34" t="n">
        <f aca="false">IF(N108="","",IF(AND(R108="Y",P108&lt;&gt;0),MAX(1,MIN(5,N108+MAX(-Config!$C$27,MIN(Config!$C$27,P108)))),N108))</f>
        <v>5</v>
      </c>
      <c r="T108" s="35" t="str">
        <f aca="false">IF(F108="N/A","N/A",IF(S108="","Not assessed",INDEX(Config!$B$5:$B$9,S108)))</f>
        <v>High</v>
      </c>
      <c r="U108" s="7" t="str">
        <f aca="false">IF(P108=0,"None",IF(R108="Y","Applied","Pending HO approval"))</f>
        <v>None</v>
      </c>
      <c r="V108" s="8"/>
    </row>
    <row r="109" customFormat="false" ht="15" hidden="false" customHeight="false" outlineLevel="0" collapsed="false">
      <c r="A109" s="26" t="str">
        <f aca="false">Entities!$A$13</f>
        <v>SY</v>
      </c>
      <c r="B109" s="12" t="str">
        <f aca="false">INDEX(Entities!$B$5:$B$34,MATCH(A109,Entities!$A$5:$A$34,0))</f>
        <v>Arab Bank – Syria</v>
      </c>
      <c r="C109" s="12" t="str">
        <f aca="false">INDEX(Entities!$D$5:$D$34,MATCH(A109,Entities!$A$5:$A$34,0))</f>
        <v>Levant</v>
      </c>
      <c r="D109" s="12" t="s">
        <v>284</v>
      </c>
      <c r="E109" s="12" t="str">
        <f aca="false">INDEX('Risk Taxonomy'!$B$5:$B$24,MATCH(D109,'Risk Taxonomy'!$A$5:$A$24,0))</f>
        <v>Regulatory compliance</v>
      </c>
      <c r="F109" s="7" t="str">
        <f aca="false">IF(D109="RC-04",IF(INDEX(Entities!$G$5:$G$34,MATCH(A109,Entities!$A$5:$A$34,0))="Y","Yes","N/A"),"Yes")</f>
        <v>Yes</v>
      </c>
      <c r="G109" s="24" t="n">
        <v>4</v>
      </c>
      <c r="H109" s="24" t="n">
        <v>3</v>
      </c>
      <c r="I109" s="24" t="n">
        <v>5</v>
      </c>
      <c r="J109" s="24" t="n">
        <v>4</v>
      </c>
      <c r="K109" s="24" t="n">
        <v>3</v>
      </c>
      <c r="L109" s="37" t="n">
        <f aca="false">IF(F109="N/A","",IF(COUNT(H109:K109)=0,"",IF(Config!$C$19="Highest dimension",MAX(H109:K109),ROUND(H109*Config!$C$20+I109*Config!$C$21+J109*Config!$C$22+K109*Config!$C$23,1))))</f>
        <v>5</v>
      </c>
      <c r="M109" s="38" t="n">
        <f aca="false">IF(OR(L109="",G109=""),"",G109*L109)</f>
        <v>20</v>
      </c>
      <c r="N109" s="31" t="n">
        <f aca="false">IF(M109="","",MATCH(M109,Config!$E$5:$E$9,1))</f>
        <v>5</v>
      </c>
      <c r="O109" s="7" t="str">
        <f aca="false">IF(F109="N/A","N/A",IF(N109="","Not assessed",INDEX(Config!$B$5:$B$9,N109)))</f>
        <v>High</v>
      </c>
      <c r="P109" s="32" t="n">
        <v>0</v>
      </c>
      <c r="Q109" s="8"/>
      <c r="R109" s="33"/>
      <c r="S109" s="34" t="n">
        <f aca="false">IF(N109="","",IF(AND(R109="Y",P109&lt;&gt;0),MAX(1,MIN(5,N109+MAX(-Config!$C$27,MIN(Config!$C$27,P109)))),N109))</f>
        <v>5</v>
      </c>
      <c r="T109" s="35" t="str">
        <f aca="false">IF(F109="N/A","N/A",IF(S109="","Not assessed",INDEX(Config!$B$5:$B$9,S109)))</f>
        <v>High</v>
      </c>
      <c r="U109" s="7" t="str">
        <f aca="false">IF(P109=0,"None",IF(R109="Y","Applied","Pending HO approval"))</f>
        <v>None</v>
      </c>
      <c r="V109" s="8"/>
    </row>
    <row r="110" customFormat="false" ht="15" hidden="false" customHeight="false" outlineLevel="0" collapsed="false">
      <c r="A110" s="26" t="str">
        <f aca="false">Entities!$A$13</f>
        <v>SY</v>
      </c>
      <c r="B110" s="12" t="str">
        <f aca="false">INDEX(Entities!$B$5:$B$34,MATCH(A110,Entities!$A$5:$A$34,0))</f>
        <v>Arab Bank – Syria</v>
      </c>
      <c r="C110" s="12" t="str">
        <f aca="false">INDEX(Entities!$D$5:$D$34,MATCH(A110,Entities!$A$5:$A$34,0))</f>
        <v>Levant</v>
      </c>
      <c r="D110" s="12" t="s">
        <v>288</v>
      </c>
      <c r="E110" s="12" t="str">
        <f aca="false">INDEX('Risk Taxonomy'!$B$5:$B$24,MATCH(D110,'Risk Taxonomy'!$A$5:$A$24,0))</f>
        <v>Conduct and consumer protection</v>
      </c>
      <c r="F110" s="7" t="str">
        <f aca="false">IF(D110="RC-04",IF(INDEX(Entities!$G$5:$G$34,MATCH(A110,Entities!$A$5:$A$34,0))="Y","Yes","N/A"),"Yes")</f>
        <v>Yes</v>
      </c>
      <c r="G110" s="24" t="n">
        <v>5</v>
      </c>
      <c r="H110" s="24" t="n">
        <v>3</v>
      </c>
      <c r="I110" s="24" t="n">
        <v>3</v>
      </c>
      <c r="J110" s="24" t="n">
        <v>5</v>
      </c>
      <c r="K110" s="24" t="n">
        <v>4</v>
      </c>
      <c r="L110" s="37" t="n">
        <f aca="false">IF(F110="N/A","",IF(COUNT(H110:K110)=0,"",IF(Config!$C$19="Highest dimension",MAX(H110:K110),ROUND(H110*Config!$C$20+I110*Config!$C$21+J110*Config!$C$22+K110*Config!$C$23,1))))</f>
        <v>5</v>
      </c>
      <c r="M110" s="38" t="n">
        <f aca="false">IF(OR(L110="",G110=""),"",G110*L110)</f>
        <v>25</v>
      </c>
      <c r="N110" s="31" t="n">
        <f aca="false">IF(M110="","",MATCH(M110,Config!$E$5:$E$9,1))</f>
        <v>5</v>
      </c>
      <c r="O110" s="7" t="str">
        <f aca="false">IF(F110="N/A","N/A",IF(N110="","Not assessed",INDEX(Config!$B$5:$B$9,N110)))</f>
        <v>High</v>
      </c>
      <c r="P110" s="32" t="n">
        <v>0</v>
      </c>
      <c r="Q110" s="8"/>
      <c r="R110" s="33"/>
      <c r="S110" s="34" t="n">
        <f aca="false">IF(N110="","",IF(AND(R110="Y",P110&lt;&gt;0),MAX(1,MIN(5,N110+MAX(-Config!$C$27,MIN(Config!$C$27,P110)))),N110))</f>
        <v>5</v>
      </c>
      <c r="T110" s="35" t="str">
        <f aca="false">IF(F110="N/A","N/A",IF(S110="","Not assessed",INDEX(Config!$B$5:$B$9,S110)))</f>
        <v>High</v>
      </c>
      <c r="U110" s="7" t="str">
        <f aca="false">IF(P110=0,"None",IF(R110="Y","Applied","Pending HO approval"))</f>
        <v>None</v>
      </c>
      <c r="V110" s="8"/>
    </row>
    <row r="111" customFormat="false" ht="15" hidden="false" customHeight="false" outlineLevel="0" collapsed="false">
      <c r="A111" s="26" t="str">
        <f aca="false">Entities!$A$13</f>
        <v>SY</v>
      </c>
      <c r="B111" s="12" t="str">
        <f aca="false">INDEX(Entities!$B$5:$B$34,MATCH(A111,Entities!$A$5:$A$34,0))</f>
        <v>Arab Bank – Syria</v>
      </c>
      <c r="C111" s="12" t="str">
        <f aca="false">INDEX(Entities!$D$5:$D$34,MATCH(A111,Entities!$A$5:$A$34,0))</f>
        <v>Levant</v>
      </c>
      <c r="D111" s="12" t="s">
        <v>290</v>
      </c>
      <c r="E111" s="12" t="str">
        <f aca="false">INDEX('Risk Taxonomy'!$B$5:$B$24,MATCH(D111,'Risk Taxonomy'!$A$5:$A$24,0))</f>
        <v>Data protection and privacy</v>
      </c>
      <c r="F111" s="7" t="str">
        <f aca="false">IF(D111="RC-04",IF(INDEX(Entities!$G$5:$G$34,MATCH(A111,Entities!$A$5:$A$34,0))="Y","Yes","N/A"),"Yes")</f>
        <v>Yes</v>
      </c>
      <c r="G111" s="24" t="n">
        <v>3</v>
      </c>
      <c r="H111" s="24" t="n">
        <v>2</v>
      </c>
      <c r="I111" s="24" t="n">
        <v>3</v>
      </c>
      <c r="J111" s="24" t="n">
        <v>3</v>
      </c>
      <c r="K111" s="24" t="n">
        <v>3</v>
      </c>
      <c r="L111" s="37" t="n">
        <f aca="false">IF(F111="N/A","",IF(COUNT(H111:K111)=0,"",IF(Config!$C$19="Highest dimension",MAX(H111:K111),ROUND(H111*Config!$C$20+I111*Config!$C$21+J111*Config!$C$22+K111*Config!$C$23,1))))</f>
        <v>3</v>
      </c>
      <c r="M111" s="38" t="n">
        <f aca="false">IF(OR(L111="",G111=""),"",G111*L111)</f>
        <v>9</v>
      </c>
      <c r="N111" s="31" t="n">
        <f aca="false">IF(M111="","",MATCH(M111,Config!$E$5:$E$9,1))</f>
        <v>3</v>
      </c>
      <c r="O111" s="7" t="str">
        <f aca="false">IF(F111="N/A","N/A",IF(N111="","Not assessed",INDEX(Config!$B$5:$B$9,N111)))</f>
        <v>Medium</v>
      </c>
      <c r="P111" s="32" t="n">
        <v>0</v>
      </c>
      <c r="Q111" s="8"/>
      <c r="R111" s="33"/>
      <c r="S111" s="34" t="n">
        <f aca="false">IF(N111="","",IF(AND(R111="Y",P111&lt;&gt;0),MAX(1,MIN(5,N111+MAX(-Config!$C$27,MIN(Config!$C$27,P111)))),N111))</f>
        <v>3</v>
      </c>
      <c r="T111" s="35" t="str">
        <f aca="false">IF(F111="N/A","N/A",IF(S111="","Not assessed",INDEX(Config!$B$5:$B$9,S111)))</f>
        <v>Medium</v>
      </c>
      <c r="U111" s="7" t="str">
        <f aca="false">IF(P111=0,"None",IF(R111="Y","Applied","Pending HO approval"))</f>
        <v>None</v>
      </c>
      <c r="V111" s="8"/>
    </row>
    <row r="112" customFormat="false" ht="15" hidden="false" customHeight="false" outlineLevel="0" collapsed="false">
      <c r="A112" s="26" t="str">
        <f aca="false">Entities!$A$13</f>
        <v>SY</v>
      </c>
      <c r="B112" s="12" t="str">
        <f aca="false">INDEX(Entities!$B$5:$B$34,MATCH(A112,Entities!$A$5:$A$34,0))</f>
        <v>Arab Bank – Syria</v>
      </c>
      <c r="C112" s="12" t="str">
        <f aca="false">INDEX(Entities!$D$5:$D$34,MATCH(A112,Entities!$A$5:$A$34,0))</f>
        <v>Levant</v>
      </c>
      <c r="D112" s="12" t="s">
        <v>293</v>
      </c>
      <c r="E112" s="12" t="str">
        <f aca="false">INDEX('Risk Taxonomy'!$B$5:$B$24,MATCH(D112,'Risk Taxonomy'!$A$5:$A$24,0))</f>
        <v>Shariah non-compliance</v>
      </c>
      <c r="F112" s="7" t="str">
        <f aca="false">IF(D112="RC-04",IF(INDEX(Entities!$G$5:$G$34,MATCH(A112,Entities!$A$5:$A$34,0))="Y","Yes","N/A"),"Yes")</f>
        <v>N/A</v>
      </c>
      <c r="G112" s="24"/>
      <c r="H112" s="24"/>
      <c r="I112" s="24"/>
      <c r="J112" s="24"/>
      <c r="K112" s="24"/>
      <c r="L112" s="37" t="str">
        <f aca="false">IF(F112="N/A","",IF(COUNT(H112:K112)=0,"",IF(Config!$C$19="Highest dimension",MAX(H112:K112),ROUND(H112*Config!$C$20+I112*Config!$C$21+J112*Config!$C$22+K112*Config!$C$23,1))))</f>
        <v/>
      </c>
      <c r="M112" s="38" t="str">
        <f aca="false">IF(OR(L112="",G112=""),"",G112*L112)</f>
        <v/>
      </c>
      <c r="N112" s="31" t="str">
        <f aca="false">IF(M112="","",MATCH(M112,Config!$E$5:$E$9,1))</f>
        <v/>
      </c>
      <c r="O112" s="7" t="str">
        <f aca="false">IF(F112="N/A","N/A",IF(N112="","Not assessed",INDEX(Config!$B$5:$B$9,N112)))</f>
        <v>N/A</v>
      </c>
      <c r="P112" s="32" t="n">
        <v>0</v>
      </c>
      <c r="Q112" s="8"/>
      <c r="R112" s="33"/>
      <c r="S112" s="34" t="str">
        <f aca="false">IF(N112="","",IF(AND(R112="Y",P112&lt;&gt;0),MAX(1,MIN(5,N112+MAX(-Config!$C$27,MIN(Config!$C$27,P112)))),N112))</f>
        <v/>
      </c>
      <c r="T112" s="35" t="str">
        <f aca="false">IF(F112="N/A","N/A",IF(S112="","Not assessed",INDEX(Config!$B$5:$B$9,S112)))</f>
        <v>N/A</v>
      </c>
      <c r="U112" s="7" t="str">
        <f aca="false">IF(P112=0,"None",IF(R112="Y","Applied","Pending HO approval"))</f>
        <v>None</v>
      </c>
      <c r="V112" s="8"/>
    </row>
    <row r="113" customFormat="false" ht="15" hidden="false" customHeight="false" outlineLevel="0" collapsed="false">
      <c r="A113" s="26" t="str">
        <f aca="false">Entities!$A$13</f>
        <v>SY</v>
      </c>
      <c r="B113" s="12" t="str">
        <f aca="false">INDEX(Entities!$B$5:$B$34,MATCH(A113,Entities!$A$5:$A$34,0))</f>
        <v>Arab Bank – Syria</v>
      </c>
      <c r="C113" s="12" t="str">
        <f aca="false">INDEX(Entities!$D$5:$D$34,MATCH(A113,Entities!$A$5:$A$34,0))</f>
        <v>Levant</v>
      </c>
      <c r="D113" s="12" t="s">
        <v>297</v>
      </c>
      <c r="E113" s="12" t="str">
        <f aca="false">INDEX('Risk Taxonomy'!$B$5:$B$24,MATCH(D113,'Risk Taxonomy'!$A$5:$A$24,0))</f>
        <v>Credit risk</v>
      </c>
      <c r="F113" s="7" t="str">
        <f aca="false">IF(D113="RC-04",IF(INDEX(Entities!$G$5:$G$34,MATCH(A113,Entities!$A$5:$A$34,0))="Y","Yes","N/A"),"Yes")</f>
        <v>Yes</v>
      </c>
      <c r="G113" s="24" t="n">
        <v>4</v>
      </c>
      <c r="H113" s="24" t="n">
        <v>3</v>
      </c>
      <c r="I113" s="24" t="n">
        <v>3</v>
      </c>
      <c r="J113" s="24" t="n">
        <v>4</v>
      </c>
      <c r="K113" s="24" t="n">
        <v>3</v>
      </c>
      <c r="L113" s="37" t="n">
        <f aca="false">IF(F113="N/A","",IF(COUNT(H113:K113)=0,"",IF(Config!$C$19="Highest dimension",MAX(H113:K113),ROUND(H113*Config!$C$20+I113*Config!$C$21+J113*Config!$C$22+K113*Config!$C$23,1))))</f>
        <v>4</v>
      </c>
      <c r="M113" s="38" t="n">
        <f aca="false">IF(OR(L113="",G113=""),"",G113*L113)</f>
        <v>16</v>
      </c>
      <c r="N113" s="31" t="n">
        <f aca="false">IF(M113="","",MATCH(M113,Config!$E$5:$E$9,1))</f>
        <v>4</v>
      </c>
      <c r="O113" s="7" t="str">
        <f aca="false">IF(F113="N/A","N/A",IF(N113="","Not assessed",INDEX(Config!$B$5:$B$9,N113)))</f>
        <v>Medium-High</v>
      </c>
      <c r="P113" s="32" t="n">
        <v>0</v>
      </c>
      <c r="Q113" s="8"/>
      <c r="R113" s="33"/>
      <c r="S113" s="34" t="n">
        <f aca="false">IF(N113="","",IF(AND(R113="Y",P113&lt;&gt;0),MAX(1,MIN(5,N113+MAX(-Config!$C$27,MIN(Config!$C$27,P113)))),N113))</f>
        <v>4</v>
      </c>
      <c r="T113" s="35" t="str">
        <f aca="false">IF(F113="N/A","N/A",IF(S113="","Not assessed",INDEX(Config!$B$5:$B$9,S113)))</f>
        <v>Medium-High</v>
      </c>
      <c r="U113" s="7" t="str">
        <f aca="false">IF(P113=0,"None",IF(R113="Y","Applied","Pending HO approval"))</f>
        <v>None</v>
      </c>
      <c r="V113" s="8"/>
    </row>
    <row r="114" customFormat="false" ht="15" hidden="false" customHeight="false" outlineLevel="0" collapsed="false">
      <c r="A114" s="26" t="str">
        <f aca="false">Entities!$A$13</f>
        <v>SY</v>
      </c>
      <c r="B114" s="12" t="str">
        <f aca="false">INDEX(Entities!$B$5:$B$34,MATCH(A114,Entities!$A$5:$A$34,0))</f>
        <v>Arab Bank – Syria</v>
      </c>
      <c r="C114" s="12" t="str">
        <f aca="false">INDEX(Entities!$D$5:$D$34,MATCH(A114,Entities!$A$5:$A$34,0))</f>
        <v>Levant</v>
      </c>
      <c r="D114" s="12" t="s">
        <v>302</v>
      </c>
      <c r="E114" s="12" t="str">
        <f aca="false">INDEX('Risk Taxonomy'!$B$5:$B$24,MATCH(D114,'Risk Taxonomy'!$A$5:$A$24,0))</f>
        <v>Market risk</v>
      </c>
      <c r="F114" s="7" t="str">
        <f aca="false">IF(D114="RC-04",IF(INDEX(Entities!$G$5:$G$34,MATCH(A114,Entities!$A$5:$A$34,0))="Y","Yes","N/A"),"Yes")</f>
        <v>Yes</v>
      </c>
      <c r="G114" s="24" t="n">
        <v>3</v>
      </c>
      <c r="H114" s="24" t="n">
        <v>4</v>
      </c>
      <c r="I114" s="24" t="n">
        <v>4</v>
      </c>
      <c r="J114" s="24" t="n">
        <v>3</v>
      </c>
      <c r="K114" s="24" t="n">
        <v>5</v>
      </c>
      <c r="L114" s="37" t="n">
        <f aca="false">IF(F114="N/A","",IF(COUNT(H114:K114)=0,"",IF(Config!$C$19="Highest dimension",MAX(H114:K114),ROUND(H114*Config!$C$20+I114*Config!$C$21+J114*Config!$C$22+K114*Config!$C$23,1))))</f>
        <v>5</v>
      </c>
      <c r="M114" s="38" t="n">
        <f aca="false">IF(OR(L114="",G114=""),"",G114*L114)</f>
        <v>15</v>
      </c>
      <c r="N114" s="31" t="n">
        <f aca="false">IF(M114="","",MATCH(M114,Config!$E$5:$E$9,1))</f>
        <v>4</v>
      </c>
      <c r="O114" s="7" t="str">
        <f aca="false">IF(F114="N/A","N/A",IF(N114="","Not assessed",INDEX(Config!$B$5:$B$9,N114)))</f>
        <v>Medium-High</v>
      </c>
      <c r="P114" s="32" t="n">
        <v>0</v>
      </c>
      <c r="Q114" s="8"/>
      <c r="R114" s="33"/>
      <c r="S114" s="34" t="n">
        <f aca="false">IF(N114="","",IF(AND(R114="Y",P114&lt;&gt;0),MAX(1,MIN(5,N114+MAX(-Config!$C$27,MIN(Config!$C$27,P114)))),N114))</f>
        <v>4</v>
      </c>
      <c r="T114" s="35" t="str">
        <f aca="false">IF(F114="N/A","N/A",IF(S114="","Not assessed",INDEX(Config!$B$5:$B$9,S114)))</f>
        <v>Medium-High</v>
      </c>
      <c r="U114" s="7" t="str">
        <f aca="false">IF(P114=0,"None",IF(R114="Y","Applied","Pending HO approval"))</f>
        <v>None</v>
      </c>
      <c r="V114" s="8"/>
    </row>
    <row r="115" customFormat="false" ht="15" hidden="false" customHeight="false" outlineLevel="0" collapsed="false">
      <c r="A115" s="26" t="str">
        <f aca="false">Entities!$A$13</f>
        <v>SY</v>
      </c>
      <c r="B115" s="12" t="str">
        <f aca="false">INDEX(Entities!$B$5:$B$34,MATCH(A115,Entities!$A$5:$A$34,0))</f>
        <v>Arab Bank – Syria</v>
      </c>
      <c r="C115" s="12" t="str">
        <f aca="false">INDEX(Entities!$D$5:$D$34,MATCH(A115,Entities!$A$5:$A$34,0))</f>
        <v>Levant</v>
      </c>
      <c r="D115" s="12" t="s">
        <v>304</v>
      </c>
      <c r="E115" s="12" t="str">
        <f aca="false">INDEX('Risk Taxonomy'!$B$5:$B$24,MATCH(D115,'Risk Taxonomy'!$A$5:$A$24,0))</f>
        <v>Liquidity and funding risk</v>
      </c>
      <c r="F115" s="7" t="str">
        <f aca="false">IF(D115="RC-04",IF(INDEX(Entities!$G$5:$G$34,MATCH(A115,Entities!$A$5:$A$34,0))="Y","Yes","N/A"),"Yes")</f>
        <v>Yes</v>
      </c>
      <c r="G115" s="24" t="n">
        <v>4</v>
      </c>
      <c r="H115" s="24" t="n">
        <v>4</v>
      </c>
      <c r="I115" s="24" t="n">
        <v>2</v>
      </c>
      <c r="J115" s="24" t="n">
        <v>4</v>
      </c>
      <c r="K115" s="24" t="n">
        <v>5</v>
      </c>
      <c r="L115" s="37" t="n">
        <f aca="false">IF(F115="N/A","",IF(COUNT(H115:K115)=0,"",IF(Config!$C$19="Highest dimension",MAX(H115:K115),ROUND(H115*Config!$C$20+I115*Config!$C$21+J115*Config!$C$22+K115*Config!$C$23,1))))</f>
        <v>5</v>
      </c>
      <c r="M115" s="38" t="n">
        <f aca="false">IF(OR(L115="",G115=""),"",G115*L115)</f>
        <v>20</v>
      </c>
      <c r="N115" s="31" t="n">
        <f aca="false">IF(M115="","",MATCH(M115,Config!$E$5:$E$9,1))</f>
        <v>5</v>
      </c>
      <c r="O115" s="7" t="str">
        <f aca="false">IF(F115="N/A","N/A",IF(N115="","Not assessed",INDEX(Config!$B$5:$B$9,N115)))</f>
        <v>High</v>
      </c>
      <c r="P115" s="32" t="n">
        <v>0</v>
      </c>
      <c r="Q115" s="8"/>
      <c r="R115" s="33"/>
      <c r="S115" s="34" t="n">
        <f aca="false">IF(N115="","",IF(AND(R115="Y",P115&lt;&gt;0),MAX(1,MIN(5,N115+MAX(-Config!$C$27,MIN(Config!$C$27,P115)))),N115))</f>
        <v>5</v>
      </c>
      <c r="T115" s="35" t="str">
        <f aca="false">IF(F115="N/A","N/A",IF(S115="","Not assessed",INDEX(Config!$B$5:$B$9,S115)))</f>
        <v>High</v>
      </c>
      <c r="U115" s="7" t="str">
        <f aca="false">IF(P115=0,"None",IF(R115="Y","Applied","Pending HO approval"))</f>
        <v>None</v>
      </c>
      <c r="V115" s="8"/>
    </row>
    <row r="116" customFormat="false" ht="15" hidden="false" customHeight="false" outlineLevel="0" collapsed="false">
      <c r="A116" s="26" t="str">
        <f aca="false">Entities!$A$13</f>
        <v>SY</v>
      </c>
      <c r="B116" s="12" t="str">
        <f aca="false">INDEX(Entities!$B$5:$B$34,MATCH(A116,Entities!$A$5:$A$34,0))</f>
        <v>Arab Bank – Syria</v>
      </c>
      <c r="C116" s="12" t="str">
        <f aca="false">INDEX(Entities!$D$5:$D$34,MATCH(A116,Entities!$A$5:$A$34,0))</f>
        <v>Levant</v>
      </c>
      <c r="D116" s="12" t="s">
        <v>307</v>
      </c>
      <c r="E116" s="12" t="str">
        <f aca="false">INDEX('Risk Taxonomy'!$B$5:$B$24,MATCH(D116,'Risk Taxonomy'!$A$5:$A$24,0))</f>
        <v>Operational risk</v>
      </c>
      <c r="F116" s="7" t="str">
        <f aca="false">IF(D116="RC-04",IF(INDEX(Entities!$G$5:$G$34,MATCH(A116,Entities!$A$5:$A$34,0))="Y","Yes","N/A"),"Yes")</f>
        <v>Yes</v>
      </c>
      <c r="G116" s="24" t="n">
        <v>5</v>
      </c>
      <c r="H116" s="24" t="n">
        <v>5</v>
      </c>
      <c r="I116" s="24" t="n">
        <v>4</v>
      </c>
      <c r="J116" s="24" t="n">
        <v>3</v>
      </c>
      <c r="K116" s="24" t="n">
        <v>3</v>
      </c>
      <c r="L116" s="37" t="n">
        <f aca="false">IF(F116="N/A","",IF(COUNT(H116:K116)=0,"",IF(Config!$C$19="Highest dimension",MAX(H116:K116),ROUND(H116*Config!$C$20+I116*Config!$C$21+J116*Config!$C$22+K116*Config!$C$23,1))))</f>
        <v>5</v>
      </c>
      <c r="M116" s="38" t="n">
        <f aca="false">IF(OR(L116="",G116=""),"",G116*L116)</f>
        <v>25</v>
      </c>
      <c r="N116" s="31" t="n">
        <f aca="false">IF(M116="","",MATCH(M116,Config!$E$5:$E$9,1))</f>
        <v>5</v>
      </c>
      <c r="O116" s="7" t="str">
        <f aca="false">IF(F116="N/A","N/A",IF(N116="","Not assessed",INDEX(Config!$B$5:$B$9,N116)))</f>
        <v>High</v>
      </c>
      <c r="P116" s="32" t="n">
        <v>0</v>
      </c>
      <c r="Q116" s="8"/>
      <c r="R116" s="33"/>
      <c r="S116" s="34" t="n">
        <f aca="false">IF(N116="","",IF(AND(R116="Y",P116&lt;&gt;0),MAX(1,MIN(5,N116+MAX(-Config!$C$27,MIN(Config!$C$27,P116)))),N116))</f>
        <v>5</v>
      </c>
      <c r="T116" s="35" t="str">
        <f aca="false">IF(F116="N/A","N/A",IF(S116="","Not assessed",INDEX(Config!$B$5:$B$9,S116)))</f>
        <v>High</v>
      </c>
      <c r="U116" s="7" t="str">
        <f aca="false">IF(P116=0,"None",IF(R116="Y","Applied","Pending HO approval"))</f>
        <v>None</v>
      </c>
      <c r="V116" s="8"/>
    </row>
    <row r="117" customFormat="false" ht="15" hidden="false" customHeight="false" outlineLevel="0" collapsed="false">
      <c r="A117" s="26" t="str">
        <f aca="false">Entities!$A$13</f>
        <v>SY</v>
      </c>
      <c r="B117" s="12" t="str">
        <f aca="false">INDEX(Entities!$B$5:$B$34,MATCH(A117,Entities!$A$5:$A$34,0))</f>
        <v>Arab Bank – Syria</v>
      </c>
      <c r="C117" s="12" t="str">
        <f aca="false">INDEX(Entities!$D$5:$D$34,MATCH(A117,Entities!$A$5:$A$34,0))</f>
        <v>Levant</v>
      </c>
      <c r="D117" s="12" t="s">
        <v>310</v>
      </c>
      <c r="E117" s="12" t="str">
        <f aca="false">INDEX('Risk Taxonomy'!$B$5:$B$24,MATCH(D117,'Risk Taxonomy'!$A$5:$A$24,0))</f>
        <v>Cyber, information security and technology</v>
      </c>
      <c r="F117" s="7" t="str">
        <f aca="false">IF(D117="RC-04",IF(INDEX(Entities!$G$5:$G$34,MATCH(A117,Entities!$A$5:$A$34,0))="Y","Yes","N/A"),"Yes")</f>
        <v>Yes</v>
      </c>
      <c r="G117" s="24" t="n">
        <v>5</v>
      </c>
      <c r="H117" s="24" t="n">
        <v>3</v>
      </c>
      <c r="I117" s="24" t="n">
        <v>3</v>
      </c>
      <c r="J117" s="24" t="n">
        <v>4</v>
      </c>
      <c r="K117" s="24" t="n">
        <v>4</v>
      </c>
      <c r="L117" s="37" t="n">
        <f aca="false">IF(F117="N/A","",IF(COUNT(H117:K117)=0,"",IF(Config!$C$19="Highest dimension",MAX(H117:K117),ROUND(H117*Config!$C$20+I117*Config!$C$21+J117*Config!$C$22+K117*Config!$C$23,1))))</f>
        <v>4</v>
      </c>
      <c r="M117" s="38" t="n">
        <f aca="false">IF(OR(L117="",G117=""),"",G117*L117)</f>
        <v>20</v>
      </c>
      <c r="N117" s="31" t="n">
        <f aca="false">IF(M117="","",MATCH(M117,Config!$E$5:$E$9,1))</f>
        <v>5</v>
      </c>
      <c r="O117" s="7" t="str">
        <f aca="false">IF(F117="N/A","N/A",IF(N117="","Not assessed",INDEX(Config!$B$5:$B$9,N117)))</f>
        <v>High</v>
      </c>
      <c r="P117" s="32" t="n">
        <v>0</v>
      </c>
      <c r="Q117" s="8"/>
      <c r="R117" s="33"/>
      <c r="S117" s="34" t="n">
        <f aca="false">IF(N117="","",IF(AND(R117="Y",P117&lt;&gt;0),MAX(1,MIN(5,N117+MAX(-Config!$C$27,MIN(Config!$C$27,P117)))),N117))</f>
        <v>5</v>
      </c>
      <c r="T117" s="35" t="str">
        <f aca="false">IF(F117="N/A","N/A",IF(S117="","Not assessed",INDEX(Config!$B$5:$B$9,S117)))</f>
        <v>High</v>
      </c>
      <c r="U117" s="7" t="str">
        <f aca="false">IF(P117=0,"None",IF(R117="Y","Applied","Pending HO approval"))</f>
        <v>None</v>
      </c>
      <c r="V117" s="8"/>
    </row>
    <row r="118" customFormat="false" ht="15" hidden="false" customHeight="false" outlineLevel="0" collapsed="false">
      <c r="A118" s="26" t="str">
        <f aca="false">Entities!$A$13</f>
        <v>SY</v>
      </c>
      <c r="B118" s="12" t="str">
        <f aca="false">INDEX(Entities!$B$5:$B$34,MATCH(A118,Entities!$A$5:$A$34,0))</f>
        <v>Arab Bank – Syria</v>
      </c>
      <c r="C118" s="12" t="str">
        <f aca="false">INDEX(Entities!$D$5:$D$34,MATCH(A118,Entities!$A$5:$A$34,0))</f>
        <v>Levant</v>
      </c>
      <c r="D118" s="12" t="s">
        <v>313</v>
      </c>
      <c r="E118" s="12" t="str">
        <f aca="false">INDEX('Risk Taxonomy'!$B$5:$B$24,MATCH(D118,'Risk Taxonomy'!$A$5:$A$24,0))</f>
        <v>Third-party and outsourcing</v>
      </c>
      <c r="F118" s="7" t="str">
        <f aca="false">IF(D118="RC-04",IF(INDEX(Entities!$G$5:$G$34,MATCH(A118,Entities!$A$5:$A$34,0))="Y","Yes","N/A"),"Yes")</f>
        <v>Yes</v>
      </c>
      <c r="G118" s="24" t="n">
        <v>5</v>
      </c>
      <c r="H118" s="24" t="n">
        <v>4</v>
      </c>
      <c r="I118" s="24" t="n">
        <v>3</v>
      </c>
      <c r="J118" s="24" t="n">
        <v>4</v>
      </c>
      <c r="K118" s="24" t="n">
        <v>3</v>
      </c>
      <c r="L118" s="37" t="n">
        <f aca="false">IF(F118="N/A","",IF(COUNT(H118:K118)=0,"",IF(Config!$C$19="Highest dimension",MAX(H118:K118),ROUND(H118*Config!$C$20+I118*Config!$C$21+J118*Config!$C$22+K118*Config!$C$23,1))))</f>
        <v>4</v>
      </c>
      <c r="M118" s="38" t="n">
        <f aca="false">IF(OR(L118="",G118=""),"",G118*L118)</f>
        <v>20</v>
      </c>
      <c r="N118" s="31" t="n">
        <f aca="false">IF(M118="","",MATCH(M118,Config!$E$5:$E$9,1))</f>
        <v>5</v>
      </c>
      <c r="O118" s="7" t="str">
        <f aca="false">IF(F118="N/A","N/A",IF(N118="","Not assessed",INDEX(Config!$B$5:$B$9,N118)))</f>
        <v>High</v>
      </c>
      <c r="P118" s="32" t="n">
        <v>0</v>
      </c>
      <c r="Q118" s="8"/>
      <c r="R118" s="33"/>
      <c r="S118" s="34" t="n">
        <f aca="false">IF(N118="","",IF(AND(R118="Y",P118&lt;&gt;0),MAX(1,MIN(5,N118+MAX(-Config!$C$27,MIN(Config!$C$27,P118)))),N118))</f>
        <v>5</v>
      </c>
      <c r="T118" s="35" t="str">
        <f aca="false">IF(F118="N/A","N/A",IF(S118="","Not assessed",INDEX(Config!$B$5:$B$9,S118)))</f>
        <v>High</v>
      </c>
      <c r="U118" s="7" t="str">
        <f aca="false">IF(P118=0,"None",IF(R118="Y","Applied","Pending HO approval"))</f>
        <v>None</v>
      </c>
      <c r="V118" s="8"/>
    </row>
    <row r="119" customFormat="false" ht="15" hidden="false" customHeight="false" outlineLevel="0" collapsed="false">
      <c r="A119" s="26" t="str">
        <f aca="false">Entities!$A$13</f>
        <v>SY</v>
      </c>
      <c r="B119" s="12" t="str">
        <f aca="false">INDEX(Entities!$B$5:$B$34,MATCH(A119,Entities!$A$5:$A$34,0))</f>
        <v>Arab Bank – Syria</v>
      </c>
      <c r="C119" s="12" t="str">
        <f aca="false">INDEX(Entities!$D$5:$D$34,MATCH(A119,Entities!$A$5:$A$34,0))</f>
        <v>Levant</v>
      </c>
      <c r="D119" s="12" t="s">
        <v>316</v>
      </c>
      <c r="E119" s="12" t="str">
        <f aca="false">INDEX('Risk Taxonomy'!$B$5:$B$24,MATCH(D119,'Risk Taxonomy'!$A$5:$A$24,0))</f>
        <v>Legal and litigation</v>
      </c>
      <c r="F119" s="7" t="str">
        <f aca="false">IF(D119="RC-04",IF(INDEX(Entities!$G$5:$G$34,MATCH(A119,Entities!$A$5:$A$34,0))="Y","Yes","N/A"),"Yes")</f>
        <v>Yes</v>
      </c>
      <c r="G119" s="24" t="n">
        <v>3</v>
      </c>
      <c r="H119" s="24" t="n">
        <v>3</v>
      </c>
      <c r="I119" s="24" t="n">
        <v>4</v>
      </c>
      <c r="J119" s="24" t="n">
        <v>3</v>
      </c>
      <c r="K119" s="24" t="n">
        <v>4</v>
      </c>
      <c r="L119" s="37" t="n">
        <f aca="false">IF(F119="N/A","",IF(COUNT(H119:K119)=0,"",IF(Config!$C$19="Highest dimension",MAX(H119:K119),ROUND(H119*Config!$C$20+I119*Config!$C$21+J119*Config!$C$22+K119*Config!$C$23,1))))</f>
        <v>4</v>
      </c>
      <c r="M119" s="38" t="n">
        <f aca="false">IF(OR(L119="",G119=""),"",G119*L119)</f>
        <v>12</v>
      </c>
      <c r="N119" s="31" t="n">
        <f aca="false">IF(M119="","",MATCH(M119,Config!$E$5:$E$9,1))</f>
        <v>3</v>
      </c>
      <c r="O119" s="7" t="str">
        <f aca="false">IF(F119="N/A","N/A",IF(N119="","Not assessed",INDEX(Config!$B$5:$B$9,N119)))</f>
        <v>Medium</v>
      </c>
      <c r="P119" s="32" t="n">
        <v>0</v>
      </c>
      <c r="Q119" s="8"/>
      <c r="R119" s="33"/>
      <c r="S119" s="34" t="n">
        <f aca="false">IF(N119="","",IF(AND(R119="Y",P119&lt;&gt;0),MAX(1,MIN(5,N119+MAX(-Config!$C$27,MIN(Config!$C$27,P119)))),N119))</f>
        <v>3</v>
      </c>
      <c r="T119" s="35" t="str">
        <f aca="false">IF(F119="N/A","N/A",IF(S119="","Not assessed",INDEX(Config!$B$5:$B$9,S119)))</f>
        <v>Medium</v>
      </c>
      <c r="U119" s="7" t="str">
        <f aca="false">IF(P119=0,"None",IF(R119="Y","Applied","Pending HO approval"))</f>
        <v>None</v>
      </c>
      <c r="V119" s="8"/>
    </row>
    <row r="120" customFormat="false" ht="15" hidden="false" customHeight="false" outlineLevel="0" collapsed="false">
      <c r="A120" s="26" t="str">
        <f aca="false">Entities!$A$13</f>
        <v>SY</v>
      </c>
      <c r="B120" s="12" t="str">
        <f aca="false">INDEX(Entities!$B$5:$B$34,MATCH(A120,Entities!$A$5:$A$34,0))</f>
        <v>Arab Bank – Syria</v>
      </c>
      <c r="C120" s="12" t="str">
        <f aca="false">INDEX(Entities!$D$5:$D$34,MATCH(A120,Entities!$A$5:$A$34,0))</f>
        <v>Levant</v>
      </c>
      <c r="D120" s="12" t="s">
        <v>319</v>
      </c>
      <c r="E120" s="12" t="str">
        <f aca="false">INDEX('Risk Taxonomy'!$B$5:$B$24,MATCH(D120,'Risk Taxonomy'!$A$5:$A$24,0))</f>
        <v>Reputational</v>
      </c>
      <c r="F120" s="7" t="str">
        <f aca="false">IF(D120="RC-04",IF(INDEX(Entities!$G$5:$G$34,MATCH(A120,Entities!$A$5:$A$34,0))="Y","Yes","N/A"),"Yes")</f>
        <v>Yes</v>
      </c>
      <c r="G120" s="24" t="n">
        <v>4</v>
      </c>
      <c r="H120" s="24" t="n">
        <v>4</v>
      </c>
      <c r="I120" s="24" t="n">
        <v>4</v>
      </c>
      <c r="J120" s="24" t="n">
        <v>4</v>
      </c>
      <c r="K120" s="24" t="n">
        <v>4</v>
      </c>
      <c r="L120" s="37" t="n">
        <f aca="false">IF(F120="N/A","",IF(COUNT(H120:K120)=0,"",IF(Config!$C$19="Highest dimension",MAX(H120:K120),ROUND(H120*Config!$C$20+I120*Config!$C$21+J120*Config!$C$22+K120*Config!$C$23,1))))</f>
        <v>4</v>
      </c>
      <c r="M120" s="38" t="n">
        <f aca="false">IF(OR(L120="",G120=""),"",G120*L120)</f>
        <v>16</v>
      </c>
      <c r="N120" s="31" t="n">
        <f aca="false">IF(M120="","",MATCH(M120,Config!$E$5:$E$9,1))</f>
        <v>4</v>
      </c>
      <c r="O120" s="7" t="str">
        <f aca="false">IF(F120="N/A","N/A",IF(N120="","Not assessed",INDEX(Config!$B$5:$B$9,N120)))</f>
        <v>Medium-High</v>
      </c>
      <c r="P120" s="32" t="n">
        <v>0</v>
      </c>
      <c r="Q120" s="8"/>
      <c r="R120" s="33"/>
      <c r="S120" s="34" t="n">
        <f aca="false">IF(N120="","",IF(AND(R120="Y",P120&lt;&gt;0),MAX(1,MIN(5,N120+MAX(-Config!$C$27,MIN(Config!$C$27,P120)))),N120))</f>
        <v>4</v>
      </c>
      <c r="T120" s="35" t="str">
        <f aca="false">IF(F120="N/A","N/A",IF(S120="","Not assessed",INDEX(Config!$B$5:$B$9,S120)))</f>
        <v>Medium-High</v>
      </c>
      <c r="U120" s="7" t="str">
        <f aca="false">IF(P120=0,"None",IF(R120="Y","Applied","Pending HO approval"))</f>
        <v>None</v>
      </c>
      <c r="V120" s="8"/>
    </row>
    <row r="121" customFormat="false" ht="15" hidden="false" customHeight="false" outlineLevel="0" collapsed="false">
      <c r="A121" s="26" t="str">
        <f aca="false">Entities!$A$13</f>
        <v>SY</v>
      </c>
      <c r="B121" s="12" t="str">
        <f aca="false">INDEX(Entities!$B$5:$B$34,MATCH(A121,Entities!$A$5:$A$34,0))</f>
        <v>Arab Bank – Syria</v>
      </c>
      <c r="C121" s="12" t="str">
        <f aca="false">INDEX(Entities!$D$5:$D$34,MATCH(A121,Entities!$A$5:$A$34,0))</f>
        <v>Levant</v>
      </c>
      <c r="D121" s="12" t="s">
        <v>322</v>
      </c>
      <c r="E121" s="12" t="str">
        <f aca="false">INDEX('Risk Taxonomy'!$B$5:$B$24,MATCH(D121,'Risk Taxonomy'!$A$5:$A$24,0))</f>
        <v>Strategic, business model and ESG</v>
      </c>
      <c r="F121" s="7" t="str">
        <f aca="false">IF(D121="RC-04",IF(INDEX(Entities!$G$5:$G$34,MATCH(A121,Entities!$A$5:$A$34,0))="Y","Yes","N/A"),"Yes")</f>
        <v>Yes</v>
      </c>
      <c r="G121" s="24" t="n">
        <v>4</v>
      </c>
      <c r="H121" s="24" t="n">
        <v>4</v>
      </c>
      <c r="I121" s="24" t="n">
        <v>4</v>
      </c>
      <c r="J121" s="24" t="n">
        <v>4</v>
      </c>
      <c r="K121" s="24" t="n">
        <v>4</v>
      </c>
      <c r="L121" s="37" t="n">
        <f aca="false">IF(F121="N/A","",IF(COUNT(H121:K121)=0,"",IF(Config!$C$19="Highest dimension",MAX(H121:K121),ROUND(H121*Config!$C$20+I121*Config!$C$21+J121*Config!$C$22+K121*Config!$C$23,1))))</f>
        <v>4</v>
      </c>
      <c r="M121" s="38" t="n">
        <f aca="false">IF(OR(L121="",G121=""),"",G121*L121)</f>
        <v>16</v>
      </c>
      <c r="N121" s="31" t="n">
        <f aca="false">IF(M121="","",MATCH(M121,Config!$E$5:$E$9,1))</f>
        <v>4</v>
      </c>
      <c r="O121" s="7" t="str">
        <f aca="false">IF(F121="N/A","N/A",IF(N121="","Not assessed",INDEX(Config!$B$5:$B$9,N121)))</f>
        <v>Medium-High</v>
      </c>
      <c r="P121" s="32" t="n">
        <v>0</v>
      </c>
      <c r="Q121" s="8"/>
      <c r="R121" s="33"/>
      <c r="S121" s="34" t="n">
        <f aca="false">IF(N121="","",IF(AND(R121="Y",P121&lt;&gt;0),MAX(1,MIN(5,N121+MAX(-Config!$C$27,MIN(Config!$C$27,P121)))),N121))</f>
        <v>4</v>
      </c>
      <c r="T121" s="35" t="str">
        <f aca="false">IF(F121="N/A","N/A",IF(S121="","Not assessed",INDEX(Config!$B$5:$B$9,S121)))</f>
        <v>Medium-High</v>
      </c>
      <c r="U121" s="7" t="str">
        <f aca="false">IF(P121=0,"None",IF(R121="Y","Applied","Pending HO approval"))</f>
        <v>None</v>
      </c>
      <c r="V121" s="8"/>
    </row>
    <row r="122" customFormat="false" ht="15" hidden="false" customHeight="false" outlineLevel="0" collapsed="false">
      <c r="A122" s="26" t="str">
        <f aca="false">Entities!$A$14</f>
        <v>AE</v>
      </c>
      <c r="B122" s="12" t="str">
        <f aca="false">INDEX(Entities!$B$5:$B$34,MATCH(A122,Entities!$A$5:$A$34,0))</f>
        <v>Arab Bank – UAE</v>
      </c>
      <c r="C122" s="12" t="str">
        <f aca="false">INDEX(Entities!$D$5:$D$34,MATCH(A122,Entities!$A$5:$A$34,0))</f>
        <v>GCC</v>
      </c>
      <c r="D122" s="12" t="s">
        <v>284</v>
      </c>
      <c r="E122" s="12" t="str">
        <f aca="false">INDEX('Risk Taxonomy'!$B$5:$B$24,MATCH(D122,'Risk Taxonomy'!$A$5:$A$24,0))</f>
        <v>Regulatory compliance</v>
      </c>
      <c r="F122" s="7" t="str">
        <f aca="false">IF(D122="RC-04",IF(INDEX(Entities!$G$5:$G$34,MATCH(A122,Entities!$A$5:$A$34,0))="Y","Yes","N/A"),"Yes")</f>
        <v>Yes</v>
      </c>
      <c r="G122" s="24" t="n">
        <v>4</v>
      </c>
      <c r="H122" s="24" t="n">
        <v>2</v>
      </c>
      <c r="I122" s="24" t="n">
        <v>2</v>
      </c>
      <c r="J122" s="24" t="n">
        <v>3</v>
      </c>
      <c r="K122" s="24" t="n">
        <v>3</v>
      </c>
      <c r="L122" s="37" t="n">
        <f aca="false">IF(F122="N/A","",IF(COUNT(H122:K122)=0,"",IF(Config!$C$19="Highest dimension",MAX(H122:K122),ROUND(H122*Config!$C$20+I122*Config!$C$21+J122*Config!$C$22+K122*Config!$C$23,1))))</f>
        <v>3</v>
      </c>
      <c r="M122" s="38" t="n">
        <f aca="false">IF(OR(L122="",G122=""),"",G122*L122)</f>
        <v>12</v>
      </c>
      <c r="N122" s="31" t="n">
        <f aca="false">IF(M122="","",MATCH(M122,Config!$E$5:$E$9,1))</f>
        <v>3</v>
      </c>
      <c r="O122" s="7" t="str">
        <f aca="false">IF(F122="N/A","N/A",IF(N122="","Not assessed",INDEX(Config!$B$5:$B$9,N122)))</f>
        <v>Medium</v>
      </c>
      <c r="P122" s="32" t="n">
        <v>0</v>
      </c>
      <c r="Q122" s="8"/>
      <c r="R122" s="33"/>
      <c r="S122" s="34" t="n">
        <f aca="false">IF(N122="","",IF(AND(R122="Y",P122&lt;&gt;0),MAX(1,MIN(5,N122+MAX(-Config!$C$27,MIN(Config!$C$27,P122)))),N122))</f>
        <v>3</v>
      </c>
      <c r="T122" s="35" t="str">
        <f aca="false">IF(F122="N/A","N/A",IF(S122="","Not assessed",INDEX(Config!$B$5:$B$9,S122)))</f>
        <v>Medium</v>
      </c>
      <c r="U122" s="7" t="str">
        <f aca="false">IF(P122=0,"None",IF(R122="Y","Applied","Pending HO approval"))</f>
        <v>None</v>
      </c>
      <c r="V122" s="8"/>
    </row>
    <row r="123" customFormat="false" ht="15" hidden="false" customHeight="false" outlineLevel="0" collapsed="false">
      <c r="A123" s="26" t="str">
        <f aca="false">Entities!$A$14</f>
        <v>AE</v>
      </c>
      <c r="B123" s="12" t="str">
        <f aca="false">INDEX(Entities!$B$5:$B$34,MATCH(A123,Entities!$A$5:$A$34,0))</f>
        <v>Arab Bank – UAE</v>
      </c>
      <c r="C123" s="12" t="str">
        <f aca="false">INDEX(Entities!$D$5:$D$34,MATCH(A123,Entities!$A$5:$A$34,0))</f>
        <v>GCC</v>
      </c>
      <c r="D123" s="12" t="s">
        <v>288</v>
      </c>
      <c r="E123" s="12" t="str">
        <f aca="false">INDEX('Risk Taxonomy'!$B$5:$B$24,MATCH(D123,'Risk Taxonomy'!$A$5:$A$24,0))</f>
        <v>Conduct and consumer protection</v>
      </c>
      <c r="F123" s="7" t="str">
        <f aca="false">IF(D123="RC-04",IF(INDEX(Entities!$G$5:$G$34,MATCH(A123,Entities!$A$5:$A$34,0))="Y","Yes","N/A"),"Yes")</f>
        <v>Yes</v>
      </c>
      <c r="G123" s="24" t="n">
        <v>3</v>
      </c>
      <c r="H123" s="24" t="n">
        <v>4</v>
      </c>
      <c r="I123" s="24" t="n">
        <v>2</v>
      </c>
      <c r="J123" s="24" t="n">
        <v>3</v>
      </c>
      <c r="K123" s="24" t="n">
        <v>3</v>
      </c>
      <c r="L123" s="37" t="n">
        <f aca="false">IF(F123="N/A","",IF(COUNT(H123:K123)=0,"",IF(Config!$C$19="Highest dimension",MAX(H123:K123),ROUND(H123*Config!$C$20+I123*Config!$C$21+J123*Config!$C$22+K123*Config!$C$23,1))))</f>
        <v>4</v>
      </c>
      <c r="M123" s="38" t="n">
        <f aca="false">IF(OR(L123="",G123=""),"",G123*L123)</f>
        <v>12</v>
      </c>
      <c r="N123" s="31" t="n">
        <f aca="false">IF(M123="","",MATCH(M123,Config!$E$5:$E$9,1))</f>
        <v>3</v>
      </c>
      <c r="O123" s="7" t="str">
        <f aca="false">IF(F123="N/A","N/A",IF(N123="","Not assessed",INDEX(Config!$B$5:$B$9,N123)))</f>
        <v>Medium</v>
      </c>
      <c r="P123" s="32" t="n">
        <v>0</v>
      </c>
      <c r="Q123" s="8"/>
      <c r="R123" s="33"/>
      <c r="S123" s="34" t="n">
        <f aca="false">IF(N123="","",IF(AND(R123="Y",P123&lt;&gt;0),MAX(1,MIN(5,N123+MAX(-Config!$C$27,MIN(Config!$C$27,P123)))),N123))</f>
        <v>3</v>
      </c>
      <c r="T123" s="35" t="str">
        <f aca="false">IF(F123="N/A","N/A",IF(S123="","Not assessed",INDEX(Config!$B$5:$B$9,S123)))</f>
        <v>Medium</v>
      </c>
      <c r="U123" s="7" t="str">
        <f aca="false">IF(P123=0,"None",IF(R123="Y","Applied","Pending HO approval"))</f>
        <v>None</v>
      </c>
      <c r="V123" s="8"/>
    </row>
    <row r="124" customFormat="false" ht="15" hidden="false" customHeight="false" outlineLevel="0" collapsed="false">
      <c r="A124" s="26" t="str">
        <f aca="false">Entities!$A$14</f>
        <v>AE</v>
      </c>
      <c r="B124" s="12" t="str">
        <f aca="false">INDEX(Entities!$B$5:$B$34,MATCH(A124,Entities!$A$5:$A$34,0))</f>
        <v>Arab Bank – UAE</v>
      </c>
      <c r="C124" s="12" t="str">
        <f aca="false">INDEX(Entities!$D$5:$D$34,MATCH(A124,Entities!$A$5:$A$34,0))</f>
        <v>GCC</v>
      </c>
      <c r="D124" s="12" t="s">
        <v>290</v>
      </c>
      <c r="E124" s="12" t="str">
        <f aca="false">INDEX('Risk Taxonomy'!$B$5:$B$24,MATCH(D124,'Risk Taxonomy'!$A$5:$A$24,0))</f>
        <v>Data protection and privacy</v>
      </c>
      <c r="F124" s="7" t="str">
        <f aca="false">IF(D124="RC-04",IF(INDEX(Entities!$G$5:$G$34,MATCH(A124,Entities!$A$5:$A$34,0))="Y","Yes","N/A"),"Yes")</f>
        <v>Yes</v>
      </c>
      <c r="G124" s="24" t="n">
        <v>4</v>
      </c>
      <c r="H124" s="24" t="n">
        <v>4</v>
      </c>
      <c r="I124" s="24" t="n">
        <v>5</v>
      </c>
      <c r="J124" s="24" t="n">
        <v>3</v>
      </c>
      <c r="K124" s="24" t="n">
        <v>3</v>
      </c>
      <c r="L124" s="37" t="n">
        <f aca="false">IF(F124="N/A","",IF(COUNT(H124:K124)=0,"",IF(Config!$C$19="Highest dimension",MAX(H124:K124),ROUND(H124*Config!$C$20+I124*Config!$C$21+J124*Config!$C$22+K124*Config!$C$23,1))))</f>
        <v>5</v>
      </c>
      <c r="M124" s="38" t="n">
        <f aca="false">IF(OR(L124="",G124=""),"",G124*L124)</f>
        <v>20</v>
      </c>
      <c r="N124" s="31" t="n">
        <f aca="false">IF(M124="","",MATCH(M124,Config!$E$5:$E$9,1))</f>
        <v>5</v>
      </c>
      <c r="O124" s="7" t="str">
        <f aca="false">IF(F124="N/A","N/A",IF(N124="","Not assessed",INDEX(Config!$B$5:$B$9,N124)))</f>
        <v>High</v>
      </c>
      <c r="P124" s="32" t="n">
        <v>0</v>
      </c>
      <c r="Q124" s="8"/>
      <c r="R124" s="33"/>
      <c r="S124" s="34" t="n">
        <f aca="false">IF(N124="","",IF(AND(R124="Y",P124&lt;&gt;0),MAX(1,MIN(5,N124+MAX(-Config!$C$27,MIN(Config!$C$27,P124)))),N124))</f>
        <v>5</v>
      </c>
      <c r="T124" s="35" t="str">
        <f aca="false">IF(F124="N/A","N/A",IF(S124="","Not assessed",INDEX(Config!$B$5:$B$9,S124)))</f>
        <v>High</v>
      </c>
      <c r="U124" s="7" t="str">
        <f aca="false">IF(P124=0,"None",IF(R124="Y","Applied","Pending HO approval"))</f>
        <v>None</v>
      </c>
      <c r="V124" s="8"/>
    </row>
    <row r="125" customFormat="false" ht="15" hidden="false" customHeight="false" outlineLevel="0" collapsed="false">
      <c r="A125" s="26" t="str">
        <f aca="false">Entities!$A$14</f>
        <v>AE</v>
      </c>
      <c r="B125" s="12" t="str">
        <f aca="false">INDEX(Entities!$B$5:$B$34,MATCH(A125,Entities!$A$5:$A$34,0))</f>
        <v>Arab Bank – UAE</v>
      </c>
      <c r="C125" s="12" t="str">
        <f aca="false">INDEX(Entities!$D$5:$D$34,MATCH(A125,Entities!$A$5:$A$34,0))</f>
        <v>GCC</v>
      </c>
      <c r="D125" s="12" t="s">
        <v>293</v>
      </c>
      <c r="E125" s="12" t="str">
        <f aca="false">INDEX('Risk Taxonomy'!$B$5:$B$24,MATCH(D125,'Risk Taxonomy'!$A$5:$A$24,0))</f>
        <v>Shariah non-compliance</v>
      </c>
      <c r="F125" s="7" t="str">
        <f aca="false">IF(D125="RC-04",IF(INDEX(Entities!$G$5:$G$34,MATCH(A125,Entities!$A$5:$A$34,0))="Y","Yes","N/A"),"Yes")</f>
        <v>N/A</v>
      </c>
      <c r="G125" s="24"/>
      <c r="H125" s="24"/>
      <c r="I125" s="24"/>
      <c r="J125" s="24"/>
      <c r="K125" s="24"/>
      <c r="L125" s="37" t="str">
        <f aca="false">IF(F125="N/A","",IF(COUNT(H125:K125)=0,"",IF(Config!$C$19="Highest dimension",MAX(H125:K125),ROUND(H125*Config!$C$20+I125*Config!$C$21+J125*Config!$C$22+K125*Config!$C$23,1))))</f>
        <v/>
      </c>
      <c r="M125" s="38" t="str">
        <f aca="false">IF(OR(L125="",G125=""),"",G125*L125)</f>
        <v/>
      </c>
      <c r="N125" s="31" t="str">
        <f aca="false">IF(M125="","",MATCH(M125,Config!$E$5:$E$9,1))</f>
        <v/>
      </c>
      <c r="O125" s="7" t="str">
        <f aca="false">IF(F125="N/A","N/A",IF(N125="","Not assessed",INDEX(Config!$B$5:$B$9,N125)))</f>
        <v>N/A</v>
      </c>
      <c r="P125" s="32" t="n">
        <v>0</v>
      </c>
      <c r="Q125" s="8"/>
      <c r="R125" s="33"/>
      <c r="S125" s="34" t="str">
        <f aca="false">IF(N125="","",IF(AND(R125="Y",P125&lt;&gt;0),MAX(1,MIN(5,N125+MAX(-Config!$C$27,MIN(Config!$C$27,P125)))),N125))</f>
        <v/>
      </c>
      <c r="T125" s="35" t="str">
        <f aca="false">IF(F125="N/A","N/A",IF(S125="","Not assessed",INDEX(Config!$B$5:$B$9,S125)))</f>
        <v>N/A</v>
      </c>
      <c r="U125" s="7" t="str">
        <f aca="false">IF(P125=0,"None",IF(R125="Y","Applied","Pending HO approval"))</f>
        <v>None</v>
      </c>
      <c r="V125" s="8"/>
    </row>
    <row r="126" customFormat="false" ht="15" hidden="false" customHeight="false" outlineLevel="0" collapsed="false">
      <c r="A126" s="26" t="str">
        <f aca="false">Entities!$A$14</f>
        <v>AE</v>
      </c>
      <c r="B126" s="12" t="str">
        <f aca="false">INDEX(Entities!$B$5:$B$34,MATCH(A126,Entities!$A$5:$A$34,0))</f>
        <v>Arab Bank – UAE</v>
      </c>
      <c r="C126" s="12" t="str">
        <f aca="false">INDEX(Entities!$D$5:$D$34,MATCH(A126,Entities!$A$5:$A$34,0))</f>
        <v>GCC</v>
      </c>
      <c r="D126" s="12" t="s">
        <v>297</v>
      </c>
      <c r="E126" s="12" t="str">
        <f aca="false">INDEX('Risk Taxonomy'!$B$5:$B$24,MATCH(D126,'Risk Taxonomy'!$A$5:$A$24,0))</f>
        <v>Credit risk</v>
      </c>
      <c r="F126" s="7" t="str">
        <f aca="false">IF(D126="RC-04",IF(INDEX(Entities!$G$5:$G$34,MATCH(A126,Entities!$A$5:$A$34,0))="Y","Yes","N/A"),"Yes")</f>
        <v>Yes</v>
      </c>
      <c r="G126" s="24" t="n">
        <v>4</v>
      </c>
      <c r="H126" s="24" t="n">
        <v>2</v>
      </c>
      <c r="I126" s="24" t="n">
        <v>2</v>
      </c>
      <c r="J126" s="24" t="n">
        <v>2</v>
      </c>
      <c r="K126" s="24" t="n">
        <v>1</v>
      </c>
      <c r="L126" s="37" t="n">
        <f aca="false">IF(F126="N/A","",IF(COUNT(H126:K126)=0,"",IF(Config!$C$19="Highest dimension",MAX(H126:K126),ROUND(H126*Config!$C$20+I126*Config!$C$21+J126*Config!$C$22+K126*Config!$C$23,1))))</f>
        <v>2</v>
      </c>
      <c r="M126" s="38" t="n">
        <f aca="false">IF(OR(L126="",G126=""),"",G126*L126)</f>
        <v>8</v>
      </c>
      <c r="N126" s="31" t="n">
        <f aca="false">IF(M126="","",MATCH(M126,Config!$E$5:$E$9,1))</f>
        <v>2</v>
      </c>
      <c r="O126" s="7" t="str">
        <f aca="false">IF(F126="N/A","N/A",IF(N126="","Not assessed",INDEX(Config!$B$5:$B$9,N126)))</f>
        <v>Medium-Low</v>
      </c>
      <c r="P126" s="32" t="n">
        <v>0</v>
      </c>
      <c r="Q126" s="8"/>
      <c r="R126" s="33"/>
      <c r="S126" s="34" t="n">
        <f aca="false">IF(N126="","",IF(AND(R126="Y",P126&lt;&gt;0),MAX(1,MIN(5,N126+MAX(-Config!$C$27,MIN(Config!$C$27,P126)))),N126))</f>
        <v>2</v>
      </c>
      <c r="T126" s="35" t="str">
        <f aca="false">IF(F126="N/A","N/A",IF(S126="","Not assessed",INDEX(Config!$B$5:$B$9,S126)))</f>
        <v>Medium-Low</v>
      </c>
      <c r="U126" s="7" t="str">
        <f aca="false">IF(P126=0,"None",IF(R126="Y","Applied","Pending HO approval"))</f>
        <v>None</v>
      </c>
      <c r="V126" s="8"/>
    </row>
    <row r="127" customFormat="false" ht="15" hidden="false" customHeight="false" outlineLevel="0" collapsed="false">
      <c r="A127" s="26" t="str">
        <f aca="false">Entities!$A$14</f>
        <v>AE</v>
      </c>
      <c r="B127" s="12" t="str">
        <f aca="false">INDEX(Entities!$B$5:$B$34,MATCH(A127,Entities!$A$5:$A$34,0))</f>
        <v>Arab Bank – UAE</v>
      </c>
      <c r="C127" s="12" t="str">
        <f aca="false">INDEX(Entities!$D$5:$D$34,MATCH(A127,Entities!$A$5:$A$34,0))</f>
        <v>GCC</v>
      </c>
      <c r="D127" s="12" t="s">
        <v>302</v>
      </c>
      <c r="E127" s="12" t="str">
        <f aca="false">INDEX('Risk Taxonomy'!$B$5:$B$24,MATCH(D127,'Risk Taxonomy'!$A$5:$A$24,0))</f>
        <v>Market risk</v>
      </c>
      <c r="F127" s="7" t="str">
        <f aca="false">IF(D127="RC-04",IF(INDEX(Entities!$G$5:$G$34,MATCH(A127,Entities!$A$5:$A$34,0))="Y","Yes","N/A"),"Yes")</f>
        <v>Yes</v>
      </c>
      <c r="G127" s="24" t="n">
        <v>3</v>
      </c>
      <c r="H127" s="24" t="n">
        <v>2</v>
      </c>
      <c r="I127" s="24" t="n">
        <v>2</v>
      </c>
      <c r="J127" s="24" t="n">
        <v>3</v>
      </c>
      <c r="K127" s="24" t="n">
        <v>3</v>
      </c>
      <c r="L127" s="37" t="n">
        <f aca="false">IF(F127="N/A","",IF(COUNT(H127:K127)=0,"",IF(Config!$C$19="Highest dimension",MAX(H127:K127),ROUND(H127*Config!$C$20+I127*Config!$C$21+J127*Config!$C$22+K127*Config!$C$23,1))))</f>
        <v>3</v>
      </c>
      <c r="M127" s="38" t="n">
        <f aca="false">IF(OR(L127="",G127=""),"",G127*L127)</f>
        <v>9</v>
      </c>
      <c r="N127" s="31" t="n">
        <f aca="false">IF(M127="","",MATCH(M127,Config!$E$5:$E$9,1))</f>
        <v>3</v>
      </c>
      <c r="O127" s="7" t="str">
        <f aca="false">IF(F127="N/A","N/A",IF(N127="","Not assessed",INDEX(Config!$B$5:$B$9,N127)))</f>
        <v>Medium</v>
      </c>
      <c r="P127" s="32" t="n">
        <v>0</v>
      </c>
      <c r="Q127" s="8"/>
      <c r="R127" s="33"/>
      <c r="S127" s="34" t="n">
        <f aca="false">IF(N127="","",IF(AND(R127="Y",P127&lt;&gt;0),MAX(1,MIN(5,N127+MAX(-Config!$C$27,MIN(Config!$C$27,P127)))),N127))</f>
        <v>3</v>
      </c>
      <c r="T127" s="35" t="str">
        <f aca="false">IF(F127="N/A","N/A",IF(S127="","Not assessed",INDEX(Config!$B$5:$B$9,S127)))</f>
        <v>Medium</v>
      </c>
      <c r="U127" s="7" t="str">
        <f aca="false">IF(P127=0,"None",IF(R127="Y","Applied","Pending HO approval"))</f>
        <v>None</v>
      </c>
      <c r="V127" s="8"/>
    </row>
    <row r="128" customFormat="false" ht="15" hidden="false" customHeight="false" outlineLevel="0" collapsed="false">
      <c r="A128" s="26" t="str">
        <f aca="false">Entities!$A$14</f>
        <v>AE</v>
      </c>
      <c r="B128" s="12" t="str">
        <f aca="false">INDEX(Entities!$B$5:$B$34,MATCH(A128,Entities!$A$5:$A$34,0))</f>
        <v>Arab Bank – UAE</v>
      </c>
      <c r="C128" s="12" t="str">
        <f aca="false">INDEX(Entities!$D$5:$D$34,MATCH(A128,Entities!$A$5:$A$34,0))</f>
        <v>GCC</v>
      </c>
      <c r="D128" s="12" t="s">
        <v>304</v>
      </c>
      <c r="E128" s="12" t="str">
        <f aca="false">INDEX('Risk Taxonomy'!$B$5:$B$24,MATCH(D128,'Risk Taxonomy'!$A$5:$A$24,0))</f>
        <v>Liquidity and funding risk</v>
      </c>
      <c r="F128" s="7" t="str">
        <f aca="false">IF(D128="RC-04",IF(INDEX(Entities!$G$5:$G$34,MATCH(A128,Entities!$A$5:$A$34,0))="Y","Yes","N/A"),"Yes")</f>
        <v>Yes</v>
      </c>
      <c r="G128" s="24" t="n">
        <v>2</v>
      </c>
      <c r="H128" s="24" t="n">
        <v>2</v>
      </c>
      <c r="I128" s="24" t="n">
        <v>4</v>
      </c>
      <c r="J128" s="24" t="n">
        <v>4</v>
      </c>
      <c r="K128" s="24" t="n">
        <v>3</v>
      </c>
      <c r="L128" s="37" t="n">
        <f aca="false">IF(F128="N/A","",IF(COUNT(H128:K128)=0,"",IF(Config!$C$19="Highest dimension",MAX(H128:K128),ROUND(H128*Config!$C$20+I128*Config!$C$21+J128*Config!$C$22+K128*Config!$C$23,1))))</f>
        <v>4</v>
      </c>
      <c r="M128" s="38" t="n">
        <f aca="false">IF(OR(L128="",G128=""),"",G128*L128)</f>
        <v>8</v>
      </c>
      <c r="N128" s="31" t="n">
        <f aca="false">IF(M128="","",MATCH(M128,Config!$E$5:$E$9,1))</f>
        <v>2</v>
      </c>
      <c r="O128" s="7" t="str">
        <f aca="false">IF(F128="N/A","N/A",IF(N128="","Not assessed",INDEX(Config!$B$5:$B$9,N128)))</f>
        <v>Medium-Low</v>
      </c>
      <c r="P128" s="32" t="n">
        <v>0</v>
      </c>
      <c r="Q128" s="8"/>
      <c r="R128" s="33"/>
      <c r="S128" s="34" t="n">
        <f aca="false">IF(N128="","",IF(AND(R128="Y",P128&lt;&gt;0),MAX(1,MIN(5,N128+MAX(-Config!$C$27,MIN(Config!$C$27,P128)))),N128))</f>
        <v>2</v>
      </c>
      <c r="T128" s="35" t="str">
        <f aca="false">IF(F128="N/A","N/A",IF(S128="","Not assessed",INDEX(Config!$B$5:$B$9,S128)))</f>
        <v>Medium-Low</v>
      </c>
      <c r="U128" s="7" t="str">
        <f aca="false">IF(P128=0,"None",IF(R128="Y","Applied","Pending HO approval"))</f>
        <v>None</v>
      </c>
      <c r="V128" s="8"/>
    </row>
    <row r="129" customFormat="false" ht="15" hidden="false" customHeight="false" outlineLevel="0" collapsed="false">
      <c r="A129" s="26" t="str">
        <f aca="false">Entities!$A$14</f>
        <v>AE</v>
      </c>
      <c r="B129" s="12" t="str">
        <f aca="false">INDEX(Entities!$B$5:$B$34,MATCH(A129,Entities!$A$5:$A$34,0))</f>
        <v>Arab Bank – UAE</v>
      </c>
      <c r="C129" s="12" t="str">
        <f aca="false">INDEX(Entities!$D$5:$D$34,MATCH(A129,Entities!$A$5:$A$34,0))</f>
        <v>GCC</v>
      </c>
      <c r="D129" s="12" t="s">
        <v>307</v>
      </c>
      <c r="E129" s="12" t="str">
        <f aca="false">INDEX('Risk Taxonomy'!$B$5:$B$24,MATCH(D129,'Risk Taxonomy'!$A$5:$A$24,0))</f>
        <v>Operational risk</v>
      </c>
      <c r="F129" s="7" t="str">
        <f aca="false">IF(D129="RC-04",IF(INDEX(Entities!$G$5:$G$34,MATCH(A129,Entities!$A$5:$A$34,0))="Y","Yes","N/A"),"Yes")</f>
        <v>Yes</v>
      </c>
      <c r="G129" s="24" t="n">
        <v>2</v>
      </c>
      <c r="H129" s="24" t="n">
        <v>2</v>
      </c>
      <c r="I129" s="24" t="n">
        <v>3</v>
      </c>
      <c r="J129" s="24" t="n">
        <v>3</v>
      </c>
      <c r="K129" s="24" t="n">
        <v>3</v>
      </c>
      <c r="L129" s="37" t="n">
        <f aca="false">IF(F129="N/A","",IF(COUNT(H129:K129)=0,"",IF(Config!$C$19="Highest dimension",MAX(H129:K129),ROUND(H129*Config!$C$20+I129*Config!$C$21+J129*Config!$C$22+K129*Config!$C$23,1))))</f>
        <v>3</v>
      </c>
      <c r="M129" s="38" t="n">
        <f aca="false">IF(OR(L129="",G129=""),"",G129*L129)</f>
        <v>6</v>
      </c>
      <c r="N129" s="31" t="n">
        <f aca="false">IF(M129="","",MATCH(M129,Config!$E$5:$E$9,1))</f>
        <v>2</v>
      </c>
      <c r="O129" s="7" t="str">
        <f aca="false">IF(F129="N/A","N/A",IF(N129="","Not assessed",INDEX(Config!$B$5:$B$9,N129)))</f>
        <v>Medium-Low</v>
      </c>
      <c r="P129" s="32" t="n">
        <v>0</v>
      </c>
      <c r="Q129" s="8"/>
      <c r="R129" s="33"/>
      <c r="S129" s="34" t="n">
        <f aca="false">IF(N129="","",IF(AND(R129="Y",P129&lt;&gt;0),MAX(1,MIN(5,N129+MAX(-Config!$C$27,MIN(Config!$C$27,P129)))),N129))</f>
        <v>2</v>
      </c>
      <c r="T129" s="35" t="str">
        <f aca="false">IF(F129="N/A","N/A",IF(S129="","Not assessed",INDEX(Config!$B$5:$B$9,S129)))</f>
        <v>Medium-Low</v>
      </c>
      <c r="U129" s="7" t="str">
        <f aca="false">IF(P129=0,"None",IF(R129="Y","Applied","Pending HO approval"))</f>
        <v>None</v>
      </c>
      <c r="V129" s="8"/>
    </row>
    <row r="130" customFormat="false" ht="15" hidden="false" customHeight="false" outlineLevel="0" collapsed="false">
      <c r="A130" s="26" t="str">
        <f aca="false">Entities!$A$14</f>
        <v>AE</v>
      </c>
      <c r="B130" s="12" t="str">
        <f aca="false">INDEX(Entities!$B$5:$B$34,MATCH(A130,Entities!$A$5:$A$34,0))</f>
        <v>Arab Bank – UAE</v>
      </c>
      <c r="C130" s="12" t="str">
        <f aca="false">INDEX(Entities!$D$5:$D$34,MATCH(A130,Entities!$A$5:$A$34,0))</f>
        <v>GCC</v>
      </c>
      <c r="D130" s="12" t="s">
        <v>310</v>
      </c>
      <c r="E130" s="12" t="str">
        <f aca="false">INDEX('Risk Taxonomy'!$B$5:$B$24,MATCH(D130,'Risk Taxonomy'!$A$5:$A$24,0))</f>
        <v>Cyber, information security and technology</v>
      </c>
      <c r="F130" s="7" t="str">
        <f aca="false">IF(D130="RC-04",IF(INDEX(Entities!$G$5:$G$34,MATCH(A130,Entities!$A$5:$A$34,0))="Y","Yes","N/A"),"Yes")</f>
        <v>Yes</v>
      </c>
      <c r="G130" s="24" t="n">
        <v>3</v>
      </c>
      <c r="H130" s="24" t="n">
        <v>3</v>
      </c>
      <c r="I130" s="24" t="n">
        <v>4</v>
      </c>
      <c r="J130" s="24" t="n">
        <v>2</v>
      </c>
      <c r="K130" s="24" t="n">
        <v>2</v>
      </c>
      <c r="L130" s="37" t="n">
        <f aca="false">IF(F130="N/A","",IF(COUNT(H130:K130)=0,"",IF(Config!$C$19="Highest dimension",MAX(H130:K130),ROUND(H130*Config!$C$20+I130*Config!$C$21+J130*Config!$C$22+K130*Config!$C$23,1))))</f>
        <v>4</v>
      </c>
      <c r="M130" s="38" t="n">
        <f aca="false">IF(OR(L130="",G130=""),"",G130*L130)</f>
        <v>12</v>
      </c>
      <c r="N130" s="31" t="n">
        <f aca="false">IF(M130="","",MATCH(M130,Config!$E$5:$E$9,1))</f>
        <v>3</v>
      </c>
      <c r="O130" s="7" t="str">
        <f aca="false">IF(F130="N/A","N/A",IF(N130="","Not assessed",INDEX(Config!$B$5:$B$9,N130)))</f>
        <v>Medium</v>
      </c>
      <c r="P130" s="32" t="n">
        <v>0</v>
      </c>
      <c r="Q130" s="8"/>
      <c r="R130" s="33"/>
      <c r="S130" s="34" t="n">
        <f aca="false">IF(N130="","",IF(AND(R130="Y",P130&lt;&gt;0),MAX(1,MIN(5,N130+MAX(-Config!$C$27,MIN(Config!$C$27,P130)))),N130))</f>
        <v>3</v>
      </c>
      <c r="T130" s="35" t="str">
        <f aca="false">IF(F130="N/A","N/A",IF(S130="","Not assessed",INDEX(Config!$B$5:$B$9,S130)))</f>
        <v>Medium</v>
      </c>
      <c r="U130" s="7" t="str">
        <f aca="false">IF(P130=0,"None",IF(R130="Y","Applied","Pending HO approval"))</f>
        <v>None</v>
      </c>
      <c r="V130" s="8"/>
    </row>
    <row r="131" customFormat="false" ht="15" hidden="false" customHeight="false" outlineLevel="0" collapsed="false">
      <c r="A131" s="26" t="str">
        <f aca="false">Entities!$A$14</f>
        <v>AE</v>
      </c>
      <c r="B131" s="12" t="str">
        <f aca="false">INDEX(Entities!$B$5:$B$34,MATCH(A131,Entities!$A$5:$A$34,0))</f>
        <v>Arab Bank – UAE</v>
      </c>
      <c r="C131" s="12" t="str">
        <f aca="false">INDEX(Entities!$D$5:$D$34,MATCH(A131,Entities!$A$5:$A$34,0))</f>
        <v>GCC</v>
      </c>
      <c r="D131" s="12" t="s">
        <v>313</v>
      </c>
      <c r="E131" s="12" t="str">
        <f aca="false">INDEX('Risk Taxonomy'!$B$5:$B$24,MATCH(D131,'Risk Taxonomy'!$A$5:$A$24,0))</f>
        <v>Third-party and outsourcing</v>
      </c>
      <c r="F131" s="7" t="str">
        <f aca="false">IF(D131="RC-04",IF(INDEX(Entities!$G$5:$G$34,MATCH(A131,Entities!$A$5:$A$34,0))="Y","Yes","N/A"),"Yes")</f>
        <v>Yes</v>
      </c>
      <c r="G131" s="24" t="n">
        <v>3</v>
      </c>
      <c r="H131" s="24" t="n">
        <v>3</v>
      </c>
      <c r="I131" s="24" t="n">
        <v>3</v>
      </c>
      <c r="J131" s="24" t="n">
        <v>5</v>
      </c>
      <c r="K131" s="24" t="n">
        <v>3</v>
      </c>
      <c r="L131" s="37" t="n">
        <f aca="false">IF(F131="N/A","",IF(COUNT(H131:K131)=0,"",IF(Config!$C$19="Highest dimension",MAX(H131:K131),ROUND(H131*Config!$C$20+I131*Config!$C$21+J131*Config!$C$22+K131*Config!$C$23,1))))</f>
        <v>5</v>
      </c>
      <c r="M131" s="38" t="n">
        <f aca="false">IF(OR(L131="",G131=""),"",G131*L131)</f>
        <v>15</v>
      </c>
      <c r="N131" s="31" t="n">
        <f aca="false">IF(M131="","",MATCH(M131,Config!$E$5:$E$9,1))</f>
        <v>4</v>
      </c>
      <c r="O131" s="7" t="str">
        <f aca="false">IF(F131="N/A","N/A",IF(N131="","Not assessed",INDEX(Config!$B$5:$B$9,N131)))</f>
        <v>Medium-High</v>
      </c>
      <c r="P131" s="32" t="n">
        <v>0</v>
      </c>
      <c r="Q131" s="8"/>
      <c r="R131" s="33"/>
      <c r="S131" s="34" t="n">
        <f aca="false">IF(N131="","",IF(AND(R131="Y",P131&lt;&gt;0),MAX(1,MIN(5,N131+MAX(-Config!$C$27,MIN(Config!$C$27,P131)))),N131))</f>
        <v>4</v>
      </c>
      <c r="T131" s="35" t="str">
        <f aca="false">IF(F131="N/A","N/A",IF(S131="","Not assessed",INDEX(Config!$B$5:$B$9,S131)))</f>
        <v>Medium-High</v>
      </c>
      <c r="U131" s="7" t="str">
        <f aca="false">IF(P131=0,"None",IF(R131="Y","Applied","Pending HO approval"))</f>
        <v>None</v>
      </c>
      <c r="V131" s="8"/>
    </row>
    <row r="132" customFormat="false" ht="15" hidden="false" customHeight="false" outlineLevel="0" collapsed="false">
      <c r="A132" s="26" t="str">
        <f aca="false">Entities!$A$14</f>
        <v>AE</v>
      </c>
      <c r="B132" s="12" t="str">
        <f aca="false">INDEX(Entities!$B$5:$B$34,MATCH(A132,Entities!$A$5:$A$34,0))</f>
        <v>Arab Bank – UAE</v>
      </c>
      <c r="C132" s="12" t="str">
        <f aca="false">INDEX(Entities!$D$5:$D$34,MATCH(A132,Entities!$A$5:$A$34,0))</f>
        <v>GCC</v>
      </c>
      <c r="D132" s="12" t="s">
        <v>316</v>
      </c>
      <c r="E132" s="12" t="str">
        <f aca="false">INDEX('Risk Taxonomy'!$B$5:$B$24,MATCH(D132,'Risk Taxonomy'!$A$5:$A$24,0))</f>
        <v>Legal and litigation</v>
      </c>
      <c r="F132" s="7" t="str">
        <f aca="false">IF(D132="RC-04",IF(INDEX(Entities!$G$5:$G$34,MATCH(A132,Entities!$A$5:$A$34,0))="Y","Yes","N/A"),"Yes")</f>
        <v>Yes</v>
      </c>
      <c r="G132" s="24" t="n">
        <v>2</v>
      </c>
      <c r="H132" s="24" t="n">
        <v>3</v>
      </c>
      <c r="I132" s="24" t="n">
        <v>1</v>
      </c>
      <c r="J132" s="24" t="n">
        <v>2</v>
      </c>
      <c r="K132" s="24" t="n">
        <v>3</v>
      </c>
      <c r="L132" s="37" t="n">
        <f aca="false">IF(F132="N/A","",IF(COUNT(H132:K132)=0,"",IF(Config!$C$19="Highest dimension",MAX(H132:K132),ROUND(H132*Config!$C$20+I132*Config!$C$21+J132*Config!$C$22+K132*Config!$C$23,1))))</f>
        <v>3</v>
      </c>
      <c r="M132" s="38" t="n">
        <f aca="false">IF(OR(L132="",G132=""),"",G132*L132)</f>
        <v>6</v>
      </c>
      <c r="N132" s="31" t="n">
        <f aca="false">IF(M132="","",MATCH(M132,Config!$E$5:$E$9,1))</f>
        <v>2</v>
      </c>
      <c r="O132" s="7" t="str">
        <f aca="false">IF(F132="N/A","N/A",IF(N132="","Not assessed",INDEX(Config!$B$5:$B$9,N132)))</f>
        <v>Medium-Low</v>
      </c>
      <c r="P132" s="32" t="n">
        <v>0</v>
      </c>
      <c r="Q132" s="8"/>
      <c r="R132" s="33"/>
      <c r="S132" s="34" t="n">
        <f aca="false">IF(N132="","",IF(AND(R132="Y",P132&lt;&gt;0),MAX(1,MIN(5,N132+MAX(-Config!$C$27,MIN(Config!$C$27,P132)))),N132))</f>
        <v>2</v>
      </c>
      <c r="T132" s="35" t="str">
        <f aca="false">IF(F132="N/A","N/A",IF(S132="","Not assessed",INDEX(Config!$B$5:$B$9,S132)))</f>
        <v>Medium-Low</v>
      </c>
      <c r="U132" s="7" t="str">
        <f aca="false">IF(P132=0,"None",IF(R132="Y","Applied","Pending HO approval"))</f>
        <v>None</v>
      </c>
      <c r="V132" s="8"/>
    </row>
    <row r="133" customFormat="false" ht="15" hidden="false" customHeight="false" outlineLevel="0" collapsed="false">
      <c r="A133" s="26" t="str">
        <f aca="false">Entities!$A$14</f>
        <v>AE</v>
      </c>
      <c r="B133" s="12" t="str">
        <f aca="false">INDEX(Entities!$B$5:$B$34,MATCH(A133,Entities!$A$5:$A$34,0))</f>
        <v>Arab Bank – UAE</v>
      </c>
      <c r="C133" s="12" t="str">
        <f aca="false">INDEX(Entities!$D$5:$D$34,MATCH(A133,Entities!$A$5:$A$34,0))</f>
        <v>GCC</v>
      </c>
      <c r="D133" s="12" t="s">
        <v>319</v>
      </c>
      <c r="E133" s="12" t="str">
        <f aca="false">INDEX('Risk Taxonomy'!$B$5:$B$24,MATCH(D133,'Risk Taxonomy'!$A$5:$A$24,0))</f>
        <v>Reputational</v>
      </c>
      <c r="F133" s="7" t="str">
        <f aca="false">IF(D133="RC-04",IF(INDEX(Entities!$G$5:$G$34,MATCH(A133,Entities!$A$5:$A$34,0))="Y","Yes","N/A"),"Yes")</f>
        <v>Yes</v>
      </c>
      <c r="G133" s="24" t="n">
        <v>3</v>
      </c>
      <c r="H133" s="24" t="n">
        <v>3</v>
      </c>
      <c r="I133" s="24" t="n">
        <v>4</v>
      </c>
      <c r="J133" s="24" t="n">
        <v>2</v>
      </c>
      <c r="K133" s="24" t="n">
        <v>3</v>
      </c>
      <c r="L133" s="37" t="n">
        <f aca="false">IF(F133="N/A","",IF(COUNT(H133:K133)=0,"",IF(Config!$C$19="Highest dimension",MAX(H133:K133),ROUND(H133*Config!$C$20+I133*Config!$C$21+J133*Config!$C$22+K133*Config!$C$23,1))))</f>
        <v>4</v>
      </c>
      <c r="M133" s="38" t="n">
        <f aca="false">IF(OR(L133="",G133=""),"",G133*L133)</f>
        <v>12</v>
      </c>
      <c r="N133" s="31" t="n">
        <f aca="false">IF(M133="","",MATCH(M133,Config!$E$5:$E$9,1))</f>
        <v>3</v>
      </c>
      <c r="O133" s="7" t="str">
        <f aca="false">IF(F133="N/A","N/A",IF(N133="","Not assessed",INDEX(Config!$B$5:$B$9,N133)))</f>
        <v>Medium</v>
      </c>
      <c r="P133" s="32" t="n">
        <v>0</v>
      </c>
      <c r="Q133" s="8"/>
      <c r="R133" s="33"/>
      <c r="S133" s="34" t="n">
        <f aca="false">IF(N133="","",IF(AND(R133="Y",P133&lt;&gt;0),MAX(1,MIN(5,N133+MAX(-Config!$C$27,MIN(Config!$C$27,P133)))),N133))</f>
        <v>3</v>
      </c>
      <c r="T133" s="35" t="str">
        <f aca="false">IF(F133="N/A","N/A",IF(S133="","Not assessed",INDEX(Config!$B$5:$B$9,S133)))</f>
        <v>Medium</v>
      </c>
      <c r="U133" s="7" t="str">
        <f aca="false">IF(P133=0,"None",IF(R133="Y","Applied","Pending HO approval"))</f>
        <v>None</v>
      </c>
      <c r="V133" s="8"/>
    </row>
    <row r="134" customFormat="false" ht="15" hidden="false" customHeight="false" outlineLevel="0" collapsed="false">
      <c r="A134" s="26" t="str">
        <f aca="false">Entities!$A$14</f>
        <v>AE</v>
      </c>
      <c r="B134" s="12" t="str">
        <f aca="false">INDEX(Entities!$B$5:$B$34,MATCH(A134,Entities!$A$5:$A$34,0))</f>
        <v>Arab Bank – UAE</v>
      </c>
      <c r="C134" s="12" t="str">
        <f aca="false">INDEX(Entities!$D$5:$D$34,MATCH(A134,Entities!$A$5:$A$34,0))</f>
        <v>GCC</v>
      </c>
      <c r="D134" s="12" t="s">
        <v>322</v>
      </c>
      <c r="E134" s="12" t="str">
        <f aca="false">INDEX('Risk Taxonomy'!$B$5:$B$24,MATCH(D134,'Risk Taxonomy'!$A$5:$A$24,0))</f>
        <v>Strategic, business model and ESG</v>
      </c>
      <c r="F134" s="7" t="str">
        <f aca="false">IF(D134="RC-04",IF(INDEX(Entities!$G$5:$G$34,MATCH(A134,Entities!$A$5:$A$34,0))="Y","Yes","N/A"),"Yes")</f>
        <v>Yes</v>
      </c>
      <c r="G134" s="24" t="n">
        <v>2</v>
      </c>
      <c r="H134" s="24" t="n">
        <v>3</v>
      </c>
      <c r="I134" s="24" t="n">
        <v>2</v>
      </c>
      <c r="J134" s="24" t="n">
        <v>1</v>
      </c>
      <c r="K134" s="24" t="n">
        <v>2</v>
      </c>
      <c r="L134" s="37" t="n">
        <f aca="false">IF(F134="N/A","",IF(COUNT(H134:K134)=0,"",IF(Config!$C$19="Highest dimension",MAX(H134:K134),ROUND(H134*Config!$C$20+I134*Config!$C$21+J134*Config!$C$22+K134*Config!$C$23,1))))</f>
        <v>3</v>
      </c>
      <c r="M134" s="38" t="n">
        <f aca="false">IF(OR(L134="",G134=""),"",G134*L134)</f>
        <v>6</v>
      </c>
      <c r="N134" s="31" t="n">
        <f aca="false">IF(M134="","",MATCH(M134,Config!$E$5:$E$9,1))</f>
        <v>2</v>
      </c>
      <c r="O134" s="7" t="str">
        <f aca="false">IF(F134="N/A","N/A",IF(N134="","Not assessed",INDEX(Config!$B$5:$B$9,N134)))</f>
        <v>Medium-Low</v>
      </c>
      <c r="P134" s="32" t="n">
        <v>0</v>
      </c>
      <c r="Q134" s="8"/>
      <c r="R134" s="33"/>
      <c r="S134" s="34" t="n">
        <f aca="false">IF(N134="","",IF(AND(R134="Y",P134&lt;&gt;0),MAX(1,MIN(5,N134+MAX(-Config!$C$27,MIN(Config!$C$27,P134)))),N134))</f>
        <v>2</v>
      </c>
      <c r="T134" s="35" t="str">
        <f aca="false">IF(F134="N/A","N/A",IF(S134="","Not assessed",INDEX(Config!$B$5:$B$9,S134)))</f>
        <v>Medium-Low</v>
      </c>
      <c r="U134" s="7" t="str">
        <f aca="false">IF(P134=0,"None",IF(R134="Y","Applied","Pending HO approval"))</f>
        <v>None</v>
      </c>
      <c r="V134" s="8"/>
    </row>
    <row r="135" customFormat="false" ht="15" hidden="false" customHeight="false" outlineLevel="0" collapsed="false">
      <c r="A135" s="26" t="str">
        <f aca="false">Entities!$A$15</f>
        <v>BH</v>
      </c>
      <c r="B135" s="12" t="str">
        <f aca="false">INDEX(Entities!$B$5:$B$34,MATCH(A135,Entities!$A$5:$A$34,0))</f>
        <v>Arab Bank – Bahrain</v>
      </c>
      <c r="C135" s="12" t="str">
        <f aca="false">INDEX(Entities!$D$5:$D$34,MATCH(A135,Entities!$A$5:$A$34,0))</f>
        <v>GCC</v>
      </c>
      <c r="D135" s="12" t="s">
        <v>284</v>
      </c>
      <c r="E135" s="12" t="str">
        <f aca="false">INDEX('Risk Taxonomy'!$B$5:$B$24,MATCH(D135,'Risk Taxonomy'!$A$5:$A$24,0))</f>
        <v>Regulatory compliance</v>
      </c>
      <c r="F135" s="7" t="str">
        <f aca="false">IF(D135="RC-04",IF(INDEX(Entities!$G$5:$G$34,MATCH(A135,Entities!$A$5:$A$34,0))="Y","Yes","N/A"),"Yes")</f>
        <v>Yes</v>
      </c>
      <c r="G135" s="24" t="n">
        <v>3</v>
      </c>
      <c r="H135" s="24" t="n">
        <v>3</v>
      </c>
      <c r="I135" s="24" t="n">
        <v>3</v>
      </c>
      <c r="J135" s="24" t="n">
        <v>4</v>
      </c>
      <c r="K135" s="24" t="n">
        <v>2</v>
      </c>
      <c r="L135" s="37" t="n">
        <f aca="false">IF(F135="N/A","",IF(COUNT(H135:K135)=0,"",IF(Config!$C$19="Highest dimension",MAX(H135:K135),ROUND(H135*Config!$C$20+I135*Config!$C$21+J135*Config!$C$22+K135*Config!$C$23,1))))</f>
        <v>4</v>
      </c>
      <c r="M135" s="38" t="n">
        <f aca="false">IF(OR(L135="",G135=""),"",G135*L135)</f>
        <v>12</v>
      </c>
      <c r="N135" s="31" t="n">
        <f aca="false">IF(M135="","",MATCH(M135,Config!$E$5:$E$9,1))</f>
        <v>3</v>
      </c>
      <c r="O135" s="7" t="str">
        <f aca="false">IF(F135="N/A","N/A",IF(N135="","Not assessed",INDEX(Config!$B$5:$B$9,N135)))</f>
        <v>Medium</v>
      </c>
      <c r="P135" s="32" t="n">
        <v>0</v>
      </c>
      <c r="Q135" s="8"/>
      <c r="R135" s="33"/>
      <c r="S135" s="34" t="n">
        <f aca="false">IF(N135="","",IF(AND(R135="Y",P135&lt;&gt;0),MAX(1,MIN(5,N135+MAX(-Config!$C$27,MIN(Config!$C$27,P135)))),N135))</f>
        <v>3</v>
      </c>
      <c r="T135" s="35" t="str">
        <f aca="false">IF(F135="N/A","N/A",IF(S135="","Not assessed",INDEX(Config!$B$5:$B$9,S135)))</f>
        <v>Medium</v>
      </c>
      <c r="U135" s="7" t="str">
        <f aca="false">IF(P135=0,"None",IF(R135="Y","Applied","Pending HO approval"))</f>
        <v>None</v>
      </c>
      <c r="V135" s="8"/>
    </row>
    <row r="136" customFormat="false" ht="15" hidden="false" customHeight="false" outlineLevel="0" collapsed="false">
      <c r="A136" s="26" t="str">
        <f aca="false">Entities!$A$15</f>
        <v>BH</v>
      </c>
      <c r="B136" s="12" t="str">
        <f aca="false">INDEX(Entities!$B$5:$B$34,MATCH(A136,Entities!$A$5:$A$34,0))</f>
        <v>Arab Bank – Bahrain</v>
      </c>
      <c r="C136" s="12" t="str">
        <f aca="false">INDEX(Entities!$D$5:$D$34,MATCH(A136,Entities!$A$5:$A$34,0))</f>
        <v>GCC</v>
      </c>
      <c r="D136" s="12" t="s">
        <v>288</v>
      </c>
      <c r="E136" s="12" t="str">
        <f aca="false">INDEX('Risk Taxonomy'!$B$5:$B$24,MATCH(D136,'Risk Taxonomy'!$A$5:$A$24,0))</f>
        <v>Conduct and consumer protection</v>
      </c>
      <c r="F136" s="7" t="str">
        <f aca="false">IF(D136="RC-04",IF(INDEX(Entities!$G$5:$G$34,MATCH(A136,Entities!$A$5:$A$34,0))="Y","Yes","N/A"),"Yes")</f>
        <v>Yes</v>
      </c>
      <c r="G136" s="24" t="n">
        <v>3</v>
      </c>
      <c r="H136" s="24" t="n">
        <v>3</v>
      </c>
      <c r="I136" s="24" t="n">
        <v>3</v>
      </c>
      <c r="J136" s="24" t="n">
        <v>2</v>
      </c>
      <c r="K136" s="24" t="n">
        <v>3</v>
      </c>
      <c r="L136" s="37" t="n">
        <f aca="false">IF(F136="N/A","",IF(COUNT(H136:K136)=0,"",IF(Config!$C$19="Highest dimension",MAX(H136:K136),ROUND(H136*Config!$C$20+I136*Config!$C$21+J136*Config!$C$22+K136*Config!$C$23,1))))</f>
        <v>3</v>
      </c>
      <c r="M136" s="38" t="n">
        <f aca="false">IF(OR(L136="",G136=""),"",G136*L136)</f>
        <v>9</v>
      </c>
      <c r="N136" s="31" t="n">
        <f aca="false">IF(M136="","",MATCH(M136,Config!$E$5:$E$9,1))</f>
        <v>3</v>
      </c>
      <c r="O136" s="7" t="str">
        <f aca="false">IF(F136="N/A","N/A",IF(N136="","Not assessed",INDEX(Config!$B$5:$B$9,N136)))</f>
        <v>Medium</v>
      </c>
      <c r="P136" s="32" t="n">
        <v>0</v>
      </c>
      <c r="Q136" s="8"/>
      <c r="R136" s="33"/>
      <c r="S136" s="34" t="n">
        <f aca="false">IF(N136="","",IF(AND(R136="Y",P136&lt;&gt;0),MAX(1,MIN(5,N136+MAX(-Config!$C$27,MIN(Config!$C$27,P136)))),N136))</f>
        <v>3</v>
      </c>
      <c r="T136" s="35" t="str">
        <f aca="false">IF(F136="N/A","N/A",IF(S136="","Not assessed",INDEX(Config!$B$5:$B$9,S136)))</f>
        <v>Medium</v>
      </c>
      <c r="U136" s="7" t="str">
        <f aca="false">IF(P136=0,"None",IF(R136="Y","Applied","Pending HO approval"))</f>
        <v>None</v>
      </c>
      <c r="V136" s="8"/>
    </row>
    <row r="137" customFormat="false" ht="15" hidden="false" customHeight="false" outlineLevel="0" collapsed="false">
      <c r="A137" s="26" t="str">
        <f aca="false">Entities!$A$15</f>
        <v>BH</v>
      </c>
      <c r="B137" s="12" t="str">
        <f aca="false">INDEX(Entities!$B$5:$B$34,MATCH(A137,Entities!$A$5:$A$34,0))</f>
        <v>Arab Bank – Bahrain</v>
      </c>
      <c r="C137" s="12" t="str">
        <f aca="false">INDEX(Entities!$D$5:$D$34,MATCH(A137,Entities!$A$5:$A$34,0))</f>
        <v>GCC</v>
      </c>
      <c r="D137" s="12" t="s">
        <v>290</v>
      </c>
      <c r="E137" s="12" t="str">
        <f aca="false">INDEX('Risk Taxonomy'!$B$5:$B$24,MATCH(D137,'Risk Taxonomy'!$A$5:$A$24,0))</f>
        <v>Data protection and privacy</v>
      </c>
      <c r="F137" s="7" t="str">
        <f aca="false">IF(D137="RC-04",IF(INDEX(Entities!$G$5:$G$34,MATCH(A137,Entities!$A$5:$A$34,0))="Y","Yes","N/A"),"Yes")</f>
        <v>Yes</v>
      </c>
      <c r="G137" s="24" t="n">
        <v>3</v>
      </c>
      <c r="H137" s="24" t="n">
        <v>2</v>
      </c>
      <c r="I137" s="24" t="n">
        <v>4</v>
      </c>
      <c r="J137" s="24" t="n">
        <v>3</v>
      </c>
      <c r="K137" s="24" t="n">
        <v>2</v>
      </c>
      <c r="L137" s="37" t="n">
        <f aca="false">IF(F137="N/A","",IF(COUNT(H137:K137)=0,"",IF(Config!$C$19="Highest dimension",MAX(H137:K137),ROUND(H137*Config!$C$20+I137*Config!$C$21+J137*Config!$C$22+K137*Config!$C$23,1))))</f>
        <v>4</v>
      </c>
      <c r="M137" s="38" t="n">
        <f aca="false">IF(OR(L137="",G137=""),"",G137*L137)</f>
        <v>12</v>
      </c>
      <c r="N137" s="31" t="n">
        <f aca="false">IF(M137="","",MATCH(M137,Config!$E$5:$E$9,1))</f>
        <v>3</v>
      </c>
      <c r="O137" s="7" t="str">
        <f aca="false">IF(F137="N/A","N/A",IF(N137="","Not assessed",INDEX(Config!$B$5:$B$9,N137)))</f>
        <v>Medium</v>
      </c>
      <c r="P137" s="32" t="n">
        <v>0</v>
      </c>
      <c r="Q137" s="8"/>
      <c r="R137" s="33"/>
      <c r="S137" s="34" t="n">
        <f aca="false">IF(N137="","",IF(AND(R137="Y",P137&lt;&gt;0),MAX(1,MIN(5,N137+MAX(-Config!$C$27,MIN(Config!$C$27,P137)))),N137))</f>
        <v>3</v>
      </c>
      <c r="T137" s="35" t="str">
        <f aca="false">IF(F137="N/A","N/A",IF(S137="","Not assessed",INDEX(Config!$B$5:$B$9,S137)))</f>
        <v>Medium</v>
      </c>
      <c r="U137" s="7" t="str">
        <f aca="false">IF(P137=0,"None",IF(R137="Y","Applied","Pending HO approval"))</f>
        <v>None</v>
      </c>
      <c r="V137" s="8"/>
    </row>
    <row r="138" customFormat="false" ht="15" hidden="false" customHeight="false" outlineLevel="0" collapsed="false">
      <c r="A138" s="26" t="str">
        <f aca="false">Entities!$A$15</f>
        <v>BH</v>
      </c>
      <c r="B138" s="12" t="str">
        <f aca="false">INDEX(Entities!$B$5:$B$34,MATCH(A138,Entities!$A$5:$A$34,0))</f>
        <v>Arab Bank – Bahrain</v>
      </c>
      <c r="C138" s="12" t="str">
        <f aca="false">INDEX(Entities!$D$5:$D$34,MATCH(A138,Entities!$A$5:$A$34,0))</f>
        <v>GCC</v>
      </c>
      <c r="D138" s="12" t="s">
        <v>293</v>
      </c>
      <c r="E138" s="12" t="str">
        <f aca="false">INDEX('Risk Taxonomy'!$B$5:$B$24,MATCH(D138,'Risk Taxonomy'!$A$5:$A$24,0))</f>
        <v>Shariah non-compliance</v>
      </c>
      <c r="F138" s="7" t="str">
        <f aca="false">IF(D138="RC-04",IF(INDEX(Entities!$G$5:$G$34,MATCH(A138,Entities!$A$5:$A$34,0))="Y","Yes","N/A"),"Yes")</f>
        <v>N/A</v>
      </c>
      <c r="G138" s="24"/>
      <c r="H138" s="24"/>
      <c r="I138" s="24"/>
      <c r="J138" s="24"/>
      <c r="K138" s="24"/>
      <c r="L138" s="37" t="str">
        <f aca="false">IF(F138="N/A","",IF(COUNT(H138:K138)=0,"",IF(Config!$C$19="Highest dimension",MAX(H138:K138),ROUND(H138*Config!$C$20+I138*Config!$C$21+J138*Config!$C$22+K138*Config!$C$23,1))))</f>
        <v/>
      </c>
      <c r="M138" s="38" t="str">
        <f aca="false">IF(OR(L138="",G138=""),"",G138*L138)</f>
        <v/>
      </c>
      <c r="N138" s="31" t="str">
        <f aca="false">IF(M138="","",MATCH(M138,Config!$E$5:$E$9,1))</f>
        <v/>
      </c>
      <c r="O138" s="7" t="str">
        <f aca="false">IF(F138="N/A","N/A",IF(N138="","Not assessed",INDEX(Config!$B$5:$B$9,N138)))</f>
        <v>N/A</v>
      </c>
      <c r="P138" s="32" t="n">
        <v>0</v>
      </c>
      <c r="Q138" s="8"/>
      <c r="R138" s="33"/>
      <c r="S138" s="34" t="str">
        <f aca="false">IF(N138="","",IF(AND(R138="Y",P138&lt;&gt;0),MAX(1,MIN(5,N138+MAX(-Config!$C$27,MIN(Config!$C$27,P138)))),N138))</f>
        <v/>
      </c>
      <c r="T138" s="35" t="str">
        <f aca="false">IF(F138="N/A","N/A",IF(S138="","Not assessed",INDEX(Config!$B$5:$B$9,S138)))</f>
        <v>N/A</v>
      </c>
      <c r="U138" s="7" t="str">
        <f aca="false">IF(P138=0,"None",IF(R138="Y","Applied","Pending HO approval"))</f>
        <v>None</v>
      </c>
      <c r="V138" s="8"/>
    </row>
    <row r="139" customFormat="false" ht="15" hidden="false" customHeight="false" outlineLevel="0" collapsed="false">
      <c r="A139" s="26" t="str">
        <f aca="false">Entities!$A$15</f>
        <v>BH</v>
      </c>
      <c r="B139" s="12" t="str">
        <f aca="false">INDEX(Entities!$B$5:$B$34,MATCH(A139,Entities!$A$5:$A$34,0))</f>
        <v>Arab Bank – Bahrain</v>
      </c>
      <c r="C139" s="12" t="str">
        <f aca="false">INDEX(Entities!$D$5:$D$34,MATCH(A139,Entities!$A$5:$A$34,0))</f>
        <v>GCC</v>
      </c>
      <c r="D139" s="12" t="s">
        <v>297</v>
      </c>
      <c r="E139" s="12" t="str">
        <f aca="false">INDEX('Risk Taxonomy'!$B$5:$B$24,MATCH(D139,'Risk Taxonomy'!$A$5:$A$24,0))</f>
        <v>Credit risk</v>
      </c>
      <c r="F139" s="7" t="str">
        <f aca="false">IF(D139="RC-04",IF(INDEX(Entities!$G$5:$G$34,MATCH(A139,Entities!$A$5:$A$34,0))="Y","Yes","N/A"),"Yes")</f>
        <v>Yes</v>
      </c>
      <c r="G139" s="24" t="n">
        <v>3</v>
      </c>
      <c r="H139" s="24" t="n">
        <v>2</v>
      </c>
      <c r="I139" s="24" t="n">
        <v>2</v>
      </c>
      <c r="J139" s="24" t="n">
        <v>3</v>
      </c>
      <c r="K139" s="24" t="n">
        <v>2</v>
      </c>
      <c r="L139" s="37" t="n">
        <f aca="false">IF(F139="N/A","",IF(COUNT(H139:K139)=0,"",IF(Config!$C$19="Highest dimension",MAX(H139:K139),ROUND(H139*Config!$C$20+I139*Config!$C$21+J139*Config!$C$22+K139*Config!$C$23,1))))</f>
        <v>3</v>
      </c>
      <c r="M139" s="38" t="n">
        <f aca="false">IF(OR(L139="",G139=""),"",G139*L139)</f>
        <v>9</v>
      </c>
      <c r="N139" s="31" t="n">
        <f aca="false">IF(M139="","",MATCH(M139,Config!$E$5:$E$9,1))</f>
        <v>3</v>
      </c>
      <c r="O139" s="7" t="str">
        <f aca="false">IF(F139="N/A","N/A",IF(N139="","Not assessed",INDEX(Config!$B$5:$B$9,N139)))</f>
        <v>Medium</v>
      </c>
      <c r="P139" s="32" t="n">
        <v>0</v>
      </c>
      <c r="Q139" s="8"/>
      <c r="R139" s="33"/>
      <c r="S139" s="34" t="n">
        <f aca="false">IF(N139="","",IF(AND(R139="Y",P139&lt;&gt;0),MAX(1,MIN(5,N139+MAX(-Config!$C$27,MIN(Config!$C$27,P139)))),N139))</f>
        <v>3</v>
      </c>
      <c r="T139" s="35" t="str">
        <f aca="false">IF(F139="N/A","N/A",IF(S139="","Not assessed",INDEX(Config!$B$5:$B$9,S139)))</f>
        <v>Medium</v>
      </c>
      <c r="U139" s="7" t="str">
        <f aca="false">IF(P139=0,"None",IF(R139="Y","Applied","Pending HO approval"))</f>
        <v>None</v>
      </c>
      <c r="V139" s="8"/>
    </row>
    <row r="140" customFormat="false" ht="15" hidden="false" customHeight="false" outlineLevel="0" collapsed="false">
      <c r="A140" s="26" t="str">
        <f aca="false">Entities!$A$15</f>
        <v>BH</v>
      </c>
      <c r="B140" s="12" t="str">
        <f aca="false">INDEX(Entities!$B$5:$B$34,MATCH(A140,Entities!$A$5:$A$34,0))</f>
        <v>Arab Bank – Bahrain</v>
      </c>
      <c r="C140" s="12" t="str">
        <f aca="false">INDEX(Entities!$D$5:$D$34,MATCH(A140,Entities!$A$5:$A$34,0))</f>
        <v>GCC</v>
      </c>
      <c r="D140" s="12" t="s">
        <v>302</v>
      </c>
      <c r="E140" s="12" t="str">
        <f aca="false">INDEX('Risk Taxonomy'!$B$5:$B$24,MATCH(D140,'Risk Taxonomy'!$A$5:$A$24,0))</f>
        <v>Market risk</v>
      </c>
      <c r="F140" s="7" t="str">
        <f aca="false">IF(D140="RC-04",IF(INDEX(Entities!$G$5:$G$34,MATCH(A140,Entities!$A$5:$A$34,0))="Y","Yes","N/A"),"Yes")</f>
        <v>Yes</v>
      </c>
      <c r="G140" s="24" t="n">
        <v>3</v>
      </c>
      <c r="H140" s="24" t="n">
        <v>2</v>
      </c>
      <c r="I140" s="24" t="n">
        <v>2</v>
      </c>
      <c r="J140" s="24" t="n">
        <v>3</v>
      </c>
      <c r="K140" s="24" t="n">
        <v>1</v>
      </c>
      <c r="L140" s="37" t="n">
        <f aca="false">IF(F140="N/A","",IF(COUNT(H140:K140)=0,"",IF(Config!$C$19="Highest dimension",MAX(H140:K140),ROUND(H140*Config!$C$20+I140*Config!$C$21+J140*Config!$C$22+K140*Config!$C$23,1))))</f>
        <v>3</v>
      </c>
      <c r="M140" s="38" t="n">
        <f aca="false">IF(OR(L140="",G140=""),"",G140*L140)</f>
        <v>9</v>
      </c>
      <c r="N140" s="31" t="n">
        <f aca="false">IF(M140="","",MATCH(M140,Config!$E$5:$E$9,1))</f>
        <v>3</v>
      </c>
      <c r="O140" s="7" t="str">
        <f aca="false">IF(F140="N/A","N/A",IF(N140="","Not assessed",INDEX(Config!$B$5:$B$9,N140)))</f>
        <v>Medium</v>
      </c>
      <c r="P140" s="32" t="n">
        <v>0</v>
      </c>
      <c r="Q140" s="8"/>
      <c r="R140" s="33"/>
      <c r="S140" s="34" t="n">
        <f aca="false">IF(N140="","",IF(AND(R140="Y",P140&lt;&gt;0),MAX(1,MIN(5,N140+MAX(-Config!$C$27,MIN(Config!$C$27,P140)))),N140))</f>
        <v>3</v>
      </c>
      <c r="T140" s="35" t="str">
        <f aca="false">IF(F140="N/A","N/A",IF(S140="","Not assessed",INDEX(Config!$B$5:$B$9,S140)))</f>
        <v>Medium</v>
      </c>
      <c r="U140" s="7" t="str">
        <f aca="false">IF(P140=0,"None",IF(R140="Y","Applied","Pending HO approval"))</f>
        <v>None</v>
      </c>
      <c r="V140" s="8"/>
    </row>
    <row r="141" customFormat="false" ht="15" hidden="false" customHeight="false" outlineLevel="0" collapsed="false">
      <c r="A141" s="26" t="str">
        <f aca="false">Entities!$A$15</f>
        <v>BH</v>
      </c>
      <c r="B141" s="12" t="str">
        <f aca="false">INDEX(Entities!$B$5:$B$34,MATCH(A141,Entities!$A$5:$A$34,0))</f>
        <v>Arab Bank – Bahrain</v>
      </c>
      <c r="C141" s="12" t="str">
        <f aca="false">INDEX(Entities!$D$5:$D$34,MATCH(A141,Entities!$A$5:$A$34,0))</f>
        <v>GCC</v>
      </c>
      <c r="D141" s="12" t="s">
        <v>304</v>
      </c>
      <c r="E141" s="12" t="str">
        <f aca="false">INDEX('Risk Taxonomy'!$B$5:$B$24,MATCH(D141,'Risk Taxonomy'!$A$5:$A$24,0))</f>
        <v>Liquidity and funding risk</v>
      </c>
      <c r="F141" s="7" t="str">
        <f aca="false">IF(D141="RC-04",IF(INDEX(Entities!$G$5:$G$34,MATCH(A141,Entities!$A$5:$A$34,0))="Y","Yes","N/A"),"Yes")</f>
        <v>Yes</v>
      </c>
      <c r="G141" s="24" t="n">
        <v>2</v>
      </c>
      <c r="H141" s="24" t="n">
        <v>3</v>
      </c>
      <c r="I141" s="24" t="n">
        <v>3</v>
      </c>
      <c r="J141" s="24" t="n">
        <v>2</v>
      </c>
      <c r="K141" s="24" t="n">
        <v>4</v>
      </c>
      <c r="L141" s="37" t="n">
        <f aca="false">IF(F141="N/A","",IF(COUNT(H141:K141)=0,"",IF(Config!$C$19="Highest dimension",MAX(H141:K141),ROUND(H141*Config!$C$20+I141*Config!$C$21+J141*Config!$C$22+K141*Config!$C$23,1))))</f>
        <v>4</v>
      </c>
      <c r="M141" s="38" t="n">
        <f aca="false">IF(OR(L141="",G141=""),"",G141*L141)</f>
        <v>8</v>
      </c>
      <c r="N141" s="31" t="n">
        <f aca="false">IF(M141="","",MATCH(M141,Config!$E$5:$E$9,1))</f>
        <v>2</v>
      </c>
      <c r="O141" s="7" t="str">
        <f aca="false">IF(F141="N/A","N/A",IF(N141="","Not assessed",INDEX(Config!$B$5:$B$9,N141)))</f>
        <v>Medium-Low</v>
      </c>
      <c r="P141" s="32" t="n">
        <v>0</v>
      </c>
      <c r="Q141" s="8"/>
      <c r="R141" s="33"/>
      <c r="S141" s="34" t="n">
        <f aca="false">IF(N141="","",IF(AND(R141="Y",P141&lt;&gt;0),MAX(1,MIN(5,N141+MAX(-Config!$C$27,MIN(Config!$C$27,P141)))),N141))</f>
        <v>2</v>
      </c>
      <c r="T141" s="35" t="str">
        <f aca="false">IF(F141="N/A","N/A",IF(S141="","Not assessed",INDEX(Config!$B$5:$B$9,S141)))</f>
        <v>Medium-Low</v>
      </c>
      <c r="U141" s="7" t="str">
        <f aca="false">IF(P141=0,"None",IF(R141="Y","Applied","Pending HO approval"))</f>
        <v>None</v>
      </c>
      <c r="V141" s="8"/>
    </row>
    <row r="142" customFormat="false" ht="15" hidden="false" customHeight="false" outlineLevel="0" collapsed="false">
      <c r="A142" s="26" t="str">
        <f aca="false">Entities!$A$15</f>
        <v>BH</v>
      </c>
      <c r="B142" s="12" t="str">
        <f aca="false">INDEX(Entities!$B$5:$B$34,MATCH(A142,Entities!$A$5:$A$34,0))</f>
        <v>Arab Bank – Bahrain</v>
      </c>
      <c r="C142" s="12" t="str">
        <f aca="false">INDEX(Entities!$D$5:$D$34,MATCH(A142,Entities!$A$5:$A$34,0))</f>
        <v>GCC</v>
      </c>
      <c r="D142" s="12" t="s">
        <v>307</v>
      </c>
      <c r="E142" s="12" t="str">
        <f aca="false">INDEX('Risk Taxonomy'!$B$5:$B$24,MATCH(D142,'Risk Taxonomy'!$A$5:$A$24,0))</f>
        <v>Operational risk</v>
      </c>
      <c r="F142" s="7" t="str">
        <f aca="false">IF(D142="RC-04",IF(INDEX(Entities!$G$5:$G$34,MATCH(A142,Entities!$A$5:$A$34,0))="Y","Yes","N/A"),"Yes")</f>
        <v>Yes</v>
      </c>
      <c r="G142" s="24" t="n">
        <v>3</v>
      </c>
      <c r="H142" s="24" t="n">
        <v>3</v>
      </c>
      <c r="I142" s="24" t="n">
        <v>3</v>
      </c>
      <c r="J142" s="24" t="n">
        <v>3</v>
      </c>
      <c r="K142" s="24" t="n">
        <v>3</v>
      </c>
      <c r="L142" s="37" t="n">
        <f aca="false">IF(F142="N/A","",IF(COUNT(H142:K142)=0,"",IF(Config!$C$19="Highest dimension",MAX(H142:K142),ROUND(H142*Config!$C$20+I142*Config!$C$21+J142*Config!$C$22+K142*Config!$C$23,1))))</f>
        <v>3</v>
      </c>
      <c r="M142" s="38" t="n">
        <f aca="false">IF(OR(L142="",G142=""),"",G142*L142)</f>
        <v>9</v>
      </c>
      <c r="N142" s="31" t="n">
        <f aca="false">IF(M142="","",MATCH(M142,Config!$E$5:$E$9,1))</f>
        <v>3</v>
      </c>
      <c r="O142" s="7" t="str">
        <f aca="false">IF(F142="N/A","N/A",IF(N142="","Not assessed",INDEX(Config!$B$5:$B$9,N142)))</f>
        <v>Medium</v>
      </c>
      <c r="P142" s="32" t="n">
        <v>0</v>
      </c>
      <c r="Q142" s="8"/>
      <c r="R142" s="33"/>
      <c r="S142" s="34" t="n">
        <f aca="false">IF(N142="","",IF(AND(R142="Y",P142&lt;&gt;0),MAX(1,MIN(5,N142+MAX(-Config!$C$27,MIN(Config!$C$27,P142)))),N142))</f>
        <v>3</v>
      </c>
      <c r="T142" s="35" t="str">
        <f aca="false">IF(F142="N/A","N/A",IF(S142="","Not assessed",INDEX(Config!$B$5:$B$9,S142)))</f>
        <v>Medium</v>
      </c>
      <c r="U142" s="7" t="str">
        <f aca="false">IF(P142=0,"None",IF(R142="Y","Applied","Pending HO approval"))</f>
        <v>None</v>
      </c>
      <c r="V142" s="8"/>
    </row>
    <row r="143" customFormat="false" ht="15" hidden="false" customHeight="false" outlineLevel="0" collapsed="false">
      <c r="A143" s="26" t="str">
        <f aca="false">Entities!$A$15</f>
        <v>BH</v>
      </c>
      <c r="B143" s="12" t="str">
        <f aca="false">INDEX(Entities!$B$5:$B$34,MATCH(A143,Entities!$A$5:$A$34,0))</f>
        <v>Arab Bank – Bahrain</v>
      </c>
      <c r="C143" s="12" t="str">
        <f aca="false">INDEX(Entities!$D$5:$D$34,MATCH(A143,Entities!$A$5:$A$34,0))</f>
        <v>GCC</v>
      </c>
      <c r="D143" s="12" t="s">
        <v>310</v>
      </c>
      <c r="E143" s="12" t="str">
        <f aca="false">INDEX('Risk Taxonomy'!$B$5:$B$24,MATCH(D143,'Risk Taxonomy'!$A$5:$A$24,0))</f>
        <v>Cyber, information security and technology</v>
      </c>
      <c r="F143" s="7" t="str">
        <f aca="false">IF(D143="RC-04",IF(INDEX(Entities!$G$5:$G$34,MATCH(A143,Entities!$A$5:$A$34,0))="Y","Yes","N/A"),"Yes")</f>
        <v>Yes</v>
      </c>
      <c r="G143" s="24" t="n">
        <v>2</v>
      </c>
      <c r="H143" s="24" t="n">
        <v>3</v>
      </c>
      <c r="I143" s="24" t="n">
        <v>3</v>
      </c>
      <c r="J143" s="24" t="n">
        <v>4</v>
      </c>
      <c r="K143" s="24" t="n">
        <v>3</v>
      </c>
      <c r="L143" s="37" t="n">
        <f aca="false">IF(F143="N/A","",IF(COUNT(H143:K143)=0,"",IF(Config!$C$19="Highest dimension",MAX(H143:K143),ROUND(H143*Config!$C$20+I143*Config!$C$21+J143*Config!$C$22+K143*Config!$C$23,1))))</f>
        <v>4</v>
      </c>
      <c r="M143" s="38" t="n">
        <f aca="false">IF(OR(L143="",G143=""),"",G143*L143)</f>
        <v>8</v>
      </c>
      <c r="N143" s="31" t="n">
        <f aca="false">IF(M143="","",MATCH(M143,Config!$E$5:$E$9,1))</f>
        <v>2</v>
      </c>
      <c r="O143" s="7" t="str">
        <f aca="false">IF(F143="N/A","N/A",IF(N143="","Not assessed",INDEX(Config!$B$5:$B$9,N143)))</f>
        <v>Medium-Low</v>
      </c>
      <c r="P143" s="32" t="n">
        <v>0</v>
      </c>
      <c r="Q143" s="8"/>
      <c r="R143" s="33"/>
      <c r="S143" s="34" t="n">
        <f aca="false">IF(N143="","",IF(AND(R143="Y",P143&lt;&gt;0),MAX(1,MIN(5,N143+MAX(-Config!$C$27,MIN(Config!$C$27,P143)))),N143))</f>
        <v>2</v>
      </c>
      <c r="T143" s="35" t="str">
        <f aca="false">IF(F143="N/A","N/A",IF(S143="","Not assessed",INDEX(Config!$B$5:$B$9,S143)))</f>
        <v>Medium-Low</v>
      </c>
      <c r="U143" s="7" t="str">
        <f aca="false">IF(P143=0,"None",IF(R143="Y","Applied","Pending HO approval"))</f>
        <v>None</v>
      </c>
      <c r="V143" s="8"/>
    </row>
    <row r="144" customFormat="false" ht="15" hidden="false" customHeight="false" outlineLevel="0" collapsed="false">
      <c r="A144" s="26" t="str">
        <f aca="false">Entities!$A$15</f>
        <v>BH</v>
      </c>
      <c r="B144" s="12" t="str">
        <f aca="false">INDEX(Entities!$B$5:$B$34,MATCH(A144,Entities!$A$5:$A$34,0))</f>
        <v>Arab Bank – Bahrain</v>
      </c>
      <c r="C144" s="12" t="str">
        <f aca="false">INDEX(Entities!$D$5:$D$34,MATCH(A144,Entities!$A$5:$A$34,0))</f>
        <v>GCC</v>
      </c>
      <c r="D144" s="12" t="s">
        <v>313</v>
      </c>
      <c r="E144" s="12" t="str">
        <f aca="false">INDEX('Risk Taxonomy'!$B$5:$B$24,MATCH(D144,'Risk Taxonomy'!$A$5:$A$24,0))</f>
        <v>Third-party and outsourcing</v>
      </c>
      <c r="F144" s="7" t="str">
        <f aca="false">IF(D144="RC-04",IF(INDEX(Entities!$G$5:$G$34,MATCH(A144,Entities!$A$5:$A$34,0))="Y","Yes","N/A"),"Yes")</f>
        <v>Yes</v>
      </c>
      <c r="G144" s="24" t="n">
        <v>3</v>
      </c>
      <c r="H144" s="24" t="n">
        <v>2</v>
      </c>
      <c r="I144" s="24" t="n">
        <v>4</v>
      </c>
      <c r="J144" s="24" t="n">
        <v>3</v>
      </c>
      <c r="K144" s="24" t="n">
        <v>2</v>
      </c>
      <c r="L144" s="37" t="n">
        <f aca="false">IF(F144="N/A","",IF(COUNT(H144:K144)=0,"",IF(Config!$C$19="Highest dimension",MAX(H144:K144),ROUND(H144*Config!$C$20+I144*Config!$C$21+J144*Config!$C$22+K144*Config!$C$23,1))))</f>
        <v>4</v>
      </c>
      <c r="M144" s="38" t="n">
        <f aca="false">IF(OR(L144="",G144=""),"",G144*L144)</f>
        <v>12</v>
      </c>
      <c r="N144" s="31" t="n">
        <f aca="false">IF(M144="","",MATCH(M144,Config!$E$5:$E$9,1))</f>
        <v>3</v>
      </c>
      <c r="O144" s="7" t="str">
        <f aca="false">IF(F144="N/A","N/A",IF(N144="","Not assessed",INDEX(Config!$B$5:$B$9,N144)))</f>
        <v>Medium</v>
      </c>
      <c r="P144" s="32" t="n">
        <v>0</v>
      </c>
      <c r="Q144" s="8"/>
      <c r="R144" s="33"/>
      <c r="S144" s="34" t="n">
        <f aca="false">IF(N144="","",IF(AND(R144="Y",P144&lt;&gt;0),MAX(1,MIN(5,N144+MAX(-Config!$C$27,MIN(Config!$C$27,P144)))),N144))</f>
        <v>3</v>
      </c>
      <c r="T144" s="35" t="str">
        <f aca="false">IF(F144="N/A","N/A",IF(S144="","Not assessed",INDEX(Config!$B$5:$B$9,S144)))</f>
        <v>Medium</v>
      </c>
      <c r="U144" s="7" t="str">
        <f aca="false">IF(P144=0,"None",IF(R144="Y","Applied","Pending HO approval"))</f>
        <v>None</v>
      </c>
      <c r="V144" s="8"/>
    </row>
    <row r="145" customFormat="false" ht="15" hidden="false" customHeight="false" outlineLevel="0" collapsed="false">
      <c r="A145" s="26" t="str">
        <f aca="false">Entities!$A$15</f>
        <v>BH</v>
      </c>
      <c r="B145" s="12" t="str">
        <f aca="false">INDEX(Entities!$B$5:$B$34,MATCH(A145,Entities!$A$5:$A$34,0))</f>
        <v>Arab Bank – Bahrain</v>
      </c>
      <c r="C145" s="12" t="str">
        <f aca="false">INDEX(Entities!$D$5:$D$34,MATCH(A145,Entities!$A$5:$A$34,0))</f>
        <v>GCC</v>
      </c>
      <c r="D145" s="12" t="s">
        <v>316</v>
      </c>
      <c r="E145" s="12" t="str">
        <f aca="false">INDEX('Risk Taxonomy'!$B$5:$B$24,MATCH(D145,'Risk Taxonomy'!$A$5:$A$24,0))</f>
        <v>Legal and litigation</v>
      </c>
      <c r="F145" s="7" t="str">
        <f aca="false">IF(D145="RC-04",IF(INDEX(Entities!$G$5:$G$34,MATCH(A145,Entities!$A$5:$A$34,0))="Y","Yes","N/A"),"Yes")</f>
        <v>Yes</v>
      </c>
      <c r="G145" s="24" t="n">
        <v>3</v>
      </c>
      <c r="H145" s="24" t="n">
        <v>3</v>
      </c>
      <c r="I145" s="24" t="n">
        <v>4</v>
      </c>
      <c r="J145" s="24" t="n">
        <v>3</v>
      </c>
      <c r="K145" s="24" t="n">
        <v>2</v>
      </c>
      <c r="L145" s="37" t="n">
        <f aca="false">IF(F145="N/A","",IF(COUNT(H145:K145)=0,"",IF(Config!$C$19="Highest dimension",MAX(H145:K145),ROUND(H145*Config!$C$20+I145*Config!$C$21+J145*Config!$C$22+K145*Config!$C$23,1))))</f>
        <v>4</v>
      </c>
      <c r="M145" s="38" t="n">
        <f aca="false">IF(OR(L145="",G145=""),"",G145*L145)</f>
        <v>12</v>
      </c>
      <c r="N145" s="31" t="n">
        <f aca="false">IF(M145="","",MATCH(M145,Config!$E$5:$E$9,1))</f>
        <v>3</v>
      </c>
      <c r="O145" s="7" t="str">
        <f aca="false">IF(F145="N/A","N/A",IF(N145="","Not assessed",INDEX(Config!$B$5:$B$9,N145)))</f>
        <v>Medium</v>
      </c>
      <c r="P145" s="32" t="n">
        <v>0</v>
      </c>
      <c r="Q145" s="8"/>
      <c r="R145" s="33"/>
      <c r="S145" s="34" t="n">
        <f aca="false">IF(N145="","",IF(AND(R145="Y",P145&lt;&gt;0),MAX(1,MIN(5,N145+MAX(-Config!$C$27,MIN(Config!$C$27,P145)))),N145))</f>
        <v>3</v>
      </c>
      <c r="T145" s="35" t="str">
        <f aca="false">IF(F145="N/A","N/A",IF(S145="","Not assessed",INDEX(Config!$B$5:$B$9,S145)))</f>
        <v>Medium</v>
      </c>
      <c r="U145" s="7" t="str">
        <f aca="false">IF(P145=0,"None",IF(R145="Y","Applied","Pending HO approval"))</f>
        <v>None</v>
      </c>
      <c r="V145" s="8"/>
    </row>
    <row r="146" customFormat="false" ht="15" hidden="false" customHeight="false" outlineLevel="0" collapsed="false">
      <c r="A146" s="26" t="str">
        <f aca="false">Entities!$A$15</f>
        <v>BH</v>
      </c>
      <c r="B146" s="12" t="str">
        <f aca="false">INDEX(Entities!$B$5:$B$34,MATCH(A146,Entities!$A$5:$A$34,0))</f>
        <v>Arab Bank – Bahrain</v>
      </c>
      <c r="C146" s="12" t="str">
        <f aca="false">INDEX(Entities!$D$5:$D$34,MATCH(A146,Entities!$A$5:$A$34,0))</f>
        <v>GCC</v>
      </c>
      <c r="D146" s="12" t="s">
        <v>319</v>
      </c>
      <c r="E146" s="12" t="str">
        <f aca="false">INDEX('Risk Taxonomy'!$B$5:$B$24,MATCH(D146,'Risk Taxonomy'!$A$5:$A$24,0))</f>
        <v>Reputational</v>
      </c>
      <c r="F146" s="7" t="str">
        <f aca="false">IF(D146="RC-04",IF(INDEX(Entities!$G$5:$G$34,MATCH(A146,Entities!$A$5:$A$34,0))="Y","Yes","N/A"),"Yes")</f>
        <v>Yes</v>
      </c>
      <c r="G146" s="24" t="n">
        <v>3</v>
      </c>
      <c r="H146" s="24" t="n">
        <v>3</v>
      </c>
      <c r="I146" s="24" t="n">
        <v>2</v>
      </c>
      <c r="J146" s="24" t="n">
        <v>2</v>
      </c>
      <c r="K146" s="24" t="n">
        <v>2</v>
      </c>
      <c r="L146" s="37" t="n">
        <f aca="false">IF(F146="N/A","",IF(COUNT(H146:K146)=0,"",IF(Config!$C$19="Highest dimension",MAX(H146:K146),ROUND(H146*Config!$C$20+I146*Config!$C$21+J146*Config!$C$22+K146*Config!$C$23,1))))</f>
        <v>3</v>
      </c>
      <c r="M146" s="38" t="n">
        <f aca="false">IF(OR(L146="",G146=""),"",G146*L146)</f>
        <v>9</v>
      </c>
      <c r="N146" s="31" t="n">
        <f aca="false">IF(M146="","",MATCH(M146,Config!$E$5:$E$9,1))</f>
        <v>3</v>
      </c>
      <c r="O146" s="7" t="str">
        <f aca="false">IF(F146="N/A","N/A",IF(N146="","Not assessed",INDEX(Config!$B$5:$B$9,N146)))</f>
        <v>Medium</v>
      </c>
      <c r="P146" s="32" t="n">
        <v>0</v>
      </c>
      <c r="Q146" s="8"/>
      <c r="R146" s="33"/>
      <c r="S146" s="34" t="n">
        <f aca="false">IF(N146="","",IF(AND(R146="Y",P146&lt;&gt;0),MAX(1,MIN(5,N146+MAX(-Config!$C$27,MIN(Config!$C$27,P146)))),N146))</f>
        <v>3</v>
      </c>
      <c r="T146" s="35" t="str">
        <f aca="false">IF(F146="N/A","N/A",IF(S146="","Not assessed",INDEX(Config!$B$5:$B$9,S146)))</f>
        <v>Medium</v>
      </c>
      <c r="U146" s="7" t="str">
        <f aca="false">IF(P146=0,"None",IF(R146="Y","Applied","Pending HO approval"))</f>
        <v>None</v>
      </c>
      <c r="V146" s="8"/>
    </row>
    <row r="147" customFormat="false" ht="15" hidden="false" customHeight="false" outlineLevel="0" collapsed="false">
      <c r="A147" s="26" t="str">
        <f aca="false">Entities!$A$15</f>
        <v>BH</v>
      </c>
      <c r="B147" s="12" t="str">
        <f aca="false">INDEX(Entities!$B$5:$B$34,MATCH(A147,Entities!$A$5:$A$34,0))</f>
        <v>Arab Bank – Bahrain</v>
      </c>
      <c r="C147" s="12" t="str">
        <f aca="false">INDEX(Entities!$D$5:$D$34,MATCH(A147,Entities!$A$5:$A$34,0))</f>
        <v>GCC</v>
      </c>
      <c r="D147" s="12" t="s">
        <v>322</v>
      </c>
      <c r="E147" s="12" t="str">
        <f aca="false">INDEX('Risk Taxonomy'!$B$5:$B$24,MATCH(D147,'Risk Taxonomy'!$A$5:$A$24,0))</f>
        <v>Strategic, business model and ESG</v>
      </c>
      <c r="F147" s="7" t="str">
        <f aca="false">IF(D147="RC-04",IF(INDEX(Entities!$G$5:$G$34,MATCH(A147,Entities!$A$5:$A$34,0))="Y","Yes","N/A"),"Yes")</f>
        <v>Yes</v>
      </c>
      <c r="G147" s="24" t="n">
        <v>4</v>
      </c>
      <c r="H147" s="24" t="n">
        <v>3</v>
      </c>
      <c r="I147" s="24" t="n">
        <v>3</v>
      </c>
      <c r="J147" s="24" t="n">
        <v>3</v>
      </c>
      <c r="K147" s="24" t="n">
        <v>3</v>
      </c>
      <c r="L147" s="37" t="n">
        <f aca="false">IF(F147="N/A","",IF(COUNT(H147:K147)=0,"",IF(Config!$C$19="Highest dimension",MAX(H147:K147),ROUND(H147*Config!$C$20+I147*Config!$C$21+J147*Config!$C$22+K147*Config!$C$23,1))))</f>
        <v>3</v>
      </c>
      <c r="M147" s="38" t="n">
        <f aca="false">IF(OR(L147="",G147=""),"",G147*L147)</f>
        <v>12</v>
      </c>
      <c r="N147" s="31" t="n">
        <f aca="false">IF(M147="","",MATCH(M147,Config!$E$5:$E$9,1))</f>
        <v>3</v>
      </c>
      <c r="O147" s="7" t="str">
        <f aca="false">IF(F147="N/A","N/A",IF(N147="","Not assessed",INDEX(Config!$B$5:$B$9,N147)))</f>
        <v>Medium</v>
      </c>
      <c r="P147" s="32" t="n">
        <v>0</v>
      </c>
      <c r="Q147" s="8"/>
      <c r="R147" s="33"/>
      <c r="S147" s="34" t="n">
        <f aca="false">IF(N147="","",IF(AND(R147="Y",P147&lt;&gt;0),MAX(1,MIN(5,N147+MAX(-Config!$C$27,MIN(Config!$C$27,P147)))),N147))</f>
        <v>3</v>
      </c>
      <c r="T147" s="35" t="str">
        <f aca="false">IF(F147="N/A","N/A",IF(S147="","Not assessed",INDEX(Config!$B$5:$B$9,S147)))</f>
        <v>Medium</v>
      </c>
      <c r="U147" s="7" t="str">
        <f aca="false">IF(P147=0,"None",IF(R147="Y","Applied","Pending HO approval"))</f>
        <v>None</v>
      </c>
      <c r="V147" s="8"/>
    </row>
    <row r="148" customFormat="false" ht="15" hidden="false" customHeight="false" outlineLevel="0" collapsed="false">
      <c r="A148" s="26" t="str">
        <f aca="false">Entities!$A$16</f>
        <v>QA</v>
      </c>
      <c r="B148" s="12" t="str">
        <f aca="false">INDEX(Entities!$B$5:$B$34,MATCH(A148,Entities!$A$5:$A$34,0))</f>
        <v>Arab Bank – Qatar</v>
      </c>
      <c r="C148" s="12" t="str">
        <f aca="false">INDEX(Entities!$D$5:$D$34,MATCH(A148,Entities!$A$5:$A$34,0))</f>
        <v>GCC</v>
      </c>
      <c r="D148" s="12" t="s">
        <v>284</v>
      </c>
      <c r="E148" s="12" t="str">
        <f aca="false">INDEX('Risk Taxonomy'!$B$5:$B$24,MATCH(D148,'Risk Taxonomy'!$A$5:$A$24,0))</f>
        <v>Regulatory compliance</v>
      </c>
      <c r="F148" s="7" t="str">
        <f aca="false">IF(D148="RC-04",IF(INDEX(Entities!$G$5:$G$34,MATCH(A148,Entities!$A$5:$A$34,0))="Y","Yes","N/A"),"Yes")</f>
        <v>Yes</v>
      </c>
      <c r="G148" s="24" t="n">
        <v>2</v>
      </c>
      <c r="H148" s="24" t="n">
        <v>3</v>
      </c>
      <c r="I148" s="24" t="n">
        <v>2</v>
      </c>
      <c r="J148" s="24" t="n">
        <v>4</v>
      </c>
      <c r="K148" s="24" t="n">
        <v>2</v>
      </c>
      <c r="L148" s="37" t="n">
        <f aca="false">IF(F148="N/A","",IF(COUNT(H148:K148)=0,"",IF(Config!$C$19="Highest dimension",MAX(H148:K148),ROUND(H148*Config!$C$20+I148*Config!$C$21+J148*Config!$C$22+K148*Config!$C$23,1))))</f>
        <v>4</v>
      </c>
      <c r="M148" s="38" t="n">
        <f aca="false">IF(OR(L148="",G148=""),"",G148*L148)</f>
        <v>8</v>
      </c>
      <c r="N148" s="31" t="n">
        <f aca="false">IF(M148="","",MATCH(M148,Config!$E$5:$E$9,1))</f>
        <v>2</v>
      </c>
      <c r="O148" s="7" t="str">
        <f aca="false">IF(F148="N/A","N/A",IF(N148="","Not assessed",INDEX(Config!$B$5:$B$9,N148)))</f>
        <v>Medium-Low</v>
      </c>
      <c r="P148" s="32" t="n">
        <v>0</v>
      </c>
      <c r="Q148" s="8"/>
      <c r="R148" s="33"/>
      <c r="S148" s="34" t="n">
        <f aca="false">IF(N148="","",IF(AND(R148="Y",P148&lt;&gt;0),MAX(1,MIN(5,N148+MAX(-Config!$C$27,MIN(Config!$C$27,P148)))),N148))</f>
        <v>2</v>
      </c>
      <c r="T148" s="35" t="str">
        <f aca="false">IF(F148="N/A","N/A",IF(S148="","Not assessed",INDEX(Config!$B$5:$B$9,S148)))</f>
        <v>Medium-Low</v>
      </c>
      <c r="U148" s="7" t="str">
        <f aca="false">IF(P148=0,"None",IF(R148="Y","Applied","Pending HO approval"))</f>
        <v>None</v>
      </c>
      <c r="V148" s="8"/>
    </row>
    <row r="149" customFormat="false" ht="15" hidden="false" customHeight="false" outlineLevel="0" collapsed="false">
      <c r="A149" s="26" t="str">
        <f aca="false">Entities!$A$16</f>
        <v>QA</v>
      </c>
      <c r="B149" s="12" t="str">
        <f aca="false">INDEX(Entities!$B$5:$B$34,MATCH(A149,Entities!$A$5:$A$34,0))</f>
        <v>Arab Bank – Qatar</v>
      </c>
      <c r="C149" s="12" t="str">
        <f aca="false">INDEX(Entities!$D$5:$D$34,MATCH(A149,Entities!$A$5:$A$34,0))</f>
        <v>GCC</v>
      </c>
      <c r="D149" s="12" t="s">
        <v>288</v>
      </c>
      <c r="E149" s="12" t="str">
        <f aca="false">INDEX('Risk Taxonomy'!$B$5:$B$24,MATCH(D149,'Risk Taxonomy'!$A$5:$A$24,0))</f>
        <v>Conduct and consumer protection</v>
      </c>
      <c r="F149" s="7" t="str">
        <f aca="false">IF(D149="RC-04",IF(INDEX(Entities!$G$5:$G$34,MATCH(A149,Entities!$A$5:$A$34,0))="Y","Yes","N/A"),"Yes")</f>
        <v>Yes</v>
      </c>
      <c r="G149" s="24" t="n">
        <v>2</v>
      </c>
      <c r="H149" s="24" t="n">
        <v>4</v>
      </c>
      <c r="I149" s="24" t="n">
        <v>3</v>
      </c>
      <c r="J149" s="24" t="n">
        <v>2</v>
      </c>
      <c r="K149" s="24" t="n">
        <v>2</v>
      </c>
      <c r="L149" s="37" t="n">
        <f aca="false">IF(F149="N/A","",IF(COUNT(H149:K149)=0,"",IF(Config!$C$19="Highest dimension",MAX(H149:K149),ROUND(H149*Config!$C$20+I149*Config!$C$21+J149*Config!$C$22+K149*Config!$C$23,1))))</f>
        <v>4</v>
      </c>
      <c r="M149" s="38" t="n">
        <f aca="false">IF(OR(L149="",G149=""),"",G149*L149)</f>
        <v>8</v>
      </c>
      <c r="N149" s="31" t="n">
        <f aca="false">IF(M149="","",MATCH(M149,Config!$E$5:$E$9,1))</f>
        <v>2</v>
      </c>
      <c r="O149" s="7" t="str">
        <f aca="false">IF(F149="N/A","N/A",IF(N149="","Not assessed",INDEX(Config!$B$5:$B$9,N149)))</f>
        <v>Medium-Low</v>
      </c>
      <c r="P149" s="32" t="n">
        <v>0</v>
      </c>
      <c r="Q149" s="8"/>
      <c r="R149" s="33"/>
      <c r="S149" s="34" t="n">
        <f aca="false">IF(N149="","",IF(AND(R149="Y",P149&lt;&gt;0),MAX(1,MIN(5,N149+MAX(-Config!$C$27,MIN(Config!$C$27,P149)))),N149))</f>
        <v>2</v>
      </c>
      <c r="T149" s="35" t="str">
        <f aca="false">IF(F149="N/A","N/A",IF(S149="","Not assessed",INDEX(Config!$B$5:$B$9,S149)))</f>
        <v>Medium-Low</v>
      </c>
      <c r="U149" s="7" t="str">
        <f aca="false">IF(P149=0,"None",IF(R149="Y","Applied","Pending HO approval"))</f>
        <v>None</v>
      </c>
      <c r="V149" s="8"/>
    </row>
    <row r="150" customFormat="false" ht="15" hidden="false" customHeight="false" outlineLevel="0" collapsed="false">
      <c r="A150" s="26" t="str">
        <f aca="false">Entities!$A$16</f>
        <v>QA</v>
      </c>
      <c r="B150" s="12" t="str">
        <f aca="false">INDEX(Entities!$B$5:$B$34,MATCH(A150,Entities!$A$5:$A$34,0))</f>
        <v>Arab Bank – Qatar</v>
      </c>
      <c r="C150" s="12" t="str">
        <f aca="false">INDEX(Entities!$D$5:$D$34,MATCH(A150,Entities!$A$5:$A$34,0))</f>
        <v>GCC</v>
      </c>
      <c r="D150" s="12" t="s">
        <v>290</v>
      </c>
      <c r="E150" s="12" t="str">
        <f aca="false">INDEX('Risk Taxonomy'!$B$5:$B$24,MATCH(D150,'Risk Taxonomy'!$A$5:$A$24,0))</f>
        <v>Data protection and privacy</v>
      </c>
      <c r="F150" s="7" t="str">
        <f aca="false">IF(D150="RC-04",IF(INDEX(Entities!$G$5:$G$34,MATCH(A150,Entities!$A$5:$A$34,0))="Y","Yes","N/A"),"Yes")</f>
        <v>Yes</v>
      </c>
      <c r="G150" s="24" t="n">
        <v>4</v>
      </c>
      <c r="H150" s="24" t="n">
        <v>3</v>
      </c>
      <c r="I150" s="24" t="n">
        <v>3</v>
      </c>
      <c r="J150" s="24" t="n">
        <v>3</v>
      </c>
      <c r="K150" s="24" t="n">
        <v>3</v>
      </c>
      <c r="L150" s="37" t="n">
        <f aca="false">IF(F150="N/A","",IF(COUNT(H150:K150)=0,"",IF(Config!$C$19="Highest dimension",MAX(H150:K150),ROUND(H150*Config!$C$20+I150*Config!$C$21+J150*Config!$C$22+K150*Config!$C$23,1))))</f>
        <v>3</v>
      </c>
      <c r="M150" s="38" t="n">
        <f aca="false">IF(OR(L150="",G150=""),"",G150*L150)</f>
        <v>12</v>
      </c>
      <c r="N150" s="31" t="n">
        <f aca="false">IF(M150="","",MATCH(M150,Config!$E$5:$E$9,1))</f>
        <v>3</v>
      </c>
      <c r="O150" s="7" t="str">
        <f aca="false">IF(F150="N/A","N/A",IF(N150="","Not assessed",INDEX(Config!$B$5:$B$9,N150)))</f>
        <v>Medium</v>
      </c>
      <c r="P150" s="32" t="n">
        <v>0</v>
      </c>
      <c r="Q150" s="8"/>
      <c r="R150" s="33"/>
      <c r="S150" s="34" t="n">
        <f aca="false">IF(N150="","",IF(AND(R150="Y",P150&lt;&gt;0),MAX(1,MIN(5,N150+MAX(-Config!$C$27,MIN(Config!$C$27,P150)))),N150))</f>
        <v>3</v>
      </c>
      <c r="T150" s="35" t="str">
        <f aca="false">IF(F150="N/A","N/A",IF(S150="","Not assessed",INDEX(Config!$B$5:$B$9,S150)))</f>
        <v>Medium</v>
      </c>
      <c r="U150" s="7" t="str">
        <f aca="false">IF(P150=0,"None",IF(R150="Y","Applied","Pending HO approval"))</f>
        <v>None</v>
      </c>
      <c r="V150" s="8"/>
    </row>
    <row r="151" customFormat="false" ht="15" hidden="false" customHeight="false" outlineLevel="0" collapsed="false">
      <c r="A151" s="26" t="str">
        <f aca="false">Entities!$A$16</f>
        <v>QA</v>
      </c>
      <c r="B151" s="12" t="str">
        <f aca="false">INDEX(Entities!$B$5:$B$34,MATCH(A151,Entities!$A$5:$A$34,0))</f>
        <v>Arab Bank – Qatar</v>
      </c>
      <c r="C151" s="12" t="str">
        <f aca="false">INDEX(Entities!$D$5:$D$34,MATCH(A151,Entities!$A$5:$A$34,0))</f>
        <v>GCC</v>
      </c>
      <c r="D151" s="12" t="s">
        <v>293</v>
      </c>
      <c r="E151" s="12" t="str">
        <f aca="false">INDEX('Risk Taxonomy'!$B$5:$B$24,MATCH(D151,'Risk Taxonomy'!$A$5:$A$24,0))</f>
        <v>Shariah non-compliance</v>
      </c>
      <c r="F151" s="7" t="str">
        <f aca="false">IF(D151="RC-04",IF(INDEX(Entities!$G$5:$G$34,MATCH(A151,Entities!$A$5:$A$34,0))="Y","Yes","N/A"),"Yes")</f>
        <v>N/A</v>
      </c>
      <c r="G151" s="24"/>
      <c r="H151" s="24"/>
      <c r="I151" s="24"/>
      <c r="J151" s="24"/>
      <c r="K151" s="24"/>
      <c r="L151" s="37" t="str">
        <f aca="false">IF(F151="N/A","",IF(COUNT(H151:K151)=0,"",IF(Config!$C$19="Highest dimension",MAX(H151:K151),ROUND(H151*Config!$C$20+I151*Config!$C$21+J151*Config!$C$22+K151*Config!$C$23,1))))</f>
        <v/>
      </c>
      <c r="M151" s="38" t="str">
        <f aca="false">IF(OR(L151="",G151=""),"",G151*L151)</f>
        <v/>
      </c>
      <c r="N151" s="31" t="str">
        <f aca="false">IF(M151="","",MATCH(M151,Config!$E$5:$E$9,1))</f>
        <v/>
      </c>
      <c r="O151" s="7" t="str">
        <f aca="false">IF(F151="N/A","N/A",IF(N151="","Not assessed",INDEX(Config!$B$5:$B$9,N151)))</f>
        <v>N/A</v>
      </c>
      <c r="P151" s="32" t="n">
        <v>0</v>
      </c>
      <c r="Q151" s="8"/>
      <c r="R151" s="33"/>
      <c r="S151" s="34" t="str">
        <f aca="false">IF(N151="","",IF(AND(R151="Y",P151&lt;&gt;0),MAX(1,MIN(5,N151+MAX(-Config!$C$27,MIN(Config!$C$27,P151)))),N151))</f>
        <v/>
      </c>
      <c r="T151" s="35" t="str">
        <f aca="false">IF(F151="N/A","N/A",IF(S151="","Not assessed",INDEX(Config!$B$5:$B$9,S151)))</f>
        <v>N/A</v>
      </c>
      <c r="U151" s="7" t="str">
        <f aca="false">IF(P151=0,"None",IF(R151="Y","Applied","Pending HO approval"))</f>
        <v>None</v>
      </c>
      <c r="V151" s="8"/>
    </row>
    <row r="152" customFormat="false" ht="15" hidden="false" customHeight="false" outlineLevel="0" collapsed="false">
      <c r="A152" s="26" t="str">
        <f aca="false">Entities!$A$16</f>
        <v>QA</v>
      </c>
      <c r="B152" s="12" t="str">
        <f aca="false">INDEX(Entities!$B$5:$B$34,MATCH(A152,Entities!$A$5:$A$34,0))</f>
        <v>Arab Bank – Qatar</v>
      </c>
      <c r="C152" s="12" t="str">
        <f aca="false">INDEX(Entities!$D$5:$D$34,MATCH(A152,Entities!$A$5:$A$34,0))</f>
        <v>GCC</v>
      </c>
      <c r="D152" s="12" t="s">
        <v>297</v>
      </c>
      <c r="E152" s="12" t="str">
        <f aca="false">INDEX('Risk Taxonomy'!$B$5:$B$24,MATCH(D152,'Risk Taxonomy'!$A$5:$A$24,0))</f>
        <v>Credit risk</v>
      </c>
      <c r="F152" s="7" t="str">
        <f aca="false">IF(D152="RC-04",IF(INDEX(Entities!$G$5:$G$34,MATCH(A152,Entities!$A$5:$A$34,0))="Y","Yes","N/A"),"Yes")</f>
        <v>Yes</v>
      </c>
      <c r="G152" s="24" t="n">
        <v>4</v>
      </c>
      <c r="H152" s="24" t="n">
        <v>3</v>
      </c>
      <c r="I152" s="24" t="n">
        <v>2</v>
      </c>
      <c r="J152" s="24" t="n">
        <v>2</v>
      </c>
      <c r="K152" s="24" t="n">
        <v>2</v>
      </c>
      <c r="L152" s="37" t="n">
        <f aca="false">IF(F152="N/A","",IF(COUNT(H152:K152)=0,"",IF(Config!$C$19="Highest dimension",MAX(H152:K152),ROUND(H152*Config!$C$20+I152*Config!$C$21+J152*Config!$C$22+K152*Config!$C$23,1))))</f>
        <v>3</v>
      </c>
      <c r="M152" s="38" t="n">
        <f aca="false">IF(OR(L152="",G152=""),"",G152*L152)</f>
        <v>12</v>
      </c>
      <c r="N152" s="31" t="n">
        <f aca="false">IF(M152="","",MATCH(M152,Config!$E$5:$E$9,1))</f>
        <v>3</v>
      </c>
      <c r="O152" s="7" t="str">
        <f aca="false">IF(F152="N/A","N/A",IF(N152="","Not assessed",INDEX(Config!$B$5:$B$9,N152)))</f>
        <v>Medium</v>
      </c>
      <c r="P152" s="32" t="n">
        <v>0</v>
      </c>
      <c r="Q152" s="8"/>
      <c r="R152" s="33"/>
      <c r="S152" s="34" t="n">
        <f aca="false">IF(N152="","",IF(AND(R152="Y",P152&lt;&gt;0),MAX(1,MIN(5,N152+MAX(-Config!$C$27,MIN(Config!$C$27,P152)))),N152))</f>
        <v>3</v>
      </c>
      <c r="T152" s="35" t="str">
        <f aca="false">IF(F152="N/A","N/A",IF(S152="","Not assessed",INDEX(Config!$B$5:$B$9,S152)))</f>
        <v>Medium</v>
      </c>
      <c r="U152" s="7" t="str">
        <f aca="false">IF(P152=0,"None",IF(R152="Y","Applied","Pending HO approval"))</f>
        <v>None</v>
      </c>
      <c r="V152" s="8"/>
    </row>
    <row r="153" customFormat="false" ht="15" hidden="false" customHeight="false" outlineLevel="0" collapsed="false">
      <c r="A153" s="26" t="str">
        <f aca="false">Entities!$A$16</f>
        <v>QA</v>
      </c>
      <c r="B153" s="12" t="str">
        <f aca="false">INDEX(Entities!$B$5:$B$34,MATCH(A153,Entities!$A$5:$A$34,0))</f>
        <v>Arab Bank – Qatar</v>
      </c>
      <c r="C153" s="12" t="str">
        <f aca="false">INDEX(Entities!$D$5:$D$34,MATCH(A153,Entities!$A$5:$A$34,0))</f>
        <v>GCC</v>
      </c>
      <c r="D153" s="12" t="s">
        <v>302</v>
      </c>
      <c r="E153" s="12" t="str">
        <f aca="false">INDEX('Risk Taxonomy'!$B$5:$B$24,MATCH(D153,'Risk Taxonomy'!$A$5:$A$24,0))</f>
        <v>Market risk</v>
      </c>
      <c r="F153" s="7" t="str">
        <f aca="false">IF(D153="RC-04",IF(INDEX(Entities!$G$5:$G$34,MATCH(A153,Entities!$A$5:$A$34,0))="Y","Yes","N/A"),"Yes")</f>
        <v>Yes</v>
      </c>
      <c r="G153" s="24" t="n">
        <v>3</v>
      </c>
      <c r="H153" s="24" t="n">
        <v>2</v>
      </c>
      <c r="I153" s="24" t="n">
        <v>2</v>
      </c>
      <c r="J153" s="24" t="n">
        <v>2</v>
      </c>
      <c r="K153" s="24" t="n">
        <v>3</v>
      </c>
      <c r="L153" s="37" t="n">
        <f aca="false">IF(F153="N/A","",IF(COUNT(H153:K153)=0,"",IF(Config!$C$19="Highest dimension",MAX(H153:K153),ROUND(H153*Config!$C$20+I153*Config!$C$21+J153*Config!$C$22+K153*Config!$C$23,1))))</f>
        <v>3</v>
      </c>
      <c r="M153" s="38" t="n">
        <f aca="false">IF(OR(L153="",G153=""),"",G153*L153)</f>
        <v>9</v>
      </c>
      <c r="N153" s="31" t="n">
        <f aca="false">IF(M153="","",MATCH(M153,Config!$E$5:$E$9,1))</f>
        <v>3</v>
      </c>
      <c r="O153" s="7" t="str">
        <f aca="false">IF(F153="N/A","N/A",IF(N153="","Not assessed",INDEX(Config!$B$5:$B$9,N153)))</f>
        <v>Medium</v>
      </c>
      <c r="P153" s="32" t="n">
        <v>0</v>
      </c>
      <c r="Q153" s="8"/>
      <c r="R153" s="33"/>
      <c r="S153" s="34" t="n">
        <f aca="false">IF(N153="","",IF(AND(R153="Y",P153&lt;&gt;0),MAX(1,MIN(5,N153+MAX(-Config!$C$27,MIN(Config!$C$27,P153)))),N153))</f>
        <v>3</v>
      </c>
      <c r="T153" s="35" t="str">
        <f aca="false">IF(F153="N/A","N/A",IF(S153="","Not assessed",INDEX(Config!$B$5:$B$9,S153)))</f>
        <v>Medium</v>
      </c>
      <c r="U153" s="7" t="str">
        <f aca="false">IF(P153=0,"None",IF(R153="Y","Applied","Pending HO approval"))</f>
        <v>None</v>
      </c>
      <c r="V153" s="8"/>
    </row>
    <row r="154" customFormat="false" ht="15" hidden="false" customHeight="false" outlineLevel="0" collapsed="false">
      <c r="A154" s="26" t="str">
        <f aca="false">Entities!$A$16</f>
        <v>QA</v>
      </c>
      <c r="B154" s="12" t="str">
        <f aca="false">INDEX(Entities!$B$5:$B$34,MATCH(A154,Entities!$A$5:$A$34,0))</f>
        <v>Arab Bank – Qatar</v>
      </c>
      <c r="C154" s="12" t="str">
        <f aca="false">INDEX(Entities!$D$5:$D$34,MATCH(A154,Entities!$A$5:$A$34,0))</f>
        <v>GCC</v>
      </c>
      <c r="D154" s="12" t="s">
        <v>304</v>
      </c>
      <c r="E154" s="12" t="str">
        <f aca="false">INDEX('Risk Taxonomy'!$B$5:$B$24,MATCH(D154,'Risk Taxonomy'!$A$5:$A$24,0))</f>
        <v>Liquidity and funding risk</v>
      </c>
      <c r="F154" s="7" t="str">
        <f aca="false">IF(D154="RC-04",IF(INDEX(Entities!$G$5:$G$34,MATCH(A154,Entities!$A$5:$A$34,0))="Y","Yes","N/A"),"Yes")</f>
        <v>Yes</v>
      </c>
      <c r="G154" s="24" t="n">
        <v>4</v>
      </c>
      <c r="H154" s="24" t="n">
        <v>2</v>
      </c>
      <c r="I154" s="24" t="n">
        <v>3</v>
      </c>
      <c r="J154" s="24" t="n">
        <v>3</v>
      </c>
      <c r="K154" s="24" t="n">
        <v>2</v>
      </c>
      <c r="L154" s="37" t="n">
        <f aca="false">IF(F154="N/A","",IF(COUNT(H154:K154)=0,"",IF(Config!$C$19="Highest dimension",MAX(H154:K154),ROUND(H154*Config!$C$20+I154*Config!$C$21+J154*Config!$C$22+K154*Config!$C$23,1))))</f>
        <v>3</v>
      </c>
      <c r="M154" s="38" t="n">
        <f aca="false">IF(OR(L154="",G154=""),"",G154*L154)</f>
        <v>12</v>
      </c>
      <c r="N154" s="31" t="n">
        <f aca="false">IF(M154="","",MATCH(M154,Config!$E$5:$E$9,1))</f>
        <v>3</v>
      </c>
      <c r="O154" s="7" t="str">
        <f aca="false">IF(F154="N/A","N/A",IF(N154="","Not assessed",INDEX(Config!$B$5:$B$9,N154)))</f>
        <v>Medium</v>
      </c>
      <c r="P154" s="32" t="n">
        <v>0</v>
      </c>
      <c r="Q154" s="8"/>
      <c r="R154" s="33"/>
      <c r="S154" s="34" t="n">
        <f aca="false">IF(N154="","",IF(AND(R154="Y",P154&lt;&gt;0),MAX(1,MIN(5,N154+MAX(-Config!$C$27,MIN(Config!$C$27,P154)))),N154))</f>
        <v>3</v>
      </c>
      <c r="T154" s="35" t="str">
        <f aca="false">IF(F154="N/A","N/A",IF(S154="","Not assessed",INDEX(Config!$B$5:$B$9,S154)))</f>
        <v>Medium</v>
      </c>
      <c r="U154" s="7" t="str">
        <f aca="false">IF(P154=0,"None",IF(R154="Y","Applied","Pending HO approval"))</f>
        <v>None</v>
      </c>
      <c r="V154" s="8"/>
    </row>
    <row r="155" customFormat="false" ht="15" hidden="false" customHeight="false" outlineLevel="0" collapsed="false">
      <c r="A155" s="26" t="str">
        <f aca="false">Entities!$A$16</f>
        <v>QA</v>
      </c>
      <c r="B155" s="12" t="str">
        <f aca="false">INDEX(Entities!$B$5:$B$34,MATCH(A155,Entities!$A$5:$A$34,0))</f>
        <v>Arab Bank – Qatar</v>
      </c>
      <c r="C155" s="12" t="str">
        <f aca="false">INDEX(Entities!$D$5:$D$34,MATCH(A155,Entities!$A$5:$A$34,0))</f>
        <v>GCC</v>
      </c>
      <c r="D155" s="12" t="s">
        <v>307</v>
      </c>
      <c r="E155" s="12" t="str">
        <f aca="false">INDEX('Risk Taxonomy'!$B$5:$B$24,MATCH(D155,'Risk Taxonomy'!$A$5:$A$24,0))</f>
        <v>Operational risk</v>
      </c>
      <c r="F155" s="7" t="str">
        <f aca="false">IF(D155="RC-04",IF(INDEX(Entities!$G$5:$G$34,MATCH(A155,Entities!$A$5:$A$34,0))="Y","Yes","N/A"),"Yes")</f>
        <v>Yes</v>
      </c>
      <c r="G155" s="24" t="n">
        <v>2</v>
      </c>
      <c r="H155" s="24" t="n">
        <v>3</v>
      </c>
      <c r="I155" s="24" t="n">
        <v>3</v>
      </c>
      <c r="J155" s="24" t="n">
        <v>2</v>
      </c>
      <c r="K155" s="24" t="n">
        <v>3</v>
      </c>
      <c r="L155" s="37" t="n">
        <f aca="false">IF(F155="N/A","",IF(COUNT(H155:K155)=0,"",IF(Config!$C$19="Highest dimension",MAX(H155:K155),ROUND(H155*Config!$C$20+I155*Config!$C$21+J155*Config!$C$22+K155*Config!$C$23,1))))</f>
        <v>3</v>
      </c>
      <c r="M155" s="38" t="n">
        <f aca="false">IF(OR(L155="",G155=""),"",G155*L155)</f>
        <v>6</v>
      </c>
      <c r="N155" s="31" t="n">
        <f aca="false">IF(M155="","",MATCH(M155,Config!$E$5:$E$9,1))</f>
        <v>2</v>
      </c>
      <c r="O155" s="7" t="str">
        <f aca="false">IF(F155="N/A","N/A",IF(N155="","Not assessed",INDEX(Config!$B$5:$B$9,N155)))</f>
        <v>Medium-Low</v>
      </c>
      <c r="P155" s="32" t="n">
        <v>0</v>
      </c>
      <c r="Q155" s="8"/>
      <c r="R155" s="33"/>
      <c r="S155" s="34" t="n">
        <f aca="false">IF(N155="","",IF(AND(R155="Y",P155&lt;&gt;0),MAX(1,MIN(5,N155+MAX(-Config!$C$27,MIN(Config!$C$27,P155)))),N155))</f>
        <v>2</v>
      </c>
      <c r="T155" s="35" t="str">
        <f aca="false">IF(F155="N/A","N/A",IF(S155="","Not assessed",INDEX(Config!$B$5:$B$9,S155)))</f>
        <v>Medium-Low</v>
      </c>
      <c r="U155" s="7" t="str">
        <f aca="false">IF(P155=0,"None",IF(R155="Y","Applied","Pending HO approval"))</f>
        <v>None</v>
      </c>
      <c r="V155" s="8"/>
    </row>
    <row r="156" customFormat="false" ht="15" hidden="false" customHeight="false" outlineLevel="0" collapsed="false">
      <c r="A156" s="26" t="str">
        <f aca="false">Entities!$A$16</f>
        <v>QA</v>
      </c>
      <c r="B156" s="12" t="str">
        <f aca="false">INDEX(Entities!$B$5:$B$34,MATCH(A156,Entities!$A$5:$A$34,0))</f>
        <v>Arab Bank – Qatar</v>
      </c>
      <c r="C156" s="12" t="str">
        <f aca="false">INDEX(Entities!$D$5:$D$34,MATCH(A156,Entities!$A$5:$A$34,0))</f>
        <v>GCC</v>
      </c>
      <c r="D156" s="12" t="s">
        <v>310</v>
      </c>
      <c r="E156" s="12" t="str">
        <f aca="false">INDEX('Risk Taxonomy'!$B$5:$B$24,MATCH(D156,'Risk Taxonomy'!$A$5:$A$24,0))</f>
        <v>Cyber, information security and technology</v>
      </c>
      <c r="F156" s="7" t="str">
        <f aca="false">IF(D156="RC-04",IF(INDEX(Entities!$G$5:$G$34,MATCH(A156,Entities!$A$5:$A$34,0))="Y","Yes","N/A"),"Yes")</f>
        <v>Yes</v>
      </c>
      <c r="G156" s="24" t="n">
        <v>3</v>
      </c>
      <c r="H156" s="24" t="n">
        <v>3</v>
      </c>
      <c r="I156" s="24" t="n">
        <v>4</v>
      </c>
      <c r="J156" s="24" t="n">
        <v>2</v>
      </c>
      <c r="K156" s="24" t="n">
        <v>2</v>
      </c>
      <c r="L156" s="37" t="n">
        <f aca="false">IF(F156="N/A","",IF(COUNT(H156:K156)=0,"",IF(Config!$C$19="Highest dimension",MAX(H156:K156),ROUND(H156*Config!$C$20+I156*Config!$C$21+J156*Config!$C$22+K156*Config!$C$23,1))))</f>
        <v>4</v>
      </c>
      <c r="M156" s="38" t="n">
        <f aca="false">IF(OR(L156="",G156=""),"",G156*L156)</f>
        <v>12</v>
      </c>
      <c r="N156" s="31" t="n">
        <f aca="false">IF(M156="","",MATCH(M156,Config!$E$5:$E$9,1))</f>
        <v>3</v>
      </c>
      <c r="O156" s="7" t="str">
        <f aca="false">IF(F156="N/A","N/A",IF(N156="","Not assessed",INDEX(Config!$B$5:$B$9,N156)))</f>
        <v>Medium</v>
      </c>
      <c r="P156" s="32" t="n">
        <v>0</v>
      </c>
      <c r="Q156" s="8"/>
      <c r="R156" s="33"/>
      <c r="S156" s="34" t="n">
        <f aca="false">IF(N156="","",IF(AND(R156="Y",P156&lt;&gt;0),MAX(1,MIN(5,N156+MAX(-Config!$C$27,MIN(Config!$C$27,P156)))),N156))</f>
        <v>3</v>
      </c>
      <c r="T156" s="35" t="str">
        <f aca="false">IF(F156="N/A","N/A",IF(S156="","Not assessed",INDEX(Config!$B$5:$B$9,S156)))</f>
        <v>Medium</v>
      </c>
      <c r="U156" s="7" t="str">
        <f aca="false">IF(P156=0,"None",IF(R156="Y","Applied","Pending HO approval"))</f>
        <v>None</v>
      </c>
      <c r="V156" s="8"/>
    </row>
    <row r="157" customFormat="false" ht="15" hidden="false" customHeight="false" outlineLevel="0" collapsed="false">
      <c r="A157" s="26" t="str">
        <f aca="false">Entities!$A$16</f>
        <v>QA</v>
      </c>
      <c r="B157" s="12" t="str">
        <f aca="false">INDEX(Entities!$B$5:$B$34,MATCH(A157,Entities!$A$5:$A$34,0))</f>
        <v>Arab Bank – Qatar</v>
      </c>
      <c r="C157" s="12" t="str">
        <f aca="false">INDEX(Entities!$D$5:$D$34,MATCH(A157,Entities!$A$5:$A$34,0))</f>
        <v>GCC</v>
      </c>
      <c r="D157" s="12" t="s">
        <v>313</v>
      </c>
      <c r="E157" s="12" t="str">
        <f aca="false">INDEX('Risk Taxonomy'!$B$5:$B$24,MATCH(D157,'Risk Taxonomy'!$A$5:$A$24,0))</f>
        <v>Third-party and outsourcing</v>
      </c>
      <c r="F157" s="7" t="str">
        <f aca="false">IF(D157="RC-04",IF(INDEX(Entities!$G$5:$G$34,MATCH(A157,Entities!$A$5:$A$34,0))="Y","Yes","N/A"),"Yes")</f>
        <v>Yes</v>
      </c>
      <c r="G157" s="24" t="n">
        <v>2</v>
      </c>
      <c r="H157" s="24" t="n">
        <v>4</v>
      </c>
      <c r="I157" s="24" t="n">
        <v>2</v>
      </c>
      <c r="J157" s="24" t="n">
        <v>2</v>
      </c>
      <c r="K157" s="24" t="n">
        <v>1</v>
      </c>
      <c r="L157" s="37" t="n">
        <f aca="false">IF(F157="N/A","",IF(COUNT(H157:K157)=0,"",IF(Config!$C$19="Highest dimension",MAX(H157:K157),ROUND(H157*Config!$C$20+I157*Config!$C$21+J157*Config!$C$22+K157*Config!$C$23,1))))</f>
        <v>4</v>
      </c>
      <c r="M157" s="38" t="n">
        <f aca="false">IF(OR(L157="",G157=""),"",G157*L157)</f>
        <v>8</v>
      </c>
      <c r="N157" s="31" t="n">
        <f aca="false">IF(M157="","",MATCH(M157,Config!$E$5:$E$9,1))</f>
        <v>2</v>
      </c>
      <c r="O157" s="7" t="str">
        <f aca="false">IF(F157="N/A","N/A",IF(N157="","Not assessed",INDEX(Config!$B$5:$B$9,N157)))</f>
        <v>Medium-Low</v>
      </c>
      <c r="P157" s="32" t="n">
        <v>0</v>
      </c>
      <c r="Q157" s="8"/>
      <c r="R157" s="33"/>
      <c r="S157" s="34" t="n">
        <f aca="false">IF(N157="","",IF(AND(R157="Y",P157&lt;&gt;0),MAX(1,MIN(5,N157+MAX(-Config!$C$27,MIN(Config!$C$27,P157)))),N157))</f>
        <v>2</v>
      </c>
      <c r="T157" s="35" t="str">
        <f aca="false">IF(F157="N/A","N/A",IF(S157="","Not assessed",INDEX(Config!$B$5:$B$9,S157)))</f>
        <v>Medium-Low</v>
      </c>
      <c r="U157" s="7" t="str">
        <f aca="false">IF(P157=0,"None",IF(R157="Y","Applied","Pending HO approval"))</f>
        <v>None</v>
      </c>
      <c r="V157" s="8"/>
    </row>
    <row r="158" customFormat="false" ht="15" hidden="false" customHeight="false" outlineLevel="0" collapsed="false">
      <c r="A158" s="26" t="str">
        <f aca="false">Entities!$A$16</f>
        <v>QA</v>
      </c>
      <c r="B158" s="12" t="str">
        <f aca="false">INDEX(Entities!$B$5:$B$34,MATCH(A158,Entities!$A$5:$A$34,0))</f>
        <v>Arab Bank – Qatar</v>
      </c>
      <c r="C158" s="12" t="str">
        <f aca="false">INDEX(Entities!$D$5:$D$34,MATCH(A158,Entities!$A$5:$A$34,0))</f>
        <v>GCC</v>
      </c>
      <c r="D158" s="12" t="s">
        <v>316</v>
      </c>
      <c r="E158" s="12" t="str">
        <f aca="false">INDEX('Risk Taxonomy'!$B$5:$B$24,MATCH(D158,'Risk Taxonomy'!$A$5:$A$24,0))</f>
        <v>Legal and litigation</v>
      </c>
      <c r="F158" s="7" t="str">
        <f aca="false">IF(D158="RC-04",IF(INDEX(Entities!$G$5:$G$34,MATCH(A158,Entities!$A$5:$A$34,0))="Y","Yes","N/A"),"Yes")</f>
        <v>Yes</v>
      </c>
      <c r="G158" s="24" t="n">
        <v>2</v>
      </c>
      <c r="H158" s="24" t="n">
        <v>3</v>
      </c>
      <c r="I158" s="24" t="n">
        <v>3</v>
      </c>
      <c r="J158" s="24" t="n">
        <v>2</v>
      </c>
      <c r="K158" s="24" t="n">
        <v>2</v>
      </c>
      <c r="L158" s="37" t="n">
        <f aca="false">IF(F158="N/A","",IF(COUNT(H158:K158)=0,"",IF(Config!$C$19="Highest dimension",MAX(H158:K158),ROUND(H158*Config!$C$20+I158*Config!$C$21+J158*Config!$C$22+K158*Config!$C$23,1))))</f>
        <v>3</v>
      </c>
      <c r="M158" s="38" t="n">
        <f aca="false">IF(OR(L158="",G158=""),"",G158*L158)</f>
        <v>6</v>
      </c>
      <c r="N158" s="31" t="n">
        <f aca="false">IF(M158="","",MATCH(M158,Config!$E$5:$E$9,1))</f>
        <v>2</v>
      </c>
      <c r="O158" s="7" t="str">
        <f aca="false">IF(F158="N/A","N/A",IF(N158="","Not assessed",INDEX(Config!$B$5:$B$9,N158)))</f>
        <v>Medium-Low</v>
      </c>
      <c r="P158" s="32" t="n">
        <v>0</v>
      </c>
      <c r="Q158" s="8"/>
      <c r="R158" s="33"/>
      <c r="S158" s="34" t="n">
        <f aca="false">IF(N158="","",IF(AND(R158="Y",P158&lt;&gt;0),MAX(1,MIN(5,N158+MAX(-Config!$C$27,MIN(Config!$C$27,P158)))),N158))</f>
        <v>2</v>
      </c>
      <c r="T158" s="35" t="str">
        <f aca="false">IF(F158="N/A","N/A",IF(S158="","Not assessed",INDEX(Config!$B$5:$B$9,S158)))</f>
        <v>Medium-Low</v>
      </c>
      <c r="U158" s="7" t="str">
        <f aca="false">IF(P158=0,"None",IF(R158="Y","Applied","Pending HO approval"))</f>
        <v>None</v>
      </c>
      <c r="V158" s="8"/>
    </row>
    <row r="159" customFormat="false" ht="15" hidden="false" customHeight="false" outlineLevel="0" collapsed="false">
      <c r="A159" s="26" t="str">
        <f aca="false">Entities!$A$16</f>
        <v>QA</v>
      </c>
      <c r="B159" s="12" t="str">
        <f aca="false">INDEX(Entities!$B$5:$B$34,MATCH(A159,Entities!$A$5:$A$34,0))</f>
        <v>Arab Bank – Qatar</v>
      </c>
      <c r="C159" s="12" t="str">
        <f aca="false">INDEX(Entities!$D$5:$D$34,MATCH(A159,Entities!$A$5:$A$34,0))</f>
        <v>GCC</v>
      </c>
      <c r="D159" s="12" t="s">
        <v>319</v>
      </c>
      <c r="E159" s="12" t="str">
        <f aca="false">INDEX('Risk Taxonomy'!$B$5:$B$24,MATCH(D159,'Risk Taxonomy'!$A$5:$A$24,0))</f>
        <v>Reputational</v>
      </c>
      <c r="F159" s="7" t="str">
        <f aca="false">IF(D159="RC-04",IF(INDEX(Entities!$G$5:$G$34,MATCH(A159,Entities!$A$5:$A$34,0))="Y","Yes","N/A"),"Yes")</f>
        <v>Yes</v>
      </c>
      <c r="G159" s="24" t="n">
        <v>4</v>
      </c>
      <c r="H159" s="24" t="n">
        <v>3</v>
      </c>
      <c r="I159" s="24" t="n">
        <v>3</v>
      </c>
      <c r="J159" s="24" t="n">
        <v>4</v>
      </c>
      <c r="K159" s="24" t="n">
        <v>4</v>
      </c>
      <c r="L159" s="37" t="n">
        <f aca="false">IF(F159="N/A","",IF(COUNT(H159:K159)=0,"",IF(Config!$C$19="Highest dimension",MAX(H159:K159),ROUND(H159*Config!$C$20+I159*Config!$C$21+J159*Config!$C$22+K159*Config!$C$23,1))))</f>
        <v>4</v>
      </c>
      <c r="M159" s="38" t="n">
        <f aca="false">IF(OR(L159="",G159=""),"",G159*L159)</f>
        <v>16</v>
      </c>
      <c r="N159" s="31" t="n">
        <f aca="false">IF(M159="","",MATCH(M159,Config!$E$5:$E$9,1))</f>
        <v>4</v>
      </c>
      <c r="O159" s="7" t="str">
        <f aca="false">IF(F159="N/A","N/A",IF(N159="","Not assessed",INDEX(Config!$B$5:$B$9,N159)))</f>
        <v>Medium-High</v>
      </c>
      <c r="P159" s="32" t="n">
        <v>0</v>
      </c>
      <c r="Q159" s="8"/>
      <c r="R159" s="33"/>
      <c r="S159" s="34" t="n">
        <f aca="false">IF(N159="","",IF(AND(R159="Y",P159&lt;&gt;0),MAX(1,MIN(5,N159+MAX(-Config!$C$27,MIN(Config!$C$27,P159)))),N159))</f>
        <v>4</v>
      </c>
      <c r="T159" s="35" t="str">
        <f aca="false">IF(F159="N/A","N/A",IF(S159="","Not assessed",INDEX(Config!$B$5:$B$9,S159)))</f>
        <v>Medium-High</v>
      </c>
      <c r="U159" s="7" t="str">
        <f aca="false">IF(P159=0,"None",IF(R159="Y","Applied","Pending HO approval"))</f>
        <v>None</v>
      </c>
      <c r="V159" s="8"/>
    </row>
    <row r="160" customFormat="false" ht="15" hidden="false" customHeight="false" outlineLevel="0" collapsed="false">
      <c r="A160" s="26" t="str">
        <f aca="false">Entities!$A$16</f>
        <v>QA</v>
      </c>
      <c r="B160" s="12" t="str">
        <f aca="false">INDEX(Entities!$B$5:$B$34,MATCH(A160,Entities!$A$5:$A$34,0))</f>
        <v>Arab Bank – Qatar</v>
      </c>
      <c r="C160" s="12" t="str">
        <f aca="false">INDEX(Entities!$D$5:$D$34,MATCH(A160,Entities!$A$5:$A$34,0))</f>
        <v>GCC</v>
      </c>
      <c r="D160" s="12" t="s">
        <v>322</v>
      </c>
      <c r="E160" s="12" t="str">
        <f aca="false">INDEX('Risk Taxonomy'!$B$5:$B$24,MATCH(D160,'Risk Taxonomy'!$A$5:$A$24,0))</f>
        <v>Strategic, business model and ESG</v>
      </c>
      <c r="F160" s="7" t="str">
        <f aca="false">IF(D160="RC-04",IF(INDEX(Entities!$G$5:$G$34,MATCH(A160,Entities!$A$5:$A$34,0))="Y","Yes","N/A"),"Yes")</f>
        <v>Yes</v>
      </c>
      <c r="G160" s="24" t="n">
        <v>2</v>
      </c>
      <c r="H160" s="24" t="n">
        <v>4</v>
      </c>
      <c r="I160" s="24" t="n">
        <v>3</v>
      </c>
      <c r="J160" s="24" t="n">
        <v>3</v>
      </c>
      <c r="K160" s="24" t="n">
        <v>3</v>
      </c>
      <c r="L160" s="37" t="n">
        <f aca="false">IF(F160="N/A","",IF(COUNT(H160:K160)=0,"",IF(Config!$C$19="Highest dimension",MAX(H160:K160),ROUND(H160*Config!$C$20+I160*Config!$C$21+J160*Config!$C$22+K160*Config!$C$23,1))))</f>
        <v>4</v>
      </c>
      <c r="M160" s="38" t="n">
        <f aca="false">IF(OR(L160="",G160=""),"",G160*L160)</f>
        <v>8</v>
      </c>
      <c r="N160" s="31" t="n">
        <f aca="false">IF(M160="","",MATCH(M160,Config!$E$5:$E$9,1))</f>
        <v>2</v>
      </c>
      <c r="O160" s="7" t="str">
        <f aca="false">IF(F160="N/A","N/A",IF(N160="","Not assessed",INDEX(Config!$B$5:$B$9,N160)))</f>
        <v>Medium-Low</v>
      </c>
      <c r="P160" s="32" t="n">
        <v>0</v>
      </c>
      <c r="Q160" s="8"/>
      <c r="R160" s="33"/>
      <c r="S160" s="34" t="n">
        <f aca="false">IF(N160="","",IF(AND(R160="Y",P160&lt;&gt;0),MAX(1,MIN(5,N160+MAX(-Config!$C$27,MIN(Config!$C$27,P160)))),N160))</f>
        <v>2</v>
      </c>
      <c r="T160" s="35" t="str">
        <f aca="false">IF(F160="N/A","N/A",IF(S160="","Not assessed",INDEX(Config!$B$5:$B$9,S160)))</f>
        <v>Medium-Low</v>
      </c>
      <c r="U160" s="7" t="str">
        <f aca="false">IF(P160=0,"None",IF(R160="Y","Applied","Pending HO approval"))</f>
        <v>None</v>
      </c>
      <c r="V160" s="8"/>
    </row>
    <row r="161" customFormat="false" ht="15" hidden="false" customHeight="false" outlineLevel="0" collapsed="false">
      <c r="A161" s="26" t="str">
        <f aca="false">Entities!$A$17</f>
        <v>SA</v>
      </c>
      <c r="B161" s="12" t="str">
        <f aca="false">INDEX(Entities!$B$5:$B$34,MATCH(A161,Entities!$A$5:$A$34,0))</f>
        <v>Arab National Bank (affiliate)</v>
      </c>
      <c r="C161" s="12" t="str">
        <f aca="false">INDEX(Entities!$D$5:$D$34,MATCH(A161,Entities!$A$5:$A$34,0))</f>
        <v>GCC</v>
      </c>
      <c r="D161" s="12" t="s">
        <v>284</v>
      </c>
      <c r="E161" s="12" t="str">
        <f aca="false">INDEX('Risk Taxonomy'!$B$5:$B$24,MATCH(D161,'Risk Taxonomy'!$A$5:$A$24,0))</f>
        <v>Regulatory compliance</v>
      </c>
      <c r="F161" s="7" t="str">
        <f aca="false">IF(D161="RC-04",IF(INDEX(Entities!$G$5:$G$34,MATCH(A161,Entities!$A$5:$A$34,0))="Y","Yes","N/A"),"Yes")</f>
        <v>Yes</v>
      </c>
      <c r="G161" s="24" t="n">
        <v>3</v>
      </c>
      <c r="H161" s="24" t="n">
        <v>3</v>
      </c>
      <c r="I161" s="24" t="n">
        <v>2</v>
      </c>
      <c r="J161" s="24" t="n">
        <v>5</v>
      </c>
      <c r="K161" s="24" t="n">
        <v>2</v>
      </c>
      <c r="L161" s="37" t="n">
        <f aca="false">IF(F161="N/A","",IF(COUNT(H161:K161)=0,"",IF(Config!$C$19="Highest dimension",MAX(H161:K161),ROUND(H161*Config!$C$20+I161*Config!$C$21+J161*Config!$C$22+K161*Config!$C$23,1))))</f>
        <v>5</v>
      </c>
      <c r="M161" s="38" t="n">
        <f aca="false">IF(OR(L161="",G161=""),"",G161*L161)</f>
        <v>15</v>
      </c>
      <c r="N161" s="31" t="n">
        <f aca="false">IF(M161="","",MATCH(M161,Config!$E$5:$E$9,1))</f>
        <v>4</v>
      </c>
      <c r="O161" s="7" t="str">
        <f aca="false">IF(F161="N/A","N/A",IF(N161="","Not assessed",INDEX(Config!$B$5:$B$9,N161)))</f>
        <v>Medium-High</v>
      </c>
      <c r="P161" s="32" t="n">
        <v>0</v>
      </c>
      <c r="Q161" s="8"/>
      <c r="R161" s="33"/>
      <c r="S161" s="34" t="n">
        <f aca="false">IF(N161="","",IF(AND(R161="Y",P161&lt;&gt;0),MAX(1,MIN(5,N161+MAX(-Config!$C$27,MIN(Config!$C$27,P161)))),N161))</f>
        <v>4</v>
      </c>
      <c r="T161" s="35" t="str">
        <f aca="false">IF(F161="N/A","N/A",IF(S161="","Not assessed",INDEX(Config!$B$5:$B$9,S161)))</f>
        <v>Medium-High</v>
      </c>
      <c r="U161" s="7" t="str">
        <f aca="false">IF(P161=0,"None",IF(R161="Y","Applied","Pending HO approval"))</f>
        <v>None</v>
      </c>
      <c r="V161" s="8"/>
    </row>
    <row r="162" customFormat="false" ht="15" hidden="false" customHeight="false" outlineLevel="0" collapsed="false">
      <c r="A162" s="26" t="str">
        <f aca="false">Entities!$A$17</f>
        <v>SA</v>
      </c>
      <c r="B162" s="12" t="str">
        <f aca="false">INDEX(Entities!$B$5:$B$34,MATCH(A162,Entities!$A$5:$A$34,0))</f>
        <v>Arab National Bank (affiliate)</v>
      </c>
      <c r="C162" s="12" t="str">
        <f aca="false">INDEX(Entities!$D$5:$D$34,MATCH(A162,Entities!$A$5:$A$34,0))</f>
        <v>GCC</v>
      </c>
      <c r="D162" s="12" t="s">
        <v>288</v>
      </c>
      <c r="E162" s="12" t="str">
        <f aca="false">INDEX('Risk Taxonomy'!$B$5:$B$24,MATCH(D162,'Risk Taxonomy'!$A$5:$A$24,0))</f>
        <v>Conduct and consumer protection</v>
      </c>
      <c r="F162" s="7" t="str">
        <f aca="false">IF(D162="RC-04",IF(INDEX(Entities!$G$5:$G$34,MATCH(A162,Entities!$A$5:$A$34,0))="Y","Yes","N/A"),"Yes")</f>
        <v>Yes</v>
      </c>
      <c r="G162" s="24" t="n">
        <v>3</v>
      </c>
      <c r="H162" s="24" t="n">
        <v>4</v>
      </c>
      <c r="I162" s="24" t="n">
        <v>5</v>
      </c>
      <c r="J162" s="24" t="n">
        <v>1</v>
      </c>
      <c r="K162" s="24" t="n">
        <v>3</v>
      </c>
      <c r="L162" s="37" t="n">
        <f aca="false">IF(F162="N/A","",IF(COUNT(H162:K162)=0,"",IF(Config!$C$19="Highest dimension",MAX(H162:K162),ROUND(H162*Config!$C$20+I162*Config!$C$21+J162*Config!$C$22+K162*Config!$C$23,1))))</f>
        <v>5</v>
      </c>
      <c r="M162" s="38" t="n">
        <f aca="false">IF(OR(L162="",G162=""),"",G162*L162)</f>
        <v>15</v>
      </c>
      <c r="N162" s="31" t="n">
        <f aca="false">IF(M162="","",MATCH(M162,Config!$E$5:$E$9,1))</f>
        <v>4</v>
      </c>
      <c r="O162" s="7" t="str">
        <f aca="false">IF(F162="N/A","N/A",IF(N162="","Not assessed",INDEX(Config!$B$5:$B$9,N162)))</f>
        <v>Medium-High</v>
      </c>
      <c r="P162" s="32" t="n">
        <v>0</v>
      </c>
      <c r="Q162" s="8"/>
      <c r="R162" s="33"/>
      <c r="S162" s="34" t="n">
        <f aca="false">IF(N162="","",IF(AND(R162="Y",P162&lt;&gt;0),MAX(1,MIN(5,N162+MAX(-Config!$C$27,MIN(Config!$C$27,P162)))),N162))</f>
        <v>4</v>
      </c>
      <c r="T162" s="35" t="str">
        <f aca="false">IF(F162="N/A","N/A",IF(S162="","Not assessed",INDEX(Config!$B$5:$B$9,S162)))</f>
        <v>Medium-High</v>
      </c>
      <c r="U162" s="7" t="str">
        <f aca="false">IF(P162=0,"None",IF(R162="Y","Applied","Pending HO approval"))</f>
        <v>None</v>
      </c>
      <c r="V162" s="8"/>
    </row>
    <row r="163" customFormat="false" ht="15" hidden="false" customHeight="false" outlineLevel="0" collapsed="false">
      <c r="A163" s="26" t="str">
        <f aca="false">Entities!$A$17</f>
        <v>SA</v>
      </c>
      <c r="B163" s="12" t="str">
        <f aca="false">INDEX(Entities!$B$5:$B$34,MATCH(A163,Entities!$A$5:$A$34,0))</f>
        <v>Arab National Bank (affiliate)</v>
      </c>
      <c r="C163" s="12" t="str">
        <f aca="false">INDEX(Entities!$D$5:$D$34,MATCH(A163,Entities!$A$5:$A$34,0))</f>
        <v>GCC</v>
      </c>
      <c r="D163" s="12" t="s">
        <v>290</v>
      </c>
      <c r="E163" s="12" t="str">
        <f aca="false">INDEX('Risk Taxonomy'!$B$5:$B$24,MATCH(D163,'Risk Taxonomy'!$A$5:$A$24,0))</f>
        <v>Data protection and privacy</v>
      </c>
      <c r="F163" s="7" t="str">
        <f aca="false">IF(D163="RC-04",IF(INDEX(Entities!$G$5:$G$34,MATCH(A163,Entities!$A$5:$A$34,0))="Y","Yes","N/A"),"Yes")</f>
        <v>Yes</v>
      </c>
      <c r="G163" s="24" t="n">
        <v>2</v>
      </c>
      <c r="H163" s="24" t="n">
        <v>3</v>
      </c>
      <c r="I163" s="24" t="n">
        <v>3</v>
      </c>
      <c r="J163" s="24" t="n">
        <v>3</v>
      </c>
      <c r="K163" s="24" t="n">
        <v>3</v>
      </c>
      <c r="L163" s="37" t="n">
        <f aca="false">IF(F163="N/A","",IF(COUNT(H163:K163)=0,"",IF(Config!$C$19="Highest dimension",MAX(H163:K163),ROUND(H163*Config!$C$20+I163*Config!$C$21+J163*Config!$C$22+K163*Config!$C$23,1))))</f>
        <v>3</v>
      </c>
      <c r="M163" s="38" t="n">
        <f aca="false">IF(OR(L163="",G163=""),"",G163*L163)</f>
        <v>6</v>
      </c>
      <c r="N163" s="31" t="n">
        <f aca="false">IF(M163="","",MATCH(M163,Config!$E$5:$E$9,1))</f>
        <v>2</v>
      </c>
      <c r="O163" s="7" t="str">
        <f aca="false">IF(F163="N/A","N/A",IF(N163="","Not assessed",INDEX(Config!$B$5:$B$9,N163)))</f>
        <v>Medium-Low</v>
      </c>
      <c r="P163" s="32" t="n">
        <v>0</v>
      </c>
      <c r="Q163" s="8"/>
      <c r="R163" s="33"/>
      <c r="S163" s="34" t="n">
        <f aca="false">IF(N163="","",IF(AND(R163="Y",P163&lt;&gt;0),MAX(1,MIN(5,N163+MAX(-Config!$C$27,MIN(Config!$C$27,P163)))),N163))</f>
        <v>2</v>
      </c>
      <c r="T163" s="35" t="str">
        <f aca="false">IF(F163="N/A","N/A",IF(S163="","Not assessed",INDEX(Config!$B$5:$B$9,S163)))</f>
        <v>Medium-Low</v>
      </c>
      <c r="U163" s="7" t="str">
        <f aca="false">IF(P163=0,"None",IF(R163="Y","Applied","Pending HO approval"))</f>
        <v>None</v>
      </c>
      <c r="V163" s="8"/>
    </row>
    <row r="164" customFormat="false" ht="15" hidden="false" customHeight="false" outlineLevel="0" collapsed="false">
      <c r="A164" s="26" t="str">
        <f aca="false">Entities!$A$17</f>
        <v>SA</v>
      </c>
      <c r="B164" s="12" t="str">
        <f aca="false">INDEX(Entities!$B$5:$B$34,MATCH(A164,Entities!$A$5:$A$34,0))</f>
        <v>Arab National Bank (affiliate)</v>
      </c>
      <c r="C164" s="12" t="str">
        <f aca="false">INDEX(Entities!$D$5:$D$34,MATCH(A164,Entities!$A$5:$A$34,0))</f>
        <v>GCC</v>
      </c>
      <c r="D164" s="12" t="s">
        <v>293</v>
      </c>
      <c r="E164" s="12" t="str">
        <f aca="false">INDEX('Risk Taxonomy'!$B$5:$B$24,MATCH(D164,'Risk Taxonomy'!$A$5:$A$24,0))</f>
        <v>Shariah non-compliance</v>
      </c>
      <c r="F164" s="7" t="str">
        <f aca="false">IF(D164="RC-04",IF(INDEX(Entities!$G$5:$G$34,MATCH(A164,Entities!$A$5:$A$34,0))="Y","Yes","N/A"),"Yes")</f>
        <v>N/A</v>
      </c>
      <c r="G164" s="24"/>
      <c r="H164" s="24"/>
      <c r="I164" s="24"/>
      <c r="J164" s="24"/>
      <c r="K164" s="24"/>
      <c r="L164" s="37" t="str">
        <f aca="false">IF(F164="N/A","",IF(COUNT(H164:K164)=0,"",IF(Config!$C$19="Highest dimension",MAX(H164:K164),ROUND(H164*Config!$C$20+I164*Config!$C$21+J164*Config!$C$22+K164*Config!$C$23,1))))</f>
        <v/>
      </c>
      <c r="M164" s="38" t="str">
        <f aca="false">IF(OR(L164="",G164=""),"",G164*L164)</f>
        <v/>
      </c>
      <c r="N164" s="31" t="str">
        <f aca="false">IF(M164="","",MATCH(M164,Config!$E$5:$E$9,1))</f>
        <v/>
      </c>
      <c r="O164" s="7" t="str">
        <f aca="false">IF(F164="N/A","N/A",IF(N164="","Not assessed",INDEX(Config!$B$5:$B$9,N164)))</f>
        <v>N/A</v>
      </c>
      <c r="P164" s="32" t="n">
        <v>0</v>
      </c>
      <c r="Q164" s="8"/>
      <c r="R164" s="33"/>
      <c r="S164" s="34" t="str">
        <f aca="false">IF(N164="","",IF(AND(R164="Y",P164&lt;&gt;0),MAX(1,MIN(5,N164+MAX(-Config!$C$27,MIN(Config!$C$27,P164)))),N164))</f>
        <v/>
      </c>
      <c r="T164" s="35" t="str">
        <f aca="false">IF(F164="N/A","N/A",IF(S164="","Not assessed",INDEX(Config!$B$5:$B$9,S164)))</f>
        <v>N/A</v>
      </c>
      <c r="U164" s="7" t="str">
        <f aca="false">IF(P164=0,"None",IF(R164="Y","Applied","Pending HO approval"))</f>
        <v>None</v>
      </c>
      <c r="V164" s="8"/>
    </row>
    <row r="165" customFormat="false" ht="15" hidden="false" customHeight="false" outlineLevel="0" collapsed="false">
      <c r="A165" s="26" t="str">
        <f aca="false">Entities!$A$17</f>
        <v>SA</v>
      </c>
      <c r="B165" s="12" t="str">
        <f aca="false">INDEX(Entities!$B$5:$B$34,MATCH(A165,Entities!$A$5:$A$34,0))</f>
        <v>Arab National Bank (affiliate)</v>
      </c>
      <c r="C165" s="12" t="str">
        <f aca="false">INDEX(Entities!$D$5:$D$34,MATCH(A165,Entities!$A$5:$A$34,0))</f>
        <v>GCC</v>
      </c>
      <c r="D165" s="12" t="s">
        <v>297</v>
      </c>
      <c r="E165" s="12" t="str">
        <f aca="false">INDEX('Risk Taxonomy'!$B$5:$B$24,MATCH(D165,'Risk Taxonomy'!$A$5:$A$24,0))</f>
        <v>Credit risk</v>
      </c>
      <c r="F165" s="7" t="str">
        <f aca="false">IF(D165="RC-04",IF(INDEX(Entities!$G$5:$G$34,MATCH(A165,Entities!$A$5:$A$34,0))="Y","Yes","N/A"),"Yes")</f>
        <v>Yes</v>
      </c>
      <c r="G165" s="24" t="n">
        <v>2</v>
      </c>
      <c r="H165" s="24" t="n">
        <v>3</v>
      </c>
      <c r="I165" s="24" t="n">
        <v>2</v>
      </c>
      <c r="J165" s="24" t="n">
        <v>3</v>
      </c>
      <c r="K165" s="24" t="n">
        <v>3</v>
      </c>
      <c r="L165" s="37" t="n">
        <f aca="false">IF(F165="N/A","",IF(COUNT(H165:K165)=0,"",IF(Config!$C$19="Highest dimension",MAX(H165:K165),ROUND(H165*Config!$C$20+I165*Config!$C$21+J165*Config!$C$22+K165*Config!$C$23,1))))</f>
        <v>3</v>
      </c>
      <c r="M165" s="38" t="n">
        <f aca="false">IF(OR(L165="",G165=""),"",G165*L165)</f>
        <v>6</v>
      </c>
      <c r="N165" s="31" t="n">
        <f aca="false">IF(M165="","",MATCH(M165,Config!$E$5:$E$9,1))</f>
        <v>2</v>
      </c>
      <c r="O165" s="7" t="str">
        <f aca="false">IF(F165="N/A","N/A",IF(N165="","Not assessed",INDEX(Config!$B$5:$B$9,N165)))</f>
        <v>Medium-Low</v>
      </c>
      <c r="P165" s="32" t="n">
        <v>0</v>
      </c>
      <c r="Q165" s="8"/>
      <c r="R165" s="33"/>
      <c r="S165" s="34" t="n">
        <f aca="false">IF(N165="","",IF(AND(R165="Y",P165&lt;&gt;0),MAX(1,MIN(5,N165+MAX(-Config!$C$27,MIN(Config!$C$27,P165)))),N165))</f>
        <v>2</v>
      </c>
      <c r="T165" s="35" t="str">
        <f aca="false">IF(F165="N/A","N/A",IF(S165="","Not assessed",INDEX(Config!$B$5:$B$9,S165)))</f>
        <v>Medium-Low</v>
      </c>
      <c r="U165" s="7" t="str">
        <f aca="false">IF(P165=0,"None",IF(R165="Y","Applied","Pending HO approval"))</f>
        <v>None</v>
      </c>
      <c r="V165" s="8"/>
    </row>
    <row r="166" customFormat="false" ht="15" hidden="false" customHeight="false" outlineLevel="0" collapsed="false">
      <c r="A166" s="26" t="str">
        <f aca="false">Entities!$A$17</f>
        <v>SA</v>
      </c>
      <c r="B166" s="12" t="str">
        <f aca="false">INDEX(Entities!$B$5:$B$34,MATCH(A166,Entities!$A$5:$A$34,0))</f>
        <v>Arab National Bank (affiliate)</v>
      </c>
      <c r="C166" s="12" t="str">
        <f aca="false">INDEX(Entities!$D$5:$D$34,MATCH(A166,Entities!$A$5:$A$34,0))</f>
        <v>GCC</v>
      </c>
      <c r="D166" s="12" t="s">
        <v>302</v>
      </c>
      <c r="E166" s="12" t="str">
        <f aca="false">INDEX('Risk Taxonomy'!$B$5:$B$24,MATCH(D166,'Risk Taxonomy'!$A$5:$A$24,0))</f>
        <v>Market risk</v>
      </c>
      <c r="F166" s="7" t="str">
        <f aca="false">IF(D166="RC-04",IF(INDEX(Entities!$G$5:$G$34,MATCH(A166,Entities!$A$5:$A$34,0))="Y","Yes","N/A"),"Yes")</f>
        <v>Yes</v>
      </c>
      <c r="G166" s="24" t="n">
        <v>3</v>
      </c>
      <c r="H166" s="24" t="n">
        <v>3</v>
      </c>
      <c r="I166" s="24" t="n">
        <v>3</v>
      </c>
      <c r="J166" s="24" t="n">
        <v>2</v>
      </c>
      <c r="K166" s="24" t="n">
        <v>3</v>
      </c>
      <c r="L166" s="37" t="n">
        <f aca="false">IF(F166="N/A","",IF(COUNT(H166:K166)=0,"",IF(Config!$C$19="Highest dimension",MAX(H166:K166),ROUND(H166*Config!$C$20+I166*Config!$C$21+J166*Config!$C$22+K166*Config!$C$23,1))))</f>
        <v>3</v>
      </c>
      <c r="M166" s="38" t="n">
        <f aca="false">IF(OR(L166="",G166=""),"",G166*L166)</f>
        <v>9</v>
      </c>
      <c r="N166" s="31" t="n">
        <f aca="false">IF(M166="","",MATCH(M166,Config!$E$5:$E$9,1))</f>
        <v>3</v>
      </c>
      <c r="O166" s="7" t="str">
        <f aca="false">IF(F166="N/A","N/A",IF(N166="","Not assessed",INDEX(Config!$B$5:$B$9,N166)))</f>
        <v>Medium</v>
      </c>
      <c r="P166" s="32" t="n">
        <v>0</v>
      </c>
      <c r="Q166" s="8"/>
      <c r="R166" s="33"/>
      <c r="S166" s="34" t="n">
        <f aca="false">IF(N166="","",IF(AND(R166="Y",P166&lt;&gt;0),MAX(1,MIN(5,N166+MAX(-Config!$C$27,MIN(Config!$C$27,P166)))),N166))</f>
        <v>3</v>
      </c>
      <c r="T166" s="35" t="str">
        <f aca="false">IF(F166="N/A","N/A",IF(S166="","Not assessed",INDEX(Config!$B$5:$B$9,S166)))</f>
        <v>Medium</v>
      </c>
      <c r="U166" s="7" t="str">
        <f aca="false">IF(P166=0,"None",IF(R166="Y","Applied","Pending HO approval"))</f>
        <v>None</v>
      </c>
      <c r="V166" s="8"/>
    </row>
    <row r="167" customFormat="false" ht="15" hidden="false" customHeight="false" outlineLevel="0" collapsed="false">
      <c r="A167" s="26" t="str">
        <f aca="false">Entities!$A$17</f>
        <v>SA</v>
      </c>
      <c r="B167" s="12" t="str">
        <f aca="false">INDEX(Entities!$B$5:$B$34,MATCH(A167,Entities!$A$5:$A$34,0))</f>
        <v>Arab National Bank (affiliate)</v>
      </c>
      <c r="C167" s="12" t="str">
        <f aca="false">INDEX(Entities!$D$5:$D$34,MATCH(A167,Entities!$A$5:$A$34,0))</f>
        <v>GCC</v>
      </c>
      <c r="D167" s="12" t="s">
        <v>304</v>
      </c>
      <c r="E167" s="12" t="str">
        <f aca="false">INDEX('Risk Taxonomy'!$B$5:$B$24,MATCH(D167,'Risk Taxonomy'!$A$5:$A$24,0))</f>
        <v>Liquidity and funding risk</v>
      </c>
      <c r="F167" s="7" t="str">
        <f aca="false">IF(D167="RC-04",IF(INDEX(Entities!$G$5:$G$34,MATCH(A167,Entities!$A$5:$A$34,0))="Y","Yes","N/A"),"Yes")</f>
        <v>Yes</v>
      </c>
      <c r="G167" s="24" t="n">
        <v>5</v>
      </c>
      <c r="H167" s="24" t="n">
        <v>1</v>
      </c>
      <c r="I167" s="24" t="n">
        <v>3</v>
      </c>
      <c r="J167" s="24" t="n">
        <v>2</v>
      </c>
      <c r="K167" s="24" t="n">
        <v>3</v>
      </c>
      <c r="L167" s="37" t="n">
        <f aca="false">IF(F167="N/A","",IF(COUNT(H167:K167)=0,"",IF(Config!$C$19="Highest dimension",MAX(H167:K167),ROUND(H167*Config!$C$20+I167*Config!$C$21+J167*Config!$C$22+K167*Config!$C$23,1))))</f>
        <v>3</v>
      </c>
      <c r="M167" s="38" t="n">
        <f aca="false">IF(OR(L167="",G167=""),"",G167*L167)</f>
        <v>15</v>
      </c>
      <c r="N167" s="31" t="n">
        <f aca="false">IF(M167="","",MATCH(M167,Config!$E$5:$E$9,1))</f>
        <v>4</v>
      </c>
      <c r="O167" s="7" t="str">
        <f aca="false">IF(F167="N/A","N/A",IF(N167="","Not assessed",INDEX(Config!$B$5:$B$9,N167)))</f>
        <v>Medium-High</v>
      </c>
      <c r="P167" s="32" t="n">
        <v>0</v>
      </c>
      <c r="Q167" s="8"/>
      <c r="R167" s="33"/>
      <c r="S167" s="34" t="n">
        <f aca="false">IF(N167="","",IF(AND(R167="Y",P167&lt;&gt;0),MAX(1,MIN(5,N167+MAX(-Config!$C$27,MIN(Config!$C$27,P167)))),N167))</f>
        <v>4</v>
      </c>
      <c r="T167" s="35" t="str">
        <f aca="false">IF(F167="N/A","N/A",IF(S167="","Not assessed",INDEX(Config!$B$5:$B$9,S167)))</f>
        <v>Medium-High</v>
      </c>
      <c r="U167" s="7" t="str">
        <f aca="false">IF(P167=0,"None",IF(R167="Y","Applied","Pending HO approval"))</f>
        <v>None</v>
      </c>
      <c r="V167" s="8"/>
    </row>
    <row r="168" customFormat="false" ht="15" hidden="false" customHeight="false" outlineLevel="0" collapsed="false">
      <c r="A168" s="26" t="str">
        <f aca="false">Entities!$A$17</f>
        <v>SA</v>
      </c>
      <c r="B168" s="12" t="str">
        <f aca="false">INDEX(Entities!$B$5:$B$34,MATCH(A168,Entities!$A$5:$A$34,0))</f>
        <v>Arab National Bank (affiliate)</v>
      </c>
      <c r="C168" s="12" t="str">
        <f aca="false">INDEX(Entities!$D$5:$D$34,MATCH(A168,Entities!$A$5:$A$34,0))</f>
        <v>GCC</v>
      </c>
      <c r="D168" s="12" t="s">
        <v>307</v>
      </c>
      <c r="E168" s="12" t="str">
        <f aca="false">INDEX('Risk Taxonomy'!$B$5:$B$24,MATCH(D168,'Risk Taxonomy'!$A$5:$A$24,0))</f>
        <v>Operational risk</v>
      </c>
      <c r="F168" s="7" t="str">
        <f aca="false">IF(D168="RC-04",IF(INDEX(Entities!$G$5:$G$34,MATCH(A168,Entities!$A$5:$A$34,0))="Y","Yes","N/A"),"Yes")</f>
        <v>Yes</v>
      </c>
      <c r="G168" s="24" t="n">
        <v>3</v>
      </c>
      <c r="H168" s="24" t="n">
        <v>4</v>
      </c>
      <c r="I168" s="24" t="n">
        <v>2</v>
      </c>
      <c r="J168" s="24" t="n">
        <v>2</v>
      </c>
      <c r="K168" s="24" t="n">
        <v>2</v>
      </c>
      <c r="L168" s="37" t="n">
        <f aca="false">IF(F168="N/A","",IF(COUNT(H168:K168)=0,"",IF(Config!$C$19="Highest dimension",MAX(H168:K168),ROUND(H168*Config!$C$20+I168*Config!$C$21+J168*Config!$C$22+K168*Config!$C$23,1))))</f>
        <v>4</v>
      </c>
      <c r="M168" s="38" t="n">
        <f aca="false">IF(OR(L168="",G168=""),"",G168*L168)</f>
        <v>12</v>
      </c>
      <c r="N168" s="31" t="n">
        <f aca="false">IF(M168="","",MATCH(M168,Config!$E$5:$E$9,1))</f>
        <v>3</v>
      </c>
      <c r="O168" s="7" t="str">
        <f aca="false">IF(F168="N/A","N/A",IF(N168="","Not assessed",INDEX(Config!$B$5:$B$9,N168)))</f>
        <v>Medium</v>
      </c>
      <c r="P168" s="32" t="n">
        <v>0</v>
      </c>
      <c r="Q168" s="8"/>
      <c r="R168" s="33"/>
      <c r="S168" s="34" t="n">
        <f aca="false">IF(N168="","",IF(AND(R168="Y",P168&lt;&gt;0),MAX(1,MIN(5,N168+MAX(-Config!$C$27,MIN(Config!$C$27,P168)))),N168))</f>
        <v>3</v>
      </c>
      <c r="T168" s="35" t="str">
        <f aca="false">IF(F168="N/A","N/A",IF(S168="","Not assessed",INDEX(Config!$B$5:$B$9,S168)))</f>
        <v>Medium</v>
      </c>
      <c r="U168" s="7" t="str">
        <f aca="false">IF(P168=0,"None",IF(R168="Y","Applied","Pending HO approval"))</f>
        <v>None</v>
      </c>
      <c r="V168" s="8"/>
    </row>
    <row r="169" customFormat="false" ht="15" hidden="false" customHeight="false" outlineLevel="0" collapsed="false">
      <c r="A169" s="26" t="str">
        <f aca="false">Entities!$A$17</f>
        <v>SA</v>
      </c>
      <c r="B169" s="12" t="str">
        <f aca="false">INDEX(Entities!$B$5:$B$34,MATCH(A169,Entities!$A$5:$A$34,0))</f>
        <v>Arab National Bank (affiliate)</v>
      </c>
      <c r="C169" s="12" t="str">
        <f aca="false">INDEX(Entities!$D$5:$D$34,MATCH(A169,Entities!$A$5:$A$34,0))</f>
        <v>GCC</v>
      </c>
      <c r="D169" s="12" t="s">
        <v>310</v>
      </c>
      <c r="E169" s="12" t="str">
        <f aca="false">INDEX('Risk Taxonomy'!$B$5:$B$24,MATCH(D169,'Risk Taxonomy'!$A$5:$A$24,0))</f>
        <v>Cyber, information security and technology</v>
      </c>
      <c r="F169" s="7" t="str">
        <f aca="false">IF(D169="RC-04",IF(INDEX(Entities!$G$5:$G$34,MATCH(A169,Entities!$A$5:$A$34,0))="Y","Yes","N/A"),"Yes")</f>
        <v>Yes</v>
      </c>
      <c r="G169" s="24" t="n">
        <v>3</v>
      </c>
      <c r="H169" s="24" t="n">
        <v>2</v>
      </c>
      <c r="I169" s="24" t="n">
        <v>3</v>
      </c>
      <c r="J169" s="24" t="n">
        <v>3</v>
      </c>
      <c r="K169" s="24" t="n">
        <v>2</v>
      </c>
      <c r="L169" s="37" t="n">
        <f aca="false">IF(F169="N/A","",IF(COUNT(H169:K169)=0,"",IF(Config!$C$19="Highest dimension",MAX(H169:K169),ROUND(H169*Config!$C$20+I169*Config!$C$21+J169*Config!$C$22+K169*Config!$C$23,1))))</f>
        <v>3</v>
      </c>
      <c r="M169" s="38" t="n">
        <f aca="false">IF(OR(L169="",G169=""),"",G169*L169)</f>
        <v>9</v>
      </c>
      <c r="N169" s="31" t="n">
        <f aca="false">IF(M169="","",MATCH(M169,Config!$E$5:$E$9,1))</f>
        <v>3</v>
      </c>
      <c r="O169" s="7" t="str">
        <f aca="false">IF(F169="N/A","N/A",IF(N169="","Not assessed",INDEX(Config!$B$5:$B$9,N169)))</f>
        <v>Medium</v>
      </c>
      <c r="P169" s="32" t="n">
        <v>0</v>
      </c>
      <c r="Q169" s="8"/>
      <c r="R169" s="33"/>
      <c r="S169" s="34" t="n">
        <f aca="false">IF(N169="","",IF(AND(R169="Y",P169&lt;&gt;0),MAX(1,MIN(5,N169+MAX(-Config!$C$27,MIN(Config!$C$27,P169)))),N169))</f>
        <v>3</v>
      </c>
      <c r="T169" s="35" t="str">
        <f aca="false">IF(F169="N/A","N/A",IF(S169="","Not assessed",INDEX(Config!$B$5:$B$9,S169)))</f>
        <v>Medium</v>
      </c>
      <c r="U169" s="7" t="str">
        <f aca="false">IF(P169=0,"None",IF(R169="Y","Applied","Pending HO approval"))</f>
        <v>None</v>
      </c>
      <c r="V169" s="8"/>
    </row>
    <row r="170" customFormat="false" ht="15" hidden="false" customHeight="false" outlineLevel="0" collapsed="false">
      <c r="A170" s="26" t="str">
        <f aca="false">Entities!$A$17</f>
        <v>SA</v>
      </c>
      <c r="B170" s="12" t="str">
        <f aca="false">INDEX(Entities!$B$5:$B$34,MATCH(A170,Entities!$A$5:$A$34,0))</f>
        <v>Arab National Bank (affiliate)</v>
      </c>
      <c r="C170" s="12" t="str">
        <f aca="false">INDEX(Entities!$D$5:$D$34,MATCH(A170,Entities!$A$5:$A$34,0))</f>
        <v>GCC</v>
      </c>
      <c r="D170" s="12" t="s">
        <v>313</v>
      </c>
      <c r="E170" s="12" t="str">
        <f aca="false">INDEX('Risk Taxonomy'!$B$5:$B$24,MATCH(D170,'Risk Taxonomy'!$A$5:$A$24,0))</f>
        <v>Third-party and outsourcing</v>
      </c>
      <c r="F170" s="7" t="str">
        <f aca="false">IF(D170="RC-04",IF(INDEX(Entities!$G$5:$G$34,MATCH(A170,Entities!$A$5:$A$34,0))="Y","Yes","N/A"),"Yes")</f>
        <v>Yes</v>
      </c>
      <c r="G170" s="24" t="n">
        <v>3</v>
      </c>
      <c r="H170" s="24" t="n">
        <v>2</v>
      </c>
      <c r="I170" s="24" t="n">
        <v>3</v>
      </c>
      <c r="J170" s="24" t="n">
        <v>2</v>
      </c>
      <c r="K170" s="24" t="n">
        <v>3</v>
      </c>
      <c r="L170" s="37" t="n">
        <f aca="false">IF(F170="N/A","",IF(COUNT(H170:K170)=0,"",IF(Config!$C$19="Highest dimension",MAX(H170:K170),ROUND(H170*Config!$C$20+I170*Config!$C$21+J170*Config!$C$22+K170*Config!$C$23,1))))</f>
        <v>3</v>
      </c>
      <c r="M170" s="38" t="n">
        <f aca="false">IF(OR(L170="",G170=""),"",G170*L170)</f>
        <v>9</v>
      </c>
      <c r="N170" s="31" t="n">
        <f aca="false">IF(M170="","",MATCH(M170,Config!$E$5:$E$9,1))</f>
        <v>3</v>
      </c>
      <c r="O170" s="7" t="str">
        <f aca="false">IF(F170="N/A","N/A",IF(N170="","Not assessed",INDEX(Config!$B$5:$B$9,N170)))</f>
        <v>Medium</v>
      </c>
      <c r="P170" s="32" t="n">
        <v>0</v>
      </c>
      <c r="Q170" s="8"/>
      <c r="R170" s="33"/>
      <c r="S170" s="34" t="n">
        <f aca="false">IF(N170="","",IF(AND(R170="Y",P170&lt;&gt;0),MAX(1,MIN(5,N170+MAX(-Config!$C$27,MIN(Config!$C$27,P170)))),N170))</f>
        <v>3</v>
      </c>
      <c r="T170" s="35" t="str">
        <f aca="false">IF(F170="N/A","N/A",IF(S170="","Not assessed",INDEX(Config!$B$5:$B$9,S170)))</f>
        <v>Medium</v>
      </c>
      <c r="U170" s="7" t="str">
        <f aca="false">IF(P170=0,"None",IF(R170="Y","Applied","Pending HO approval"))</f>
        <v>None</v>
      </c>
      <c r="V170" s="8"/>
    </row>
    <row r="171" customFormat="false" ht="15" hidden="false" customHeight="false" outlineLevel="0" collapsed="false">
      <c r="A171" s="26" t="str">
        <f aca="false">Entities!$A$17</f>
        <v>SA</v>
      </c>
      <c r="B171" s="12" t="str">
        <f aca="false">INDEX(Entities!$B$5:$B$34,MATCH(A171,Entities!$A$5:$A$34,0))</f>
        <v>Arab National Bank (affiliate)</v>
      </c>
      <c r="C171" s="12" t="str">
        <f aca="false">INDEX(Entities!$D$5:$D$34,MATCH(A171,Entities!$A$5:$A$34,0))</f>
        <v>GCC</v>
      </c>
      <c r="D171" s="12" t="s">
        <v>316</v>
      </c>
      <c r="E171" s="12" t="str">
        <f aca="false">INDEX('Risk Taxonomy'!$B$5:$B$24,MATCH(D171,'Risk Taxonomy'!$A$5:$A$24,0))</f>
        <v>Legal and litigation</v>
      </c>
      <c r="F171" s="7" t="str">
        <f aca="false">IF(D171="RC-04",IF(INDEX(Entities!$G$5:$G$34,MATCH(A171,Entities!$A$5:$A$34,0))="Y","Yes","N/A"),"Yes")</f>
        <v>Yes</v>
      </c>
      <c r="G171" s="24" t="n">
        <v>1</v>
      </c>
      <c r="H171" s="24" t="n">
        <v>3</v>
      </c>
      <c r="I171" s="24" t="n">
        <v>3</v>
      </c>
      <c r="J171" s="24" t="n">
        <v>2</v>
      </c>
      <c r="K171" s="24" t="n">
        <v>3</v>
      </c>
      <c r="L171" s="37" t="n">
        <f aca="false">IF(F171="N/A","",IF(COUNT(H171:K171)=0,"",IF(Config!$C$19="Highest dimension",MAX(H171:K171),ROUND(H171*Config!$C$20+I171*Config!$C$21+J171*Config!$C$22+K171*Config!$C$23,1))))</f>
        <v>3</v>
      </c>
      <c r="M171" s="38" t="n">
        <f aca="false">IF(OR(L171="",G171=""),"",G171*L171)</f>
        <v>3</v>
      </c>
      <c r="N171" s="31" t="n">
        <f aca="false">IF(M171="","",MATCH(M171,Config!$E$5:$E$9,1))</f>
        <v>1</v>
      </c>
      <c r="O171" s="7" t="str">
        <f aca="false">IF(F171="N/A","N/A",IF(N171="","Not assessed",INDEX(Config!$B$5:$B$9,N171)))</f>
        <v>Low</v>
      </c>
      <c r="P171" s="32" t="n">
        <v>0</v>
      </c>
      <c r="Q171" s="8"/>
      <c r="R171" s="33"/>
      <c r="S171" s="34" t="n">
        <f aca="false">IF(N171="","",IF(AND(R171="Y",P171&lt;&gt;0),MAX(1,MIN(5,N171+MAX(-Config!$C$27,MIN(Config!$C$27,P171)))),N171))</f>
        <v>1</v>
      </c>
      <c r="T171" s="35" t="str">
        <f aca="false">IF(F171="N/A","N/A",IF(S171="","Not assessed",INDEX(Config!$B$5:$B$9,S171)))</f>
        <v>Low</v>
      </c>
      <c r="U171" s="7" t="str">
        <f aca="false">IF(P171=0,"None",IF(R171="Y","Applied","Pending HO approval"))</f>
        <v>None</v>
      </c>
      <c r="V171" s="8"/>
    </row>
    <row r="172" customFormat="false" ht="15" hidden="false" customHeight="false" outlineLevel="0" collapsed="false">
      <c r="A172" s="26" t="str">
        <f aca="false">Entities!$A$17</f>
        <v>SA</v>
      </c>
      <c r="B172" s="12" t="str">
        <f aca="false">INDEX(Entities!$B$5:$B$34,MATCH(A172,Entities!$A$5:$A$34,0))</f>
        <v>Arab National Bank (affiliate)</v>
      </c>
      <c r="C172" s="12" t="str">
        <f aca="false">INDEX(Entities!$D$5:$D$34,MATCH(A172,Entities!$A$5:$A$34,0))</f>
        <v>GCC</v>
      </c>
      <c r="D172" s="12" t="s">
        <v>319</v>
      </c>
      <c r="E172" s="12" t="str">
        <f aca="false">INDEX('Risk Taxonomy'!$B$5:$B$24,MATCH(D172,'Risk Taxonomy'!$A$5:$A$24,0))</f>
        <v>Reputational</v>
      </c>
      <c r="F172" s="7" t="str">
        <f aca="false">IF(D172="RC-04",IF(INDEX(Entities!$G$5:$G$34,MATCH(A172,Entities!$A$5:$A$34,0))="Y","Yes","N/A"),"Yes")</f>
        <v>Yes</v>
      </c>
      <c r="G172" s="24" t="n">
        <v>2</v>
      </c>
      <c r="H172" s="24" t="n">
        <v>3</v>
      </c>
      <c r="I172" s="24" t="n">
        <v>2</v>
      </c>
      <c r="J172" s="24" t="n">
        <v>3</v>
      </c>
      <c r="K172" s="24" t="n">
        <v>1</v>
      </c>
      <c r="L172" s="37" t="n">
        <f aca="false">IF(F172="N/A","",IF(COUNT(H172:K172)=0,"",IF(Config!$C$19="Highest dimension",MAX(H172:K172),ROUND(H172*Config!$C$20+I172*Config!$C$21+J172*Config!$C$22+K172*Config!$C$23,1))))</f>
        <v>3</v>
      </c>
      <c r="M172" s="38" t="n">
        <f aca="false">IF(OR(L172="",G172=""),"",G172*L172)</f>
        <v>6</v>
      </c>
      <c r="N172" s="31" t="n">
        <f aca="false">IF(M172="","",MATCH(M172,Config!$E$5:$E$9,1))</f>
        <v>2</v>
      </c>
      <c r="O172" s="7" t="str">
        <f aca="false">IF(F172="N/A","N/A",IF(N172="","Not assessed",INDEX(Config!$B$5:$B$9,N172)))</f>
        <v>Medium-Low</v>
      </c>
      <c r="P172" s="32" t="n">
        <v>0</v>
      </c>
      <c r="Q172" s="8"/>
      <c r="R172" s="33"/>
      <c r="S172" s="34" t="n">
        <f aca="false">IF(N172="","",IF(AND(R172="Y",P172&lt;&gt;0),MAX(1,MIN(5,N172+MAX(-Config!$C$27,MIN(Config!$C$27,P172)))),N172))</f>
        <v>2</v>
      </c>
      <c r="T172" s="35" t="str">
        <f aca="false">IF(F172="N/A","N/A",IF(S172="","Not assessed",INDEX(Config!$B$5:$B$9,S172)))</f>
        <v>Medium-Low</v>
      </c>
      <c r="U172" s="7" t="str">
        <f aca="false">IF(P172=0,"None",IF(R172="Y","Applied","Pending HO approval"))</f>
        <v>None</v>
      </c>
      <c r="V172" s="8"/>
    </row>
    <row r="173" customFormat="false" ht="15" hidden="false" customHeight="false" outlineLevel="0" collapsed="false">
      <c r="A173" s="26" t="str">
        <f aca="false">Entities!$A$17</f>
        <v>SA</v>
      </c>
      <c r="B173" s="12" t="str">
        <f aca="false">INDEX(Entities!$B$5:$B$34,MATCH(A173,Entities!$A$5:$A$34,0))</f>
        <v>Arab National Bank (affiliate)</v>
      </c>
      <c r="C173" s="12" t="str">
        <f aca="false">INDEX(Entities!$D$5:$D$34,MATCH(A173,Entities!$A$5:$A$34,0))</f>
        <v>GCC</v>
      </c>
      <c r="D173" s="12" t="s">
        <v>322</v>
      </c>
      <c r="E173" s="12" t="str">
        <f aca="false">INDEX('Risk Taxonomy'!$B$5:$B$24,MATCH(D173,'Risk Taxonomy'!$A$5:$A$24,0))</f>
        <v>Strategic, business model and ESG</v>
      </c>
      <c r="F173" s="7" t="str">
        <f aca="false">IF(D173="RC-04",IF(INDEX(Entities!$G$5:$G$34,MATCH(A173,Entities!$A$5:$A$34,0))="Y","Yes","N/A"),"Yes")</f>
        <v>Yes</v>
      </c>
      <c r="G173" s="24" t="n">
        <v>3</v>
      </c>
      <c r="H173" s="24" t="n">
        <v>2</v>
      </c>
      <c r="I173" s="24" t="n">
        <v>3</v>
      </c>
      <c r="J173" s="24" t="n">
        <v>3</v>
      </c>
      <c r="K173" s="24" t="n">
        <v>3</v>
      </c>
      <c r="L173" s="37" t="n">
        <f aca="false">IF(F173="N/A","",IF(COUNT(H173:K173)=0,"",IF(Config!$C$19="Highest dimension",MAX(H173:K173),ROUND(H173*Config!$C$20+I173*Config!$C$21+J173*Config!$C$22+K173*Config!$C$23,1))))</f>
        <v>3</v>
      </c>
      <c r="M173" s="38" t="n">
        <f aca="false">IF(OR(L173="",G173=""),"",G173*L173)</f>
        <v>9</v>
      </c>
      <c r="N173" s="31" t="n">
        <f aca="false">IF(M173="","",MATCH(M173,Config!$E$5:$E$9,1))</f>
        <v>3</v>
      </c>
      <c r="O173" s="7" t="str">
        <f aca="false">IF(F173="N/A","N/A",IF(N173="","Not assessed",INDEX(Config!$B$5:$B$9,N173)))</f>
        <v>Medium</v>
      </c>
      <c r="P173" s="32" t="n">
        <v>0</v>
      </c>
      <c r="Q173" s="8"/>
      <c r="R173" s="33"/>
      <c r="S173" s="34" t="n">
        <f aca="false">IF(N173="","",IF(AND(R173="Y",P173&lt;&gt;0),MAX(1,MIN(5,N173+MAX(-Config!$C$27,MIN(Config!$C$27,P173)))),N173))</f>
        <v>3</v>
      </c>
      <c r="T173" s="35" t="str">
        <f aca="false">IF(F173="N/A","N/A",IF(S173="","Not assessed",INDEX(Config!$B$5:$B$9,S173)))</f>
        <v>Medium</v>
      </c>
      <c r="U173" s="7" t="str">
        <f aca="false">IF(P173=0,"None",IF(R173="Y","Applied","Pending HO approval"))</f>
        <v>None</v>
      </c>
      <c r="V173" s="8"/>
    </row>
    <row r="174" customFormat="false" ht="15" hidden="false" customHeight="false" outlineLevel="0" collapsed="false">
      <c r="A174" s="26" t="str">
        <f aca="false">Entities!$A$18</f>
        <v>OM</v>
      </c>
      <c r="B174" s="12" t="str">
        <f aca="false">INDEX(Entities!$B$5:$B$34,MATCH(A174,Entities!$A$5:$A$34,0))</f>
        <v>Oman Arab Bank (affiliate)</v>
      </c>
      <c r="C174" s="12" t="str">
        <f aca="false">INDEX(Entities!$D$5:$D$34,MATCH(A174,Entities!$A$5:$A$34,0))</f>
        <v>GCC</v>
      </c>
      <c r="D174" s="12" t="s">
        <v>284</v>
      </c>
      <c r="E174" s="12" t="str">
        <f aca="false">INDEX('Risk Taxonomy'!$B$5:$B$24,MATCH(D174,'Risk Taxonomy'!$A$5:$A$24,0))</f>
        <v>Regulatory compliance</v>
      </c>
      <c r="F174" s="7" t="str">
        <f aca="false">IF(D174="RC-04",IF(INDEX(Entities!$G$5:$G$34,MATCH(A174,Entities!$A$5:$A$34,0))="Y","Yes","N/A"),"Yes")</f>
        <v>Yes</v>
      </c>
      <c r="G174" s="24" t="n">
        <v>3</v>
      </c>
      <c r="H174" s="24" t="n">
        <v>3</v>
      </c>
      <c r="I174" s="24" t="n">
        <v>3</v>
      </c>
      <c r="J174" s="24" t="n">
        <v>3</v>
      </c>
      <c r="K174" s="24" t="n">
        <v>3</v>
      </c>
      <c r="L174" s="37" t="n">
        <f aca="false">IF(F174="N/A","",IF(COUNT(H174:K174)=0,"",IF(Config!$C$19="Highest dimension",MAX(H174:K174),ROUND(H174*Config!$C$20+I174*Config!$C$21+J174*Config!$C$22+K174*Config!$C$23,1))))</f>
        <v>3</v>
      </c>
      <c r="M174" s="38" t="n">
        <f aca="false">IF(OR(L174="",G174=""),"",G174*L174)</f>
        <v>9</v>
      </c>
      <c r="N174" s="31" t="n">
        <f aca="false">IF(M174="","",MATCH(M174,Config!$E$5:$E$9,1))</f>
        <v>3</v>
      </c>
      <c r="O174" s="7" t="str">
        <f aca="false">IF(F174="N/A","N/A",IF(N174="","Not assessed",INDEX(Config!$B$5:$B$9,N174)))</f>
        <v>Medium</v>
      </c>
      <c r="P174" s="32" t="n">
        <v>0</v>
      </c>
      <c r="Q174" s="8"/>
      <c r="R174" s="33"/>
      <c r="S174" s="34" t="n">
        <f aca="false">IF(N174="","",IF(AND(R174="Y",P174&lt;&gt;0),MAX(1,MIN(5,N174+MAX(-Config!$C$27,MIN(Config!$C$27,P174)))),N174))</f>
        <v>3</v>
      </c>
      <c r="T174" s="35" t="str">
        <f aca="false">IF(F174="N/A","N/A",IF(S174="","Not assessed",INDEX(Config!$B$5:$B$9,S174)))</f>
        <v>Medium</v>
      </c>
      <c r="U174" s="7" t="str">
        <f aca="false">IF(P174=0,"None",IF(R174="Y","Applied","Pending HO approval"))</f>
        <v>None</v>
      </c>
      <c r="V174" s="8"/>
    </row>
    <row r="175" customFormat="false" ht="15" hidden="false" customHeight="false" outlineLevel="0" collapsed="false">
      <c r="A175" s="26" t="str">
        <f aca="false">Entities!$A$18</f>
        <v>OM</v>
      </c>
      <c r="B175" s="12" t="str">
        <f aca="false">INDEX(Entities!$B$5:$B$34,MATCH(A175,Entities!$A$5:$A$34,0))</f>
        <v>Oman Arab Bank (affiliate)</v>
      </c>
      <c r="C175" s="12" t="str">
        <f aca="false">INDEX(Entities!$D$5:$D$34,MATCH(A175,Entities!$A$5:$A$34,0))</f>
        <v>GCC</v>
      </c>
      <c r="D175" s="12" t="s">
        <v>288</v>
      </c>
      <c r="E175" s="12" t="str">
        <f aca="false">INDEX('Risk Taxonomy'!$B$5:$B$24,MATCH(D175,'Risk Taxonomy'!$A$5:$A$24,0))</f>
        <v>Conduct and consumer protection</v>
      </c>
      <c r="F175" s="7" t="str">
        <f aca="false">IF(D175="RC-04",IF(INDEX(Entities!$G$5:$G$34,MATCH(A175,Entities!$A$5:$A$34,0))="Y","Yes","N/A"),"Yes")</f>
        <v>Yes</v>
      </c>
      <c r="G175" s="24" t="n">
        <v>4</v>
      </c>
      <c r="H175" s="24" t="n">
        <v>2</v>
      </c>
      <c r="I175" s="24" t="n">
        <v>3</v>
      </c>
      <c r="J175" s="24" t="n">
        <v>3</v>
      </c>
      <c r="K175" s="24" t="n">
        <v>3</v>
      </c>
      <c r="L175" s="37" t="n">
        <f aca="false">IF(F175="N/A","",IF(COUNT(H175:K175)=0,"",IF(Config!$C$19="Highest dimension",MAX(H175:K175),ROUND(H175*Config!$C$20+I175*Config!$C$21+J175*Config!$C$22+K175*Config!$C$23,1))))</f>
        <v>3</v>
      </c>
      <c r="M175" s="38" t="n">
        <f aca="false">IF(OR(L175="",G175=""),"",G175*L175)</f>
        <v>12</v>
      </c>
      <c r="N175" s="31" t="n">
        <f aca="false">IF(M175="","",MATCH(M175,Config!$E$5:$E$9,1))</f>
        <v>3</v>
      </c>
      <c r="O175" s="7" t="str">
        <f aca="false">IF(F175="N/A","N/A",IF(N175="","Not assessed",INDEX(Config!$B$5:$B$9,N175)))</f>
        <v>Medium</v>
      </c>
      <c r="P175" s="32" t="n">
        <v>0</v>
      </c>
      <c r="Q175" s="8"/>
      <c r="R175" s="33"/>
      <c r="S175" s="34" t="n">
        <f aca="false">IF(N175="","",IF(AND(R175="Y",P175&lt;&gt;0),MAX(1,MIN(5,N175+MAX(-Config!$C$27,MIN(Config!$C$27,P175)))),N175))</f>
        <v>3</v>
      </c>
      <c r="T175" s="35" t="str">
        <f aca="false">IF(F175="N/A","N/A",IF(S175="","Not assessed",INDEX(Config!$B$5:$B$9,S175)))</f>
        <v>Medium</v>
      </c>
      <c r="U175" s="7" t="str">
        <f aca="false">IF(P175=0,"None",IF(R175="Y","Applied","Pending HO approval"))</f>
        <v>None</v>
      </c>
      <c r="V175" s="8"/>
    </row>
    <row r="176" customFormat="false" ht="15" hidden="false" customHeight="false" outlineLevel="0" collapsed="false">
      <c r="A176" s="26" t="str">
        <f aca="false">Entities!$A$18</f>
        <v>OM</v>
      </c>
      <c r="B176" s="12" t="str">
        <f aca="false">INDEX(Entities!$B$5:$B$34,MATCH(A176,Entities!$A$5:$A$34,0))</f>
        <v>Oman Arab Bank (affiliate)</v>
      </c>
      <c r="C176" s="12" t="str">
        <f aca="false">INDEX(Entities!$D$5:$D$34,MATCH(A176,Entities!$A$5:$A$34,0))</f>
        <v>GCC</v>
      </c>
      <c r="D176" s="12" t="s">
        <v>290</v>
      </c>
      <c r="E176" s="12" t="str">
        <f aca="false">INDEX('Risk Taxonomy'!$B$5:$B$24,MATCH(D176,'Risk Taxonomy'!$A$5:$A$24,0))</f>
        <v>Data protection and privacy</v>
      </c>
      <c r="F176" s="7" t="str">
        <f aca="false">IF(D176="RC-04",IF(INDEX(Entities!$G$5:$G$34,MATCH(A176,Entities!$A$5:$A$34,0))="Y","Yes","N/A"),"Yes")</f>
        <v>Yes</v>
      </c>
      <c r="G176" s="24" t="n">
        <v>3</v>
      </c>
      <c r="H176" s="24" t="n">
        <v>4</v>
      </c>
      <c r="I176" s="24" t="n">
        <v>4</v>
      </c>
      <c r="J176" s="24" t="n">
        <v>3</v>
      </c>
      <c r="K176" s="24" t="n">
        <v>2</v>
      </c>
      <c r="L176" s="37" t="n">
        <f aca="false">IF(F176="N/A","",IF(COUNT(H176:K176)=0,"",IF(Config!$C$19="Highest dimension",MAX(H176:K176),ROUND(H176*Config!$C$20+I176*Config!$C$21+J176*Config!$C$22+K176*Config!$C$23,1))))</f>
        <v>4</v>
      </c>
      <c r="M176" s="38" t="n">
        <f aca="false">IF(OR(L176="",G176=""),"",G176*L176)</f>
        <v>12</v>
      </c>
      <c r="N176" s="31" t="n">
        <f aca="false">IF(M176="","",MATCH(M176,Config!$E$5:$E$9,1))</f>
        <v>3</v>
      </c>
      <c r="O176" s="7" t="str">
        <f aca="false">IF(F176="N/A","N/A",IF(N176="","Not assessed",INDEX(Config!$B$5:$B$9,N176)))</f>
        <v>Medium</v>
      </c>
      <c r="P176" s="32" t="n">
        <v>0</v>
      </c>
      <c r="Q176" s="8"/>
      <c r="R176" s="33"/>
      <c r="S176" s="34" t="n">
        <f aca="false">IF(N176="","",IF(AND(R176="Y",P176&lt;&gt;0),MAX(1,MIN(5,N176+MAX(-Config!$C$27,MIN(Config!$C$27,P176)))),N176))</f>
        <v>3</v>
      </c>
      <c r="T176" s="35" t="str">
        <f aca="false">IF(F176="N/A","N/A",IF(S176="","Not assessed",INDEX(Config!$B$5:$B$9,S176)))</f>
        <v>Medium</v>
      </c>
      <c r="U176" s="7" t="str">
        <f aca="false">IF(P176=0,"None",IF(R176="Y","Applied","Pending HO approval"))</f>
        <v>None</v>
      </c>
      <c r="V176" s="8"/>
    </row>
    <row r="177" customFormat="false" ht="15" hidden="false" customHeight="false" outlineLevel="0" collapsed="false">
      <c r="A177" s="26" t="str">
        <f aca="false">Entities!$A$18</f>
        <v>OM</v>
      </c>
      <c r="B177" s="12" t="str">
        <f aca="false">INDEX(Entities!$B$5:$B$34,MATCH(A177,Entities!$A$5:$A$34,0))</f>
        <v>Oman Arab Bank (affiliate)</v>
      </c>
      <c r="C177" s="12" t="str">
        <f aca="false">INDEX(Entities!$D$5:$D$34,MATCH(A177,Entities!$A$5:$A$34,0))</f>
        <v>GCC</v>
      </c>
      <c r="D177" s="12" t="s">
        <v>293</v>
      </c>
      <c r="E177" s="12" t="str">
        <f aca="false">INDEX('Risk Taxonomy'!$B$5:$B$24,MATCH(D177,'Risk Taxonomy'!$A$5:$A$24,0))</f>
        <v>Shariah non-compliance</v>
      </c>
      <c r="F177" s="7" t="str">
        <f aca="false">IF(D177="RC-04",IF(INDEX(Entities!$G$5:$G$34,MATCH(A177,Entities!$A$5:$A$34,0))="Y","Yes","N/A"),"Yes")</f>
        <v>N/A</v>
      </c>
      <c r="G177" s="24"/>
      <c r="H177" s="24"/>
      <c r="I177" s="24"/>
      <c r="J177" s="24"/>
      <c r="K177" s="24"/>
      <c r="L177" s="37" t="str">
        <f aca="false">IF(F177="N/A","",IF(COUNT(H177:K177)=0,"",IF(Config!$C$19="Highest dimension",MAX(H177:K177),ROUND(H177*Config!$C$20+I177*Config!$C$21+J177*Config!$C$22+K177*Config!$C$23,1))))</f>
        <v/>
      </c>
      <c r="M177" s="38" t="str">
        <f aca="false">IF(OR(L177="",G177=""),"",G177*L177)</f>
        <v/>
      </c>
      <c r="N177" s="31" t="str">
        <f aca="false">IF(M177="","",MATCH(M177,Config!$E$5:$E$9,1))</f>
        <v/>
      </c>
      <c r="O177" s="7" t="str">
        <f aca="false">IF(F177="N/A","N/A",IF(N177="","Not assessed",INDEX(Config!$B$5:$B$9,N177)))</f>
        <v>N/A</v>
      </c>
      <c r="P177" s="32" t="n">
        <v>0</v>
      </c>
      <c r="Q177" s="8"/>
      <c r="R177" s="33"/>
      <c r="S177" s="34" t="str">
        <f aca="false">IF(N177="","",IF(AND(R177="Y",P177&lt;&gt;0),MAX(1,MIN(5,N177+MAX(-Config!$C$27,MIN(Config!$C$27,P177)))),N177))</f>
        <v/>
      </c>
      <c r="T177" s="35" t="str">
        <f aca="false">IF(F177="N/A","N/A",IF(S177="","Not assessed",INDEX(Config!$B$5:$B$9,S177)))</f>
        <v>N/A</v>
      </c>
      <c r="U177" s="7" t="str">
        <f aca="false">IF(P177=0,"None",IF(R177="Y","Applied","Pending HO approval"))</f>
        <v>None</v>
      </c>
      <c r="V177" s="8"/>
    </row>
    <row r="178" customFormat="false" ht="15" hidden="false" customHeight="false" outlineLevel="0" collapsed="false">
      <c r="A178" s="26" t="str">
        <f aca="false">Entities!$A$18</f>
        <v>OM</v>
      </c>
      <c r="B178" s="12" t="str">
        <f aca="false">INDEX(Entities!$B$5:$B$34,MATCH(A178,Entities!$A$5:$A$34,0))</f>
        <v>Oman Arab Bank (affiliate)</v>
      </c>
      <c r="C178" s="12" t="str">
        <f aca="false">INDEX(Entities!$D$5:$D$34,MATCH(A178,Entities!$A$5:$A$34,0))</f>
        <v>GCC</v>
      </c>
      <c r="D178" s="12" t="s">
        <v>297</v>
      </c>
      <c r="E178" s="12" t="str">
        <f aca="false">INDEX('Risk Taxonomy'!$B$5:$B$24,MATCH(D178,'Risk Taxonomy'!$A$5:$A$24,0))</f>
        <v>Credit risk</v>
      </c>
      <c r="F178" s="7" t="str">
        <f aca="false">IF(D178="RC-04",IF(INDEX(Entities!$G$5:$G$34,MATCH(A178,Entities!$A$5:$A$34,0))="Y","Yes","N/A"),"Yes")</f>
        <v>Yes</v>
      </c>
      <c r="G178" s="24" t="n">
        <v>2</v>
      </c>
      <c r="H178" s="24" t="n">
        <v>2</v>
      </c>
      <c r="I178" s="24" t="n">
        <v>3</v>
      </c>
      <c r="J178" s="24" t="n">
        <v>2</v>
      </c>
      <c r="K178" s="24" t="n">
        <v>3</v>
      </c>
      <c r="L178" s="37" t="n">
        <f aca="false">IF(F178="N/A","",IF(COUNT(H178:K178)=0,"",IF(Config!$C$19="Highest dimension",MAX(H178:K178),ROUND(H178*Config!$C$20+I178*Config!$C$21+J178*Config!$C$22+K178*Config!$C$23,1))))</f>
        <v>3</v>
      </c>
      <c r="M178" s="38" t="n">
        <f aca="false">IF(OR(L178="",G178=""),"",G178*L178)</f>
        <v>6</v>
      </c>
      <c r="N178" s="31" t="n">
        <f aca="false">IF(M178="","",MATCH(M178,Config!$E$5:$E$9,1))</f>
        <v>2</v>
      </c>
      <c r="O178" s="7" t="str">
        <f aca="false">IF(F178="N/A","N/A",IF(N178="","Not assessed",INDEX(Config!$B$5:$B$9,N178)))</f>
        <v>Medium-Low</v>
      </c>
      <c r="P178" s="32" t="n">
        <v>0</v>
      </c>
      <c r="Q178" s="8"/>
      <c r="R178" s="33"/>
      <c r="S178" s="34" t="n">
        <f aca="false">IF(N178="","",IF(AND(R178="Y",P178&lt;&gt;0),MAX(1,MIN(5,N178+MAX(-Config!$C$27,MIN(Config!$C$27,P178)))),N178))</f>
        <v>2</v>
      </c>
      <c r="T178" s="35" t="str">
        <f aca="false">IF(F178="N/A","N/A",IF(S178="","Not assessed",INDEX(Config!$B$5:$B$9,S178)))</f>
        <v>Medium-Low</v>
      </c>
      <c r="U178" s="7" t="str">
        <f aca="false">IF(P178=0,"None",IF(R178="Y","Applied","Pending HO approval"))</f>
        <v>None</v>
      </c>
      <c r="V178" s="8"/>
    </row>
    <row r="179" customFormat="false" ht="15" hidden="false" customHeight="false" outlineLevel="0" collapsed="false">
      <c r="A179" s="26" t="str">
        <f aca="false">Entities!$A$18</f>
        <v>OM</v>
      </c>
      <c r="B179" s="12" t="str">
        <f aca="false">INDEX(Entities!$B$5:$B$34,MATCH(A179,Entities!$A$5:$A$34,0))</f>
        <v>Oman Arab Bank (affiliate)</v>
      </c>
      <c r="C179" s="12" t="str">
        <f aca="false">INDEX(Entities!$D$5:$D$34,MATCH(A179,Entities!$A$5:$A$34,0))</f>
        <v>GCC</v>
      </c>
      <c r="D179" s="12" t="s">
        <v>302</v>
      </c>
      <c r="E179" s="12" t="str">
        <f aca="false">INDEX('Risk Taxonomy'!$B$5:$B$24,MATCH(D179,'Risk Taxonomy'!$A$5:$A$24,0))</f>
        <v>Market risk</v>
      </c>
      <c r="F179" s="7" t="str">
        <f aca="false">IF(D179="RC-04",IF(INDEX(Entities!$G$5:$G$34,MATCH(A179,Entities!$A$5:$A$34,0))="Y","Yes","N/A"),"Yes")</f>
        <v>Yes</v>
      </c>
      <c r="G179" s="24" t="n">
        <v>2</v>
      </c>
      <c r="H179" s="24" t="n">
        <v>3</v>
      </c>
      <c r="I179" s="24" t="n">
        <v>2</v>
      </c>
      <c r="J179" s="24" t="n">
        <v>4</v>
      </c>
      <c r="K179" s="24" t="n">
        <v>4</v>
      </c>
      <c r="L179" s="37" t="n">
        <f aca="false">IF(F179="N/A","",IF(COUNT(H179:K179)=0,"",IF(Config!$C$19="Highest dimension",MAX(H179:K179),ROUND(H179*Config!$C$20+I179*Config!$C$21+J179*Config!$C$22+K179*Config!$C$23,1))))</f>
        <v>4</v>
      </c>
      <c r="M179" s="38" t="n">
        <f aca="false">IF(OR(L179="",G179=""),"",G179*L179)</f>
        <v>8</v>
      </c>
      <c r="N179" s="31" t="n">
        <f aca="false">IF(M179="","",MATCH(M179,Config!$E$5:$E$9,1))</f>
        <v>2</v>
      </c>
      <c r="O179" s="7" t="str">
        <f aca="false">IF(F179="N/A","N/A",IF(N179="","Not assessed",INDEX(Config!$B$5:$B$9,N179)))</f>
        <v>Medium-Low</v>
      </c>
      <c r="P179" s="32" t="n">
        <v>0</v>
      </c>
      <c r="Q179" s="8"/>
      <c r="R179" s="33"/>
      <c r="S179" s="34" t="n">
        <f aca="false">IF(N179="","",IF(AND(R179="Y",P179&lt;&gt;0),MAX(1,MIN(5,N179+MAX(-Config!$C$27,MIN(Config!$C$27,P179)))),N179))</f>
        <v>2</v>
      </c>
      <c r="T179" s="35" t="str">
        <f aca="false">IF(F179="N/A","N/A",IF(S179="","Not assessed",INDEX(Config!$B$5:$B$9,S179)))</f>
        <v>Medium-Low</v>
      </c>
      <c r="U179" s="7" t="str">
        <f aca="false">IF(P179=0,"None",IF(R179="Y","Applied","Pending HO approval"))</f>
        <v>None</v>
      </c>
      <c r="V179" s="8"/>
    </row>
    <row r="180" customFormat="false" ht="15" hidden="false" customHeight="false" outlineLevel="0" collapsed="false">
      <c r="A180" s="26" t="str">
        <f aca="false">Entities!$A$18</f>
        <v>OM</v>
      </c>
      <c r="B180" s="12" t="str">
        <f aca="false">INDEX(Entities!$B$5:$B$34,MATCH(A180,Entities!$A$5:$A$34,0))</f>
        <v>Oman Arab Bank (affiliate)</v>
      </c>
      <c r="C180" s="12" t="str">
        <f aca="false">INDEX(Entities!$D$5:$D$34,MATCH(A180,Entities!$A$5:$A$34,0))</f>
        <v>GCC</v>
      </c>
      <c r="D180" s="12" t="s">
        <v>304</v>
      </c>
      <c r="E180" s="12" t="str">
        <f aca="false">INDEX('Risk Taxonomy'!$B$5:$B$24,MATCH(D180,'Risk Taxonomy'!$A$5:$A$24,0))</f>
        <v>Liquidity and funding risk</v>
      </c>
      <c r="F180" s="7" t="str">
        <f aca="false">IF(D180="RC-04",IF(INDEX(Entities!$G$5:$G$34,MATCH(A180,Entities!$A$5:$A$34,0))="Y","Yes","N/A"),"Yes")</f>
        <v>Yes</v>
      </c>
      <c r="G180" s="24" t="n">
        <v>3</v>
      </c>
      <c r="H180" s="24" t="n">
        <v>3</v>
      </c>
      <c r="I180" s="24" t="n">
        <v>3</v>
      </c>
      <c r="J180" s="24" t="n">
        <v>3</v>
      </c>
      <c r="K180" s="24" t="n">
        <v>3</v>
      </c>
      <c r="L180" s="37" t="n">
        <f aca="false">IF(F180="N/A","",IF(COUNT(H180:K180)=0,"",IF(Config!$C$19="Highest dimension",MAX(H180:K180),ROUND(H180*Config!$C$20+I180*Config!$C$21+J180*Config!$C$22+K180*Config!$C$23,1))))</f>
        <v>3</v>
      </c>
      <c r="M180" s="38" t="n">
        <f aca="false">IF(OR(L180="",G180=""),"",G180*L180)</f>
        <v>9</v>
      </c>
      <c r="N180" s="31" t="n">
        <f aca="false">IF(M180="","",MATCH(M180,Config!$E$5:$E$9,1))</f>
        <v>3</v>
      </c>
      <c r="O180" s="7" t="str">
        <f aca="false">IF(F180="N/A","N/A",IF(N180="","Not assessed",INDEX(Config!$B$5:$B$9,N180)))</f>
        <v>Medium</v>
      </c>
      <c r="P180" s="32" t="n">
        <v>0</v>
      </c>
      <c r="Q180" s="8"/>
      <c r="R180" s="33"/>
      <c r="S180" s="34" t="n">
        <f aca="false">IF(N180="","",IF(AND(R180="Y",P180&lt;&gt;0),MAX(1,MIN(5,N180+MAX(-Config!$C$27,MIN(Config!$C$27,P180)))),N180))</f>
        <v>3</v>
      </c>
      <c r="T180" s="35" t="str">
        <f aca="false">IF(F180="N/A","N/A",IF(S180="","Not assessed",INDEX(Config!$B$5:$B$9,S180)))</f>
        <v>Medium</v>
      </c>
      <c r="U180" s="7" t="str">
        <f aca="false">IF(P180=0,"None",IF(R180="Y","Applied","Pending HO approval"))</f>
        <v>None</v>
      </c>
      <c r="V180" s="8"/>
    </row>
    <row r="181" customFormat="false" ht="15" hidden="false" customHeight="false" outlineLevel="0" collapsed="false">
      <c r="A181" s="26" t="str">
        <f aca="false">Entities!$A$18</f>
        <v>OM</v>
      </c>
      <c r="B181" s="12" t="str">
        <f aca="false">INDEX(Entities!$B$5:$B$34,MATCH(A181,Entities!$A$5:$A$34,0))</f>
        <v>Oman Arab Bank (affiliate)</v>
      </c>
      <c r="C181" s="12" t="str">
        <f aca="false">INDEX(Entities!$D$5:$D$34,MATCH(A181,Entities!$A$5:$A$34,0))</f>
        <v>GCC</v>
      </c>
      <c r="D181" s="12" t="s">
        <v>307</v>
      </c>
      <c r="E181" s="12" t="str">
        <f aca="false">INDEX('Risk Taxonomy'!$B$5:$B$24,MATCH(D181,'Risk Taxonomy'!$A$5:$A$24,0))</f>
        <v>Operational risk</v>
      </c>
      <c r="F181" s="7" t="str">
        <f aca="false">IF(D181="RC-04",IF(INDEX(Entities!$G$5:$G$34,MATCH(A181,Entities!$A$5:$A$34,0))="Y","Yes","N/A"),"Yes")</f>
        <v>Yes</v>
      </c>
      <c r="G181" s="24" t="n">
        <v>4</v>
      </c>
      <c r="H181" s="24" t="n">
        <v>2</v>
      </c>
      <c r="I181" s="24" t="n">
        <v>3</v>
      </c>
      <c r="J181" s="24" t="n">
        <v>3</v>
      </c>
      <c r="K181" s="24" t="n">
        <v>3</v>
      </c>
      <c r="L181" s="37" t="n">
        <f aca="false">IF(F181="N/A","",IF(COUNT(H181:K181)=0,"",IF(Config!$C$19="Highest dimension",MAX(H181:K181),ROUND(H181*Config!$C$20+I181*Config!$C$21+J181*Config!$C$22+K181*Config!$C$23,1))))</f>
        <v>3</v>
      </c>
      <c r="M181" s="38" t="n">
        <f aca="false">IF(OR(L181="",G181=""),"",G181*L181)</f>
        <v>12</v>
      </c>
      <c r="N181" s="31" t="n">
        <f aca="false">IF(M181="","",MATCH(M181,Config!$E$5:$E$9,1))</f>
        <v>3</v>
      </c>
      <c r="O181" s="7" t="str">
        <f aca="false">IF(F181="N/A","N/A",IF(N181="","Not assessed",INDEX(Config!$B$5:$B$9,N181)))</f>
        <v>Medium</v>
      </c>
      <c r="P181" s="32" t="n">
        <v>0</v>
      </c>
      <c r="Q181" s="8"/>
      <c r="R181" s="33"/>
      <c r="S181" s="34" t="n">
        <f aca="false">IF(N181="","",IF(AND(R181="Y",P181&lt;&gt;0),MAX(1,MIN(5,N181+MAX(-Config!$C$27,MIN(Config!$C$27,P181)))),N181))</f>
        <v>3</v>
      </c>
      <c r="T181" s="35" t="str">
        <f aca="false">IF(F181="N/A","N/A",IF(S181="","Not assessed",INDEX(Config!$B$5:$B$9,S181)))</f>
        <v>Medium</v>
      </c>
      <c r="U181" s="7" t="str">
        <f aca="false">IF(P181=0,"None",IF(R181="Y","Applied","Pending HO approval"))</f>
        <v>None</v>
      </c>
      <c r="V181" s="8"/>
    </row>
    <row r="182" customFormat="false" ht="15" hidden="false" customHeight="false" outlineLevel="0" collapsed="false">
      <c r="A182" s="26" t="str">
        <f aca="false">Entities!$A$18</f>
        <v>OM</v>
      </c>
      <c r="B182" s="12" t="str">
        <f aca="false">INDEX(Entities!$B$5:$B$34,MATCH(A182,Entities!$A$5:$A$34,0))</f>
        <v>Oman Arab Bank (affiliate)</v>
      </c>
      <c r="C182" s="12" t="str">
        <f aca="false">INDEX(Entities!$D$5:$D$34,MATCH(A182,Entities!$A$5:$A$34,0))</f>
        <v>GCC</v>
      </c>
      <c r="D182" s="12" t="s">
        <v>310</v>
      </c>
      <c r="E182" s="12" t="str">
        <f aca="false">INDEX('Risk Taxonomy'!$B$5:$B$24,MATCH(D182,'Risk Taxonomy'!$A$5:$A$24,0))</f>
        <v>Cyber, information security and technology</v>
      </c>
      <c r="F182" s="7" t="str">
        <f aca="false">IF(D182="RC-04",IF(INDEX(Entities!$G$5:$G$34,MATCH(A182,Entities!$A$5:$A$34,0))="Y","Yes","N/A"),"Yes")</f>
        <v>Yes</v>
      </c>
      <c r="G182" s="24" t="n">
        <v>4</v>
      </c>
      <c r="H182" s="24" t="n">
        <v>2</v>
      </c>
      <c r="I182" s="24" t="n">
        <v>4</v>
      </c>
      <c r="J182" s="24" t="n">
        <v>1</v>
      </c>
      <c r="K182" s="24" t="n">
        <v>3</v>
      </c>
      <c r="L182" s="37" t="n">
        <f aca="false">IF(F182="N/A","",IF(COUNT(H182:K182)=0,"",IF(Config!$C$19="Highest dimension",MAX(H182:K182),ROUND(H182*Config!$C$20+I182*Config!$C$21+J182*Config!$C$22+K182*Config!$C$23,1))))</f>
        <v>4</v>
      </c>
      <c r="M182" s="38" t="n">
        <f aca="false">IF(OR(L182="",G182=""),"",G182*L182)</f>
        <v>16</v>
      </c>
      <c r="N182" s="31" t="n">
        <f aca="false">IF(M182="","",MATCH(M182,Config!$E$5:$E$9,1))</f>
        <v>4</v>
      </c>
      <c r="O182" s="7" t="str">
        <f aca="false">IF(F182="N/A","N/A",IF(N182="","Not assessed",INDEX(Config!$B$5:$B$9,N182)))</f>
        <v>Medium-High</v>
      </c>
      <c r="P182" s="32" t="n">
        <v>0</v>
      </c>
      <c r="Q182" s="8"/>
      <c r="R182" s="33"/>
      <c r="S182" s="34" t="n">
        <f aca="false">IF(N182="","",IF(AND(R182="Y",P182&lt;&gt;0),MAX(1,MIN(5,N182+MAX(-Config!$C$27,MIN(Config!$C$27,P182)))),N182))</f>
        <v>4</v>
      </c>
      <c r="T182" s="35" t="str">
        <f aca="false">IF(F182="N/A","N/A",IF(S182="","Not assessed",INDEX(Config!$B$5:$B$9,S182)))</f>
        <v>Medium-High</v>
      </c>
      <c r="U182" s="7" t="str">
        <f aca="false">IF(P182=0,"None",IF(R182="Y","Applied","Pending HO approval"))</f>
        <v>None</v>
      </c>
      <c r="V182" s="8"/>
    </row>
    <row r="183" customFormat="false" ht="15" hidden="false" customHeight="false" outlineLevel="0" collapsed="false">
      <c r="A183" s="26" t="str">
        <f aca="false">Entities!$A$18</f>
        <v>OM</v>
      </c>
      <c r="B183" s="12" t="str">
        <f aca="false">INDEX(Entities!$B$5:$B$34,MATCH(A183,Entities!$A$5:$A$34,0))</f>
        <v>Oman Arab Bank (affiliate)</v>
      </c>
      <c r="C183" s="12" t="str">
        <f aca="false">INDEX(Entities!$D$5:$D$34,MATCH(A183,Entities!$A$5:$A$34,0))</f>
        <v>GCC</v>
      </c>
      <c r="D183" s="12" t="s">
        <v>313</v>
      </c>
      <c r="E183" s="12" t="str">
        <f aca="false">INDEX('Risk Taxonomy'!$B$5:$B$24,MATCH(D183,'Risk Taxonomy'!$A$5:$A$24,0))</f>
        <v>Third-party and outsourcing</v>
      </c>
      <c r="F183" s="7" t="str">
        <f aca="false">IF(D183="RC-04",IF(INDEX(Entities!$G$5:$G$34,MATCH(A183,Entities!$A$5:$A$34,0))="Y","Yes","N/A"),"Yes")</f>
        <v>Yes</v>
      </c>
      <c r="G183" s="24" t="n">
        <v>1</v>
      </c>
      <c r="H183" s="24" t="n">
        <v>2</v>
      </c>
      <c r="I183" s="24" t="n">
        <v>3</v>
      </c>
      <c r="J183" s="24" t="n">
        <v>2</v>
      </c>
      <c r="K183" s="24" t="n">
        <v>3</v>
      </c>
      <c r="L183" s="37" t="n">
        <f aca="false">IF(F183="N/A","",IF(COUNT(H183:K183)=0,"",IF(Config!$C$19="Highest dimension",MAX(H183:K183),ROUND(H183*Config!$C$20+I183*Config!$C$21+J183*Config!$C$22+K183*Config!$C$23,1))))</f>
        <v>3</v>
      </c>
      <c r="M183" s="38" t="n">
        <f aca="false">IF(OR(L183="",G183=""),"",G183*L183)</f>
        <v>3</v>
      </c>
      <c r="N183" s="31" t="n">
        <f aca="false">IF(M183="","",MATCH(M183,Config!$E$5:$E$9,1))</f>
        <v>1</v>
      </c>
      <c r="O183" s="7" t="str">
        <f aca="false">IF(F183="N/A","N/A",IF(N183="","Not assessed",INDEX(Config!$B$5:$B$9,N183)))</f>
        <v>Low</v>
      </c>
      <c r="P183" s="32" t="n">
        <v>0</v>
      </c>
      <c r="Q183" s="8"/>
      <c r="R183" s="33"/>
      <c r="S183" s="34" t="n">
        <f aca="false">IF(N183="","",IF(AND(R183="Y",P183&lt;&gt;0),MAX(1,MIN(5,N183+MAX(-Config!$C$27,MIN(Config!$C$27,P183)))),N183))</f>
        <v>1</v>
      </c>
      <c r="T183" s="35" t="str">
        <f aca="false">IF(F183="N/A","N/A",IF(S183="","Not assessed",INDEX(Config!$B$5:$B$9,S183)))</f>
        <v>Low</v>
      </c>
      <c r="U183" s="7" t="str">
        <f aca="false">IF(P183=0,"None",IF(R183="Y","Applied","Pending HO approval"))</f>
        <v>None</v>
      </c>
      <c r="V183" s="8"/>
    </row>
    <row r="184" customFormat="false" ht="15" hidden="false" customHeight="false" outlineLevel="0" collapsed="false">
      <c r="A184" s="26" t="str">
        <f aca="false">Entities!$A$18</f>
        <v>OM</v>
      </c>
      <c r="B184" s="12" t="str">
        <f aca="false">INDEX(Entities!$B$5:$B$34,MATCH(A184,Entities!$A$5:$A$34,0))</f>
        <v>Oman Arab Bank (affiliate)</v>
      </c>
      <c r="C184" s="12" t="str">
        <f aca="false">INDEX(Entities!$D$5:$D$34,MATCH(A184,Entities!$A$5:$A$34,0))</f>
        <v>GCC</v>
      </c>
      <c r="D184" s="12" t="s">
        <v>316</v>
      </c>
      <c r="E184" s="12" t="str">
        <f aca="false">INDEX('Risk Taxonomy'!$B$5:$B$24,MATCH(D184,'Risk Taxonomy'!$A$5:$A$24,0))</f>
        <v>Legal and litigation</v>
      </c>
      <c r="F184" s="7" t="str">
        <f aca="false">IF(D184="RC-04",IF(INDEX(Entities!$G$5:$G$34,MATCH(A184,Entities!$A$5:$A$34,0))="Y","Yes","N/A"),"Yes")</f>
        <v>Yes</v>
      </c>
      <c r="G184" s="24" t="n">
        <v>3</v>
      </c>
      <c r="H184" s="24" t="n">
        <v>3</v>
      </c>
      <c r="I184" s="24" t="n">
        <v>3</v>
      </c>
      <c r="J184" s="24" t="n">
        <v>3</v>
      </c>
      <c r="K184" s="24" t="n">
        <v>3</v>
      </c>
      <c r="L184" s="37" t="n">
        <f aca="false">IF(F184="N/A","",IF(COUNT(H184:K184)=0,"",IF(Config!$C$19="Highest dimension",MAX(H184:K184),ROUND(H184*Config!$C$20+I184*Config!$C$21+J184*Config!$C$22+K184*Config!$C$23,1))))</f>
        <v>3</v>
      </c>
      <c r="M184" s="38" t="n">
        <f aca="false">IF(OR(L184="",G184=""),"",G184*L184)</f>
        <v>9</v>
      </c>
      <c r="N184" s="31" t="n">
        <f aca="false">IF(M184="","",MATCH(M184,Config!$E$5:$E$9,1))</f>
        <v>3</v>
      </c>
      <c r="O184" s="7" t="str">
        <f aca="false">IF(F184="N/A","N/A",IF(N184="","Not assessed",INDEX(Config!$B$5:$B$9,N184)))</f>
        <v>Medium</v>
      </c>
      <c r="P184" s="32" t="n">
        <v>0</v>
      </c>
      <c r="Q184" s="8"/>
      <c r="R184" s="33"/>
      <c r="S184" s="34" t="n">
        <f aca="false">IF(N184="","",IF(AND(R184="Y",P184&lt;&gt;0),MAX(1,MIN(5,N184+MAX(-Config!$C$27,MIN(Config!$C$27,P184)))),N184))</f>
        <v>3</v>
      </c>
      <c r="T184" s="35" t="str">
        <f aca="false">IF(F184="N/A","N/A",IF(S184="","Not assessed",INDEX(Config!$B$5:$B$9,S184)))</f>
        <v>Medium</v>
      </c>
      <c r="U184" s="7" t="str">
        <f aca="false">IF(P184=0,"None",IF(R184="Y","Applied","Pending HO approval"))</f>
        <v>None</v>
      </c>
      <c r="V184" s="8"/>
    </row>
    <row r="185" customFormat="false" ht="15" hidden="false" customHeight="false" outlineLevel="0" collapsed="false">
      <c r="A185" s="26" t="str">
        <f aca="false">Entities!$A$18</f>
        <v>OM</v>
      </c>
      <c r="B185" s="12" t="str">
        <f aca="false">INDEX(Entities!$B$5:$B$34,MATCH(A185,Entities!$A$5:$A$34,0))</f>
        <v>Oman Arab Bank (affiliate)</v>
      </c>
      <c r="C185" s="12" t="str">
        <f aca="false">INDEX(Entities!$D$5:$D$34,MATCH(A185,Entities!$A$5:$A$34,0))</f>
        <v>GCC</v>
      </c>
      <c r="D185" s="12" t="s">
        <v>319</v>
      </c>
      <c r="E185" s="12" t="str">
        <f aca="false">INDEX('Risk Taxonomy'!$B$5:$B$24,MATCH(D185,'Risk Taxonomy'!$A$5:$A$24,0))</f>
        <v>Reputational</v>
      </c>
      <c r="F185" s="7" t="str">
        <f aca="false">IF(D185="RC-04",IF(INDEX(Entities!$G$5:$G$34,MATCH(A185,Entities!$A$5:$A$34,0))="Y","Yes","N/A"),"Yes")</f>
        <v>Yes</v>
      </c>
      <c r="G185" s="24" t="n">
        <v>3</v>
      </c>
      <c r="H185" s="24" t="n">
        <v>2</v>
      </c>
      <c r="I185" s="24" t="n">
        <v>2</v>
      </c>
      <c r="J185" s="24" t="n">
        <v>3</v>
      </c>
      <c r="K185" s="24" t="n">
        <v>3</v>
      </c>
      <c r="L185" s="37" t="n">
        <f aca="false">IF(F185="N/A","",IF(COUNT(H185:K185)=0,"",IF(Config!$C$19="Highest dimension",MAX(H185:K185),ROUND(H185*Config!$C$20+I185*Config!$C$21+J185*Config!$C$22+K185*Config!$C$23,1))))</f>
        <v>3</v>
      </c>
      <c r="M185" s="38" t="n">
        <f aca="false">IF(OR(L185="",G185=""),"",G185*L185)</f>
        <v>9</v>
      </c>
      <c r="N185" s="31" t="n">
        <f aca="false">IF(M185="","",MATCH(M185,Config!$E$5:$E$9,1))</f>
        <v>3</v>
      </c>
      <c r="O185" s="7" t="str">
        <f aca="false">IF(F185="N/A","N/A",IF(N185="","Not assessed",INDEX(Config!$B$5:$B$9,N185)))</f>
        <v>Medium</v>
      </c>
      <c r="P185" s="32" t="n">
        <v>0</v>
      </c>
      <c r="Q185" s="8"/>
      <c r="R185" s="33"/>
      <c r="S185" s="34" t="n">
        <f aca="false">IF(N185="","",IF(AND(R185="Y",P185&lt;&gt;0),MAX(1,MIN(5,N185+MAX(-Config!$C$27,MIN(Config!$C$27,P185)))),N185))</f>
        <v>3</v>
      </c>
      <c r="T185" s="35" t="str">
        <f aca="false">IF(F185="N/A","N/A",IF(S185="","Not assessed",INDEX(Config!$B$5:$B$9,S185)))</f>
        <v>Medium</v>
      </c>
      <c r="U185" s="7" t="str">
        <f aca="false">IF(P185=0,"None",IF(R185="Y","Applied","Pending HO approval"))</f>
        <v>None</v>
      </c>
      <c r="V185" s="8"/>
    </row>
    <row r="186" customFormat="false" ht="15" hidden="false" customHeight="false" outlineLevel="0" collapsed="false">
      <c r="A186" s="26" t="str">
        <f aca="false">Entities!$A$18</f>
        <v>OM</v>
      </c>
      <c r="B186" s="12" t="str">
        <f aca="false">INDEX(Entities!$B$5:$B$34,MATCH(A186,Entities!$A$5:$A$34,0))</f>
        <v>Oman Arab Bank (affiliate)</v>
      </c>
      <c r="C186" s="12" t="str">
        <f aca="false">INDEX(Entities!$D$5:$D$34,MATCH(A186,Entities!$A$5:$A$34,0))</f>
        <v>GCC</v>
      </c>
      <c r="D186" s="12" t="s">
        <v>322</v>
      </c>
      <c r="E186" s="12" t="str">
        <f aca="false">INDEX('Risk Taxonomy'!$B$5:$B$24,MATCH(D186,'Risk Taxonomy'!$A$5:$A$24,0))</f>
        <v>Strategic, business model and ESG</v>
      </c>
      <c r="F186" s="7" t="str">
        <f aca="false">IF(D186="RC-04",IF(INDEX(Entities!$G$5:$G$34,MATCH(A186,Entities!$A$5:$A$34,0))="Y","Yes","N/A"),"Yes")</f>
        <v>Yes</v>
      </c>
      <c r="G186" s="24" t="n">
        <v>3</v>
      </c>
      <c r="H186" s="24" t="n">
        <v>5</v>
      </c>
      <c r="I186" s="24" t="n">
        <v>3</v>
      </c>
      <c r="J186" s="24" t="n">
        <v>2</v>
      </c>
      <c r="K186" s="24" t="n">
        <v>3</v>
      </c>
      <c r="L186" s="37" t="n">
        <f aca="false">IF(F186="N/A","",IF(COUNT(H186:K186)=0,"",IF(Config!$C$19="Highest dimension",MAX(H186:K186),ROUND(H186*Config!$C$20+I186*Config!$C$21+J186*Config!$C$22+K186*Config!$C$23,1))))</f>
        <v>5</v>
      </c>
      <c r="M186" s="38" t="n">
        <f aca="false">IF(OR(L186="",G186=""),"",G186*L186)</f>
        <v>15</v>
      </c>
      <c r="N186" s="31" t="n">
        <f aca="false">IF(M186="","",MATCH(M186,Config!$E$5:$E$9,1))</f>
        <v>4</v>
      </c>
      <c r="O186" s="7" t="str">
        <f aca="false">IF(F186="N/A","N/A",IF(N186="","Not assessed",INDEX(Config!$B$5:$B$9,N186)))</f>
        <v>Medium-High</v>
      </c>
      <c r="P186" s="32" t="n">
        <v>0</v>
      </c>
      <c r="Q186" s="8"/>
      <c r="R186" s="33"/>
      <c r="S186" s="34" t="n">
        <f aca="false">IF(N186="","",IF(AND(R186="Y",P186&lt;&gt;0),MAX(1,MIN(5,N186+MAX(-Config!$C$27,MIN(Config!$C$27,P186)))),N186))</f>
        <v>4</v>
      </c>
      <c r="T186" s="35" t="str">
        <f aca="false">IF(F186="N/A","N/A",IF(S186="","Not assessed",INDEX(Config!$B$5:$B$9,S186)))</f>
        <v>Medium-High</v>
      </c>
      <c r="U186" s="7" t="str">
        <f aca="false">IF(P186=0,"None",IF(R186="Y","Applied","Pending HO approval"))</f>
        <v>None</v>
      </c>
      <c r="V186" s="8"/>
    </row>
    <row r="187" customFormat="false" ht="15" hidden="false" customHeight="false" outlineLevel="0" collapsed="false">
      <c r="A187" s="26" t="str">
        <f aca="false">Entities!$A$19</f>
        <v>IQ</v>
      </c>
      <c r="B187" s="12" t="str">
        <f aca="false">INDEX(Entities!$B$5:$B$34,MATCH(A187,Entities!$A$5:$A$34,0))</f>
        <v>Arab Bank Iraq</v>
      </c>
      <c r="C187" s="12" t="str">
        <f aca="false">INDEX(Entities!$D$5:$D$34,MATCH(A187,Entities!$A$5:$A$34,0))</f>
        <v>Iraq and Yemen</v>
      </c>
      <c r="D187" s="12" t="s">
        <v>284</v>
      </c>
      <c r="E187" s="12" t="str">
        <f aca="false">INDEX('Risk Taxonomy'!$B$5:$B$24,MATCH(D187,'Risk Taxonomy'!$A$5:$A$24,0))</f>
        <v>Regulatory compliance</v>
      </c>
      <c r="F187" s="7" t="str">
        <f aca="false">IF(D187="RC-04",IF(INDEX(Entities!$G$5:$G$34,MATCH(A187,Entities!$A$5:$A$34,0))="Y","Yes","N/A"),"Yes")</f>
        <v>Yes</v>
      </c>
      <c r="G187" s="24" t="n">
        <v>5</v>
      </c>
      <c r="H187" s="24" t="n">
        <v>4</v>
      </c>
      <c r="I187" s="24" t="n">
        <v>4</v>
      </c>
      <c r="J187" s="24" t="n">
        <v>4</v>
      </c>
      <c r="K187" s="24" t="n">
        <v>3</v>
      </c>
      <c r="L187" s="37" t="n">
        <f aca="false">IF(F187="N/A","",IF(COUNT(H187:K187)=0,"",IF(Config!$C$19="Highest dimension",MAX(H187:K187),ROUND(H187*Config!$C$20+I187*Config!$C$21+J187*Config!$C$22+K187*Config!$C$23,1))))</f>
        <v>4</v>
      </c>
      <c r="M187" s="38" t="n">
        <f aca="false">IF(OR(L187="",G187=""),"",G187*L187)</f>
        <v>20</v>
      </c>
      <c r="N187" s="31" t="n">
        <f aca="false">IF(M187="","",MATCH(M187,Config!$E$5:$E$9,1))</f>
        <v>5</v>
      </c>
      <c r="O187" s="7" t="str">
        <f aca="false">IF(F187="N/A","N/A",IF(N187="","Not assessed",INDEX(Config!$B$5:$B$9,N187)))</f>
        <v>High</v>
      </c>
      <c r="P187" s="32" t="n">
        <v>0</v>
      </c>
      <c r="Q187" s="8"/>
      <c r="R187" s="33"/>
      <c r="S187" s="34" t="n">
        <f aca="false">IF(N187="","",IF(AND(R187="Y",P187&lt;&gt;0),MAX(1,MIN(5,N187+MAX(-Config!$C$27,MIN(Config!$C$27,P187)))),N187))</f>
        <v>5</v>
      </c>
      <c r="T187" s="35" t="str">
        <f aca="false">IF(F187="N/A","N/A",IF(S187="","Not assessed",INDEX(Config!$B$5:$B$9,S187)))</f>
        <v>High</v>
      </c>
      <c r="U187" s="7" t="str">
        <f aca="false">IF(P187=0,"None",IF(R187="Y","Applied","Pending HO approval"))</f>
        <v>None</v>
      </c>
      <c r="V187" s="8"/>
    </row>
    <row r="188" customFormat="false" ht="15" hidden="false" customHeight="false" outlineLevel="0" collapsed="false">
      <c r="A188" s="26" t="str">
        <f aca="false">Entities!$A$19</f>
        <v>IQ</v>
      </c>
      <c r="B188" s="12" t="str">
        <f aca="false">INDEX(Entities!$B$5:$B$34,MATCH(A188,Entities!$A$5:$A$34,0))</f>
        <v>Arab Bank Iraq</v>
      </c>
      <c r="C188" s="12" t="str">
        <f aca="false">INDEX(Entities!$D$5:$D$34,MATCH(A188,Entities!$A$5:$A$34,0))</f>
        <v>Iraq and Yemen</v>
      </c>
      <c r="D188" s="12" t="s">
        <v>288</v>
      </c>
      <c r="E188" s="12" t="str">
        <f aca="false">INDEX('Risk Taxonomy'!$B$5:$B$24,MATCH(D188,'Risk Taxonomy'!$A$5:$A$24,0))</f>
        <v>Conduct and consumer protection</v>
      </c>
      <c r="F188" s="7" t="str">
        <f aca="false">IF(D188="RC-04",IF(INDEX(Entities!$G$5:$G$34,MATCH(A188,Entities!$A$5:$A$34,0))="Y","Yes","N/A"),"Yes")</f>
        <v>Yes</v>
      </c>
      <c r="G188" s="24" t="n">
        <v>3</v>
      </c>
      <c r="H188" s="24" t="n">
        <v>4</v>
      </c>
      <c r="I188" s="24" t="n">
        <v>4</v>
      </c>
      <c r="J188" s="24" t="n">
        <v>3</v>
      </c>
      <c r="K188" s="24" t="n">
        <v>4</v>
      </c>
      <c r="L188" s="37" t="n">
        <f aca="false">IF(F188="N/A","",IF(COUNT(H188:K188)=0,"",IF(Config!$C$19="Highest dimension",MAX(H188:K188),ROUND(H188*Config!$C$20+I188*Config!$C$21+J188*Config!$C$22+K188*Config!$C$23,1))))</f>
        <v>4</v>
      </c>
      <c r="M188" s="38" t="n">
        <f aca="false">IF(OR(L188="",G188=""),"",G188*L188)</f>
        <v>12</v>
      </c>
      <c r="N188" s="31" t="n">
        <f aca="false">IF(M188="","",MATCH(M188,Config!$E$5:$E$9,1))</f>
        <v>3</v>
      </c>
      <c r="O188" s="7" t="str">
        <f aca="false">IF(F188="N/A","N/A",IF(N188="","Not assessed",INDEX(Config!$B$5:$B$9,N188)))</f>
        <v>Medium</v>
      </c>
      <c r="P188" s="32" t="n">
        <v>0</v>
      </c>
      <c r="Q188" s="8"/>
      <c r="R188" s="33"/>
      <c r="S188" s="34" t="n">
        <f aca="false">IF(N188="","",IF(AND(R188="Y",P188&lt;&gt;0),MAX(1,MIN(5,N188+MAX(-Config!$C$27,MIN(Config!$C$27,P188)))),N188))</f>
        <v>3</v>
      </c>
      <c r="T188" s="35" t="str">
        <f aca="false">IF(F188="N/A","N/A",IF(S188="","Not assessed",INDEX(Config!$B$5:$B$9,S188)))</f>
        <v>Medium</v>
      </c>
      <c r="U188" s="7" t="str">
        <f aca="false">IF(P188=0,"None",IF(R188="Y","Applied","Pending HO approval"))</f>
        <v>None</v>
      </c>
      <c r="V188" s="8"/>
    </row>
    <row r="189" customFormat="false" ht="15" hidden="false" customHeight="false" outlineLevel="0" collapsed="false">
      <c r="A189" s="26" t="str">
        <f aca="false">Entities!$A$19</f>
        <v>IQ</v>
      </c>
      <c r="B189" s="12" t="str">
        <f aca="false">INDEX(Entities!$B$5:$B$34,MATCH(A189,Entities!$A$5:$A$34,0))</f>
        <v>Arab Bank Iraq</v>
      </c>
      <c r="C189" s="12" t="str">
        <f aca="false">INDEX(Entities!$D$5:$D$34,MATCH(A189,Entities!$A$5:$A$34,0))</f>
        <v>Iraq and Yemen</v>
      </c>
      <c r="D189" s="12" t="s">
        <v>290</v>
      </c>
      <c r="E189" s="12" t="str">
        <f aca="false">INDEX('Risk Taxonomy'!$B$5:$B$24,MATCH(D189,'Risk Taxonomy'!$A$5:$A$24,0))</f>
        <v>Data protection and privacy</v>
      </c>
      <c r="F189" s="7" t="str">
        <f aca="false">IF(D189="RC-04",IF(INDEX(Entities!$G$5:$G$34,MATCH(A189,Entities!$A$5:$A$34,0))="Y","Yes","N/A"),"Yes")</f>
        <v>Yes</v>
      </c>
      <c r="G189" s="24" t="n">
        <v>5</v>
      </c>
      <c r="H189" s="24" t="n">
        <v>4</v>
      </c>
      <c r="I189" s="24" t="n">
        <v>5</v>
      </c>
      <c r="J189" s="24" t="n">
        <v>4</v>
      </c>
      <c r="K189" s="24" t="n">
        <v>4</v>
      </c>
      <c r="L189" s="37" t="n">
        <f aca="false">IF(F189="N/A","",IF(COUNT(H189:K189)=0,"",IF(Config!$C$19="Highest dimension",MAX(H189:K189),ROUND(H189*Config!$C$20+I189*Config!$C$21+J189*Config!$C$22+K189*Config!$C$23,1))))</f>
        <v>5</v>
      </c>
      <c r="M189" s="38" t="n">
        <f aca="false">IF(OR(L189="",G189=""),"",G189*L189)</f>
        <v>25</v>
      </c>
      <c r="N189" s="31" t="n">
        <f aca="false">IF(M189="","",MATCH(M189,Config!$E$5:$E$9,1))</f>
        <v>5</v>
      </c>
      <c r="O189" s="7" t="str">
        <f aca="false">IF(F189="N/A","N/A",IF(N189="","Not assessed",INDEX(Config!$B$5:$B$9,N189)))</f>
        <v>High</v>
      </c>
      <c r="P189" s="32" t="n">
        <v>0</v>
      </c>
      <c r="Q189" s="8"/>
      <c r="R189" s="33"/>
      <c r="S189" s="34" t="n">
        <f aca="false">IF(N189="","",IF(AND(R189="Y",P189&lt;&gt;0),MAX(1,MIN(5,N189+MAX(-Config!$C$27,MIN(Config!$C$27,P189)))),N189))</f>
        <v>5</v>
      </c>
      <c r="T189" s="35" t="str">
        <f aca="false">IF(F189="N/A","N/A",IF(S189="","Not assessed",INDEX(Config!$B$5:$B$9,S189)))</f>
        <v>High</v>
      </c>
      <c r="U189" s="7" t="str">
        <f aca="false">IF(P189=0,"None",IF(R189="Y","Applied","Pending HO approval"))</f>
        <v>None</v>
      </c>
      <c r="V189" s="8"/>
    </row>
    <row r="190" customFormat="false" ht="15" hidden="false" customHeight="false" outlineLevel="0" collapsed="false">
      <c r="A190" s="26" t="str">
        <f aca="false">Entities!$A$19</f>
        <v>IQ</v>
      </c>
      <c r="B190" s="12" t="str">
        <f aca="false">INDEX(Entities!$B$5:$B$34,MATCH(A190,Entities!$A$5:$A$34,0))</f>
        <v>Arab Bank Iraq</v>
      </c>
      <c r="C190" s="12" t="str">
        <f aca="false">INDEX(Entities!$D$5:$D$34,MATCH(A190,Entities!$A$5:$A$34,0))</f>
        <v>Iraq and Yemen</v>
      </c>
      <c r="D190" s="12" t="s">
        <v>293</v>
      </c>
      <c r="E190" s="12" t="str">
        <f aca="false">INDEX('Risk Taxonomy'!$B$5:$B$24,MATCH(D190,'Risk Taxonomy'!$A$5:$A$24,0))</f>
        <v>Shariah non-compliance</v>
      </c>
      <c r="F190" s="7" t="str">
        <f aca="false">IF(D190="RC-04",IF(INDEX(Entities!$G$5:$G$34,MATCH(A190,Entities!$A$5:$A$34,0))="Y","Yes","N/A"),"Yes")</f>
        <v>N/A</v>
      </c>
      <c r="G190" s="24"/>
      <c r="H190" s="24"/>
      <c r="I190" s="24"/>
      <c r="J190" s="24"/>
      <c r="K190" s="24"/>
      <c r="L190" s="37" t="str">
        <f aca="false">IF(F190="N/A","",IF(COUNT(H190:K190)=0,"",IF(Config!$C$19="Highest dimension",MAX(H190:K190),ROUND(H190*Config!$C$20+I190*Config!$C$21+J190*Config!$C$22+K190*Config!$C$23,1))))</f>
        <v/>
      </c>
      <c r="M190" s="38" t="str">
        <f aca="false">IF(OR(L190="",G190=""),"",G190*L190)</f>
        <v/>
      </c>
      <c r="N190" s="31" t="str">
        <f aca="false">IF(M190="","",MATCH(M190,Config!$E$5:$E$9,1))</f>
        <v/>
      </c>
      <c r="O190" s="7" t="str">
        <f aca="false">IF(F190="N/A","N/A",IF(N190="","Not assessed",INDEX(Config!$B$5:$B$9,N190)))</f>
        <v>N/A</v>
      </c>
      <c r="P190" s="32" t="n">
        <v>0</v>
      </c>
      <c r="Q190" s="8"/>
      <c r="R190" s="33"/>
      <c r="S190" s="34" t="str">
        <f aca="false">IF(N190="","",IF(AND(R190="Y",P190&lt;&gt;0),MAX(1,MIN(5,N190+MAX(-Config!$C$27,MIN(Config!$C$27,P190)))),N190))</f>
        <v/>
      </c>
      <c r="T190" s="35" t="str">
        <f aca="false">IF(F190="N/A","N/A",IF(S190="","Not assessed",INDEX(Config!$B$5:$B$9,S190)))</f>
        <v>N/A</v>
      </c>
      <c r="U190" s="7" t="str">
        <f aca="false">IF(P190=0,"None",IF(R190="Y","Applied","Pending HO approval"))</f>
        <v>None</v>
      </c>
      <c r="V190" s="8"/>
    </row>
    <row r="191" customFormat="false" ht="15" hidden="false" customHeight="false" outlineLevel="0" collapsed="false">
      <c r="A191" s="26" t="str">
        <f aca="false">Entities!$A$19</f>
        <v>IQ</v>
      </c>
      <c r="B191" s="12" t="str">
        <f aca="false">INDEX(Entities!$B$5:$B$34,MATCH(A191,Entities!$A$5:$A$34,0))</f>
        <v>Arab Bank Iraq</v>
      </c>
      <c r="C191" s="12" t="str">
        <f aca="false">INDEX(Entities!$D$5:$D$34,MATCH(A191,Entities!$A$5:$A$34,0))</f>
        <v>Iraq and Yemen</v>
      </c>
      <c r="D191" s="12" t="s">
        <v>297</v>
      </c>
      <c r="E191" s="12" t="str">
        <f aca="false">INDEX('Risk Taxonomy'!$B$5:$B$24,MATCH(D191,'Risk Taxonomy'!$A$5:$A$24,0))</f>
        <v>Credit risk</v>
      </c>
      <c r="F191" s="7" t="str">
        <f aca="false">IF(D191="RC-04",IF(INDEX(Entities!$G$5:$G$34,MATCH(A191,Entities!$A$5:$A$34,0))="Y","Yes","N/A"),"Yes")</f>
        <v>Yes</v>
      </c>
      <c r="G191" s="24" t="n">
        <v>4</v>
      </c>
      <c r="H191" s="24" t="n">
        <v>3</v>
      </c>
      <c r="I191" s="24" t="n">
        <v>4</v>
      </c>
      <c r="J191" s="24" t="n">
        <v>2</v>
      </c>
      <c r="K191" s="24" t="n">
        <v>4</v>
      </c>
      <c r="L191" s="37" t="n">
        <f aca="false">IF(F191="N/A","",IF(COUNT(H191:K191)=0,"",IF(Config!$C$19="Highest dimension",MAX(H191:K191),ROUND(H191*Config!$C$20+I191*Config!$C$21+J191*Config!$C$22+K191*Config!$C$23,1))))</f>
        <v>4</v>
      </c>
      <c r="M191" s="38" t="n">
        <f aca="false">IF(OR(L191="",G191=""),"",G191*L191)</f>
        <v>16</v>
      </c>
      <c r="N191" s="31" t="n">
        <f aca="false">IF(M191="","",MATCH(M191,Config!$E$5:$E$9,1))</f>
        <v>4</v>
      </c>
      <c r="O191" s="7" t="str">
        <f aca="false">IF(F191="N/A","N/A",IF(N191="","Not assessed",INDEX(Config!$B$5:$B$9,N191)))</f>
        <v>Medium-High</v>
      </c>
      <c r="P191" s="32" t="n">
        <v>0</v>
      </c>
      <c r="Q191" s="8"/>
      <c r="R191" s="33"/>
      <c r="S191" s="34" t="n">
        <f aca="false">IF(N191="","",IF(AND(R191="Y",P191&lt;&gt;0),MAX(1,MIN(5,N191+MAX(-Config!$C$27,MIN(Config!$C$27,P191)))),N191))</f>
        <v>4</v>
      </c>
      <c r="T191" s="35" t="str">
        <f aca="false">IF(F191="N/A","N/A",IF(S191="","Not assessed",INDEX(Config!$B$5:$B$9,S191)))</f>
        <v>Medium-High</v>
      </c>
      <c r="U191" s="7" t="str">
        <f aca="false">IF(P191=0,"None",IF(R191="Y","Applied","Pending HO approval"))</f>
        <v>None</v>
      </c>
      <c r="V191" s="8"/>
    </row>
    <row r="192" customFormat="false" ht="15" hidden="false" customHeight="false" outlineLevel="0" collapsed="false">
      <c r="A192" s="26" t="str">
        <f aca="false">Entities!$A$19</f>
        <v>IQ</v>
      </c>
      <c r="B192" s="12" t="str">
        <f aca="false">INDEX(Entities!$B$5:$B$34,MATCH(A192,Entities!$A$5:$A$34,0))</f>
        <v>Arab Bank Iraq</v>
      </c>
      <c r="C192" s="12" t="str">
        <f aca="false">INDEX(Entities!$D$5:$D$34,MATCH(A192,Entities!$A$5:$A$34,0))</f>
        <v>Iraq and Yemen</v>
      </c>
      <c r="D192" s="12" t="s">
        <v>302</v>
      </c>
      <c r="E192" s="12" t="str">
        <f aca="false">INDEX('Risk Taxonomy'!$B$5:$B$24,MATCH(D192,'Risk Taxonomy'!$A$5:$A$24,0))</f>
        <v>Market risk</v>
      </c>
      <c r="F192" s="7" t="str">
        <f aca="false">IF(D192="RC-04",IF(INDEX(Entities!$G$5:$G$34,MATCH(A192,Entities!$A$5:$A$34,0))="Y","Yes","N/A"),"Yes")</f>
        <v>Yes</v>
      </c>
      <c r="G192" s="24" t="n">
        <v>4</v>
      </c>
      <c r="H192" s="24" t="n">
        <v>4</v>
      </c>
      <c r="I192" s="24" t="n">
        <v>4</v>
      </c>
      <c r="J192" s="24" t="n">
        <v>4</v>
      </c>
      <c r="K192" s="24" t="n">
        <v>4</v>
      </c>
      <c r="L192" s="37" t="n">
        <f aca="false">IF(F192="N/A","",IF(COUNT(H192:K192)=0,"",IF(Config!$C$19="Highest dimension",MAX(H192:K192),ROUND(H192*Config!$C$20+I192*Config!$C$21+J192*Config!$C$22+K192*Config!$C$23,1))))</f>
        <v>4</v>
      </c>
      <c r="M192" s="38" t="n">
        <f aca="false">IF(OR(L192="",G192=""),"",G192*L192)</f>
        <v>16</v>
      </c>
      <c r="N192" s="31" t="n">
        <f aca="false">IF(M192="","",MATCH(M192,Config!$E$5:$E$9,1))</f>
        <v>4</v>
      </c>
      <c r="O192" s="7" t="str">
        <f aca="false">IF(F192="N/A","N/A",IF(N192="","Not assessed",INDEX(Config!$B$5:$B$9,N192)))</f>
        <v>Medium-High</v>
      </c>
      <c r="P192" s="32" t="n">
        <v>0</v>
      </c>
      <c r="Q192" s="8"/>
      <c r="R192" s="33"/>
      <c r="S192" s="34" t="n">
        <f aca="false">IF(N192="","",IF(AND(R192="Y",P192&lt;&gt;0),MAX(1,MIN(5,N192+MAX(-Config!$C$27,MIN(Config!$C$27,P192)))),N192))</f>
        <v>4</v>
      </c>
      <c r="T192" s="35" t="str">
        <f aca="false">IF(F192="N/A","N/A",IF(S192="","Not assessed",INDEX(Config!$B$5:$B$9,S192)))</f>
        <v>Medium-High</v>
      </c>
      <c r="U192" s="7" t="str">
        <f aca="false">IF(P192=0,"None",IF(R192="Y","Applied","Pending HO approval"))</f>
        <v>None</v>
      </c>
      <c r="V192" s="8"/>
    </row>
    <row r="193" customFormat="false" ht="15" hidden="false" customHeight="false" outlineLevel="0" collapsed="false">
      <c r="A193" s="26" t="str">
        <f aca="false">Entities!$A$19</f>
        <v>IQ</v>
      </c>
      <c r="B193" s="12" t="str">
        <f aca="false">INDEX(Entities!$B$5:$B$34,MATCH(A193,Entities!$A$5:$A$34,0))</f>
        <v>Arab Bank Iraq</v>
      </c>
      <c r="C193" s="12" t="str">
        <f aca="false">INDEX(Entities!$D$5:$D$34,MATCH(A193,Entities!$A$5:$A$34,0))</f>
        <v>Iraq and Yemen</v>
      </c>
      <c r="D193" s="12" t="s">
        <v>304</v>
      </c>
      <c r="E193" s="12" t="str">
        <f aca="false">INDEX('Risk Taxonomy'!$B$5:$B$24,MATCH(D193,'Risk Taxonomy'!$A$5:$A$24,0))</f>
        <v>Liquidity and funding risk</v>
      </c>
      <c r="F193" s="7" t="str">
        <f aca="false">IF(D193="RC-04",IF(INDEX(Entities!$G$5:$G$34,MATCH(A193,Entities!$A$5:$A$34,0))="Y","Yes","N/A"),"Yes")</f>
        <v>Yes</v>
      </c>
      <c r="G193" s="24" t="n">
        <v>5</v>
      </c>
      <c r="H193" s="24" t="n">
        <v>5</v>
      </c>
      <c r="I193" s="24" t="n">
        <v>3</v>
      </c>
      <c r="J193" s="24" t="n">
        <v>3</v>
      </c>
      <c r="K193" s="24" t="n">
        <v>3</v>
      </c>
      <c r="L193" s="37" t="n">
        <f aca="false">IF(F193="N/A","",IF(COUNT(H193:K193)=0,"",IF(Config!$C$19="Highest dimension",MAX(H193:K193),ROUND(H193*Config!$C$20+I193*Config!$C$21+J193*Config!$C$22+K193*Config!$C$23,1))))</f>
        <v>5</v>
      </c>
      <c r="M193" s="38" t="n">
        <f aca="false">IF(OR(L193="",G193=""),"",G193*L193)</f>
        <v>25</v>
      </c>
      <c r="N193" s="31" t="n">
        <f aca="false">IF(M193="","",MATCH(M193,Config!$E$5:$E$9,1))</f>
        <v>5</v>
      </c>
      <c r="O193" s="7" t="str">
        <f aca="false">IF(F193="N/A","N/A",IF(N193="","Not assessed",INDEX(Config!$B$5:$B$9,N193)))</f>
        <v>High</v>
      </c>
      <c r="P193" s="32" t="n">
        <v>0</v>
      </c>
      <c r="Q193" s="8"/>
      <c r="R193" s="33"/>
      <c r="S193" s="34" t="n">
        <f aca="false">IF(N193="","",IF(AND(R193="Y",P193&lt;&gt;0),MAX(1,MIN(5,N193+MAX(-Config!$C$27,MIN(Config!$C$27,P193)))),N193))</f>
        <v>5</v>
      </c>
      <c r="T193" s="35" t="str">
        <f aca="false">IF(F193="N/A","N/A",IF(S193="","Not assessed",INDEX(Config!$B$5:$B$9,S193)))</f>
        <v>High</v>
      </c>
      <c r="U193" s="7" t="str">
        <f aca="false">IF(P193=0,"None",IF(R193="Y","Applied","Pending HO approval"))</f>
        <v>None</v>
      </c>
      <c r="V193" s="8"/>
    </row>
    <row r="194" customFormat="false" ht="15" hidden="false" customHeight="false" outlineLevel="0" collapsed="false">
      <c r="A194" s="26" t="str">
        <f aca="false">Entities!$A$19</f>
        <v>IQ</v>
      </c>
      <c r="B194" s="12" t="str">
        <f aca="false">INDEX(Entities!$B$5:$B$34,MATCH(A194,Entities!$A$5:$A$34,0))</f>
        <v>Arab Bank Iraq</v>
      </c>
      <c r="C194" s="12" t="str">
        <f aca="false">INDEX(Entities!$D$5:$D$34,MATCH(A194,Entities!$A$5:$A$34,0))</f>
        <v>Iraq and Yemen</v>
      </c>
      <c r="D194" s="12" t="s">
        <v>307</v>
      </c>
      <c r="E194" s="12" t="str">
        <f aca="false">INDEX('Risk Taxonomy'!$B$5:$B$24,MATCH(D194,'Risk Taxonomy'!$A$5:$A$24,0))</f>
        <v>Operational risk</v>
      </c>
      <c r="F194" s="7" t="str">
        <f aca="false">IF(D194="RC-04",IF(INDEX(Entities!$G$5:$G$34,MATCH(A194,Entities!$A$5:$A$34,0))="Y","Yes","N/A"),"Yes")</f>
        <v>Yes</v>
      </c>
      <c r="G194" s="24" t="n">
        <v>4</v>
      </c>
      <c r="H194" s="24" t="n">
        <v>4</v>
      </c>
      <c r="I194" s="24" t="n">
        <v>4</v>
      </c>
      <c r="J194" s="24" t="n">
        <v>3</v>
      </c>
      <c r="K194" s="24" t="n">
        <v>5</v>
      </c>
      <c r="L194" s="37" t="n">
        <f aca="false">IF(F194="N/A","",IF(COUNT(H194:K194)=0,"",IF(Config!$C$19="Highest dimension",MAX(H194:K194),ROUND(H194*Config!$C$20+I194*Config!$C$21+J194*Config!$C$22+K194*Config!$C$23,1))))</f>
        <v>5</v>
      </c>
      <c r="M194" s="38" t="n">
        <f aca="false">IF(OR(L194="",G194=""),"",G194*L194)</f>
        <v>20</v>
      </c>
      <c r="N194" s="31" t="n">
        <f aca="false">IF(M194="","",MATCH(M194,Config!$E$5:$E$9,1))</f>
        <v>5</v>
      </c>
      <c r="O194" s="7" t="str">
        <f aca="false">IF(F194="N/A","N/A",IF(N194="","Not assessed",INDEX(Config!$B$5:$B$9,N194)))</f>
        <v>High</v>
      </c>
      <c r="P194" s="32" t="n">
        <v>0</v>
      </c>
      <c r="Q194" s="8"/>
      <c r="R194" s="33"/>
      <c r="S194" s="34" t="n">
        <f aca="false">IF(N194="","",IF(AND(R194="Y",P194&lt;&gt;0),MAX(1,MIN(5,N194+MAX(-Config!$C$27,MIN(Config!$C$27,P194)))),N194))</f>
        <v>5</v>
      </c>
      <c r="T194" s="35" t="str">
        <f aca="false">IF(F194="N/A","N/A",IF(S194="","Not assessed",INDEX(Config!$B$5:$B$9,S194)))</f>
        <v>High</v>
      </c>
      <c r="U194" s="7" t="str">
        <f aca="false">IF(P194=0,"None",IF(R194="Y","Applied","Pending HO approval"))</f>
        <v>None</v>
      </c>
      <c r="V194" s="8"/>
    </row>
    <row r="195" customFormat="false" ht="15" hidden="false" customHeight="false" outlineLevel="0" collapsed="false">
      <c r="A195" s="26" t="str">
        <f aca="false">Entities!$A$19</f>
        <v>IQ</v>
      </c>
      <c r="B195" s="12" t="str">
        <f aca="false">INDEX(Entities!$B$5:$B$34,MATCH(A195,Entities!$A$5:$A$34,0))</f>
        <v>Arab Bank Iraq</v>
      </c>
      <c r="C195" s="12" t="str">
        <f aca="false">INDEX(Entities!$D$5:$D$34,MATCH(A195,Entities!$A$5:$A$34,0))</f>
        <v>Iraq and Yemen</v>
      </c>
      <c r="D195" s="12" t="s">
        <v>310</v>
      </c>
      <c r="E195" s="12" t="str">
        <f aca="false">INDEX('Risk Taxonomy'!$B$5:$B$24,MATCH(D195,'Risk Taxonomy'!$A$5:$A$24,0))</f>
        <v>Cyber, information security and technology</v>
      </c>
      <c r="F195" s="7" t="str">
        <f aca="false">IF(D195="RC-04",IF(INDEX(Entities!$G$5:$G$34,MATCH(A195,Entities!$A$5:$A$34,0))="Y","Yes","N/A"),"Yes")</f>
        <v>Yes</v>
      </c>
      <c r="G195" s="24" t="n">
        <v>5</v>
      </c>
      <c r="H195" s="24" t="n">
        <v>3</v>
      </c>
      <c r="I195" s="24" t="n">
        <v>4</v>
      </c>
      <c r="J195" s="24" t="n">
        <v>4</v>
      </c>
      <c r="K195" s="24" t="n">
        <v>4</v>
      </c>
      <c r="L195" s="37" t="n">
        <f aca="false">IF(F195="N/A","",IF(COUNT(H195:K195)=0,"",IF(Config!$C$19="Highest dimension",MAX(H195:K195),ROUND(H195*Config!$C$20+I195*Config!$C$21+J195*Config!$C$22+K195*Config!$C$23,1))))</f>
        <v>4</v>
      </c>
      <c r="M195" s="38" t="n">
        <f aca="false">IF(OR(L195="",G195=""),"",G195*L195)</f>
        <v>20</v>
      </c>
      <c r="N195" s="31" t="n">
        <f aca="false">IF(M195="","",MATCH(M195,Config!$E$5:$E$9,1))</f>
        <v>5</v>
      </c>
      <c r="O195" s="7" t="str">
        <f aca="false">IF(F195="N/A","N/A",IF(N195="","Not assessed",INDEX(Config!$B$5:$B$9,N195)))</f>
        <v>High</v>
      </c>
      <c r="P195" s="32" t="n">
        <v>0</v>
      </c>
      <c r="Q195" s="8"/>
      <c r="R195" s="33"/>
      <c r="S195" s="34" t="n">
        <f aca="false">IF(N195="","",IF(AND(R195="Y",P195&lt;&gt;0),MAX(1,MIN(5,N195+MAX(-Config!$C$27,MIN(Config!$C$27,P195)))),N195))</f>
        <v>5</v>
      </c>
      <c r="T195" s="35" t="str">
        <f aca="false">IF(F195="N/A","N/A",IF(S195="","Not assessed",INDEX(Config!$B$5:$B$9,S195)))</f>
        <v>High</v>
      </c>
      <c r="U195" s="7" t="str">
        <f aca="false">IF(P195=0,"None",IF(R195="Y","Applied","Pending HO approval"))</f>
        <v>None</v>
      </c>
      <c r="V195" s="8"/>
    </row>
    <row r="196" customFormat="false" ht="15" hidden="false" customHeight="false" outlineLevel="0" collapsed="false">
      <c r="A196" s="26" t="str">
        <f aca="false">Entities!$A$19</f>
        <v>IQ</v>
      </c>
      <c r="B196" s="12" t="str">
        <f aca="false">INDEX(Entities!$B$5:$B$34,MATCH(A196,Entities!$A$5:$A$34,0))</f>
        <v>Arab Bank Iraq</v>
      </c>
      <c r="C196" s="12" t="str">
        <f aca="false">INDEX(Entities!$D$5:$D$34,MATCH(A196,Entities!$A$5:$A$34,0))</f>
        <v>Iraq and Yemen</v>
      </c>
      <c r="D196" s="12" t="s">
        <v>313</v>
      </c>
      <c r="E196" s="12" t="str">
        <f aca="false">INDEX('Risk Taxonomy'!$B$5:$B$24,MATCH(D196,'Risk Taxonomy'!$A$5:$A$24,0))</f>
        <v>Third-party and outsourcing</v>
      </c>
      <c r="F196" s="7" t="str">
        <f aca="false">IF(D196="RC-04",IF(INDEX(Entities!$G$5:$G$34,MATCH(A196,Entities!$A$5:$A$34,0))="Y","Yes","N/A"),"Yes")</f>
        <v>Yes</v>
      </c>
      <c r="G196" s="24" t="n">
        <v>4</v>
      </c>
      <c r="H196" s="24" t="n">
        <v>3</v>
      </c>
      <c r="I196" s="24" t="n">
        <v>2</v>
      </c>
      <c r="J196" s="24" t="n">
        <v>4</v>
      </c>
      <c r="K196" s="24" t="n">
        <v>4</v>
      </c>
      <c r="L196" s="37" t="n">
        <f aca="false">IF(F196="N/A","",IF(COUNT(H196:K196)=0,"",IF(Config!$C$19="Highest dimension",MAX(H196:K196),ROUND(H196*Config!$C$20+I196*Config!$C$21+J196*Config!$C$22+K196*Config!$C$23,1))))</f>
        <v>4</v>
      </c>
      <c r="M196" s="38" t="n">
        <f aca="false">IF(OR(L196="",G196=""),"",G196*L196)</f>
        <v>16</v>
      </c>
      <c r="N196" s="31" t="n">
        <f aca="false">IF(M196="","",MATCH(M196,Config!$E$5:$E$9,1))</f>
        <v>4</v>
      </c>
      <c r="O196" s="7" t="str">
        <f aca="false">IF(F196="N/A","N/A",IF(N196="","Not assessed",INDEX(Config!$B$5:$B$9,N196)))</f>
        <v>Medium-High</v>
      </c>
      <c r="P196" s="32" t="n">
        <v>0</v>
      </c>
      <c r="Q196" s="8"/>
      <c r="R196" s="33"/>
      <c r="S196" s="34" t="n">
        <f aca="false">IF(N196="","",IF(AND(R196="Y",P196&lt;&gt;0),MAX(1,MIN(5,N196+MAX(-Config!$C$27,MIN(Config!$C$27,P196)))),N196))</f>
        <v>4</v>
      </c>
      <c r="T196" s="35" t="str">
        <f aca="false">IF(F196="N/A","N/A",IF(S196="","Not assessed",INDEX(Config!$B$5:$B$9,S196)))</f>
        <v>Medium-High</v>
      </c>
      <c r="U196" s="7" t="str">
        <f aca="false">IF(P196=0,"None",IF(R196="Y","Applied","Pending HO approval"))</f>
        <v>None</v>
      </c>
      <c r="V196" s="8"/>
    </row>
    <row r="197" customFormat="false" ht="15" hidden="false" customHeight="false" outlineLevel="0" collapsed="false">
      <c r="A197" s="26" t="str">
        <f aca="false">Entities!$A$19</f>
        <v>IQ</v>
      </c>
      <c r="B197" s="12" t="str">
        <f aca="false">INDEX(Entities!$B$5:$B$34,MATCH(A197,Entities!$A$5:$A$34,0))</f>
        <v>Arab Bank Iraq</v>
      </c>
      <c r="C197" s="12" t="str">
        <f aca="false">INDEX(Entities!$D$5:$D$34,MATCH(A197,Entities!$A$5:$A$34,0))</f>
        <v>Iraq and Yemen</v>
      </c>
      <c r="D197" s="12" t="s">
        <v>316</v>
      </c>
      <c r="E197" s="12" t="str">
        <f aca="false">INDEX('Risk Taxonomy'!$B$5:$B$24,MATCH(D197,'Risk Taxonomy'!$A$5:$A$24,0))</f>
        <v>Legal and litigation</v>
      </c>
      <c r="F197" s="7" t="str">
        <f aca="false">IF(D197="RC-04",IF(INDEX(Entities!$G$5:$G$34,MATCH(A197,Entities!$A$5:$A$34,0))="Y","Yes","N/A"),"Yes")</f>
        <v>Yes</v>
      </c>
      <c r="G197" s="24" t="n">
        <v>3</v>
      </c>
      <c r="H197" s="24" t="n">
        <v>4</v>
      </c>
      <c r="I197" s="24" t="n">
        <v>4</v>
      </c>
      <c r="J197" s="24" t="n">
        <v>3</v>
      </c>
      <c r="K197" s="24" t="n">
        <v>3</v>
      </c>
      <c r="L197" s="37" t="n">
        <f aca="false">IF(F197="N/A","",IF(COUNT(H197:K197)=0,"",IF(Config!$C$19="Highest dimension",MAX(H197:K197),ROUND(H197*Config!$C$20+I197*Config!$C$21+J197*Config!$C$22+K197*Config!$C$23,1))))</f>
        <v>4</v>
      </c>
      <c r="M197" s="38" t="n">
        <f aca="false">IF(OR(L197="",G197=""),"",G197*L197)</f>
        <v>12</v>
      </c>
      <c r="N197" s="31" t="n">
        <f aca="false">IF(M197="","",MATCH(M197,Config!$E$5:$E$9,1))</f>
        <v>3</v>
      </c>
      <c r="O197" s="7" t="str">
        <f aca="false">IF(F197="N/A","N/A",IF(N197="","Not assessed",INDEX(Config!$B$5:$B$9,N197)))</f>
        <v>Medium</v>
      </c>
      <c r="P197" s="32" t="n">
        <v>0</v>
      </c>
      <c r="Q197" s="8"/>
      <c r="R197" s="33"/>
      <c r="S197" s="34" t="n">
        <f aca="false">IF(N197="","",IF(AND(R197="Y",P197&lt;&gt;0),MAX(1,MIN(5,N197+MAX(-Config!$C$27,MIN(Config!$C$27,P197)))),N197))</f>
        <v>3</v>
      </c>
      <c r="T197" s="35" t="str">
        <f aca="false">IF(F197="N/A","N/A",IF(S197="","Not assessed",INDEX(Config!$B$5:$B$9,S197)))</f>
        <v>Medium</v>
      </c>
      <c r="U197" s="7" t="str">
        <f aca="false">IF(P197=0,"None",IF(R197="Y","Applied","Pending HO approval"))</f>
        <v>None</v>
      </c>
      <c r="V197" s="8"/>
    </row>
    <row r="198" customFormat="false" ht="15" hidden="false" customHeight="false" outlineLevel="0" collapsed="false">
      <c r="A198" s="26" t="str">
        <f aca="false">Entities!$A$19</f>
        <v>IQ</v>
      </c>
      <c r="B198" s="12" t="str">
        <f aca="false">INDEX(Entities!$B$5:$B$34,MATCH(A198,Entities!$A$5:$A$34,0))</f>
        <v>Arab Bank Iraq</v>
      </c>
      <c r="C198" s="12" t="str">
        <f aca="false">INDEX(Entities!$D$5:$D$34,MATCH(A198,Entities!$A$5:$A$34,0))</f>
        <v>Iraq and Yemen</v>
      </c>
      <c r="D198" s="12" t="s">
        <v>319</v>
      </c>
      <c r="E198" s="12" t="str">
        <f aca="false">INDEX('Risk Taxonomy'!$B$5:$B$24,MATCH(D198,'Risk Taxonomy'!$A$5:$A$24,0))</f>
        <v>Reputational</v>
      </c>
      <c r="F198" s="7" t="str">
        <f aca="false">IF(D198="RC-04",IF(INDEX(Entities!$G$5:$G$34,MATCH(A198,Entities!$A$5:$A$34,0))="Y","Yes","N/A"),"Yes")</f>
        <v>Yes</v>
      </c>
      <c r="G198" s="24" t="n">
        <v>4</v>
      </c>
      <c r="H198" s="24" t="n">
        <v>5</v>
      </c>
      <c r="I198" s="24" t="n">
        <v>4</v>
      </c>
      <c r="J198" s="24" t="n">
        <v>3</v>
      </c>
      <c r="K198" s="24" t="n">
        <v>4</v>
      </c>
      <c r="L198" s="37" t="n">
        <f aca="false">IF(F198="N/A","",IF(COUNT(H198:K198)=0,"",IF(Config!$C$19="Highest dimension",MAX(H198:K198),ROUND(H198*Config!$C$20+I198*Config!$C$21+J198*Config!$C$22+K198*Config!$C$23,1))))</f>
        <v>5</v>
      </c>
      <c r="M198" s="38" t="n">
        <f aca="false">IF(OR(L198="",G198=""),"",G198*L198)</f>
        <v>20</v>
      </c>
      <c r="N198" s="31" t="n">
        <f aca="false">IF(M198="","",MATCH(M198,Config!$E$5:$E$9,1))</f>
        <v>5</v>
      </c>
      <c r="O198" s="7" t="str">
        <f aca="false">IF(F198="N/A","N/A",IF(N198="","Not assessed",INDEX(Config!$B$5:$B$9,N198)))</f>
        <v>High</v>
      </c>
      <c r="P198" s="32" t="n">
        <v>0</v>
      </c>
      <c r="Q198" s="8"/>
      <c r="R198" s="33"/>
      <c r="S198" s="34" t="n">
        <f aca="false">IF(N198="","",IF(AND(R198="Y",P198&lt;&gt;0),MAX(1,MIN(5,N198+MAX(-Config!$C$27,MIN(Config!$C$27,P198)))),N198))</f>
        <v>5</v>
      </c>
      <c r="T198" s="35" t="str">
        <f aca="false">IF(F198="N/A","N/A",IF(S198="","Not assessed",INDEX(Config!$B$5:$B$9,S198)))</f>
        <v>High</v>
      </c>
      <c r="U198" s="7" t="str">
        <f aca="false">IF(P198=0,"None",IF(R198="Y","Applied","Pending HO approval"))</f>
        <v>None</v>
      </c>
      <c r="V198" s="8"/>
    </row>
    <row r="199" customFormat="false" ht="15" hidden="false" customHeight="false" outlineLevel="0" collapsed="false">
      <c r="A199" s="26" t="str">
        <f aca="false">Entities!$A$19</f>
        <v>IQ</v>
      </c>
      <c r="B199" s="12" t="str">
        <f aca="false">INDEX(Entities!$B$5:$B$34,MATCH(A199,Entities!$A$5:$A$34,0))</f>
        <v>Arab Bank Iraq</v>
      </c>
      <c r="C199" s="12" t="str">
        <f aca="false">INDEX(Entities!$D$5:$D$34,MATCH(A199,Entities!$A$5:$A$34,0))</f>
        <v>Iraq and Yemen</v>
      </c>
      <c r="D199" s="12" t="s">
        <v>322</v>
      </c>
      <c r="E199" s="12" t="str">
        <f aca="false">INDEX('Risk Taxonomy'!$B$5:$B$24,MATCH(D199,'Risk Taxonomy'!$A$5:$A$24,0))</f>
        <v>Strategic, business model and ESG</v>
      </c>
      <c r="F199" s="7" t="str">
        <f aca="false">IF(D199="RC-04",IF(INDEX(Entities!$G$5:$G$34,MATCH(A199,Entities!$A$5:$A$34,0))="Y","Yes","N/A"),"Yes")</f>
        <v>Yes</v>
      </c>
      <c r="G199" s="24" t="n">
        <v>4</v>
      </c>
      <c r="H199" s="24" t="n">
        <v>2</v>
      </c>
      <c r="I199" s="24" t="n">
        <v>3</v>
      </c>
      <c r="J199" s="24" t="n">
        <v>2</v>
      </c>
      <c r="K199" s="24" t="n">
        <v>4</v>
      </c>
      <c r="L199" s="37" t="n">
        <f aca="false">IF(F199="N/A","",IF(COUNT(H199:K199)=0,"",IF(Config!$C$19="Highest dimension",MAX(H199:K199),ROUND(H199*Config!$C$20+I199*Config!$C$21+J199*Config!$C$22+K199*Config!$C$23,1))))</f>
        <v>4</v>
      </c>
      <c r="M199" s="38" t="n">
        <f aca="false">IF(OR(L199="",G199=""),"",G199*L199)</f>
        <v>16</v>
      </c>
      <c r="N199" s="31" t="n">
        <f aca="false">IF(M199="","",MATCH(M199,Config!$E$5:$E$9,1))</f>
        <v>4</v>
      </c>
      <c r="O199" s="7" t="str">
        <f aca="false">IF(F199="N/A","N/A",IF(N199="","Not assessed",INDEX(Config!$B$5:$B$9,N199)))</f>
        <v>Medium-High</v>
      </c>
      <c r="P199" s="32" t="n">
        <v>0</v>
      </c>
      <c r="Q199" s="8"/>
      <c r="R199" s="33"/>
      <c r="S199" s="34" t="n">
        <f aca="false">IF(N199="","",IF(AND(R199="Y",P199&lt;&gt;0),MAX(1,MIN(5,N199+MAX(-Config!$C$27,MIN(Config!$C$27,P199)))),N199))</f>
        <v>4</v>
      </c>
      <c r="T199" s="35" t="str">
        <f aca="false">IF(F199="N/A","N/A",IF(S199="","Not assessed",INDEX(Config!$B$5:$B$9,S199)))</f>
        <v>Medium-High</v>
      </c>
      <c r="U199" s="7" t="str">
        <f aca="false">IF(P199=0,"None",IF(R199="Y","Applied","Pending HO approval"))</f>
        <v>None</v>
      </c>
      <c r="V199" s="8"/>
    </row>
    <row r="200" customFormat="false" ht="15" hidden="false" customHeight="false" outlineLevel="0" collapsed="false">
      <c r="A200" s="26" t="str">
        <f aca="false">Entities!$A$20</f>
        <v>YE</v>
      </c>
      <c r="B200" s="12" t="str">
        <f aca="false">INDEX(Entities!$B$5:$B$34,MATCH(A200,Entities!$A$5:$A$34,0))</f>
        <v>Arab Bank – Yemen</v>
      </c>
      <c r="C200" s="12" t="str">
        <f aca="false">INDEX(Entities!$D$5:$D$34,MATCH(A200,Entities!$A$5:$A$34,0))</f>
        <v>Iraq and Yemen</v>
      </c>
      <c r="D200" s="12" t="s">
        <v>284</v>
      </c>
      <c r="E200" s="12" t="str">
        <f aca="false">INDEX('Risk Taxonomy'!$B$5:$B$24,MATCH(D200,'Risk Taxonomy'!$A$5:$A$24,0))</f>
        <v>Regulatory compliance</v>
      </c>
      <c r="F200" s="7" t="str">
        <f aca="false">IF(D200="RC-04",IF(INDEX(Entities!$G$5:$G$34,MATCH(A200,Entities!$A$5:$A$34,0))="Y","Yes","N/A"),"Yes")</f>
        <v>Yes</v>
      </c>
      <c r="G200" s="24" t="n">
        <v>5</v>
      </c>
      <c r="H200" s="24" t="n">
        <v>4</v>
      </c>
      <c r="I200" s="24" t="n">
        <v>3</v>
      </c>
      <c r="J200" s="24" t="n">
        <v>3</v>
      </c>
      <c r="K200" s="24" t="n">
        <v>3</v>
      </c>
      <c r="L200" s="37" t="n">
        <f aca="false">IF(F200="N/A","",IF(COUNT(H200:K200)=0,"",IF(Config!$C$19="Highest dimension",MAX(H200:K200),ROUND(H200*Config!$C$20+I200*Config!$C$21+J200*Config!$C$22+K200*Config!$C$23,1))))</f>
        <v>4</v>
      </c>
      <c r="M200" s="38" t="n">
        <f aca="false">IF(OR(L200="",G200=""),"",G200*L200)</f>
        <v>20</v>
      </c>
      <c r="N200" s="31" t="n">
        <f aca="false">IF(M200="","",MATCH(M200,Config!$E$5:$E$9,1))</f>
        <v>5</v>
      </c>
      <c r="O200" s="7" t="str">
        <f aca="false">IF(F200="N/A","N/A",IF(N200="","Not assessed",INDEX(Config!$B$5:$B$9,N200)))</f>
        <v>High</v>
      </c>
      <c r="P200" s="32" t="n">
        <v>0</v>
      </c>
      <c r="Q200" s="8"/>
      <c r="R200" s="33"/>
      <c r="S200" s="34" t="n">
        <f aca="false">IF(N200="","",IF(AND(R200="Y",P200&lt;&gt;0),MAX(1,MIN(5,N200+MAX(-Config!$C$27,MIN(Config!$C$27,P200)))),N200))</f>
        <v>5</v>
      </c>
      <c r="T200" s="35" t="str">
        <f aca="false">IF(F200="N/A","N/A",IF(S200="","Not assessed",INDEX(Config!$B$5:$B$9,S200)))</f>
        <v>High</v>
      </c>
      <c r="U200" s="7" t="str">
        <f aca="false">IF(P200=0,"None",IF(R200="Y","Applied","Pending HO approval"))</f>
        <v>None</v>
      </c>
      <c r="V200" s="8"/>
    </row>
    <row r="201" customFormat="false" ht="15" hidden="false" customHeight="false" outlineLevel="0" collapsed="false">
      <c r="A201" s="26" t="str">
        <f aca="false">Entities!$A$20</f>
        <v>YE</v>
      </c>
      <c r="B201" s="12" t="str">
        <f aca="false">INDEX(Entities!$B$5:$B$34,MATCH(A201,Entities!$A$5:$A$34,0))</f>
        <v>Arab Bank – Yemen</v>
      </c>
      <c r="C201" s="12" t="str">
        <f aca="false">INDEX(Entities!$D$5:$D$34,MATCH(A201,Entities!$A$5:$A$34,0))</f>
        <v>Iraq and Yemen</v>
      </c>
      <c r="D201" s="12" t="s">
        <v>288</v>
      </c>
      <c r="E201" s="12" t="str">
        <f aca="false">INDEX('Risk Taxonomy'!$B$5:$B$24,MATCH(D201,'Risk Taxonomy'!$A$5:$A$24,0))</f>
        <v>Conduct and consumer protection</v>
      </c>
      <c r="F201" s="7" t="str">
        <f aca="false">IF(D201="RC-04",IF(INDEX(Entities!$G$5:$G$34,MATCH(A201,Entities!$A$5:$A$34,0))="Y","Yes","N/A"),"Yes")</f>
        <v>Yes</v>
      </c>
      <c r="G201" s="24" t="n">
        <v>3</v>
      </c>
      <c r="H201" s="24" t="n">
        <v>3</v>
      </c>
      <c r="I201" s="24" t="n">
        <v>3</v>
      </c>
      <c r="J201" s="24" t="n">
        <v>4</v>
      </c>
      <c r="K201" s="24" t="n">
        <v>4</v>
      </c>
      <c r="L201" s="37" t="n">
        <f aca="false">IF(F201="N/A","",IF(COUNT(H201:K201)=0,"",IF(Config!$C$19="Highest dimension",MAX(H201:K201),ROUND(H201*Config!$C$20+I201*Config!$C$21+J201*Config!$C$22+K201*Config!$C$23,1))))</f>
        <v>4</v>
      </c>
      <c r="M201" s="38" t="n">
        <f aca="false">IF(OR(L201="",G201=""),"",G201*L201)</f>
        <v>12</v>
      </c>
      <c r="N201" s="31" t="n">
        <f aca="false">IF(M201="","",MATCH(M201,Config!$E$5:$E$9,1))</f>
        <v>3</v>
      </c>
      <c r="O201" s="7" t="str">
        <f aca="false">IF(F201="N/A","N/A",IF(N201="","Not assessed",INDEX(Config!$B$5:$B$9,N201)))</f>
        <v>Medium</v>
      </c>
      <c r="P201" s="32" t="n">
        <v>0</v>
      </c>
      <c r="Q201" s="8"/>
      <c r="R201" s="33"/>
      <c r="S201" s="34" t="n">
        <f aca="false">IF(N201="","",IF(AND(R201="Y",P201&lt;&gt;0),MAX(1,MIN(5,N201+MAX(-Config!$C$27,MIN(Config!$C$27,P201)))),N201))</f>
        <v>3</v>
      </c>
      <c r="T201" s="35" t="str">
        <f aca="false">IF(F201="N/A","N/A",IF(S201="","Not assessed",INDEX(Config!$B$5:$B$9,S201)))</f>
        <v>Medium</v>
      </c>
      <c r="U201" s="7" t="str">
        <f aca="false">IF(P201=0,"None",IF(R201="Y","Applied","Pending HO approval"))</f>
        <v>None</v>
      </c>
      <c r="V201" s="8"/>
    </row>
    <row r="202" customFormat="false" ht="15" hidden="false" customHeight="false" outlineLevel="0" collapsed="false">
      <c r="A202" s="26" t="str">
        <f aca="false">Entities!$A$20</f>
        <v>YE</v>
      </c>
      <c r="B202" s="12" t="str">
        <f aca="false">INDEX(Entities!$B$5:$B$34,MATCH(A202,Entities!$A$5:$A$34,0))</f>
        <v>Arab Bank – Yemen</v>
      </c>
      <c r="C202" s="12" t="str">
        <f aca="false">INDEX(Entities!$D$5:$D$34,MATCH(A202,Entities!$A$5:$A$34,0))</f>
        <v>Iraq and Yemen</v>
      </c>
      <c r="D202" s="12" t="s">
        <v>290</v>
      </c>
      <c r="E202" s="12" t="str">
        <f aca="false">INDEX('Risk Taxonomy'!$B$5:$B$24,MATCH(D202,'Risk Taxonomy'!$A$5:$A$24,0))</f>
        <v>Data protection and privacy</v>
      </c>
      <c r="F202" s="7" t="str">
        <f aca="false">IF(D202="RC-04",IF(INDEX(Entities!$G$5:$G$34,MATCH(A202,Entities!$A$5:$A$34,0))="Y","Yes","N/A"),"Yes")</f>
        <v>Yes</v>
      </c>
      <c r="G202" s="24" t="n">
        <v>3</v>
      </c>
      <c r="H202" s="24" t="n">
        <v>4</v>
      </c>
      <c r="I202" s="24" t="n">
        <v>5</v>
      </c>
      <c r="J202" s="24" t="n">
        <v>3</v>
      </c>
      <c r="K202" s="24" t="n">
        <v>4</v>
      </c>
      <c r="L202" s="37" t="n">
        <f aca="false">IF(F202="N/A","",IF(COUNT(H202:K202)=0,"",IF(Config!$C$19="Highest dimension",MAX(H202:K202),ROUND(H202*Config!$C$20+I202*Config!$C$21+J202*Config!$C$22+K202*Config!$C$23,1))))</f>
        <v>5</v>
      </c>
      <c r="M202" s="38" t="n">
        <f aca="false">IF(OR(L202="",G202=""),"",G202*L202)</f>
        <v>15</v>
      </c>
      <c r="N202" s="31" t="n">
        <f aca="false">IF(M202="","",MATCH(M202,Config!$E$5:$E$9,1))</f>
        <v>4</v>
      </c>
      <c r="O202" s="7" t="str">
        <f aca="false">IF(F202="N/A","N/A",IF(N202="","Not assessed",INDEX(Config!$B$5:$B$9,N202)))</f>
        <v>Medium-High</v>
      </c>
      <c r="P202" s="32" t="n">
        <v>0</v>
      </c>
      <c r="Q202" s="8"/>
      <c r="R202" s="33"/>
      <c r="S202" s="34" t="n">
        <f aca="false">IF(N202="","",IF(AND(R202="Y",P202&lt;&gt;0),MAX(1,MIN(5,N202+MAX(-Config!$C$27,MIN(Config!$C$27,P202)))),N202))</f>
        <v>4</v>
      </c>
      <c r="T202" s="35" t="str">
        <f aca="false">IF(F202="N/A","N/A",IF(S202="","Not assessed",INDEX(Config!$B$5:$B$9,S202)))</f>
        <v>Medium-High</v>
      </c>
      <c r="U202" s="7" t="str">
        <f aca="false">IF(P202=0,"None",IF(R202="Y","Applied","Pending HO approval"))</f>
        <v>None</v>
      </c>
      <c r="V202" s="8"/>
    </row>
    <row r="203" customFormat="false" ht="15" hidden="false" customHeight="false" outlineLevel="0" collapsed="false">
      <c r="A203" s="26" t="str">
        <f aca="false">Entities!$A$20</f>
        <v>YE</v>
      </c>
      <c r="B203" s="12" t="str">
        <f aca="false">INDEX(Entities!$B$5:$B$34,MATCH(A203,Entities!$A$5:$A$34,0))</f>
        <v>Arab Bank – Yemen</v>
      </c>
      <c r="C203" s="12" t="str">
        <f aca="false">INDEX(Entities!$D$5:$D$34,MATCH(A203,Entities!$A$5:$A$34,0))</f>
        <v>Iraq and Yemen</v>
      </c>
      <c r="D203" s="12" t="s">
        <v>293</v>
      </c>
      <c r="E203" s="12" t="str">
        <f aca="false">INDEX('Risk Taxonomy'!$B$5:$B$24,MATCH(D203,'Risk Taxonomy'!$A$5:$A$24,0))</f>
        <v>Shariah non-compliance</v>
      </c>
      <c r="F203" s="7" t="str">
        <f aca="false">IF(D203="RC-04",IF(INDEX(Entities!$G$5:$G$34,MATCH(A203,Entities!$A$5:$A$34,0))="Y","Yes","N/A"),"Yes")</f>
        <v>N/A</v>
      </c>
      <c r="G203" s="24"/>
      <c r="H203" s="24"/>
      <c r="I203" s="24"/>
      <c r="J203" s="24"/>
      <c r="K203" s="24"/>
      <c r="L203" s="37" t="str">
        <f aca="false">IF(F203="N/A","",IF(COUNT(H203:K203)=0,"",IF(Config!$C$19="Highest dimension",MAX(H203:K203),ROUND(H203*Config!$C$20+I203*Config!$C$21+J203*Config!$C$22+K203*Config!$C$23,1))))</f>
        <v/>
      </c>
      <c r="M203" s="38" t="str">
        <f aca="false">IF(OR(L203="",G203=""),"",G203*L203)</f>
        <v/>
      </c>
      <c r="N203" s="31" t="str">
        <f aca="false">IF(M203="","",MATCH(M203,Config!$E$5:$E$9,1))</f>
        <v/>
      </c>
      <c r="O203" s="7" t="str">
        <f aca="false">IF(F203="N/A","N/A",IF(N203="","Not assessed",INDEX(Config!$B$5:$B$9,N203)))</f>
        <v>N/A</v>
      </c>
      <c r="P203" s="32" t="n">
        <v>0</v>
      </c>
      <c r="Q203" s="8"/>
      <c r="R203" s="33"/>
      <c r="S203" s="34" t="str">
        <f aca="false">IF(N203="","",IF(AND(R203="Y",P203&lt;&gt;0),MAX(1,MIN(5,N203+MAX(-Config!$C$27,MIN(Config!$C$27,P203)))),N203))</f>
        <v/>
      </c>
      <c r="T203" s="35" t="str">
        <f aca="false">IF(F203="N/A","N/A",IF(S203="","Not assessed",INDEX(Config!$B$5:$B$9,S203)))</f>
        <v>N/A</v>
      </c>
      <c r="U203" s="7" t="str">
        <f aca="false">IF(P203=0,"None",IF(R203="Y","Applied","Pending HO approval"))</f>
        <v>None</v>
      </c>
      <c r="V203" s="8"/>
    </row>
    <row r="204" customFormat="false" ht="15" hidden="false" customHeight="false" outlineLevel="0" collapsed="false">
      <c r="A204" s="26" t="str">
        <f aca="false">Entities!$A$20</f>
        <v>YE</v>
      </c>
      <c r="B204" s="12" t="str">
        <f aca="false">INDEX(Entities!$B$5:$B$34,MATCH(A204,Entities!$A$5:$A$34,0))</f>
        <v>Arab Bank – Yemen</v>
      </c>
      <c r="C204" s="12" t="str">
        <f aca="false">INDEX(Entities!$D$5:$D$34,MATCH(A204,Entities!$A$5:$A$34,0))</f>
        <v>Iraq and Yemen</v>
      </c>
      <c r="D204" s="12" t="s">
        <v>297</v>
      </c>
      <c r="E204" s="12" t="str">
        <f aca="false">INDEX('Risk Taxonomy'!$B$5:$B$24,MATCH(D204,'Risk Taxonomy'!$A$5:$A$24,0))</f>
        <v>Credit risk</v>
      </c>
      <c r="F204" s="7" t="str">
        <f aca="false">IF(D204="RC-04",IF(INDEX(Entities!$G$5:$G$34,MATCH(A204,Entities!$A$5:$A$34,0))="Y","Yes","N/A"),"Yes")</f>
        <v>Yes</v>
      </c>
      <c r="G204" s="24" t="n">
        <v>5</v>
      </c>
      <c r="H204" s="24" t="n">
        <v>4</v>
      </c>
      <c r="I204" s="24" t="n">
        <v>3</v>
      </c>
      <c r="J204" s="24" t="n">
        <v>5</v>
      </c>
      <c r="K204" s="24" t="n">
        <v>4</v>
      </c>
      <c r="L204" s="37" t="n">
        <f aca="false">IF(F204="N/A","",IF(COUNT(H204:K204)=0,"",IF(Config!$C$19="Highest dimension",MAX(H204:K204),ROUND(H204*Config!$C$20+I204*Config!$C$21+J204*Config!$C$22+K204*Config!$C$23,1))))</f>
        <v>5</v>
      </c>
      <c r="M204" s="38" t="n">
        <f aca="false">IF(OR(L204="",G204=""),"",G204*L204)</f>
        <v>25</v>
      </c>
      <c r="N204" s="31" t="n">
        <f aca="false">IF(M204="","",MATCH(M204,Config!$E$5:$E$9,1))</f>
        <v>5</v>
      </c>
      <c r="O204" s="7" t="str">
        <f aca="false">IF(F204="N/A","N/A",IF(N204="","Not assessed",INDEX(Config!$B$5:$B$9,N204)))</f>
        <v>High</v>
      </c>
      <c r="P204" s="32" t="n">
        <v>0</v>
      </c>
      <c r="Q204" s="8"/>
      <c r="R204" s="33"/>
      <c r="S204" s="34" t="n">
        <f aca="false">IF(N204="","",IF(AND(R204="Y",P204&lt;&gt;0),MAX(1,MIN(5,N204+MAX(-Config!$C$27,MIN(Config!$C$27,P204)))),N204))</f>
        <v>5</v>
      </c>
      <c r="T204" s="35" t="str">
        <f aca="false">IF(F204="N/A","N/A",IF(S204="","Not assessed",INDEX(Config!$B$5:$B$9,S204)))</f>
        <v>High</v>
      </c>
      <c r="U204" s="7" t="str">
        <f aca="false">IF(P204=0,"None",IF(R204="Y","Applied","Pending HO approval"))</f>
        <v>None</v>
      </c>
      <c r="V204" s="8"/>
    </row>
    <row r="205" customFormat="false" ht="15" hidden="false" customHeight="false" outlineLevel="0" collapsed="false">
      <c r="A205" s="26" t="str">
        <f aca="false">Entities!$A$20</f>
        <v>YE</v>
      </c>
      <c r="B205" s="12" t="str">
        <f aca="false">INDEX(Entities!$B$5:$B$34,MATCH(A205,Entities!$A$5:$A$34,0))</f>
        <v>Arab Bank – Yemen</v>
      </c>
      <c r="C205" s="12" t="str">
        <f aca="false">INDEX(Entities!$D$5:$D$34,MATCH(A205,Entities!$A$5:$A$34,0))</f>
        <v>Iraq and Yemen</v>
      </c>
      <c r="D205" s="12" t="s">
        <v>302</v>
      </c>
      <c r="E205" s="12" t="str">
        <f aca="false">INDEX('Risk Taxonomy'!$B$5:$B$24,MATCH(D205,'Risk Taxonomy'!$A$5:$A$24,0))</f>
        <v>Market risk</v>
      </c>
      <c r="F205" s="7" t="str">
        <f aca="false">IF(D205="RC-04",IF(INDEX(Entities!$G$5:$G$34,MATCH(A205,Entities!$A$5:$A$34,0))="Y","Yes","N/A"),"Yes")</f>
        <v>Yes</v>
      </c>
      <c r="G205" s="24" t="n">
        <v>4</v>
      </c>
      <c r="H205" s="24" t="n">
        <v>5</v>
      </c>
      <c r="I205" s="24" t="n">
        <v>4</v>
      </c>
      <c r="J205" s="24" t="n">
        <v>4</v>
      </c>
      <c r="K205" s="24" t="n">
        <v>5</v>
      </c>
      <c r="L205" s="37" t="n">
        <f aca="false">IF(F205="N/A","",IF(COUNT(H205:K205)=0,"",IF(Config!$C$19="Highest dimension",MAX(H205:K205),ROUND(H205*Config!$C$20+I205*Config!$C$21+J205*Config!$C$22+K205*Config!$C$23,1))))</f>
        <v>5</v>
      </c>
      <c r="M205" s="38" t="n">
        <f aca="false">IF(OR(L205="",G205=""),"",G205*L205)</f>
        <v>20</v>
      </c>
      <c r="N205" s="31" t="n">
        <f aca="false">IF(M205="","",MATCH(M205,Config!$E$5:$E$9,1))</f>
        <v>5</v>
      </c>
      <c r="O205" s="7" t="str">
        <f aca="false">IF(F205="N/A","N/A",IF(N205="","Not assessed",INDEX(Config!$B$5:$B$9,N205)))</f>
        <v>High</v>
      </c>
      <c r="P205" s="32" t="n">
        <v>0</v>
      </c>
      <c r="Q205" s="8"/>
      <c r="R205" s="33"/>
      <c r="S205" s="34" t="n">
        <f aca="false">IF(N205="","",IF(AND(R205="Y",P205&lt;&gt;0),MAX(1,MIN(5,N205+MAX(-Config!$C$27,MIN(Config!$C$27,P205)))),N205))</f>
        <v>5</v>
      </c>
      <c r="T205" s="35" t="str">
        <f aca="false">IF(F205="N/A","N/A",IF(S205="","Not assessed",INDEX(Config!$B$5:$B$9,S205)))</f>
        <v>High</v>
      </c>
      <c r="U205" s="7" t="str">
        <f aca="false">IF(P205=0,"None",IF(R205="Y","Applied","Pending HO approval"))</f>
        <v>None</v>
      </c>
      <c r="V205" s="8"/>
    </row>
    <row r="206" customFormat="false" ht="15" hidden="false" customHeight="false" outlineLevel="0" collapsed="false">
      <c r="A206" s="26" t="str">
        <f aca="false">Entities!$A$20</f>
        <v>YE</v>
      </c>
      <c r="B206" s="12" t="str">
        <f aca="false">INDEX(Entities!$B$5:$B$34,MATCH(A206,Entities!$A$5:$A$34,0))</f>
        <v>Arab Bank – Yemen</v>
      </c>
      <c r="C206" s="12" t="str">
        <f aca="false">INDEX(Entities!$D$5:$D$34,MATCH(A206,Entities!$A$5:$A$34,0))</f>
        <v>Iraq and Yemen</v>
      </c>
      <c r="D206" s="12" t="s">
        <v>304</v>
      </c>
      <c r="E206" s="12" t="str">
        <f aca="false">INDEX('Risk Taxonomy'!$B$5:$B$24,MATCH(D206,'Risk Taxonomy'!$A$5:$A$24,0))</f>
        <v>Liquidity and funding risk</v>
      </c>
      <c r="F206" s="7" t="str">
        <f aca="false">IF(D206="RC-04",IF(INDEX(Entities!$G$5:$G$34,MATCH(A206,Entities!$A$5:$A$34,0))="Y","Yes","N/A"),"Yes")</f>
        <v>Yes</v>
      </c>
      <c r="G206" s="24" t="n">
        <v>4</v>
      </c>
      <c r="H206" s="24" t="n">
        <v>5</v>
      </c>
      <c r="I206" s="24" t="n">
        <v>3</v>
      </c>
      <c r="J206" s="24" t="n">
        <v>4</v>
      </c>
      <c r="K206" s="24" t="n">
        <v>5</v>
      </c>
      <c r="L206" s="37" t="n">
        <f aca="false">IF(F206="N/A","",IF(COUNT(H206:K206)=0,"",IF(Config!$C$19="Highest dimension",MAX(H206:K206),ROUND(H206*Config!$C$20+I206*Config!$C$21+J206*Config!$C$22+K206*Config!$C$23,1))))</f>
        <v>5</v>
      </c>
      <c r="M206" s="38" t="n">
        <f aca="false">IF(OR(L206="",G206=""),"",G206*L206)</f>
        <v>20</v>
      </c>
      <c r="N206" s="31" t="n">
        <f aca="false">IF(M206="","",MATCH(M206,Config!$E$5:$E$9,1))</f>
        <v>5</v>
      </c>
      <c r="O206" s="7" t="str">
        <f aca="false">IF(F206="N/A","N/A",IF(N206="","Not assessed",INDEX(Config!$B$5:$B$9,N206)))</f>
        <v>High</v>
      </c>
      <c r="P206" s="32" t="n">
        <v>0</v>
      </c>
      <c r="Q206" s="8"/>
      <c r="R206" s="33"/>
      <c r="S206" s="34" t="n">
        <f aca="false">IF(N206="","",IF(AND(R206="Y",P206&lt;&gt;0),MAX(1,MIN(5,N206+MAX(-Config!$C$27,MIN(Config!$C$27,P206)))),N206))</f>
        <v>5</v>
      </c>
      <c r="T206" s="35" t="str">
        <f aca="false">IF(F206="N/A","N/A",IF(S206="","Not assessed",INDEX(Config!$B$5:$B$9,S206)))</f>
        <v>High</v>
      </c>
      <c r="U206" s="7" t="str">
        <f aca="false">IF(P206=0,"None",IF(R206="Y","Applied","Pending HO approval"))</f>
        <v>None</v>
      </c>
      <c r="V206" s="8"/>
    </row>
    <row r="207" customFormat="false" ht="15" hidden="false" customHeight="false" outlineLevel="0" collapsed="false">
      <c r="A207" s="26" t="str">
        <f aca="false">Entities!$A$20</f>
        <v>YE</v>
      </c>
      <c r="B207" s="12" t="str">
        <f aca="false">INDEX(Entities!$B$5:$B$34,MATCH(A207,Entities!$A$5:$A$34,0))</f>
        <v>Arab Bank – Yemen</v>
      </c>
      <c r="C207" s="12" t="str">
        <f aca="false">INDEX(Entities!$D$5:$D$34,MATCH(A207,Entities!$A$5:$A$34,0))</f>
        <v>Iraq and Yemen</v>
      </c>
      <c r="D207" s="12" t="s">
        <v>307</v>
      </c>
      <c r="E207" s="12" t="str">
        <f aca="false">INDEX('Risk Taxonomy'!$B$5:$B$24,MATCH(D207,'Risk Taxonomy'!$A$5:$A$24,0))</f>
        <v>Operational risk</v>
      </c>
      <c r="F207" s="7" t="str">
        <f aca="false">IF(D207="RC-04",IF(INDEX(Entities!$G$5:$G$34,MATCH(A207,Entities!$A$5:$A$34,0))="Y","Yes","N/A"),"Yes")</f>
        <v>Yes</v>
      </c>
      <c r="G207" s="24" t="n">
        <v>4</v>
      </c>
      <c r="H207" s="24" t="n">
        <v>4</v>
      </c>
      <c r="I207" s="24" t="n">
        <v>2</v>
      </c>
      <c r="J207" s="24" t="n">
        <v>4</v>
      </c>
      <c r="K207" s="24" t="n">
        <v>3</v>
      </c>
      <c r="L207" s="37" t="n">
        <f aca="false">IF(F207="N/A","",IF(COUNT(H207:K207)=0,"",IF(Config!$C$19="Highest dimension",MAX(H207:K207),ROUND(H207*Config!$C$20+I207*Config!$C$21+J207*Config!$C$22+K207*Config!$C$23,1))))</f>
        <v>4</v>
      </c>
      <c r="M207" s="38" t="n">
        <f aca="false">IF(OR(L207="",G207=""),"",G207*L207)</f>
        <v>16</v>
      </c>
      <c r="N207" s="31" t="n">
        <f aca="false">IF(M207="","",MATCH(M207,Config!$E$5:$E$9,1))</f>
        <v>4</v>
      </c>
      <c r="O207" s="7" t="str">
        <f aca="false">IF(F207="N/A","N/A",IF(N207="","Not assessed",INDEX(Config!$B$5:$B$9,N207)))</f>
        <v>Medium-High</v>
      </c>
      <c r="P207" s="32" t="n">
        <v>0</v>
      </c>
      <c r="Q207" s="8"/>
      <c r="R207" s="33"/>
      <c r="S207" s="34" t="n">
        <f aca="false">IF(N207="","",IF(AND(R207="Y",P207&lt;&gt;0),MAX(1,MIN(5,N207+MAX(-Config!$C$27,MIN(Config!$C$27,P207)))),N207))</f>
        <v>4</v>
      </c>
      <c r="T207" s="35" t="str">
        <f aca="false">IF(F207="N/A","N/A",IF(S207="","Not assessed",INDEX(Config!$B$5:$B$9,S207)))</f>
        <v>Medium-High</v>
      </c>
      <c r="U207" s="7" t="str">
        <f aca="false">IF(P207=0,"None",IF(R207="Y","Applied","Pending HO approval"))</f>
        <v>None</v>
      </c>
      <c r="V207" s="8"/>
    </row>
    <row r="208" customFormat="false" ht="15" hidden="false" customHeight="false" outlineLevel="0" collapsed="false">
      <c r="A208" s="26" t="str">
        <f aca="false">Entities!$A$20</f>
        <v>YE</v>
      </c>
      <c r="B208" s="12" t="str">
        <f aca="false">INDEX(Entities!$B$5:$B$34,MATCH(A208,Entities!$A$5:$A$34,0))</f>
        <v>Arab Bank – Yemen</v>
      </c>
      <c r="C208" s="12" t="str">
        <f aca="false">INDEX(Entities!$D$5:$D$34,MATCH(A208,Entities!$A$5:$A$34,0))</f>
        <v>Iraq and Yemen</v>
      </c>
      <c r="D208" s="12" t="s">
        <v>310</v>
      </c>
      <c r="E208" s="12" t="str">
        <f aca="false">INDEX('Risk Taxonomy'!$B$5:$B$24,MATCH(D208,'Risk Taxonomy'!$A$5:$A$24,0))</f>
        <v>Cyber, information security and technology</v>
      </c>
      <c r="F208" s="7" t="str">
        <f aca="false">IF(D208="RC-04",IF(INDEX(Entities!$G$5:$G$34,MATCH(A208,Entities!$A$5:$A$34,0))="Y","Yes","N/A"),"Yes")</f>
        <v>Yes</v>
      </c>
      <c r="G208" s="24" t="n">
        <v>5</v>
      </c>
      <c r="H208" s="24" t="n">
        <v>2</v>
      </c>
      <c r="I208" s="24" t="n">
        <v>2</v>
      </c>
      <c r="J208" s="24" t="n">
        <v>3</v>
      </c>
      <c r="K208" s="24" t="n">
        <v>4</v>
      </c>
      <c r="L208" s="37" t="n">
        <f aca="false">IF(F208="N/A","",IF(COUNT(H208:K208)=0,"",IF(Config!$C$19="Highest dimension",MAX(H208:K208),ROUND(H208*Config!$C$20+I208*Config!$C$21+J208*Config!$C$22+K208*Config!$C$23,1))))</f>
        <v>4</v>
      </c>
      <c r="M208" s="38" t="n">
        <f aca="false">IF(OR(L208="",G208=""),"",G208*L208)</f>
        <v>20</v>
      </c>
      <c r="N208" s="31" t="n">
        <f aca="false">IF(M208="","",MATCH(M208,Config!$E$5:$E$9,1))</f>
        <v>5</v>
      </c>
      <c r="O208" s="7" t="str">
        <f aca="false">IF(F208="N/A","N/A",IF(N208="","Not assessed",INDEX(Config!$B$5:$B$9,N208)))</f>
        <v>High</v>
      </c>
      <c r="P208" s="32" t="n">
        <v>0</v>
      </c>
      <c r="Q208" s="8"/>
      <c r="R208" s="33"/>
      <c r="S208" s="34" t="n">
        <f aca="false">IF(N208="","",IF(AND(R208="Y",P208&lt;&gt;0),MAX(1,MIN(5,N208+MAX(-Config!$C$27,MIN(Config!$C$27,P208)))),N208))</f>
        <v>5</v>
      </c>
      <c r="T208" s="35" t="str">
        <f aca="false">IF(F208="N/A","N/A",IF(S208="","Not assessed",INDEX(Config!$B$5:$B$9,S208)))</f>
        <v>High</v>
      </c>
      <c r="U208" s="7" t="str">
        <f aca="false">IF(P208=0,"None",IF(R208="Y","Applied","Pending HO approval"))</f>
        <v>None</v>
      </c>
      <c r="V208" s="8"/>
    </row>
    <row r="209" customFormat="false" ht="15" hidden="false" customHeight="false" outlineLevel="0" collapsed="false">
      <c r="A209" s="26" t="str">
        <f aca="false">Entities!$A$20</f>
        <v>YE</v>
      </c>
      <c r="B209" s="12" t="str">
        <f aca="false">INDEX(Entities!$B$5:$B$34,MATCH(A209,Entities!$A$5:$A$34,0))</f>
        <v>Arab Bank – Yemen</v>
      </c>
      <c r="C209" s="12" t="str">
        <f aca="false">INDEX(Entities!$D$5:$D$34,MATCH(A209,Entities!$A$5:$A$34,0))</f>
        <v>Iraq and Yemen</v>
      </c>
      <c r="D209" s="12" t="s">
        <v>313</v>
      </c>
      <c r="E209" s="12" t="str">
        <f aca="false">INDEX('Risk Taxonomy'!$B$5:$B$24,MATCH(D209,'Risk Taxonomy'!$A$5:$A$24,0))</f>
        <v>Third-party and outsourcing</v>
      </c>
      <c r="F209" s="7" t="str">
        <f aca="false">IF(D209="RC-04",IF(INDEX(Entities!$G$5:$G$34,MATCH(A209,Entities!$A$5:$A$34,0))="Y","Yes","N/A"),"Yes")</f>
        <v>Yes</v>
      </c>
      <c r="G209" s="24" t="n">
        <v>5</v>
      </c>
      <c r="H209" s="24" t="n">
        <v>4</v>
      </c>
      <c r="I209" s="24" t="n">
        <v>3</v>
      </c>
      <c r="J209" s="24" t="n">
        <v>3</v>
      </c>
      <c r="K209" s="24" t="n">
        <v>3</v>
      </c>
      <c r="L209" s="37" t="n">
        <f aca="false">IF(F209="N/A","",IF(COUNT(H209:K209)=0,"",IF(Config!$C$19="Highest dimension",MAX(H209:K209),ROUND(H209*Config!$C$20+I209*Config!$C$21+J209*Config!$C$22+K209*Config!$C$23,1))))</f>
        <v>4</v>
      </c>
      <c r="M209" s="38" t="n">
        <f aca="false">IF(OR(L209="",G209=""),"",G209*L209)</f>
        <v>20</v>
      </c>
      <c r="N209" s="31" t="n">
        <f aca="false">IF(M209="","",MATCH(M209,Config!$E$5:$E$9,1))</f>
        <v>5</v>
      </c>
      <c r="O209" s="7" t="str">
        <f aca="false">IF(F209="N/A","N/A",IF(N209="","Not assessed",INDEX(Config!$B$5:$B$9,N209)))</f>
        <v>High</v>
      </c>
      <c r="P209" s="32" t="n">
        <v>0</v>
      </c>
      <c r="Q209" s="8"/>
      <c r="R209" s="33"/>
      <c r="S209" s="34" t="n">
        <f aca="false">IF(N209="","",IF(AND(R209="Y",P209&lt;&gt;0),MAX(1,MIN(5,N209+MAX(-Config!$C$27,MIN(Config!$C$27,P209)))),N209))</f>
        <v>5</v>
      </c>
      <c r="T209" s="35" t="str">
        <f aca="false">IF(F209="N/A","N/A",IF(S209="","Not assessed",INDEX(Config!$B$5:$B$9,S209)))</f>
        <v>High</v>
      </c>
      <c r="U209" s="7" t="str">
        <f aca="false">IF(P209=0,"None",IF(R209="Y","Applied","Pending HO approval"))</f>
        <v>None</v>
      </c>
      <c r="V209" s="8"/>
    </row>
    <row r="210" customFormat="false" ht="15" hidden="false" customHeight="false" outlineLevel="0" collapsed="false">
      <c r="A210" s="26" t="str">
        <f aca="false">Entities!$A$20</f>
        <v>YE</v>
      </c>
      <c r="B210" s="12" t="str">
        <f aca="false">INDEX(Entities!$B$5:$B$34,MATCH(A210,Entities!$A$5:$A$34,0))</f>
        <v>Arab Bank – Yemen</v>
      </c>
      <c r="C210" s="12" t="str">
        <f aca="false">INDEX(Entities!$D$5:$D$34,MATCH(A210,Entities!$A$5:$A$34,0))</f>
        <v>Iraq and Yemen</v>
      </c>
      <c r="D210" s="12" t="s">
        <v>316</v>
      </c>
      <c r="E210" s="12" t="str">
        <f aca="false">INDEX('Risk Taxonomy'!$B$5:$B$24,MATCH(D210,'Risk Taxonomy'!$A$5:$A$24,0))</f>
        <v>Legal and litigation</v>
      </c>
      <c r="F210" s="7" t="str">
        <f aca="false">IF(D210="RC-04",IF(INDEX(Entities!$G$5:$G$34,MATCH(A210,Entities!$A$5:$A$34,0))="Y","Yes","N/A"),"Yes")</f>
        <v>Yes</v>
      </c>
      <c r="G210" s="24" t="n">
        <v>4</v>
      </c>
      <c r="H210" s="24" t="n">
        <v>4</v>
      </c>
      <c r="I210" s="24" t="n">
        <v>3</v>
      </c>
      <c r="J210" s="24" t="n">
        <v>3</v>
      </c>
      <c r="K210" s="24" t="n">
        <v>4</v>
      </c>
      <c r="L210" s="37" t="n">
        <f aca="false">IF(F210="N/A","",IF(COUNT(H210:K210)=0,"",IF(Config!$C$19="Highest dimension",MAX(H210:K210),ROUND(H210*Config!$C$20+I210*Config!$C$21+J210*Config!$C$22+K210*Config!$C$23,1))))</f>
        <v>4</v>
      </c>
      <c r="M210" s="38" t="n">
        <f aca="false">IF(OR(L210="",G210=""),"",G210*L210)</f>
        <v>16</v>
      </c>
      <c r="N210" s="31" t="n">
        <f aca="false">IF(M210="","",MATCH(M210,Config!$E$5:$E$9,1))</f>
        <v>4</v>
      </c>
      <c r="O210" s="7" t="str">
        <f aca="false">IF(F210="N/A","N/A",IF(N210="","Not assessed",INDEX(Config!$B$5:$B$9,N210)))</f>
        <v>Medium-High</v>
      </c>
      <c r="P210" s="32" t="n">
        <v>0</v>
      </c>
      <c r="Q210" s="8"/>
      <c r="R210" s="33"/>
      <c r="S210" s="34" t="n">
        <f aca="false">IF(N210="","",IF(AND(R210="Y",P210&lt;&gt;0),MAX(1,MIN(5,N210+MAX(-Config!$C$27,MIN(Config!$C$27,P210)))),N210))</f>
        <v>4</v>
      </c>
      <c r="T210" s="35" t="str">
        <f aca="false">IF(F210="N/A","N/A",IF(S210="","Not assessed",INDEX(Config!$B$5:$B$9,S210)))</f>
        <v>Medium-High</v>
      </c>
      <c r="U210" s="7" t="str">
        <f aca="false">IF(P210=0,"None",IF(R210="Y","Applied","Pending HO approval"))</f>
        <v>None</v>
      </c>
      <c r="V210" s="8"/>
    </row>
    <row r="211" customFormat="false" ht="15" hidden="false" customHeight="false" outlineLevel="0" collapsed="false">
      <c r="A211" s="26" t="str">
        <f aca="false">Entities!$A$20</f>
        <v>YE</v>
      </c>
      <c r="B211" s="12" t="str">
        <f aca="false">INDEX(Entities!$B$5:$B$34,MATCH(A211,Entities!$A$5:$A$34,0))</f>
        <v>Arab Bank – Yemen</v>
      </c>
      <c r="C211" s="12" t="str">
        <f aca="false">INDEX(Entities!$D$5:$D$34,MATCH(A211,Entities!$A$5:$A$34,0))</f>
        <v>Iraq and Yemen</v>
      </c>
      <c r="D211" s="12" t="s">
        <v>319</v>
      </c>
      <c r="E211" s="12" t="str">
        <f aca="false">INDEX('Risk Taxonomy'!$B$5:$B$24,MATCH(D211,'Risk Taxonomy'!$A$5:$A$24,0))</f>
        <v>Reputational</v>
      </c>
      <c r="F211" s="7" t="str">
        <f aca="false">IF(D211="RC-04",IF(INDEX(Entities!$G$5:$G$34,MATCH(A211,Entities!$A$5:$A$34,0))="Y","Yes","N/A"),"Yes")</f>
        <v>Yes</v>
      </c>
      <c r="G211" s="24" t="n">
        <v>3</v>
      </c>
      <c r="H211" s="24" t="n">
        <v>3</v>
      </c>
      <c r="I211" s="24" t="n">
        <v>4</v>
      </c>
      <c r="J211" s="24" t="n">
        <v>3</v>
      </c>
      <c r="K211" s="24" t="n">
        <v>3</v>
      </c>
      <c r="L211" s="37" t="n">
        <f aca="false">IF(F211="N/A","",IF(COUNT(H211:K211)=0,"",IF(Config!$C$19="Highest dimension",MAX(H211:K211),ROUND(H211*Config!$C$20+I211*Config!$C$21+J211*Config!$C$22+K211*Config!$C$23,1))))</f>
        <v>4</v>
      </c>
      <c r="M211" s="38" t="n">
        <f aca="false">IF(OR(L211="",G211=""),"",G211*L211)</f>
        <v>12</v>
      </c>
      <c r="N211" s="31" t="n">
        <f aca="false">IF(M211="","",MATCH(M211,Config!$E$5:$E$9,1))</f>
        <v>3</v>
      </c>
      <c r="O211" s="7" t="str">
        <f aca="false">IF(F211="N/A","N/A",IF(N211="","Not assessed",INDEX(Config!$B$5:$B$9,N211)))</f>
        <v>Medium</v>
      </c>
      <c r="P211" s="32" t="n">
        <v>0</v>
      </c>
      <c r="Q211" s="8"/>
      <c r="R211" s="33"/>
      <c r="S211" s="34" t="n">
        <f aca="false">IF(N211="","",IF(AND(R211="Y",P211&lt;&gt;0),MAX(1,MIN(5,N211+MAX(-Config!$C$27,MIN(Config!$C$27,P211)))),N211))</f>
        <v>3</v>
      </c>
      <c r="T211" s="35" t="str">
        <f aca="false">IF(F211="N/A","N/A",IF(S211="","Not assessed",INDEX(Config!$B$5:$B$9,S211)))</f>
        <v>Medium</v>
      </c>
      <c r="U211" s="7" t="str">
        <f aca="false">IF(P211=0,"None",IF(R211="Y","Applied","Pending HO approval"))</f>
        <v>None</v>
      </c>
      <c r="V211" s="8"/>
    </row>
    <row r="212" customFormat="false" ht="15" hidden="false" customHeight="false" outlineLevel="0" collapsed="false">
      <c r="A212" s="26" t="str">
        <f aca="false">Entities!$A$20</f>
        <v>YE</v>
      </c>
      <c r="B212" s="12" t="str">
        <f aca="false">INDEX(Entities!$B$5:$B$34,MATCH(A212,Entities!$A$5:$A$34,0))</f>
        <v>Arab Bank – Yemen</v>
      </c>
      <c r="C212" s="12" t="str">
        <f aca="false">INDEX(Entities!$D$5:$D$34,MATCH(A212,Entities!$A$5:$A$34,0))</f>
        <v>Iraq and Yemen</v>
      </c>
      <c r="D212" s="12" t="s">
        <v>322</v>
      </c>
      <c r="E212" s="12" t="str">
        <f aca="false">INDEX('Risk Taxonomy'!$B$5:$B$24,MATCH(D212,'Risk Taxonomy'!$A$5:$A$24,0))</f>
        <v>Strategic, business model and ESG</v>
      </c>
      <c r="F212" s="7" t="str">
        <f aca="false">IF(D212="RC-04",IF(INDEX(Entities!$G$5:$G$34,MATCH(A212,Entities!$A$5:$A$34,0))="Y","Yes","N/A"),"Yes")</f>
        <v>Yes</v>
      </c>
      <c r="G212" s="24" t="n">
        <v>4</v>
      </c>
      <c r="H212" s="24" t="n">
        <v>4</v>
      </c>
      <c r="I212" s="24" t="n">
        <v>3</v>
      </c>
      <c r="J212" s="24" t="n">
        <v>4</v>
      </c>
      <c r="K212" s="24" t="n">
        <v>5</v>
      </c>
      <c r="L212" s="37" t="n">
        <f aca="false">IF(F212="N/A","",IF(COUNT(H212:K212)=0,"",IF(Config!$C$19="Highest dimension",MAX(H212:K212),ROUND(H212*Config!$C$20+I212*Config!$C$21+J212*Config!$C$22+K212*Config!$C$23,1))))</f>
        <v>5</v>
      </c>
      <c r="M212" s="38" t="n">
        <f aca="false">IF(OR(L212="",G212=""),"",G212*L212)</f>
        <v>20</v>
      </c>
      <c r="N212" s="31" t="n">
        <f aca="false">IF(M212="","",MATCH(M212,Config!$E$5:$E$9,1))</f>
        <v>5</v>
      </c>
      <c r="O212" s="7" t="str">
        <f aca="false">IF(F212="N/A","N/A",IF(N212="","Not assessed",INDEX(Config!$B$5:$B$9,N212)))</f>
        <v>High</v>
      </c>
      <c r="P212" s="32" t="n">
        <v>0</v>
      </c>
      <c r="Q212" s="8"/>
      <c r="R212" s="33"/>
      <c r="S212" s="34" t="n">
        <f aca="false">IF(N212="","",IF(AND(R212="Y",P212&lt;&gt;0),MAX(1,MIN(5,N212+MAX(-Config!$C$27,MIN(Config!$C$27,P212)))),N212))</f>
        <v>5</v>
      </c>
      <c r="T212" s="35" t="str">
        <f aca="false">IF(F212="N/A","N/A",IF(S212="","Not assessed",INDEX(Config!$B$5:$B$9,S212)))</f>
        <v>High</v>
      </c>
      <c r="U212" s="7" t="str">
        <f aca="false">IF(P212=0,"None",IF(R212="Y","Applied","Pending HO approval"))</f>
        <v>None</v>
      </c>
      <c r="V212" s="8"/>
    </row>
    <row r="213" customFormat="false" ht="15" hidden="false" customHeight="false" outlineLevel="0" collapsed="false">
      <c r="A213" s="26" t="str">
        <f aca="false">Entities!$A$21</f>
        <v>EG</v>
      </c>
      <c r="B213" s="12" t="str">
        <f aca="false">INDEX(Entities!$B$5:$B$34,MATCH(A213,Entities!$A$5:$A$34,0))</f>
        <v>Arab Bank – Egypt</v>
      </c>
      <c r="C213" s="12" t="str">
        <f aca="false">INDEX(Entities!$D$5:$D$34,MATCH(A213,Entities!$A$5:$A$34,0))</f>
        <v>North Africa</v>
      </c>
      <c r="D213" s="12" t="s">
        <v>284</v>
      </c>
      <c r="E213" s="12" t="str">
        <f aca="false">INDEX('Risk Taxonomy'!$B$5:$B$24,MATCH(D213,'Risk Taxonomy'!$A$5:$A$24,0))</f>
        <v>Regulatory compliance</v>
      </c>
      <c r="F213" s="7" t="str">
        <f aca="false">IF(D213="RC-04",IF(INDEX(Entities!$G$5:$G$34,MATCH(A213,Entities!$A$5:$A$34,0))="Y","Yes","N/A"),"Yes")</f>
        <v>Yes</v>
      </c>
      <c r="G213" s="24" t="n">
        <v>2</v>
      </c>
      <c r="H213" s="24" t="n">
        <v>4</v>
      </c>
      <c r="I213" s="24" t="n">
        <v>4</v>
      </c>
      <c r="J213" s="24" t="n">
        <v>2</v>
      </c>
      <c r="K213" s="24" t="n">
        <v>1</v>
      </c>
      <c r="L213" s="37" t="n">
        <f aca="false">IF(F213="N/A","",IF(COUNT(H213:K213)=0,"",IF(Config!$C$19="Highest dimension",MAX(H213:K213),ROUND(H213*Config!$C$20+I213*Config!$C$21+J213*Config!$C$22+K213*Config!$C$23,1))))</f>
        <v>4</v>
      </c>
      <c r="M213" s="38" t="n">
        <f aca="false">IF(OR(L213="",G213=""),"",G213*L213)</f>
        <v>8</v>
      </c>
      <c r="N213" s="31" t="n">
        <f aca="false">IF(M213="","",MATCH(M213,Config!$E$5:$E$9,1))</f>
        <v>2</v>
      </c>
      <c r="O213" s="7" t="str">
        <f aca="false">IF(F213="N/A","N/A",IF(N213="","Not assessed",INDEX(Config!$B$5:$B$9,N213)))</f>
        <v>Medium-Low</v>
      </c>
      <c r="P213" s="32" t="n">
        <v>0</v>
      </c>
      <c r="Q213" s="8"/>
      <c r="R213" s="33"/>
      <c r="S213" s="34" t="n">
        <f aca="false">IF(N213="","",IF(AND(R213="Y",P213&lt;&gt;0),MAX(1,MIN(5,N213+MAX(-Config!$C$27,MIN(Config!$C$27,P213)))),N213))</f>
        <v>2</v>
      </c>
      <c r="T213" s="35" t="str">
        <f aca="false">IF(F213="N/A","N/A",IF(S213="","Not assessed",INDEX(Config!$B$5:$B$9,S213)))</f>
        <v>Medium-Low</v>
      </c>
      <c r="U213" s="7" t="str">
        <f aca="false">IF(P213=0,"None",IF(R213="Y","Applied","Pending HO approval"))</f>
        <v>None</v>
      </c>
      <c r="V213" s="8"/>
    </row>
    <row r="214" customFormat="false" ht="15" hidden="false" customHeight="false" outlineLevel="0" collapsed="false">
      <c r="A214" s="26" t="str">
        <f aca="false">Entities!$A$21</f>
        <v>EG</v>
      </c>
      <c r="B214" s="12" t="str">
        <f aca="false">INDEX(Entities!$B$5:$B$34,MATCH(A214,Entities!$A$5:$A$34,0))</f>
        <v>Arab Bank – Egypt</v>
      </c>
      <c r="C214" s="12" t="str">
        <f aca="false">INDEX(Entities!$D$5:$D$34,MATCH(A214,Entities!$A$5:$A$34,0))</f>
        <v>North Africa</v>
      </c>
      <c r="D214" s="12" t="s">
        <v>288</v>
      </c>
      <c r="E214" s="12" t="str">
        <f aca="false">INDEX('Risk Taxonomy'!$B$5:$B$24,MATCH(D214,'Risk Taxonomy'!$A$5:$A$24,0))</f>
        <v>Conduct and consumer protection</v>
      </c>
      <c r="F214" s="7" t="str">
        <f aca="false">IF(D214="RC-04",IF(INDEX(Entities!$G$5:$G$34,MATCH(A214,Entities!$A$5:$A$34,0))="Y","Yes","N/A"),"Yes")</f>
        <v>Yes</v>
      </c>
      <c r="G214" s="24" t="n">
        <v>3</v>
      </c>
      <c r="H214" s="24" t="n">
        <v>1</v>
      </c>
      <c r="I214" s="24" t="n">
        <v>4</v>
      </c>
      <c r="J214" s="24" t="n">
        <v>2</v>
      </c>
      <c r="K214" s="24" t="n">
        <v>3</v>
      </c>
      <c r="L214" s="37" t="n">
        <f aca="false">IF(F214="N/A","",IF(COUNT(H214:K214)=0,"",IF(Config!$C$19="Highest dimension",MAX(H214:K214),ROUND(H214*Config!$C$20+I214*Config!$C$21+J214*Config!$C$22+K214*Config!$C$23,1))))</f>
        <v>4</v>
      </c>
      <c r="M214" s="38" t="n">
        <f aca="false">IF(OR(L214="",G214=""),"",G214*L214)</f>
        <v>12</v>
      </c>
      <c r="N214" s="31" t="n">
        <f aca="false">IF(M214="","",MATCH(M214,Config!$E$5:$E$9,1))</f>
        <v>3</v>
      </c>
      <c r="O214" s="7" t="str">
        <f aca="false">IF(F214="N/A","N/A",IF(N214="","Not assessed",INDEX(Config!$B$5:$B$9,N214)))</f>
        <v>Medium</v>
      </c>
      <c r="P214" s="32" t="n">
        <v>0</v>
      </c>
      <c r="Q214" s="8"/>
      <c r="R214" s="33"/>
      <c r="S214" s="34" t="n">
        <f aca="false">IF(N214="","",IF(AND(R214="Y",P214&lt;&gt;0),MAX(1,MIN(5,N214+MAX(-Config!$C$27,MIN(Config!$C$27,P214)))),N214))</f>
        <v>3</v>
      </c>
      <c r="T214" s="35" t="str">
        <f aca="false">IF(F214="N/A","N/A",IF(S214="","Not assessed",INDEX(Config!$B$5:$B$9,S214)))</f>
        <v>Medium</v>
      </c>
      <c r="U214" s="7" t="str">
        <f aca="false">IF(P214=0,"None",IF(R214="Y","Applied","Pending HO approval"))</f>
        <v>None</v>
      </c>
      <c r="V214" s="8"/>
    </row>
    <row r="215" customFormat="false" ht="15" hidden="false" customHeight="false" outlineLevel="0" collapsed="false">
      <c r="A215" s="26" t="str">
        <f aca="false">Entities!$A$21</f>
        <v>EG</v>
      </c>
      <c r="B215" s="12" t="str">
        <f aca="false">INDEX(Entities!$B$5:$B$34,MATCH(A215,Entities!$A$5:$A$34,0))</f>
        <v>Arab Bank – Egypt</v>
      </c>
      <c r="C215" s="12" t="str">
        <f aca="false">INDEX(Entities!$D$5:$D$34,MATCH(A215,Entities!$A$5:$A$34,0))</f>
        <v>North Africa</v>
      </c>
      <c r="D215" s="12" t="s">
        <v>290</v>
      </c>
      <c r="E215" s="12" t="str">
        <f aca="false">INDEX('Risk Taxonomy'!$B$5:$B$24,MATCH(D215,'Risk Taxonomy'!$A$5:$A$24,0))</f>
        <v>Data protection and privacy</v>
      </c>
      <c r="F215" s="7" t="str">
        <f aca="false">IF(D215="RC-04",IF(INDEX(Entities!$G$5:$G$34,MATCH(A215,Entities!$A$5:$A$34,0))="Y","Yes","N/A"),"Yes")</f>
        <v>Yes</v>
      </c>
      <c r="G215" s="24" t="n">
        <v>3</v>
      </c>
      <c r="H215" s="24" t="n">
        <v>2</v>
      </c>
      <c r="I215" s="24" t="n">
        <v>2</v>
      </c>
      <c r="J215" s="24" t="n">
        <v>3</v>
      </c>
      <c r="K215" s="24" t="n">
        <v>3</v>
      </c>
      <c r="L215" s="37" t="n">
        <f aca="false">IF(F215="N/A","",IF(COUNT(H215:K215)=0,"",IF(Config!$C$19="Highest dimension",MAX(H215:K215),ROUND(H215*Config!$C$20+I215*Config!$C$21+J215*Config!$C$22+K215*Config!$C$23,1))))</f>
        <v>3</v>
      </c>
      <c r="M215" s="38" t="n">
        <f aca="false">IF(OR(L215="",G215=""),"",G215*L215)</f>
        <v>9</v>
      </c>
      <c r="N215" s="31" t="n">
        <f aca="false">IF(M215="","",MATCH(M215,Config!$E$5:$E$9,1))</f>
        <v>3</v>
      </c>
      <c r="O215" s="7" t="str">
        <f aca="false">IF(F215="N/A","N/A",IF(N215="","Not assessed",INDEX(Config!$B$5:$B$9,N215)))</f>
        <v>Medium</v>
      </c>
      <c r="P215" s="32" t="n">
        <v>0</v>
      </c>
      <c r="Q215" s="8"/>
      <c r="R215" s="33"/>
      <c r="S215" s="34" t="n">
        <f aca="false">IF(N215="","",IF(AND(R215="Y",P215&lt;&gt;0),MAX(1,MIN(5,N215+MAX(-Config!$C$27,MIN(Config!$C$27,P215)))),N215))</f>
        <v>3</v>
      </c>
      <c r="T215" s="35" t="str">
        <f aca="false">IF(F215="N/A","N/A",IF(S215="","Not assessed",INDEX(Config!$B$5:$B$9,S215)))</f>
        <v>Medium</v>
      </c>
      <c r="U215" s="7" t="str">
        <f aca="false">IF(P215=0,"None",IF(R215="Y","Applied","Pending HO approval"))</f>
        <v>None</v>
      </c>
      <c r="V215" s="8"/>
    </row>
    <row r="216" customFormat="false" ht="15" hidden="false" customHeight="false" outlineLevel="0" collapsed="false">
      <c r="A216" s="26" t="str">
        <f aca="false">Entities!$A$21</f>
        <v>EG</v>
      </c>
      <c r="B216" s="12" t="str">
        <f aca="false">INDEX(Entities!$B$5:$B$34,MATCH(A216,Entities!$A$5:$A$34,0))</f>
        <v>Arab Bank – Egypt</v>
      </c>
      <c r="C216" s="12" t="str">
        <f aca="false">INDEX(Entities!$D$5:$D$34,MATCH(A216,Entities!$A$5:$A$34,0))</f>
        <v>North Africa</v>
      </c>
      <c r="D216" s="12" t="s">
        <v>293</v>
      </c>
      <c r="E216" s="12" t="str">
        <f aca="false">INDEX('Risk Taxonomy'!$B$5:$B$24,MATCH(D216,'Risk Taxonomy'!$A$5:$A$24,0))</f>
        <v>Shariah non-compliance</v>
      </c>
      <c r="F216" s="7" t="str">
        <f aca="false">IF(D216="RC-04",IF(INDEX(Entities!$G$5:$G$34,MATCH(A216,Entities!$A$5:$A$34,0))="Y","Yes","N/A"),"Yes")</f>
        <v>N/A</v>
      </c>
      <c r="G216" s="24"/>
      <c r="H216" s="24"/>
      <c r="I216" s="24"/>
      <c r="J216" s="24"/>
      <c r="K216" s="24"/>
      <c r="L216" s="37" t="str">
        <f aca="false">IF(F216="N/A","",IF(COUNT(H216:K216)=0,"",IF(Config!$C$19="Highest dimension",MAX(H216:K216),ROUND(H216*Config!$C$20+I216*Config!$C$21+J216*Config!$C$22+K216*Config!$C$23,1))))</f>
        <v/>
      </c>
      <c r="M216" s="38" t="str">
        <f aca="false">IF(OR(L216="",G216=""),"",G216*L216)</f>
        <v/>
      </c>
      <c r="N216" s="31" t="str">
        <f aca="false">IF(M216="","",MATCH(M216,Config!$E$5:$E$9,1))</f>
        <v/>
      </c>
      <c r="O216" s="7" t="str">
        <f aca="false">IF(F216="N/A","N/A",IF(N216="","Not assessed",INDEX(Config!$B$5:$B$9,N216)))</f>
        <v>N/A</v>
      </c>
      <c r="P216" s="32" t="n">
        <v>0</v>
      </c>
      <c r="Q216" s="8"/>
      <c r="R216" s="33"/>
      <c r="S216" s="34" t="str">
        <f aca="false">IF(N216="","",IF(AND(R216="Y",P216&lt;&gt;0),MAX(1,MIN(5,N216+MAX(-Config!$C$27,MIN(Config!$C$27,P216)))),N216))</f>
        <v/>
      </c>
      <c r="T216" s="35" t="str">
        <f aca="false">IF(F216="N/A","N/A",IF(S216="","Not assessed",INDEX(Config!$B$5:$B$9,S216)))</f>
        <v>N/A</v>
      </c>
      <c r="U216" s="7" t="str">
        <f aca="false">IF(P216=0,"None",IF(R216="Y","Applied","Pending HO approval"))</f>
        <v>None</v>
      </c>
      <c r="V216" s="8"/>
    </row>
    <row r="217" customFormat="false" ht="15" hidden="false" customHeight="false" outlineLevel="0" collapsed="false">
      <c r="A217" s="26" t="str">
        <f aca="false">Entities!$A$21</f>
        <v>EG</v>
      </c>
      <c r="B217" s="12" t="str">
        <f aca="false">INDEX(Entities!$B$5:$B$34,MATCH(A217,Entities!$A$5:$A$34,0))</f>
        <v>Arab Bank – Egypt</v>
      </c>
      <c r="C217" s="12" t="str">
        <f aca="false">INDEX(Entities!$D$5:$D$34,MATCH(A217,Entities!$A$5:$A$34,0))</f>
        <v>North Africa</v>
      </c>
      <c r="D217" s="12" t="s">
        <v>297</v>
      </c>
      <c r="E217" s="12" t="str">
        <f aca="false">INDEX('Risk Taxonomy'!$B$5:$B$24,MATCH(D217,'Risk Taxonomy'!$A$5:$A$24,0))</f>
        <v>Credit risk</v>
      </c>
      <c r="F217" s="7" t="str">
        <f aca="false">IF(D217="RC-04",IF(INDEX(Entities!$G$5:$G$34,MATCH(A217,Entities!$A$5:$A$34,0))="Y","Yes","N/A"),"Yes")</f>
        <v>Yes</v>
      </c>
      <c r="G217" s="24" t="n">
        <v>3</v>
      </c>
      <c r="H217" s="24" t="n">
        <v>3</v>
      </c>
      <c r="I217" s="24" t="n">
        <v>3</v>
      </c>
      <c r="J217" s="24" t="n">
        <v>2</v>
      </c>
      <c r="K217" s="24" t="n">
        <v>4</v>
      </c>
      <c r="L217" s="37" t="n">
        <f aca="false">IF(F217="N/A","",IF(COUNT(H217:K217)=0,"",IF(Config!$C$19="Highest dimension",MAX(H217:K217),ROUND(H217*Config!$C$20+I217*Config!$C$21+J217*Config!$C$22+K217*Config!$C$23,1))))</f>
        <v>4</v>
      </c>
      <c r="M217" s="38" t="n">
        <f aca="false">IF(OR(L217="",G217=""),"",G217*L217)</f>
        <v>12</v>
      </c>
      <c r="N217" s="31" t="n">
        <f aca="false">IF(M217="","",MATCH(M217,Config!$E$5:$E$9,1))</f>
        <v>3</v>
      </c>
      <c r="O217" s="7" t="str">
        <f aca="false">IF(F217="N/A","N/A",IF(N217="","Not assessed",INDEX(Config!$B$5:$B$9,N217)))</f>
        <v>Medium</v>
      </c>
      <c r="P217" s="32" t="n">
        <v>0</v>
      </c>
      <c r="Q217" s="8"/>
      <c r="R217" s="33"/>
      <c r="S217" s="34" t="n">
        <f aca="false">IF(N217="","",IF(AND(R217="Y",P217&lt;&gt;0),MAX(1,MIN(5,N217+MAX(-Config!$C$27,MIN(Config!$C$27,P217)))),N217))</f>
        <v>3</v>
      </c>
      <c r="T217" s="35" t="str">
        <f aca="false">IF(F217="N/A","N/A",IF(S217="","Not assessed",INDEX(Config!$B$5:$B$9,S217)))</f>
        <v>Medium</v>
      </c>
      <c r="U217" s="7" t="str">
        <f aca="false">IF(P217=0,"None",IF(R217="Y","Applied","Pending HO approval"))</f>
        <v>None</v>
      </c>
      <c r="V217" s="8"/>
    </row>
    <row r="218" customFormat="false" ht="15" hidden="false" customHeight="false" outlineLevel="0" collapsed="false">
      <c r="A218" s="26" t="str">
        <f aca="false">Entities!$A$21</f>
        <v>EG</v>
      </c>
      <c r="B218" s="12" t="str">
        <f aca="false">INDEX(Entities!$B$5:$B$34,MATCH(A218,Entities!$A$5:$A$34,0))</f>
        <v>Arab Bank – Egypt</v>
      </c>
      <c r="C218" s="12" t="str">
        <f aca="false">INDEX(Entities!$D$5:$D$34,MATCH(A218,Entities!$A$5:$A$34,0))</f>
        <v>North Africa</v>
      </c>
      <c r="D218" s="12" t="s">
        <v>302</v>
      </c>
      <c r="E218" s="12" t="str">
        <f aca="false">INDEX('Risk Taxonomy'!$B$5:$B$24,MATCH(D218,'Risk Taxonomy'!$A$5:$A$24,0))</f>
        <v>Market risk</v>
      </c>
      <c r="F218" s="7" t="str">
        <f aca="false">IF(D218="RC-04",IF(INDEX(Entities!$G$5:$G$34,MATCH(A218,Entities!$A$5:$A$34,0))="Y","Yes","N/A"),"Yes")</f>
        <v>Yes</v>
      </c>
      <c r="G218" s="24" t="n">
        <v>3</v>
      </c>
      <c r="H218" s="24" t="n">
        <v>3</v>
      </c>
      <c r="I218" s="24" t="n">
        <v>2</v>
      </c>
      <c r="J218" s="24" t="n">
        <v>3</v>
      </c>
      <c r="K218" s="24" t="n">
        <v>3</v>
      </c>
      <c r="L218" s="37" t="n">
        <f aca="false">IF(F218="N/A","",IF(COUNT(H218:K218)=0,"",IF(Config!$C$19="Highest dimension",MAX(H218:K218),ROUND(H218*Config!$C$20+I218*Config!$C$21+J218*Config!$C$22+K218*Config!$C$23,1))))</f>
        <v>3</v>
      </c>
      <c r="M218" s="38" t="n">
        <f aca="false">IF(OR(L218="",G218=""),"",G218*L218)</f>
        <v>9</v>
      </c>
      <c r="N218" s="31" t="n">
        <f aca="false">IF(M218="","",MATCH(M218,Config!$E$5:$E$9,1))</f>
        <v>3</v>
      </c>
      <c r="O218" s="7" t="str">
        <f aca="false">IF(F218="N/A","N/A",IF(N218="","Not assessed",INDEX(Config!$B$5:$B$9,N218)))</f>
        <v>Medium</v>
      </c>
      <c r="P218" s="32" t="n">
        <v>0</v>
      </c>
      <c r="Q218" s="8"/>
      <c r="R218" s="33"/>
      <c r="S218" s="34" t="n">
        <f aca="false">IF(N218="","",IF(AND(R218="Y",P218&lt;&gt;0),MAX(1,MIN(5,N218+MAX(-Config!$C$27,MIN(Config!$C$27,P218)))),N218))</f>
        <v>3</v>
      </c>
      <c r="T218" s="35" t="str">
        <f aca="false">IF(F218="N/A","N/A",IF(S218="","Not assessed",INDEX(Config!$B$5:$B$9,S218)))</f>
        <v>Medium</v>
      </c>
      <c r="U218" s="7" t="str">
        <f aca="false">IF(P218=0,"None",IF(R218="Y","Applied","Pending HO approval"))</f>
        <v>None</v>
      </c>
      <c r="V218" s="8"/>
    </row>
    <row r="219" customFormat="false" ht="15" hidden="false" customHeight="false" outlineLevel="0" collapsed="false">
      <c r="A219" s="26" t="str">
        <f aca="false">Entities!$A$21</f>
        <v>EG</v>
      </c>
      <c r="B219" s="12" t="str">
        <f aca="false">INDEX(Entities!$B$5:$B$34,MATCH(A219,Entities!$A$5:$A$34,0))</f>
        <v>Arab Bank – Egypt</v>
      </c>
      <c r="C219" s="12" t="str">
        <f aca="false">INDEX(Entities!$D$5:$D$34,MATCH(A219,Entities!$A$5:$A$34,0))</f>
        <v>North Africa</v>
      </c>
      <c r="D219" s="12" t="s">
        <v>304</v>
      </c>
      <c r="E219" s="12" t="str">
        <f aca="false">INDEX('Risk Taxonomy'!$B$5:$B$24,MATCH(D219,'Risk Taxonomy'!$A$5:$A$24,0))</f>
        <v>Liquidity and funding risk</v>
      </c>
      <c r="F219" s="7" t="str">
        <f aca="false">IF(D219="RC-04",IF(INDEX(Entities!$G$5:$G$34,MATCH(A219,Entities!$A$5:$A$34,0))="Y","Yes","N/A"),"Yes")</f>
        <v>Yes</v>
      </c>
      <c r="G219" s="24" t="n">
        <v>2</v>
      </c>
      <c r="H219" s="24" t="n">
        <v>2</v>
      </c>
      <c r="I219" s="24" t="n">
        <v>3</v>
      </c>
      <c r="J219" s="24" t="n">
        <v>3</v>
      </c>
      <c r="K219" s="24" t="n">
        <v>3</v>
      </c>
      <c r="L219" s="37" t="n">
        <f aca="false">IF(F219="N/A","",IF(COUNT(H219:K219)=0,"",IF(Config!$C$19="Highest dimension",MAX(H219:K219),ROUND(H219*Config!$C$20+I219*Config!$C$21+J219*Config!$C$22+K219*Config!$C$23,1))))</f>
        <v>3</v>
      </c>
      <c r="M219" s="38" t="n">
        <f aca="false">IF(OR(L219="",G219=""),"",G219*L219)</f>
        <v>6</v>
      </c>
      <c r="N219" s="31" t="n">
        <f aca="false">IF(M219="","",MATCH(M219,Config!$E$5:$E$9,1))</f>
        <v>2</v>
      </c>
      <c r="O219" s="7" t="str">
        <f aca="false">IF(F219="N/A","N/A",IF(N219="","Not assessed",INDEX(Config!$B$5:$B$9,N219)))</f>
        <v>Medium-Low</v>
      </c>
      <c r="P219" s="32" t="n">
        <v>0</v>
      </c>
      <c r="Q219" s="8"/>
      <c r="R219" s="33"/>
      <c r="S219" s="34" t="n">
        <f aca="false">IF(N219="","",IF(AND(R219="Y",P219&lt;&gt;0),MAX(1,MIN(5,N219+MAX(-Config!$C$27,MIN(Config!$C$27,P219)))),N219))</f>
        <v>2</v>
      </c>
      <c r="T219" s="35" t="str">
        <f aca="false">IF(F219="N/A","N/A",IF(S219="","Not assessed",INDEX(Config!$B$5:$B$9,S219)))</f>
        <v>Medium-Low</v>
      </c>
      <c r="U219" s="7" t="str">
        <f aca="false">IF(P219=0,"None",IF(R219="Y","Applied","Pending HO approval"))</f>
        <v>None</v>
      </c>
      <c r="V219" s="8"/>
    </row>
    <row r="220" customFormat="false" ht="15" hidden="false" customHeight="false" outlineLevel="0" collapsed="false">
      <c r="A220" s="26" t="str">
        <f aca="false">Entities!$A$21</f>
        <v>EG</v>
      </c>
      <c r="B220" s="12" t="str">
        <f aca="false">INDEX(Entities!$B$5:$B$34,MATCH(A220,Entities!$A$5:$A$34,0))</f>
        <v>Arab Bank – Egypt</v>
      </c>
      <c r="C220" s="12" t="str">
        <f aca="false">INDEX(Entities!$D$5:$D$34,MATCH(A220,Entities!$A$5:$A$34,0))</f>
        <v>North Africa</v>
      </c>
      <c r="D220" s="12" t="s">
        <v>307</v>
      </c>
      <c r="E220" s="12" t="str">
        <f aca="false">INDEX('Risk Taxonomy'!$B$5:$B$24,MATCH(D220,'Risk Taxonomy'!$A$5:$A$24,0))</f>
        <v>Operational risk</v>
      </c>
      <c r="F220" s="7" t="str">
        <f aca="false">IF(D220="RC-04",IF(INDEX(Entities!$G$5:$G$34,MATCH(A220,Entities!$A$5:$A$34,0))="Y","Yes","N/A"),"Yes")</f>
        <v>Yes</v>
      </c>
      <c r="G220" s="24" t="n">
        <v>3</v>
      </c>
      <c r="H220" s="24" t="n">
        <v>3</v>
      </c>
      <c r="I220" s="24" t="n">
        <v>3</v>
      </c>
      <c r="J220" s="24" t="n">
        <v>3</v>
      </c>
      <c r="K220" s="24" t="n">
        <v>2</v>
      </c>
      <c r="L220" s="37" t="n">
        <f aca="false">IF(F220="N/A","",IF(COUNT(H220:K220)=0,"",IF(Config!$C$19="Highest dimension",MAX(H220:K220),ROUND(H220*Config!$C$20+I220*Config!$C$21+J220*Config!$C$22+K220*Config!$C$23,1))))</f>
        <v>3</v>
      </c>
      <c r="M220" s="38" t="n">
        <f aca="false">IF(OR(L220="",G220=""),"",G220*L220)</f>
        <v>9</v>
      </c>
      <c r="N220" s="31" t="n">
        <f aca="false">IF(M220="","",MATCH(M220,Config!$E$5:$E$9,1))</f>
        <v>3</v>
      </c>
      <c r="O220" s="7" t="str">
        <f aca="false">IF(F220="N/A","N/A",IF(N220="","Not assessed",INDEX(Config!$B$5:$B$9,N220)))</f>
        <v>Medium</v>
      </c>
      <c r="P220" s="32" t="n">
        <v>0</v>
      </c>
      <c r="Q220" s="8"/>
      <c r="R220" s="33"/>
      <c r="S220" s="34" t="n">
        <f aca="false">IF(N220="","",IF(AND(R220="Y",P220&lt;&gt;0),MAX(1,MIN(5,N220+MAX(-Config!$C$27,MIN(Config!$C$27,P220)))),N220))</f>
        <v>3</v>
      </c>
      <c r="T220" s="35" t="str">
        <f aca="false">IF(F220="N/A","N/A",IF(S220="","Not assessed",INDEX(Config!$B$5:$B$9,S220)))</f>
        <v>Medium</v>
      </c>
      <c r="U220" s="7" t="str">
        <f aca="false">IF(P220=0,"None",IF(R220="Y","Applied","Pending HO approval"))</f>
        <v>None</v>
      </c>
      <c r="V220" s="8"/>
    </row>
    <row r="221" customFormat="false" ht="15" hidden="false" customHeight="false" outlineLevel="0" collapsed="false">
      <c r="A221" s="26" t="str">
        <f aca="false">Entities!$A$21</f>
        <v>EG</v>
      </c>
      <c r="B221" s="12" t="str">
        <f aca="false">INDEX(Entities!$B$5:$B$34,MATCH(A221,Entities!$A$5:$A$34,0))</f>
        <v>Arab Bank – Egypt</v>
      </c>
      <c r="C221" s="12" t="str">
        <f aca="false">INDEX(Entities!$D$5:$D$34,MATCH(A221,Entities!$A$5:$A$34,0))</f>
        <v>North Africa</v>
      </c>
      <c r="D221" s="12" t="s">
        <v>310</v>
      </c>
      <c r="E221" s="12" t="str">
        <f aca="false">INDEX('Risk Taxonomy'!$B$5:$B$24,MATCH(D221,'Risk Taxonomy'!$A$5:$A$24,0))</f>
        <v>Cyber, information security and technology</v>
      </c>
      <c r="F221" s="7" t="str">
        <f aca="false">IF(D221="RC-04",IF(INDEX(Entities!$G$5:$G$34,MATCH(A221,Entities!$A$5:$A$34,0))="Y","Yes","N/A"),"Yes")</f>
        <v>Yes</v>
      </c>
      <c r="G221" s="24" t="n">
        <v>3</v>
      </c>
      <c r="H221" s="24" t="n">
        <v>4</v>
      </c>
      <c r="I221" s="24" t="n">
        <v>3</v>
      </c>
      <c r="J221" s="24" t="n">
        <v>3</v>
      </c>
      <c r="K221" s="24" t="n">
        <v>4</v>
      </c>
      <c r="L221" s="37" t="n">
        <f aca="false">IF(F221="N/A","",IF(COUNT(H221:K221)=0,"",IF(Config!$C$19="Highest dimension",MAX(H221:K221),ROUND(H221*Config!$C$20+I221*Config!$C$21+J221*Config!$C$22+K221*Config!$C$23,1))))</f>
        <v>4</v>
      </c>
      <c r="M221" s="38" t="n">
        <f aca="false">IF(OR(L221="",G221=""),"",G221*L221)</f>
        <v>12</v>
      </c>
      <c r="N221" s="31" t="n">
        <f aca="false">IF(M221="","",MATCH(M221,Config!$E$5:$E$9,1))</f>
        <v>3</v>
      </c>
      <c r="O221" s="7" t="str">
        <f aca="false">IF(F221="N/A","N/A",IF(N221="","Not assessed",INDEX(Config!$B$5:$B$9,N221)))</f>
        <v>Medium</v>
      </c>
      <c r="P221" s="32" t="n">
        <v>0</v>
      </c>
      <c r="Q221" s="8"/>
      <c r="R221" s="33"/>
      <c r="S221" s="34" t="n">
        <f aca="false">IF(N221="","",IF(AND(R221="Y",P221&lt;&gt;0),MAX(1,MIN(5,N221+MAX(-Config!$C$27,MIN(Config!$C$27,P221)))),N221))</f>
        <v>3</v>
      </c>
      <c r="T221" s="35" t="str">
        <f aca="false">IF(F221="N/A","N/A",IF(S221="","Not assessed",INDEX(Config!$B$5:$B$9,S221)))</f>
        <v>Medium</v>
      </c>
      <c r="U221" s="7" t="str">
        <f aca="false">IF(P221=0,"None",IF(R221="Y","Applied","Pending HO approval"))</f>
        <v>None</v>
      </c>
      <c r="V221" s="8"/>
    </row>
    <row r="222" customFormat="false" ht="15" hidden="false" customHeight="false" outlineLevel="0" collapsed="false">
      <c r="A222" s="26" t="str">
        <f aca="false">Entities!$A$21</f>
        <v>EG</v>
      </c>
      <c r="B222" s="12" t="str">
        <f aca="false">INDEX(Entities!$B$5:$B$34,MATCH(A222,Entities!$A$5:$A$34,0))</f>
        <v>Arab Bank – Egypt</v>
      </c>
      <c r="C222" s="12" t="str">
        <f aca="false">INDEX(Entities!$D$5:$D$34,MATCH(A222,Entities!$A$5:$A$34,0))</f>
        <v>North Africa</v>
      </c>
      <c r="D222" s="12" t="s">
        <v>313</v>
      </c>
      <c r="E222" s="12" t="str">
        <f aca="false">INDEX('Risk Taxonomy'!$B$5:$B$24,MATCH(D222,'Risk Taxonomy'!$A$5:$A$24,0))</f>
        <v>Third-party and outsourcing</v>
      </c>
      <c r="F222" s="7" t="str">
        <f aca="false">IF(D222="RC-04",IF(INDEX(Entities!$G$5:$G$34,MATCH(A222,Entities!$A$5:$A$34,0))="Y","Yes","N/A"),"Yes")</f>
        <v>Yes</v>
      </c>
      <c r="G222" s="24" t="n">
        <v>2</v>
      </c>
      <c r="H222" s="24" t="n">
        <v>3</v>
      </c>
      <c r="I222" s="24" t="n">
        <v>2</v>
      </c>
      <c r="J222" s="24" t="n">
        <v>3</v>
      </c>
      <c r="K222" s="24" t="n">
        <v>2</v>
      </c>
      <c r="L222" s="37" t="n">
        <f aca="false">IF(F222="N/A","",IF(COUNT(H222:K222)=0,"",IF(Config!$C$19="Highest dimension",MAX(H222:K222),ROUND(H222*Config!$C$20+I222*Config!$C$21+J222*Config!$C$22+K222*Config!$C$23,1))))</f>
        <v>3</v>
      </c>
      <c r="M222" s="38" t="n">
        <f aca="false">IF(OR(L222="",G222=""),"",G222*L222)</f>
        <v>6</v>
      </c>
      <c r="N222" s="31" t="n">
        <f aca="false">IF(M222="","",MATCH(M222,Config!$E$5:$E$9,1))</f>
        <v>2</v>
      </c>
      <c r="O222" s="7" t="str">
        <f aca="false">IF(F222="N/A","N/A",IF(N222="","Not assessed",INDEX(Config!$B$5:$B$9,N222)))</f>
        <v>Medium-Low</v>
      </c>
      <c r="P222" s="32" t="n">
        <v>0</v>
      </c>
      <c r="Q222" s="8"/>
      <c r="R222" s="33"/>
      <c r="S222" s="34" t="n">
        <f aca="false">IF(N222="","",IF(AND(R222="Y",P222&lt;&gt;0),MAX(1,MIN(5,N222+MAX(-Config!$C$27,MIN(Config!$C$27,P222)))),N222))</f>
        <v>2</v>
      </c>
      <c r="T222" s="35" t="str">
        <f aca="false">IF(F222="N/A","N/A",IF(S222="","Not assessed",INDEX(Config!$B$5:$B$9,S222)))</f>
        <v>Medium-Low</v>
      </c>
      <c r="U222" s="7" t="str">
        <f aca="false">IF(P222=0,"None",IF(R222="Y","Applied","Pending HO approval"))</f>
        <v>None</v>
      </c>
      <c r="V222" s="8"/>
    </row>
    <row r="223" customFormat="false" ht="15" hidden="false" customHeight="false" outlineLevel="0" collapsed="false">
      <c r="A223" s="26" t="str">
        <f aca="false">Entities!$A$21</f>
        <v>EG</v>
      </c>
      <c r="B223" s="12" t="str">
        <f aca="false">INDEX(Entities!$B$5:$B$34,MATCH(A223,Entities!$A$5:$A$34,0))</f>
        <v>Arab Bank – Egypt</v>
      </c>
      <c r="C223" s="12" t="str">
        <f aca="false">INDEX(Entities!$D$5:$D$34,MATCH(A223,Entities!$A$5:$A$34,0))</f>
        <v>North Africa</v>
      </c>
      <c r="D223" s="12" t="s">
        <v>316</v>
      </c>
      <c r="E223" s="12" t="str">
        <f aca="false">INDEX('Risk Taxonomy'!$B$5:$B$24,MATCH(D223,'Risk Taxonomy'!$A$5:$A$24,0))</f>
        <v>Legal and litigation</v>
      </c>
      <c r="F223" s="7" t="str">
        <f aca="false">IF(D223="RC-04",IF(INDEX(Entities!$G$5:$G$34,MATCH(A223,Entities!$A$5:$A$34,0))="Y","Yes","N/A"),"Yes")</f>
        <v>Yes</v>
      </c>
      <c r="G223" s="24" t="n">
        <v>2</v>
      </c>
      <c r="H223" s="24" t="n">
        <v>3</v>
      </c>
      <c r="I223" s="24" t="n">
        <v>3</v>
      </c>
      <c r="J223" s="24" t="n">
        <v>2</v>
      </c>
      <c r="K223" s="24" t="n">
        <v>3</v>
      </c>
      <c r="L223" s="37" t="n">
        <f aca="false">IF(F223="N/A","",IF(COUNT(H223:K223)=0,"",IF(Config!$C$19="Highest dimension",MAX(H223:K223),ROUND(H223*Config!$C$20+I223*Config!$C$21+J223*Config!$C$22+K223*Config!$C$23,1))))</f>
        <v>3</v>
      </c>
      <c r="M223" s="38" t="n">
        <f aca="false">IF(OR(L223="",G223=""),"",G223*L223)</f>
        <v>6</v>
      </c>
      <c r="N223" s="31" t="n">
        <f aca="false">IF(M223="","",MATCH(M223,Config!$E$5:$E$9,1))</f>
        <v>2</v>
      </c>
      <c r="O223" s="7" t="str">
        <f aca="false">IF(F223="N/A","N/A",IF(N223="","Not assessed",INDEX(Config!$B$5:$B$9,N223)))</f>
        <v>Medium-Low</v>
      </c>
      <c r="P223" s="32" t="n">
        <v>0</v>
      </c>
      <c r="Q223" s="8"/>
      <c r="R223" s="33"/>
      <c r="S223" s="34" t="n">
        <f aca="false">IF(N223="","",IF(AND(R223="Y",P223&lt;&gt;0),MAX(1,MIN(5,N223+MAX(-Config!$C$27,MIN(Config!$C$27,P223)))),N223))</f>
        <v>2</v>
      </c>
      <c r="T223" s="35" t="str">
        <f aca="false">IF(F223="N/A","N/A",IF(S223="","Not assessed",INDEX(Config!$B$5:$B$9,S223)))</f>
        <v>Medium-Low</v>
      </c>
      <c r="U223" s="7" t="str">
        <f aca="false">IF(P223=0,"None",IF(R223="Y","Applied","Pending HO approval"))</f>
        <v>None</v>
      </c>
      <c r="V223" s="8"/>
    </row>
    <row r="224" customFormat="false" ht="15" hidden="false" customHeight="false" outlineLevel="0" collapsed="false">
      <c r="A224" s="26" t="str">
        <f aca="false">Entities!$A$21</f>
        <v>EG</v>
      </c>
      <c r="B224" s="12" t="str">
        <f aca="false">INDEX(Entities!$B$5:$B$34,MATCH(A224,Entities!$A$5:$A$34,0))</f>
        <v>Arab Bank – Egypt</v>
      </c>
      <c r="C224" s="12" t="str">
        <f aca="false">INDEX(Entities!$D$5:$D$34,MATCH(A224,Entities!$A$5:$A$34,0))</f>
        <v>North Africa</v>
      </c>
      <c r="D224" s="12" t="s">
        <v>319</v>
      </c>
      <c r="E224" s="12" t="str">
        <f aca="false">INDEX('Risk Taxonomy'!$B$5:$B$24,MATCH(D224,'Risk Taxonomy'!$A$5:$A$24,0))</f>
        <v>Reputational</v>
      </c>
      <c r="F224" s="7" t="str">
        <f aca="false">IF(D224="RC-04",IF(INDEX(Entities!$G$5:$G$34,MATCH(A224,Entities!$A$5:$A$34,0))="Y","Yes","N/A"),"Yes")</f>
        <v>Yes</v>
      </c>
      <c r="G224" s="24" t="n">
        <v>3</v>
      </c>
      <c r="H224" s="24" t="n">
        <v>4</v>
      </c>
      <c r="I224" s="24" t="n">
        <v>3</v>
      </c>
      <c r="J224" s="24" t="n">
        <v>2</v>
      </c>
      <c r="K224" s="24" t="n">
        <v>3</v>
      </c>
      <c r="L224" s="37" t="n">
        <f aca="false">IF(F224="N/A","",IF(COUNT(H224:K224)=0,"",IF(Config!$C$19="Highest dimension",MAX(H224:K224),ROUND(H224*Config!$C$20+I224*Config!$C$21+J224*Config!$C$22+K224*Config!$C$23,1))))</f>
        <v>4</v>
      </c>
      <c r="M224" s="38" t="n">
        <f aca="false">IF(OR(L224="",G224=""),"",G224*L224)</f>
        <v>12</v>
      </c>
      <c r="N224" s="31" t="n">
        <f aca="false">IF(M224="","",MATCH(M224,Config!$E$5:$E$9,1))</f>
        <v>3</v>
      </c>
      <c r="O224" s="7" t="str">
        <f aca="false">IF(F224="N/A","N/A",IF(N224="","Not assessed",INDEX(Config!$B$5:$B$9,N224)))</f>
        <v>Medium</v>
      </c>
      <c r="P224" s="32" t="n">
        <v>0</v>
      </c>
      <c r="Q224" s="8"/>
      <c r="R224" s="33"/>
      <c r="S224" s="34" t="n">
        <f aca="false">IF(N224="","",IF(AND(R224="Y",P224&lt;&gt;0),MAX(1,MIN(5,N224+MAX(-Config!$C$27,MIN(Config!$C$27,P224)))),N224))</f>
        <v>3</v>
      </c>
      <c r="T224" s="35" t="str">
        <f aca="false">IF(F224="N/A","N/A",IF(S224="","Not assessed",INDEX(Config!$B$5:$B$9,S224)))</f>
        <v>Medium</v>
      </c>
      <c r="U224" s="7" t="str">
        <f aca="false">IF(P224=0,"None",IF(R224="Y","Applied","Pending HO approval"))</f>
        <v>None</v>
      </c>
      <c r="V224" s="8"/>
    </row>
    <row r="225" customFormat="false" ht="15" hidden="false" customHeight="false" outlineLevel="0" collapsed="false">
      <c r="A225" s="26" t="str">
        <f aca="false">Entities!$A$21</f>
        <v>EG</v>
      </c>
      <c r="B225" s="12" t="str">
        <f aca="false">INDEX(Entities!$B$5:$B$34,MATCH(A225,Entities!$A$5:$A$34,0))</f>
        <v>Arab Bank – Egypt</v>
      </c>
      <c r="C225" s="12" t="str">
        <f aca="false">INDEX(Entities!$D$5:$D$34,MATCH(A225,Entities!$A$5:$A$34,0))</f>
        <v>North Africa</v>
      </c>
      <c r="D225" s="12" t="s">
        <v>322</v>
      </c>
      <c r="E225" s="12" t="str">
        <f aca="false">INDEX('Risk Taxonomy'!$B$5:$B$24,MATCH(D225,'Risk Taxonomy'!$A$5:$A$24,0))</f>
        <v>Strategic, business model and ESG</v>
      </c>
      <c r="F225" s="7" t="str">
        <f aca="false">IF(D225="RC-04",IF(INDEX(Entities!$G$5:$G$34,MATCH(A225,Entities!$A$5:$A$34,0))="Y","Yes","N/A"),"Yes")</f>
        <v>Yes</v>
      </c>
      <c r="G225" s="24" t="n">
        <v>4</v>
      </c>
      <c r="H225" s="24" t="n">
        <v>3</v>
      </c>
      <c r="I225" s="24" t="n">
        <v>2</v>
      </c>
      <c r="J225" s="24" t="n">
        <v>3</v>
      </c>
      <c r="K225" s="24" t="n">
        <v>3</v>
      </c>
      <c r="L225" s="37" t="n">
        <f aca="false">IF(F225="N/A","",IF(COUNT(H225:K225)=0,"",IF(Config!$C$19="Highest dimension",MAX(H225:K225),ROUND(H225*Config!$C$20+I225*Config!$C$21+J225*Config!$C$22+K225*Config!$C$23,1))))</f>
        <v>3</v>
      </c>
      <c r="M225" s="38" t="n">
        <f aca="false">IF(OR(L225="",G225=""),"",G225*L225)</f>
        <v>12</v>
      </c>
      <c r="N225" s="31" t="n">
        <f aca="false">IF(M225="","",MATCH(M225,Config!$E$5:$E$9,1))</f>
        <v>3</v>
      </c>
      <c r="O225" s="7" t="str">
        <f aca="false">IF(F225="N/A","N/A",IF(N225="","Not assessed",INDEX(Config!$B$5:$B$9,N225)))</f>
        <v>Medium</v>
      </c>
      <c r="P225" s="32" t="n">
        <v>0</v>
      </c>
      <c r="Q225" s="8"/>
      <c r="R225" s="33"/>
      <c r="S225" s="34" t="n">
        <f aca="false">IF(N225="","",IF(AND(R225="Y",P225&lt;&gt;0),MAX(1,MIN(5,N225+MAX(-Config!$C$27,MIN(Config!$C$27,P225)))),N225))</f>
        <v>3</v>
      </c>
      <c r="T225" s="35" t="str">
        <f aca="false">IF(F225="N/A","N/A",IF(S225="","Not assessed",INDEX(Config!$B$5:$B$9,S225)))</f>
        <v>Medium</v>
      </c>
      <c r="U225" s="7" t="str">
        <f aca="false">IF(P225=0,"None",IF(R225="Y","Applied","Pending HO approval"))</f>
        <v>None</v>
      </c>
      <c r="V225" s="8"/>
    </row>
    <row r="226" customFormat="false" ht="15" hidden="false" customHeight="false" outlineLevel="0" collapsed="false">
      <c r="A226" s="26" t="str">
        <f aca="false">Entities!$A$22</f>
        <v>DZ</v>
      </c>
      <c r="B226" s="12" t="str">
        <f aca="false">INDEX(Entities!$B$5:$B$34,MATCH(A226,Entities!$A$5:$A$34,0))</f>
        <v>Arab Bank – Algeria</v>
      </c>
      <c r="C226" s="12" t="str">
        <f aca="false">INDEX(Entities!$D$5:$D$34,MATCH(A226,Entities!$A$5:$A$34,0))</f>
        <v>North Africa</v>
      </c>
      <c r="D226" s="12" t="s">
        <v>284</v>
      </c>
      <c r="E226" s="12" t="str">
        <f aca="false">INDEX('Risk Taxonomy'!$B$5:$B$24,MATCH(D226,'Risk Taxonomy'!$A$5:$A$24,0))</f>
        <v>Regulatory compliance</v>
      </c>
      <c r="F226" s="7" t="str">
        <f aca="false">IF(D226="RC-04",IF(INDEX(Entities!$G$5:$G$34,MATCH(A226,Entities!$A$5:$A$34,0))="Y","Yes","N/A"),"Yes")</f>
        <v>Yes</v>
      </c>
      <c r="G226" s="24" t="n">
        <v>3</v>
      </c>
      <c r="H226" s="24" t="n">
        <v>4</v>
      </c>
      <c r="I226" s="24" t="n">
        <v>3</v>
      </c>
      <c r="J226" s="24" t="n">
        <v>3</v>
      </c>
      <c r="K226" s="24" t="n">
        <v>4</v>
      </c>
      <c r="L226" s="37" t="n">
        <f aca="false">IF(F226="N/A","",IF(COUNT(H226:K226)=0,"",IF(Config!$C$19="Highest dimension",MAX(H226:K226),ROUND(H226*Config!$C$20+I226*Config!$C$21+J226*Config!$C$22+K226*Config!$C$23,1))))</f>
        <v>4</v>
      </c>
      <c r="M226" s="38" t="n">
        <f aca="false">IF(OR(L226="",G226=""),"",G226*L226)</f>
        <v>12</v>
      </c>
      <c r="N226" s="31" t="n">
        <f aca="false">IF(M226="","",MATCH(M226,Config!$E$5:$E$9,1))</f>
        <v>3</v>
      </c>
      <c r="O226" s="7" t="str">
        <f aca="false">IF(F226="N/A","N/A",IF(N226="","Not assessed",INDEX(Config!$B$5:$B$9,N226)))</f>
        <v>Medium</v>
      </c>
      <c r="P226" s="32" t="n">
        <v>0</v>
      </c>
      <c r="Q226" s="8"/>
      <c r="R226" s="33"/>
      <c r="S226" s="34" t="n">
        <f aca="false">IF(N226="","",IF(AND(R226="Y",P226&lt;&gt;0),MAX(1,MIN(5,N226+MAX(-Config!$C$27,MIN(Config!$C$27,P226)))),N226))</f>
        <v>3</v>
      </c>
      <c r="T226" s="35" t="str">
        <f aca="false">IF(F226="N/A","N/A",IF(S226="","Not assessed",INDEX(Config!$B$5:$B$9,S226)))</f>
        <v>Medium</v>
      </c>
      <c r="U226" s="7" t="str">
        <f aca="false">IF(P226=0,"None",IF(R226="Y","Applied","Pending HO approval"))</f>
        <v>None</v>
      </c>
      <c r="V226" s="8"/>
    </row>
    <row r="227" customFormat="false" ht="15" hidden="false" customHeight="false" outlineLevel="0" collapsed="false">
      <c r="A227" s="26" t="str">
        <f aca="false">Entities!$A$22</f>
        <v>DZ</v>
      </c>
      <c r="B227" s="12" t="str">
        <f aca="false">INDEX(Entities!$B$5:$B$34,MATCH(A227,Entities!$A$5:$A$34,0))</f>
        <v>Arab Bank – Algeria</v>
      </c>
      <c r="C227" s="12" t="str">
        <f aca="false">INDEX(Entities!$D$5:$D$34,MATCH(A227,Entities!$A$5:$A$34,0))</f>
        <v>North Africa</v>
      </c>
      <c r="D227" s="12" t="s">
        <v>288</v>
      </c>
      <c r="E227" s="12" t="str">
        <f aca="false">INDEX('Risk Taxonomy'!$B$5:$B$24,MATCH(D227,'Risk Taxonomy'!$A$5:$A$24,0))</f>
        <v>Conduct and consumer protection</v>
      </c>
      <c r="F227" s="7" t="str">
        <f aca="false">IF(D227="RC-04",IF(INDEX(Entities!$G$5:$G$34,MATCH(A227,Entities!$A$5:$A$34,0))="Y","Yes","N/A"),"Yes")</f>
        <v>Yes</v>
      </c>
      <c r="G227" s="24" t="n">
        <v>3</v>
      </c>
      <c r="H227" s="24" t="n">
        <v>4</v>
      </c>
      <c r="I227" s="24" t="n">
        <v>2</v>
      </c>
      <c r="J227" s="24" t="n">
        <v>3</v>
      </c>
      <c r="K227" s="24" t="n">
        <v>3</v>
      </c>
      <c r="L227" s="37" t="n">
        <f aca="false">IF(F227="N/A","",IF(COUNT(H227:K227)=0,"",IF(Config!$C$19="Highest dimension",MAX(H227:K227),ROUND(H227*Config!$C$20+I227*Config!$C$21+J227*Config!$C$22+K227*Config!$C$23,1))))</f>
        <v>4</v>
      </c>
      <c r="M227" s="38" t="n">
        <f aca="false">IF(OR(L227="",G227=""),"",G227*L227)</f>
        <v>12</v>
      </c>
      <c r="N227" s="31" t="n">
        <f aca="false">IF(M227="","",MATCH(M227,Config!$E$5:$E$9,1))</f>
        <v>3</v>
      </c>
      <c r="O227" s="7" t="str">
        <f aca="false">IF(F227="N/A","N/A",IF(N227="","Not assessed",INDEX(Config!$B$5:$B$9,N227)))</f>
        <v>Medium</v>
      </c>
      <c r="P227" s="32" t="n">
        <v>0</v>
      </c>
      <c r="Q227" s="8"/>
      <c r="R227" s="33"/>
      <c r="S227" s="34" t="n">
        <f aca="false">IF(N227="","",IF(AND(R227="Y",P227&lt;&gt;0),MAX(1,MIN(5,N227+MAX(-Config!$C$27,MIN(Config!$C$27,P227)))),N227))</f>
        <v>3</v>
      </c>
      <c r="T227" s="35" t="str">
        <f aca="false">IF(F227="N/A","N/A",IF(S227="","Not assessed",INDEX(Config!$B$5:$B$9,S227)))</f>
        <v>Medium</v>
      </c>
      <c r="U227" s="7" t="str">
        <f aca="false">IF(P227=0,"None",IF(R227="Y","Applied","Pending HO approval"))</f>
        <v>None</v>
      </c>
      <c r="V227" s="8"/>
    </row>
    <row r="228" customFormat="false" ht="15" hidden="false" customHeight="false" outlineLevel="0" collapsed="false">
      <c r="A228" s="26" t="str">
        <f aca="false">Entities!$A$22</f>
        <v>DZ</v>
      </c>
      <c r="B228" s="12" t="str">
        <f aca="false">INDEX(Entities!$B$5:$B$34,MATCH(A228,Entities!$A$5:$A$34,0))</f>
        <v>Arab Bank – Algeria</v>
      </c>
      <c r="C228" s="12" t="str">
        <f aca="false">INDEX(Entities!$D$5:$D$34,MATCH(A228,Entities!$A$5:$A$34,0))</f>
        <v>North Africa</v>
      </c>
      <c r="D228" s="12" t="s">
        <v>290</v>
      </c>
      <c r="E228" s="12" t="str">
        <f aca="false">INDEX('Risk Taxonomy'!$B$5:$B$24,MATCH(D228,'Risk Taxonomy'!$A$5:$A$24,0))</f>
        <v>Data protection and privacy</v>
      </c>
      <c r="F228" s="7" t="str">
        <f aca="false">IF(D228="RC-04",IF(INDEX(Entities!$G$5:$G$34,MATCH(A228,Entities!$A$5:$A$34,0))="Y","Yes","N/A"),"Yes")</f>
        <v>Yes</v>
      </c>
      <c r="G228" s="24" t="n">
        <v>3</v>
      </c>
      <c r="H228" s="24" t="n">
        <v>4</v>
      </c>
      <c r="I228" s="24" t="n">
        <v>4</v>
      </c>
      <c r="J228" s="24" t="n">
        <v>3</v>
      </c>
      <c r="K228" s="24" t="n">
        <v>2</v>
      </c>
      <c r="L228" s="37" t="n">
        <f aca="false">IF(F228="N/A","",IF(COUNT(H228:K228)=0,"",IF(Config!$C$19="Highest dimension",MAX(H228:K228),ROUND(H228*Config!$C$20+I228*Config!$C$21+J228*Config!$C$22+K228*Config!$C$23,1))))</f>
        <v>4</v>
      </c>
      <c r="M228" s="38" t="n">
        <f aca="false">IF(OR(L228="",G228=""),"",G228*L228)</f>
        <v>12</v>
      </c>
      <c r="N228" s="31" t="n">
        <f aca="false">IF(M228="","",MATCH(M228,Config!$E$5:$E$9,1))</f>
        <v>3</v>
      </c>
      <c r="O228" s="7" t="str">
        <f aca="false">IF(F228="N/A","N/A",IF(N228="","Not assessed",INDEX(Config!$B$5:$B$9,N228)))</f>
        <v>Medium</v>
      </c>
      <c r="P228" s="32" t="n">
        <v>0</v>
      </c>
      <c r="Q228" s="8"/>
      <c r="R228" s="33"/>
      <c r="S228" s="34" t="n">
        <f aca="false">IF(N228="","",IF(AND(R228="Y",P228&lt;&gt;0),MAX(1,MIN(5,N228+MAX(-Config!$C$27,MIN(Config!$C$27,P228)))),N228))</f>
        <v>3</v>
      </c>
      <c r="T228" s="35" t="str">
        <f aca="false">IF(F228="N/A","N/A",IF(S228="","Not assessed",INDEX(Config!$B$5:$B$9,S228)))</f>
        <v>Medium</v>
      </c>
      <c r="U228" s="7" t="str">
        <f aca="false">IF(P228=0,"None",IF(R228="Y","Applied","Pending HO approval"))</f>
        <v>None</v>
      </c>
      <c r="V228" s="8"/>
    </row>
    <row r="229" customFormat="false" ht="15" hidden="false" customHeight="false" outlineLevel="0" collapsed="false">
      <c r="A229" s="26" t="str">
        <f aca="false">Entities!$A$22</f>
        <v>DZ</v>
      </c>
      <c r="B229" s="12" t="str">
        <f aca="false">INDEX(Entities!$B$5:$B$34,MATCH(A229,Entities!$A$5:$A$34,0))</f>
        <v>Arab Bank – Algeria</v>
      </c>
      <c r="C229" s="12" t="str">
        <f aca="false">INDEX(Entities!$D$5:$D$34,MATCH(A229,Entities!$A$5:$A$34,0))</f>
        <v>North Africa</v>
      </c>
      <c r="D229" s="12" t="s">
        <v>293</v>
      </c>
      <c r="E229" s="12" t="str">
        <f aca="false">INDEX('Risk Taxonomy'!$B$5:$B$24,MATCH(D229,'Risk Taxonomy'!$A$5:$A$24,0))</f>
        <v>Shariah non-compliance</v>
      </c>
      <c r="F229" s="7" t="str">
        <f aca="false">IF(D229="RC-04",IF(INDEX(Entities!$G$5:$G$34,MATCH(A229,Entities!$A$5:$A$34,0))="Y","Yes","N/A"),"Yes")</f>
        <v>N/A</v>
      </c>
      <c r="G229" s="24"/>
      <c r="H229" s="24"/>
      <c r="I229" s="24"/>
      <c r="J229" s="24"/>
      <c r="K229" s="24"/>
      <c r="L229" s="37" t="str">
        <f aca="false">IF(F229="N/A","",IF(COUNT(H229:K229)=0,"",IF(Config!$C$19="Highest dimension",MAX(H229:K229),ROUND(H229*Config!$C$20+I229*Config!$C$21+J229*Config!$C$22+K229*Config!$C$23,1))))</f>
        <v/>
      </c>
      <c r="M229" s="38" t="str">
        <f aca="false">IF(OR(L229="",G229=""),"",G229*L229)</f>
        <v/>
      </c>
      <c r="N229" s="31" t="str">
        <f aca="false">IF(M229="","",MATCH(M229,Config!$E$5:$E$9,1))</f>
        <v/>
      </c>
      <c r="O229" s="7" t="str">
        <f aca="false">IF(F229="N/A","N/A",IF(N229="","Not assessed",INDEX(Config!$B$5:$B$9,N229)))</f>
        <v>N/A</v>
      </c>
      <c r="P229" s="32" t="n">
        <v>0</v>
      </c>
      <c r="Q229" s="8"/>
      <c r="R229" s="33"/>
      <c r="S229" s="34" t="str">
        <f aca="false">IF(N229="","",IF(AND(R229="Y",P229&lt;&gt;0),MAX(1,MIN(5,N229+MAX(-Config!$C$27,MIN(Config!$C$27,P229)))),N229))</f>
        <v/>
      </c>
      <c r="T229" s="35" t="str">
        <f aca="false">IF(F229="N/A","N/A",IF(S229="","Not assessed",INDEX(Config!$B$5:$B$9,S229)))</f>
        <v>N/A</v>
      </c>
      <c r="U229" s="7" t="str">
        <f aca="false">IF(P229=0,"None",IF(R229="Y","Applied","Pending HO approval"))</f>
        <v>None</v>
      </c>
      <c r="V229" s="8"/>
    </row>
    <row r="230" customFormat="false" ht="15" hidden="false" customHeight="false" outlineLevel="0" collapsed="false">
      <c r="A230" s="26" t="str">
        <f aca="false">Entities!$A$22</f>
        <v>DZ</v>
      </c>
      <c r="B230" s="12" t="str">
        <f aca="false">INDEX(Entities!$B$5:$B$34,MATCH(A230,Entities!$A$5:$A$34,0))</f>
        <v>Arab Bank – Algeria</v>
      </c>
      <c r="C230" s="12" t="str">
        <f aca="false">INDEX(Entities!$D$5:$D$34,MATCH(A230,Entities!$A$5:$A$34,0))</f>
        <v>North Africa</v>
      </c>
      <c r="D230" s="12" t="s">
        <v>297</v>
      </c>
      <c r="E230" s="12" t="str">
        <f aca="false">INDEX('Risk Taxonomy'!$B$5:$B$24,MATCH(D230,'Risk Taxonomy'!$A$5:$A$24,0))</f>
        <v>Credit risk</v>
      </c>
      <c r="F230" s="7" t="str">
        <f aca="false">IF(D230="RC-04",IF(INDEX(Entities!$G$5:$G$34,MATCH(A230,Entities!$A$5:$A$34,0))="Y","Yes","N/A"),"Yes")</f>
        <v>Yes</v>
      </c>
      <c r="G230" s="24" t="n">
        <v>3</v>
      </c>
      <c r="H230" s="24" t="n">
        <v>3</v>
      </c>
      <c r="I230" s="24" t="n">
        <v>3</v>
      </c>
      <c r="J230" s="24" t="n">
        <v>2</v>
      </c>
      <c r="K230" s="24" t="n">
        <v>3</v>
      </c>
      <c r="L230" s="37" t="n">
        <f aca="false">IF(F230="N/A","",IF(COUNT(H230:K230)=0,"",IF(Config!$C$19="Highest dimension",MAX(H230:K230),ROUND(H230*Config!$C$20+I230*Config!$C$21+J230*Config!$C$22+K230*Config!$C$23,1))))</f>
        <v>3</v>
      </c>
      <c r="M230" s="38" t="n">
        <f aca="false">IF(OR(L230="",G230=""),"",G230*L230)</f>
        <v>9</v>
      </c>
      <c r="N230" s="31" t="n">
        <f aca="false">IF(M230="","",MATCH(M230,Config!$E$5:$E$9,1))</f>
        <v>3</v>
      </c>
      <c r="O230" s="7" t="str">
        <f aca="false">IF(F230="N/A","N/A",IF(N230="","Not assessed",INDEX(Config!$B$5:$B$9,N230)))</f>
        <v>Medium</v>
      </c>
      <c r="P230" s="32" t="n">
        <v>0</v>
      </c>
      <c r="Q230" s="8"/>
      <c r="R230" s="33"/>
      <c r="S230" s="34" t="n">
        <f aca="false">IF(N230="","",IF(AND(R230="Y",P230&lt;&gt;0),MAX(1,MIN(5,N230+MAX(-Config!$C$27,MIN(Config!$C$27,P230)))),N230))</f>
        <v>3</v>
      </c>
      <c r="T230" s="35" t="str">
        <f aca="false">IF(F230="N/A","N/A",IF(S230="","Not assessed",INDEX(Config!$B$5:$B$9,S230)))</f>
        <v>Medium</v>
      </c>
      <c r="U230" s="7" t="str">
        <f aca="false">IF(P230=0,"None",IF(R230="Y","Applied","Pending HO approval"))</f>
        <v>None</v>
      </c>
      <c r="V230" s="8"/>
    </row>
    <row r="231" customFormat="false" ht="15" hidden="false" customHeight="false" outlineLevel="0" collapsed="false">
      <c r="A231" s="26" t="str">
        <f aca="false">Entities!$A$22</f>
        <v>DZ</v>
      </c>
      <c r="B231" s="12" t="str">
        <f aca="false">INDEX(Entities!$B$5:$B$34,MATCH(A231,Entities!$A$5:$A$34,0))</f>
        <v>Arab Bank – Algeria</v>
      </c>
      <c r="C231" s="12" t="str">
        <f aca="false">INDEX(Entities!$D$5:$D$34,MATCH(A231,Entities!$A$5:$A$34,0))</f>
        <v>North Africa</v>
      </c>
      <c r="D231" s="12" t="s">
        <v>302</v>
      </c>
      <c r="E231" s="12" t="str">
        <f aca="false">INDEX('Risk Taxonomy'!$B$5:$B$24,MATCH(D231,'Risk Taxonomy'!$A$5:$A$24,0))</f>
        <v>Market risk</v>
      </c>
      <c r="F231" s="7" t="str">
        <f aca="false">IF(D231="RC-04",IF(INDEX(Entities!$G$5:$G$34,MATCH(A231,Entities!$A$5:$A$34,0))="Y","Yes","N/A"),"Yes")</f>
        <v>Yes</v>
      </c>
      <c r="G231" s="24" t="n">
        <v>3</v>
      </c>
      <c r="H231" s="24" t="n">
        <v>4</v>
      </c>
      <c r="I231" s="24" t="n">
        <v>3</v>
      </c>
      <c r="J231" s="24" t="n">
        <v>5</v>
      </c>
      <c r="K231" s="24" t="n">
        <v>3</v>
      </c>
      <c r="L231" s="37" t="n">
        <f aca="false">IF(F231="N/A","",IF(COUNT(H231:K231)=0,"",IF(Config!$C$19="Highest dimension",MAX(H231:K231),ROUND(H231*Config!$C$20+I231*Config!$C$21+J231*Config!$C$22+K231*Config!$C$23,1))))</f>
        <v>5</v>
      </c>
      <c r="M231" s="38" t="n">
        <f aca="false">IF(OR(L231="",G231=""),"",G231*L231)</f>
        <v>15</v>
      </c>
      <c r="N231" s="31" t="n">
        <f aca="false">IF(M231="","",MATCH(M231,Config!$E$5:$E$9,1))</f>
        <v>4</v>
      </c>
      <c r="O231" s="7" t="str">
        <f aca="false">IF(F231="N/A","N/A",IF(N231="","Not assessed",INDEX(Config!$B$5:$B$9,N231)))</f>
        <v>Medium-High</v>
      </c>
      <c r="P231" s="32" t="n">
        <v>0</v>
      </c>
      <c r="Q231" s="8"/>
      <c r="R231" s="33"/>
      <c r="S231" s="34" t="n">
        <f aca="false">IF(N231="","",IF(AND(R231="Y",P231&lt;&gt;0),MAX(1,MIN(5,N231+MAX(-Config!$C$27,MIN(Config!$C$27,P231)))),N231))</f>
        <v>4</v>
      </c>
      <c r="T231" s="35" t="str">
        <f aca="false">IF(F231="N/A","N/A",IF(S231="","Not assessed",INDEX(Config!$B$5:$B$9,S231)))</f>
        <v>Medium-High</v>
      </c>
      <c r="U231" s="7" t="str">
        <f aca="false">IF(P231=0,"None",IF(R231="Y","Applied","Pending HO approval"))</f>
        <v>None</v>
      </c>
      <c r="V231" s="8"/>
    </row>
    <row r="232" customFormat="false" ht="15" hidden="false" customHeight="false" outlineLevel="0" collapsed="false">
      <c r="A232" s="26" t="str">
        <f aca="false">Entities!$A$22</f>
        <v>DZ</v>
      </c>
      <c r="B232" s="12" t="str">
        <f aca="false">INDEX(Entities!$B$5:$B$34,MATCH(A232,Entities!$A$5:$A$34,0))</f>
        <v>Arab Bank – Algeria</v>
      </c>
      <c r="C232" s="12" t="str">
        <f aca="false">INDEX(Entities!$D$5:$D$34,MATCH(A232,Entities!$A$5:$A$34,0))</f>
        <v>North Africa</v>
      </c>
      <c r="D232" s="12" t="s">
        <v>304</v>
      </c>
      <c r="E232" s="12" t="str">
        <f aca="false">INDEX('Risk Taxonomy'!$B$5:$B$24,MATCH(D232,'Risk Taxonomy'!$A$5:$A$24,0))</f>
        <v>Liquidity and funding risk</v>
      </c>
      <c r="F232" s="7" t="str">
        <f aca="false">IF(D232="RC-04",IF(INDEX(Entities!$G$5:$G$34,MATCH(A232,Entities!$A$5:$A$34,0))="Y","Yes","N/A"),"Yes")</f>
        <v>Yes</v>
      </c>
      <c r="G232" s="24" t="n">
        <v>4</v>
      </c>
      <c r="H232" s="24" t="n">
        <v>4</v>
      </c>
      <c r="I232" s="24" t="n">
        <v>1</v>
      </c>
      <c r="J232" s="24" t="n">
        <v>3</v>
      </c>
      <c r="K232" s="24" t="n">
        <v>3</v>
      </c>
      <c r="L232" s="37" t="n">
        <f aca="false">IF(F232="N/A","",IF(COUNT(H232:K232)=0,"",IF(Config!$C$19="Highest dimension",MAX(H232:K232),ROUND(H232*Config!$C$20+I232*Config!$C$21+J232*Config!$C$22+K232*Config!$C$23,1))))</f>
        <v>4</v>
      </c>
      <c r="M232" s="38" t="n">
        <f aca="false">IF(OR(L232="",G232=""),"",G232*L232)</f>
        <v>16</v>
      </c>
      <c r="N232" s="31" t="n">
        <f aca="false">IF(M232="","",MATCH(M232,Config!$E$5:$E$9,1))</f>
        <v>4</v>
      </c>
      <c r="O232" s="7" t="str">
        <f aca="false">IF(F232="N/A","N/A",IF(N232="","Not assessed",INDEX(Config!$B$5:$B$9,N232)))</f>
        <v>Medium-High</v>
      </c>
      <c r="P232" s="32" t="n">
        <v>0</v>
      </c>
      <c r="Q232" s="8"/>
      <c r="R232" s="33"/>
      <c r="S232" s="34" t="n">
        <f aca="false">IF(N232="","",IF(AND(R232="Y",P232&lt;&gt;0),MAX(1,MIN(5,N232+MAX(-Config!$C$27,MIN(Config!$C$27,P232)))),N232))</f>
        <v>4</v>
      </c>
      <c r="T232" s="35" t="str">
        <f aca="false">IF(F232="N/A","N/A",IF(S232="","Not assessed",INDEX(Config!$B$5:$B$9,S232)))</f>
        <v>Medium-High</v>
      </c>
      <c r="U232" s="7" t="str">
        <f aca="false">IF(P232=0,"None",IF(R232="Y","Applied","Pending HO approval"))</f>
        <v>None</v>
      </c>
      <c r="V232" s="8"/>
    </row>
    <row r="233" customFormat="false" ht="15" hidden="false" customHeight="false" outlineLevel="0" collapsed="false">
      <c r="A233" s="26" t="str">
        <f aca="false">Entities!$A$22</f>
        <v>DZ</v>
      </c>
      <c r="B233" s="12" t="str">
        <f aca="false">INDEX(Entities!$B$5:$B$34,MATCH(A233,Entities!$A$5:$A$34,0))</f>
        <v>Arab Bank – Algeria</v>
      </c>
      <c r="C233" s="12" t="str">
        <f aca="false">INDEX(Entities!$D$5:$D$34,MATCH(A233,Entities!$A$5:$A$34,0))</f>
        <v>North Africa</v>
      </c>
      <c r="D233" s="12" t="s">
        <v>307</v>
      </c>
      <c r="E233" s="12" t="str">
        <f aca="false">INDEX('Risk Taxonomy'!$B$5:$B$24,MATCH(D233,'Risk Taxonomy'!$A$5:$A$24,0))</f>
        <v>Operational risk</v>
      </c>
      <c r="F233" s="7" t="str">
        <f aca="false">IF(D233="RC-04",IF(INDEX(Entities!$G$5:$G$34,MATCH(A233,Entities!$A$5:$A$34,0))="Y","Yes","N/A"),"Yes")</f>
        <v>Yes</v>
      </c>
      <c r="G233" s="24" t="n">
        <v>3</v>
      </c>
      <c r="H233" s="24" t="n">
        <v>1</v>
      </c>
      <c r="I233" s="24" t="n">
        <v>3</v>
      </c>
      <c r="J233" s="24" t="n">
        <v>3</v>
      </c>
      <c r="K233" s="24" t="n">
        <v>3</v>
      </c>
      <c r="L233" s="37" t="n">
        <f aca="false">IF(F233="N/A","",IF(COUNT(H233:K233)=0,"",IF(Config!$C$19="Highest dimension",MAX(H233:K233),ROUND(H233*Config!$C$20+I233*Config!$C$21+J233*Config!$C$22+K233*Config!$C$23,1))))</f>
        <v>3</v>
      </c>
      <c r="M233" s="38" t="n">
        <f aca="false">IF(OR(L233="",G233=""),"",G233*L233)</f>
        <v>9</v>
      </c>
      <c r="N233" s="31" t="n">
        <f aca="false">IF(M233="","",MATCH(M233,Config!$E$5:$E$9,1))</f>
        <v>3</v>
      </c>
      <c r="O233" s="7" t="str">
        <f aca="false">IF(F233="N/A","N/A",IF(N233="","Not assessed",INDEX(Config!$B$5:$B$9,N233)))</f>
        <v>Medium</v>
      </c>
      <c r="P233" s="32" t="n">
        <v>0</v>
      </c>
      <c r="Q233" s="8"/>
      <c r="R233" s="33"/>
      <c r="S233" s="34" t="n">
        <f aca="false">IF(N233="","",IF(AND(R233="Y",P233&lt;&gt;0),MAX(1,MIN(5,N233+MAX(-Config!$C$27,MIN(Config!$C$27,P233)))),N233))</f>
        <v>3</v>
      </c>
      <c r="T233" s="35" t="str">
        <f aca="false">IF(F233="N/A","N/A",IF(S233="","Not assessed",INDEX(Config!$B$5:$B$9,S233)))</f>
        <v>Medium</v>
      </c>
      <c r="U233" s="7" t="str">
        <f aca="false">IF(P233=0,"None",IF(R233="Y","Applied","Pending HO approval"))</f>
        <v>None</v>
      </c>
      <c r="V233" s="8"/>
    </row>
    <row r="234" customFormat="false" ht="15" hidden="false" customHeight="false" outlineLevel="0" collapsed="false">
      <c r="A234" s="26" t="str">
        <f aca="false">Entities!$A$22</f>
        <v>DZ</v>
      </c>
      <c r="B234" s="12" t="str">
        <f aca="false">INDEX(Entities!$B$5:$B$34,MATCH(A234,Entities!$A$5:$A$34,0))</f>
        <v>Arab Bank – Algeria</v>
      </c>
      <c r="C234" s="12" t="str">
        <f aca="false">INDEX(Entities!$D$5:$D$34,MATCH(A234,Entities!$A$5:$A$34,0))</f>
        <v>North Africa</v>
      </c>
      <c r="D234" s="12" t="s">
        <v>310</v>
      </c>
      <c r="E234" s="12" t="str">
        <f aca="false">INDEX('Risk Taxonomy'!$B$5:$B$24,MATCH(D234,'Risk Taxonomy'!$A$5:$A$24,0))</f>
        <v>Cyber, information security and technology</v>
      </c>
      <c r="F234" s="7" t="str">
        <f aca="false">IF(D234="RC-04",IF(INDEX(Entities!$G$5:$G$34,MATCH(A234,Entities!$A$5:$A$34,0))="Y","Yes","N/A"),"Yes")</f>
        <v>Yes</v>
      </c>
      <c r="G234" s="24" t="n">
        <v>4</v>
      </c>
      <c r="H234" s="24" t="n">
        <v>4</v>
      </c>
      <c r="I234" s="24" t="n">
        <v>3</v>
      </c>
      <c r="J234" s="24" t="n">
        <v>1</v>
      </c>
      <c r="K234" s="24" t="n">
        <v>2</v>
      </c>
      <c r="L234" s="37" t="n">
        <f aca="false">IF(F234="N/A","",IF(COUNT(H234:K234)=0,"",IF(Config!$C$19="Highest dimension",MAX(H234:K234),ROUND(H234*Config!$C$20+I234*Config!$C$21+J234*Config!$C$22+K234*Config!$C$23,1))))</f>
        <v>4</v>
      </c>
      <c r="M234" s="38" t="n">
        <f aca="false">IF(OR(L234="",G234=""),"",G234*L234)</f>
        <v>16</v>
      </c>
      <c r="N234" s="31" t="n">
        <f aca="false">IF(M234="","",MATCH(M234,Config!$E$5:$E$9,1))</f>
        <v>4</v>
      </c>
      <c r="O234" s="7" t="str">
        <f aca="false">IF(F234="N/A","N/A",IF(N234="","Not assessed",INDEX(Config!$B$5:$B$9,N234)))</f>
        <v>Medium-High</v>
      </c>
      <c r="P234" s="32" t="n">
        <v>0</v>
      </c>
      <c r="Q234" s="8"/>
      <c r="R234" s="33"/>
      <c r="S234" s="34" t="n">
        <f aca="false">IF(N234="","",IF(AND(R234="Y",P234&lt;&gt;0),MAX(1,MIN(5,N234+MAX(-Config!$C$27,MIN(Config!$C$27,P234)))),N234))</f>
        <v>4</v>
      </c>
      <c r="T234" s="35" t="str">
        <f aca="false">IF(F234="N/A","N/A",IF(S234="","Not assessed",INDEX(Config!$B$5:$B$9,S234)))</f>
        <v>Medium-High</v>
      </c>
      <c r="U234" s="7" t="str">
        <f aca="false">IF(P234=0,"None",IF(R234="Y","Applied","Pending HO approval"))</f>
        <v>None</v>
      </c>
      <c r="V234" s="8"/>
    </row>
    <row r="235" customFormat="false" ht="15" hidden="false" customHeight="false" outlineLevel="0" collapsed="false">
      <c r="A235" s="26" t="str">
        <f aca="false">Entities!$A$22</f>
        <v>DZ</v>
      </c>
      <c r="B235" s="12" t="str">
        <f aca="false">INDEX(Entities!$B$5:$B$34,MATCH(A235,Entities!$A$5:$A$34,0))</f>
        <v>Arab Bank – Algeria</v>
      </c>
      <c r="C235" s="12" t="str">
        <f aca="false">INDEX(Entities!$D$5:$D$34,MATCH(A235,Entities!$A$5:$A$34,0))</f>
        <v>North Africa</v>
      </c>
      <c r="D235" s="12" t="s">
        <v>313</v>
      </c>
      <c r="E235" s="12" t="str">
        <f aca="false">INDEX('Risk Taxonomy'!$B$5:$B$24,MATCH(D235,'Risk Taxonomy'!$A$5:$A$24,0))</f>
        <v>Third-party and outsourcing</v>
      </c>
      <c r="F235" s="7" t="str">
        <f aca="false">IF(D235="RC-04",IF(INDEX(Entities!$G$5:$G$34,MATCH(A235,Entities!$A$5:$A$34,0))="Y","Yes","N/A"),"Yes")</f>
        <v>Yes</v>
      </c>
      <c r="G235" s="24" t="n">
        <v>4</v>
      </c>
      <c r="H235" s="24" t="n">
        <v>3</v>
      </c>
      <c r="I235" s="24" t="n">
        <v>3</v>
      </c>
      <c r="J235" s="24" t="n">
        <v>2</v>
      </c>
      <c r="K235" s="24" t="n">
        <v>3</v>
      </c>
      <c r="L235" s="37" t="n">
        <f aca="false">IF(F235="N/A","",IF(COUNT(H235:K235)=0,"",IF(Config!$C$19="Highest dimension",MAX(H235:K235),ROUND(H235*Config!$C$20+I235*Config!$C$21+J235*Config!$C$22+K235*Config!$C$23,1))))</f>
        <v>3</v>
      </c>
      <c r="M235" s="38" t="n">
        <f aca="false">IF(OR(L235="",G235=""),"",G235*L235)</f>
        <v>12</v>
      </c>
      <c r="N235" s="31" t="n">
        <f aca="false">IF(M235="","",MATCH(M235,Config!$E$5:$E$9,1))</f>
        <v>3</v>
      </c>
      <c r="O235" s="7" t="str">
        <f aca="false">IF(F235="N/A","N/A",IF(N235="","Not assessed",INDEX(Config!$B$5:$B$9,N235)))</f>
        <v>Medium</v>
      </c>
      <c r="P235" s="32" t="n">
        <v>0</v>
      </c>
      <c r="Q235" s="8"/>
      <c r="R235" s="33"/>
      <c r="S235" s="34" t="n">
        <f aca="false">IF(N235="","",IF(AND(R235="Y",P235&lt;&gt;0),MAX(1,MIN(5,N235+MAX(-Config!$C$27,MIN(Config!$C$27,P235)))),N235))</f>
        <v>3</v>
      </c>
      <c r="T235" s="35" t="str">
        <f aca="false">IF(F235="N/A","N/A",IF(S235="","Not assessed",INDEX(Config!$B$5:$B$9,S235)))</f>
        <v>Medium</v>
      </c>
      <c r="U235" s="7" t="str">
        <f aca="false">IF(P235=0,"None",IF(R235="Y","Applied","Pending HO approval"))</f>
        <v>None</v>
      </c>
      <c r="V235" s="8"/>
    </row>
    <row r="236" customFormat="false" ht="15" hidden="false" customHeight="false" outlineLevel="0" collapsed="false">
      <c r="A236" s="26" t="str">
        <f aca="false">Entities!$A$22</f>
        <v>DZ</v>
      </c>
      <c r="B236" s="12" t="str">
        <f aca="false">INDEX(Entities!$B$5:$B$34,MATCH(A236,Entities!$A$5:$A$34,0))</f>
        <v>Arab Bank – Algeria</v>
      </c>
      <c r="C236" s="12" t="str">
        <f aca="false">INDEX(Entities!$D$5:$D$34,MATCH(A236,Entities!$A$5:$A$34,0))</f>
        <v>North Africa</v>
      </c>
      <c r="D236" s="12" t="s">
        <v>316</v>
      </c>
      <c r="E236" s="12" t="str">
        <f aca="false">INDEX('Risk Taxonomy'!$B$5:$B$24,MATCH(D236,'Risk Taxonomy'!$A$5:$A$24,0))</f>
        <v>Legal and litigation</v>
      </c>
      <c r="F236" s="7" t="str">
        <f aca="false">IF(D236="RC-04",IF(INDEX(Entities!$G$5:$G$34,MATCH(A236,Entities!$A$5:$A$34,0))="Y","Yes","N/A"),"Yes")</f>
        <v>Yes</v>
      </c>
      <c r="G236" s="24" t="n">
        <v>3</v>
      </c>
      <c r="H236" s="24" t="n">
        <v>3</v>
      </c>
      <c r="I236" s="24" t="n">
        <v>3</v>
      </c>
      <c r="J236" s="24" t="n">
        <v>5</v>
      </c>
      <c r="K236" s="24" t="n">
        <v>4</v>
      </c>
      <c r="L236" s="37" t="n">
        <f aca="false">IF(F236="N/A","",IF(COUNT(H236:K236)=0,"",IF(Config!$C$19="Highest dimension",MAX(H236:K236),ROUND(H236*Config!$C$20+I236*Config!$C$21+J236*Config!$C$22+K236*Config!$C$23,1))))</f>
        <v>5</v>
      </c>
      <c r="M236" s="38" t="n">
        <f aca="false">IF(OR(L236="",G236=""),"",G236*L236)</f>
        <v>15</v>
      </c>
      <c r="N236" s="31" t="n">
        <f aca="false">IF(M236="","",MATCH(M236,Config!$E$5:$E$9,1))</f>
        <v>4</v>
      </c>
      <c r="O236" s="7" t="str">
        <f aca="false">IF(F236="N/A","N/A",IF(N236="","Not assessed",INDEX(Config!$B$5:$B$9,N236)))</f>
        <v>Medium-High</v>
      </c>
      <c r="P236" s="32" t="n">
        <v>0</v>
      </c>
      <c r="Q236" s="8"/>
      <c r="R236" s="33"/>
      <c r="S236" s="34" t="n">
        <f aca="false">IF(N236="","",IF(AND(R236="Y",P236&lt;&gt;0),MAX(1,MIN(5,N236+MAX(-Config!$C$27,MIN(Config!$C$27,P236)))),N236))</f>
        <v>4</v>
      </c>
      <c r="T236" s="35" t="str">
        <f aca="false">IF(F236="N/A","N/A",IF(S236="","Not assessed",INDEX(Config!$B$5:$B$9,S236)))</f>
        <v>Medium-High</v>
      </c>
      <c r="U236" s="7" t="str">
        <f aca="false">IF(P236=0,"None",IF(R236="Y","Applied","Pending HO approval"))</f>
        <v>None</v>
      </c>
      <c r="V236" s="8"/>
    </row>
    <row r="237" customFormat="false" ht="15" hidden="false" customHeight="false" outlineLevel="0" collapsed="false">
      <c r="A237" s="26" t="str">
        <f aca="false">Entities!$A$22</f>
        <v>DZ</v>
      </c>
      <c r="B237" s="12" t="str">
        <f aca="false">INDEX(Entities!$B$5:$B$34,MATCH(A237,Entities!$A$5:$A$34,0))</f>
        <v>Arab Bank – Algeria</v>
      </c>
      <c r="C237" s="12" t="str">
        <f aca="false">INDEX(Entities!$D$5:$D$34,MATCH(A237,Entities!$A$5:$A$34,0))</f>
        <v>North Africa</v>
      </c>
      <c r="D237" s="12" t="s">
        <v>319</v>
      </c>
      <c r="E237" s="12" t="str">
        <f aca="false">INDEX('Risk Taxonomy'!$B$5:$B$24,MATCH(D237,'Risk Taxonomy'!$A$5:$A$24,0))</f>
        <v>Reputational</v>
      </c>
      <c r="F237" s="7" t="str">
        <f aca="false">IF(D237="RC-04",IF(INDEX(Entities!$G$5:$G$34,MATCH(A237,Entities!$A$5:$A$34,0))="Y","Yes","N/A"),"Yes")</f>
        <v>Yes</v>
      </c>
      <c r="G237" s="24" t="n">
        <v>3</v>
      </c>
      <c r="H237" s="24" t="n">
        <v>3</v>
      </c>
      <c r="I237" s="24" t="n">
        <v>3</v>
      </c>
      <c r="J237" s="24" t="n">
        <v>3</v>
      </c>
      <c r="K237" s="24" t="n">
        <v>4</v>
      </c>
      <c r="L237" s="37" t="n">
        <f aca="false">IF(F237="N/A","",IF(COUNT(H237:K237)=0,"",IF(Config!$C$19="Highest dimension",MAX(H237:K237),ROUND(H237*Config!$C$20+I237*Config!$C$21+J237*Config!$C$22+K237*Config!$C$23,1))))</f>
        <v>4</v>
      </c>
      <c r="M237" s="38" t="n">
        <f aca="false">IF(OR(L237="",G237=""),"",G237*L237)</f>
        <v>12</v>
      </c>
      <c r="N237" s="31" t="n">
        <f aca="false">IF(M237="","",MATCH(M237,Config!$E$5:$E$9,1))</f>
        <v>3</v>
      </c>
      <c r="O237" s="7" t="str">
        <f aca="false">IF(F237="N/A","N/A",IF(N237="","Not assessed",INDEX(Config!$B$5:$B$9,N237)))</f>
        <v>Medium</v>
      </c>
      <c r="P237" s="32" t="n">
        <v>0</v>
      </c>
      <c r="Q237" s="8"/>
      <c r="R237" s="33"/>
      <c r="S237" s="34" t="n">
        <f aca="false">IF(N237="","",IF(AND(R237="Y",P237&lt;&gt;0),MAX(1,MIN(5,N237+MAX(-Config!$C$27,MIN(Config!$C$27,P237)))),N237))</f>
        <v>3</v>
      </c>
      <c r="T237" s="35" t="str">
        <f aca="false">IF(F237="N/A","N/A",IF(S237="","Not assessed",INDEX(Config!$B$5:$B$9,S237)))</f>
        <v>Medium</v>
      </c>
      <c r="U237" s="7" t="str">
        <f aca="false">IF(P237=0,"None",IF(R237="Y","Applied","Pending HO approval"))</f>
        <v>None</v>
      </c>
      <c r="V237" s="8"/>
    </row>
    <row r="238" customFormat="false" ht="15" hidden="false" customHeight="false" outlineLevel="0" collapsed="false">
      <c r="A238" s="26" t="str">
        <f aca="false">Entities!$A$22</f>
        <v>DZ</v>
      </c>
      <c r="B238" s="12" t="str">
        <f aca="false">INDEX(Entities!$B$5:$B$34,MATCH(A238,Entities!$A$5:$A$34,0))</f>
        <v>Arab Bank – Algeria</v>
      </c>
      <c r="C238" s="12" t="str">
        <f aca="false">INDEX(Entities!$D$5:$D$34,MATCH(A238,Entities!$A$5:$A$34,0))</f>
        <v>North Africa</v>
      </c>
      <c r="D238" s="12" t="s">
        <v>322</v>
      </c>
      <c r="E238" s="12" t="str">
        <f aca="false">INDEX('Risk Taxonomy'!$B$5:$B$24,MATCH(D238,'Risk Taxonomy'!$A$5:$A$24,0))</f>
        <v>Strategic, business model and ESG</v>
      </c>
      <c r="F238" s="7" t="str">
        <f aca="false">IF(D238="RC-04",IF(INDEX(Entities!$G$5:$G$34,MATCH(A238,Entities!$A$5:$A$34,0))="Y","Yes","N/A"),"Yes")</f>
        <v>Yes</v>
      </c>
      <c r="G238" s="24" t="n">
        <v>3</v>
      </c>
      <c r="H238" s="24" t="n">
        <v>3</v>
      </c>
      <c r="I238" s="24" t="n">
        <v>3</v>
      </c>
      <c r="J238" s="24" t="n">
        <v>3</v>
      </c>
      <c r="K238" s="24" t="n">
        <v>4</v>
      </c>
      <c r="L238" s="37" t="n">
        <f aca="false">IF(F238="N/A","",IF(COUNT(H238:K238)=0,"",IF(Config!$C$19="Highest dimension",MAX(H238:K238),ROUND(H238*Config!$C$20+I238*Config!$C$21+J238*Config!$C$22+K238*Config!$C$23,1))))</f>
        <v>4</v>
      </c>
      <c r="M238" s="38" t="n">
        <f aca="false">IF(OR(L238="",G238=""),"",G238*L238)</f>
        <v>12</v>
      </c>
      <c r="N238" s="31" t="n">
        <f aca="false">IF(M238="","",MATCH(M238,Config!$E$5:$E$9,1))</f>
        <v>3</v>
      </c>
      <c r="O238" s="7" t="str">
        <f aca="false">IF(F238="N/A","N/A",IF(N238="","Not assessed",INDEX(Config!$B$5:$B$9,N238)))</f>
        <v>Medium</v>
      </c>
      <c r="P238" s="32" t="n">
        <v>0</v>
      </c>
      <c r="Q238" s="8"/>
      <c r="R238" s="33"/>
      <c r="S238" s="34" t="n">
        <f aca="false">IF(N238="","",IF(AND(R238="Y",P238&lt;&gt;0),MAX(1,MIN(5,N238+MAX(-Config!$C$27,MIN(Config!$C$27,P238)))),N238))</f>
        <v>3</v>
      </c>
      <c r="T238" s="35" t="str">
        <f aca="false">IF(F238="N/A","N/A",IF(S238="","Not assessed",INDEX(Config!$B$5:$B$9,S238)))</f>
        <v>Medium</v>
      </c>
      <c r="U238" s="7" t="str">
        <f aca="false">IF(P238=0,"None",IF(R238="Y","Applied","Pending HO approval"))</f>
        <v>None</v>
      </c>
      <c r="V238" s="8"/>
    </row>
    <row r="239" customFormat="false" ht="15" hidden="false" customHeight="false" outlineLevel="0" collapsed="false">
      <c r="A239" s="26" t="str">
        <f aca="false">Entities!$A$23</f>
        <v>MA</v>
      </c>
      <c r="B239" s="12" t="str">
        <f aca="false">INDEX(Entities!$B$5:$B$34,MATCH(A239,Entities!$A$5:$A$34,0))</f>
        <v>Arab Bank – Morocco</v>
      </c>
      <c r="C239" s="12" t="str">
        <f aca="false">INDEX(Entities!$D$5:$D$34,MATCH(A239,Entities!$A$5:$A$34,0))</f>
        <v>North Africa</v>
      </c>
      <c r="D239" s="12" t="s">
        <v>284</v>
      </c>
      <c r="E239" s="12" t="str">
        <f aca="false">INDEX('Risk Taxonomy'!$B$5:$B$24,MATCH(D239,'Risk Taxonomy'!$A$5:$A$24,0))</f>
        <v>Regulatory compliance</v>
      </c>
      <c r="F239" s="7" t="str">
        <f aca="false">IF(D239="RC-04",IF(INDEX(Entities!$G$5:$G$34,MATCH(A239,Entities!$A$5:$A$34,0))="Y","Yes","N/A"),"Yes")</f>
        <v>Yes</v>
      </c>
      <c r="G239" s="24" t="n">
        <v>3</v>
      </c>
      <c r="H239" s="24" t="n">
        <v>1</v>
      </c>
      <c r="I239" s="24" t="n">
        <v>4</v>
      </c>
      <c r="J239" s="24" t="n">
        <v>3</v>
      </c>
      <c r="K239" s="24" t="n">
        <v>4</v>
      </c>
      <c r="L239" s="37" t="n">
        <f aca="false">IF(F239="N/A","",IF(COUNT(H239:K239)=0,"",IF(Config!$C$19="Highest dimension",MAX(H239:K239),ROUND(H239*Config!$C$20+I239*Config!$C$21+J239*Config!$C$22+K239*Config!$C$23,1))))</f>
        <v>4</v>
      </c>
      <c r="M239" s="38" t="n">
        <f aca="false">IF(OR(L239="",G239=""),"",G239*L239)</f>
        <v>12</v>
      </c>
      <c r="N239" s="31" t="n">
        <f aca="false">IF(M239="","",MATCH(M239,Config!$E$5:$E$9,1))</f>
        <v>3</v>
      </c>
      <c r="O239" s="7" t="str">
        <f aca="false">IF(F239="N/A","N/A",IF(N239="","Not assessed",INDEX(Config!$B$5:$B$9,N239)))</f>
        <v>Medium</v>
      </c>
      <c r="P239" s="32" t="n">
        <v>0</v>
      </c>
      <c r="Q239" s="8"/>
      <c r="R239" s="33"/>
      <c r="S239" s="34" t="n">
        <f aca="false">IF(N239="","",IF(AND(R239="Y",P239&lt;&gt;0),MAX(1,MIN(5,N239+MAX(-Config!$C$27,MIN(Config!$C$27,P239)))),N239))</f>
        <v>3</v>
      </c>
      <c r="T239" s="35" t="str">
        <f aca="false">IF(F239="N/A","N/A",IF(S239="","Not assessed",INDEX(Config!$B$5:$B$9,S239)))</f>
        <v>Medium</v>
      </c>
      <c r="U239" s="7" t="str">
        <f aca="false">IF(P239=0,"None",IF(R239="Y","Applied","Pending HO approval"))</f>
        <v>None</v>
      </c>
      <c r="V239" s="8"/>
    </row>
    <row r="240" customFormat="false" ht="15" hidden="false" customHeight="false" outlineLevel="0" collapsed="false">
      <c r="A240" s="26" t="str">
        <f aca="false">Entities!$A$23</f>
        <v>MA</v>
      </c>
      <c r="B240" s="12" t="str">
        <f aca="false">INDEX(Entities!$B$5:$B$34,MATCH(A240,Entities!$A$5:$A$34,0))</f>
        <v>Arab Bank – Morocco</v>
      </c>
      <c r="C240" s="12" t="str">
        <f aca="false">INDEX(Entities!$D$5:$D$34,MATCH(A240,Entities!$A$5:$A$34,0))</f>
        <v>North Africa</v>
      </c>
      <c r="D240" s="12" t="s">
        <v>288</v>
      </c>
      <c r="E240" s="12" t="str">
        <f aca="false">INDEX('Risk Taxonomy'!$B$5:$B$24,MATCH(D240,'Risk Taxonomy'!$A$5:$A$24,0))</f>
        <v>Conduct and consumer protection</v>
      </c>
      <c r="F240" s="7" t="str">
        <f aca="false">IF(D240="RC-04",IF(INDEX(Entities!$G$5:$G$34,MATCH(A240,Entities!$A$5:$A$34,0))="Y","Yes","N/A"),"Yes")</f>
        <v>Yes</v>
      </c>
      <c r="G240" s="24" t="n">
        <v>2</v>
      </c>
      <c r="H240" s="24" t="n">
        <v>2</v>
      </c>
      <c r="I240" s="24" t="n">
        <v>3</v>
      </c>
      <c r="J240" s="24" t="n">
        <v>3</v>
      </c>
      <c r="K240" s="24" t="n">
        <v>2</v>
      </c>
      <c r="L240" s="37" t="n">
        <f aca="false">IF(F240="N/A","",IF(COUNT(H240:K240)=0,"",IF(Config!$C$19="Highest dimension",MAX(H240:K240),ROUND(H240*Config!$C$20+I240*Config!$C$21+J240*Config!$C$22+K240*Config!$C$23,1))))</f>
        <v>3</v>
      </c>
      <c r="M240" s="38" t="n">
        <f aca="false">IF(OR(L240="",G240=""),"",G240*L240)</f>
        <v>6</v>
      </c>
      <c r="N240" s="31" t="n">
        <f aca="false">IF(M240="","",MATCH(M240,Config!$E$5:$E$9,1))</f>
        <v>2</v>
      </c>
      <c r="O240" s="7" t="str">
        <f aca="false">IF(F240="N/A","N/A",IF(N240="","Not assessed",INDEX(Config!$B$5:$B$9,N240)))</f>
        <v>Medium-Low</v>
      </c>
      <c r="P240" s="32" t="n">
        <v>0</v>
      </c>
      <c r="Q240" s="8"/>
      <c r="R240" s="33"/>
      <c r="S240" s="34" t="n">
        <f aca="false">IF(N240="","",IF(AND(R240="Y",P240&lt;&gt;0),MAX(1,MIN(5,N240+MAX(-Config!$C$27,MIN(Config!$C$27,P240)))),N240))</f>
        <v>2</v>
      </c>
      <c r="T240" s="35" t="str">
        <f aca="false">IF(F240="N/A","N/A",IF(S240="","Not assessed",INDEX(Config!$B$5:$B$9,S240)))</f>
        <v>Medium-Low</v>
      </c>
      <c r="U240" s="7" t="str">
        <f aca="false">IF(P240=0,"None",IF(R240="Y","Applied","Pending HO approval"))</f>
        <v>None</v>
      </c>
      <c r="V240" s="8"/>
    </row>
    <row r="241" customFormat="false" ht="15" hidden="false" customHeight="false" outlineLevel="0" collapsed="false">
      <c r="A241" s="26" t="str">
        <f aca="false">Entities!$A$23</f>
        <v>MA</v>
      </c>
      <c r="B241" s="12" t="str">
        <f aca="false">INDEX(Entities!$B$5:$B$34,MATCH(A241,Entities!$A$5:$A$34,0))</f>
        <v>Arab Bank – Morocco</v>
      </c>
      <c r="C241" s="12" t="str">
        <f aca="false">INDEX(Entities!$D$5:$D$34,MATCH(A241,Entities!$A$5:$A$34,0))</f>
        <v>North Africa</v>
      </c>
      <c r="D241" s="12" t="s">
        <v>290</v>
      </c>
      <c r="E241" s="12" t="str">
        <f aca="false">INDEX('Risk Taxonomy'!$B$5:$B$24,MATCH(D241,'Risk Taxonomy'!$A$5:$A$24,0))</f>
        <v>Data protection and privacy</v>
      </c>
      <c r="F241" s="7" t="str">
        <f aca="false">IF(D241="RC-04",IF(INDEX(Entities!$G$5:$G$34,MATCH(A241,Entities!$A$5:$A$34,0))="Y","Yes","N/A"),"Yes")</f>
        <v>Yes</v>
      </c>
      <c r="G241" s="24" t="n">
        <v>2</v>
      </c>
      <c r="H241" s="24" t="n">
        <v>2</v>
      </c>
      <c r="I241" s="24" t="n">
        <v>2</v>
      </c>
      <c r="J241" s="24" t="n">
        <v>2</v>
      </c>
      <c r="K241" s="24" t="n">
        <v>2</v>
      </c>
      <c r="L241" s="37" t="n">
        <f aca="false">IF(F241="N/A","",IF(COUNT(H241:K241)=0,"",IF(Config!$C$19="Highest dimension",MAX(H241:K241),ROUND(H241*Config!$C$20+I241*Config!$C$21+J241*Config!$C$22+K241*Config!$C$23,1))))</f>
        <v>2</v>
      </c>
      <c r="M241" s="38" t="n">
        <f aca="false">IF(OR(L241="",G241=""),"",G241*L241)</f>
        <v>4</v>
      </c>
      <c r="N241" s="31" t="n">
        <f aca="false">IF(M241="","",MATCH(M241,Config!$E$5:$E$9,1))</f>
        <v>1</v>
      </c>
      <c r="O241" s="7" t="str">
        <f aca="false">IF(F241="N/A","N/A",IF(N241="","Not assessed",INDEX(Config!$B$5:$B$9,N241)))</f>
        <v>Low</v>
      </c>
      <c r="P241" s="32" t="n">
        <v>0</v>
      </c>
      <c r="Q241" s="8"/>
      <c r="R241" s="33"/>
      <c r="S241" s="34" t="n">
        <f aca="false">IF(N241="","",IF(AND(R241="Y",P241&lt;&gt;0),MAX(1,MIN(5,N241+MAX(-Config!$C$27,MIN(Config!$C$27,P241)))),N241))</f>
        <v>1</v>
      </c>
      <c r="T241" s="35" t="str">
        <f aca="false">IF(F241="N/A","N/A",IF(S241="","Not assessed",INDEX(Config!$B$5:$B$9,S241)))</f>
        <v>Low</v>
      </c>
      <c r="U241" s="7" t="str">
        <f aca="false">IF(P241=0,"None",IF(R241="Y","Applied","Pending HO approval"))</f>
        <v>None</v>
      </c>
      <c r="V241" s="8"/>
    </row>
    <row r="242" customFormat="false" ht="15" hidden="false" customHeight="false" outlineLevel="0" collapsed="false">
      <c r="A242" s="26" t="str">
        <f aca="false">Entities!$A$23</f>
        <v>MA</v>
      </c>
      <c r="B242" s="12" t="str">
        <f aca="false">INDEX(Entities!$B$5:$B$34,MATCH(A242,Entities!$A$5:$A$34,0))</f>
        <v>Arab Bank – Morocco</v>
      </c>
      <c r="C242" s="12" t="str">
        <f aca="false">INDEX(Entities!$D$5:$D$34,MATCH(A242,Entities!$A$5:$A$34,0))</f>
        <v>North Africa</v>
      </c>
      <c r="D242" s="12" t="s">
        <v>293</v>
      </c>
      <c r="E242" s="12" t="str">
        <f aca="false">INDEX('Risk Taxonomy'!$B$5:$B$24,MATCH(D242,'Risk Taxonomy'!$A$5:$A$24,0))</f>
        <v>Shariah non-compliance</v>
      </c>
      <c r="F242" s="7" t="str">
        <f aca="false">IF(D242="RC-04",IF(INDEX(Entities!$G$5:$G$34,MATCH(A242,Entities!$A$5:$A$34,0))="Y","Yes","N/A"),"Yes")</f>
        <v>N/A</v>
      </c>
      <c r="G242" s="24"/>
      <c r="H242" s="24"/>
      <c r="I242" s="24"/>
      <c r="J242" s="24"/>
      <c r="K242" s="24"/>
      <c r="L242" s="37" t="str">
        <f aca="false">IF(F242="N/A","",IF(COUNT(H242:K242)=0,"",IF(Config!$C$19="Highest dimension",MAX(H242:K242),ROUND(H242*Config!$C$20+I242*Config!$C$21+J242*Config!$C$22+K242*Config!$C$23,1))))</f>
        <v/>
      </c>
      <c r="M242" s="38" t="str">
        <f aca="false">IF(OR(L242="",G242=""),"",G242*L242)</f>
        <v/>
      </c>
      <c r="N242" s="31" t="str">
        <f aca="false">IF(M242="","",MATCH(M242,Config!$E$5:$E$9,1))</f>
        <v/>
      </c>
      <c r="O242" s="7" t="str">
        <f aca="false">IF(F242="N/A","N/A",IF(N242="","Not assessed",INDEX(Config!$B$5:$B$9,N242)))</f>
        <v>N/A</v>
      </c>
      <c r="P242" s="32" t="n">
        <v>0</v>
      </c>
      <c r="Q242" s="8"/>
      <c r="R242" s="33"/>
      <c r="S242" s="34" t="str">
        <f aca="false">IF(N242="","",IF(AND(R242="Y",P242&lt;&gt;0),MAX(1,MIN(5,N242+MAX(-Config!$C$27,MIN(Config!$C$27,P242)))),N242))</f>
        <v/>
      </c>
      <c r="T242" s="35" t="str">
        <f aca="false">IF(F242="N/A","N/A",IF(S242="","Not assessed",INDEX(Config!$B$5:$B$9,S242)))</f>
        <v>N/A</v>
      </c>
      <c r="U242" s="7" t="str">
        <f aca="false">IF(P242=0,"None",IF(R242="Y","Applied","Pending HO approval"))</f>
        <v>None</v>
      </c>
      <c r="V242" s="8"/>
    </row>
    <row r="243" customFormat="false" ht="15" hidden="false" customHeight="false" outlineLevel="0" collapsed="false">
      <c r="A243" s="26" t="str">
        <f aca="false">Entities!$A$23</f>
        <v>MA</v>
      </c>
      <c r="B243" s="12" t="str">
        <f aca="false">INDEX(Entities!$B$5:$B$34,MATCH(A243,Entities!$A$5:$A$34,0))</f>
        <v>Arab Bank – Morocco</v>
      </c>
      <c r="C243" s="12" t="str">
        <f aca="false">INDEX(Entities!$D$5:$D$34,MATCH(A243,Entities!$A$5:$A$34,0))</f>
        <v>North Africa</v>
      </c>
      <c r="D243" s="12" t="s">
        <v>297</v>
      </c>
      <c r="E243" s="12" t="str">
        <f aca="false">INDEX('Risk Taxonomy'!$B$5:$B$24,MATCH(D243,'Risk Taxonomy'!$A$5:$A$24,0))</f>
        <v>Credit risk</v>
      </c>
      <c r="F243" s="7" t="str">
        <f aca="false">IF(D243="RC-04",IF(INDEX(Entities!$G$5:$G$34,MATCH(A243,Entities!$A$5:$A$34,0))="Y","Yes","N/A"),"Yes")</f>
        <v>Yes</v>
      </c>
      <c r="G243" s="24" t="n">
        <v>3</v>
      </c>
      <c r="H243" s="24" t="n">
        <v>3</v>
      </c>
      <c r="I243" s="24" t="n">
        <v>2</v>
      </c>
      <c r="J243" s="24" t="n">
        <v>5</v>
      </c>
      <c r="K243" s="24" t="n">
        <v>3</v>
      </c>
      <c r="L243" s="37" t="n">
        <f aca="false">IF(F243="N/A","",IF(COUNT(H243:K243)=0,"",IF(Config!$C$19="Highest dimension",MAX(H243:K243),ROUND(H243*Config!$C$20+I243*Config!$C$21+J243*Config!$C$22+K243*Config!$C$23,1))))</f>
        <v>5</v>
      </c>
      <c r="M243" s="38" t="n">
        <f aca="false">IF(OR(L243="",G243=""),"",G243*L243)</f>
        <v>15</v>
      </c>
      <c r="N243" s="31" t="n">
        <f aca="false">IF(M243="","",MATCH(M243,Config!$E$5:$E$9,1))</f>
        <v>4</v>
      </c>
      <c r="O243" s="7" t="str">
        <f aca="false">IF(F243="N/A","N/A",IF(N243="","Not assessed",INDEX(Config!$B$5:$B$9,N243)))</f>
        <v>Medium-High</v>
      </c>
      <c r="P243" s="32" t="n">
        <v>0</v>
      </c>
      <c r="Q243" s="8"/>
      <c r="R243" s="33"/>
      <c r="S243" s="34" t="n">
        <f aca="false">IF(N243="","",IF(AND(R243="Y",P243&lt;&gt;0),MAX(1,MIN(5,N243+MAX(-Config!$C$27,MIN(Config!$C$27,P243)))),N243))</f>
        <v>4</v>
      </c>
      <c r="T243" s="35" t="str">
        <f aca="false">IF(F243="N/A","N/A",IF(S243="","Not assessed",INDEX(Config!$B$5:$B$9,S243)))</f>
        <v>Medium-High</v>
      </c>
      <c r="U243" s="7" t="str">
        <f aca="false">IF(P243=0,"None",IF(R243="Y","Applied","Pending HO approval"))</f>
        <v>None</v>
      </c>
      <c r="V243" s="8"/>
    </row>
    <row r="244" customFormat="false" ht="15" hidden="false" customHeight="false" outlineLevel="0" collapsed="false">
      <c r="A244" s="26" t="str">
        <f aca="false">Entities!$A$23</f>
        <v>MA</v>
      </c>
      <c r="B244" s="12" t="str">
        <f aca="false">INDEX(Entities!$B$5:$B$34,MATCH(A244,Entities!$A$5:$A$34,0))</f>
        <v>Arab Bank – Morocco</v>
      </c>
      <c r="C244" s="12" t="str">
        <f aca="false">INDEX(Entities!$D$5:$D$34,MATCH(A244,Entities!$A$5:$A$34,0))</f>
        <v>North Africa</v>
      </c>
      <c r="D244" s="12" t="s">
        <v>302</v>
      </c>
      <c r="E244" s="12" t="str">
        <f aca="false">INDEX('Risk Taxonomy'!$B$5:$B$24,MATCH(D244,'Risk Taxonomy'!$A$5:$A$24,0))</f>
        <v>Market risk</v>
      </c>
      <c r="F244" s="7" t="str">
        <f aca="false">IF(D244="RC-04",IF(INDEX(Entities!$G$5:$G$34,MATCH(A244,Entities!$A$5:$A$34,0))="Y","Yes","N/A"),"Yes")</f>
        <v>Yes</v>
      </c>
      <c r="G244" s="24" t="n">
        <v>3</v>
      </c>
      <c r="H244" s="24" t="n">
        <v>4</v>
      </c>
      <c r="I244" s="24" t="n">
        <v>1</v>
      </c>
      <c r="J244" s="24" t="n">
        <v>4</v>
      </c>
      <c r="K244" s="24" t="n">
        <v>4</v>
      </c>
      <c r="L244" s="37" t="n">
        <f aca="false">IF(F244="N/A","",IF(COUNT(H244:K244)=0,"",IF(Config!$C$19="Highest dimension",MAX(H244:K244),ROUND(H244*Config!$C$20+I244*Config!$C$21+J244*Config!$C$22+K244*Config!$C$23,1))))</f>
        <v>4</v>
      </c>
      <c r="M244" s="38" t="n">
        <f aca="false">IF(OR(L244="",G244=""),"",G244*L244)</f>
        <v>12</v>
      </c>
      <c r="N244" s="31" t="n">
        <f aca="false">IF(M244="","",MATCH(M244,Config!$E$5:$E$9,1))</f>
        <v>3</v>
      </c>
      <c r="O244" s="7" t="str">
        <f aca="false">IF(F244="N/A","N/A",IF(N244="","Not assessed",INDEX(Config!$B$5:$B$9,N244)))</f>
        <v>Medium</v>
      </c>
      <c r="P244" s="32" t="n">
        <v>0</v>
      </c>
      <c r="Q244" s="8"/>
      <c r="R244" s="33"/>
      <c r="S244" s="34" t="n">
        <f aca="false">IF(N244="","",IF(AND(R244="Y",P244&lt;&gt;0),MAX(1,MIN(5,N244+MAX(-Config!$C$27,MIN(Config!$C$27,P244)))),N244))</f>
        <v>3</v>
      </c>
      <c r="T244" s="35" t="str">
        <f aca="false">IF(F244="N/A","N/A",IF(S244="","Not assessed",INDEX(Config!$B$5:$B$9,S244)))</f>
        <v>Medium</v>
      </c>
      <c r="U244" s="7" t="str">
        <f aca="false">IF(P244=0,"None",IF(R244="Y","Applied","Pending HO approval"))</f>
        <v>None</v>
      </c>
      <c r="V244" s="8"/>
    </row>
    <row r="245" customFormat="false" ht="15" hidden="false" customHeight="false" outlineLevel="0" collapsed="false">
      <c r="A245" s="26" t="str">
        <f aca="false">Entities!$A$23</f>
        <v>MA</v>
      </c>
      <c r="B245" s="12" t="str">
        <f aca="false">INDEX(Entities!$B$5:$B$34,MATCH(A245,Entities!$A$5:$A$34,0))</f>
        <v>Arab Bank – Morocco</v>
      </c>
      <c r="C245" s="12" t="str">
        <f aca="false">INDEX(Entities!$D$5:$D$34,MATCH(A245,Entities!$A$5:$A$34,0))</f>
        <v>North Africa</v>
      </c>
      <c r="D245" s="12" t="s">
        <v>304</v>
      </c>
      <c r="E245" s="12" t="str">
        <f aca="false">INDEX('Risk Taxonomy'!$B$5:$B$24,MATCH(D245,'Risk Taxonomy'!$A$5:$A$24,0))</f>
        <v>Liquidity and funding risk</v>
      </c>
      <c r="F245" s="7" t="str">
        <f aca="false">IF(D245="RC-04",IF(INDEX(Entities!$G$5:$G$34,MATCH(A245,Entities!$A$5:$A$34,0))="Y","Yes","N/A"),"Yes")</f>
        <v>Yes</v>
      </c>
      <c r="G245" s="24" t="n">
        <v>3</v>
      </c>
      <c r="H245" s="24" t="n">
        <v>2</v>
      </c>
      <c r="I245" s="24" t="n">
        <v>2</v>
      </c>
      <c r="J245" s="24" t="n">
        <v>4</v>
      </c>
      <c r="K245" s="24" t="n">
        <v>3</v>
      </c>
      <c r="L245" s="37" t="n">
        <f aca="false">IF(F245="N/A","",IF(COUNT(H245:K245)=0,"",IF(Config!$C$19="Highest dimension",MAX(H245:K245),ROUND(H245*Config!$C$20+I245*Config!$C$21+J245*Config!$C$22+K245*Config!$C$23,1))))</f>
        <v>4</v>
      </c>
      <c r="M245" s="38" t="n">
        <f aca="false">IF(OR(L245="",G245=""),"",G245*L245)</f>
        <v>12</v>
      </c>
      <c r="N245" s="31" t="n">
        <f aca="false">IF(M245="","",MATCH(M245,Config!$E$5:$E$9,1))</f>
        <v>3</v>
      </c>
      <c r="O245" s="7" t="str">
        <f aca="false">IF(F245="N/A","N/A",IF(N245="","Not assessed",INDEX(Config!$B$5:$B$9,N245)))</f>
        <v>Medium</v>
      </c>
      <c r="P245" s="32" t="n">
        <v>0</v>
      </c>
      <c r="Q245" s="8"/>
      <c r="R245" s="33"/>
      <c r="S245" s="34" t="n">
        <f aca="false">IF(N245="","",IF(AND(R245="Y",P245&lt;&gt;0),MAX(1,MIN(5,N245+MAX(-Config!$C$27,MIN(Config!$C$27,P245)))),N245))</f>
        <v>3</v>
      </c>
      <c r="T245" s="35" t="str">
        <f aca="false">IF(F245="N/A","N/A",IF(S245="","Not assessed",INDEX(Config!$B$5:$B$9,S245)))</f>
        <v>Medium</v>
      </c>
      <c r="U245" s="7" t="str">
        <f aca="false">IF(P245=0,"None",IF(R245="Y","Applied","Pending HO approval"))</f>
        <v>None</v>
      </c>
      <c r="V245" s="8"/>
    </row>
    <row r="246" customFormat="false" ht="15" hidden="false" customHeight="false" outlineLevel="0" collapsed="false">
      <c r="A246" s="26" t="str">
        <f aca="false">Entities!$A$23</f>
        <v>MA</v>
      </c>
      <c r="B246" s="12" t="str">
        <f aca="false">INDEX(Entities!$B$5:$B$34,MATCH(A246,Entities!$A$5:$A$34,0))</f>
        <v>Arab Bank – Morocco</v>
      </c>
      <c r="C246" s="12" t="str">
        <f aca="false">INDEX(Entities!$D$5:$D$34,MATCH(A246,Entities!$A$5:$A$34,0))</f>
        <v>North Africa</v>
      </c>
      <c r="D246" s="12" t="s">
        <v>307</v>
      </c>
      <c r="E246" s="12" t="str">
        <f aca="false">INDEX('Risk Taxonomy'!$B$5:$B$24,MATCH(D246,'Risk Taxonomy'!$A$5:$A$24,0))</f>
        <v>Operational risk</v>
      </c>
      <c r="F246" s="7" t="str">
        <f aca="false">IF(D246="RC-04",IF(INDEX(Entities!$G$5:$G$34,MATCH(A246,Entities!$A$5:$A$34,0))="Y","Yes","N/A"),"Yes")</f>
        <v>Yes</v>
      </c>
      <c r="G246" s="24" t="n">
        <v>3</v>
      </c>
      <c r="H246" s="24" t="n">
        <v>3</v>
      </c>
      <c r="I246" s="24" t="n">
        <v>2</v>
      </c>
      <c r="J246" s="24" t="n">
        <v>3</v>
      </c>
      <c r="K246" s="24" t="n">
        <v>2</v>
      </c>
      <c r="L246" s="37" t="n">
        <f aca="false">IF(F246="N/A","",IF(COUNT(H246:K246)=0,"",IF(Config!$C$19="Highest dimension",MAX(H246:K246),ROUND(H246*Config!$C$20+I246*Config!$C$21+J246*Config!$C$22+K246*Config!$C$23,1))))</f>
        <v>3</v>
      </c>
      <c r="M246" s="38" t="n">
        <f aca="false">IF(OR(L246="",G246=""),"",G246*L246)</f>
        <v>9</v>
      </c>
      <c r="N246" s="31" t="n">
        <f aca="false">IF(M246="","",MATCH(M246,Config!$E$5:$E$9,1))</f>
        <v>3</v>
      </c>
      <c r="O246" s="7" t="str">
        <f aca="false">IF(F246="N/A","N/A",IF(N246="","Not assessed",INDEX(Config!$B$5:$B$9,N246)))</f>
        <v>Medium</v>
      </c>
      <c r="P246" s="32" t="n">
        <v>0</v>
      </c>
      <c r="Q246" s="8"/>
      <c r="R246" s="33"/>
      <c r="S246" s="34" t="n">
        <f aca="false">IF(N246="","",IF(AND(R246="Y",P246&lt;&gt;0),MAX(1,MIN(5,N246+MAX(-Config!$C$27,MIN(Config!$C$27,P246)))),N246))</f>
        <v>3</v>
      </c>
      <c r="T246" s="35" t="str">
        <f aca="false">IF(F246="N/A","N/A",IF(S246="","Not assessed",INDEX(Config!$B$5:$B$9,S246)))</f>
        <v>Medium</v>
      </c>
      <c r="U246" s="7" t="str">
        <f aca="false">IF(P246=0,"None",IF(R246="Y","Applied","Pending HO approval"))</f>
        <v>None</v>
      </c>
      <c r="V246" s="8"/>
    </row>
    <row r="247" customFormat="false" ht="15" hidden="false" customHeight="false" outlineLevel="0" collapsed="false">
      <c r="A247" s="26" t="str">
        <f aca="false">Entities!$A$23</f>
        <v>MA</v>
      </c>
      <c r="B247" s="12" t="str">
        <f aca="false">INDEX(Entities!$B$5:$B$34,MATCH(A247,Entities!$A$5:$A$34,0))</f>
        <v>Arab Bank – Morocco</v>
      </c>
      <c r="C247" s="12" t="str">
        <f aca="false">INDEX(Entities!$D$5:$D$34,MATCH(A247,Entities!$A$5:$A$34,0))</f>
        <v>North Africa</v>
      </c>
      <c r="D247" s="12" t="s">
        <v>310</v>
      </c>
      <c r="E247" s="12" t="str">
        <f aca="false">INDEX('Risk Taxonomy'!$B$5:$B$24,MATCH(D247,'Risk Taxonomy'!$A$5:$A$24,0))</f>
        <v>Cyber, information security and technology</v>
      </c>
      <c r="F247" s="7" t="str">
        <f aca="false">IF(D247="RC-04",IF(INDEX(Entities!$G$5:$G$34,MATCH(A247,Entities!$A$5:$A$34,0))="Y","Yes","N/A"),"Yes")</f>
        <v>Yes</v>
      </c>
      <c r="G247" s="24" t="n">
        <v>3</v>
      </c>
      <c r="H247" s="24" t="n">
        <v>3</v>
      </c>
      <c r="I247" s="24" t="n">
        <v>4</v>
      </c>
      <c r="J247" s="24" t="n">
        <v>4</v>
      </c>
      <c r="K247" s="24" t="n">
        <v>2</v>
      </c>
      <c r="L247" s="37" t="n">
        <f aca="false">IF(F247="N/A","",IF(COUNT(H247:K247)=0,"",IF(Config!$C$19="Highest dimension",MAX(H247:K247),ROUND(H247*Config!$C$20+I247*Config!$C$21+J247*Config!$C$22+K247*Config!$C$23,1))))</f>
        <v>4</v>
      </c>
      <c r="M247" s="38" t="n">
        <f aca="false">IF(OR(L247="",G247=""),"",G247*L247)</f>
        <v>12</v>
      </c>
      <c r="N247" s="31" t="n">
        <f aca="false">IF(M247="","",MATCH(M247,Config!$E$5:$E$9,1))</f>
        <v>3</v>
      </c>
      <c r="O247" s="7" t="str">
        <f aca="false">IF(F247="N/A","N/A",IF(N247="","Not assessed",INDEX(Config!$B$5:$B$9,N247)))</f>
        <v>Medium</v>
      </c>
      <c r="P247" s="32" t="n">
        <v>0</v>
      </c>
      <c r="Q247" s="8"/>
      <c r="R247" s="33"/>
      <c r="S247" s="34" t="n">
        <f aca="false">IF(N247="","",IF(AND(R247="Y",P247&lt;&gt;0),MAX(1,MIN(5,N247+MAX(-Config!$C$27,MIN(Config!$C$27,P247)))),N247))</f>
        <v>3</v>
      </c>
      <c r="T247" s="35" t="str">
        <f aca="false">IF(F247="N/A","N/A",IF(S247="","Not assessed",INDEX(Config!$B$5:$B$9,S247)))</f>
        <v>Medium</v>
      </c>
      <c r="U247" s="7" t="str">
        <f aca="false">IF(P247=0,"None",IF(R247="Y","Applied","Pending HO approval"))</f>
        <v>None</v>
      </c>
      <c r="V247" s="8"/>
    </row>
    <row r="248" customFormat="false" ht="15" hidden="false" customHeight="false" outlineLevel="0" collapsed="false">
      <c r="A248" s="26" t="str">
        <f aca="false">Entities!$A$23</f>
        <v>MA</v>
      </c>
      <c r="B248" s="12" t="str">
        <f aca="false">INDEX(Entities!$B$5:$B$34,MATCH(A248,Entities!$A$5:$A$34,0))</f>
        <v>Arab Bank – Morocco</v>
      </c>
      <c r="C248" s="12" t="str">
        <f aca="false">INDEX(Entities!$D$5:$D$34,MATCH(A248,Entities!$A$5:$A$34,0))</f>
        <v>North Africa</v>
      </c>
      <c r="D248" s="12" t="s">
        <v>313</v>
      </c>
      <c r="E248" s="12" t="str">
        <f aca="false">INDEX('Risk Taxonomy'!$B$5:$B$24,MATCH(D248,'Risk Taxonomy'!$A$5:$A$24,0))</f>
        <v>Third-party and outsourcing</v>
      </c>
      <c r="F248" s="7" t="str">
        <f aca="false">IF(D248="RC-04",IF(INDEX(Entities!$G$5:$G$34,MATCH(A248,Entities!$A$5:$A$34,0))="Y","Yes","N/A"),"Yes")</f>
        <v>Yes</v>
      </c>
      <c r="G248" s="24" t="n">
        <v>3</v>
      </c>
      <c r="H248" s="24" t="n">
        <v>2</v>
      </c>
      <c r="I248" s="24" t="n">
        <v>3</v>
      </c>
      <c r="J248" s="24" t="n">
        <v>3</v>
      </c>
      <c r="K248" s="24" t="n">
        <v>3</v>
      </c>
      <c r="L248" s="37" t="n">
        <f aca="false">IF(F248="N/A","",IF(COUNT(H248:K248)=0,"",IF(Config!$C$19="Highest dimension",MAX(H248:K248),ROUND(H248*Config!$C$20+I248*Config!$C$21+J248*Config!$C$22+K248*Config!$C$23,1))))</f>
        <v>3</v>
      </c>
      <c r="M248" s="38" t="n">
        <f aca="false">IF(OR(L248="",G248=""),"",G248*L248)</f>
        <v>9</v>
      </c>
      <c r="N248" s="31" t="n">
        <f aca="false">IF(M248="","",MATCH(M248,Config!$E$5:$E$9,1))</f>
        <v>3</v>
      </c>
      <c r="O248" s="7" t="str">
        <f aca="false">IF(F248="N/A","N/A",IF(N248="","Not assessed",INDEX(Config!$B$5:$B$9,N248)))</f>
        <v>Medium</v>
      </c>
      <c r="P248" s="32" t="n">
        <v>0</v>
      </c>
      <c r="Q248" s="8"/>
      <c r="R248" s="33"/>
      <c r="S248" s="34" t="n">
        <f aca="false">IF(N248="","",IF(AND(R248="Y",P248&lt;&gt;0),MAX(1,MIN(5,N248+MAX(-Config!$C$27,MIN(Config!$C$27,P248)))),N248))</f>
        <v>3</v>
      </c>
      <c r="T248" s="35" t="str">
        <f aca="false">IF(F248="N/A","N/A",IF(S248="","Not assessed",INDEX(Config!$B$5:$B$9,S248)))</f>
        <v>Medium</v>
      </c>
      <c r="U248" s="7" t="str">
        <f aca="false">IF(P248=0,"None",IF(R248="Y","Applied","Pending HO approval"))</f>
        <v>None</v>
      </c>
      <c r="V248" s="8"/>
    </row>
    <row r="249" customFormat="false" ht="15" hidden="false" customHeight="false" outlineLevel="0" collapsed="false">
      <c r="A249" s="26" t="str">
        <f aca="false">Entities!$A$23</f>
        <v>MA</v>
      </c>
      <c r="B249" s="12" t="str">
        <f aca="false">INDEX(Entities!$B$5:$B$34,MATCH(A249,Entities!$A$5:$A$34,0))</f>
        <v>Arab Bank – Morocco</v>
      </c>
      <c r="C249" s="12" t="str">
        <f aca="false">INDEX(Entities!$D$5:$D$34,MATCH(A249,Entities!$A$5:$A$34,0))</f>
        <v>North Africa</v>
      </c>
      <c r="D249" s="12" t="s">
        <v>316</v>
      </c>
      <c r="E249" s="12" t="str">
        <f aca="false">INDEX('Risk Taxonomy'!$B$5:$B$24,MATCH(D249,'Risk Taxonomy'!$A$5:$A$24,0))</f>
        <v>Legal and litigation</v>
      </c>
      <c r="F249" s="7" t="str">
        <f aca="false">IF(D249="RC-04",IF(INDEX(Entities!$G$5:$G$34,MATCH(A249,Entities!$A$5:$A$34,0))="Y","Yes","N/A"),"Yes")</f>
        <v>Yes</v>
      </c>
      <c r="G249" s="24" t="n">
        <v>3</v>
      </c>
      <c r="H249" s="24" t="n">
        <v>2</v>
      </c>
      <c r="I249" s="24" t="n">
        <v>3</v>
      </c>
      <c r="J249" s="24" t="n">
        <v>3</v>
      </c>
      <c r="K249" s="24" t="n">
        <v>4</v>
      </c>
      <c r="L249" s="37" t="n">
        <f aca="false">IF(F249="N/A","",IF(COUNT(H249:K249)=0,"",IF(Config!$C$19="Highest dimension",MAX(H249:K249),ROUND(H249*Config!$C$20+I249*Config!$C$21+J249*Config!$C$22+K249*Config!$C$23,1))))</f>
        <v>4</v>
      </c>
      <c r="M249" s="38" t="n">
        <f aca="false">IF(OR(L249="",G249=""),"",G249*L249)</f>
        <v>12</v>
      </c>
      <c r="N249" s="31" t="n">
        <f aca="false">IF(M249="","",MATCH(M249,Config!$E$5:$E$9,1))</f>
        <v>3</v>
      </c>
      <c r="O249" s="7" t="str">
        <f aca="false">IF(F249="N/A","N/A",IF(N249="","Not assessed",INDEX(Config!$B$5:$B$9,N249)))</f>
        <v>Medium</v>
      </c>
      <c r="P249" s="32" t="n">
        <v>0</v>
      </c>
      <c r="Q249" s="8"/>
      <c r="R249" s="33"/>
      <c r="S249" s="34" t="n">
        <f aca="false">IF(N249="","",IF(AND(R249="Y",P249&lt;&gt;0),MAX(1,MIN(5,N249+MAX(-Config!$C$27,MIN(Config!$C$27,P249)))),N249))</f>
        <v>3</v>
      </c>
      <c r="T249" s="35" t="str">
        <f aca="false">IF(F249="N/A","N/A",IF(S249="","Not assessed",INDEX(Config!$B$5:$B$9,S249)))</f>
        <v>Medium</v>
      </c>
      <c r="U249" s="7" t="str">
        <f aca="false">IF(P249=0,"None",IF(R249="Y","Applied","Pending HO approval"))</f>
        <v>None</v>
      </c>
      <c r="V249" s="8"/>
    </row>
    <row r="250" customFormat="false" ht="15" hidden="false" customHeight="false" outlineLevel="0" collapsed="false">
      <c r="A250" s="26" t="str">
        <f aca="false">Entities!$A$23</f>
        <v>MA</v>
      </c>
      <c r="B250" s="12" t="str">
        <f aca="false">INDEX(Entities!$B$5:$B$34,MATCH(A250,Entities!$A$5:$A$34,0))</f>
        <v>Arab Bank – Morocco</v>
      </c>
      <c r="C250" s="12" t="str">
        <f aca="false">INDEX(Entities!$D$5:$D$34,MATCH(A250,Entities!$A$5:$A$34,0))</f>
        <v>North Africa</v>
      </c>
      <c r="D250" s="12" t="s">
        <v>319</v>
      </c>
      <c r="E250" s="12" t="str">
        <f aca="false">INDEX('Risk Taxonomy'!$B$5:$B$24,MATCH(D250,'Risk Taxonomy'!$A$5:$A$24,0))</f>
        <v>Reputational</v>
      </c>
      <c r="F250" s="7" t="str">
        <f aca="false">IF(D250="RC-04",IF(INDEX(Entities!$G$5:$G$34,MATCH(A250,Entities!$A$5:$A$34,0))="Y","Yes","N/A"),"Yes")</f>
        <v>Yes</v>
      </c>
      <c r="G250" s="24" t="n">
        <v>4</v>
      </c>
      <c r="H250" s="24" t="n">
        <v>3</v>
      </c>
      <c r="I250" s="24" t="n">
        <v>4</v>
      </c>
      <c r="J250" s="24" t="n">
        <v>3</v>
      </c>
      <c r="K250" s="24" t="n">
        <v>3</v>
      </c>
      <c r="L250" s="37" t="n">
        <f aca="false">IF(F250="N/A","",IF(COUNT(H250:K250)=0,"",IF(Config!$C$19="Highest dimension",MAX(H250:K250),ROUND(H250*Config!$C$20+I250*Config!$C$21+J250*Config!$C$22+K250*Config!$C$23,1))))</f>
        <v>4</v>
      </c>
      <c r="M250" s="38" t="n">
        <f aca="false">IF(OR(L250="",G250=""),"",G250*L250)</f>
        <v>16</v>
      </c>
      <c r="N250" s="31" t="n">
        <f aca="false">IF(M250="","",MATCH(M250,Config!$E$5:$E$9,1))</f>
        <v>4</v>
      </c>
      <c r="O250" s="7" t="str">
        <f aca="false">IF(F250="N/A","N/A",IF(N250="","Not assessed",INDEX(Config!$B$5:$B$9,N250)))</f>
        <v>Medium-High</v>
      </c>
      <c r="P250" s="32" t="n">
        <v>0</v>
      </c>
      <c r="Q250" s="8"/>
      <c r="R250" s="33"/>
      <c r="S250" s="34" t="n">
        <f aca="false">IF(N250="","",IF(AND(R250="Y",P250&lt;&gt;0),MAX(1,MIN(5,N250+MAX(-Config!$C$27,MIN(Config!$C$27,P250)))),N250))</f>
        <v>4</v>
      </c>
      <c r="T250" s="35" t="str">
        <f aca="false">IF(F250="N/A","N/A",IF(S250="","Not assessed",INDEX(Config!$B$5:$B$9,S250)))</f>
        <v>Medium-High</v>
      </c>
      <c r="U250" s="7" t="str">
        <f aca="false">IF(P250=0,"None",IF(R250="Y","Applied","Pending HO approval"))</f>
        <v>None</v>
      </c>
      <c r="V250" s="8"/>
    </row>
    <row r="251" customFormat="false" ht="15" hidden="false" customHeight="false" outlineLevel="0" collapsed="false">
      <c r="A251" s="26" t="str">
        <f aca="false">Entities!$A$23</f>
        <v>MA</v>
      </c>
      <c r="B251" s="12" t="str">
        <f aca="false">INDEX(Entities!$B$5:$B$34,MATCH(A251,Entities!$A$5:$A$34,0))</f>
        <v>Arab Bank – Morocco</v>
      </c>
      <c r="C251" s="12" t="str">
        <f aca="false">INDEX(Entities!$D$5:$D$34,MATCH(A251,Entities!$A$5:$A$34,0))</f>
        <v>North Africa</v>
      </c>
      <c r="D251" s="12" t="s">
        <v>322</v>
      </c>
      <c r="E251" s="12" t="str">
        <f aca="false">INDEX('Risk Taxonomy'!$B$5:$B$24,MATCH(D251,'Risk Taxonomy'!$A$5:$A$24,0))</f>
        <v>Strategic, business model and ESG</v>
      </c>
      <c r="F251" s="7" t="str">
        <f aca="false">IF(D251="RC-04",IF(INDEX(Entities!$G$5:$G$34,MATCH(A251,Entities!$A$5:$A$34,0))="Y","Yes","N/A"),"Yes")</f>
        <v>Yes</v>
      </c>
      <c r="G251" s="24" t="n">
        <v>3</v>
      </c>
      <c r="H251" s="24" t="n">
        <v>4</v>
      </c>
      <c r="I251" s="24" t="n">
        <v>2</v>
      </c>
      <c r="J251" s="24" t="n">
        <v>3</v>
      </c>
      <c r="K251" s="24" t="n">
        <v>4</v>
      </c>
      <c r="L251" s="37" t="n">
        <f aca="false">IF(F251="N/A","",IF(COUNT(H251:K251)=0,"",IF(Config!$C$19="Highest dimension",MAX(H251:K251),ROUND(H251*Config!$C$20+I251*Config!$C$21+J251*Config!$C$22+K251*Config!$C$23,1))))</f>
        <v>4</v>
      </c>
      <c r="M251" s="38" t="n">
        <f aca="false">IF(OR(L251="",G251=""),"",G251*L251)</f>
        <v>12</v>
      </c>
      <c r="N251" s="31" t="n">
        <f aca="false">IF(M251="","",MATCH(M251,Config!$E$5:$E$9,1))</f>
        <v>3</v>
      </c>
      <c r="O251" s="7" t="str">
        <f aca="false">IF(F251="N/A","N/A",IF(N251="","Not assessed",INDEX(Config!$B$5:$B$9,N251)))</f>
        <v>Medium</v>
      </c>
      <c r="P251" s="32" t="n">
        <v>0</v>
      </c>
      <c r="Q251" s="8"/>
      <c r="R251" s="33"/>
      <c r="S251" s="34" t="n">
        <f aca="false">IF(N251="","",IF(AND(R251="Y",P251&lt;&gt;0),MAX(1,MIN(5,N251+MAX(-Config!$C$27,MIN(Config!$C$27,P251)))),N251))</f>
        <v>3</v>
      </c>
      <c r="T251" s="35" t="str">
        <f aca="false">IF(F251="N/A","N/A",IF(S251="","Not assessed",INDEX(Config!$B$5:$B$9,S251)))</f>
        <v>Medium</v>
      </c>
      <c r="U251" s="7" t="str">
        <f aca="false">IF(P251=0,"None",IF(R251="Y","Applied","Pending HO approval"))</f>
        <v>None</v>
      </c>
      <c r="V251" s="8"/>
    </row>
    <row r="252" customFormat="false" ht="15" hidden="false" customHeight="false" outlineLevel="0" collapsed="false">
      <c r="A252" s="26" t="str">
        <f aca="false">Entities!$A$24</f>
        <v>TN</v>
      </c>
      <c r="B252" s="12" t="str">
        <f aca="false">INDEX(Entities!$B$5:$B$34,MATCH(A252,Entities!$A$5:$A$34,0))</f>
        <v>Arab Tunisian Bank</v>
      </c>
      <c r="C252" s="12" t="str">
        <f aca="false">INDEX(Entities!$D$5:$D$34,MATCH(A252,Entities!$A$5:$A$34,0))</f>
        <v>North Africa</v>
      </c>
      <c r="D252" s="12" t="s">
        <v>284</v>
      </c>
      <c r="E252" s="12" t="str">
        <f aca="false">INDEX('Risk Taxonomy'!$B$5:$B$24,MATCH(D252,'Risk Taxonomy'!$A$5:$A$24,0))</f>
        <v>Regulatory compliance</v>
      </c>
      <c r="F252" s="7" t="str">
        <f aca="false">IF(D252="RC-04",IF(INDEX(Entities!$G$5:$G$34,MATCH(A252,Entities!$A$5:$A$34,0))="Y","Yes","N/A"),"Yes")</f>
        <v>Yes</v>
      </c>
      <c r="G252" s="24" t="n">
        <v>4</v>
      </c>
      <c r="H252" s="24" t="n">
        <v>2</v>
      </c>
      <c r="I252" s="24" t="n">
        <v>2</v>
      </c>
      <c r="J252" s="24" t="n">
        <v>2</v>
      </c>
      <c r="K252" s="24" t="n">
        <v>4</v>
      </c>
      <c r="L252" s="37" t="n">
        <f aca="false">IF(F252="N/A","",IF(COUNT(H252:K252)=0,"",IF(Config!$C$19="Highest dimension",MAX(H252:K252),ROUND(H252*Config!$C$20+I252*Config!$C$21+J252*Config!$C$22+K252*Config!$C$23,1))))</f>
        <v>4</v>
      </c>
      <c r="M252" s="38" t="n">
        <f aca="false">IF(OR(L252="",G252=""),"",G252*L252)</f>
        <v>16</v>
      </c>
      <c r="N252" s="31" t="n">
        <f aca="false">IF(M252="","",MATCH(M252,Config!$E$5:$E$9,1))</f>
        <v>4</v>
      </c>
      <c r="O252" s="7" t="str">
        <f aca="false">IF(F252="N/A","N/A",IF(N252="","Not assessed",INDEX(Config!$B$5:$B$9,N252)))</f>
        <v>Medium-High</v>
      </c>
      <c r="P252" s="32" t="n">
        <v>0</v>
      </c>
      <c r="Q252" s="8"/>
      <c r="R252" s="33"/>
      <c r="S252" s="34" t="n">
        <f aca="false">IF(N252="","",IF(AND(R252="Y",P252&lt;&gt;0),MAX(1,MIN(5,N252+MAX(-Config!$C$27,MIN(Config!$C$27,P252)))),N252))</f>
        <v>4</v>
      </c>
      <c r="T252" s="35" t="str">
        <f aca="false">IF(F252="N/A","N/A",IF(S252="","Not assessed",INDEX(Config!$B$5:$B$9,S252)))</f>
        <v>Medium-High</v>
      </c>
      <c r="U252" s="7" t="str">
        <f aca="false">IF(P252=0,"None",IF(R252="Y","Applied","Pending HO approval"))</f>
        <v>None</v>
      </c>
      <c r="V252" s="8"/>
    </row>
    <row r="253" customFormat="false" ht="15" hidden="false" customHeight="false" outlineLevel="0" collapsed="false">
      <c r="A253" s="26" t="str">
        <f aca="false">Entities!$A$24</f>
        <v>TN</v>
      </c>
      <c r="B253" s="12" t="str">
        <f aca="false">INDEX(Entities!$B$5:$B$34,MATCH(A253,Entities!$A$5:$A$34,0))</f>
        <v>Arab Tunisian Bank</v>
      </c>
      <c r="C253" s="12" t="str">
        <f aca="false">INDEX(Entities!$D$5:$D$34,MATCH(A253,Entities!$A$5:$A$34,0))</f>
        <v>North Africa</v>
      </c>
      <c r="D253" s="12" t="s">
        <v>288</v>
      </c>
      <c r="E253" s="12" t="str">
        <f aca="false">INDEX('Risk Taxonomy'!$B$5:$B$24,MATCH(D253,'Risk Taxonomy'!$A$5:$A$24,0))</f>
        <v>Conduct and consumer protection</v>
      </c>
      <c r="F253" s="7" t="str">
        <f aca="false">IF(D253="RC-04",IF(INDEX(Entities!$G$5:$G$34,MATCH(A253,Entities!$A$5:$A$34,0))="Y","Yes","N/A"),"Yes")</f>
        <v>Yes</v>
      </c>
      <c r="G253" s="24" t="n">
        <v>2</v>
      </c>
      <c r="H253" s="24" t="n">
        <v>2</v>
      </c>
      <c r="I253" s="24" t="n">
        <v>5</v>
      </c>
      <c r="J253" s="24" t="n">
        <v>3</v>
      </c>
      <c r="K253" s="24" t="n">
        <v>3</v>
      </c>
      <c r="L253" s="37" t="n">
        <f aca="false">IF(F253="N/A","",IF(COUNT(H253:K253)=0,"",IF(Config!$C$19="Highest dimension",MAX(H253:K253),ROUND(H253*Config!$C$20+I253*Config!$C$21+J253*Config!$C$22+K253*Config!$C$23,1))))</f>
        <v>5</v>
      </c>
      <c r="M253" s="38" t="n">
        <f aca="false">IF(OR(L253="",G253=""),"",G253*L253)</f>
        <v>10</v>
      </c>
      <c r="N253" s="31" t="n">
        <f aca="false">IF(M253="","",MATCH(M253,Config!$E$5:$E$9,1))</f>
        <v>3</v>
      </c>
      <c r="O253" s="7" t="str">
        <f aca="false">IF(F253="N/A","N/A",IF(N253="","Not assessed",INDEX(Config!$B$5:$B$9,N253)))</f>
        <v>Medium</v>
      </c>
      <c r="P253" s="32" t="n">
        <v>0</v>
      </c>
      <c r="Q253" s="8"/>
      <c r="R253" s="33"/>
      <c r="S253" s="34" t="n">
        <f aca="false">IF(N253="","",IF(AND(R253="Y",P253&lt;&gt;0),MAX(1,MIN(5,N253+MAX(-Config!$C$27,MIN(Config!$C$27,P253)))),N253))</f>
        <v>3</v>
      </c>
      <c r="T253" s="35" t="str">
        <f aca="false">IF(F253="N/A","N/A",IF(S253="","Not assessed",INDEX(Config!$B$5:$B$9,S253)))</f>
        <v>Medium</v>
      </c>
      <c r="U253" s="7" t="str">
        <f aca="false">IF(P253=0,"None",IF(R253="Y","Applied","Pending HO approval"))</f>
        <v>None</v>
      </c>
      <c r="V253" s="8"/>
    </row>
    <row r="254" customFormat="false" ht="15" hidden="false" customHeight="false" outlineLevel="0" collapsed="false">
      <c r="A254" s="26" t="str">
        <f aca="false">Entities!$A$24</f>
        <v>TN</v>
      </c>
      <c r="B254" s="12" t="str">
        <f aca="false">INDEX(Entities!$B$5:$B$34,MATCH(A254,Entities!$A$5:$A$34,0))</f>
        <v>Arab Tunisian Bank</v>
      </c>
      <c r="C254" s="12" t="str">
        <f aca="false">INDEX(Entities!$D$5:$D$34,MATCH(A254,Entities!$A$5:$A$34,0))</f>
        <v>North Africa</v>
      </c>
      <c r="D254" s="12" t="s">
        <v>290</v>
      </c>
      <c r="E254" s="12" t="str">
        <f aca="false">INDEX('Risk Taxonomy'!$B$5:$B$24,MATCH(D254,'Risk Taxonomy'!$A$5:$A$24,0))</f>
        <v>Data protection and privacy</v>
      </c>
      <c r="F254" s="7" t="str">
        <f aca="false">IF(D254="RC-04",IF(INDEX(Entities!$G$5:$G$34,MATCH(A254,Entities!$A$5:$A$34,0))="Y","Yes","N/A"),"Yes")</f>
        <v>Yes</v>
      </c>
      <c r="G254" s="24" t="n">
        <v>2</v>
      </c>
      <c r="H254" s="24" t="n">
        <v>2</v>
      </c>
      <c r="I254" s="24" t="n">
        <v>4</v>
      </c>
      <c r="J254" s="24" t="n">
        <v>3</v>
      </c>
      <c r="K254" s="24" t="n">
        <v>3</v>
      </c>
      <c r="L254" s="37" t="n">
        <f aca="false">IF(F254="N/A","",IF(COUNT(H254:K254)=0,"",IF(Config!$C$19="Highest dimension",MAX(H254:K254),ROUND(H254*Config!$C$20+I254*Config!$C$21+J254*Config!$C$22+K254*Config!$C$23,1))))</f>
        <v>4</v>
      </c>
      <c r="M254" s="38" t="n">
        <f aca="false">IF(OR(L254="",G254=""),"",G254*L254)</f>
        <v>8</v>
      </c>
      <c r="N254" s="31" t="n">
        <f aca="false">IF(M254="","",MATCH(M254,Config!$E$5:$E$9,1))</f>
        <v>2</v>
      </c>
      <c r="O254" s="7" t="str">
        <f aca="false">IF(F254="N/A","N/A",IF(N254="","Not assessed",INDEX(Config!$B$5:$B$9,N254)))</f>
        <v>Medium-Low</v>
      </c>
      <c r="P254" s="32" t="n">
        <v>0</v>
      </c>
      <c r="Q254" s="8"/>
      <c r="R254" s="33"/>
      <c r="S254" s="34" t="n">
        <f aca="false">IF(N254="","",IF(AND(R254="Y",P254&lt;&gt;0),MAX(1,MIN(5,N254+MAX(-Config!$C$27,MIN(Config!$C$27,P254)))),N254))</f>
        <v>2</v>
      </c>
      <c r="T254" s="35" t="str">
        <f aca="false">IF(F254="N/A","N/A",IF(S254="","Not assessed",INDEX(Config!$B$5:$B$9,S254)))</f>
        <v>Medium-Low</v>
      </c>
      <c r="U254" s="7" t="str">
        <f aca="false">IF(P254=0,"None",IF(R254="Y","Applied","Pending HO approval"))</f>
        <v>None</v>
      </c>
      <c r="V254" s="8"/>
    </row>
    <row r="255" customFormat="false" ht="15" hidden="false" customHeight="false" outlineLevel="0" collapsed="false">
      <c r="A255" s="26" t="str">
        <f aca="false">Entities!$A$24</f>
        <v>TN</v>
      </c>
      <c r="B255" s="12" t="str">
        <f aca="false">INDEX(Entities!$B$5:$B$34,MATCH(A255,Entities!$A$5:$A$34,0))</f>
        <v>Arab Tunisian Bank</v>
      </c>
      <c r="C255" s="12" t="str">
        <f aca="false">INDEX(Entities!$D$5:$D$34,MATCH(A255,Entities!$A$5:$A$34,0))</f>
        <v>North Africa</v>
      </c>
      <c r="D255" s="12" t="s">
        <v>293</v>
      </c>
      <c r="E255" s="12" t="str">
        <f aca="false">INDEX('Risk Taxonomy'!$B$5:$B$24,MATCH(D255,'Risk Taxonomy'!$A$5:$A$24,0))</f>
        <v>Shariah non-compliance</v>
      </c>
      <c r="F255" s="7" t="str">
        <f aca="false">IF(D255="RC-04",IF(INDEX(Entities!$G$5:$G$34,MATCH(A255,Entities!$A$5:$A$34,0))="Y","Yes","N/A"),"Yes")</f>
        <v>N/A</v>
      </c>
      <c r="G255" s="24"/>
      <c r="H255" s="24"/>
      <c r="I255" s="24"/>
      <c r="J255" s="24"/>
      <c r="K255" s="24"/>
      <c r="L255" s="37" t="str">
        <f aca="false">IF(F255="N/A","",IF(COUNT(H255:K255)=0,"",IF(Config!$C$19="Highest dimension",MAX(H255:K255),ROUND(H255*Config!$C$20+I255*Config!$C$21+J255*Config!$C$22+K255*Config!$C$23,1))))</f>
        <v/>
      </c>
      <c r="M255" s="38" t="str">
        <f aca="false">IF(OR(L255="",G255=""),"",G255*L255)</f>
        <v/>
      </c>
      <c r="N255" s="31" t="str">
        <f aca="false">IF(M255="","",MATCH(M255,Config!$E$5:$E$9,1))</f>
        <v/>
      </c>
      <c r="O255" s="7" t="str">
        <f aca="false">IF(F255="N/A","N/A",IF(N255="","Not assessed",INDEX(Config!$B$5:$B$9,N255)))</f>
        <v>N/A</v>
      </c>
      <c r="P255" s="32" t="n">
        <v>0</v>
      </c>
      <c r="Q255" s="8"/>
      <c r="R255" s="33"/>
      <c r="S255" s="34" t="str">
        <f aca="false">IF(N255="","",IF(AND(R255="Y",P255&lt;&gt;0),MAX(1,MIN(5,N255+MAX(-Config!$C$27,MIN(Config!$C$27,P255)))),N255))</f>
        <v/>
      </c>
      <c r="T255" s="35" t="str">
        <f aca="false">IF(F255="N/A","N/A",IF(S255="","Not assessed",INDEX(Config!$B$5:$B$9,S255)))</f>
        <v>N/A</v>
      </c>
      <c r="U255" s="7" t="str">
        <f aca="false">IF(P255=0,"None",IF(R255="Y","Applied","Pending HO approval"))</f>
        <v>None</v>
      </c>
      <c r="V255" s="8"/>
    </row>
    <row r="256" customFormat="false" ht="15" hidden="false" customHeight="false" outlineLevel="0" collapsed="false">
      <c r="A256" s="26" t="str">
        <f aca="false">Entities!$A$24</f>
        <v>TN</v>
      </c>
      <c r="B256" s="12" t="str">
        <f aca="false">INDEX(Entities!$B$5:$B$34,MATCH(A256,Entities!$A$5:$A$34,0))</f>
        <v>Arab Tunisian Bank</v>
      </c>
      <c r="C256" s="12" t="str">
        <f aca="false">INDEX(Entities!$D$5:$D$34,MATCH(A256,Entities!$A$5:$A$34,0))</f>
        <v>North Africa</v>
      </c>
      <c r="D256" s="12" t="s">
        <v>297</v>
      </c>
      <c r="E256" s="12" t="str">
        <f aca="false">INDEX('Risk Taxonomy'!$B$5:$B$24,MATCH(D256,'Risk Taxonomy'!$A$5:$A$24,0))</f>
        <v>Credit risk</v>
      </c>
      <c r="F256" s="7" t="str">
        <f aca="false">IF(D256="RC-04",IF(INDEX(Entities!$G$5:$G$34,MATCH(A256,Entities!$A$5:$A$34,0))="Y","Yes","N/A"),"Yes")</f>
        <v>Yes</v>
      </c>
      <c r="G256" s="24" t="n">
        <v>4</v>
      </c>
      <c r="H256" s="24" t="n">
        <v>3</v>
      </c>
      <c r="I256" s="24" t="n">
        <v>4</v>
      </c>
      <c r="J256" s="24" t="n">
        <v>2</v>
      </c>
      <c r="K256" s="24" t="n">
        <v>3</v>
      </c>
      <c r="L256" s="37" t="n">
        <f aca="false">IF(F256="N/A","",IF(COUNT(H256:K256)=0,"",IF(Config!$C$19="Highest dimension",MAX(H256:K256),ROUND(H256*Config!$C$20+I256*Config!$C$21+J256*Config!$C$22+K256*Config!$C$23,1))))</f>
        <v>4</v>
      </c>
      <c r="M256" s="38" t="n">
        <f aca="false">IF(OR(L256="",G256=""),"",G256*L256)</f>
        <v>16</v>
      </c>
      <c r="N256" s="31" t="n">
        <f aca="false">IF(M256="","",MATCH(M256,Config!$E$5:$E$9,1))</f>
        <v>4</v>
      </c>
      <c r="O256" s="7" t="str">
        <f aca="false">IF(F256="N/A","N/A",IF(N256="","Not assessed",INDEX(Config!$B$5:$B$9,N256)))</f>
        <v>Medium-High</v>
      </c>
      <c r="P256" s="32" t="n">
        <v>0</v>
      </c>
      <c r="Q256" s="8"/>
      <c r="R256" s="33"/>
      <c r="S256" s="34" t="n">
        <f aca="false">IF(N256="","",IF(AND(R256="Y",P256&lt;&gt;0),MAX(1,MIN(5,N256+MAX(-Config!$C$27,MIN(Config!$C$27,P256)))),N256))</f>
        <v>4</v>
      </c>
      <c r="T256" s="35" t="str">
        <f aca="false">IF(F256="N/A","N/A",IF(S256="","Not assessed",INDEX(Config!$B$5:$B$9,S256)))</f>
        <v>Medium-High</v>
      </c>
      <c r="U256" s="7" t="str">
        <f aca="false">IF(P256=0,"None",IF(R256="Y","Applied","Pending HO approval"))</f>
        <v>None</v>
      </c>
      <c r="V256" s="8"/>
    </row>
    <row r="257" customFormat="false" ht="15" hidden="false" customHeight="false" outlineLevel="0" collapsed="false">
      <c r="A257" s="26" t="str">
        <f aca="false">Entities!$A$24</f>
        <v>TN</v>
      </c>
      <c r="B257" s="12" t="str">
        <f aca="false">INDEX(Entities!$B$5:$B$34,MATCH(A257,Entities!$A$5:$A$34,0))</f>
        <v>Arab Tunisian Bank</v>
      </c>
      <c r="C257" s="12" t="str">
        <f aca="false">INDEX(Entities!$D$5:$D$34,MATCH(A257,Entities!$A$5:$A$34,0))</f>
        <v>North Africa</v>
      </c>
      <c r="D257" s="12" t="s">
        <v>302</v>
      </c>
      <c r="E257" s="12" t="str">
        <f aca="false">INDEX('Risk Taxonomy'!$B$5:$B$24,MATCH(D257,'Risk Taxonomy'!$A$5:$A$24,0))</f>
        <v>Market risk</v>
      </c>
      <c r="F257" s="7" t="str">
        <f aca="false">IF(D257="RC-04",IF(INDEX(Entities!$G$5:$G$34,MATCH(A257,Entities!$A$5:$A$34,0))="Y","Yes","N/A"),"Yes")</f>
        <v>Yes</v>
      </c>
      <c r="G257" s="24" t="n">
        <v>3</v>
      </c>
      <c r="H257" s="24" t="n">
        <v>2</v>
      </c>
      <c r="I257" s="24" t="n">
        <v>3</v>
      </c>
      <c r="J257" s="24" t="n">
        <v>4</v>
      </c>
      <c r="K257" s="24" t="n">
        <v>2</v>
      </c>
      <c r="L257" s="37" t="n">
        <f aca="false">IF(F257="N/A","",IF(COUNT(H257:K257)=0,"",IF(Config!$C$19="Highest dimension",MAX(H257:K257),ROUND(H257*Config!$C$20+I257*Config!$C$21+J257*Config!$C$22+K257*Config!$C$23,1))))</f>
        <v>4</v>
      </c>
      <c r="M257" s="38" t="n">
        <f aca="false">IF(OR(L257="",G257=""),"",G257*L257)</f>
        <v>12</v>
      </c>
      <c r="N257" s="31" t="n">
        <f aca="false">IF(M257="","",MATCH(M257,Config!$E$5:$E$9,1))</f>
        <v>3</v>
      </c>
      <c r="O257" s="7" t="str">
        <f aca="false">IF(F257="N/A","N/A",IF(N257="","Not assessed",INDEX(Config!$B$5:$B$9,N257)))</f>
        <v>Medium</v>
      </c>
      <c r="P257" s="32" t="n">
        <v>0</v>
      </c>
      <c r="Q257" s="8"/>
      <c r="R257" s="33"/>
      <c r="S257" s="34" t="n">
        <f aca="false">IF(N257="","",IF(AND(R257="Y",P257&lt;&gt;0),MAX(1,MIN(5,N257+MAX(-Config!$C$27,MIN(Config!$C$27,P257)))),N257))</f>
        <v>3</v>
      </c>
      <c r="T257" s="35" t="str">
        <f aca="false">IF(F257="N/A","N/A",IF(S257="","Not assessed",INDEX(Config!$B$5:$B$9,S257)))</f>
        <v>Medium</v>
      </c>
      <c r="U257" s="7" t="str">
        <f aca="false">IF(P257=0,"None",IF(R257="Y","Applied","Pending HO approval"))</f>
        <v>None</v>
      </c>
      <c r="V257" s="8"/>
    </row>
    <row r="258" customFormat="false" ht="15" hidden="false" customHeight="false" outlineLevel="0" collapsed="false">
      <c r="A258" s="26" t="str">
        <f aca="false">Entities!$A$24</f>
        <v>TN</v>
      </c>
      <c r="B258" s="12" t="str">
        <f aca="false">INDEX(Entities!$B$5:$B$34,MATCH(A258,Entities!$A$5:$A$34,0))</f>
        <v>Arab Tunisian Bank</v>
      </c>
      <c r="C258" s="12" t="str">
        <f aca="false">INDEX(Entities!$D$5:$D$34,MATCH(A258,Entities!$A$5:$A$34,0))</f>
        <v>North Africa</v>
      </c>
      <c r="D258" s="12" t="s">
        <v>304</v>
      </c>
      <c r="E258" s="12" t="str">
        <f aca="false">INDEX('Risk Taxonomy'!$B$5:$B$24,MATCH(D258,'Risk Taxonomy'!$A$5:$A$24,0))</f>
        <v>Liquidity and funding risk</v>
      </c>
      <c r="F258" s="7" t="str">
        <f aca="false">IF(D258="RC-04",IF(INDEX(Entities!$G$5:$G$34,MATCH(A258,Entities!$A$5:$A$34,0))="Y","Yes","N/A"),"Yes")</f>
        <v>Yes</v>
      </c>
      <c r="G258" s="24" t="n">
        <v>2</v>
      </c>
      <c r="H258" s="24" t="n">
        <v>3</v>
      </c>
      <c r="I258" s="24" t="n">
        <v>2</v>
      </c>
      <c r="J258" s="24" t="n">
        <v>3</v>
      </c>
      <c r="K258" s="24" t="n">
        <v>3</v>
      </c>
      <c r="L258" s="37" t="n">
        <f aca="false">IF(F258="N/A","",IF(COUNT(H258:K258)=0,"",IF(Config!$C$19="Highest dimension",MAX(H258:K258),ROUND(H258*Config!$C$20+I258*Config!$C$21+J258*Config!$C$22+K258*Config!$C$23,1))))</f>
        <v>3</v>
      </c>
      <c r="M258" s="38" t="n">
        <f aca="false">IF(OR(L258="",G258=""),"",G258*L258)</f>
        <v>6</v>
      </c>
      <c r="N258" s="31" t="n">
        <f aca="false">IF(M258="","",MATCH(M258,Config!$E$5:$E$9,1))</f>
        <v>2</v>
      </c>
      <c r="O258" s="7" t="str">
        <f aca="false">IF(F258="N/A","N/A",IF(N258="","Not assessed",INDEX(Config!$B$5:$B$9,N258)))</f>
        <v>Medium-Low</v>
      </c>
      <c r="P258" s="32" t="n">
        <v>0</v>
      </c>
      <c r="Q258" s="8"/>
      <c r="R258" s="33"/>
      <c r="S258" s="34" t="n">
        <f aca="false">IF(N258="","",IF(AND(R258="Y",P258&lt;&gt;0),MAX(1,MIN(5,N258+MAX(-Config!$C$27,MIN(Config!$C$27,P258)))),N258))</f>
        <v>2</v>
      </c>
      <c r="T258" s="35" t="str">
        <f aca="false">IF(F258="N/A","N/A",IF(S258="","Not assessed",INDEX(Config!$B$5:$B$9,S258)))</f>
        <v>Medium-Low</v>
      </c>
      <c r="U258" s="7" t="str">
        <f aca="false">IF(P258=0,"None",IF(R258="Y","Applied","Pending HO approval"))</f>
        <v>None</v>
      </c>
      <c r="V258" s="8"/>
    </row>
    <row r="259" customFormat="false" ht="15" hidden="false" customHeight="false" outlineLevel="0" collapsed="false">
      <c r="A259" s="26" t="str">
        <f aca="false">Entities!$A$24</f>
        <v>TN</v>
      </c>
      <c r="B259" s="12" t="str">
        <f aca="false">INDEX(Entities!$B$5:$B$34,MATCH(A259,Entities!$A$5:$A$34,0))</f>
        <v>Arab Tunisian Bank</v>
      </c>
      <c r="C259" s="12" t="str">
        <f aca="false">INDEX(Entities!$D$5:$D$34,MATCH(A259,Entities!$A$5:$A$34,0))</f>
        <v>North Africa</v>
      </c>
      <c r="D259" s="12" t="s">
        <v>307</v>
      </c>
      <c r="E259" s="12" t="str">
        <f aca="false">INDEX('Risk Taxonomy'!$B$5:$B$24,MATCH(D259,'Risk Taxonomy'!$A$5:$A$24,0))</f>
        <v>Operational risk</v>
      </c>
      <c r="F259" s="7" t="str">
        <f aca="false">IF(D259="RC-04",IF(INDEX(Entities!$G$5:$G$34,MATCH(A259,Entities!$A$5:$A$34,0))="Y","Yes","N/A"),"Yes")</f>
        <v>Yes</v>
      </c>
      <c r="G259" s="24" t="n">
        <v>4</v>
      </c>
      <c r="H259" s="24" t="n">
        <v>3</v>
      </c>
      <c r="I259" s="24" t="n">
        <v>3</v>
      </c>
      <c r="J259" s="24" t="n">
        <v>3</v>
      </c>
      <c r="K259" s="24" t="n">
        <v>4</v>
      </c>
      <c r="L259" s="37" t="n">
        <f aca="false">IF(F259="N/A","",IF(COUNT(H259:K259)=0,"",IF(Config!$C$19="Highest dimension",MAX(H259:K259),ROUND(H259*Config!$C$20+I259*Config!$C$21+J259*Config!$C$22+K259*Config!$C$23,1))))</f>
        <v>4</v>
      </c>
      <c r="M259" s="38" t="n">
        <f aca="false">IF(OR(L259="",G259=""),"",G259*L259)</f>
        <v>16</v>
      </c>
      <c r="N259" s="31" t="n">
        <f aca="false">IF(M259="","",MATCH(M259,Config!$E$5:$E$9,1))</f>
        <v>4</v>
      </c>
      <c r="O259" s="7" t="str">
        <f aca="false">IF(F259="N/A","N/A",IF(N259="","Not assessed",INDEX(Config!$B$5:$B$9,N259)))</f>
        <v>Medium-High</v>
      </c>
      <c r="P259" s="32" t="n">
        <v>0</v>
      </c>
      <c r="Q259" s="8"/>
      <c r="R259" s="33"/>
      <c r="S259" s="34" t="n">
        <f aca="false">IF(N259="","",IF(AND(R259="Y",P259&lt;&gt;0),MAX(1,MIN(5,N259+MAX(-Config!$C$27,MIN(Config!$C$27,P259)))),N259))</f>
        <v>4</v>
      </c>
      <c r="T259" s="35" t="str">
        <f aca="false">IF(F259="N/A","N/A",IF(S259="","Not assessed",INDEX(Config!$B$5:$B$9,S259)))</f>
        <v>Medium-High</v>
      </c>
      <c r="U259" s="7" t="str">
        <f aca="false">IF(P259=0,"None",IF(R259="Y","Applied","Pending HO approval"))</f>
        <v>None</v>
      </c>
      <c r="V259" s="8"/>
    </row>
    <row r="260" customFormat="false" ht="15" hidden="false" customHeight="false" outlineLevel="0" collapsed="false">
      <c r="A260" s="26" t="str">
        <f aca="false">Entities!$A$24</f>
        <v>TN</v>
      </c>
      <c r="B260" s="12" t="str">
        <f aca="false">INDEX(Entities!$B$5:$B$34,MATCH(A260,Entities!$A$5:$A$34,0))</f>
        <v>Arab Tunisian Bank</v>
      </c>
      <c r="C260" s="12" t="str">
        <f aca="false">INDEX(Entities!$D$5:$D$34,MATCH(A260,Entities!$A$5:$A$34,0))</f>
        <v>North Africa</v>
      </c>
      <c r="D260" s="12" t="s">
        <v>310</v>
      </c>
      <c r="E260" s="12" t="str">
        <f aca="false">INDEX('Risk Taxonomy'!$B$5:$B$24,MATCH(D260,'Risk Taxonomy'!$A$5:$A$24,0))</f>
        <v>Cyber, information security and technology</v>
      </c>
      <c r="F260" s="7" t="str">
        <f aca="false">IF(D260="RC-04",IF(INDEX(Entities!$G$5:$G$34,MATCH(A260,Entities!$A$5:$A$34,0))="Y","Yes","N/A"),"Yes")</f>
        <v>Yes</v>
      </c>
      <c r="G260" s="24" t="n">
        <v>3</v>
      </c>
      <c r="H260" s="24" t="n">
        <v>3</v>
      </c>
      <c r="I260" s="24" t="n">
        <v>2</v>
      </c>
      <c r="J260" s="24" t="n">
        <v>2</v>
      </c>
      <c r="K260" s="24" t="n">
        <v>2</v>
      </c>
      <c r="L260" s="37" t="n">
        <f aca="false">IF(F260="N/A","",IF(COUNT(H260:K260)=0,"",IF(Config!$C$19="Highest dimension",MAX(H260:K260),ROUND(H260*Config!$C$20+I260*Config!$C$21+J260*Config!$C$22+K260*Config!$C$23,1))))</f>
        <v>3</v>
      </c>
      <c r="M260" s="38" t="n">
        <f aca="false">IF(OR(L260="",G260=""),"",G260*L260)</f>
        <v>9</v>
      </c>
      <c r="N260" s="31" t="n">
        <f aca="false">IF(M260="","",MATCH(M260,Config!$E$5:$E$9,1))</f>
        <v>3</v>
      </c>
      <c r="O260" s="7" t="str">
        <f aca="false">IF(F260="N/A","N/A",IF(N260="","Not assessed",INDEX(Config!$B$5:$B$9,N260)))</f>
        <v>Medium</v>
      </c>
      <c r="P260" s="32" t="n">
        <v>0</v>
      </c>
      <c r="Q260" s="8"/>
      <c r="R260" s="33"/>
      <c r="S260" s="34" t="n">
        <f aca="false">IF(N260="","",IF(AND(R260="Y",P260&lt;&gt;0),MAX(1,MIN(5,N260+MAX(-Config!$C$27,MIN(Config!$C$27,P260)))),N260))</f>
        <v>3</v>
      </c>
      <c r="T260" s="35" t="str">
        <f aca="false">IF(F260="N/A","N/A",IF(S260="","Not assessed",INDEX(Config!$B$5:$B$9,S260)))</f>
        <v>Medium</v>
      </c>
      <c r="U260" s="7" t="str">
        <f aca="false">IF(P260=0,"None",IF(R260="Y","Applied","Pending HO approval"))</f>
        <v>None</v>
      </c>
      <c r="V260" s="8"/>
    </row>
    <row r="261" customFormat="false" ht="15" hidden="false" customHeight="false" outlineLevel="0" collapsed="false">
      <c r="A261" s="26" t="str">
        <f aca="false">Entities!$A$24</f>
        <v>TN</v>
      </c>
      <c r="B261" s="12" t="str">
        <f aca="false">INDEX(Entities!$B$5:$B$34,MATCH(A261,Entities!$A$5:$A$34,0))</f>
        <v>Arab Tunisian Bank</v>
      </c>
      <c r="C261" s="12" t="str">
        <f aca="false">INDEX(Entities!$D$5:$D$34,MATCH(A261,Entities!$A$5:$A$34,0))</f>
        <v>North Africa</v>
      </c>
      <c r="D261" s="12" t="s">
        <v>313</v>
      </c>
      <c r="E261" s="12" t="str">
        <f aca="false">INDEX('Risk Taxonomy'!$B$5:$B$24,MATCH(D261,'Risk Taxonomy'!$A$5:$A$24,0))</f>
        <v>Third-party and outsourcing</v>
      </c>
      <c r="F261" s="7" t="str">
        <f aca="false">IF(D261="RC-04",IF(INDEX(Entities!$G$5:$G$34,MATCH(A261,Entities!$A$5:$A$34,0))="Y","Yes","N/A"),"Yes")</f>
        <v>Yes</v>
      </c>
      <c r="G261" s="24" t="n">
        <v>3</v>
      </c>
      <c r="H261" s="24" t="n">
        <v>3</v>
      </c>
      <c r="I261" s="24" t="n">
        <v>3</v>
      </c>
      <c r="J261" s="24" t="n">
        <v>2</v>
      </c>
      <c r="K261" s="24" t="n">
        <v>3</v>
      </c>
      <c r="L261" s="37" t="n">
        <f aca="false">IF(F261="N/A","",IF(COUNT(H261:K261)=0,"",IF(Config!$C$19="Highest dimension",MAX(H261:K261),ROUND(H261*Config!$C$20+I261*Config!$C$21+J261*Config!$C$22+K261*Config!$C$23,1))))</f>
        <v>3</v>
      </c>
      <c r="M261" s="38" t="n">
        <f aca="false">IF(OR(L261="",G261=""),"",G261*L261)</f>
        <v>9</v>
      </c>
      <c r="N261" s="31" t="n">
        <f aca="false">IF(M261="","",MATCH(M261,Config!$E$5:$E$9,1))</f>
        <v>3</v>
      </c>
      <c r="O261" s="7" t="str">
        <f aca="false">IF(F261="N/A","N/A",IF(N261="","Not assessed",INDEX(Config!$B$5:$B$9,N261)))</f>
        <v>Medium</v>
      </c>
      <c r="P261" s="32" t="n">
        <v>0</v>
      </c>
      <c r="Q261" s="8"/>
      <c r="R261" s="33"/>
      <c r="S261" s="34" t="n">
        <f aca="false">IF(N261="","",IF(AND(R261="Y",P261&lt;&gt;0),MAX(1,MIN(5,N261+MAX(-Config!$C$27,MIN(Config!$C$27,P261)))),N261))</f>
        <v>3</v>
      </c>
      <c r="T261" s="35" t="str">
        <f aca="false">IF(F261="N/A","N/A",IF(S261="","Not assessed",INDEX(Config!$B$5:$B$9,S261)))</f>
        <v>Medium</v>
      </c>
      <c r="U261" s="7" t="str">
        <f aca="false">IF(P261=0,"None",IF(R261="Y","Applied","Pending HO approval"))</f>
        <v>None</v>
      </c>
      <c r="V261" s="8"/>
    </row>
    <row r="262" customFormat="false" ht="15" hidden="false" customHeight="false" outlineLevel="0" collapsed="false">
      <c r="A262" s="26" t="str">
        <f aca="false">Entities!$A$24</f>
        <v>TN</v>
      </c>
      <c r="B262" s="12" t="str">
        <f aca="false">INDEX(Entities!$B$5:$B$34,MATCH(A262,Entities!$A$5:$A$34,0))</f>
        <v>Arab Tunisian Bank</v>
      </c>
      <c r="C262" s="12" t="str">
        <f aca="false">INDEX(Entities!$D$5:$D$34,MATCH(A262,Entities!$A$5:$A$34,0))</f>
        <v>North Africa</v>
      </c>
      <c r="D262" s="12" t="s">
        <v>316</v>
      </c>
      <c r="E262" s="12" t="str">
        <f aca="false">INDEX('Risk Taxonomy'!$B$5:$B$24,MATCH(D262,'Risk Taxonomy'!$A$5:$A$24,0))</f>
        <v>Legal and litigation</v>
      </c>
      <c r="F262" s="7" t="str">
        <f aca="false">IF(D262="RC-04",IF(INDEX(Entities!$G$5:$G$34,MATCH(A262,Entities!$A$5:$A$34,0))="Y","Yes","N/A"),"Yes")</f>
        <v>Yes</v>
      </c>
      <c r="G262" s="24" t="n">
        <v>1</v>
      </c>
      <c r="H262" s="24" t="n">
        <v>2</v>
      </c>
      <c r="I262" s="24" t="n">
        <v>3</v>
      </c>
      <c r="J262" s="24" t="n">
        <v>3</v>
      </c>
      <c r="K262" s="24" t="n">
        <v>1</v>
      </c>
      <c r="L262" s="37" t="n">
        <f aca="false">IF(F262="N/A","",IF(COUNT(H262:K262)=0,"",IF(Config!$C$19="Highest dimension",MAX(H262:K262),ROUND(H262*Config!$C$20+I262*Config!$C$21+J262*Config!$C$22+K262*Config!$C$23,1))))</f>
        <v>3</v>
      </c>
      <c r="M262" s="38" t="n">
        <f aca="false">IF(OR(L262="",G262=""),"",G262*L262)</f>
        <v>3</v>
      </c>
      <c r="N262" s="31" t="n">
        <f aca="false">IF(M262="","",MATCH(M262,Config!$E$5:$E$9,1))</f>
        <v>1</v>
      </c>
      <c r="O262" s="7" t="str">
        <f aca="false">IF(F262="N/A","N/A",IF(N262="","Not assessed",INDEX(Config!$B$5:$B$9,N262)))</f>
        <v>Low</v>
      </c>
      <c r="P262" s="32" t="n">
        <v>0</v>
      </c>
      <c r="Q262" s="8"/>
      <c r="R262" s="33"/>
      <c r="S262" s="34" t="n">
        <f aca="false">IF(N262="","",IF(AND(R262="Y",P262&lt;&gt;0),MAX(1,MIN(5,N262+MAX(-Config!$C$27,MIN(Config!$C$27,P262)))),N262))</f>
        <v>1</v>
      </c>
      <c r="T262" s="35" t="str">
        <f aca="false">IF(F262="N/A","N/A",IF(S262="","Not assessed",INDEX(Config!$B$5:$B$9,S262)))</f>
        <v>Low</v>
      </c>
      <c r="U262" s="7" t="str">
        <f aca="false">IF(P262=0,"None",IF(R262="Y","Applied","Pending HO approval"))</f>
        <v>None</v>
      </c>
      <c r="V262" s="8"/>
    </row>
    <row r="263" customFormat="false" ht="15" hidden="false" customHeight="false" outlineLevel="0" collapsed="false">
      <c r="A263" s="26" t="str">
        <f aca="false">Entities!$A$24</f>
        <v>TN</v>
      </c>
      <c r="B263" s="12" t="str">
        <f aca="false">INDEX(Entities!$B$5:$B$34,MATCH(A263,Entities!$A$5:$A$34,0))</f>
        <v>Arab Tunisian Bank</v>
      </c>
      <c r="C263" s="12" t="str">
        <f aca="false">INDEX(Entities!$D$5:$D$34,MATCH(A263,Entities!$A$5:$A$34,0))</f>
        <v>North Africa</v>
      </c>
      <c r="D263" s="12" t="s">
        <v>319</v>
      </c>
      <c r="E263" s="12" t="str">
        <f aca="false">INDEX('Risk Taxonomy'!$B$5:$B$24,MATCH(D263,'Risk Taxonomy'!$A$5:$A$24,0))</f>
        <v>Reputational</v>
      </c>
      <c r="F263" s="7" t="str">
        <f aca="false">IF(D263="RC-04",IF(INDEX(Entities!$G$5:$G$34,MATCH(A263,Entities!$A$5:$A$34,0))="Y","Yes","N/A"),"Yes")</f>
        <v>Yes</v>
      </c>
      <c r="G263" s="24" t="n">
        <v>3</v>
      </c>
      <c r="H263" s="24" t="n">
        <v>3</v>
      </c>
      <c r="I263" s="24" t="n">
        <v>3</v>
      </c>
      <c r="J263" s="24" t="n">
        <v>2</v>
      </c>
      <c r="K263" s="24" t="n">
        <v>2</v>
      </c>
      <c r="L263" s="37" t="n">
        <f aca="false">IF(F263="N/A","",IF(COUNT(H263:K263)=0,"",IF(Config!$C$19="Highest dimension",MAX(H263:K263),ROUND(H263*Config!$C$20+I263*Config!$C$21+J263*Config!$C$22+K263*Config!$C$23,1))))</f>
        <v>3</v>
      </c>
      <c r="M263" s="38" t="n">
        <f aca="false">IF(OR(L263="",G263=""),"",G263*L263)</f>
        <v>9</v>
      </c>
      <c r="N263" s="31" t="n">
        <f aca="false">IF(M263="","",MATCH(M263,Config!$E$5:$E$9,1))</f>
        <v>3</v>
      </c>
      <c r="O263" s="7" t="str">
        <f aca="false">IF(F263="N/A","N/A",IF(N263="","Not assessed",INDEX(Config!$B$5:$B$9,N263)))</f>
        <v>Medium</v>
      </c>
      <c r="P263" s="32" t="n">
        <v>0</v>
      </c>
      <c r="Q263" s="8"/>
      <c r="R263" s="33"/>
      <c r="S263" s="34" t="n">
        <f aca="false">IF(N263="","",IF(AND(R263="Y",P263&lt;&gt;0),MAX(1,MIN(5,N263+MAX(-Config!$C$27,MIN(Config!$C$27,P263)))),N263))</f>
        <v>3</v>
      </c>
      <c r="T263" s="35" t="str">
        <f aca="false">IF(F263="N/A","N/A",IF(S263="","Not assessed",INDEX(Config!$B$5:$B$9,S263)))</f>
        <v>Medium</v>
      </c>
      <c r="U263" s="7" t="str">
        <f aca="false">IF(P263=0,"None",IF(R263="Y","Applied","Pending HO approval"))</f>
        <v>None</v>
      </c>
      <c r="V263" s="8"/>
    </row>
    <row r="264" customFormat="false" ht="15" hidden="false" customHeight="false" outlineLevel="0" collapsed="false">
      <c r="A264" s="26" t="str">
        <f aca="false">Entities!$A$24</f>
        <v>TN</v>
      </c>
      <c r="B264" s="12" t="str">
        <f aca="false">INDEX(Entities!$B$5:$B$34,MATCH(A264,Entities!$A$5:$A$34,0))</f>
        <v>Arab Tunisian Bank</v>
      </c>
      <c r="C264" s="12" t="str">
        <f aca="false">INDEX(Entities!$D$5:$D$34,MATCH(A264,Entities!$A$5:$A$34,0))</f>
        <v>North Africa</v>
      </c>
      <c r="D264" s="12" t="s">
        <v>322</v>
      </c>
      <c r="E264" s="12" t="str">
        <f aca="false">INDEX('Risk Taxonomy'!$B$5:$B$24,MATCH(D264,'Risk Taxonomy'!$A$5:$A$24,0))</f>
        <v>Strategic, business model and ESG</v>
      </c>
      <c r="F264" s="7" t="str">
        <f aca="false">IF(D264="RC-04",IF(INDEX(Entities!$G$5:$G$34,MATCH(A264,Entities!$A$5:$A$34,0))="Y","Yes","N/A"),"Yes")</f>
        <v>Yes</v>
      </c>
      <c r="G264" s="24" t="n">
        <v>3</v>
      </c>
      <c r="H264" s="24" t="n">
        <v>4</v>
      </c>
      <c r="I264" s="24" t="n">
        <v>3</v>
      </c>
      <c r="J264" s="24" t="n">
        <v>3</v>
      </c>
      <c r="K264" s="24" t="n">
        <v>3</v>
      </c>
      <c r="L264" s="37" t="n">
        <f aca="false">IF(F264="N/A","",IF(COUNT(H264:K264)=0,"",IF(Config!$C$19="Highest dimension",MAX(H264:K264),ROUND(H264*Config!$C$20+I264*Config!$C$21+J264*Config!$C$22+K264*Config!$C$23,1))))</f>
        <v>4</v>
      </c>
      <c r="M264" s="38" t="n">
        <f aca="false">IF(OR(L264="",G264=""),"",G264*L264)</f>
        <v>12</v>
      </c>
      <c r="N264" s="31" t="n">
        <f aca="false">IF(M264="","",MATCH(M264,Config!$E$5:$E$9,1))</f>
        <v>3</v>
      </c>
      <c r="O264" s="7" t="str">
        <f aca="false">IF(F264="N/A","N/A",IF(N264="","Not assessed",INDEX(Config!$B$5:$B$9,N264)))</f>
        <v>Medium</v>
      </c>
      <c r="P264" s="32" t="n">
        <v>0</v>
      </c>
      <c r="Q264" s="8"/>
      <c r="R264" s="33"/>
      <c r="S264" s="34" t="n">
        <f aca="false">IF(N264="","",IF(AND(R264="Y",P264&lt;&gt;0),MAX(1,MIN(5,N264+MAX(-Config!$C$27,MIN(Config!$C$27,P264)))),N264))</f>
        <v>3</v>
      </c>
      <c r="T264" s="35" t="str">
        <f aca="false">IF(F264="N/A","N/A",IF(S264="","Not assessed",INDEX(Config!$B$5:$B$9,S264)))</f>
        <v>Medium</v>
      </c>
      <c r="U264" s="7" t="str">
        <f aca="false">IF(P264=0,"None",IF(R264="Y","Applied","Pending HO approval"))</f>
        <v>None</v>
      </c>
      <c r="V264" s="8"/>
    </row>
    <row r="265" customFormat="false" ht="15" hidden="false" customHeight="false" outlineLevel="0" collapsed="false">
      <c r="A265" s="26" t="str">
        <f aca="false">Entities!$A$25</f>
        <v>SD</v>
      </c>
      <c r="B265" s="12" t="str">
        <f aca="false">INDEX(Entities!$B$5:$B$34,MATCH(A265,Entities!$A$5:$A$34,0))</f>
        <v>Arab Sudanese Bank</v>
      </c>
      <c r="C265" s="12" t="str">
        <f aca="false">INDEX(Entities!$D$5:$D$34,MATCH(A265,Entities!$A$5:$A$34,0))</f>
        <v>North Africa</v>
      </c>
      <c r="D265" s="12" t="s">
        <v>284</v>
      </c>
      <c r="E265" s="12" t="str">
        <f aca="false">INDEX('Risk Taxonomy'!$B$5:$B$24,MATCH(D265,'Risk Taxonomy'!$A$5:$A$24,0))</f>
        <v>Regulatory compliance</v>
      </c>
      <c r="F265" s="7" t="str">
        <f aca="false">IF(D265="RC-04",IF(INDEX(Entities!$G$5:$G$34,MATCH(A265,Entities!$A$5:$A$34,0))="Y","Yes","N/A"),"Yes")</f>
        <v>Yes</v>
      </c>
      <c r="G265" s="24" t="n">
        <v>4</v>
      </c>
      <c r="H265" s="24" t="n">
        <v>5</v>
      </c>
      <c r="I265" s="24" t="n">
        <v>3</v>
      </c>
      <c r="J265" s="24" t="n">
        <v>3</v>
      </c>
      <c r="K265" s="24" t="n">
        <v>3</v>
      </c>
      <c r="L265" s="37" t="n">
        <f aca="false">IF(F265="N/A","",IF(COUNT(H265:K265)=0,"",IF(Config!$C$19="Highest dimension",MAX(H265:K265),ROUND(H265*Config!$C$20+I265*Config!$C$21+J265*Config!$C$22+K265*Config!$C$23,1))))</f>
        <v>5</v>
      </c>
      <c r="M265" s="38" t="n">
        <f aca="false">IF(OR(L265="",G265=""),"",G265*L265)</f>
        <v>20</v>
      </c>
      <c r="N265" s="31" t="n">
        <f aca="false">IF(M265="","",MATCH(M265,Config!$E$5:$E$9,1))</f>
        <v>5</v>
      </c>
      <c r="O265" s="7" t="str">
        <f aca="false">IF(F265="N/A","N/A",IF(N265="","Not assessed",INDEX(Config!$B$5:$B$9,N265)))</f>
        <v>High</v>
      </c>
      <c r="P265" s="32" t="n">
        <v>0</v>
      </c>
      <c r="Q265" s="8"/>
      <c r="R265" s="33"/>
      <c r="S265" s="34" t="n">
        <f aca="false">IF(N265="","",IF(AND(R265="Y",P265&lt;&gt;0),MAX(1,MIN(5,N265+MAX(-Config!$C$27,MIN(Config!$C$27,P265)))),N265))</f>
        <v>5</v>
      </c>
      <c r="T265" s="35" t="str">
        <f aca="false">IF(F265="N/A","N/A",IF(S265="","Not assessed",INDEX(Config!$B$5:$B$9,S265)))</f>
        <v>High</v>
      </c>
      <c r="U265" s="7" t="str">
        <f aca="false">IF(P265=0,"None",IF(R265="Y","Applied","Pending HO approval"))</f>
        <v>None</v>
      </c>
      <c r="V265" s="8"/>
    </row>
    <row r="266" customFormat="false" ht="15" hidden="false" customHeight="false" outlineLevel="0" collapsed="false">
      <c r="A266" s="26" t="str">
        <f aca="false">Entities!$A$25</f>
        <v>SD</v>
      </c>
      <c r="B266" s="12" t="str">
        <f aca="false">INDEX(Entities!$B$5:$B$34,MATCH(A266,Entities!$A$5:$A$34,0))</f>
        <v>Arab Sudanese Bank</v>
      </c>
      <c r="C266" s="12" t="str">
        <f aca="false">INDEX(Entities!$D$5:$D$34,MATCH(A266,Entities!$A$5:$A$34,0))</f>
        <v>North Africa</v>
      </c>
      <c r="D266" s="12" t="s">
        <v>288</v>
      </c>
      <c r="E266" s="12" t="str">
        <f aca="false">INDEX('Risk Taxonomy'!$B$5:$B$24,MATCH(D266,'Risk Taxonomy'!$A$5:$A$24,0))</f>
        <v>Conduct and consumer protection</v>
      </c>
      <c r="F266" s="7" t="str">
        <f aca="false">IF(D266="RC-04",IF(INDEX(Entities!$G$5:$G$34,MATCH(A266,Entities!$A$5:$A$34,0))="Y","Yes","N/A"),"Yes")</f>
        <v>Yes</v>
      </c>
      <c r="G266" s="24" t="n">
        <v>4</v>
      </c>
      <c r="H266" s="24" t="n">
        <v>3</v>
      </c>
      <c r="I266" s="24" t="n">
        <v>3</v>
      </c>
      <c r="J266" s="24" t="n">
        <v>4</v>
      </c>
      <c r="K266" s="24" t="n">
        <v>2</v>
      </c>
      <c r="L266" s="37" t="n">
        <f aca="false">IF(F266="N/A","",IF(COUNT(H266:K266)=0,"",IF(Config!$C$19="Highest dimension",MAX(H266:K266),ROUND(H266*Config!$C$20+I266*Config!$C$21+J266*Config!$C$22+K266*Config!$C$23,1))))</f>
        <v>4</v>
      </c>
      <c r="M266" s="38" t="n">
        <f aca="false">IF(OR(L266="",G266=""),"",G266*L266)</f>
        <v>16</v>
      </c>
      <c r="N266" s="31" t="n">
        <f aca="false">IF(M266="","",MATCH(M266,Config!$E$5:$E$9,1))</f>
        <v>4</v>
      </c>
      <c r="O266" s="7" t="str">
        <f aca="false">IF(F266="N/A","N/A",IF(N266="","Not assessed",INDEX(Config!$B$5:$B$9,N266)))</f>
        <v>Medium-High</v>
      </c>
      <c r="P266" s="32" t="n">
        <v>0</v>
      </c>
      <c r="Q266" s="8"/>
      <c r="R266" s="33"/>
      <c r="S266" s="34" t="n">
        <f aca="false">IF(N266="","",IF(AND(R266="Y",P266&lt;&gt;0),MAX(1,MIN(5,N266+MAX(-Config!$C$27,MIN(Config!$C$27,P266)))),N266))</f>
        <v>4</v>
      </c>
      <c r="T266" s="35" t="str">
        <f aca="false">IF(F266="N/A","N/A",IF(S266="","Not assessed",INDEX(Config!$B$5:$B$9,S266)))</f>
        <v>Medium-High</v>
      </c>
      <c r="U266" s="7" t="str">
        <f aca="false">IF(P266=0,"None",IF(R266="Y","Applied","Pending HO approval"))</f>
        <v>None</v>
      </c>
      <c r="V266" s="8"/>
    </row>
    <row r="267" customFormat="false" ht="15" hidden="false" customHeight="false" outlineLevel="0" collapsed="false">
      <c r="A267" s="26" t="str">
        <f aca="false">Entities!$A$25</f>
        <v>SD</v>
      </c>
      <c r="B267" s="12" t="str">
        <f aca="false">INDEX(Entities!$B$5:$B$34,MATCH(A267,Entities!$A$5:$A$34,0))</f>
        <v>Arab Sudanese Bank</v>
      </c>
      <c r="C267" s="12" t="str">
        <f aca="false">INDEX(Entities!$D$5:$D$34,MATCH(A267,Entities!$A$5:$A$34,0))</f>
        <v>North Africa</v>
      </c>
      <c r="D267" s="12" t="s">
        <v>290</v>
      </c>
      <c r="E267" s="12" t="str">
        <f aca="false">INDEX('Risk Taxonomy'!$B$5:$B$24,MATCH(D267,'Risk Taxonomy'!$A$5:$A$24,0))</f>
        <v>Data protection and privacy</v>
      </c>
      <c r="F267" s="7" t="str">
        <f aca="false">IF(D267="RC-04",IF(INDEX(Entities!$G$5:$G$34,MATCH(A267,Entities!$A$5:$A$34,0))="Y","Yes","N/A"),"Yes")</f>
        <v>Yes</v>
      </c>
      <c r="G267" s="24" t="n">
        <v>4</v>
      </c>
      <c r="H267" s="24" t="n">
        <v>4</v>
      </c>
      <c r="I267" s="24" t="n">
        <v>4</v>
      </c>
      <c r="J267" s="24" t="n">
        <v>3</v>
      </c>
      <c r="K267" s="24" t="n">
        <v>3</v>
      </c>
      <c r="L267" s="37" t="n">
        <f aca="false">IF(F267="N/A","",IF(COUNT(H267:K267)=0,"",IF(Config!$C$19="Highest dimension",MAX(H267:K267),ROUND(H267*Config!$C$20+I267*Config!$C$21+J267*Config!$C$22+K267*Config!$C$23,1))))</f>
        <v>4</v>
      </c>
      <c r="M267" s="38" t="n">
        <f aca="false">IF(OR(L267="",G267=""),"",G267*L267)</f>
        <v>16</v>
      </c>
      <c r="N267" s="31" t="n">
        <f aca="false">IF(M267="","",MATCH(M267,Config!$E$5:$E$9,1))</f>
        <v>4</v>
      </c>
      <c r="O267" s="7" t="str">
        <f aca="false">IF(F267="N/A","N/A",IF(N267="","Not assessed",INDEX(Config!$B$5:$B$9,N267)))</f>
        <v>Medium-High</v>
      </c>
      <c r="P267" s="32" t="n">
        <v>0</v>
      </c>
      <c r="Q267" s="8"/>
      <c r="R267" s="33"/>
      <c r="S267" s="34" t="n">
        <f aca="false">IF(N267="","",IF(AND(R267="Y",P267&lt;&gt;0),MAX(1,MIN(5,N267+MAX(-Config!$C$27,MIN(Config!$C$27,P267)))),N267))</f>
        <v>4</v>
      </c>
      <c r="T267" s="35" t="str">
        <f aca="false">IF(F267="N/A","N/A",IF(S267="","Not assessed",INDEX(Config!$B$5:$B$9,S267)))</f>
        <v>Medium-High</v>
      </c>
      <c r="U267" s="7" t="str">
        <f aca="false">IF(P267=0,"None",IF(R267="Y","Applied","Pending HO approval"))</f>
        <v>None</v>
      </c>
      <c r="V267" s="8"/>
    </row>
    <row r="268" customFormat="false" ht="15" hidden="false" customHeight="false" outlineLevel="0" collapsed="false">
      <c r="A268" s="26" t="str">
        <f aca="false">Entities!$A$25</f>
        <v>SD</v>
      </c>
      <c r="B268" s="12" t="str">
        <f aca="false">INDEX(Entities!$B$5:$B$34,MATCH(A268,Entities!$A$5:$A$34,0))</f>
        <v>Arab Sudanese Bank</v>
      </c>
      <c r="C268" s="12" t="str">
        <f aca="false">INDEX(Entities!$D$5:$D$34,MATCH(A268,Entities!$A$5:$A$34,0))</f>
        <v>North Africa</v>
      </c>
      <c r="D268" s="12" t="s">
        <v>293</v>
      </c>
      <c r="E268" s="12" t="str">
        <f aca="false">INDEX('Risk Taxonomy'!$B$5:$B$24,MATCH(D268,'Risk Taxonomy'!$A$5:$A$24,0))</f>
        <v>Shariah non-compliance</v>
      </c>
      <c r="F268" s="7" t="str">
        <f aca="false">IF(D268="RC-04",IF(INDEX(Entities!$G$5:$G$34,MATCH(A268,Entities!$A$5:$A$34,0))="Y","Yes","N/A"),"Yes")</f>
        <v>N/A</v>
      </c>
      <c r="G268" s="24"/>
      <c r="H268" s="24"/>
      <c r="I268" s="24"/>
      <c r="J268" s="24"/>
      <c r="K268" s="24"/>
      <c r="L268" s="37" t="str">
        <f aca="false">IF(F268="N/A","",IF(COUNT(H268:K268)=0,"",IF(Config!$C$19="Highest dimension",MAX(H268:K268),ROUND(H268*Config!$C$20+I268*Config!$C$21+J268*Config!$C$22+K268*Config!$C$23,1))))</f>
        <v/>
      </c>
      <c r="M268" s="38" t="str">
        <f aca="false">IF(OR(L268="",G268=""),"",G268*L268)</f>
        <v/>
      </c>
      <c r="N268" s="31" t="str">
        <f aca="false">IF(M268="","",MATCH(M268,Config!$E$5:$E$9,1))</f>
        <v/>
      </c>
      <c r="O268" s="7" t="str">
        <f aca="false">IF(F268="N/A","N/A",IF(N268="","Not assessed",INDEX(Config!$B$5:$B$9,N268)))</f>
        <v>N/A</v>
      </c>
      <c r="P268" s="32" t="n">
        <v>0</v>
      </c>
      <c r="Q268" s="8"/>
      <c r="R268" s="33"/>
      <c r="S268" s="34" t="str">
        <f aca="false">IF(N268="","",IF(AND(R268="Y",P268&lt;&gt;0),MAX(1,MIN(5,N268+MAX(-Config!$C$27,MIN(Config!$C$27,P268)))),N268))</f>
        <v/>
      </c>
      <c r="T268" s="35" t="str">
        <f aca="false">IF(F268="N/A","N/A",IF(S268="","Not assessed",INDEX(Config!$B$5:$B$9,S268)))</f>
        <v>N/A</v>
      </c>
      <c r="U268" s="7" t="str">
        <f aca="false">IF(P268=0,"None",IF(R268="Y","Applied","Pending HO approval"))</f>
        <v>None</v>
      </c>
      <c r="V268" s="8"/>
    </row>
    <row r="269" customFormat="false" ht="15" hidden="false" customHeight="false" outlineLevel="0" collapsed="false">
      <c r="A269" s="26" t="str">
        <f aca="false">Entities!$A$25</f>
        <v>SD</v>
      </c>
      <c r="B269" s="12" t="str">
        <f aca="false">INDEX(Entities!$B$5:$B$34,MATCH(A269,Entities!$A$5:$A$34,0))</f>
        <v>Arab Sudanese Bank</v>
      </c>
      <c r="C269" s="12" t="str">
        <f aca="false">INDEX(Entities!$D$5:$D$34,MATCH(A269,Entities!$A$5:$A$34,0))</f>
        <v>North Africa</v>
      </c>
      <c r="D269" s="12" t="s">
        <v>297</v>
      </c>
      <c r="E269" s="12" t="str">
        <f aca="false">INDEX('Risk Taxonomy'!$B$5:$B$24,MATCH(D269,'Risk Taxonomy'!$A$5:$A$24,0))</f>
        <v>Credit risk</v>
      </c>
      <c r="F269" s="7" t="str">
        <f aca="false">IF(D269="RC-04",IF(INDEX(Entities!$G$5:$G$34,MATCH(A269,Entities!$A$5:$A$34,0))="Y","Yes","N/A"),"Yes")</f>
        <v>Yes</v>
      </c>
      <c r="G269" s="24" t="n">
        <v>4</v>
      </c>
      <c r="H269" s="24" t="n">
        <v>5</v>
      </c>
      <c r="I269" s="24" t="n">
        <v>3</v>
      </c>
      <c r="J269" s="24" t="n">
        <v>4</v>
      </c>
      <c r="K269" s="24" t="n">
        <v>4</v>
      </c>
      <c r="L269" s="37" t="n">
        <f aca="false">IF(F269="N/A","",IF(COUNT(H269:K269)=0,"",IF(Config!$C$19="Highest dimension",MAX(H269:K269),ROUND(H269*Config!$C$20+I269*Config!$C$21+J269*Config!$C$22+K269*Config!$C$23,1))))</f>
        <v>5</v>
      </c>
      <c r="M269" s="38" t="n">
        <f aca="false">IF(OR(L269="",G269=""),"",G269*L269)</f>
        <v>20</v>
      </c>
      <c r="N269" s="31" t="n">
        <f aca="false">IF(M269="","",MATCH(M269,Config!$E$5:$E$9,1))</f>
        <v>5</v>
      </c>
      <c r="O269" s="7" t="str">
        <f aca="false">IF(F269="N/A","N/A",IF(N269="","Not assessed",INDEX(Config!$B$5:$B$9,N269)))</f>
        <v>High</v>
      </c>
      <c r="P269" s="32" t="n">
        <v>0</v>
      </c>
      <c r="Q269" s="8"/>
      <c r="R269" s="33"/>
      <c r="S269" s="34" t="n">
        <f aca="false">IF(N269="","",IF(AND(R269="Y",P269&lt;&gt;0),MAX(1,MIN(5,N269+MAX(-Config!$C$27,MIN(Config!$C$27,P269)))),N269))</f>
        <v>5</v>
      </c>
      <c r="T269" s="35" t="str">
        <f aca="false">IF(F269="N/A","N/A",IF(S269="","Not assessed",INDEX(Config!$B$5:$B$9,S269)))</f>
        <v>High</v>
      </c>
      <c r="U269" s="7" t="str">
        <f aca="false">IF(P269=0,"None",IF(R269="Y","Applied","Pending HO approval"))</f>
        <v>None</v>
      </c>
      <c r="V269" s="8"/>
    </row>
    <row r="270" customFormat="false" ht="15" hidden="false" customHeight="false" outlineLevel="0" collapsed="false">
      <c r="A270" s="26" t="str">
        <f aca="false">Entities!$A$25</f>
        <v>SD</v>
      </c>
      <c r="B270" s="12" t="str">
        <f aca="false">INDEX(Entities!$B$5:$B$34,MATCH(A270,Entities!$A$5:$A$34,0))</f>
        <v>Arab Sudanese Bank</v>
      </c>
      <c r="C270" s="12" t="str">
        <f aca="false">INDEX(Entities!$D$5:$D$34,MATCH(A270,Entities!$A$5:$A$34,0))</f>
        <v>North Africa</v>
      </c>
      <c r="D270" s="12" t="s">
        <v>302</v>
      </c>
      <c r="E270" s="12" t="str">
        <f aca="false">INDEX('Risk Taxonomy'!$B$5:$B$24,MATCH(D270,'Risk Taxonomy'!$A$5:$A$24,0))</f>
        <v>Market risk</v>
      </c>
      <c r="F270" s="7" t="str">
        <f aca="false">IF(D270="RC-04",IF(INDEX(Entities!$G$5:$G$34,MATCH(A270,Entities!$A$5:$A$34,0))="Y","Yes","N/A"),"Yes")</f>
        <v>Yes</v>
      </c>
      <c r="G270" s="24" t="n">
        <v>2</v>
      </c>
      <c r="H270" s="24" t="n">
        <v>3</v>
      </c>
      <c r="I270" s="24" t="n">
        <v>3</v>
      </c>
      <c r="J270" s="24" t="n">
        <v>2</v>
      </c>
      <c r="K270" s="24" t="n">
        <v>3</v>
      </c>
      <c r="L270" s="37" t="n">
        <f aca="false">IF(F270="N/A","",IF(COUNT(H270:K270)=0,"",IF(Config!$C$19="Highest dimension",MAX(H270:K270),ROUND(H270*Config!$C$20+I270*Config!$C$21+J270*Config!$C$22+K270*Config!$C$23,1))))</f>
        <v>3</v>
      </c>
      <c r="M270" s="38" t="n">
        <f aca="false">IF(OR(L270="",G270=""),"",G270*L270)</f>
        <v>6</v>
      </c>
      <c r="N270" s="31" t="n">
        <f aca="false">IF(M270="","",MATCH(M270,Config!$E$5:$E$9,1))</f>
        <v>2</v>
      </c>
      <c r="O270" s="7" t="str">
        <f aca="false">IF(F270="N/A","N/A",IF(N270="","Not assessed",INDEX(Config!$B$5:$B$9,N270)))</f>
        <v>Medium-Low</v>
      </c>
      <c r="P270" s="32" t="n">
        <v>0</v>
      </c>
      <c r="Q270" s="8"/>
      <c r="R270" s="33"/>
      <c r="S270" s="34" t="n">
        <f aca="false">IF(N270="","",IF(AND(R270="Y",P270&lt;&gt;0),MAX(1,MIN(5,N270+MAX(-Config!$C$27,MIN(Config!$C$27,P270)))),N270))</f>
        <v>2</v>
      </c>
      <c r="T270" s="35" t="str">
        <f aca="false">IF(F270="N/A","N/A",IF(S270="","Not assessed",INDEX(Config!$B$5:$B$9,S270)))</f>
        <v>Medium-Low</v>
      </c>
      <c r="U270" s="7" t="str">
        <f aca="false">IF(P270=0,"None",IF(R270="Y","Applied","Pending HO approval"))</f>
        <v>None</v>
      </c>
      <c r="V270" s="8"/>
    </row>
    <row r="271" customFormat="false" ht="15" hidden="false" customHeight="false" outlineLevel="0" collapsed="false">
      <c r="A271" s="26" t="str">
        <f aca="false">Entities!$A$25</f>
        <v>SD</v>
      </c>
      <c r="B271" s="12" t="str">
        <f aca="false">INDEX(Entities!$B$5:$B$34,MATCH(A271,Entities!$A$5:$A$34,0))</f>
        <v>Arab Sudanese Bank</v>
      </c>
      <c r="C271" s="12" t="str">
        <f aca="false">INDEX(Entities!$D$5:$D$34,MATCH(A271,Entities!$A$5:$A$34,0))</f>
        <v>North Africa</v>
      </c>
      <c r="D271" s="12" t="s">
        <v>304</v>
      </c>
      <c r="E271" s="12" t="str">
        <f aca="false">INDEX('Risk Taxonomy'!$B$5:$B$24,MATCH(D271,'Risk Taxonomy'!$A$5:$A$24,0))</f>
        <v>Liquidity and funding risk</v>
      </c>
      <c r="F271" s="7" t="str">
        <f aca="false">IF(D271="RC-04",IF(INDEX(Entities!$G$5:$G$34,MATCH(A271,Entities!$A$5:$A$34,0))="Y","Yes","N/A"),"Yes")</f>
        <v>Yes</v>
      </c>
      <c r="G271" s="24" t="n">
        <v>3</v>
      </c>
      <c r="H271" s="24" t="n">
        <v>3</v>
      </c>
      <c r="I271" s="24" t="n">
        <v>3</v>
      </c>
      <c r="J271" s="24" t="n">
        <v>4</v>
      </c>
      <c r="K271" s="24" t="n">
        <v>4</v>
      </c>
      <c r="L271" s="37" t="n">
        <f aca="false">IF(F271="N/A","",IF(COUNT(H271:K271)=0,"",IF(Config!$C$19="Highest dimension",MAX(H271:K271),ROUND(H271*Config!$C$20+I271*Config!$C$21+J271*Config!$C$22+K271*Config!$C$23,1))))</f>
        <v>4</v>
      </c>
      <c r="M271" s="38" t="n">
        <f aca="false">IF(OR(L271="",G271=""),"",G271*L271)</f>
        <v>12</v>
      </c>
      <c r="N271" s="31" t="n">
        <f aca="false">IF(M271="","",MATCH(M271,Config!$E$5:$E$9,1))</f>
        <v>3</v>
      </c>
      <c r="O271" s="7" t="str">
        <f aca="false">IF(F271="N/A","N/A",IF(N271="","Not assessed",INDEX(Config!$B$5:$B$9,N271)))</f>
        <v>Medium</v>
      </c>
      <c r="P271" s="32" t="n">
        <v>0</v>
      </c>
      <c r="Q271" s="8"/>
      <c r="R271" s="33"/>
      <c r="S271" s="34" t="n">
        <f aca="false">IF(N271="","",IF(AND(R271="Y",P271&lt;&gt;0),MAX(1,MIN(5,N271+MAX(-Config!$C$27,MIN(Config!$C$27,P271)))),N271))</f>
        <v>3</v>
      </c>
      <c r="T271" s="35" t="str">
        <f aca="false">IF(F271="N/A","N/A",IF(S271="","Not assessed",INDEX(Config!$B$5:$B$9,S271)))</f>
        <v>Medium</v>
      </c>
      <c r="U271" s="7" t="str">
        <f aca="false">IF(P271=0,"None",IF(R271="Y","Applied","Pending HO approval"))</f>
        <v>None</v>
      </c>
      <c r="V271" s="8"/>
    </row>
    <row r="272" customFormat="false" ht="15" hidden="false" customHeight="false" outlineLevel="0" collapsed="false">
      <c r="A272" s="26" t="str">
        <f aca="false">Entities!$A$25</f>
        <v>SD</v>
      </c>
      <c r="B272" s="12" t="str">
        <f aca="false">INDEX(Entities!$B$5:$B$34,MATCH(A272,Entities!$A$5:$A$34,0))</f>
        <v>Arab Sudanese Bank</v>
      </c>
      <c r="C272" s="12" t="str">
        <f aca="false">INDEX(Entities!$D$5:$D$34,MATCH(A272,Entities!$A$5:$A$34,0))</f>
        <v>North Africa</v>
      </c>
      <c r="D272" s="12" t="s">
        <v>307</v>
      </c>
      <c r="E272" s="12" t="str">
        <f aca="false">INDEX('Risk Taxonomy'!$B$5:$B$24,MATCH(D272,'Risk Taxonomy'!$A$5:$A$24,0))</f>
        <v>Operational risk</v>
      </c>
      <c r="F272" s="7" t="str">
        <f aca="false">IF(D272="RC-04",IF(INDEX(Entities!$G$5:$G$34,MATCH(A272,Entities!$A$5:$A$34,0))="Y","Yes","N/A"),"Yes")</f>
        <v>Yes</v>
      </c>
      <c r="G272" s="24" t="n">
        <v>4</v>
      </c>
      <c r="H272" s="24" t="n">
        <v>4</v>
      </c>
      <c r="I272" s="24" t="n">
        <v>3</v>
      </c>
      <c r="J272" s="24" t="n">
        <v>4</v>
      </c>
      <c r="K272" s="24" t="n">
        <v>4</v>
      </c>
      <c r="L272" s="37" t="n">
        <f aca="false">IF(F272="N/A","",IF(COUNT(H272:K272)=0,"",IF(Config!$C$19="Highest dimension",MAX(H272:K272),ROUND(H272*Config!$C$20+I272*Config!$C$21+J272*Config!$C$22+K272*Config!$C$23,1))))</f>
        <v>4</v>
      </c>
      <c r="M272" s="38" t="n">
        <f aca="false">IF(OR(L272="",G272=""),"",G272*L272)</f>
        <v>16</v>
      </c>
      <c r="N272" s="31" t="n">
        <f aca="false">IF(M272="","",MATCH(M272,Config!$E$5:$E$9,1))</f>
        <v>4</v>
      </c>
      <c r="O272" s="7" t="str">
        <f aca="false">IF(F272="N/A","N/A",IF(N272="","Not assessed",INDEX(Config!$B$5:$B$9,N272)))</f>
        <v>Medium-High</v>
      </c>
      <c r="P272" s="32" t="n">
        <v>0</v>
      </c>
      <c r="Q272" s="8"/>
      <c r="R272" s="33"/>
      <c r="S272" s="34" t="n">
        <f aca="false">IF(N272="","",IF(AND(R272="Y",P272&lt;&gt;0),MAX(1,MIN(5,N272+MAX(-Config!$C$27,MIN(Config!$C$27,P272)))),N272))</f>
        <v>4</v>
      </c>
      <c r="T272" s="35" t="str">
        <f aca="false">IF(F272="N/A","N/A",IF(S272="","Not assessed",INDEX(Config!$B$5:$B$9,S272)))</f>
        <v>Medium-High</v>
      </c>
      <c r="U272" s="7" t="str">
        <f aca="false">IF(P272=0,"None",IF(R272="Y","Applied","Pending HO approval"))</f>
        <v>None</v>
      </c>
      <c r="V272" s="8"/>
    </row>
    <row r="273" customFormat="false" ht="15" hidden="false" customHeight="false" outlineLevel="0" collapsed="false">
      <c r="A273" s="26" t="str">
        <f aca="false">Entities!$A$25</f>
        <v>SD</v>
      </c>
      <c r="B273" s="12" t="str">
        <f aca="false">INDEX(Entities!$B$5:$B$34,MATCH(A273,Entities!$A$5:$A$34,0))</f>
        <v>Arab Sudanese Bank</v>
      </c>
      <c r="C273" s="12" t="str">
        <f aca="false">INDEX(Entities!$D$5:$D$34,MATCH(A273,Entities!$A$5:$A$34,0))</f>
        <v>North Africa</v>
      </c>
      <c r="D273" s="12" t="s">
        <v>310</v>
      </c>
      <c r="E273" s="12" t="str">
        <f aca="false">INDEX('Risk Taxonomy'!$B$5:$B$24,MATCH(D273,'Risk Taxonomy'!$A$5:$A$24,0))</f>
        <v>Cyber, information security and technology</v>
      </c>
      <c r="F273" s="7" t="str">
        <f aca="false">IF(D273="RC-04",IF(INDEX(Entities!$G$5:$G$34,MATCH(A273,Entities!$A$5:$A$34,0))="Y","Yes","N/A"),"Yes")</f>
        <v>Yes</v>
      </c>
      <c r="G273" s="24" t="n">
        <v>4</v>
      </c>
      <c r="H273" s="24" t="n">
        <v>5</v>
      </c>
      <c r="I273" s="24" t="n">
        <v>2</v>
      </c>
      <c r="J273" s="24" t="n">
        <v>4</v>
      </c>
      <c r="K273" s="24" t="n">
        <v>4</v>
      </c>
      <c r="L273" s="37" t="n">
        <f aca="false">IF(F273="N/A","",IF(COUNT(H273:K273)=0,"",IF(Config!$C$19="Highest dimension",MAX(H273:K273),ROUND(H273*Config!$C$20+I273*Config!$C$21+J273*Config!$C$22+K273*Config!$C$23,1))))</f>
        <v>5</v>
      </c>
      <c r="M273" s="38" t="n">
        <f aca="false">IF(OR(L273="",G273=""),"",G273*L273)</f>
        <v>20</v>
      </c>
      <c r="N273" s="31" t="n">
        <f aca="false">IF(M273="","",MATCH(M273,Config!$E$5:$E$9,1))</f>
        <v>5</v>
      </c>
      <c r="O273" s="7" t="str">
        <f aca="false">IF(F273="N/A","N/A",IF(N273="","Not assessed",INDEX(Config!$B$5:$B$9,N273)))</f>
        <v>High</v>
      </c>
      <c r="P273" s="32" t="n">
        <v>0</v>
      </c>
      <c r="Q273" s="8"/>
      <c r="R273" s="33"/>
      <c r="S273" s="34" t="n">
        <f aca="false">IF(N273="","",IF(AND(R273="Y",P273&lt;&gt;0),MAX(1,MIN(5,N273+MAX(-Config!$C$27,MIN(Config!$C$27,P273)))),N273))</f>
        <v>5</v>
      </c>
      <c r="T273" s="35" t="str">
        <f aca="false">IF(F273="N/A","N/A",IF(S273="","Not assessed",INDEX(Config!$B$5:$B$9,S273)))</f>
        <v>High</v>
      </c>
      <c r="U273" s="7" t="str">
        <f aca="false">IF(P273=0,"None",IF(R273="Y","Applied","Pending HO approval"))</f>
        <v>None</v>
      </c>
      <c r="V273" s="8"/>
    </row>
    <row r="274" customFormat="false" ht="15" hidden="false" customHeight="false" outlineLevel="0" collapsed="false">
      <c r="A274" s="26" t="str">
        <f aca="false">Entities!$A$25</f>
        <v>SD</v>
      </c>
      <c r="B274" s="12" t="str">
        <f aca="false">INDEX(Entities!$B$5:$B$34,MATCH(A274,Entities!$A$5:$A$34,0))</f>
        <v>Arab Sudanese Bank</v>
      </c>
      <c r="C274" s="12" t="str">
        <f aca="false">INDEX(Entities!$D$5:$D$34,MATCH(A274,Entities!$A$5:$A$34,0))</f>
        <v>North Africa</v>
      </c>
      <c r="D274" s="12" t="s">
        <v>313</v>
      </c>
      <c r="E274" s="12" t="str">
        <f aca="false">INDEX('Risk Taxonomy'!$B$5:$B$24,MATCH(D274,'Risk Taxonomy'!$A$5:$A$24,0))</f>
        <v>Third-party and outsourcing</v>
      </c>
      <c r="F274" s="7" t="str">
        <f aca="false">IF(D274="RC-04",IF(INDEX(Entities!$G$5:$G$34,MATCH(A274,Entities!$A$5:$A$34,0))="Y","Yes","N/A"),"Yes")</f>
        <v>Yes</v>
      </c>
      <c r="G274" s="24" t="n">
        <v>4</v>
      </c>
      <c r="H274" s="24" t="n">
        <v>3</v>
      </c>
      <c r="I274" s="24" t="n">
        <v>4</v>
      </c>
      <c r="J274" s="24" t="n">
        <v>4</v>
      </c>
      <c r="K274" s="24" t="n">
        <v>3</v>
      </c>
      <c r="L274" s="37" t="n">
        <f aca="false">IF(F274="N/A","",IF(COUNT(H274:K274)=0,"",IF(Config!$C$19="Highest dimension",MAX(H274:K274),ROUND(H274*Config!$C$20+I274*Config!$C$21+J274*Config!$C$22+K274*Config!$C$23,1))))</f>
        <v>4</v>
      </c>
      <c r="M274" s="38" t="n">
        <f aca="false">IF(OR(L274="",G274=""),"",G274*L274)</f>
        <v>16</v>
      </c>
      <c r="N274" s="31" t="n">
        <f aca="false">IF(M274="","",MATCH(M274,Config!$E$5:$E$9,1))</f>
        <v>4</v>
      </c>
      <c r="O274" s="7" t="str">
        <f aca="false">IF(F274="N/A","N/A",IF(N274="","Not assessed",INDEX(Config!$B$5:$B$9,N274)))</f>
        <v>Medium-High</v>
      </c>
      <c r="P274" s="32" t="n">
        <v>0</v>
      </c>
      <c r="Q274" s="8"/>
      <c r="R274" s="33"/>
      <c r="S274" s="34" t="n">
        <f aca="false">IF(N274="","",IF(AND(R274="Y",P274&lt;&gt;0),MAX(1,MIN(5,N274+MAX(-Config!$C$27,MIN(Config!$C$27,P274)))),N274))</f>
        <v>4</v>
      </c>
      <c r="T274" s="35" t="str">
        <f aca="false">IF(F274="N/A","N/A",IF(S274="","Not assessed",INDEX(Config!$B$5:$B$9,S274)))</f>
        <v>Medium-High</v>
      </c>
      <c r="U274" s="7" t="str">
        <f aca="false">IF(P274=0,"None",IF(R274="Y","Applied","Pending HO approval"))</f>
        <v>None</v>
      </c>
      <c r="V274" s="8"/>
    </row>
    <row r="275" customFormat="false" ht="15" hidden="false" customHeight="false" outlineLevel="0" collapsed="false">
      <c r="A275" s="26" t="str">
        <f aca="false">Entities!$A$25</f>
        <v>SD</v>
      </c>
      <c r="B275" s="12" t="str">
        <f aca="false">INDEX(Entities!$B$5:$B$34,MATCH(A275,Entities!$A$5:$A$34,0))</f>
        <v>Arab Sudanese Bank</v>
      </c>
      <c r="C275" s="12" t="str">
        <f aca="false">INDEX(Entities!$D$5:$D$34,MATCH(A275,Entities!$A$5:$A$34,0))</f>
        <v>North Africa</v>
      </c>
      <c r="D275" s="12" t="s">
        <v>316</v>
      </c>
      <c r="E275" s="12" t="str">
        <f aca="false">INDEX('Risk Taxonomy'!$B$5:$B$24,MATCH(D275,'Risk Taxonomy'!$A$5:$A$24,0))</f>
        <v>Legal and litigation</v>
      </c>
      <c r="F275" s="7" t="str">
        <f aca="false">IF(D275="RC-04",IF(INDEX(Entities!$G$5:$G$34,MATCH(A275,Entities!$A$5:$A$34,0))="Y","Yes","N/A"),"Yes")</f>
        <v>Yes</v>
      </c>
      <c r="G275" s="24" t="n">
        <v>3</v>
      </c>
      <c r="H275" s="24" t="n">
        <v>4</v>
      </c>
      <c r="I275" s="24" t="n">
        <v>4</v>
      </c>
      <c r="J275" s="24" t="n">
        <v>4</v>
      </c>
      <c r="K275" s="24" t="n">
        <v>3</v>
      </c>
      <c r="L275" s="37" t="n">
        <f aca="false">IF(F275="N/A","",IF(COUNT(H275:K275)=0,"",IF(Config!$C$19="Highest dimension",MAX(H275:K275),ROUND(H275*Config!$C$20+I275*Config!$C$21+J275*Config!$C$22+K275*Config!$C$23,1))))</f>
        <v>4</v>
      </c>
      <c r="M275" s="38" t="n">
        <f aca="false">IF(OR(L275="",G275=""),"",G275*L275)</f>
        <v>12</v>
      </c>
      <c r="N275" s="31" t="n">
        <f aca="false">IF(M275="","",MATCH(M275,Config!$E$5:$E$9,1))</f>
        <v>3</v>
      </c>
      <c r="O275" s="7" t="str">
        <f aca="false">IF(F275="N/A","N/A",IF(N275="","Not assessed",INDEX(Config!$B$5:$B$9,N275)))</f>
        <v>Medium</v>
      </c>
      <c r="P275" s="32" t="n">
        <v>0</v>
      </c>
      <c r="Q275" s="8"/>
      <c r="R275" s="33"/>
      <c r="S275" s="34" t="n">
        <f aca="false">IF(N275="","",IF(AND(R275="Y",P275&lt;&gt;0),MAX(1,MIN(5,N275+MAX(-Config!$C$27,MIN(Config!$C$27,P275)))),N275))</f>
        <v>3</v>
      </c>
      <c r="T275" s="35" t="str">
        <f aca="false">IF(F275="N/A","N/A",IF(S275="","Not assessed",INDEX(Config!$B$5:$B$9,S275)))</f>
        <v>Medium</v>
      </c>
      <c r="U275" s="7" t="str">
        <f aca="false">IF(P275=0,"None",IF(R275="Y","Applied","Pending HO approval"))</f>
        <v>None</v>
      </c>
      <c r="V275" s="8"/>
    </row>
    <row r="276" customFormat="false" ht="15" hidden="false" customHeight="false" outlineLevel="0" collapsed="false">
      <c r="A276" s="26" t="str">
        <f aca="false">Entities!$A$25</f>
        <v>SD</v>
      </c>
      <c r="B276" s="12" t="str">
        <f aca="false">INDEX(Entities!$B$5:$B$34,MATCH(A276,Entities!$A$5:$A$34,0))</f>
        <v>Arab Sudanese Bank</v>
      </c>
      <c r="C276" s="12" t="str">
        <f aca="false">INDEX(Entities!$D$5:$D$34,MATCH(A276,Entities!$A$5:$A$34,0))</f>
        <v>North Africa</v>
      </c>
      <c r="D276" s="12" t="s">
        <v>319</v>
      </c>
      <c r="E276" s="12" t="str">
        <f aca="false">INDEX('Risk Taxonomy'!$B$5:$B$24,MATCH(D276,'Risk Taxonomy'!$A$5:$A$24,0))</f>
        <v>Reputational</v>
      </c>
      <c r="F276" s="7" t="str">
        <f aca="false">IF(D276="RC-04",IF(INDEX(Entities!$G$5:$G$34,MATCH(A276,Entities!$A$5:$A$34,0))="Y","Yes","N/A"),"Yes")</f>
        <v>Yes</v>
      </c>
      <c r="G276" s="24" t="n">
        <v>4</v>
      </c>
      <c r="H276" s="24" t="n">
        <v>4</v>
      </c>
      <c r="I276" s="24" t="n">
        <v>3</v>
      </c>
      <c r="J276" s="24" t="n">
        <v>4</v>
      </c>
      <c r="K276" s="24" t="n">
        <v>2</v>
      </c>
      <c r="L276" s="37" t="n">
        <f aca="false">IF(F276="N/A","",IF(COUNT(H276:K276)=0,"",IF(Config!$C$19="Highest dimension",MAX(H276:K276),ROUND(H276*Config!$C$20+I276*Config!$C$21+J276*Config!$C$22+K276*Config!$C$23,1))))</f>
        <v>4</v>
      </c>
      <c r="M276" s="38" t="n">
        <f aca="false">IF(OR(L276="",G276=""),"",G276*L276)</f>
        <v>16</v>
      </c>
      <c r="N276" s="31" t="n">
        <f aca="false">IF(M276="","",MATCH(M276,Config!$E$5:$E$9,1))</f>
        <v>4</v>
      </c>
      <c r="O276" s="7" t="str">
        <f aca="false">IF(F276="N/A","N/A",IF(N276="","Not assessed",INDEX(Config!$B$5:$B$9,N276)))</f>
        <v>Medium-High</v>
      </c>
      <c r="P276" s="32" t="n">
        <v>0</v>
      </c>
      <c r="Q276" s="8"/>
      <c r="R276" s="33"/>
      <c r="S276" s="34" t="n">
        <f aca="false">IF(N276="","",IF(AND(R276="Y",P276&lt;&gt;0),MAX(1,MIN(5,N276+MAX(-Config!$C$27,MIN(Config!$C$27,P276)))),N276))</f>
        <v>4</v>
      </c>
      <c r="T276" s="35" t="str">
        <f aca="false">IF(F276="N/A","N/A",IF(S276="","Not assessed",INDEX(Config!$B$5:$B$9,S276)))</f>
        <v>Medium-High</v>
      </c>
      <c r="U276" s="7" t="str">
        <f aca="false">IF(P276=0,"None",IF(R276="Y","Applied","Pending HO approval"))</f>
        <v>None</v>
      </c>
      <c r="V276" s="8"/>
    </row>
    <row r="277" customFormat="false" ht="15" hidden="false" customHeight="false" outlineLevel="0" collapsed="false">
      <c r="A277" s="26" t="str">
        <f aca="false">Entities!$A$25</f>
        <v>SD</v>
      </c>
      <c r="B277" s="12" t="str">
        <f aca="false">INDEX(Entities!$B$5:$B$34,MATCH(A277,Entities!$A$5:$A$34,0))</f>
        <v>Arab Sudanese Bank</v>
      </c>
      <c r="C277" s="12" t="str">
        <f aca="false">INDEX(Entities!$D$5:$D$34,MATCH(A277,Entities!$A$5:$A$34,0))</f>
        <v>North Africa</v>
      </c>
      <c r="D277" s="12" t="s">
        <v>322</v>
      </c>
      <c r="E277" s="12" t="str">
        <f aca="false">INDEX('Risk Taxonomy'!$B$5:$B$24,MATCH(D277,'Risk Taxonomy'!$A$5:$A$24,0))</f>
        <v>Strategic, business model and ESG</v>
      </c>
      <c r="F277" s="7" t="str">
        <f aca="false">IF(D277="RC-04",IF(INDEX(Entities!$G$5:$G$34,MATCH(A277,Entities!$A$5:$A$34,0))="Y","Yes","N/A"),"Yes")</f>
        <v>Yes</v>
      </c>
      <c r="G277" s="24" t="n">
        <v>4</v>
      </c>
      <c r="H277" s="24" t="n">
        <v>3</v>
      </c>
      <c r="I277" s="24" t="n">
        <v>3</v>
      </c>
      <c r="J277" s="24" t="n">
        <v>3</v>
      </c>
      <c r="K277" s="24" t="n">
        <v>3</v>
      </c>
      <c r="L277" s="37" t="n">
        <f aca="false">IF(F277="N/A","",IF(COUNT(H277:K277)=0,"",IF(Config!$C$19="Highest dimension",MAX(H277:K277),ROUND(H277*Config!$C$20+I277*Config!$C$21+J277*Config!$C$22+K277*Config!$C$23,1))))</f>
        <v>3</v>
      </c>
      <c r="M277" s="38" t="n">
        <f aca="false">IF(OR(L277="",G277=""),"",G277*L277)</f>
        <v>12</v>
      </c>
      <c r="N277" s="31" t="n">
        <f aca="false">IF(M277="","",MATCH(M277,Config!$E$5:$E$9,1))</f>
        <v>3</v>
      </c>
      <c r="O277" s="7" t="str">
        <f aca="false">IF(F277="N/A","N/A",IF(N277="","Not assessed",INDEX(Config!$B$5:$B$9,N277)))</f>
        <v>Medium</v>
      </c>
      <c r="P277" s="32" t="n">
        <v>0</v>
      </c>
      <c r="Q277" s="8"/>
      <c r="R277" s="33"/>
      <c r="S277" s="34" t="n">
        <f aca="false">IF(N277="","",IF(AND(R277="Y",P277&lt;&gt;0),MAX(1,MIN(5,N277+MAX(-Config!$C$27,MIN(Config!$C$27,P277)))),N277))</f>
        <v>3</v>
      </c>
      <c r="T277" s="35" t="str">
        <f aca="false">IF(F277="N/A","N/A",IF(S277="","Not assessed",INDEX(Config!$B$5:$B$9,S277)))</f>
        <v>Medium</v>
      </c>
      <c r="U277" s="7" t="str">
        <f aca="false">IF(P277=0,"None",IF(R277="Y","Applied","Pending HO approval"))</f>
        <v>None</v>
      </c>
      <c r="V277" s="8"/>
    </row>
    <row r="278" customFormat="false" ht="15" hidden="false" customHeight="false" outlineLevel="0" collapsed="false">
      <c r="A278" s="26" t="str">
        <f aca="false">Entities!$A$26</f>
        <v>GB</v>
      </c>
      <c r="B278" s="12" t="str">
        <f aca="false">INDEX(Entities!$B$5:$B$34,MATCH(A278,Entities!$A$5:$A$34,0))</f>
        <v>Europe Arab Bank – United Kingdom</v>
      </c>
      <c r="C278" s="12" t="str">
        <f aca="false">INDEX(Entities!$D$5:$D$34,MATCH(A278,Entities!$A$5:$A$34,0))</f>
        <v>Europe</v>
      </c>
      <c r="D278" s="12" t="s">
        <v>284</v>
      </c>
      <c r="E278" s="12" t="str">
        <f aca="false">INDEX('Risk Taxonomy'!$B$5:$B$24,MATCH(D278,'Risk Taxonomy'!$A$5:$A$24,0))</f>
        <v>Regulatory compliance</v>
      </c>
      <c r="F278" s="7" t="str">
        <f aca="false">IF(D278="RC-04",IF(INDEX(Entities!$G$5:$G$34,MATCH(A278,Entities!$A$5:$A$34,0))="Y","Yes","N/A"),"Yes")</f>
        <v>Yes</v>
      </c>
      <c r="G278" s="24" t="n">
        <v>1</v>
      </c>
      <c r="H278" s="24" t="n">
        <v>1</v>
      </c>
      <c r="I278" s="24" t="n">
        <v>4</v>
      </c>
      <c r="J278" s="24" t="n">
        <v>2</v>
      </c>
      <c r="K278" s="24" t="n">
        <v>1</v>
      </c>
      <c r="L278" s="37" t="n">
        <f aca="false">IF(F278="N/A","",IF(COUNT(H278:K278)=0,"",IF(Config!$C$19="Highest dimension",MAX(H278:K278),ROUND(H278*Config!$C$20+I278*Config!$C$21+J278*Config!$C$22+K278*Config!$C$23,1))))</f>
        <v>4</v>
      </c>
      <c r="M278" s="38" t="n">
        <f aca="false">IF(OR(L278="",G278=""),"",G278*L278)</f>
        <v>4</v>
      </c>
      <c r="N278" s="31" t="n">
        <f aca="false">IF(M278="","",MATCH(M278,Config!$E$5:$E$9,1))</f>
        <v>1</v>
      </c>
      <c r="O278" s="7" t="str">
        <f aca="false">IF(F278="N/A","N/A",IF(N278="","Not assessed",INDEX(Config!$B$5:$B$9,N278)))</f>
        <v>Low</v>
      </c>
      <c r="P278" s="32" t="n">
        <v>0</v>
      </c>
      <c r="Q278" s="8"/>
      <c r="R278" s="33"/>
      <c r="S278" s="34" t="n">
        <f aca="false">IF(N278="","",IF(AND(R278="Y",P278&lt;&gt;0),MAX(1,MIN(5,N278+MAX(-Config!$C$27,MIN(Config!$C$27,P278)))),N278))</f>
        <v>1</v>
      </c>
      <c r="T278" s="35" t="str">
        <f aca="false">IF(F278="N/A","N/A",IF(S278="","Not assessed",INDEX(Config!$B$5:$B$9,S278)))</f>
        <v>Low</v>
      </c>
      <c r="U278" s="7" t="str">
        <f aca="false">IF(P278=0,"None",IF(R278="Y","Applied","Pending HO approval"))</f>
        <v>None</v>
      </c>
      <c r="V278" s="8"/>
    </row>
    <row r="279" customFormat="false" ht="15" hidden="false" customHeight="false" outlineLevel="0" collapsed="false">
      <c r="A279" s="26" t="str">
        <f aca="false">Entities!$A$26</f>
        <v>GB</v>
      </c>
      <c r="B279" s="12" t="str">
        <f aca="false">INDEX(Entities!$B$5:$B$34,MATCH(A279,Entities!$A$5:$A$34,0))</f>
        <v>Europe Arab Bank – United Kingdom</v>
      </c>
      <c r="C279" s="12" t="str">
        <f aca="false">INDEX(Entities!$D$5:$D$34,MATCH(A279,Entities!$A$5:$A$34,0))</f>
        <v>Europe</v>
      </c>
      <c r="D279" s="12" t="s">
        <v>288</v>
      </c>
      <c r="E279" s="12" t="str">
        <f aca="false">INDEX('Risk Taxonomy'!$B$5:$B$24,MATCH(D279,'Risk Taxonomy'!$A$5:$A$24,0))</f>
        <v>Conduct and consumer protection</v>
      </c>
      <c r="F279" s="7" t="str">
        <f aca="false">IF(D279="RC-04",IF(INDEX(Entities!$G$5:$G$34,MATCH(A279,Entities!$A$5:$A$34,0))="Y","Yes","N/A"),"Yes")</f>
        <v>Yes</v>
      </c>
      <c r="G279" s="24" t="n">
        <v>2</v>
      </c>
      <c r="H279" s="24" t="n">
        <v>2</v>
      </c>
      <c r="I279" s="24" t="n">
        <v>2</v>
      </c>
      <c r="J279" s="24" t="n">
        <v>3</v>
      </c>
      <c r="K279" s="24" t="n">
        <v>1</v>
      </c>
      <c r="L279" s="37" t="n">
        <f aca="false">IF(F279="N/A","",IF(COUNT(H279:K279)=0,"",IF(Config!$C$19="Highest dimension",MAX(H279:K279),ROUND(H279*Config!$C$20+I279*Config!$C$21+J279*Config!$C$22+K279*Config!$C$23,1))))</f>
        <v>3</v>
      </c>
      <c r="M279" s="38" t="n">
        <f aca="false">IF(OR(L279="",G279=""),"",G279*L279)</f>
        <v>6</v>
      </c>
      <c r="N279" s="31" t="n">
        <f aca="false">IF(M279="","",MATCH(M279,Config!$E$5:$E$9,1))</f>
        <v>2</v>
      </c>
      <c r="O279" s="7" t="str">
        <f aca="false">IF(F279="N/A","N/A",IF(N279="","Not assessed",INDEX(Config!$B$5:$B$9,N279)))</f>
        <v>Medium-Low</v>
      </c>
      <c r="P279" s="32" t="n">
        <v>0</v>
      </c>
      <c r="Q279" s="8"/>
      <c r="R279" s="33"/>
      <c r="S279" s="34" t="n">
        <f aca="false">IF(N279="","",IF(AND(R279="Y",P279&lt;&gt;0),MAX(1,MIN(5,N279+MAX(-Config!$C$27,MIN(Config!$C$27,P279)))),N279))</f>
        <v>2</v>
      </c>
      <c r="T279" s="35" t="str">
        <f aca="false">IF(F279="N/A","N/A",IF(S279="","Not assessed",INDEX(Config!$B$5:$B$9,S279)))</f>
        <v>Medium-Low</v>
      </c>
      <c r="U279" s="7" t="str">
        <f aca="false">IF(P279=0,"None",IF(R279="Y","Applied","Pending HO approval"))</f>
        <v>None</v>
      </c>
      <c r="V279" s="8"/>
    </row>
    <row r="280" customFormat="false" ht="15" hidden="false" customHeight="false" outlineLevel="0" collapsed="false">
      <c r="A280" s="26" t="str">
        <f aca="false">Entities!$A$26</f>
        <v>GB</v>
      </c>
      <c r="B280" s="12" t="str">
        <f aca="false">INDEX(Entities!$B$5:$B$34,MATCH(A280,Entities!$A$5:$A$34,0))</f>
        <v>Europe Arab Bank – United Kingdom</v>
      </c>
      <c r="C280" s="12" t="str">
        <f aca="false">INDEX(Entities!$D$5:$D$34,MATCH(A280,Entities!$A$5:$A$34,0))</f>
        <v>Europe</v>
      </c>
      <c r="D280" s="12" t="s">
        <v>290</v>
      </c>
      <c r="E280" s="12" t="str">
        <f aca="false">INDEX('Risk Taxonomy'!$B$5:$B$24,MATCH(D280,'Risk Taxonomy'!$A$5:$A$24,0))</f>
        <v>Data protection and privacy</v>
      </c>
      <c r="F280" s="7" t="str">
        <f aca="false">IF(D280="RC-04",IF(INDEX(Entities!$G$5:$G$34,MATCH(A280,Entities!$A$5:$A$34,0))="Y","Yes","N/A"),"Yes")</f>
        <v>Yes</v>
      </c>
      <c r="G280" s="24" t="n">
        <v>1</v>
      </c>
      <c r="H280" s="24" t="n">
        <v>1</v>
      </c>
      <c r="I280" s="24" t="n">
        <v>2</v>
      </c>
      <c r="J280" s="24" t="n">
        <v>2</v>
      </c>
      <c r="K280" s="24" t="n">
        <v>2</v>
      </c>
      <c r="L280" s="37" t="n">
        <f aca="false">IF(F280="N/A","",IF(COUNT(H280:K280)=0,"",IF(Config!$C$19="Highest dimension",MAX(H280:K280),ROUND(H280*Config!$C$20+I280*Config!$C$21+J280*Config!$C$22+K280*Config!$C$23,1))))</f>
        <v>2</v>
      </c>
      <c r="M280" s="38" t="n">
        <f aca="false">IF(OR(L280="",G280=""),"",G280*L280)</f>
        <v>2</v>
      </c>
      <c r="N280" s="31" t="n">
        <f aca="false">IF(M280="","",MATCH(M280,Config!$E$5:$E$9,1))</f>
        <v>1</v>
      </c>
      <c r="O280" s="7" t="str">
        <f aca="false">IF(F280="N/A","N/A",IF(N280="","Not assessed",INDEX(Config!$B$5:$B$9,N280)))</f>
        <v>Low</v>
      </c>
      <c r="P280" s="32" t="n">
        <v>0</v>
      </c>
      <c r="Q280" s="8"/>
      <c r="R280" s="33"/>
      <c r="S280" s="34" t="n">
        <f aca="false">IF(N280="","",IF(AND(R280="Y",P280&lt;&gt;0),MAX(1,MIN(5,N280+MAX(-Config!$C$27,MIN(Config!$C$27,P280)))),N280))</f>
        <v>1</v>
      </c>
      <c r="T280" s="35" t="str">
        <f aca="false">IF(F280="N/A","N/A",IF(S280="","Not assessed",INDEX(Config!$B$5:$B$9,S280)))</f>
        <v>Low</v>
      </c>
      <c r="U280" s="7" t="str">
        <f aca="false">IF(P280=0,"None",IF(R280="Y","Applied","Pending HO approval"))</f>
        <v>None</v>
      </c>
      <c r="V280" s="8"/>
    </row>
    <row r="281" customFormat="false" ht="15" hidden="false" customHeight="false" outlineLevel="0" collapsed="false">
      <c r="A281" s="26" t="str">
        <f aca="false">Entities!$A$26</f>
        <v>GB</v>
      </c>
      <c r="B281" s="12" t="str">
        <f aca="false">INDEX(Entities!$B$5:$B$34,MATCH(A281,Entities!$A$5:$A$34,0))</f>
        <v>Europe Arab Bank – United Kingdom</v>
      </c>
      <c r="C281" s="12" t="str">
        <f aca="false">INDEX(Entities!$D$5:$D$34,MATCH(A281,Entities!$A$5:$A$34,0))</f>
        <v>Europe</v>
      </c>
      <c r="D281" s="12" t="s">
        <v>293</v>
      </c>
      <c r="E281" s="12" t="str">
        <f aca="false">INDEX('Risk Taxonomy'!$B$5:$B$24,MATCH(D281,'Risk Taxonomy'!$A$5:$A$24,0))</f>
        <v>Shariah non-compliance</v>
      </c>
      <c r="F281" s="7" t="str">
        <f aca="false">IF(D281="RC-04",IF(INDEX(Entities!$G$5:$G$34,MATCH(A281,Entities!$A$5:$A$34,0))="Y","Yes","N/A"),"Yes")</f>
        <v>N/A</v>
      </c>
      <c r="G281" s="24"/>
      <c r="H281" s="24"/>
      <c r="I281" s="24"/>
      <c r="J281" s="24"/>
      <c r="K281" s="24"/>
      <c r="L281" s="37" t="str">
        <f aca="false">IF(F281="N/A","",IF(COUNT(H281:K281)=0,"",IF(Config!$C$19="Highest dimension",MAX(H281:K281),ROUND(H281*Config!$C$20+I281*Config!$C$21+J281*Config!$C$22+K281*Config!$C$23,1))))</f>
        <v/>
      </c>
      <c r="M281" s="38" t="str">
        <f aca="false">IF(OR(L281="",G281=""),"",G281*L281)</f>
        <v/>
      </c>
      <c r="N281" s="31" t="str">
        <f aca="false">IF(M281="","",MATCH(M281,Config!$E$5:$E$9,1))</f>
        <v/>
      </c>
      <c r="O281" s="7" t="str">
        <f aca="false">IF(F281="N/A","N/A",IF(N281="","Not assessed",INDEX(Config!$B$5:$B$9,N281)))</f>
        <v>N/A</v>
      </c>
      <c r="P281" s="32" t="n">
        <v>0</v>
      </c>
      <c r="Q281" s="8"/>
      <c r="R281" s="33"/>
      <c r="S281" s="34" t="str">
        <f aca="false">IF(N281="","",IF(AND(R281="Y",P281&lt;&gt;0),MAX(1,MIN(5,N281+MAX(-Config!$C$27,MIN(Config!$C$27,P281)))),N281))</f>
        <v/>
      </c>
      <c r="T281" s="35" t="str">
        <f aca="false">IF(F281="N/A","N/A",IF(S281="","Not assessed",INDEX(Config!$B$5:$B$9,S281)))</f>
        <v>N/A</v>
      </c>
      <c r="U281" s="7" t="str">
        <f aca="false">IF(P281=0,"None",IF(R281="Y","Applied","Pending HO approval"))</f>
        <v>None</v>
      </c>
      <c r="V281" s="8"/>
    </row>
    <row r="282" customFormat="false" ht="15" hidden="false" customHeight="false" outlineLevel="0" collapsed="false">
      <c r="A282" s="26" t="str">
        <f aca="false">Entities!$A$26</f>
        <v>GB</v>
      </c>
      <c r="B282" s="12" t="str">
        <f aca="false">INDEX(Entities!$B$5:$B$34,MATCH(A282,Entities!$A$5:$A$34,0))</f>
        <v>Europe Arab Bank – United Kingdom</v>
      </c>
      <c r="C282" s="12" t="str">
        <f aca="false">INDEX(Entities!$D$5:$D$34,MATCH(A282,Entities!$A$5:$A$34,0))</f>
        <v>Europe</v>
      </c>
      <c r="D282" s="12" t="s">
        <v>297</v>
      </c>
      <c r="E282" s="12" t="str">
        <f aca="false">INDEX('Risk Taxonomy'!$B$5:$B$24,MATCH(D282,'Risk Taxonomy'!$A$5:$A$24,0))</f>
        <v>Credit risk</v>
      </c>
      <c r="F282" s="7" t="str">
        <f aca="false">IF(D282="RC-04",IF(INDEX(Entities!$G$5:$G$34,MATCH(A282,Entities!$A$5:$A$34,0))="Y","Yes","N/A"),"Yes")</f>
        <v>Yes</v>
      </c>
      <c r="G282" s="24" t="n">
        <v>2</v>
      </c>
      <c r="H282" s="24" t="n">
        <v>1</v>
      </c>
      <c r="I282" s="24" t="n">
        <v>1</v>
      </c>
      <c r="J282" s="24" t="n">
        <v>3</v>
      </c>
      <c r="K282" s="24" t="n">
        <v>1</v>
      </c>
      <c r="L282" s="37" t="n">
        <f aca="false">IF(F282="N/A","",IF(COUNT(H282:K282)=0,"",IF(Config!$C$19="Highest dimension",MAX(H282:K282),ROUND(H282*Config!$C$20+I282*Config!$C$21+J282*Config!$C$22+K282*Config!$C$23,1))))</f>
        <v>3</v>
      </c>
      <c r="M282" s="38" t="n">
        <f aca="false">IF(OR(L282="",G282=""),"",G282*L282)</f>
        <v>6</v>
      </c>
      <c r="N282" s="31" t="n">
        <f aca="false">IF(M282="","",MATCH(M282,Config!$E$5:$E$9,1))</f>
        <v>2</v>
      </c>
      <c r="O282" s="7" t="str">
        <f aca="false">IF(F282="N/A","N/A",IF(N282="","Not assessed",INDEX(Config!$B$5:$B$9,N282)))</f>
        <v>Medium-Low</v>
      </c>
      <c r="P282" s="32" t="n">
        <v>0</v>
      </c>
      <c r="Q282" s="8"/>
      <c r="R282" s="33"/>
      <c r="S282" s="34" t="n">
        <f aca="false">IF(N282="","",IF(AND(R282="Y",P282&lt;&gt;0),MAX(1,MIN(5,N282+MAX(-Config!$C$27,MIN(Config!$C$27,P282)))),N282))</f>
        <v>2</v>
      </c>
      <c r="T282" s="35" t="str">
        <f aca="false">IF(F282="N/A","N/A",IF(S282="","Not assessed",INDEX(Config!$B$5:$B$9,S282)))</f>
        <v>Medium-Low</v>
      </c>
      <c r="U282" s="7" t="str">
        <f aca="false">IF(P282=0,"None",IF(R282="Y","Applied","Pending HO approval"))</f>
        <v>None</v>
      </c>
      <c r="V282" s="8"/>
    </row>
    <row r="283" customFormat="false" ht="15" hidden="false" customHeight="false" outlineLevel="0" collapsed="false">
      <c r="A283" s="26" t="str">
        <f aca="false">Entities!$A$26</f>
        <v>GB</v>
      </c>
      <c r="B283" s="12" t="str">
        <f aca="false">INDEX(Entities!$B$5:$B$34,MATCH(A283,Entities!$A$5:$A$34,0))</f>
        <v>Europe Arab Bank – United Kingdom</v>
      </c>
      <c r="C283" s="12" t="str">
        <f aca="false">INDEX(Entities!$D$5:$D$34,MATCH(A283,Entities!$A$5:$A$34,0))</f>
        <v>Europe</v>
      </c>
      <c r="D283" s="12" t="s">
        <v>302</v>
      </c>
      <c r="E283" s="12" t="str">
        <f aca="false">INDEX('Risk Taxonomy'!$B$5:$B$24,MATCH(D283,'Risk Taxonomy'!$A$5:$A$24,0))</f>
        <v>Market risk</v>
      </c>
      <c r="F283" s="7" t="str">
        <f aca="false">IF(D283="RC-04",IF(INDEX(Entities!$G$5:$G$34,MATCH(A283,Entities!$A$5:$A$34,0))="Y","Yes","N/A"),"Yes")</f>
        <v>Yes</v>
      </c>
      <c r="G283" s="24" t="n">
        <v>2</v>
      </c>
      <c r="H283" s="24" t="n">
        <v>2</v>
      </c>
      <c r="I283" s="24" t="n">
        <v>1</v>
      </c>
      <c r="J283" s="24" t="n">
        <v>2</v>
      </c>
      <c r="K283" s="24" t="n">
        <v>1</v>
      </c>
      <c r="L283" s="37" t="n">
        <f aca="false">IF(F283="N/A","",IF(COUNT(H283:K283)=0,"",IF(Config!$C$19="Highest dimension",MAX(H283:K283),ROUND(H283*Config!$C$20+I283*Config!$C$21+J283*Config!$C$22+K283*Config!$C$23,1))))</f>
        <v>2</v>
      </c>
      <c r="M283" s="38" t="n">
        <f aca="false">IF(OR(L283="",G283=""),"",G283*L283)</f>
        <v>4</v>
      </c>
      <c r="N283" s="31" t="n">
        <f aca="false">IF(M283="","",MATCH(M283,Config!$E$5:$E$9,1))</f>
        <v>1</v>
      </c>
      <c r="O283" s="7" t="str">
        <f aca="false">IF(F283="N/A","N/A",IF(N283="","Not assessed",INDEX(Config!$B$5:$B$9,N283)))</f>
        <v>Low</v>
      </c>
      <c r="P283" s="32" t="n">
        <v>0</v>
      </c>
      <c r="Q283" s="8"/>
      <c r="R283" s="33"/>
      <c r="S283" s="34" t="n">
        <f aca="false">IF(N283="","",IF(AND(R283="Y",P283&lt;&gt;0),MAX(1,MIN(5,N283+MAX(-Config!$C$27,MIN(Config!$C$27,P283)))),N283))</f>
        <v>1</v>
      </c>
      <c r="T283" s="35" t="str">
        <f aca="false">IF(F283="N/A","N/A",IF(S283="","Not assessed",INDEX(Config!$B$5:$B$9,S283)))</f>
        <v>Low</v>
      </c>
      <c r="U283" s="7" t="str">
        <f aca="false">IF(P283=0,"None",IF(R283="Y","Applied","Pending HO approval"))</f>
        <v>None</v>
      </c>
      <c r="V283" s="8"/>
    </row>
    <row r="284" customFormat="false" ht="15" hidden="false" customHeight="false" outlineLevel="0" collapsed="false">
      <c r="A284" s="26" t="str">
        <f aca="false">Entities!$A$26</f>
        <v>GB</v>
      </c>
      <c r="B284" s="12" t="str">
        <f aca="false">INDEX(Entities!$B$5:$B$34,MATCH(A284,Entities!$A$5:$A$34,0))</f>
        <v>Europe Arab Bank – United Kingdom</v>
      </c>
      <c r="C284" s="12" t="str">
        <f aca="false">INDEX(Entities!$D$5:$D$34,MATCH(A284,Entities!$A$5:$A$34,0))</f>
        <v>Europe</v>
      </c>
      <c r="D284" s="12" t="s">
        <v>304</v>
      </c>
      <c r="E284" s="12" t="str">
        <f aca="false">INDEX('Risk Taxonomy'!$B$5:$B$24,MATCH(D284,'Risk Taxonomy'!$A$5:$A$24,0))</f>
        <v>Liquidity and funding risk</v>
      </c>
      <c r="F284" s="7" t="str">
        <f aca="false">IF(D284="RC-04",IF(INDEX(Entities!$G$5:$G$34,MATCH(A284,Entities!$A$5:$A$34,0))="Y","Yes","N/A"),"Yes")</f>
        <v>Yes</v>
      </c>
      <c r="G284" s="24" t="n">
        <v>2</v>
      </c>
      <c r="H284" s="24" t="n">
        <v>1</v>
      </c>
      <c r="I284" s="24" t="n">
        <v>3</v>
      </c>
      <c r="J284" s="24" t="n">
        <v>1</v>
      </c>
      <c r="K284" s="24" t="n">
        <v>2</v>
      </c>
      <c r="L284" s="37" t="n">
        <f aca="false">IF(F284="N/A","",IF(COUNT(H284:K284)=0,"",IF(Config!$C$19="Highest dimension",MAX(H284:K284),ROUND(H284*Config!$C$20+I284*Config!$C$21+J284*Config!$C$22+K284*Config!$C$23,1))))</f>
        <v>3</v>
      </c>
      <c r="M284" s="38" t="n">
        <f aca="false">IF(OR(L284="",G284=""),"",G284*L284)</f>
        <v>6</v>
      </c>
      <c r="N284" s="31" t="n">
        <f aca="false">IF(M284="","",MATCH(M284,Config!$E$5:$E$9,1))</f>
        <v>2</v>
      </c>
      <c r="O284" s="7" t="str">
        <f aca="false">IF(F284="N/A","N/A",IF(N284="","Not assessed",INDEX(Config!$B$5:$B$9,N284)))</f>
        <v>Medium-Low</v>
      </c>
      <c r="P284" s="32" t="n">
        <v>0</v>
      </c>
      <c r="Q284" s="8"/>
      <c r="R284" s="33"/>
      <c r="S284" s="34" t="n">
        <f aca="false">IF(N284="","",IF(AND(R284="Y",P284&lt;&gt;0),MAX(1,MIN(5,N284+MAX(-Config!$C$27,MIN(Config!$C$27,P284)))),N284))</f>
        <v>2</v>
      </c>
      <c r="T284" s="35" t="str">
        <f aca="false">IF(F284="N/A","N/A",IF(S284="","Not assessed",INDEX(Config!$B$5:$B$9,S284)))</f>
        <v>Medium-Low</v>
      </c>
      <c r="U284" s="7" t="str">
        <f aca="false">IF(P284=0,"None",IF(R284="Y","Applied","Pending HO approval"))</f>
        <v>None</v>
      </c>
      <c r="V284" s="8"/>
    </row>
    <row r="285" customFormat="false" ht="15" hidden="false" customHeight="false" outlineLevel="0" collapsed="false">
      <c r="A285" s="26" t="str">
        <f aca="false">Entities!$A$26</f>
        <v>GB</v>
      </c>
      <c r="B285" s="12" t="str">
        <f aca="false">INDEX(Entities!$B$5:$B$34,MATCH(A285,Entities!$A$5:$A$34,0))</f>
        <v>Europe Arab Bank – United Kingdom</v>
      </c>
      <c r="C285" s="12" t="str">
        <f aca="false">INDEX(Entities!$D$5:$D$34,MATCH(A285,Entities!$A$5:$A$34,0))</f>
        <v>Europe</v>
      </c>
      <c r="D285" s="12" t="s">
        <v>307</v>
      </c>
      <c r="E285" s="12" t="str">
        <f aca="false">INDEX('Risk Taxonomy'!$B$5:$B$24,MATCH(D285,'Risk Taxonomy'!$A$5:$A$24,0))</f>
        <v>Operational risk</v>
      </c>
      <c r="F285" s="7" t="str">
        <f aca="false">IF(D285="RC-04",IF(INDEX(Entities!$G$5:$G$34,MATCH(A285,Entities!$A$5:$A$34,0))="Y","Yes","N/A"),"Yes")</f>
        <v>Yes</v>
      </c>
      <c r="G285" s="24" t="n">
        <v>3</v>
      </c>
      <c r="H285" s="24" t="n">
        <v>3</v>
      </c>
      <c r="I285" s="24" t="n">
        <v>2</v>
      </c>
      <c r="J285" s="24" t="n">
        <v>2</v>
      </c>
      <c r="K285" s="24" t="n">
        <v>3</v>
      </c>
      <c r="L285" s="37" t="n">
        <f aca="false">IF(F285="N/A","",IF(COUNT(H285:K285)=0,"",IF(Config!$C$19="Highest dimension",MAX(H285:K285),ROUND(H285*Config!$C$20+I285*Config!$C$21+J285*Config!$C$22+K285*Config!$C$23,1))))</f>
        <v>3</v>
      </c>
      <c r="M285" s="38" t="n">
        <f aca="false">IF(OR(L285="",G285=""),"",G285*L285)</f>
        <v>9</v>
      </c>
      <c r="N285" s="31" t="n">
        <f aca="false">IF(M285="","",MATCH(M285,Config!$E$5:$E$9,1))</f>
        <v>3</v>
      </c>
      <c r="O285" s="7" t="str">
        <f aca="false">IF(F285="N/A","N/A",IF(N285="","Not assessed",INDEX(Config!$B$5:$B$9,N285)))</f>
        <v>Medium</v>
      </c>
      <c r="P285" s="32" t="n">
        <v>0</v>
      </c>
      <c r="Q285" s="8"/>
      <c r="R285" s="33"/>
      <c r="S285" s="34" t="n">
        <f aca="false">IF(N285="","",IF(AND(R285="Y",P285&lt;&gt;0),MAX(1,MIN(5,N285+MAX(-Config!$C$27,MIN(Config!$C$27,P285)))),N285))</f>
        <v>3</v>
      </c>
      <c r="T285" s="35" t="str">
        <f aca="false">IF(F285="N/A","N/A",IF(S285="","Not assessed",INDEX(Config!$B$5:$B$9,S285)))</f>
        <v>Medium</v>
      </c>
      <c r="U285" s="7" t="str">
        <f aca="false">IF(P285=0,"None",IF(R285="Y","Applied","Pending HO approval"))</f>
        <v>None</v>
      </c>
      <c r="V285" s="8"/>
    </row>
    <row r="286" customFormat="false" ht="15" hidden="false" customHeight="false" outlineLevel="0" collapsed="false">
      <c r="A286" s="26" t="str">
        <f aca="false">Entities!$A$26</f>
        <v>GB</v>
      </c>
      <c r="B286" s="12" t="str">
        <f aca="false">INDEX(Entities!$B$5:$B$34,MATCH(A286,Entities!$A$5:$A$34,0))</f>
        <v>Europe Arab Bank – United Kingdom</v>
      </c>
      <c r="C286" s="12" t="str">
        <f aca="false">INDEX(Entities!$D$5:$D$34,MATCH(A286,Entities!$A$5:$A$34,0))</f>
        <v>Europe</v>
      </c>
      <c r="D286" s="12" t="s">
        <v>310</v>
      </c>
      <c r="E286" s="12" t="str">
        <f aca="false">INDEX('Risk Taxonomy'!$B$5:$B$24,MATCH(D286,'Risk Taxonomy'!$A$5:$A$24,0))</f>
        <v>Cyber, information security and technology</v>
      </c>
      <c r="F286" s="7" t="str">
        <f aca="false">IF(D286="RC-04",IF(INDEX(Entities!$G$5:$G$34,MATCH(A286,Entities!$A$5:$A$34,0))="Y","Yes","N/A"),"Yes")</f>
        <v>Yes</v>
      </c>
      <c r="G286" s="24" t="n">
        <v>2</v>
      </c>
      <c r="H286" s="24" t="n">
        <v>2</v>
      </c>
      <c r="I286" s="24" t="n">
        <v>2</v>
      </c>
      <c r="J286" s="24" t="n">
        <v>1</v>
      </c>
      <c r="K286" s="24" t="n">
        <v>2</v>
      </c>
      <c r="L286" s="37" t="n">
        <f aca="false">IF(F286="N/A","",IF(COUNT(H286:K286)=0,"",IF(Config!$C$19="Highest dimension",MAX(H286:K286),ROUND(H286*Config!$C$20+I286*Config!$C$21+J286*Config!$C$22+K286*Config!$C$23,1))))</f>
        <v>2</v>
      </c>
      <c r="M286" s="38" t="n">
        <f aca="false">IF(OR(L286="",G286=""),"",G286*L286)</f>
        <v>4</v>
      </c>
      <c r="N286" s="31" t="n">
        <f aca="false">IF(M286="","",MATCH(M286,Config!$E$5:$E$9,1))</f>
        <v>1</v>
      </c>
      <c r="O286" s="7" t="str">
        <f aca="false">IF(F286="N/A","N/A",IF(N286="","Not assessed",INDEX(Config!$B$5:$B$9,N286)))</f>
        <v>Low</v>
      </c>
      <c r="P286" s="32" t="n">
        <v>0</v>
      </c>
      <c r="Q286" s="8"/>
      <c r="R286" s="33"/>
      <c r="S286" s="34" t="n">
        <f aca="false">IF(N286="","",IF(AND(R286="Y",P286&lt;&gt;0),MAX(1,MIN(5,N286+MAX(-Config!$C$27,MIN(Config!$C$27,P286)))),N286))</f>
        <v>1</v>
      </c>
      <c r="T286" s="35" t="str">
        <f aca="false">IF(F286="N/A","N/A",IF(S286="","Not assessed",INDEX(Config!$B$5:$B$9,S286)))</f>
        <v>Low</v>
      </c>
      <c r="U286" s="7" t="str">
        <f aca="false">IF(P286=0,"None",IF(R286="Y","Applied","Pending HO approval"))</f>
        <v>None</v>
      </c>
      <c r="V286" s="8"/>
    </row>
    <row r="287" customFormat="false" ht="15" hidden="false" customHeight="false" outlineLevel="0" collapsed="false">
      <c r="A287" s="26" t="str">
        <f aca="false">Entities!$A$26</f>
        <v>GB</v>
      </c>
      <c r="B287" s="12" t="str">
        <f aca="false">INDEX(Entities!$B$5:$B$34,MATCH(A287,Entities!$A$5:$A$34,0))</f>
        <v>Europe Arab Bank – United Kingdom</v>
      </c>
      <c r="C287" s="12" t="str">
        <f aca="false">INDEX(Entities!$D$5:$D$34,MATCH(A287,Entities!$A$5:$A$34,0))</f>
        <v>Europe</v>
      </c>
      <c r="D287" s="12" t="s">
        <v>313</v>
      </c>
      <c r="E287" s="12" t="str">
        <f aca="false">INDEX('Risk Taxonomy'!$B$5:$B$24,MATCH(D287,'Risk Taxonomy'!$A$5:$A$24,0))</f>
        <v>Third-party and outsourcing</v>
      </c>
      <c r="F287" s="7" t="str">
        <f aca="false">IF(D287="RC-04",IF(INDEX(Entities!$G$5:$G$34,MATCH(A287,Entities!$A$5:$A$34,0))="Y","Yes","N/A"),"Yes")</f>
        <v>Yes</v>
      </c>
      <c r="G287" s="24" t="n">
        <v>2</v>
      </c>
      <c r="H287" s="24" t="n">
        <v>2</v>
      </c>
      <c r="I287" s="24" t="n">
        <v>2</v>
      </c>
      <c r="J287" s="24" t="n">
        <v>2</v>
      </c>
      <c r="K287" s="24" t="n">
        <v>4</v>
      </c>
      <c r="L287" s="37" t="n">
        <f aca="false">IF(F287="N/A","",IF(COUNT(H287:K287)=0,"",IF(Config!$C$19="Highest dimension",MAX(H287:K287),ROUND(H287*Config!$C$20+I287*Config!$C$21+J287*Config!$C$22+K287*Config!$C$23,1))))</f>
        <v>4</v>
      </c>
      <c r="M287" s="38" t="n">
        <f aca="false">IF(OR(L287="",G287=""),"",G287*L287)</f>
        <v>8</v>
      </c>
      <c r="N287" s="31" t="n">
        <f aca="false">IF(M287="","",MATCH(M287,Config!$E$5:$E$9,1))</f>
        <v>2</v>
      </c>
      <c r="O287" s="7" t="str">
        <f aca="false">IF(F287="N/A","N/A",IF(N287="","Not assessed",INDEX(Config!$B$5:$B$9,N287)))</f>
        <v>Medium-Low</v>
      </c>
      <c r="P287" s="32" t="n">
        <v>0</v>
      </c>
      <c r="Q287" s="8"/>
      <c r="R287" s="33"/>
      <c r="S287" s="34" t="n">
        <f aca="false">IF(N287="","",IF(AND(R287="Y",P287&lt;&gt;0),MAX(1,MIN(5,N287+MAX(-Config!$C$27,MIN(Config!$C$27,P287)))),N287))</f>
        <v>2</v>
      </c>
      <c r="T287" s="35" t="str">
        <f aca="false">IF(F287="N/A","N/A",IF(S287="","Not assessed",INDEX(Config!$B$5:$B$9,S287)))</f>
        <v>Medium-Low</v>
      </c>
      <c r="U287" s="7" t="str">
        <f aca="false">IF(P287=0,"None",IF(R287="Y","Applied","Pending HO approval"))</f>
        <v>None</v>
      </c>
      <c r="V287" s="8"/>
    </row>
    <row r="288" customFormat="false" ht="15" hidden="false" customHeight="false" outlineLevel="0" collapsed="false">
      <c r="A288" s="26" t="str">
        <f aca="false">Entities!$A$26</f>
        <v>GB</v>
      </c>
      <c r="B288" s="12" t="str">
        <f aca="false">INDEX(Entities!$B$5:$B$34,MATCH(A288,Entities!$A$5:$A$34,0))</f>
        <v>Europe Arab Bank – United Kingdom</v>
      </c>
      <c r="C288" s="12" t="str">
        <f aca="false">INDEX(Entities!$D$5:$D$34,MATCH(A288,Entities!$A$5:$A$34,0))</f>
        <v>Europe</v>
      </c>
      <c r="D288" s="12" t="s">
        <v>316</v>
      </c>
      <c r="E288" s="12" t="str">
        <f aca="false">INDEX('Risk Taxonomy'!$B$5:$B$24,MATCH(D288,'Risk Taxonomy'!$A$5:$A$24,0))</f>
        <v>Legal and litigation</v>
      </c>
      <c r="F288" s="7" t="str">
        <f aca="false">IF(D288="RC-04",IF(INDEX(Entities!$G$5:$G$34,MATCH(A288,Entities!$A$5:$A$34,0))="Y","Yes","N/A"),"Yes")</f>
        <v>Yes</v>
      </c>
      <c r="G288" s="24" t="n">
        <v>1</v>
      </c>
      <c r="H288" s="24" t="n">
        <v>2</v>
      </c>
      <c r="I288" s="24" t="n">
        <v>1</v>
      </c>
      <c r="J288" s="24" t="n">
        <v>3</v>
      </c>
      <c r="K288" s="24" t="n">
        <v>2</v>
      </c>
      <c r="L288" s="37" t="n">
        <f aca="false">IF(F288="N/A","",IF(COUNT(H288:K288)=0,"",IF(Config!$C$19="Highest dimension",MAX(H288:K288),ROUND(H288*Config!$C$20+I288*Config!$C$21+J288*Config!$C$22+K288*Config!$C$23,1))))</f>
        <v>3</v>
      </c>
      <c r="M288" s="38" t="n">
        <f aca="false">IF(OR(L288="",G288=""),"",G288*L288)</f>
        <v>3</v>
      </c>
      <c r="N288" s="31" t="n">
        <f aca="false">IF(M288="","",MATCH(M288,Config!$E$5:$E$9,1))</f>
        <v>1</v>
      </c>
      <c r="O288" s="7" t="str">
        <f aca="false">IF(F288="N/A","N/A",IF(N288="","Not assessed",INDEX(Config!$B$5:$B$9,N288)))</f>
        <v>Low</v>
      </c>
      <c r="P288" s="32" t="n">
        <v>0</v>
      </c>
      <c r="Q288" s="8"/>
      <c r="R288" s="33"/>
      <c r="S288" s="34" t="n">
        <f aca="false">IF(N288="","",IF(AND(R288="Y",P288&lt;&gt;0),MAX(1,MIN(5,N288+MAX(-Config!$C$27,MIN(Config!$C$27,P288)))),N288))</f>
        <v>1</v>
      </c>
      <c r="T288" s="35" t="str">
        <f aca="false">IF(F288="N/A","N/A",IF(S288="","Not assessed",INDEX(Config!$B$5:$B$9,S288)))</f>
        <v>Low</v>
      </c>
      <c r="U288" s="7" t="str">
        <f aca="false">IF(P288=0,"None",IF(R288="Y","Applied","Pending HO approval"))</f>
        <v>None</v>
      </c>
      <c r="V288" s="8"/>
    </row>
    <row r="289" customFormat="false" ht="15" hidden="false" customHeight="false" outlineLevel="0" collapsed="false">
      <c r="A289" s="26" t="str">
        <f aca="false">Entities!$A$26</f>
        <v>GB</v>
      </c>
      <c r="B289" s="12" t="str">
        <f aca="false">INDEX(Entities!$B$5:$B$34,MATCH(A289,Entities!$A$5:$A$34,0))</f>
        <v>Europe Arab Bank – United Kingdom</v>
      </c>
      <c r="C289" s="12" t="str">
        <f aca="false">INDEX(Entities!$D$5:$D$34,MATCH(A289,Entities!$A$5:$A$34,0))</f>
        <v>Europe</v>
      </c>
      <c r="D289" s="12" t="s">
        <v>319</v>
      </c>
      <c r="E289" s="12" t="str">
        <f aca="false">INDEX('Risk Taxonomy'!$B$5:$B$24,MATCH(D289,'Risk Taxonomy'!$A$5:$A$24,0))</f>
        <v>Reputational</v>
      </c>
      <c r="F289" s="7" t="str">
        <f aca="false">IF(D289="RC-04",IF(INDEX(Entities!$G$5:$G$34,MATCH(A289,Entities!$A$5:$A$34,0))="Y","Yes","N/A"),"Yes")</f>
        <v>Yes</v>
      </c>
      <c r="G289" s="24" t="n">
        <v>2</v>
      </c>
      <c r="H289" s="24" t="n">
        <v>1</v>
      </c>
      <c r="I289" s="24" t="n">
        <v>2</v>
      </c>
      <c r="J289" s="24" t="n">
        <v>3</v>
      </c>
      <c r="K289" s="24" t="n">
        <v>3</v>
      </c>
      <c r="L289" s="37" t="n">
        <f aca="false">IF(F289="N/A","",IF(COUNT(H289:K289)=0,"",IF(Config!$C$19="Highest dimension",MAX(H289:K289),ROUND(H289*Config!$C$20+I289*Config!$C$21+J289*Config!$C$22+K289*Config!$C$23,1))))</f>
        <v>3</v>
      </c>
      <c r="M289" s="38" t="n">
        <f aca="false">IF(OR(L289="",G289=""),"",G289*L289)</f>
        <v>6</v>
      </c>
      <c r="N289" s="31" t="n">
        <f aca="false">IF(M289="","",MATCH(M289,Config!$E$5:$E$9,1))</f>
        <v>2</v>
      </c>
      <c r="O289" s="7" t="str">
        <f aca="false">IF(F289="N/A","N/A",IF(N289="","Not assessed",INDEX(Config!$B$5:$B$9,N289)))</f>
        <v>Medium-Low</v>
      </c>
      <c r="P289" s="32" t="n">
        <v>0</v>
      </c>
      <c r="Q289" s="8"/>
      <c r="R289" s="33"/>
      <c r="S289" s="34" t="n">
        <f aca="false">IF(N289="","",IF(AND(R289="Y",P289&lt;&gt;0),MAX(1,MIN(5,N289+MAX(-Config!$C$27,MIN(Config!$C$27,P289)))),N289))</f>
        <v>2</v>
      </c>
      <c r="T289" s="35" t="str">
        <f aca="false">IF(F289="N/A","N/A",IF(S289="","Not assessed",INDEX(Config!$B$5:$B$9,S289)))</f>
        <v>Medium-Low</v>
      </c>
      <c r="U289" s="7" t="str">
        <f aca="false">IF(P289=0,"None",IF(R289="Y","Applied","Pending HO approval"))</f>
        <v>None</v>
      </c>
      <c r="V289" s="8"/>
    </row>
    <row r="290" customFormat="false" ht="15" hidden="false" customHeight="false" outlineLevel="0" collapsed="false">
      <c r="A290" s="26" t="str">
        <f aca="false">Entities!$A$26</f>
        <v>GB</v>
      </c>
      <c r="B290" s="12" t="str">
        <f aca="false">INDEX(Entities!$B$5:$B$34,MATCH(A290,Entities!$A$5:$A$34,0))</f>
        <v>Europe Arab Bank – United Kingdom</v>
      </c>
      <c r="C290" s="12" t="str">
        <f aca="false">INDEX(Entities!$D$5:$D$34,MATCH(A290,Entities!$A$5:$A$34,0))</f>
        <v>Europe</v>
      </c>
      <c r="D290" s="12" t="s">
        <v>322</v>
      </c>
      <c r="E290" s="12" t="str">
        <f aca="false">INDEX('Risk Taxonomy'!$B$5:$B$24,MATCH(D290,'Risk Taxonomy'!$A$5:$A$24,0))</f>
        <v>Strategic, business model and ESG</v>
      </c>
      <c r="F290" s="7" t="str">
        <f aca="false">IF(D290="RC-04",IF(INDEX(Entities!$G$5:$G$34,MATCH(A290,Entities!$A$5:$A$34,0))="Y","Yes","N/A"),"Yes")</f>
        <v>Yes</v>
      </c>
      <c r="G290" s="24" t="n">
        <v>2</v>
      </c>
      <c r="H290" s="24" t="n">
        <v>2</v>
      </c>
      <c r="I290" s="24" t="n">
        <v>1</v>
      </c>
      <c r="J290" s="24" t="n">
        <v>2</v>
      </c>
      <c r="K290" s="24" t="n">
        <v>2</v>
      </c>
      <c r="L290" s="37" t="n">
        <f aca="false">IF(F290="N/A","",IF(COUNT(H290:K290)=0,"",IF(Config!$C$19="Highest dimension",MAX(H290:K290),ROUND(H290*Config!$C$20+I290*Config!$C$21+J290*Config!$C$22+K290*Config!$C$23,1))))</f>
        <v>2</v>
      </c>
      <c r="M290" s="38" t="n">
        <f aca="false">IF(OR(L290="",G290=""),"",G290*L290)</f>
        <v>4</v>
      </c>
      <c r="N290" s="31" t="n">
        <f aca="false">IF(M290="","",MATCH(M290,Config!$E$5:$E$9,1))</f>
        <v>1</v>
      </c>
      <c r="O290" s="7" t="str">
        <f aca="false">IF(F290="N/A","N/A",IF(N290="","Not assessed",INDEX(Config!$B$5:$B$9,N290)))</f>
        <v>Low</v>
      </c>
      <c r="P290" s="32" t="n">
        <v>0</v>
      </c>
      <c r="Q290" s="8"/>
      <c r="R290" s="33"/>
      <c r="S290" s="34" t="n">
        <f aca="false">IF(N290="","",IF(AND(R290="Y",P290&lt;&gt;0),MAX(1,MIN(5,N290+MAX(-Config!$C$27,MIN(Config!$C$27,P290)))),N290))</f>
        <v>1</v>
      </c>
      <c r="T290" s="35" t="str">
        <f aca="false">IF(F290="N/A","N/A",IF(S290="","Not assessed",INDEX(Config!$B$5:$B$9,S290)))</f>
        <v>Low</v>
      </c>
      <c r="U290" s="7" t="str">
        <f aca="false">IF(P290=0,"None",IF(R290="Y","Applied","Pending HO approval"))</f>
        <v>None</v>
      </c>
      <c r="V290" s="8"/>
    </row>
    <row r="291" customFormat="false" ht="15" hidden="false" customHeight="false" outlineLevel="0" collapsed="false">
      <c r="A291" s="26" t="str">
        <f aca="false">Entities!$A$27</f>
        <v>FR</v>
      </c>
      <c r="B291" s="12" t="str">
        <f aca="false">INDEX(Entities!$B$5:$B$34,MATCH(A291,Entities!$A$5:$A$34,0))</f>
        <v>Arab Bank – France</v>
      </c>
      <c r="C291" s="12" t="str">
        <f aca="false">INDEX(Entities!$D$5:$D$34,MATCH(A291,Entities!$A$5:$A$34,0))</f>
        <v>Europe</v>
      </c>
      <c r="D291" s="12" t="s">
        <v>284</v>
      </c>
      <c r="E291" s="12" t="str">
        <f aca="false">INDEX('Risk Taxonomy'!$B$5:$B$24,MATCH(D291,'Risk Taxonomy'!$A$5:$A$24,0))</f>
        <v>Regulatory compliance</v>
      </c>
      <c r="F291" s="7" t="str">
        <f aca="false">IF(D291="RC-04",IF(INDEX(Entities!$G$5:$G$34,MATCH(A291,Entities!$A$5:$A$34,0))="Y","Yes","N/A"),"Yes")</f>
        <v>Yes</v>
      </c>
      <c r="G291" s="24" t="n">
        <v>2</v>
      </c>
      <c r="H291" s="24" t="n">
        <v>1</v>
      </c>
      <c r="I291" s="24" t="n">
        <v>1</v>
      </c>
      <c r="J291" s="24" t="n">
        <v>2</v>
      </c>
      <c r="K291" s="24" t="n">
        <v>2</v>
      </c>
      <c r="L291" s="37" t="n">
        <f aca="false">IF(F291="N/A","",IF(COUNT(H291:K291)=0,"",IF(Config!$C$19="Highest dimension",MAX(H291:K291),ROUND(H291*Config!$C$20+I291*Config!$C$21+J291*Config!$C$22+K291*Config!$C$23,1))))</f>
        <v>2</v>
      </c>
      <c r="M291" s="38" t="n">
        <f aca="false">IF(OR(L291="",G291=""),"",G291*L291)</f>
        <v>4</v>
      </c>
      <c r="N291" s="31" t="n">
        <f aca="false">IF(M291="","",MATCH(M291,Config!$E$5:$E$9,1))</f>
        <v>1</v>
      </c>
      <c r="O291" s="7" t="str">
        <f aca="false">IF(F291="N/A","N/A",IF(N291="","Not assessed",INDEX(Config!$B$5:$B$9,N291)))</f>
        <v>Low</v>
      </c>
      <c r="P291" s="32" t="n">
        <v>0</v>
      </c>
      <c r="Q291" s="8"/>
      <c r="R291" s="33"/>
      <c r="S291" s="34" t="n">
        <f aca="false">IF(N291="","",IF(AND(R291="Y",P291&lt;&gt;0),MAX(1,MIN(5,N291+MAX(-Config!$C$27,MIN(Config!$C$27,P291)))),N291))</f>
        <v>1</v>
      </c>
      <c r="T291" s="35" t="str">
        <f aca="false">IF(F291="N/A","N/A",IF(S291="","Not assessed",INDEX(Config!$B$5:$B$9,S291)))</f>
        <v>Low</v>
      </c>
      <c r="U291" s="7" t="str">
        <f aca="false">IF(P291=0,"None",IF(R291="Y","Applied","Pending HO approval"))</f>
        <v>None</v>
      </c>
      <c r="V291" s="8"/>
    </row>
    <row r="292" customFormat="false" ht="15" hidden="false" customHeight="false" outlineLevel="0" collapsed="false">
      <c r="A292" s="26" t="str">
        <f aca="false">Entities!$A$27</f>
        <v>FR</v>
      </c>
      <c r="B292" s="12" t="str">
        <f aca="false">INDEX(Entities!$B$5:$B$34,MATCH(A292,Entities!$A$5:$A$34,0))</f>
        <v>Arab Bank – France</v>
      </c>
      <c r="C292" s="12" t="str">
        <f aca="false">INDEX(Entities!$D$5:$D$34,MATCH(A292,Entities!$A$5:$A$34,0))</f>
        <v>Europe</v>
      </c>
      <c r="D292" s="12" t="s">
        <v>288</v>
      </c>
      <c r="E292" s="12" t="str">
        <f aca="false">INDEX('Risk Taxonomy'!$B$5:$B$24,MATCH(D292,'Risk Taxonomy'!$A$5:$A$24,0))</f>
        <v>Conduct and consumer protection</v>
      </c>
      <c r="F292" s="7" t="str">
        <f aca="false">IF(D292="RC-04",IF(INDEX(Entities!$G$5:$G$34,MATCH(A292,Entities!$A$5:$A$34,0))="Y","Yes","N/A"),"Yes")</f>
        <v>Yes</v>
      </c>
      <c r="G292" s="24" t="n">
        <v>1</v>
      </c>
      <c r="H292" s="24" t="n">
        <v>2</v>
      </c>
      <c r="I292" s="24" t="n">
        <v>2</v>
      </c>
      <c r="J292" s="24" t="n">
        <v>4</v>
      </c>
      <c r="K292" s="24" t="n">
        <v>2</v>
      </c>
      <c r="L292" s="37" t="n">
        <f aca="false">IF(F292="N/A","",IF(COUNT(H292:K292)=0,"",IF(Config!$C$19="Highest dimension",MAX(H292:K292),ROUND(H292*Config!$C$20+I292*Config!$C$21+J292*Config!$C$22+K292*Config!$C$23,1))))</f>
        <v>4</v>
      </c>
      <c r="M292" s="38" t="n">
        <f aca="false">IF(OR(L292="",G292=""),"",G292*L292)</f>
        <v>4</v>
      </c>
      <c r="N292" s="31" t="n">
        <f aca="false">IF(M292="","",MATCH(M292,Config!$E$5:$E$9,1))</f>
        <v>1</v>
      </c>
      <c r="O292" s="7" t="str">
        <f aca="false">IF(F292="N/A","N/A",IF(N292="","Not assessed",INDEX(Config!$B$5:$B$9,N292)))</f>
        <v>Low</v>
      </c>
      <c r="P292" s="32" t="n">
        <v>0</v>
      </c>
      <c r="Q292" s="8"/>
      <c r="R292" s="33"/>
      <c r="S292" s="34" t="n">
        <f aca="false">IF(N292="","",IF(AND(R292="Y",P292&lt;&gt;0),MAX(1,MIN(5,N292+MAX(-Config!$C$27,MIN(Config!$C$27,P292)))),N292))</f>
        <v>1</v>
      </c>
      <c r="T292" s="35" t="str">
        <f aca="false">IF(F292="N/A","N/A",IF(S292="","Not assessed",INDEX(Config!$B$5:$B$9,S292)))</f>
        <v>Low</v>
      </c>
      <c r="U292" s="7" t="str">
        <f aca="false">IF(P292=0,"None",IF(R292="Y","Applied","Pending HO approval"))</f>
        <v>None</v>
      </c>
      <c r="V292" s="8"/>
    </row>
    <row r="293" customFormat="false" ht="15" hidden="false" customHeight="false" outlineLevel="0" collapsed="false">
      <c r="A293" s="26" t="str">
        <f aca="false">Entities!$A$27</f>
        <v>FR</v>
      </c>
      <c r="B293" s="12" t="str">
        <f aca="false">INDEX(Entities!$B$5:$B$34,MATCH(A293,Entities!$A$5:$A$34,0))</f>
        <v>Arab Bank – France</v>
      </c>
      <c r="C293" s="12" t="str">
        <f aca="false">INDEX(Entities!$D$5:$D$34,MATCH(A293,Entities!$A$5:$A$34,0))</f>
        <v>Europe</v>
      </c>
      <c r="D293" s="12" t="s">
        <v>290</v>
      </c>
      <c r="E293" s="12" t="str">
        <f aca="false">INDEX('Risk Taxonomy'!$B$5:$B$24,MATCH(D293,'Risk Taxonomy'!$A$5:$A$24,0))</f>
        <v>Data protection and privacy</v>
      </c>
      <c r="F293" s="7" t="str">
        <f aca="false">IF(D293="RC-04",IF(INDEX(Entities!$G$5:$G$34,MATCH(A293,Entities!$A$5:$A$34,0))="Y","Yes","N/A"),"Yes")</f>
        <v>Yes</v>
      </c>
      <c r="G293" s="24" t="n">
        <v>2</v>
      </c>
      <c r="H293" s="24" t="n">
        <v>1</v>
      </c>
      <c r="I293" s="24" t="n">
        <v>2</v>
      </c>
      <c r="J293" s="24" t="n">
        <v>3</v>
      </c>
      <c r="K293" s="24" t="n">
        <v>3</v>
      </c>
      <c r="L293" s="37" t="n">
        <f aca="false">IF(F293="N/A","",IF(COUNT(H293:K293)=0,"",IF(Config!$C$19="Highest dimension",MAX(H293:K293),ROUND(H293*Config!$C$20+I293*Config!$C$21+J293*Config!$C$22+K293*Config!$C$23,1))))</f>
        <v>3</v>
      </c>
      <c r="M293" s="38" t="n">
        <f aca="false">IF(OR(L293="",G293=""),"",G293*L293)</f>
        <v>6</v>
      </c>
      <c r="N293" s="31" t="n">
        <f aca="false">IF(M293="","",MATCH(M293,Config!$E$5:$E$9,1))</f>
        <v>2</v>
      </c>
      <c r="O293" s="7" t="str">
        <f aca="false">IF(F293="N/A","N/A",IF(N293="","Not assessed",INDEX(Config!$B$5:$B$9,N293)))</f>
        <v>Medium-Low</v>
      </c>
      <c r="P293" s="32" t="n">
        <v>0</v>
      </c>
      <c r="Q293" s="8"/>
      <c r="R293" s="33"/>
      <c r="S293" s="34" t="n">
        <f aca="false">IF(N293="","",IF(AND(R293="Y",P293&lt;&gt;0),MAX(1,MIN(5,N293+MAX(-Config!$C$27,MIN(Config!$C$27,P293)))),N293))</f>
        <v>2</v>
      </c>
      <c r="T293" s="35" t="str">
        <f aca="false">IF(F293="N/A","N/A",IF(S293="","Not assessed",INDEX(Config!$B$5:$B$9,S293)))</f>
        <v>Medium-Low</v>
      </c>
      <c r="U293" s="7" t="str">
        <f aca="false">IF(P293=0,"None",IF(R293="Y","Applied","Pending HO approval"))</f>
        <v>None</v>
      </c>
      <c r="V293" s="8"/>
    </row>
    <row r="294" customFormat="false" ht="15" hidden="false" customHeight="false" outlineLevel="0" collapsed="false">
      <c r="A294" s="26" t="str">
        <f aca="false">Entities!$A$27</f>
        <v>FR</v>
      </c>
      <c r="B294" s="12" t="str">
        <f aca="false">INDEX(Entities!$B$5:$B$34,MATCH(A294,Entities!$A$5:$A$34,0))</f>
        <v>Arab Bank – France</v>
      </c>
      <c r="C294" s="12" t="str">
        <f aca="false">INDEX(Entities!$D$5:$D$34,MATCH(A294,Entities!$A$5:$A$34,0))</f>
        <v>Europe</v>
      </c>
      <c r="D294" s="12" t="s">
        <v>293</v>
      </c>
      <c r="E294" s="12" t="str">
        <f aca="false">INDEX('Risk Taxonomy'!$B$5:$B$24,MATCH(D294,'Risk Taxonomy'!$A$5:$A$24,0))</f>
        <v>Shariah non-compliance</v>
      </c>
      <c r="F294" s="7" t="str">
        <f aca="false">IF(D294="RC-04",IF(INDEX(Entities!$G$5:$G$34,MATCH(A294,Entities!$A$5:$A$34,0))="Y","Yes","N/A"),"Yes")</f>
        <v>N/A</v>
      </c>
      <c r="G294" s="24"/>
      <c r="H294" s="24"/>
      <c r="I294" s="24"/>
      <c r="J294" s="24"/>
      <c r="K294" s="24"/>
      <c r="L294" s="37" t="str">
        <f aca="false">IF(F294="N/A","",IF(COUNT(H294:K294)=0,"",IF(Config!$C$19="Highest dimension",MAX(H294:K294),ROUND(H294*Config!$C$20+I294*Config!$C$21+J294*Config!$C$22+K294*Config!$C$23,1))))</f>
        <v/>
      </c>
      <c r="M294" s="38" t="str">
        <f aca="false">IF(OR(L294="",G294=""),"",G294*L294)</f>
        <v/>
      </c>
      <c r="N294" s="31" t="str">
        <f aca="false">IF(M294="","",MATCH(M294,Config!$E$5:$E$9,1))</f>
        <v/>
      </c>
      <c r="O294" s="7" t="str">
        <f aca="false">IF(F294="N/A","N/A",IF(N294="","Not assessed",INDEX(Config!$B$5:$B$9,N294)))</f>
        <v>N/A</v>
      </c>
      <c r="P294" s="32" t="n">
        <v>0</v>
      </c>
      <c r="Q294" s="8"/>
      <c r="R294" s="33"/>
      <c r="S294" s="34" t="str">
        <f aca="false">IF(N294="","",IF(AND(R294="Y",P294&lt;&gt;0),MAX(1,MIN(5,N294+MAX(-Config!$C$27,MIN(Config!$C$27,P294)))),N294))</f>
        <v/>
      </c>
      <c r="T294" s="35" t="str">
        <f aca="false">IF(F294="N/A","N/A",IF(S294="","Not assessed",INDEX(Config!$B$5:$B$9,S294)))</f>
        <v>N/A</v>
      </c>
      <c r="U294" s="7" t="str">
        <f aca="false">IF(P294=0,"None",IF(R294="Y","Applied","Pending HO approval"))</f>
        <v>None</v>
      </c>
      <c r="V294" s="8"/>
    </row>
    <row r="295" customFormat="false" ht="15" hidden="false" customHeight="false" outlineLevel="0" collapsed="false">
      <c r="A295" s="26" t="str">
        <f aca="false">Entities!$A$27</f>
        <v>FR</v>
      </c>
      <c r="B295" s="12" t="str">
        <f aca="false">INDEX(Entities!$B$5:$B$34,MATCH(A295,Entities!$A$5:$A$34,0))</f>
        <v>Arab Bank – France</v>
      </c>
      <c r="C295" s="12" t="str">
        <f aca="false">INDEX(Entities!$D$5:$D$34,MATCH(A295,Entities!$A$5:$A$34,0))</f>
        <v>Europe</v>
      </c>
      <c r="D295" s="12" t="s">
        <v>297</v>
      </c>
      <c r="E295" s="12" t="str">
        <f aca="false">INDEX('Risk Taxonomy'!$B$5:$B$24,MATCH(D295,'Risk Taxonomy'!$A$5:$A$24,0))</f>
        <v>Credit risk</v>
      </c>
      <c r="F295" s="7" t="str">
        <f aca="false">IF(D295="RC-04",IF(INDEX(Entities!$G$5:$G$34,MATCH(A295,Entities!$A$5:$A$34,0))="Y","Yes","N/A"),"Yes")</f>
        <v>Yes</v>
      </c>
      <c r="G295" s="24" t="n">
        <v>2</v>
      </c>
      <c r="H295" s="24" t="n">
        <v>3</v>
      </c>
      <c r="I295" s="24" t="n">
        <v>2</v>
      </c>
      <c r="J295" s="24" t="n">
        <v>1</v>
      </c>
      <c r="K295" s="24" t="n">
        <v>4</v>
      </c>
      <c r="L295" s="37" t="n">
        <f aca="false">IF(F295="N/A","",IF(COUNT(H295:K295)=0,"",IF(Config!$C$19="Highest dimension",MAX(H295:K295),ROUND(H295*Config!$C$20+I295*Config!$C$21+J295*Config!$C$22+K295*Config!$C$23,1))))</f>
        <v>4</v>
      </c>
      <c r="M295" s="38" t="n">
        <f aca="false">IF(OR(L295="",G295=""),"",G295*L295)</f>
        <v>8</v>
      </c>
      <c r="N295" s="31" t="n">
        <f aca="false">IF(M295="","",MATCH(M295,Config!$E$5:$E$9,1))</f>
        <v>2</v>
      </c>
      <c r="O295" s="7" t="str">
        <f aca="false">IF(F295="N/A","N/A",IF(N295="","Not assessed",INDEX(Config!$B$5:$B$9,N295)))</f>
        <v>Medium-Low</v>
      </c>
      <c r="P295" s="32" t="n">
        <v>0</v>
      </c>
      <c r="Q295" s="8"/>
      <c r="R295" s="33"/>
      <c r="S295" s="34" t="n">
        <f aca="false">IF(N295="","",IF(AND(R295="Y",P295&lt;&gt;0),MAX(1,MIN(5,N295+MAX(-Config!$C$27,MIN(Config!$C$27,P295)))),N295))</f>
        <v>2</v>
      </c>
      <c r="T295" s="35" t="str">
        <f aca="false">IF(F295="N/A","N/A",IF(S295="","Not assessed",INDEX(Config!$B$5:$B$9,S295)))</f>
        <v>Medium-Low</v>
      </c>
      <c r="U295" s="7" t="str">
        <f aca="false">IF(P295=0,"None",IF(R295="Y","Applied","Pending HO approval"))</f>
        <v>None</v>
      </c>
      <c r="V295" s="8"/>
    </row>
    <row r="296" customFormat="false" ht="15" hidden="false" customHeight="false" outlineLevel="0" collapsed="false">
      <c r="A296" s="26" t="str">
        <f aca="false">Entities!$A$27</f>
        <v>FR</v>
      </c>
      <c r="B296" s="12" t="str">
        <f aca="false">INDEX(Entities!$B$5:$B$34,MATCH(A296,Entities!$A$5:$A$34,0))</f>
        <v>Arab Bank – France</v>
      </c>
      <c r="C296" s="12" t="str">
        <f aca="false">INDEX(Entities!$D$5:$D$34,MATCH(A296,Entities!$A$5:$A$34,0))</f>
        <v>Europe</v>
      </c>
      <c r="D296" s="12" t="s">
        <v>302</v>
      </c>
      <c r="E296" s="12" t="str">
        <f aca="false">INDEX('Risk Taxonomy'!$B$5:$B$24,MATCH(D296,'Risk Taxonomy'!$A$5:$A$24,0))</f>
        <v>Market risk</v>
      </c>
      <c r="F296" s="7" t="str">
        <f aca="false">IF(D296="RC-04",IF(INDEX(Entities!$G$5:$G$34,MATCH(A296,Entities!$A$5:$A$34,0))="Y","Yes","N/A"),"Yes")</f>
        <v>Yes</v>
      </c>
      <c r="G296" s="24" t="n">
        <v>1</v>
      </c>
      <c r="H296" s="24" t="n">
        <v>1</v>
      </c>
      <c r="I296" s="24" t="n">
        <v>3</v>
      </c>
      <c r="J296" s="24" t="n">
        <v>4</v>
      </c>
      <c r="K296" s="24" t="n">
        <v>1</v>
      </c>
      <c r="L296" s="37" t="n">
        <f aca="false">IF(F296="N/A","",IF(COUNT(H296:K296)=0,"",IF(Config!$C$19="Highest dimension",MAX(H296:K296),ROUND(H296*Config!$C$20+I296*Config!$C$21+J296*Config!$C$22+K296*Config!$C$23,1))))</f>
        <v>4</v>
      </c>
      <c r="M296" s="38" t="n">
        <f aca="false">IF(OR(L296="",G296=""),"",G296*L296)</f>
        <v>4</v>
      </c>
      <c r="N296" s="31" t="n">
        <f aca="false">IF(M296="","",MATCH(M296,Config!$E$5:$E$9,1))</f>
        <v>1</v>
      </c>
      <c r="O296" s="7" t="str">
        <f aca="false">IF(F296="N/A","N/A",IF(N296="","Not assessed",INDEX(Config!$B$5:$B$9,N296)))</f>
        <v>Low</v>
      </c>
      <c r="P296" s="32" t="n">
        <v>0</v>
      </c>
      <c r="Q296" s="8"/>
      <c r="R296" s="33"/>
      <c r="S296" s="34" t="n">
        <f aca="false">IF(N296="","",IF(AND(R296="Y",P296&lt;&gt;0),MAX(1,MIN(5,N296+MAX(-Config!$C$27,MIN(Config!$C$27,P296)))),N296))</f>
        <v>1</v>
      </c>
      <c r="T296" s="35" t="str">
        <f aca="false">IF(F296="N/A","N/A",IF(S296="","Not assessed",INDEX(Config!$B$5:$B$9,S296)))</f>
        <v>Low</v>
      </c>
      <c r="U296" s="7" t="str">
        <f aca="false">IF(P296=0,"None",IF(R296="Y","Applied","Pending HO approval"))</f>
        <v>None</v>
      </c>
      <c r="V296" s="8"/>
    </row>
    <row r="297" customFormat="false" ht="15" hidden="false" customHeight="false" outlineLevel="0" collapsed="false">
      <c r="A297" s="26" t="str">
        <f aca="false">Entities!$A$27</f>
        <v>FR</v>
      </c>
      <c r="B297" s="12" t="str">
        <f aca="false">INDEX(Entities!$B$5:$B$34,MATCH(A297,Entities!$A$5:$A$34,0))</f>
        <v>Arab Bank – France</v>
      </c>
      <c r="C297" s="12" t="str">
        <f aca="false">INDEX(Entities!$D$5:$D$34,MATCH(A297,Entities!$A$5:$A$34,0))</f>
        <v>Europe</v>
      </c>
      <c r="D297" s="12" t="s">
        <v>304</v>
      </c>
      <c r="E297" s="12" t="str">
        <f aca="false">INDEX('Risk Taxonomy'!$B$5:$B$24,MATCH(D297,'Risk Taxonomy'!$A$5:$A$24,0))</f>
        <v>Liquidity and funding risk</v>
      </c>
      <c r="F297" s="7" t="str">
        <f aca="false">IF(D297="RC-04",IF(INDEX(Entities!$G$5:$G$34,MATCH(A297,Entities!$A$5:$A$34,0))="Y","Yes","N/A"),"Yes")</f>
        <v>Yes</v>
      </c>
      <c r="G297" s="24" t="n">
        <v>2</v>
      </c>
      <c r="H297" s="24" t="n">
        <v>3</v>
      </c>
      <c r="I297" s="24" t="n">
        <v>2</v>
      </c>
      <c r="J297" s="24" t="n">
        <v>1</v>
      </c>
      <c r="K297" s="24" t="n">
        <v>2</v>
      </c>
      <c r="L297" s="37" t="n">
        <f aca="false">IF(F297="N/A","",IF(COUNT(H297:K297)=0,"",IF(Config!$C$19="Highest dimension",MAX(H297:K297),ROUND(H297*Config!$C$20+I297*Config!$C$21+J297*Config!$C$22+K297*Config!$C$23,1))))</f>
        <v>3</v>
      </c>
      <c r="M297" s="38" t="n">
        <f aca="false">IF(OR(L297="",G297=""),"",G297*L297)</f>
        <v>6</v>
      </c>
      <c r="N297" s="31" t="n">
        <f aca="false">IF(M297="","",MATCH(M297,Config!$E$5:$E$9,1))</f>
        <v>2</v>
      </c>
      <c r="O297" s="7" t="str">
        <f aca="false">IF(F297="N/A","N/A",IF(N297="","Not assessed",INDEX(Config!$B$5:$B$9,N297)))</f>
        <v>Medium-Low</v>
      </c>
      <c r="P297" s="32" t="n">
        <v>0</v>
      </c>
      <c r="Q297" s="8"/>
      <c r="R297" s="33"/>
      <c r="S297" s="34" t="n">
        <f aca="false">IF(N297="","",IF(AND(R297="Y",P297&lt;&gt;0),MAX(1,MIN(5,N297+MAX(-Config!$C$27,MIN(Config!$C$27,P297)))),N297))</f>
        <v>2</v>
      </c>
      <c r="T297" s="35" t="str">
        <f aca="false">IF(F297="N/A","N/A",IF(S297="","Not assessed",INDEX(Config!$B$5:$B$9,S297)))</f>
        <v>Medium-Low</v>
      </c>
      <c r="U297" s="7" t="str">
        <f aca="false">IF(P297=0,"None",IF(R297="Y","Applied","Pending HO approval"))</f>
        <v>None</v>
      </c>
      <c r="V297" s="8"/>
    </row>
    <row r="298" customFormat="false" ht="15" hidden="false" customHeight="false" outlineLevel="0" collapsed="false">
      <c r="A298" s="26" t="str">
        <f aca="false">Entities!$A$27</f>
        <v>FR</v>
      </c>
      <c r="B298" s="12" t="str">
        <f aca="false">INDEX(Entities!$B$5:$B$34,MATCH(A298,Entities!$A$5:$A$34,0))</f>
        <v>Arab Bank – France</v>
      </c>
      <c r="C298" s="12" t="str">
        <f aca="false">INDEX(Entities!$D$5:$D$34,MATCH(A298,Entities!$A$5:$A$34,0))</f>
        <v>Europe</v>
      </c>
      <c r="D298" s="12" t="s">
        <v>307</v>
      </c>
      <c r="E298" s="12" t="str">
        <f aca="false">INDEX('Risk Taxonomy'!$B$5:$B$24,MATCH(D298,'Risk Taxonomy'!$A$5:$A$24,0))</f>
        <v>Operational risk</v>
      </c>
      <c r="F298" s="7" t="str">
        <f aca="false">IF(D298="RC-04",IF(INDEX(Entities!$G$5:$G$34,MATCH(A298,Entities!$A$5:$A$34,0))="Y","Yes","N/A"),"Yes")</f>
        <v>Yes</v>
      </c>
      <c r="G298" s="24" t="n">
        <v>3</v>
      </c>
      <c r="H298" s="24" t="n">
        <v>2</v>
      </c>
      <c r="I298" s="24" t="n">
        <v>3</v>
      </c>
      <c r="J298" s="24" t="n">
        <v>2</v>
      </c>
      <c r="K298" s="24" t="n">
        <v>1</v>
      </c>
      <c r="L298" s="37" t="n">
        <f aca="false">IF(F298="N/A","",IF(COUNT(H298:K298)=0,"",IF(Config!$C$19="Highest dimension",MAX(H298:K298),ROUND(H298*Config!$C$20+I298*Config!$C$21+J298*Config!$C$22+K298*Config!$C$23,1))))</f>
        <v>3</v>
      </c>
      <c r="M298" s="38" t="n">
        <f aca="false">IF(OR(L298="",G298=""),"",G298*L298)</f>
        <v>9</v>
      </c>
      <c r="N298" s="31" t="n">
        <f aca="false">IF(M298="","",MATCH(M298,Config!$E$5:$E$9,1))</f>
        <v>3</v>
      </c>
      <c r="O298" s="7" t="str">
        <f aca="false">IF(F298="N/A","N/A",IF(N298="","Not assessed",INDEX(Config!$B$5:$B$9,N298)))</f>
        <v>Medium</v>
      </c>
      <c r="P298" s="32" t="n">
        <v>0</v>
      </c>
      <c r="Q298" s="8"/>
      <c r="R298" s="33"/>
      <c r="S298" s="34" t="n">
        <f aca="false">IF(N298="","",IF(AND(R298="Y",P298&lt;&gt;0),MAX(1,MIN(5,N298+MAX(-Config!$C$27,MIN(Config!$C$27,P298)))),N298))</f>
        <v>3</v>
      </c>
      <c r="T298" s="35" t="str">
        <f aca="false">IF(F298="N/A","N/A",IF(S298="","Not assessed",INDEX(Config!$B$5:$B$9,S298)))</f>
        <v>Medium</v>
      </c>
      <c r="U298" s="7" t="str">
        <f aca="false">IF(P298=0,"None",IF(R298="Y","Applied","Pending HO approval"))</f>
        <v>None</v>
      </c>
      <c r="V298" s="8"/>
    </row>
    <row r="299" customFormat="false" ht="15" hidden="false" customHeight="false" outlineLevel="0" collapsed="false">
      <c r="A299" s="26" t="str">
        <f aca="false">Entities!$A$27</f>
        <v>FR</v>
      </c>
      <c r="B299" s="12" t="str">
        <f aca="false">INDEX(Entities!$B$5:$B$34,MATCH(A299,Entities!$A$5:$A$34,0))</f>
        <v>Arab Bank – France</v>
      </c>
      <c r="C299" s="12" t="str">
        <f aca="false">INDEX(Entities!$D$5:$D$34,MATCH(A299,Entities!$A$5:$A$34,0))</f>
        <v>Europe</v>
      </c>
      <c r="D299" s="12" t="s">
        <v>310</v>
      </c>
      <c r="E299" s="12" t="str">
        <f aca="false">INDEX('Risk Taxonomy'!$B$5:$B$24,MATCH(D299,'Risk Taxonomy'!$A$5:$A$24,0))</f>
        <v>Cyber, information security and technology</v>
      </c>
      <c r="F299" s="7" t="str">
        <f aca="false">IF(D299="RC-04",IF(INDEX(Entities!$G$5:$G$34,MATCH(A299,Entities!$A$5:$A$34,0))="Y","Yes","N/A"),"Yes")</f>
        <v>Yes</v>
      </c>
      <c r="G299" s="24" t="n">
        <v>2</v>
      </c>
      <c r="H299" s="24" t="n">
        <v>3</v>
      </c>
      <c r="I299" s="24" t="n">
        <v>3</v>
      </c>
      <c r="J299" s="24" t="n">
        <v>2</v>
      </c>
      <c r="K299" s="24" t="n">
        <v>2</v>
      </c>
      <c r="L299" s="37" t="n">
        <f aca="false">IF(F299="N/A","",IF(COUNT(H299:K299)=0,"",IF(Config!$C$19="Highest dimension",MAX(H299:K299),ROUND(H299*Config!$C$20+I299*Config!$C$21+J299*Config!$C$22+K299*Config!$C$23,1))))</f>
        <v>3</v>
      </c>
      <c r="M299" s="38" t="n">
        <f aca="false">IF(OR(L299="",G299=""),"",G299*L299)</f>
        <v>6</v>
      </c>
      <c r="N299" s="31" t="n">
        <f aca="false">IF(M299="","",MATCH(M299,Config!$E$5:$E$9,1))</f>
        <v>2</v>
      </c>
      <c r="O299" s="7" t="str">
        <f aca="false">IF(F299="N/A","N/A",IF(N299="","Not assessed",INDEX(Config!$B$5:$B$9,N299)))</f>
        <v>Medium-Low</v>
      </c>
      <c r="P299" s="32" t="n">
        <v>0</v>
      </c>
      <c r="Q299" s="8"/>
      <c r="R299" s="33"/>
      <c r="S299" s="34" t="n">
        <f aca="false">IF(N299="","",IF(AND(R299="Y",P299&lt;&gt;0),MAX(1,MIN(5,N299+MAX(-Config!$C$27,MIN(Config!$C$27,P299)))),N299))</f>
        <v>2</v>
      </c>
      <c r="T299" s="35" t="str">
        <f aca="false">IF(F299="N/A","N/A",IF(S299="","Not assessed",INDEX(Config!$B$5:$B$9,S299)))</f>
        <v>Medium-Low</v>
      </c>
      <c r="U299" s="7" t="str">
        <f aca="false">IF(P299=0,"None",IF(R299="Y","Applied","Pending HO approval"))</f>
        <v>None</v>
      </c>
      <c r="V299" s="8"/>
    </row>
    <row r="300" customFormat="false" ht="15" hidden="false" customHeight="false" outlineLevel="0" collapsed="false">
      <c r="A300" s="26" t="str">
        <f aca="false">Entities!$A$27</f>
        <v>FR</v>
      </c>
      <c r="B300" s="12" t="str">
        <f aca="false">INDEX(Entities!$B$5:$B$34,MATCH(A300,Entities!$A$5:$A$34,0))</f>
        <v>Arab Bank – France</v>
      </c>
      <c r="C300" s="12" t="str">
        <f aca="false">INDEX(Entities!$D$5:$D$34,MATCH(A300,Entities!$A$5:$A$34,0))</f>
        <v>Europe</v>
      </c>
      <c r="D300" s="12" t="s">
        <v>313</v>
      </c>
      <c r="E300" s="12" t="str">
        <f aca="false">INDEX('Risk Taxonomy'!$B$5:$B$24,MATCH(D300,'Risk Taxonomy'!$A$5:$A$24,0))</f>
        <v>Third-party and outsourcing</v>
      </c>
      <c r="F300" s="7" t="str">
        <f aca="false">IF(D300="RC-04",IF(INDEX(Entities!$G$5:$G$34,MATCH(A300,Entities!$A$5:$A$34,0))="Y","Yes","N/A"),"Yes")</f>
        <v>Yes</v>
      </c>
      <c r="G300" s="24" t="n">
        <v>3</v>
      </c>
      <c r="H300" s="24" t="n">
        <v>2</v>
      </c>
      <c r="I300" s="24" t="n">
        <v>2</v>
      </c>
      <c r="J300" s="24" t="n">
        <v>2</v>
      </c>
      <c r="K300" s="24" t="n">
        <v>1</v>
      </c>
      <c r="L300" s="37" t="n">
        <f aca="false">IF(F300="N/A","",IF(COUNT(H300:K300)=0,"",IF(Config!$C$19="Highest dimension",MAX(H300:K300),ROUND(H300*Config!$C$20+I300*Config!$C$21+J300*Config!$C$22+K300*Config!$C$23,1))))</f>
        <v>2</v>
      </c>
      <c r="M300" s="38" t="n">
        <f aca="false">IF(OR(L300="",G300=""),"",G300*L300)</f>
        <v>6</v>
      </c>
      <c r="N300" s="31" t="n">
        <f aca="false">IF(M300="","",MATCH(M300,Config!$E$5:$E$9,1))</f>
        <v>2</v>
      </c>
      <c r="O300" s="7" t="str">
        <f aca="false">IF(F300="N/A","N/A",IF(N300="","Not assessed",INDEX(Config!$B$5:$B$9,N300)))</f>
        <v>Medium-Low</v>
      </c>
      <c r="P300" s="32" t="n">
        <v>0</v>
      </c>
      <c r="Q300" s="8"/>
      <c r="R300" s="33"/>
      <c r="S300" s="34" t="n">
        <f aca="false">IF(N300="","",IF(AND(R300="Y",P300&lt;&gt;0),MAX(1,MIN(5,N300+MAX(-Config!$C$27,MIN(Config!$C$27,P300)))),N300))</f>
        <v>2</v>
      </c>
      <c r="T300" s="35" t="str">
        <f aca="false">IF(F300="N/A","N/A",IF(S300="","Not assessed",INDEX(Config!$B$5:$B$9,S300)))</f>
        <v>Medium-Low</v>
      </c>
      <c r="U300" s="7" t="str">
        <f aca="false">IF(P300=0,"None",IF(R300="Y","Applied","Pending HO approval"))</f>
        <v>None</v>
      </c>
      <c r="V300" s="8"/>
    </row>
    <row r="301" customFormat="false" ht="15" hidden="false" customHeight="false" outlineLevel="0" collapsed="false">
      <c r="A301" s="26" t="str">
        <f aca="false">Entities!$A$27</f>
        <v>FR</v>
      </c>
      <c r="B301" s="12" t="str">
        <f aca="false">INDEX(Entities!$B$5:$B$34,MATCH(A301,Entities!$A$5:$A$34,0))</f>
        <v>Arab Bank – France</v>
      </c>
      <c r="C301" s="12" t="str">
        <f aca="false">INDEX(Entities!$D$5:$D$34,MATCH(A301,Entities!$A$5:$A$34,0))</f>
        <v>Europe</v>
      </c>
      <c r="D301" s="12" t="s">
        <v>316</v>
      </c>
      <c r="E301" s="12" t="str">
        <f aca="false">INDEX('Risk Taxonomy'!$B$5:$B$24,MATCH(D301,'Risk Taxonomy'!$A$5:$A$24,0))</f>
        <v>Legal and litigation</v>
      </c>
      <c r="F301" s="7" t="str">
        <f aca="false">IF(D301="RC-04",IF(INDEX(Entities!$G$5:$G$34,MATCH(A301,Entities!$A$5:$A$34,0))="Y","Yes","N/A"),"Yes")</f>
        <v>Yes</v>
      </c>
      <c r="G301" s="24" t="n">
        <v>1</v>
      </c>
      <c r="H301" s="24" t="n">
        <v>2</v>
      </c>
      <c r="I301" s="24" t="n">
        <v>2</v>
      </c>
      <c r="J301" s="24" t="n">
        <v>2</v>
      </c>
      <c r="K301" s="24" t="n">
        <v>2</v>
      </c>
      <c r="L301" s="37" t="n">
        <f aca="false">IF(F301="N/A","",IF(COUNT(H301:K301)=0,"",IF(Config!$C$19="Highest dimension",MAX(H301:K301),ROUND(H301*Config!$C$20+I301*Config!$C$21+J301*Config!$C$22+K301*Config!$C$23,1))))</f>
        <v>2</v>
      </c>
      <c r="M301" s="38" t="n">
        <f aca="false">IF(OR(L301="",G301=""),"",G301*L301)</f>
        <v>2</v>
      </c>
      <c r="N301" s="31" t="n">
        <f aca="false">IF(M301="","",MATCH(M301,Config!$E$5:$E$9,1))</f>
        <v>1</v>
      </c>
      <c r="O301" s="7" t="str">
        <f aca="false">IF(F301="N/A","N/A",IF(N301="","Not assessed",INDEX(Config!$B$5:$B$9,N301)))</f>
        <v>Low</v>
      </c>
      <c r="P301" s="32" t="n">
        <v>0</v>
      </c>
      <c r="Q301" s="8"/>
      <c r="R301" s="33"/>
      <c r="S301" s="34" t="n">
        <f aca="false">IF(N301="","",IF(AND(R301="Y",P301&lt;&gt;0),MAX(1,MIN(5,N301+MAX(-Config!$C$27,MIN(Config!$C$27,P301)))),N301))</f>
        <v>1</v>
      </c>
      <c r="T301" s="35" t="str">
        <f aca="false">IF(F301="N/A","N/A",IF(S301="","Not assessed",INDEX(Config!$B$5:$B$9,S301)))</f>
        <v>Low</v>
      </c>
      <c r="U301" s="7" t="str">
        <f aca="false">IF(P301=0,"None",IF(R301="Y","Applied","Pending HO approval"))</f>
        <v>None</v>
      </c>
      <c r="V301" s="8"/>
    </row>
    <row r="302" customFormat="false" ht="15" hidden="false" customHeight="false" outlineLevel="0" collapsed="false">
      <c r="A302" s="26" t="str">
        <f aca="false">Entities!$A$27</f>
        <v>FR</v>
      </c>
      <c r="B302" s="12" t="str">
        <f aca="false">INDEX(Entities!$B$5:$B$34,MATCH(A302,Entities!$A$5:$A$34,0))</f>
        <v>Arab Bank – France</v>
      </c>
      <c r="C302" s="12" t="str">
        <f aca="false">INDEX(Entities!$D$5:$D$34,MATCH(A302,Entities!$A$5:$A$34,0))</f>
        <v>Europe</v>
      </c>
      <c r="D302" s="12" t="s">
        <v>319</v>
      </c>
      <c r="E302" s="12" t="str">
        <f aca="false">INDEX('Risk Taxonomy'!$B$5:$B$24,MATCH(D302,'Risk Taxonomy'!$A$5:$A$24,0))</f>
        <v>Reputational</v>
      </c>
      <c r="F302" s="7" t="str">
        <f aca="false">IF(D302="RC-04",IF(INDEX(Entities!$G$5:$G$34,MATCH(A302,Entities!$A$5:$A$34,0))="Y","Yes","N/A"),"Yes")</f>
        <v>Yes</v>
      </c>
      <c r="G302" s="24" t="n">
        <v>2</v>
      </c>
      <c r="H302" s="24" t="n">
        <v>3</v>
      </c>
      <c r="I302" s="24" t="n">
        <v>2</v>
      </c>
      <c r="J302" s="24" t="n">
        <v>1</v>
      </c>
      <c r="K302" s="24" t="n">
        <v>2</v>
      </c>
      <c r="L302" s="37" t="n">
        <f aca="false">IF(F302="N/A","",IF(COUNT(H302:K302)=0,"",IF(Config!$C$19="Highest dimension",MAX(H302:K302),ROUND(H302*Config!$C$20+I302*Config!$C$21+J302*Config!$C$22+K302*Config!$C$23,1))))</f>
        <v>3</v>
      </c>
      <c r="M302" s="38" t="n">
        <f aca="false">IF(OR(L302="",G302=""),"",G302*L302)</f>
        <v>6</v>
      </c>
      <c r="N302" s="31" t="n">
        <f aca="false">IF(M302="","",MATCH(M302,Config!$E$5:$E$9,1))</f>
        <v>2</v>
      </c>
      <c r="O302" s="7" t="str">
        <f aca="false">IF(F302="N/A","N/A",IF(N302="","Not assessed",INDEX(Config!$B$5:$B$9,N302)))</f>
        <v>Medium-Low</v>
      </c>
      <c r="P302" s="32" t="n">
        <v>0</v>
      </c>
      <c r="Q302" s="8"/>
      <c r="R302" s="33"/>
      <c r="S302" s="34" t="n">
        <f aca="false">IF(N302="","",IF(AND(R302="Y",P302&lt;&gt;0),MAX(1,MIN(5,N302+MAX(-Config!$C$27,MIN(Config!$C$27,P302)))),N302))</f>
        <v>2</v>
      </c>
      <c r="T302" s="35" t="str">
        <f aca="false">IF(F302="N/A","N/A",IF(S302="","Not assessed",INDEX(Config!$B$5:$B$9,S302)))</f>
        <v>Medium-Low</v>
      </c>
      <c r="U302" s="7" t="str">
        <f aca="false">IF(P302=0,"None",IF(R302="Y","Applied","Pending HO approval"))</f>
        <v>None</v>
      </c>
      <c r="V302" s="8"/>
    </row>
    <row r="303" customFormat="false" ht="15" hidden="false" customHeight="false" outlineLevel="0" collapsed="false">
      <c r="A303" s="26" t="str">
        <f aca="false">Entities!$A$27</f>
        <v>FR</v>
      </c>
      <c r="B303" s="12" t="str">
        <f aca="false">INDEX(Entities!$B$5:$B$34,MATCH(A303,Entities!$A$5:$A$34,0))</f>
        <v>Arab Bank – France</v>
      </c>
      <c r="C303" s="12" t="str">
        <f aca="false">INDEX(Entities!$D$5:$D$34,MATCH(A303,Entities!$A$5:$A$34,0))</f>
        <v>Europe</v>
      </c>
      <c r="D303" s="12" t="s">
        <v>322</v>
      </c>
      <c r="E303" s="12" t="str">
        <f aca="false">INDEX('Risk Taxonomy'!$B$5:$B$24,MATCH(D303,'Risk Taxonomy'!$A$5:$A$24,0))</f>
        <v>Strategic, business model and ESG</v>
      </c>
      <c r="F303" s="7" t="str">
        <f aca="false">IF(D303="RC-04",IF(INDEX(Entities!$G$5:$G$34,MATCH(A303,Entities!$A$5:$A$34,0))="Y","Yes","N/A"),"Yes")</f>
        <v>Yes</v>
      </c>
      <c r="G303" s="24" t="n">
        <v>3</v>
      </c>
      <c r="H303" s="24" t="n">
        <v>2</v>
      </c>
      <c r="I303" s="24" t="n">
        <v>2</v>
      </c>
      <c r="J303" s="24" t="n">
        <v>2</v>
      </c>
      <c r="K303" s="24" t="n">
        <v>2</v>
      </c>
      <c r="L303" s="37" t="n">
        <f aca="false">IF(F303="N/A","",IF(COUNT(H303:K303)=0,"",IF(Config!$C$19="Highest dimension",MAX(H303:K303),ROUND(H303*Config!$C$20+I303*Config!$C$21+J303*Config!$C$22+K303*Config!$C$23,1))))</f>
        <v>2</v>
      </c>
      <c r="M303" s="38" t="n">
        <f aca="false">IF(OR(L303="",G303=""),"",G303*L303)</f>
        <v>6</v>
      </c>
      <c r="N303" s="31" t="n">
        <f aca="false">IF(M303="","",MATCH(M303,Config!$E$5:$E$9,1))</f>
        <v>2</v>
      </c>
      <c r="O303" s="7" t="str">
        <f aca="false">IF(F303="N/A","N/A",IF(N303="","Not assessed",INDEX(Config!$B$5:$B$9,N303)))</f>
        <v>Medium-Low</v>
      </c>
      <c r="P303" s="32" t="n">
        <v>0</v>
      </c>
      <c r="Q303" s="8"/>
      <c r="R303" s="33"/>
      <c r="S303" s="34" t="n">
        <f aca="false">IF(N303="","",IF(AND(R303="Y",P303&lt;&gt;0),MAX(1,MIN(5,N303+MAX(-Config!$C$27,MIN(Config!$C$27,P303)))),N303))</f>
        <v>2</v>
      </c>
      <c r="T303" s="35" t="str">
        <f aca="false">IF(F303="N/A","N/A",IF(S303="","Not assessed",INDEX(Config!$B$5:$B$9,S303)))</f>
        <v>Medium-Low</v>
      </c>
      <c r="U303" s="7" t="str">
        <f aca="false">IF(P303=0,"None",IF(R303="Y","Applied","Pending HO approval"))</f>
        <v>None</v>
      </c>
      <c r="V303" s="8"/>
    </row>
    <row r="304" customFormat="false" ht="15" hidden="false" customHeight="false" outlineLevel="0" collapsed="false">
      <c r="A304" s="26" t="str">
        <f aca="false">Entities!$A$28</f>
        <v>DE</v>
      </c>
      <c r="B304" s="12" t="str">
        <f aca="false">INDEX(Entities!$B$5:$B$34,MATCH(A304,Entities!$A$5:$A$34,0))</f>
        <v>Arab Bank – Germany</v>
      </c>
      <c r="C304" s="12" t="str">
        <f aca="false">INDEX(Entities!$D$5:$D$34,MATCH(A304,Entities!$A$5:$A$34,0))</f>
        <v>Europe</v>
      </c>
      <c r="D304" s="12" t="s">
        <v>284</v>
      </c>
      <c r="E304" s="12" t="str">
        <f aca="false">INDEX('Risk Taxonomy'!$B$5:$B$24,MATCH(D304,'Risk Taxonomy'!$A$5:$A$24,0))</f>
        <v>Regulatory compliance</v>
      </c>
      <c r="F304" s="7" t="str">
        <f aca="false">IF(D304="RC-04",IF(INDEX(Entities!$G$5:$G$34,MATCH(A304,Entities!$A$5:$A$34,0))="Y","Yes","N/A"),"Yes")</f>
        <v>Yes</v>
      </c>
      <c r="G304" s="24" t="n">
        <v>1</v>
      </c>
      <c r="H304" s="24" t="n">
        <v>3</v>
      </c>
      <c r="I304" s="24" t="n">
        <v>2</v>
      </c>
      <c r="J304" s="24" t="n">
        <v>1</v>
      </c>
      <c r="K304" s="24" t="n">
        <v>1</v>
      </c>
      <c r="L304" s="37" t="n">
        <f aca="false">IF(F304="N/A","",IF(COUNT(H304:K304)=0,"",IF(Config!$C$19="Highest dimension",MAX(H304:K304),ROUND(H304*Config!$C$20+I304*Config!$C$21+J304*Config!$C$22+K304*Config!$C$23,1))))</f>
        <v>3</v>
      </c>
      <c r="M304" s="38" t="n">
        <f aca="false">IF(OR(L304="",G304=""),"",G304*L304)</f>
        <v>3</v>
      </c>
      <c r="N304" s="31" t="n">
        <f aca="false">IF(M304="","",MATCH(M304,Config!$E$5:$E$9,1))</f>
        <v>1</v>
      </c>
      <c r="O304" s="7" t="str">
        <f aca="false">IF(F304="N/A","N/A",IF(N304="","Not assessed",INDEX(Config!$B$5:$B$9,N304)))</f>
        <v>Low</v>
      </c>
      <c r="P304" s="32" t="n">
        <v>0</v>
      </c>
      <c r="Q304" s="8"/>
      <c r="R304" s="33"/>
      <c r="S304" s="34" t="n">
        <f aca="false">IF(N304="","",IF(AND(R304="Y",P304&lt;&gt;0),MAX(1,MIN(5,N304+MAX(-Config!$C$27,MIN(Config!$C$27,P304)))),N304))</f>
        <v>1</v>
      </c>
      <c r="T304" s="35" t="str">
        <f aca="false">IF(F304="N/A","N/A",IF(S304="","Not assessed",INDEX(Config!$B$5:$B$9,S304)))</f>
        <v>Low</v>
      </c>
      <c r="U304" s="7" t="str">
        <f aca="false">IF(P304=0,"None",IF(R304="Y","Applied","Pending HO approval"))</f>
        <v>None</v>
      </c>
      <c r="V304" s="8"/>
    </row>
    <row r="305" customFormat="false" ht="15" hidden="false" customHeight="false" outlineLevel="0" collapsed="false">
      <c r="A305" s="26" t="str">
        <f aca="false">Entities!$A$28</f>
        <v>DE</v>
      </c>
      <c r="B305" s="12" t="str">
        <f aca="false">INDEX(Entities!$B$5:$B$34,MATCH(A305,Entities!$A$5:$A$34,0))</f>
        <v>Arab Bank – Germany</v>
      </c>
      <c r="C305" s="12" t="str">
        <f aca="false">INDEX(Entities!$D$5:$D$34,MATCH(A305,Entities!$A$5:$A$34,0))</f>
        <v>Europe</v>
      </c>
      <c r="D305" s="12" t="s">
        <v>288</v>
      </c>
      <c r="E305" s="12" t="str">
        <f aca="false">INDEX('Risk Taxonomy'!$B$5:$B$24,MATCH(D305,'Risk Taxonomy'!$A$5:$A$24,0))</f>
        <v>Conduct and consumer protection</v>
      </c>
      <c r="F305" s="7" t="str">
        <f aca="false">IF(D305="RC-04",IF(INDEX(Entities!$G$5:$G$34,MATCH(A305,Entities!$A$5:$A$34,0))="Y","Yes","N/A"),"Yes")</f>
        <v>Yes</v>
      </c>
      <c r="G305" s="24" t="n">
        <v>2</v>
      </c>
      <c r="H305" s="24" t="n">
        <v>1</v>
      </c>
      <c r="I305" s="24" t="n">
        <v>2</v>
      </c>
      <c r="J305" s="24" t="n">
        <v>2</v>
      </c>
      <c r="K305" s="24" t="n">
        <v>2</v>
      </c>
      <c r="L305" s="37" t="n">
        <f aca="false">IF(F305="N/A","",IF(COUNT(H305:K305)=0,"",IF(Config!$C$19="Highest dimension",MAX(H305:K305),ROUND(H305*Config!$C$20+I305*Config!$C$21+J305*Config!$C$22+K305*Config!$C$23,1))))</f>
        <v>2</v>
      </c>
      <c r="M305" s="38" t="n">
        <f aca="false">IF(OR(L305="",G305=""),"",G305*L305)</f>
        <v>4</v>
      </c>
      <c r="N305" s="31" t="n">
        <f aca="false">IF(M305="","",MATCH(M305,Config!$E$5:$E$9,1))</f>
        <v>1</v>
      </c>
      <c r="O305" s="7" t="str">
        <f aca="false">IF(F305="N/A","N/A",IF(N305="","Not assessed",INDEX(Config!$B$5:$B$9,N305)))</f>
        <v>Low</v>
      </c>
      <c r="P305" s="32" t="n">
        <v>0</v>
      </c>
      <c r="Q305" s="8"/>
      <c r="R305" s="33"/>
      <c r="S305" s="34" t="n">
        <f aca="false">IF(N305="","",IF(AND(R305="Y",P305&lt;&gt;0),MAX(1,MIN(5,N305+MAX(-Config!$C$27,MIN(Config!$C$27,P305)))),N305))</f>
        <v>1</v>
      </c>
      <c r="T305" s="35" t="str">
        <f aca="false">IF(F305="N/A","N/A",IF(S305="","Not assessed",INDEX(Config!$B$5:$B$9,S305)))</f>
        <v>Low</v>
      </c>
      <c r="U305" s="7" t="str">
        <f aca="false">IF(P305=0,"None",IF(R305="Y","Applied","Pending HO approval"))</f>
        <v>None</v>
      </c>
      <c r="V305" s="8"/>
    </row>
    <row r="306" customFormat="false" ht="15" hidden="false" customHeight="false" outlineLevel="0" collapsed="false">
      <c r="A306" s="26" t="str">
        <f aca="false">Entities!$A$28</f>
        <v>DE</v>
      </c>
      <c r="B306" s="12" t="str">
        <f aca="false">INDEX(Entities!$B$5:$B$34,MATCH(A306,Entities!$A$5:$A$34,0))</f>
        <v>Arab Bank – Germany</v>
      </c>
      <c r="C306" s="12" t="str">
        <f aca="false">INDEX(Entities!$D$5:$D$34,MATCH(A306,Entities!$A$5:$A$34,0))</f>
        <v>Europe</v>
      </c>
      <c r="D306" s="12" t="s">
        <v>290</v>
      </c>
      <c r="E306" s="12" t="str">
        <f aca="false">INDEX('Risk Taxonomy'!$B$5:$B$24,MATCH(D306,'Risk Taxonomy'!$A$5:$A$24,0))</f>
        <v>Data protection and privacy</v>
      </c>
      <c r="F306" s="7" t="str">
        <f aca="false">IF(D306="RC-04",IF(INDEX(Entities!$G$5:$G$34,MATCH(A306,Entities!$A$5:$A$34,0))="Y","Yes","N/A"),"Yes")</f>
        <v>Yes</v>
      </c>
      <c r="G306" s="24" t="n">
        <v>1</v>
      </c>
      <c r="H306" s="24" t="n">
        <v>1</v>
      </c>
      <c r="I306" s="24" t="n">
        <v>2</v>
      </c>
      <c r="J306" s="24" t="n">
        <v>1</v>
      </c>
      <c r="K306" s="24" t="n">
        <v>3</v>
      </c>
      <c r="L306" s="37" t="n">
        <f aca="false">IF(F306="N/A","",IF(COUNT(H306:K306)=0,"",IF(Config!$C$19="Highest dimension",MAX(H306:K306),ROUND(H306*Config!$C$20+I306*Config!$C$21+J306*Config!$C$22+K306*Config!$C$23,1))))</f>
        <v>3</v>
      </c>
      <c r="M306" s="38" t="n">
        <f aca="false">IF(OR(L306="",G306=""),"",G306*L306)</f>
        <v>3</v>
      </c>
      <c r="N306" s="31" t="n">
        <f aca="false">IF(M306="","",MATCH(M306,Config!$E$5:$E$9,1))</f>
        <v>1</v>
      </c>
      <c r="O306" s="7" t="str">
        <f aca="false">IF(F306="N/A","N/A",IF(N306="","Not assessed",INDEX(Config!$B$5:$B$9,N306)))</f>
        <v>Low</v>
      </c>
      <c r="P306" s="32" t="n">
        <v>0</v>
      </c>
      <c r="Q306" s="8"/>
      <c r="R306" s="33"/>
      <c r="S306" s="34" t="n">
        <f aca="false">IF(N306="","",IF(AND(R306="Y",P306&lt;&gt;0),MAX(1,MIN(5,N306+MAX(-Config!$C$27,MIN(Config!$C$27,P306)))),N306))</f>
        <v>1</v>
      </c>
      <c r="T306" s="35" t="str">
        <f aca="false">IF(F306="N/A","N/A",IF(S306="","Not assessed",INDEX(Config!$B$5:$B$9,S306)))</f>
        <v>Low</v>
      </c>
      <c r="U306" s="7" t="str">
        <f aca="false">IF(P306=0,"None",IF(R306="Y","Applied","Pending HO approval"))</f>
        <v>None</v>
      </c>
      <c r="V306" s="8"/>
    </row>
    <row r="307" customFormat="false" ht="15" hidden="false" customHeight="false" outlineLevel="0" collapsed="false">
      <c r="A307" s="26" t="str">
        <f aca="false">Entities!$A$28</f>
        <v>DE</v>
      </c>
      <c r="B307" s="12" t="str">
        <f aca="false">INDEX(Entities!$B$5:$B$34,MATCH(A307,Entities!$A$5:$A$34,0))</f>
        <v>Arab Bank – Germany</v>
      </c>
      <c r="C307" s="12" t="str">
        <f aca="false">INDEX(Entities!$D$5:$D$34,MATCH(A307,Entities!$A$5:$A$34,0))</f>
        <v>Europe</v>
      </c>
      <c r="D307" s="12" t="s">
        <v>293</v>
      </c>
      <c r="E307" s="12" t="str">
        <f aca="false">INDEX('Risk Taxonomy'!$B$5:$B$24,MATCH(D307,'Risk Taxonomy'!$A$5:$A$24,0))</f>
        <v>Shariah non-compliance</v>
      </c>
      <c r="F307" s="7" t="str">
        <f aca="false">IF(D307="RC-04",IF(INDEX(Entities!$G$5:$G$34,MATCH(A307,Entities!$A$5:$A$34,0))="Y","Yes","N/A"),"Yes")</f>
        <v>N/A</v>
      </c>
      <c r="G307" s="24"/>
      <c r="H307" s="24"/>
      <c r="I307" s="24"/>
      <c r="J307" s="24"/>
      <c r="K307" s="24"/>
      <c r="L307" s="37" t="str">
        <f aca="false">IF(F307="N/A","",IF(COUNT(H307:K307)=0,"",IF(Config!$C$19="Highest dimension",MAX(H307:K307),ROUND(H307*Config!$C$20+I307*Config!$C$21+J307*Config!$C$22+K307*Config!$C$23,1))))</f>
        <v/>
      </c>
      <c r="M307" s="38" t="str">
        <f aca="false">IF(OR(L307="",G307=""),"",G307*L307)</f>
        <v/>
      </c>
      <c r="N307" s="31" t="str">
        <f aca="false">IF(M307="","",MATCH(M307,Config!$E$5:$E$9,1))</f>
        <v/>
      </c>
      <c r="O307" s="7" t="str">
        <f aca="false">IF(F307="N/A","N/A",IF(N307="","Not assessed",INDEX(Config!$B$5:$B$9,N307)))</f>
        <v>N/A</v>
      </c>
      <c r="P307" s="32" t="n">
        <v>0</v>
      </c>
      <c r="Q307" s="8"/>
      <c r="R307" s="33"/>
      <c r="S307" s="34" t="str">
        <f aca="false">IF(N307="","",IF(AND(R307="Y",P307&lt;&gt;0),MAX(1,MIN(5,N307+MAX(-Config!$C$27,MIN(Config!$C$27,P307)))),N307))</f>
        <v/>
      </c>
      <c r="T307" s="35" t="str">
        <f aca="false">IF(F307="N/A","N/A",IF(S307="","Not assessed",INDEX(Config!$B$5:$B$9,S307)))</f>
        <v>N/A</v>
      </c>
      <c r="U307" s="7" t="str">
        <f aca="false">IF(P307=0,"None",IF(R307="Y","Applied","Pending HO approval"))</f>
        <v>None</v>
      </c>
      <c r="V307" s="8"/>
    </row>
    <row r="308" customFormat="false" ht="15" hidden="false" customHeight="false" outlineLevel="0" collapsed="false">
      <c r="A308" s="26" t="str">
        <f aca="false">Entities!$A$28</f>
        <v>DE</v>
      </c>
      <c r="B308" s="12" t="str">
        <f aca="false">INDEX(Entities!$B$5:$B$34,MATCH(A308,Entities!$A$5:$A$34,0))</f>
        <v>Arab Bank – Germany</v>
      </c>
      <c r="C308" s="12" t="str">
        <f aca="false">INDEX(Entities!$D$5:$D$34,MATCH(A308,Entities!$A$5:$A$34,0))</f>
        <v>Europe</v>
      </c>
      <c r="D308" s="12" t="s">
        <v>297</v>
      </c>
      <c r="E308" s="12" t="str">
        <f aca="false">INDEX('Risk Taxonomy'!$B$5:$B$24,MATCH(D308,'Risk Taxonomy'!$A$5:$A$24,0))</f>
        <v>Credit risk</v>
      </c>
      <c r="F308" s="7" t="str">
        <f aca="false">IF(D308="RC-04",IF(INDEX(Entities!$G$5:$G$34,MATCH(A308,Entities!$A$5:$A$34,0))="Y","Yes","N/A"),"Yes")</f>
        <v>Yes</v>
      </c>
      <c r="G308" s="24" t="n">
        <v>3</v>
      </c>
      <c r="H308" s="24" t="n">
        <v>2</v>
      </c>
      <c r="I308" s="24" t="n">
        <v>3</v>
      </c>
      <c r="J308" s="24" t="n">
        <v>1</v>
      </c>
      <c r="K308" s="24" t="n">
        <v>1</v>
      </c>
      <c r="L308" s="37" t="n">
        <f aca="false">IF(F308="N/A","",IF(COUNT(H308:K308)=0,"",IF(Config!$C$19="Highest dimension",MAX(H308:K308),ROUND(H308*Config!$C$20+I308*Config!$C$21+J308*Config!$C$22+K308*Config!$C$23,1))))</f>
        <v>3</v>
      </c>
      <c r="M308" s="38" t="n">
        <f aca="false">IF(OR(L308="",G308=""),"",G308*L308)</f>
        <v>9</v>
      </c>
      <c r="N308" s="31" t="n">
        <f aca="false">IF(M308="","",MATCH(M308,Config!$E$5:$E$9,1))</f>
        <v>3</v>
      </c>
      <c r="O308" s="7" t="str">
        <f aca="false">IF(F308="N/A","N/A",IF(N308="","Not assessed",INDEX(Config!$B$5:$B$9,N308)))</f>
        <v>Medium</v>
      </c>
      <c r="P308" s="32" t="n">
        <v>0</v>
      </c>
      <c r="Q308" s="8"/>
      <c r="R308" s="33"/>
      <c r="S308" s="34" t="n">
        <f aca="false">IF(N308="","",IF(AND(R308="Y",P308&lt;&gt;0),MAX(1,MIN(5,N308+MAX(-Config!$C$27,MIN(Config!$C$27,P308)))),N308))</f>
        <v>3</v>
      </c>
      <c r="T308" s="35" t="str">
        <f aca="false">IF(F308="N/A","N/A",IF(S308="","Not assessed",INDEX(Config!$B$5:$B$9,S308)))</f>
        <v>Medium</v>
      </c>
      <c r="U308" s="7" t="str">
        <f aca="false">IF(P308=0,"None",IF(R308="Y","Applied","Pending HO approval"))</f>
        <v>None</v>
      </c>
      <c r="V308" s="8"/>
    </row>
    <row r="309" customFormat="false" ht="15" hidden="false" customHeight="false" outlineLevel="0" collapsed="false">
      <c r="A309" s="26" t="str">
        <f aca="false">Entities!$A$28</f>
        <v>DE</v>
      </c>
      <c r="B309" s="12" t="str">
        <f aca="false">INDEX(Entities!$B$5:$B$34,MATCH(A309,Entities!$A$5:$A$34,0))</f>
        <v>Arab Bank – Germany</v>
      </c>
      <c r="C309" s="12" t="str">
        <f aca="false">INDEX(Entities!$D$5:$D$34,MATCH(A309,Entities!$A$5:$A$34,0))</f>
        <v>Europe</v>
      </c>
      <c r="D309" s="12" t="s">
        <v>302</v>
      </c>
      <c r="E309" s="12" t="str">
        <f aca="false">INDEX('Risk Taxonomy'!$B$5:$B$24,MATCH(D309,'Risk Taxonomy'!$A$5:$A$24,0))</f>
        <v>Market risk</v>
      </c>
      <c r="F309" s="7" t="str">
        <f aca="false">IF(D309="RC-04",IF(INDEX(Entities!$G$5:$G$34,MATCH(A309,Entities!$A$5:$A$34,0))="Y","Yes","N/A"),"Yes")</f>
        <v>Yes</v>
      </c>
      <c r="G309" s="24" t="n">
        <v>2</v>
      </c>
      <c r="H309" s="24" t="n">
        <v>2</v>
      </c>
      <c r="I309" s="24" t="n">
        <v>2</v>
      </c>
      <c r="J309" s="24" t="n">
        <v>3</v>
      </c>
      <c r="K309" s="24" t="n">
        <v>2</v>
      </c>
      <c r="L309" s="37" t="n">
        <f aca="false">IF(F309="N/A","",IF(COUNT(H309:K309)=0,"",IF(Config!$C$19="Highest dimension",MAX(H309:K309),ROUND(H309*Config!$C$20+I309*Config!$C$21+J309*Config!$C$22+K309*Config!$C$23,1))))</f>
        <v>3</v>
      </c>
      <c r="M309" s="38" t="n">
        <f aca="false">IF(OR(L309="",G309=""),"",G309*L309)</f>
        <v>6</v>
      </c>
      <c r="N309" s="31" t="n">
        <f aca="false">IF(M309="","",MATCH(M309,Config!$E$5:$E$9,1))</f>
        <v>2</v>
      </c>
      <c r="O309" s="7" t="str">
        <f aca="false">IF(F309="N/A","N/A",IF(N309="","Not assessed",INDEX(Config!$B$5:$B$9,N309)))</f>
        <v>Medium-Low</v>
      </c>
      <c r="P309" s="32" t="n">
        <v>0</v>
      </c>
      <c r="Q309" s="8"/>
      <c r="R309" s="33"/>
      <c r="S309" s="34" t="n">
        <f aca="false">IF(N309="","",IF(AND(R309="Y",P309&lt;&gt;0),MAX(1,MIN(5,N309+MAX(-Config!$C$27,MIN(Config!$C$27,P309)))),N309))</f>
        <v>2</v>
      </c>
      <c r="T309" s="35" t="str">
        <f aca="false">IF(F309="N/A","N/A",IF(S309="","Not assessed",INDEX(Config!$B$5:$B$9,S309)))</f>
        <v>Medium-Low</v>
      </c>
      <c r="U309" s="7" t="str">
        <f aca="false">IF(P309=0,"None",IF(R309="Y","Applied","Pending HO approval"))</f>
        <v>None</v>
      </c>
      <c r="V309" s="8"/>
    </row>
    <row r="310" customFormat="false" ht="15" hidden="false" customHeight="false" outlineLevel="0" collapsed="false">
      <c r="A310" s="26" t="str">
        <f aca="false">Entities!$A$28</f>
        <v>DE</v>
      </c>
      <c r="B310" s="12" t="str">
        <f aca="false">INDEX(Entities!$B$5:$B$34,MATCH(A310,Entities!$A$5:$A$34,0))</f>
        <v>Arab Bank – Germany</v>
      </c>
      <c r="C310" s="12" t="str">
        <f aca="false">INDEX(Entities!$D$5:$D$34,MATCH(A310,Entities!$A$5:$A$34,0))</f>
        <v>Europe</v>
      </c>
      <c r="D310" s="12" t="s">
        <v>304</v>
      </c>
      <c r="E310" s="12" t="str">
        <f aca="false">INDEX('Risk Taxonomy'!$B$5:$B$24,MATCH(D310,'Risk Taxonomy'!$A$5:$A$24,0))</f>
        <v>Liquidity and funding risk</v>
      </c>
      <c r="F310" s="7" t="str">
        <f aca="false">IF(D310="RC-04",IF(INDEX(Entities!$G$5:$G$34,MATCH(A310,Entities!$A$5:$A$34,0))="Y","Yes","N/A"),"Yes")</f>
        <v>Yes</v>
      </c>
      <c r="G310" s="24" t="n">
        <v>1</v>
      </c>
      <c r="H310" s="24" t="n">
        <v>2</v>
      </c>
      <c r="I310" s="24" t="n">
        <v>1</v>
      </c>
      <c r="J310" s="24" t="n">
        <v>1</v>
      </c>
      <c r="K310" s="24" t="n">
        <v>2</v>
      </c>
      <c r="L310" s="37" t="n">
        <f aca="false">IF(F310="N/A","",IF(COUNT(H310:K310)=0,"",IF(Config!$C$19="Highest dimension",MAX(H310:K310),ROUND(H310*Config!$C$20+I310*Config!$C$21+J310*Config!$C$22+K310*Config!$C$23,1))))</f>
        <v>2</v>
      </c>
      <c r="M310" s="38" t="n">
        <f aca="false">IF(OR(L310="",G310=""),"",G310*L310)</f>
        <v>2</v>
      </c>
      <c r="N310" s="31" t="n">
        <f aca="false">IF(M310="","",MATCH(M310,Config!$E$5:$E$9,1))</f>
        <v>1</v>
      </c>
      <c r="O310" s="7" t="str">
        <f aca="false">IF(F310="N/A","N/A",IF(N310="","Not assessed",INDEX(Config!$B$5:$B$9,N310)))</f>
        <v>Low</v>
      </c>
      <c r="P310" s="32" t="n">
        <v>0</v>
      </c>
      <c r="Q310" s="8"/>
      <c r="R310" s="33"/>
      <c r="S310" s="34" t="n">
        <f aca="false">IF(N310="","",IF(AND(R310="Y",P310&lt;&gt;0),MAX(1,MIN(5,N310+MAX(-Config!$C$27,MIN(Config!$C$27,P310)))),N310))</f>
        <v>1</v>
      </c>
      <c r="T310" s="35" t="str">
        <f aca="false">IF(F310="N/A","N/A",IF(S310="","Not assessed",INDEX(Config!$B$5:$B$9,S310)))</f>
        <v>Low</v>
      </c>
      <c r="U310" s="7" t="str">
        <f aca="false">IF(P310=0,"None",IF(R310="Y","Applied","Pending HO approval"))</f>
        <v>None</v>
      </c>
      <c r="V310" s="8"/>
    </row>
    <row r="311" customFormat="false" ht="15" hidden="false" customHeight="false" outlineLevel="0" collapsed="false">
      <c r="A311" s="26" t="str">
        <f aca="false">Entities!$A$28</f>
        <v>DE</v>
      </c>
      <c r="B311" s="12" t="str">
        <f aca="false">INDEX(Entities!$B$5:$B$34,MATCH(A311,Entities!$A$5:$A$34,0))</f>
        <v>Arab Bank – Germany</v>
      </c>
      <c r="C311" s="12" t="str">
        <f aca="false">INDEX(Entities!$D$5:$D$34,MATCH(A311,Entities!$A$5:$A$34,0))</f>
        <v>Europe</v>
      </c>
      <c r="D311" s="12" t="s">
        <v>307</v>
      </c>
      <c r="E311" s="12" t="str">
        <f aca="false">INDEX('Risk Taxonomy'!$B$5:$B$24,MATCH(D311,'Risk Taxonomy'!$A$5:$A$24,0))</f>
        <v>Operational risk</v>
      </c>
      <c r="F311" s="7" t="str">
        <f aca="false">IF(D311="RC-04",IF(INDEX(Entities!$G$5:$G$34,MATCH(A311,Entities!$A$5:$A$34,0))="Y","Yes","N/A"),"Yes")</f>
        <v>Yes</v>
      </c>
      <c r="G311" s="24" t="n">
        <v>2</v>
      </c>
      <c r="H311" s="24" t="n">
        <v>1</v>
      </c>
      <c r="I311" s="24" t="n">
        <v>3</v>
      </c>
      <c r="J311" s="24" t="n">
        <v>1</v>
      </c>
      <c r="K311" s="24" t="n">
        <v>1</v>
      </c>
      <c r="L311" s="37" t="n">
        <f aca="false">IF(F311="N/A","",IF(COUNT(H311:K311)=0,"",IF(Config!$C$19="Highest dimension",MAX(H311:K311),ROUND(H311*Config!$C$20+I311*Config!$C$21+J311*Config!$C$22+K311*Config!$C$23,1))))</f>
        <v>3</v>
      </c>
      <c r="M311" s="38" t="n">
        <f aca="false">IF(OR(L311="",G311=""),"",G311*L311)</f>
        <v>6</v>
      </c>
      <c r="N311" s="31" t="n">
        <f aca="false">IF(M311="","",MATCH(M311,Config!$E$5:$E$9,1))</f>
        <v>2</v>
      </c>
      <c r="O311" s="7" t="str">
        <f aca="false">IF(F311="N/A","N/A",IF(N311="","Not assessed",INDEX(Config!$B$5:$B$9,N311)))</f>
        <v>Medium-Low</v>
      </c>
      <c r="P311" s="32" t="n">
        <v>0</v>
      </c>
      <c r="Q311" s="8"/>
      <c r="R311" s="33"/>
      <c r="S311" s="34" t="n">
        <f aca="false">IF(N311="","",IF(AND(R311="Y",P311&lt;&gt;0),MAX(1,MIN(5,N311+MAX(-Config!$C$27,MIN(Config!$C$27,P311)))),N311))</f>
        <v>2</v>
      </c>
      <c r="T311" s="35" t="str">
        <f aca="false">IF(F311="N/A","N/A",IF(S311="","Not assessed",INDEX(Config!$B$5:$B$9,S311)))</f>
        <v>Medium-Low</v>
      </c>
      <c r="U311" s="7" t="str">
        <f aca="false">IF(P311=0,"None",IF(R311="Y","Applied","Pending HO approval"))</f>
        <v>None</v>
      </c>
      <c r="V311" s="8"/>
    </row>
    <row r="312" customFormat="false" ht="15" hidden="false" customHeight="false" outlineLevel="0" collapsed="false">
      <c r="A312" s="26" t="str">
        <f aca="false">Entities!$A$28</f>
        <v>DE</v>
      </c>
      <c r="B312" s="12" t="str">
        <f aca="false">INDEX(Entities!$B$5:$B$34,MATCH(A312,Entities!$A$5:$A$34,0))</f>
        <v>Arab Bank – Germany</v>
      </c>
      <c r="C312" s="12" t="str">
        <f aca="false">INDEX(Entities!$D$5:$D$34,MATCH(A312,Entities!$A$5:$A$34,0))</f>
        <v>Europe</v>
      </c>
      <c r="D312" s="12" t="s">
        <v>310</v>
      </c>
      <c r="E312" s="12" t="str">
        <f aca="false">INDEX('Risk Taxonomy'!$B$5:$B$24,MATCH(D312,'Risk Taxonomy'!$A$5:$A$24,0))</f>
        <v>Cyber, information security and technology</v>
      </c>
      <c r="F312" s="7" t="str">
        <f aca="false">IF(D312="RC-04",IF(INDEX(Entities!$G$5:$G$34,MATCH(A312,Entities!$A$5:$A$34,0))="Y","Yes","N/A"),"Yes")</f>
        <v>Yes</v>
      </c>
      <c r="G312" s="24" t="n">
        <v>2</v>
      </c>
      <c r="H312" s="24" t="n">
        <v>2</v>
      </c>
      <c r="I312" s="24" t="n">
        <v>1</v>
      </c>
      <c r="J312" s="24" t="n">
        <v>1</v>
      </c>
      <c r="K312" s="24" t="n">
        <v>2</v>
      </c>
      <c r="L312" s="37" t="n">
        <f aca="false">IF(F312="N/A","",IF(COUNT(H312:K312)=0,"",IF(Config!$C$19="Highest dimension",MAX(H312:K312),ROUND(H312*Config!$C$20+I312*Config!$C$21+J312*Config!$C$22+K312*Config!$C$23,1))))</f>
        <v>2</v>
      </c>
      <c r="M312" s="38" t="n">
        <f aca="false">IF(OR(L312="",G312=""),"",G312*L312)</f>
        <v>4</v>
      </c>
      <c r="N312" s="31" t="n">
        <f aca="false">IF(M312="","",MATCH(M312,Config!$E$5:$E$9,1))</f>
        <v>1</v>
      </c>
      <c r="O312" s="7" t="str">
        <f aca="false">IF(F312="N/A","N/A",IF(N312="","Not assessed",INDEX(Config!$B$5:$B$9,N312)))</f>
        <v>Low</v>
      </c>
      <c r="P312" s="32" t="n">
        <v>0</v>
      </c>
      <c r="Q312" s="8"/>
      <c r="R312" s="33"/>
      <c r="S312" s="34" t="n">
        <f aca="false">IF(N312="","",IF(AND(R312="Y",P312&lt;&gt;0),MAX(1,MIN(5,N312+MAX(-Config!$C$27,MIN(Config!$C$27,P312)))),N312))</f>
        <v>1</v>
      </c>
      <c r="T312" s="35" t="str">
        <f aca="false">IF(F312="N/A","N/A",IF(S312="","Not assessed",INDEX(Config!$B$5:$B$9,S312)))</f>
        <v>Low</v>
      </c>
      <c r="U312" s="7" t="str">
        <f aca="false">IF(P312=0,"None",IF(R312="Y","Applied","Pending HO approval"))</f>
        <v>None</v>
      </c>
      <c r="V312" s="8"/>
    </row>
    <row r="313" customFormat="false" ht="15" hidden="false" customHeight="false" outlineLevel="0" collapsed="false">
      <c r="A313" s="26" t="str">
        <f aca="false">Entities!$A$28</f>
        <v>DE</v>
      </c>
      <c r="B313" s="12" t="str">
        <f aca="false">INDEX(Entities!$B$5:$B$34,MATCH(A313,Entities!$A$5:$A$34,0))</f>
        <v>Arab Bank – Germany</v>
      </c>
      <c r="C313" s="12" t="str">
        <f aca="false">INDEX(Entities!$D$5:$D$34,MATCH(A313,Entities!$A$5:$A$34,0))</f>
        <v>Europe</v>
      </c>
      <c r="D313" s="12" t="s">
        <v>313</v>
      </c>
      <c r="E313" s="12" t="str">
        <f aca="false">INDEX('Risk Taxonomy'!$B$5:$B$24,MATCH(D313,'Risk Taxonomy'!$A$5:$A$24,0))</f>
        <v>Third-party and outsourcing</v>
      </c>
      <c r="F313" s="7" t="str">
        <f aca="false">IF(D313="RC-04",IF(INDEX(Entities!$G$5:$G$34,MATCH(A313,Entities!$A$5:$A$34,0))="Y","Yes","N/A"),"Yes")</f>
        <v>Yes</v>
      </c>
      <c r="G313" s="24" t="n">
        <v>2</v>
      </c>
      <c r="H313" s="24" t="n">
        <v>2</v>
      </c>
      <c r="I313" s="24" t="n">
        <v>2</v>
      </c>
      <c r="J313" s="24" t="n">
        <v>2</v>
      </c>
      <c r="K313" s="24" t="n">
        <v>2</v>
      </c>
      <c r="L313" s="37" t="n">
        <f aca="false">IF(F313="N/A","",IF(COUNT(H313:K313)=0,"",IF(Config!$C$19="Highest dimension",MAX(H313:K313),ROUND(H313*Config!$C$20+I313*Config!$C$21+J313*Config!$C$22+K313*Config!$C$23,1))))</f>
        <v>2</v>
      </c>
      <c r="M313" s="38" t="n">
        <f aca="false">IF(OR(L313="",G313=""),"",G313*L313)</f>
        <v>4</v>
      </c>
      <c r="N313" s="31" t="n">
        <f aca="false">IF(M313="","",MATCH(M313,Config!$E$5:$E$9,1))</f>
        <v>1</v>
      </c>
      <c r="O313" s="7" t="str">
        <f aca="false">IF(F313="N/A","N/A",IF(N313="","Not assessed",INDEX(Config!$B$5:$B$9,N313)))</f>
        <v>Low</v>
      </c>
      <c r="P313" s="32" t="n">
        <v>0</v>
      </c>
      <c r="Q313" s="8"/>
      <c r="R313" s="33"/>
      <c r="S313" s="34" t="n">
        <f aca="false">IF(N313="","",IF(AND(R313="Y",P313&lt;&gt;0),MAX(1,MIN(5,N313+MAX(-Config!$C$27,MIN(Config!$C$27,P313)))),N313))</f>
        <v>1</v>
      </c>
      <c r="T313" s="35" t="str">
        <f aca="false">IF(F313="N/A","N/A",IF(S313="","Not assessed",INDEX(Config!$B$5:$B$9,S313)))</f>
        <v>Low</v>
      </c>
      <c r="U313" s="7" t="str">
        <f aca="false">IF(P313=0,"None",IF(R313="Y","Applied","Pending HO approval"))</f>
        <v>None</v>
      </c>
      <c r="V313" s="8"/>
    </row>
    <row r="314" customFormat="false" ht="15" hidden="false" customHeight="false" outlineLevel="0" collapsed="false">
      <c r="A314" s="26" t="str">
        <f aca="false">Entities!$A$28</f>
        <v>DE</v>
      </c>
      <c r="B314" s="12" t="str">
        <f aca="false">INDEX(Entities!$B$5:$B$34,MATCH(A314,Entities!$A$5:$A$34,0))</f>
        <v>Arab Bank – Germany</v>
      </c>
      <c r="C314" s="12" t="str">
        <f aca="false">INDEX(Entities!$D$5:$D$34,MATCH(A314,Entities!$A$5:$A$34,0))</f>
        <v>Europe</v>
      </c>
      <c r="D314" s="12" t="s">
        <v>316</v>
      </c>
      <c r="E314" s="12" t="str">
        <f aca="false">INDEX('Risk Taxonomy'!$B$5:$B$24,MATCH(D314,'Risk Taxonomy'!$A$5:$A$24,0))</f>
        <v>Legal and litigation</v>
      </c>
      <c r="F314" s="7" t="str">
        <f aca="false">IF(D314="RC-04",IF(INDEX(Entities!$G$5:$G$34,MATCH(A314,Entities!$A$5:$A$34,0))="Y","Yes","N/A"),"Yes")</f>
        <v>Yes</v>
      </c>
      <c r="G314" s="24" t="n">
        <v>2</v>
      </c>
      <c r="H314" s="24" t="n">
        <v>3</v>
      </c>
      <c r="I314" s="24" t="n">
        <v>2</v>
      </c>
      <c r="J314" s="24" t="n">
        <v>3</v>
      </c>
      <c r="K314" s="24" t="n">
        <v>3</v>
      </c>
      <c r="L314" s="37" t="n">
        <f aca="false">IF(F314="N/A","",IF(COUNT(H314:K314)=0,"",IF(Config!$C$19="Highest dimension",MAX(H314:K314),ROUND(H314*Config!$C$20+I314*Config!$C$21+J314*Config!$C$22+K314*Config!$C$23,1))))</f>
        <v>3</v>
      </c>
      <c r="M314" s="38" t="n">
        <f aca="false">IF(OR(L314="",G314=""),"",G314*L314)</f>
        <v>6</v>
      </c>
      <c r="N314" s="31" t="n">
        <f aca="false">IF(M314="","",MATCH(M314,Config!$E$5:$E$9,1))</f>
        <v>2</v>
      </c>
      <c r="O314" s="7" t="str">
        <f aca="false">IF(F314="N/A","N/A",IF(N314="","Not assessed",INDEX(Config!$B$5:$B$9,N314)))</f>
        <v>Medium-Low</v>
      </c>
      <c r="P314" s="32" t="n">
        <v>0</v>
      </c>
      <c r="Q314" s="8"/>
      <c r="R314" s="33"/>
      <c r="S314" s="34" t="n">
        <f aca="false">IF(N314="","",IF(AND(R314="Y",P314&lt;&gt;0),MAX(1,MIN(5,N314+MAX(-Config!$C$27,MIN(Config!$C$27,P314)))),N314))</f>
        <v>2</v>
      </c>
      <c r="T314" s="35" t="str">
        <f aca="false">IF(F314="N/A","N/A",IF(S314="","Not assessed",INDEX(Config!$B$5:$B$9,S314)))</f>
        <v>Medium-Low</v>
      </c>
      <c r="U314" s="7" t="str">
        <f aca="false">IF(P314=0,"None",IF(R314="Y","Applied","Pending HO approval"))</f>
        <v>None</v>
      </c>
      <c r="V314" s="8"/>
    </row>
    <row r="315" customFormat="false" ht="15" hidden="false" customHeight="false" outlineLevel="0" collapsed="false">
      <c r="A315" s="26" t="str">
        <f aca="false">Entities!$A$28</f>
        <v>DE</v>
      </c>
      <c r="B315" s="12" t="str">
        <f aca="false">INDEX(Entities!$B$5:$B$34,MATCH(A315,Entities!$A$5:$A$34,0))</f>
        <v>Arab Bank – Germany</v>
      </c>
      <c r="C315" s="12" t="str">
        <f aca="false">INDEX(Entities!$D$5:$D$34,MATCH(A315,Entities!$A$5:$A$34,0))</f>
        <v>Europe</v>
      </c>
      <c r="D315" s="12" t="s">
        <v>319</v>
      </c>
      <c r="E315" s="12" t="str">
        <f aca="false">INDEX('Risk Taxonomy'!$B$5:$B$24,MATCH(D315,'Risk Taxonomy'!$A$5:$A$24,0))</f>
        <v>Reputational</v>
      </c>
      <c r="F315" s="7" t="str">
        <f aca="false">IF(D315="RC-04",IF(INDEX(Entities!$G$5:$G$34,MATCH(A315,Entities!$A$5:$A$34,0))="Y","Yes","N/A"),"Yes")</f>
        <v>Yes</v>
      </c>
      <c r="G315" s="24" t="n">
        <v>1</v>
      </c>
      <c r="H315" s="24" t="n">
        <v>3</v>
      </c>
      <c r="I315" s="24" t="n">
        <v>2</v>
      </c>
      <c r="J315" s="24" t="n">
        <v>1</v>
      </c>
      <c r="K315" s="24" t="n">
        <v>3</v>
      </c>
      <c r="L315" s="37" t="n">
        <f aca="false">IF(F315="N/A","",IF(COUNT(H315:K315)=0,"",IF(Config!$C$19="Highest dimension",MAX(H315:K315),ROUND(H315*Config!$C$20+I315*Config!$C$21+J315*Config!$C$22+K315*Config!$C$23,1))))</f>
        <v>3</v>
      </c>
      <c r="M315" s="38" t="n">
        <f aca="false">IF(OR(L315="",G315=""),"",G315*L315)</f>
        <v>3</v>
      </c>
      <c r="N315" s="31" t="n">
        <f aca="false">IF(M315="","",MATCH(M315,Config!$E$5:$E$9,1))</f>
        <v>1</v>
      </c>
      <c r="O315" s="7" t="str">
        <f aca="false">IF(F315="N/A","N/A",IF(N315="","Not assessed",INDEX(Config!$B$5:$B$9,N315)))</f>
        <v>Low</v>
      </c>
      <c r="P315" s="32" t="n">
        <v>0</v>
      </c>
      <c r="Q315" s="8"/>
      <c r="R315" s="33"/>
      <c r="S315" s="34" t="n">
        <f aca="false">IF(N315="","",IF(AND(R315="Y",P315&lt;&gt;0),MAX(1,MIN(5,N315+MAX(-Config!$C$27,MIN(Config!$C$27,P315)))),N315))</f>
        <v>1</v>
      </c>
      <c r="T315" s="35" t="str">
        <f aca="false">IF(F315="N/A","N/A",IF(S315="","Not assessed",INDEX(Config!$B$5:$B$9,S315)))</f>
        <v>Low</v>
      </c>
      <c r="U315" s="7" t="str">
        <f aca="false">IF(P315=0,"None",IF(R315="Y","Applied","Pending HO approval"))</f>
        <v>None</v>
      </c>
      <c r="V315" s="8"/>
    </row>
    <row r="316" customFormat="false" ht="15" hidden="false" customHeight="false" outlineLevel="0" collapsed="false">
      <c r="A316" s="26" t="str">
        <f aca="false">Entities!$A$28</f>
        <v>DE</v>
      </c>
      <c r="B316" s="12" t="str">
        <f aca="false">INDEX(Entities!$B$5:$B$34,MATCH(A316,Entities!$A$5:$A$34,0))</f>
        <v>Arab Bank – Germany</v>
      </c>
      <c r="C316" s="12" t="str">
        <f aca="false">INDEX(Entities!$D$5:$D$34,MATCH(A316,Entities!$A$5:$A$34,0))</f>
        <v>Europe</v>
      </c>
      <c r="D316" s="12" t="s">
        <v>322</v>
      </c>
      <c r="E316" s="12" t="str">
        <f aca="false">INDEX('Risk Taxonomy'!$B$5:$B$24,MATCH(D316,'Risk Taxonomy'!$A$5:$A$24,0))</f>
        <v>Strategic, business model and ESG</v>
      </c>
      <c r="F316" s="7" t="str">
        <f aca="false">IF(D316="RC-04",IF(INDEX(Entities!$G$5:$G$34,MATCH(A316,Entities!$A$5:$A$34,0))="Y","Yes","N/A"),"Yes")</f>
        <v>Yes</v>
      </c>
      <c r="G316" s="24" t="n">
        <v>1</v>
      </c>
      <c r="H316" s="24" t="n">
        <v>2</v>
      </c>
      <c r="I316" s="24" t="n">
        <v>2</v>
      </c>
      <c r="J316" s="24" t="n">
        <v>1</v>
      </c>
      <c r="K316" s="24" t="n">
        <v>3</v>
      </c>
      <c r="L316" s="37" t="n">
        <f aca="false">IF(F316="N/A","",IF(COUNT(H316:K316)=0,"",IF(Config!$C$19="Highest dimension",MAX(H316:K316),ROUND(H316*Config!$C$20+I316*Config!$C$21+J316*Config!$C$22+K316*Config!$C$23,1))))</f>
        <v>3</v>
      </c>
      <c r="M316" s="38" t="n">
        <f aca="false">IF(OR(L316="",G316=""),"",G316*L316)</f>
        <v>3</v>
      </c>
      <c r="N316" s="31" t="n">
        <f aca="false">IF(M316="","",MATCH(M316,Config!$E$5:$E$9,1))</f>
        <v>1</v>
      </c>
      <c r="O316" s="7" t="str">
        <f aca="false">IF(F316="N/A","N/A",IF(N316="","Not assessed",INDEX(Config!$B$5:$B$9,N316)))</f>
        <v>Low</v>
      </c>
      <c r="P316" s="32" t="n">
        <v>0</v>
      </c>
      <c r="Q316" s="8"/>
      <c r="R316" s="33"/>
      <c r="S316" s="34" t="n">
        <f aca="false">IF(N316="","",IF(AND(R316="Y",P316&lt;&gt;0),MAX(1,MIN(5,N316+MAX(-Config!$C$27,MIN(Config!$C$27,P316)))),N316))</f>
        <v>1</v>
      </c>
      <c r="T316" s="35" t="str">
        <f aca="false">IF(F316="N/A","N/A",IF(S316="","Not assessed",INDEX(Config!$B$5:$B$9,S316)))</f>
        <v>Low</v>
      </c>
      <c r="U316" s="7" t="str">
        <f aca="false">IF(P316=0,"None",IF(R316="Y","Applied","Pending HO approval"))</f>
        <v>None</v>
      </c>
      <c r="V316" s="8"/>
    </row>
    <row r="317" customFormat="false" ht="15" hidden="false" customHeight="false" outlineLevel="0" collapsed="false">
      <c r="A317" s="26" t="str">
        <f aca="false">Entities!$A$29</f>
        <v>IT</v>
      </c>
      <c r="B317" s="12" t="str">
        <f aca="false">INDEX(Entities!$B$5:$B$34,MATCH(A317,Entities!$A$5:$A$34,0))</f>
        <v>Arab Bank – Italy</v>
      </c>
      <c r="C317" s="12" t="str">
        <f aca="false">INDEX(Entities!$D$5:$D$34,MATCH(A317,Entities!$A$5:$A$34,0))</f>
        <v>Europe</v>
      </c>
      <c r="D317" s="12" t="s">
        <v>284</v>
      </c>
      <c r="E317" s="12" t="str">
        <f aca="false">INDEX('Risk Taxonomy'!$B$5:$B$24,MATCH(D317,'Risk Taxonomy'!$A$5:$A$24,0))</f>
        <v>Regulatory compliance</v>
      </c>
      <c r="F317" s="7" t="str">
        <f aca="false">IF(D317="RC-04",IF(INDEX(Entities!$G$5:$G$34,MATCH(A317,Entities!$A$5:$A$34,0))="Y","Yes","N/A"),"Yes")</f>
        <v>Yes</v>
      </c>
      <c r="G317" s="24" t="n">
        <v>3</v>
      </c>
      <c r="H317" s="24" t="n">
        <v>2</v>
      </c>
      <c r="I317" s="24" t="n">
        <v>4</v>
      </c>
      <c r="J317" s="24" t="n">
        <v>1</v>
      </c>
      <c r="K317" s="24" t="n">
        <v>2</v>
      </c>
      <c r="L317" s="37" t="n">
        <f aca="false">IF(F317="N/A","",IF(COUNT(H317:K317)=0,"",IF(Config!$C$19="Highest dimension",MAX(H317:K317),ROUND(H317*Config!$C$20+I317*Config!$C$21+J317*Config!$C$22+K317*Config!$C$23,1))))</f>
        <v>4</v>
      </c>
      <c r="M317" s="38" t="n">
        <f aca="false">IF(OR(L317="",G317=""),"",G317*L317)</f>
        <v>12</v>
      </c>
      <c r="N317" s="31" t="n">
        <f aca="false">IF(M317="","",MATCH(M317,Config!$E$5:$E$9,1))</f>
        <v>3</v>
      </c>
      <c r="O317" s="7" t="str">
        <f aca="false">IF(F317="N/A","N/A",IF(N317="","Not assessed",INDEX(Config!$B$5:$B$9,N317)))</f>
        <v>Medium</v>
      </c>
      <c r="P317" s="32" t="n">
        <v>0</v>
      </c>
      <c r="Q317" s="8"/>
      <c r="R317" s="33"/>
      <c r="S317" s="34" t="n">
        <f aca="false">IF(N317="","",IF(AND(R317="Y",P317&lt;&gt;0),MAX(1,MIN(5,N317+MAX(-Config!$C$27,MIN(Config!$C$27,P317)))),N317))</f>
        <v>3</v>
      </c>
      <c r="T317" s="35" t="str">
        <f aca="false">IF(F317="N/A","N/A",IF(S317="","Not assessed",INDEX(Config!$B$5:$B$9,S317)))</f>
        <v>Medium</v>
      </c>
      <c r="U317" s="7" t="str">
        <f aca="false">IF(P317=0,"None",IF(R317="Y","Applied","Pending HO approval"))</f>
        <v>None</v>
      </c>
      <c r="V317" s="8"/>
    </row>
    <row r="318" customFormat="false" ht="15" hidden="false" customHeight="false" outlineLevel="0" collapsed="false">
      <c r="A318" s="26" t="str">
        <f aca="false">Entities!$A$29</f>
        <v>IT</v>
      </c>
      <c r="B318" s="12" t="str">
        <f aca="false">INDEX(Entities!$B$5:$B$34,MATCH(A318,Entities!$A$5:$A$34,0))</f>
        <v>Arab Bank – Italy</v>
      </c>
      <c r="C318" s="12" t="str">
        <f aca="false">INDEX(Entities!$D$5:$D$34,MATCH(A318,Entities!$A$5:$A$34,0))</f>
        <v>Europe</v>
      </c>
      <c r="D318" s="12" t="s">
        <v>288</v>
      </c>
      <c r="E318" s="12" t="str">
        <f aca="false">INDEX('Risk Taxonomy'!$B$5:$B$24,MATCH(D318,'Risk Taxonomy'!$A$5:$A$24,0))</f>
        <v>Conduct and consumer protection</v>
      </c>
      <c r="F318" s="7" t="str">
        <f aca="false">IF(D318="RC-04",IF(INDEX(Entities!$G$5:$G$34,MATCH(A318,Entities!$A$5:$A$34,0))="Y","Yes","N/A"),"Yes")</f>
        <v>Yes</v>
      </c>
      <c r="G318" s="24" t="n">
        <v>2</v>
      </c>
      <c r="H318" s="24" t="n">
        <v>2</v>
      </c>
      <c r="I318" s="24" t="n">
        <v>2</v>
      </c>
      <c r="J318" s="24" t="n">
        <v>1</v>
      </c>
      <c r="K318" s="24" t="n">
        <v>1</v>
      </c>
      <c r="L318" s="37" t="n">
        <f aca="false">IF(F318="N/A","",IF(COUNT(H318:K318)=0,"",IF(Config!$C$19="Highest dimension",MAX(H318:K318),ROUND(H318*Config!$C$20+I318*Config!$C$21+J318*Config!$C$22+K318*Config!$C$23,1))))</f>
        <v>2</v>
      </c>
      <c r="M318" s="38" t="n">
        <f aca="false">IF(OR(L318="",G318=""),"",G318*L318)</f>
        <v>4</v>
      </c>
      <c r="N318" s="31" t="n">
        <f aca="false">IF(M318="","",MATCH(M318,Config!$E$5:$E$9,1))</f>
        <v>1</v>
      </c>
      <c r="O318" s="7" t="str">
        <f aca="false">IF(F318="N/A","N/A",IF(N318="","Not assessed",INDEX(Config!$B$5:$B$9,N318)))</f>
        <v>Low</v>
      </c>
      <c r="P318" s="32" t="n">
        <v>0</v>
      </c>
      <c r="Q318" s="8"/>
      <c r="R318" s="33"/>
      <c r="S318" s="34" t="n">
        <f aca="false">IF(N318="","",IF(AND(R318="Y",P318&lt;&gt;0),MAX(1,MIN(5,N318+MAX(-Config!$C$27,MIN(Config!$C$27,P318)))),N318))</f>
        <v>1</v>
      </c>
      <c r="T318" s="35" t="str">
        <f aca="false">IF(F318="N/A","N/A",IF(S318="","Not assessed",INDEX(Config!$B$5:$B$9,S318)))</f>
        <v>Low</v>
      </c>
      <c r="U318" s="7" t="str">
        <f aca="false">IF(P318=0,"None",IF(R318="Y","Applied","Pending HO approval"))</f>
        <v>None</v>
      </c>
      <c r="V318" s="8"/>
    </row>
    <row r="319" customFormat="false" ht="15" hidden="false" customHeight="false" outlineLevel="0" collapsed="false">
      <c r="A319" s="26" t="str">
        <f aca="false">Entities!$A$29</f>
        <v>IT</v>
      </c>
      <c r="B319" s="12" t="str">
        <f aca="false">INDEX(Entities!$B$5:$B$34,MATCH(A319,Entities!$A$5:$A$34,0))</f>
        <v>Arab Bank – Italy</v>
      </c>
      <c r="C319" s="12" t="str">
        <f aca="false">INDEX(Entities!$D$5:$D$34,MATCH(A319,Entities!$A$5:$A$34,0))</f>
        <v>Europe</v>
      </c>
      <c r="D319" s="12" t="s">
        <v>290</v>
      </c>
      <c r="E319" s="12" t="str">
        <f aca="false">INDEX('Risk Taxonomy'!$B$5:$B$24,MATCH(D319,'Risk Taxonomy'!$A$5:$A$24,0))</f>
        <v>Data protection and privacy</v>
      </c>
      <c r="F319" s="7" t="str">
        <f aca="false">IF(D319="RC-04",IF(INDEX(Entities!$G$5:$G$34,MATCH(A319,Entities!$A$5:$A$34,0))="Y","Yes","N/A"),"Yes")</f>
        <v>Yes</v>
      </c>
      <c r="G319" s="24" t="n">
        <v>3</v>
      </c>
      <c r="H319" s="24" t="n">
        <v>2</v>
      </c>
      <c r="I319" s="24" t="n">
        <v>4</v>
      </c>
      <c r="J319" s="24" t="n">
        <v>3</v>
      </c>
      <c r="K319" s="24" t="n">
        <v>2</v>
      </c>
      <c r="L319" s="37" t="n">
        <f aca="false">IF(F319="N/A","",IF(COUNT(H319:K319)=0,"",IF(Config!$C$19="Highest dimension",MAX(H319:K319),ROUND(H319*Config!$C$20+I319*Config!$C$21+J319*Config!$C$22+K319*Config!$C$23,1))))</f>
        <v>4</v>
      </c>
      <c r="M319" s="38" t="n">
        <f aca="false">IF(OR(L319="",G319=""),"",G319*L319)</f>
        <v>12</v>
      </c>
      <c r="N319" s="31" t="n">
        <f aca="false">IF(M319="","",MATCH(M319,Config!$E$5:$E$9,1))</f>
        <v>3</v>
      </c>
      <c r="O319" s="7" t="str">
        <f aca="false">IF(F319="N/A","N/A",IF(N319="","Not assessed",INDEX(Config!$B$5:$B$9,N319)))</f>
        <v>Medium</v>
      </c>
      <c r="P319" s="32" t="n">
        <v>0</v>
      </c>
      <c r="Q319" s="8"/>
      <c r="R319" s="33"/>
      <c r="S319" s="34" t="n">
        <f aca="false">IF(N319="","",IF(AND(R319="Y",P319&lt;&gt;0),MAX(1,MIN(5,N319+MAX(-Config!$C$27,MIN(Config!$C$27,P319)))),N319))</f>
        <v>3</v>
      </c>
      <c r="T319" s="35" t="str">
        <f aca="false">IF(F319="N/A","N/A",IF(S319="","Not assessed",INDEX(Config!$B$5:$B$9,S319)))</f>
        <v>Medium</v>
      </c>
      <c r="U319" s="7" t="str">
        <f aca="false">IF(P319=0,"None",IF(R319="Y","Applied","Pending HO approval"))</f>
        <v>None</v>
      </c>
      <c r="V319" s="8"/>
    </row>
    <row r="320" customFormat="false" ht="15" hidden="false" customHeight="false" outlineLevel="0" collapsed="false">
      <c r="A320" s="26" t="str">
        <f aca="false">Entities!$A$29</f>
        <v>IT</v>
      </c>
      <c r="B320" s="12" t="str">
        <f aca="false">INDEX(Entities!$B$5:$B$34,MATCH(A320,Entities!$A$5:$A$34,0))</f>
        <v>Arab Bank – Italy</v>
      </c>
      <c r="C320" s="12" t="str">
        <f aca="false">INDEX(Entities!$D$5:$D$34,MATCH(A320,Entities!$A$5:$A$34,0))</f>
        <v>Europe</v>
      </c>
      <c r="D320" s="12" t="s">
        <v>293</v>
      </c>
      <c r="E320" s="12" t="str">
        <f aca="false">INDEX('Risk Taxonomy'!$B$5:$B$24,MATCH(D320,'Risk Taxonomy'!$A$5:$A$24,0))</f>
        <v>Shariah non-compliance</v>
      </c>
      <c r="F320" s="7" t="str">
        <f aca="false">IF(D320="RC-04",IF(INDEX(Entities!$G$5:$G$34,MATCH(A320,Entities!$A$5:$A$34,0))="Y","Yes","N/A"),"Yes")</f>
        <v>N/A</v>
      </c>
      <c r="G320" s="24"/>
      <c r="H320" s="24"/>
      <c r="I320" s="24"/>
      <c r="J320" s="24"/>
      <c r="K320" s="24"/>
      <c r="L320" s="37" t="str">
        <f aca="false">IF(F320="N/A","",IF(COUNT(H320:K320)=0,"",IF(Config!$C$19="Highest dimension",MAX(H320:K320),ROUND(H320*Config!$C$20+I320*Config!$C$21+J320*Config!$C$22+K320*Config!$C$23,1))))</f>
        <v/>
      </c>
      <c r="M320" s="38" t="str">
        <f aca="false">IF(OR(L320="",G320=""),"",G320*L320)</f>
        <v/>
      </c>
      <c r="N320" s="31" t="str">
        <f aca="false">IF(M320="","",MATCH(M320,Config!$E$5:$E$9,1))</f>
        <v/>
      </c>
      <c r="O320" s="7" t="str">
        <f aca="false">IF(F320="N/A","N/A",IF(N320="","Not assessed",INDEX(Config!$B$5:$B$9,N320)))</f>
        <v>N/A</v>
      </c>
      <c r="P320" s="32" t="n">
        <v>0</v>
      </c>
      <c r="Q320" s="8"/>
      <c r="R320" s="33"/>
      <c r="S320" s="34" t="str">
        <f aca="false">IF(N320="","",IF(AND(R320="Y",P320&lt;&gt;0),MAX(1,MIN(5,N320+MAX(-Config!$C$27,MIN(Config!$C$27,P320)))),N320))</f>
        <v/>
      </c>
      <c r="T320" s="35" t="str">
        <f aca="false">IF(F320="N/A","N/A",IF(S320="","Not assessed",INDEX(Config!$B$5:$B$9,S320)))</f>
        <v>N/A</v>
      </c>
      <c r="U320" s="7" t="str">
        <f aca="false">IF(P320=0,"None",IF(R320="Y","Applied","Pending HO approval"))</f>
        <v>None</v>
      </c>
      <c r="V320" s="8"/>
    </row>
    <row r="321" customFormat="false" ht="15" hidden="false" customHeight="false" outlineLevel="0" collapsed="false">
      <c r="A321" s="26" t="str">
        <f aca="false">Entities!$A$29</f>
        <v>IT</v>
      </c>
      <c r="B321" s="12" t="str">
        <f aca="false">INDEX(Entities!$B$5:$B$34,MATCH(A321,Entities!$A$5:$A$34,0))</f>
        <v>Arab Bank – Italy</v>
      </c>
      <c r="C321" s="12" t="str">
        <f aca="false">INDEX(Entities!$D$5:$D$34,MATCH(A321,Entities!$A$5:$A$34,0))</f>
        <v>Europe</v>
      </c>
      <c r="D321" s="12" t="s">
        <v>297</v>
      </c>
      <c r="E321" s="12" t="str">
        <f aca="false">INDEX('Risk Taxonomy'!$B$5:$B$24,MATCH(D321,'Risk Taxonomy'!$A$5:$A$24,0))</f>
        <v>Credit risk</v>
      </c>
      <c r="F321" s="7" t="str">
        <f aca="false">IF(D321="RC-04",IF(INDEX(Entities!$G$5:$G$34,MATCH(A321,Entities!$A$5:$A$34,0))="Y","Yes","N/A"),"Yes")</f>
        <v>Yes</v>
      </c>
      <c r="G321" s="24" t="n">
        <v>2</v>
      </c>
      <c r="H321" s="24" t="n">
        <v>2</v>
      </c>
      <c r="I321" s="24" t="n">
        <v>2</v>
      </c>
      <c r="J321" s="24" t="n">
        <v>1</v>
      </c>
      <c r="K321" s="24" t="n">
        <v>1</v>
      </c>
      <c r="L321" s="37" t="n">
        <f aca="false">IF(F321="N/A","",IF(COUNT(H321:K321)=0,"",IF(Config!$C$19="Highest dimension",MAX(H321:K321),ROUND(H321*Config!$C$20+I321*Config!$C$21+J321*Config!$C$22+K321*Config!$C$23,1))))</f>
        <v>2</v>
      </c>
      <c r="M321" s="38" t="n">
        <f aca="false">IF(OR(L321="",G321=""),"",G321*L321)</f>
        <v>4</v>
      </c>
      <c r="N321" s="31" t="n">
        <f aca="false">IF(M321="","",MATCH(M321,Config!$E$5:$E$9,1))</f>
        <v>1</v>
      </c>
      <c r="O321" s="7" t="str">
        <f aca="false">IF(F321="N/A","N/A",IF(N321="","Not assessed",INDEX(Config!$B$5:$B$9,N321)))</f>
        <v>Low</v>
      </c>
      <c r="P321" s="32" t="n">
        <v>0</v>
      </c>
      <c r="Q321" s="8"/>
      <c r="R321" s="33"/>
      <c r="S321" s="34" t="n">
        <f aca="false">IF(N321="","",IF(AND(R321="Y",P321&lt;&gt;0),MAX(1,MIN(5,N321+MAX(-Config!$C$27,MIN(Config!$C$27,P321)))),N321))</f>
        <v>1</v>
      </c>
      <c r="T321" s="35" t="str">
        <f aca="false">IF(F321="N/A","N/A",IF(S321="","Not assessed",INDEX(Config!$B$5:$B$9,S321)))</f>
        <v>Low</v>
      </c>
      <c r="U321" s="7" t="str">
        <f aca="false">IF(P321=0,"None",IF(R321="Y","Applied","Pending HO approval"))</f>
        <v>None</v>
      </c>
      <c r="V321" s="8"/>
    </row>
    <row r="322" customFormat="false" ht="15" hidden="false" customHeight="false" outlineLevel="0" collapsed="false">
      <c r="A322" s="26" t="str">
        <f aca="false">Entities!$A$29</f>
        <v>IT</v>
      </c>
      <c r="B322" s="12" t="str">
        <f aca="false">INDEX(Entities!$B$5:$B$34,MATCH(A322,Entities!$A$5:$A$34,0))</f>
        <v>Arab Bank – Italy</v>
      </c>
      <c r="C322" s="12" t="str">
        <f aca="false">INDEX(Entities!$D$5:$D$34,MATCH(A322,Entities!$A$5:$A$34,0))</f>
        <v>Europe</v>
      </c>
      <c r="D322" s="12" t="s">
        <v>302</v>
      </c>
      <c r="E322" s="12" t="str">
        <f aca="false">INDEX('Risk Taxonomy'!$B$5:$B$24,MATCH(D322,'Risk Taxonomy'!$A$5:$A$24,0))</f>
        <v>Market risk</v>
      </c>
      <c r="F322" s="7" t="str">
        <f aca="false">IF(D322="RC-04",IF(INDEX(Entities!$G$5:$G$34,MATCH(A322,Entities!$A$5:$A$34,0))="Y","Yes","N/A"),"Yes")</f>
        <v>Yes</v>
      </c>
      <c r="G322" s="24" t="n">
        <v>2</v>
      </c>
      <c r="H322" s="24" t="n">
        <v>2</v>
      </c>
      <c r="I322" s="24" t="n">
        <v>2</v>
      </c>
      <c r="J322" s="24" t="n">
        <v>3</v>
      </c>
      <c r="K322" s="24" t="n">
        <v>2</v>
      </c>
      <c r="L322" s="37" t="n">
        <f aca="false">IF(F322="N/A","",IF(COUNT(H322:K322)=0,"",IF(Config!$C$19="Highest dimension",MAX(H322:K322),ROUND(H322*Config!$C$20+I322*Config!$C$21+J322*Config!$C$22+K322*Config!$C$23,1))))</f>
        <v>3</v>
      </c>
      <c r="M322" s="38" t="n">
        <f aca="false">IF(OR(L322="",G322=""),"",G322*L322)</f>
        <v>6</v>
      </c>
      <c r="N322" s="31" t="n">
        <f aca="false">IF(M322="","",MATCH(M322,Config!$E$5:$E$9,1))</f>
        <v>2</v>
      </c>
      <c r="O322" s="7" t="str">
        <f aca="false">IF(F322="N/A","N/A",IF(N322="","Not assessed",INDEX(Config!$B$5:$B$9,N322)))</f>
        <v>Medium-Low</v>
      </c>
      <c r="P322" s="32" t="n">
        <v>0</v>
      </c>
      <c r="Q322" s="8"/>
      <c r="R322" s="33"/>
      <c r="S322" s="34" t="n">
        <f aca="false">IF(N322="","",IF(AND(R322="Y",P322&lt;&gt;0),MAX(1,MIN(5,N322+MAX(-Config!$C$27,MIN(Config!$C$27,P322)))),N322))</f>
        <v>2</v>
      </c>
      <c r="T322" s="35" t="str">
        <f aca="false">IF(F322="N/A","N/A",IF(S322="","Not assessed",INDEX(Config!$B$5:$B$9,S322)))</f>
        <v>Medium-Low</v>
      </c>
      <c r="U322" s="7" t="str">
        <f aca="false">IF(P322=0,"None",IF(R322="Y","Applied","Pending HO approval"))</f>
        <v>None</v>
      </c>
      <c r="V322" s="8"/>
    </row>
    <row r="323" customFormat="false" ht="15" hidden="false" customHeight="false" outlineLevel="0" collapsed="false">
      <c r="A323" s="26" t="str">
        <f aca="false">Entities!$A$29</f>
        <v>IT</v>
      </c>
      <c r="B323" s="12" t="str">
        <f aca="false">INDEX(Entities!$B$5:$B$34,MATCH(A323,Entities!$A$5:$A$34,0))</f>
        <v>Arab Bank – Italy</v>
      </c>
      <c r="C323" s="12" t="str">
        <f aca="false">INDEX(Entities!$D$5:$D$34,MATCH(A323,Entities!$A$5:$A$34,0))</f>
        <v>Europe</v>
      </c>
      <c r="D323" s="12" t="s">
        <v>304</v>
      </c>
      <c r="E323" s="12" t="str">
        <f aca="false">INDEX('Risk Taxonomy'!$B$5:$B$24,MATCH(D323,'Risk Taxonomy'!$A$5:$A$24,0))</f>
        <v>Liquidity and funding risk</v>
      </c>
      <c r="F323" s="7" t="str">
        <f aca="false">IF(D323="RC-04",IF(INDEX(Entities!$G$5:$G$34,MATCH(A323,Entities!$A$5:$A$34,0))="Y","Yes","N/A"),"Yes")</f>
        <v>Yes</v>
      </c>
      <c r="G323" s="24" t="n">
        <v>3</v>
      </c>
      <c r="H323" s="24" t="n">
        <v>1</v>
      </c>
      <c r="I323" s="24" t="n">
        <v>2</v>
      </c>
      <c r="J323" s="24" t="n">
        <v>2</v>
      </c>
      <c r="K323" s="24" t="n">
        <v>3</v>
      </c>
      <c r="L323" s="37" t="n">
        <f aca="false">IF(F323="N/A","",IF(COUNT(H323:K323)=0,"",IF(Config!$C$19="Highest dimension",MAX(H323:K323),ROUND(H323*Config!$C$20+I323*Config!$C$21+J323*Config!$C$22+K323*Config!$C$23,1))))</f>
        <v>3</v>
      </c>
      <c r="M323" s="38" t="n">
        <f aca="false">IF(OR(L323="",G323=""),"",G323*L323)</f>
        <v>9</v>
      </c>
      <c r="N323" s="31" t="n">
        <f aca="false">IF(M323="","",MATCH(M323,Config!$E$5:$E$9,1))</f>
        <v>3</v>
      </c>
      <c r="O323" s="7" t="str">
        <f aca="false">IF(F323="N/A","N/A",IF(N323="","Not assessed",INDEX(Config!$B$5:$B$9,N323)))</f>
        <v>Medium</v>
      </c>
      <c r="P323" s="32" t="n">
        <v>0</v>
      </c>
      <c r="Q323" s="8"/>
      <c r="R323" s="33"/>
      <c r="S323" s="34" t="n">
        <f aca="false">IF(N323="","",IF(AND(R323="Y",P323&lt;&gt;0),MAX(1,MIN(5,N323+MAX(-Config!$C$27,MIN(Config!$C$27,P323)))),N323))</f>
        <v>3</v>
      </c>
      <c r="T323" s="35" t="str">
        <f aca="false">IF(F323="N/A","N/A",IF(S323="","Not assessed",INDEX(Config!$B$5:$B$9,S323)))</f>
        <v>Medium</v>
      </c>
      <c r="U323" s="7" t="str">
        <f aca="false">IF(P323=0,"None",IF(R323="Y","Applied","Pending HO approval"))</f>
        <v>None</v>
      </c>
      <c r="V323" s="8"/>
    </row>
    <row r="324" customFormat="false" ht="15" hidden="false" customHeight="false" outlineLevel="0" collapsed="false">
      <c r="A324" s="26" t="str">
        <f aca="false">Entities!$A$29</f>
        <v>IT</v>
      </c>
      <c r="B324" s="12" t="str">
        <f aca="false">INDEX(Entities!$B$5:$B$34,MATCH(A324,Entities!$A$5:$A$34,0))</f>
        <v>Arab Bank – Italy</v>
      </c>
      <c r="C324" s="12" t="str">
        <f aca="false">INDEX(Entities!$D$5:$D$34,MATCH(A324,Entities!$A$5:$A$34,0))</f>
        <v>Europe</v>
      </c>
      <c r="D324" s="12" t="s">
        <v>307</v>
      </c>
      <c r="E324" s="12" t="str">
        <f aca="false">INDEX('Risk Taxonomy'!$B$5:$B$24,MATCH(D324,'Risk Taxonomy'!$A$5:$A$24,0))</f>
        <v>Operational risk</v>
      </c>
      <c r="F324" s="7" t="str">
        <f aca="false">IF(D324="RC-04",IF(INDEX(Entities!$G$5:$G$34,MATCH(A324,Entities!$A$5:$A$34,0))="Y","Yes","N/A"),"Yes")</f>
        <v>Yes</v>
      </c>
      <c r="G324" s="24" t="n">
        <v>3</v>
      </c>
      <c r="H324" s="24" t="n">
        <v>2</v>
      </c>
      <c r="I324" s="24" t="n">
        <v>1</v>
      </c>
      <c r="J324" s="24" t="n">
        <v>3</v>
      </c>
      <c r="K324" s="24" t="n">
        <v>4</v>
      </c>
      <c r="L324" s="37" t="n">
        <f aca="false">IF(F324="N/A","",IF(COUNT(H324:K324)=0,"",IF(Config!$C$19="Highest dimension",MAX(H324:K324),ROUND(H324*Config!$C$20+I324*Config!$C$21+J324*Config!$C$22+K324*Config!$C$23,1))))</f>
        <v>4</v>
      </c>
      <c r="M324" s="38" t="n">
        <f aca="false">IF(OR(L324="",G324=""),"",G324*L324)</f>
        <v>12</v>
      </c>
      <c r="N324" s="31" t="n">
        <f aca="false">IF(M324="","",MATCH(M324,Config!$E$5:$E$9,1))</f>
        <v>3</v>
      </c>
      <c r="O324" s="7" t="str">
        <f aca="false">IF(F324="N/A","N/A",IF(N324="","Not assessed",INDEX(Config!$B$5:$B$9,N324)))</f>
        <v>Medium</v>
      </c>
      <c r="P324" s="32" t="n">
        <v>0</v>
      </c>
      <c r="Q324" s="8"/>
      <c r="R324" s="33"/>
      <c r="S324" s="34" t="n">
        <f aca="false">IF(N324="","",IF(AND(R324="Y",P324&lt;&gt;0),MAX(1,MIN(5,N324+MAX(-Config!$C$27,MIN(Config!$C$27,P324)))),N324))</f>
        <v>3</v>
      </c>
      <c r="T324" s="35" t="str">
        <f aca="false">IF(F324="N/A","N/A",IF(S324="","Not assessed",INDEX(Config!$B$5:$B$9,S324)))</f>
        <v>Medium</v>
      </c>
      <c r="U324" s="7" t="str">
        <f aca="false">IF(P324=0,"None",IF(R324="Y","Applied","Pending HO approval"))</f>
        <v>None</v>
      </c>
      <c r="V324" s="8"/>
    </row>
    <row r="325" customFormat="false" ht="15" hidden="false" customHeight="false" outlineLevel="0" collapsed="false">
      <c r="A325" s="26" t="str">
        <f aca="false">Entities!$A$29</f>
        <v>IT</v>
      </c>
      <c r="B325" s="12" t="str">
        <f aca="false">INDEX(Entities!$B$5:$B$34,MATCH(A325,Entities!$A$5:$A$34,0))</f>
        <v>Arab Bank – Italy</v>
      </c>
      <c r="C325" s="12" t="str">
        <f aca="false">INDEX(Entities!$D$5:$D$34,MATCH(A325,Entities!$A$5:$A$34,0))</f>
        <v>Europe</v>
      </c>
      <c r="D325" s="12" t="s">
        <v>310</v>
      </c>
      <c r="E325" s="12" t="str">
        <f aca="false">INDEX('Risk Taxonomy'!$B$5:$B$24,MATCH(D325,'Risk Taxonomy'!$A$5:$A$24,0))</f>
        <v>Cyber, information security and technology</v>
      </c>
      <c r="F325" s="7" t="str">
        <f aca="false">IF(D325="RC-04",IF(INDEX(Entities!$G$5:$G$34,MATCH(A325,Entities!$A$5:$A$34,0))="Y","Yes","N/A"),"Yes")</f>
        <v>Yes</v>
      </c>
      <c r="G325" s="24" t="n">
        <v>2</v>
      </c>
      <c r="H325" s="24" t="n">
        <v>1</v>
      </c>
      <c r="I325" s="24" t="n">
        <v>1</v>
      </c>
      <c r="J325" s="24" t="n">
        <v>1</v>
      </c>
      <c r="K325" s="24" t="n">
        <v>1</v>
      </c>
      <c r="L325" s="37" t="n">
        <f aca="false">IF(F325="N/A","",IF(COUNT(H325:K325)=0,"",IF(Config!$C$19="Highest dimension",MAX(H325:K325),ROUND(H325*Config!$C$20+I325*Config!$C$21+J325*Config!$C$22+K325*Config!$C$23,1))))</f>
        <v>1</v>
      </c>
      <c r="M325" s="38" t="n">
        <f aca="false">IF(OR(L325="",G325=""),"",G325*L325)</f>
        <v>2</v>
      </c>
      <c r="N325" s="31" t="n">
        <f aca="false">IF(M325="","",MATCH(M325,Config!$E$5:$E$9,1))</f>
        <v>1</v>
      </c>
      <c r="O325" s="7" t="str">
        <f aca="false">IF(F325="N/A","N/A",IF(N325="","Not assessed",INDEX(Config!$B$5:$B$9,N325)))</f>
        <v>Low</v>
      </c>
      <c r="P325" s="32" t="n">
        <v>0</v>
      </c>
      <c r="Q325" s="8"/>
      <c r="R325" s="33"/>
      <c r="S325" s="34" t="n">
        <f aca="false">IF(N325="","",IF(AND(R325="Y",P325&lt;&gt;0),MAX(1,MIN(5,N325+MAX(-Config!$C$27,MIN(Config!$C$27,P325)))),N325))</f>
        <v>1</v>
      </c>
      <c r="T325" s="35" t="str">
        <f aca="false">IF(F325="N/A","N/A",IF(S325="","Not assessed",INDEX(Config!$B$5:$B$9,S325)))</f>
        <v>Low</v>
      </c>
      <c r="U325" s="7" t="str">
        <f aca="false">IF(P325=0,"None",IF(R325="Y","Applied","Pending HO approval"))</f>
        <v>None</v>
      </c>
      <c r="V325" s="8"/>
    </row>
    <row r="326" customFormat="false" ht="15" hidden="false" customHeight="false" outlineLevel="0" collapsed="false">
      <c r="A326" s="26" t="str">
        <f aca="false">Entities!$A$29</f>
        <v>IT</v>
      </c>
      <c r="B326" s="12" t="str">
        <f aca="false">INDEX(Entities!$B$5:$B$34,MATCH(A326,Entities!$A$5:$A$34,0))</f>
        <v>Arab Bank – Italy</v>
      </c>
      <c r="C326" s="12" t="str">
        <f aca="false">INDEX(Entities!$D$5:$D$34,MATCH(A326,Entities!$A$5:$A$34,0))</f>
        <v>Europe</v>
      </c>
      <c r="D326" s="12" t="s">
        <v>313</v>
      </c>
      <c r="E326" s="12" t="str">
        <f aca="false">INDEX('Risk Taxonomy'!$B$5:$B$24,MATCH(D326,'Risk Taxonomy'!$A$5:$A$24,0))</f>
        <v>Third-party and outsourcing</v>
      </c>
      <c r="F326" s="7" t="str">
        <f aca="false">IF(D326="RC-04",IF(INDEX(Entities!$G$5:$G$34,MATCH(A326,Entities!$A$5:$A$34,0))="Y","Yes","N/A"),"Yes")</f>
        <v>Yes</v>
      </c>
      <c r="G326" s="24" t="n">
        <v>1</v>
      </c>
      <c r="H326" s="24" t="n">
        <v>1</v>
      </c>
      <c r="I326" s="24" t="n">
        <v>2</v>
      </c>
      <c r="J326" s="24" t="n">
        <v>2</v>
      </c>
      <c r="K326" s="24" t="n">
        <v>1</v>
      </c>
      <c r="L326" s="37" t="n">
        <f aca="false">IF(F326="N/A","",IF(COUNT(H326:K326)=0,"",IF(Config!$C$19="Highest dimension",MAX(H326:K326),ROUND(H326*Config!$C$20+I326*Config!$C$21+J326*Config!$C$22+K326*Config!$C$23,1))))</f>
        <v>2</v>
      </c>
      <c r="M326" s="38" t="n">
        <f aca="false">IF(OR(L326="",G326=""),"",G326*L326)</f>
        <v>2</v>
      </c>
      <c r="N326" s="31" t="n">
        <f aca="false">IF(M326="","",MATCH(M326,Config!$E$5:$E$9,1))</f>
        <v>1</v>
      </c>
      <c r="O326" s="7" t="str">
        <f aca="false">IF(F326="N/A","N/A",IF(N326="","Not assessed",INDEX(Config!$B$5:$B$9,N326)))</f>
        <v>Low</v>
      </c>
      <c r="P326" s="32" t="n">
        <v>0</v>
      </c>
      <c r="Q326" s="8"/>
      <c r="R326" s="33"/>
      <c r="S326" s="34" t="n">
        <f aca="false">IF(N326="","",IF(AND(R326="Y",P326&lt;&gt;0),MAX(1,MIN(5,N326+MAX(-Config!$C$27,MIN(Config!$C$27,P326)))),N326))</f>
        <v>1</v>
      </c>
      <c r="T326" s="35" t="str">
        <f aca="false">IF(F326="N/A","N/A",IF(S326="","Not assessed",INDEX(Config!$B$5:$B$9,S326)))</f>
        <v>Low</v>
      </c>
      <c r="U326" s="7" t="str">
        <f aca="false">IF(P326=0,"None",IF(R326="Y","Applied","Pending HO approval"))</f>
        <v>None</v>
      </c>
      <c r="V326" s="8"/>
    </row>
    <row r="327" customFormat="false" ht="15" hidden="false" customHeight="false" outlineLevel="0" collapsed="false">
      <c r="A327" s="26" t="str">
        <f aca="false">Entities!$A$29</f>
        <v>IT</v>
      </c>
      <c r="B327" s="12" t="str">
        <f aca="false">INDEX(Entities!$B$5:$B$34,MATCH(A327,Entities!$A$5:$A$34,0))</f>
        <v>Arab Bank – Italy</v>
      </c>
      <c r="C327" s="12" t="str">
        <f aca="false">INDEX(Entities!$D$5:$D$34,MATCH(A327,Entities!$A$5:$A$34,0))</f>
        <v>Europe</v>
      </c>
      <c r="D327" s="12" t="s">
        <v>316</v>
      </c>
      <c r="E327" s="12" t="str">
        <f aca="false">INDEX('Risk Taxonomy'!$B$5:$B$24,MATCH(D327,'Risk Taxonomy'!$A$5:$A$24,0))</f>
        <v>Legal and litigation</v>
      </c>
      <c r="F327" s="7" t="str">
        <f aca="false">IF(D327="RC-04",IF(INDEX(Entities!$G$5:$G$34,MATCH(A327,Entities!$A$5:$A$34,0))="Y","Yes","N/A"),"Yes")</f>
        <v>Yes</v>
      </c>
      <c r="G327" s="24" t="n">
        <v>2</v>
      </c>
      <c r="H327" s="24" t="n">
        <v>2</v>
      </c>
      <c r="I327" s="24" t="n">
        <v>1</v>
      </c>
      <c r="J327" s="24" t="n">
        <v>2</v>
      </c>
      <c r="K327" s="24" t="n">
        <v>2</v>
      </c>
      <c r="L327" s="37" t="n">
        <f aca="false">IF(F327="N/A","",IF(COUNT(H327:K327)=0,"",IF(Config!$C$19="Highest dimension",MAX(H327:K327),ROUND(H327*Config!$C$20+I327*Config!$C$21+J327*Config!$C$22+K327*Config!$C$23,1))))</f>
        <v>2</v>
      </c>
      <c r="M327" s="38" t="n">
        <f aca="false">IF(OR(L327="",G327=""),"",G327*L327)</f>
        <v>4</v>
      </c>
      <c r="N327" s="31" t="n">
        <f aca="false">IF(M327="","",MATCH(M327,Config!$E$5:$E$9,1))</f>
        <v>1</v>
      </c>
      <c r="O327" s="7" t="str">
        <f aca="false">IF(F327="N/A","N/A",IF(N327="","Not assessed",INDEX(Config!$B$5:$B$9,N327)))</f>
        <v>Low</v>
      </c>
      <c r="P327" s="32" t="n">
        <v>0</v>
      </c>
      <c r="Q327" s="8"/>
      <c r="R327" s="33"/>
      <c r="S327" s="34" t="n">
        <f aca="false">IF(N327="","",IF(AND(R327="Y",P327&lt;&gt;0),MAX(1,MIN(5,N327+MAX(-Config!$C$27,MIN(Config!$C$27,P327)))),N327))</f>
        <v>1</v>
      </c>
      <c r="T327" s="35" t="str">
        <f aca="false">IF(F327="N/A","N/A",IF(S327="","Not assessed",INDEX(Config!$B$5:$B$9,S327)))</f>
        <v>Low</v>
      </c>
      <c r="U327" s="7" t="str">
        <f aca="false">IF(P327=0,"None",IF(R327="Y","Applied","Pending HO approval"))</f>
        <v>None</v>
      </c>
      <c r="V327" s="8"/>
    </row>
    <row r="328" customFormat="false" ht="15" hidden="false" customHeight="false" outlineLevel="0" collapsed="false">
      <c r="A328" s="26" t="str">
        <f aca="false">Entities!$A$29</f>
        <v>IT</v>
      </c>
      <c r="B328" s="12" t="str">
        <f aca="false">INDEX(Entities!$B$5:$B$34,MATCH(A328,Entities!$A$5:$A$34,0))</f>
        <v>Arab Bank – Italy</v>
      </c>
      <c r="C328" s="12" t="str">
        <f aca="false">INDEX(Entities!$D$5:$D$34,MATCH(A328,Entities!$A$5:$A$34,0))</f>
        <v>Europe</v>
      </c>
      <c r="D328" s="12" t="s">
        <v>319</v>
      </c>
      <c r="E328" s="12" t="str">
        <f aca="false">INDEX('Risk Taxonomy'!$B$5:$B$24,MATCH(D328,'Risk Taxonomy'!$A$5:$A$24,0))</f>
        <v>Reputational</v>
      </c>
      <c r="F328" s="7" t="str">
        <f aca="false">IF(D328="RC-04",IF(INDEX(Entities!$G$5:$G$34,MATCH(A328,Entities!$A$5:$A$34,0))="Y","Yes","N/A"),"Yes")</f>
        <v>Yes</v>
      </c>
      <c r="G328" s="24" t="n">
        <v>3</v>
      </c>
      <c r="H328" s="24" t="n">
        <v>3</v>
      </c>
      <c r="I328" s="24" t="n">
        <v>2</v>
      </c>
      <c r="J328" s="24" t="n">
        <v>4</v>
      </c>
      <c r="K328" s="24" t="n">
        <v>2</v>
      </c>
      <c r="L328" s="37" t="n">
        <f aca="false">IF(F328="N/A","",IF(COUNT(H328:K328)=0,"",IF(Config!$C$19="Highest dimension",MAX(H328:K328),ROUND(H328*Config!$C$20+I328*Config!$C$21+J328*Config!$C$22+K328*Config!$C$23,1))))</f>
        <v>4</v>
      </c>
      <c r="M328" s="38" t="n">
        <f aca="false">IF(OR(L328="",G328=""),"",G328*L328)</f>
        <v>12</v>
      </c>
      <c r="N328" s="31" t="n">
        <f aca="false">IF(M328="","",MATCH(M328,Config!$E$5:$E$9,1))</f>
        <v>3</v>
      </c>
      <c r="O328" s="7" t="str">
        <f aca="false">IF(F328="N/A","N/A",IF(N328="","Not assessed",INDEX(Config!$B$5:$B$9,N328)))</f>
        <v>Medium</v>
      </c>
      <c r="P328" s="32" t="n">
        <v>0</v>
      </c>
      <c r="Q328" s="8"/>
      <c r="R328" s="33"/>
      <c r="S328" s="34" t="n">
        <f aca="false">IF(N328="","",IF(AND(R328="Y",P328&lt;&gt;0),MAX(1,MIN(5,N328+MAX(-Config!$C$27,MIN(Config!$C$27,P328)))),N328))</f>
        <v>3</v>
      </c>
      <c r="T328" s="35" t="str">
        <f aca="false">IF(F328="N/A","N/A",IF(S328="","Not assessed",INDEX(Config!$B$5:$B$9,S328)))</f>
        <v>Medium</v>
      </c>
      <c r="U328" s="7" t="str">
        <f aca="false">IF(P328=0,"None",IF(R328="Y","Applied","Pending HO approval"))</f>
        <v>None</v>
      </c>
      <c r="V328" s="8"/>
    </row>
    <row r="329" customFormat="false" ht="15" hidden="false" customHeight="false" outlineLevel="0" collapsed="false">
      <c r="A329" s="26" t="str">
        <f aca="false">Entities!$A$29</f>
        <v>IT</v>
      </c>
      <c r="B329" s="12" t="str">
        <f aca="false">INDEX(Entities!$B$5:$B$34,MATCH(A329,Entities!$A$5:$A$34,0))</f>
        <v>Arab Bank – Italy</v>
      </c>
      <c r="C329" s="12" t="str">
        <f aca="false">INDEX(Entities!$D$5:$D$34,MATCH(A329,Entities!$A$5:$A$34,0))</f>
        <v>Europe</v>
      </c>
      <c r="D329" s="12" t="s">
        <v>322</v>
      </c>
      <c r="E329" s="12" t="str">
        <f aca="false">INDEX('Risk Taxonomy'!$B$5:$B$24,MATCH(D329,'Risk Taxonomy'!$A$5:$A$24,0))</f>
        <v>Strategic, business model and ESG</v>
      </c>
      <c r="F329" s="7" t="str">
        <f aca="false">IF(D329="RC-04",IF(INDEX(Entities!$G$5:$G$34,MATCH(A329,Entities!$A$5:$A$34,0))="Y","Yes","N/A"),"Yes")</f>
        <v>Yes</v>
      </c>
      <c r="G329" s="24" t="n">
        <v>1</v>
      </c>
      <c r="H329" s="24" t="n">
        <v>2</v>
      </c>
      <c r="I329" s="24" t="n">
        <v>3</v>
      </c>
      <c r="J329" s="24" t="n">
        <v>3</v>
      </c>
      <c r="K329" s="24" t="n">
        <v>3</v>
      </c>
      <c r="L329" s="37" t="n">
        <f aca="false">IF(F329="N/A","",IF(COUNT(H329:K329)=0,"",IF(Config!$C$19="Highest dimension",MAX(H329:K329),ROUND(H329*Config!$C$20+I329*Config!$C$21+J329*Config!$C$22+K329*Config!$C$23,1))))</f>
        <v>3</v>
      </c>
      <c r="M329" s="38" t="n">
        <f aca="false">IF(OR(L329="",G329=""),"",G329*L329)</f>
        <v>3</v>
      </c>
      <c r="N329" s="31" t="n">
        <f aca="false">IF(M329="","",MATCH(M329,Config!$E$5:$E$9,1))</f>
        <v>1</v>
      </c>
      <c r="O329" s="7" t="str">
        <f aca="false">IF(F329="N/A","N/A",IF(N329="","Not assessed",INDEX(Config!$B$5:$B$9,N329)))</f>
        <v>Low</v>
      </c>
      <c r="P329" s="32" t="n">
        <v>0</v>
      </c>
      <c r="Q329" s="8"/>
      <c r="R329" s="33"/>
      <c r="S329" s="34" t="n">
        <f aca="false">IF(N329="","",IF(AND(R329="Y",P329&lt;&gt;0),MAX(1,MIN(5,N329+MAX(-Config!$C$27,MIN(Config!$C$27,P329)))),N329))</f>
        <v>1</v>
      </c>
      <c r="T329" s="35" t="str">
        <f aca="false">IF(F329="N/A","N/A",IF(S329="","Not assessed",INDEX(Config!$B$5:$B$9,S329)))</f>
        <v>Low</v>
      </c>
      <c r="U329" s="7" t="str">
        <f aca="false">IF(P329=0,"None",IF(R329="Y","Applied","Pending HO approval"))</f>
        <v>None</v>
      </c>
      <c r="V329" s="8"/>
    </row>
    <row r="330" customFormat="false" ht="15" hidden="false" customHeight="false" outlineLevel="0" collapsed="false">
      <c r="A330" s="26" t="str">
        <f aca="false">Entities!$A$30</f>
        <v>CH</v>
      </c>
      <c r="B330" s="12" t="str">
        <f aca="false">INDEX(Entities!$B$5:$B$34,MATCH(A330,Entities!$A$5:$A$34,0))</f>
        <v>Arab Bank (Switzerland) – sister company</v>
      </c>
      <c r="C330" s="12" t="str">
        <f aca="false">INDEX(Entities!$D$5:$D$34,MATCH(A330,Entities!$A$5:$A$34,0))</f>
        <v>Europe</v>
      </c>
      <c r="D330" s="12" t="s">
        <v>284</v>
      </c>
      <c r="E330" s="12" t="str">
        <f aca="false">INDEX('Risk Taxonomy'!$B$5:$B$24,MATCH(D330,'Risk Taxonomy'!$A$5:$A$24,0))</f>
        <v>Regulatory compliance</v>
      </c>
      <c r="F330" s="7" t="str">
        <f aca="false">IF(D330="RC-04",IF(INDEX(Entities!$G$5:$G$34,MATCH(A330,Entities!$A$5:$A$34,0))="Y","Yes","N/A"),"Yes")</f>
        <v>Yes</v>
      </c>
      <c r="G330" s="24" t="n">
        <v>3</v>
      </c>
      <c r="H330" s="24" t="n">
        <v>3</v>
      </c>
      <c r="I330" s="24" t="n">
        <v>4</v>
      </c>
      <c r="J330" s="24" t="n">
        <v>2</v>
      </c>
      <c r="K330" s="24" t="n">
        <v>2</v>
      </c>
      <c r="L330" s="37" t="n">
        <f aca="false">IF(F330="N/A","",IF(COUNT(H330:K330)=0,"",IF(Config!$C$19="Highest dimension",MAX(H330:K330),ROUND(H330*Config!$C$20+I330*Config!$C$21+J330*Config!$C$22+K330*Config!$C$23,1))))</f>
        <v>4</v>
      </c>
      <c r="M330" s="38" t="n">
        <f aca="false">IF(OR(L330="",G330=""),"",G330*L330)</f>
        <v>12</v>
      </c>
      <c r="N330" s="31" t="n">
        <f aca="false">IF(M330="","",MATCH(M330,Config!$E$5:$E$9,1))</f>
        <v>3</v>
      </c>
      <c r="O330" s="7" t="str">
        <f aca="false">IF(F330="N/A","N/A",IF(N330="","Not assessed",INDEX(Config!$B$5:$B$9,N330)))</f>
        <v>Medium</v>
      </c>
      <c r="P330" s="32" t="n">
        <v>0</v>
      </c>
      <c r="Q330" s="8"/>
      <c r="R330" s="33"/>
      <c r="S330" s="34" t="n">
        <f aca="false">IF(N330="","",IF(AND(R330="Y",P330&lt;&gt;0),MAX(1,MIN(5,N330+MAX(-Config!$C$27,MIN(Config!$C$27,P330)))),N330))</f>
        <v>3</v>
      </c>
      <c r="T330" s="35" t="str">
        <f aca="false">IF(F330="N/A","N/A",IF(S330="","Not assessed",INDEX(Config!$B$5:$B$9,S330)))</f>
        <v>Medium</v>
      </c>
      <c r="U330" s="7" t="str">
        <f aca="false">IF(P330=0,"None",IF(R330="Y","Applied","Pending HO approval"))</f>
        <v>None</v>
      </c>
      <c r="V330" s="8"/>
    </row>
    <row r="331" customFormat="false" ht="15" hidden="false" customHeight="false" outlineLevel="0" collapsed="false">
      <c r="A331" s="26" t="str">
        <f aca="false">Entities!$A$30</f>
        <v>CH</v>
      </c>
      <c r="B331" s="12" t="str">
        <f aca="false">INDEX(Entities!$B$5:$B$34,MATCH(A331,Entities!$A$5:$A$34,0))</f>
        <v>Arab Bank (Switzerland) – sister company</v>
      </c>
      <c r="C331" s="12" t="str">
        <f aca="false">INDEX(Entities!$D$5:$D$34,MATCH(A331,Entities!$A$5:$A$34,0))</f>
        <v>Europe</v>
      </c>
      <c r="D331" s="12" t="s">
        <v>288</v>
      </c>
      <c r="E331" s="12" t="str">
        <f aca="false">INDEX('Risk Taxonomy'!$B$5:$B$24,MATCH(D331,'Risk Taxonomy'!$A$5:$A$24,0))</f>
        <v>Conduct and consumer protection</v>
      </c>
      <c r="F331" s="7" t="str">
        <f aca="false">IF(D331="RC-04",IF(INDEX(Entities!$G$5:$G$34,MATCH(A331,Entities!$A$5:$A$34,0))="Y","Yes","N/A"),"Yes")</f>
        <v>Yes</v>
      </c>
      <c r="G331" s="24" t="n">
        <v>2</v>
      </c>
      <c r="H331" s="24" t="n">
        <v>2</v>
      </c>
      <c r="I331" s="24" t="n">
        <v>2</v>
      </c>
      <c r="J331" s="24" t="n">
        <v>1</v>
      </c>
      <c r="K331" s="24" t="n">
        <v>3</v>
      </c>
      <c r="L331" s="37" t="n">
        <f aca="false">IF(F331="N/A","",IF(COUNT(H331:K331)=0,"",IF(Config!$C$19="Highest dimension",MAX(H331:K331),ROUND(H331*Config!$C$20+I331*Config!$C$21+J331*Config!$C$22+K331*Config!$C$23,1))))</f>
        <v>3</v>
      </c>
      <c r="M331" s="38" t="n">
        <f aca="false">IF(OR(L331="",G331=""),"",G331*L331)</f>
        <v>6</v>
      </c>
      <c r="N331" s="31" t="n">
        <f aca="false">IF(M331="","",MATCH(M331,Config!$E$5:$E$9,1))</f>
        <v>2</v>
      </c>
      <c r="O331" s="7" t="str">
        <f aca="false">IF(F331="N/A","N/A",IF(N331="","Not assessed",INDEX(Config!$B$5:$B$9,N331)))</f>
        <v>Medium-Low</v>
      </c>
      <c r="P331" s="32" t="n">
        <v>0</v>
      </c>
      <c r="Q331" s="8"/>
      <c r="R331" s="33"/>
      <c r="S331" s="34" t="n">
        <f aca="false">IF(N331="","",IF(AND(R331="Y",P331&lt;&gt;0),MAX(1,MIN(5,N331+MAX(-Config!$C$27,MIN(Config!$C$27,P331)))),N331))</f>
        <v>2</v>
      </c>
      <c r="T331" s="35" t="str">
        <f aca="false">IF(F331="N/A","N/A",IF(S331="","Not assessed",INDEX(Config!$B$5:$B$9,S331)))</f>
        <v>Medium-Low</v>
      </c>
      <c r="U331" s="7" t="str">
        <f aca="false">IF(P331=0,"None",IF(R331="Y","Applied","Pending HO approval"))</f>
        <v>None</v>
      </c>
      <c r="V331" s="8"/>
    </row>
    <row r="332" customFormat="false" ht="15" hidden="false" customHeight="false" outlineLevel="0" collapsed="false">
      <c r="A332" s="26" t="str">
        <f aca="false">Entities!$A$30</f>
        <v>CH</v>
      </c>
      <c r="B332" s="12" t="str">
        <f aca="false">INDEX(Entities!$B$5:$B$34,MATCH(A332,Entities!$A$5:$A$34,0))</f>
        <v>Arab Bank (Switzerland) – sister company</v>
      </c>
      <c r="C332" s="12" t="str">
        <f aca="false">INDEX(Entities!$D$5:$D$34,MATCH(A332,Entities!$A$5:$A$34,0))</f>
        <v>Europe</v>
      </c>
      <c r="D332" s="12" t="s">
        <v>290</v>
      </c>
      <c r="E332" s="12" t="str">
        <f aca="false">INDEX('Risk Taxonomy'!$B$5:$B$24,MATCH(D332,'Risk Taxonomy'!$A$5:$A$24,0))</f>
        <v>Data protection and privacy</v>
      </c>
      <c r="F332" s="7" t="str">
        <f aca="false">IF(D332="RC-04",IF(INDEX(Entities!$G$5:$G$34,MATCH(A332,Entities!$A$5:$A$34,0))="Y","Yes","N/A"),"Yes")</f>
        <v>Yes</v>
      </c>
      <c r="G332" s="24" t="n">
        <v>2</v>
      </c>
      <c r="H332" s="24" t="n">
        <v>2</v>
      </c>
      <c r="I332" s="24" t="n">
        <v>2</v>
      </c>
      <c r="J332" s="24" t="n">
        <v>1</v>
      </c>
      <c r="K332" s="24" t="n">
        <v>2</v>
      </c>
      <c r="L332" s="37" t="n">
        <f aca="false">IF(F332="N/A","",IF(COUNT(H332:K332)=0,"",IF(Config!$C$19="Highest dimension",MAX(H332:K332),ROUND(H332*Config!$C$20+I332*Config!$C$21+J332*Config!$C$22+K332*Config!$C$23,1))))</f>
        <v>2</v>
      </c>
      <c r="M332" s="38" t="n">
        <f aca="false">IF(OR(L332="",G332=""),"",G332*L332)</f>
        <v>4</v>
      </c>
      <c r="N332" s="31" t="n">
        <f aca="false">IF(M332="","",MATCH(M332,Config!$E$5:$E$9,1))</f>
        <v>1</v>
      </c>
      <c r="O332" s="7" t="str">
        <f aca="false">IF(F332="N/A","N/A",IF(N332="","Not assessed",INDEX(Config!$B$5:$B$9,N332)))</f>
        <v>Low</v>
      </c>
      <c r="P332" s="32" t="n">
        <v>0</v>
      </c>
      <c r="Q332" s="8"/>
      <c r="R332" s="33"/>
      <c r="S332" s="34" t="n">
        <f aca="false">IF(N332="","",IF(AND(R332="Y",P332&lt;&gt;0),MAX(1,MIN(5,N332+MAX(-Config!$C$27,MIN(Config!$C$27,P332)))),N332))</f>
        <v>1</v>
      </c>
      <c r="T332" s="35" t="str">
        <f aca="false">IF(F332="N/A","N/A",IF(S332="","Not assessed",INDEX(Config!$B$5:$B$9,S332)))</f>
        <v>Low</v>
      </c>
      <c r="U332" s="7" t="str">
        <f aca="false">IF(P332=0,"None",IF(R332="Y","Applied","Pending HO approval"))</f>
        <v>None</v>
      </c>
      <c r="V332" s="8"/>
    </row>
    <row r="333" customFormat="false" ht="15" hidden="false" customHeight="false" outlineLevel="0" collapsed="false">
      <c r="A333" s="26" t="str">
        <f aca="false">Entities!$A$30</f>
        <v>CH</v>
      </c>
      <c r="B333" s="12" t="str">
        <f aca="false">INDEX(Entities!$B$5:$B$34,MATCH(A333,Entities!$A$5:$A$34,0))</f>
        <v>Arab Bank (Switzerland) – sister company</v>
      </c>
      <c r="C333" s="12" t="str">
        <f aca="false">INDEX(Entities!$D$5:$D$34,MATCH(A333,Entities!$A$5:$A$34,0))</f>
        <v>Europe</v>
      </c>
      <c r="D333" s="12" t="s">
        <v>293</v>
      </c>
      <c r="E333" s="12" t="str">
        <f aca="false">INDEX('Risk Taxonomy'!$B$5:$B$24,MATCH(D333,'Risk Taxonomy'!$A$5:$A$24,0))</f>
        <v>Shariah non-compliance</v>
      </c>
      <c r="F333" s="7" t="str">
        <f aca="false">IF(D333="RC-04",IF(INDEX(Entities!$G$5:$G$34,MATCH(A333,Entities!$A$5:$A$34,0))="Y","Yes","N/A"),"Yes")</f>
        <v>N/A</v>
      </c>
      <c r="G333" s="24"/>
      <c r="H333" s="24"/>
      <c r="I333" s="24"/>
      <c r="J333" s="24"/>
      <c r="K333" s="24"/>
      <c r="L333" s="37" t="str">
        <f aca="false">IF(F333="N/A","",IF(COUNT(H333:K333)=0,"",IF(Config!$C$19="Highest dimension",MAX(H333:K333),ROUND(H333*Config!$C$20+I333*Config!$C$21+J333*Config!$C$22+K333*Config!$C$23,1))))</f>
        <v/>
      </c>
      <c r="M333" s="38" t="str">
        <f aca="false">IF(OR(L333="",G333=""),"",G333*L333)</f>
        <v/>
      </c>
      <c r="N333" s="31" t="str">
        <f aca="false">IF(M333="","",MATCH(M333,Config!$E$5:$E$9,1))</f>
        <v/>
      </c>
      <c r="O333" s="7" t="str">
        <f aca="false">IF(F333="N/A","N/A",IF(N333="","Not assessed",INDEX(Config!$B$5:$B$9,N333)))</f>
        <v>N/A</v>
      </c>
      <c r="P333" s="32" t="n">
        <v>0</v>
      </c>
      <c r="Q333" s="8"/>
      <c r="R333" s="33"/>
      <c r="S333" s="34" t="str">
        <f aca="false">IF(N333="","",IF(AND(R333="Y",P333&lt;&gt;0),MAX(1,MIN(5,N333+MAX(-Config!$C$27,MIN(Config!$C$27,P333)))),N333))</f>
        <v/>
      </c>
      <c r="T333" s="35" t="str">
        <f aca="false">IF(F333="N/A","N/A",IF(S333="","Not assessed",INDEX(Config!$B$5:$B$9,S333)))</f>
        <v>N/A</v>
      </c>
      <c r="U333" s="7" t="str">
        <f aca="false">IF(P333=0,"None",IF(R333="Y","Applied","Pending HO approval"))</f>
        <v>None</v>
      </c>
      <c r="V333" s="8"/>
    </row>
    <row r="334" customFormat="false" ht="15" hidden="false" customHeight="false" outlineLevel="0" collapsed="false">
      <c r="A334" s="26" t="str">
        <f aca="false">Entities!$A$30</f>
        <v>CH</v>
      </c>
      <c r="B334" s="12" t="str">
        <f aca="false">INDEX(Entities!$B$5:$B$34,MATCH(A334,Entities!$A$5:$A$34,0))</f>
        <v>Arab Bank (Switzerland) – sister company</v>
      </c>
      <c r="C334" s="12" t="str">
        <f aca="false">INDEX(Entities!$D$5:$D$34,MATCH(A334,Entities!$A$5:$A$34,0))</f>
        <v>Europe</v>
      </c>
      <c r="D334" s="12" t="s">
        <v>297</v>
      </c>
      <c r="E334" s="12" t="str">
        <f aca="false">INDEX('Risk Taxonomy'!$B$5:$B$24,MATCH(D334,'Risk Taxonomy'!$A$5:$A$24,0))</f>
        <v>Credit risk</v>
      </c>
      <c r="F334" s="7" t="str">
        <f aca="false">IF(D334="RC-04",IF(INDEX(Entities!$G$5:$G$34,MATCH(A334,Entities!$A$5:$A$34,0))="Y","Yes","N/A"),"Yes")</f>
        <v>Yes</v>
      </c>
      <c r="G334" s="24" t="n">
        <v>3</v>
      </c>
      <c r="H334" s="24" t="n">
        <v>3</v>
      </c>
      <c r="I334" s="24" t="n">
        <v>1</v>
      </c>
      <c r="J334" s="24" t="n">
        <v>1</v>
      </c>
      <c r="K334" s="24" t="n">
        <v>4</v>
      </c>
      <c r="L334" s="37" t="n">
        <f aca="false">IF(F334="N/A","",IF(COUNT(H334:K334)=0,"",IF(Config!$C$19="Highest dimension",MAX(H334:K334),ROUND(H334*Config!$C$20+I334*Config!$C$21+J334*Config!$C$22+K334*Config!$C$23,1))))</f>
        <v>4</v>
      </c>
      <c r="M334" s="38" t="n">
        <f aca="false">IF(OR(L334="",G334=""),"",G334*L334)</f>
        <v>12</v>
      </c>
      <c r="N334" s="31" t="n">
        <f aca="false">IF(M334="","",MATCH(M334,Config!$E$5:$E$9,1))</f>
        <v>3</v>
      </c>
      <c r="O334" s="7" t="str">
        <f aca="false">IF(F334="N/A","N/A",IF(N334="","Not assessed",INDEX(Config!$B$5:$B$9,N334)))</f>
        <v>Medium</v>
      </c>
      <c r="P334" s="32" t="n">
        <v>0</v>
      </c>
      <c r="Q334" s="8"/>
      <c r="R334" s="33"/>
      <c r="S334" s="34" t="n">
        <f aca="false">IF(N334="","",IF(AND(R334="Y",P334&lt;&gt;0),MAX(1,MIN(5,N334+MAX(-Config!$C$27,MIN(Config!$C$27,P334)))),N334))</f>
        <v>3</v>
      </c>
      <c r="T334" s="35" t="str">
        <f aca="false">IF(F334="N/A","N/A",IF(S334="","Not assessed",INDEX(Config!$B$5:$B$9,S334)))</f>
        <v>Medium</v>
      </c>
      <c r="U334" s="7" t="str">
        <f aca="false">IF(P334=0,"None",IF(R334="Y","Applied","Pending HO approval"))</f>
        <v>None</v>
      </c>
      <c r="V334" s="8"/>
    </row>
    <row r="335" customFormat="false" ht="15" hidden="false" customHeight="false" outlineLevel="0" collapsed="false">
      <c r="A335" s="26" t="str">
        <f aca="false">Entities!$A$30</f>
        <v>CH</v>
      </c>
      <c r="B335" s="12" t="str">
        <f aca="false">INDEX(Entities!$B$5:$B$34,MATCH(A335,Entities!$A$5:$A$34,0))</f>
        <v>Arab Bank (Switzerland) – sister company</v>
      </c>
      <c r="C335" s="12" t="str">
        <f aca="false">INDEX(Entities!$D$5:$D$34,MATCH(A335,Entities!$A$5:$A$34,0))</f>
        <v>Europe</v>
      </c>
      <c r="D335" s="12" t="s">
        <v>302</v>
      </c>
      <c r="E335" s="12" t="str">
        <f aca="false">INDEX('Risk Taxonomy'!$B$5:$B$24,MATCH(D335,'Risk Taxonomy'!$A$5:$A$24,0))</f>
        <v>Market risk</v>
      </c>
      <c r="F335" s="7" t="str">
        <f aca="false">IF(D335="RC-04",IF(INDEX(Entities!$G$5:$G$34,MATCH(A335,Entities!$A$5:$A$34,0))="Y","Yes","N/A"),"Yes")</f>
        <v>Yes</v>
      </c>
      <c r="G335" s="24" t="n">
        <v>2</v>
      </c>
      <c r="H335" s="24" t="n">
        <v>2</v>
      </c>
      <c r="I335" s="24" t="n">
        <v>3</v>
      </c>
      <c r="J335" s="24" t="n">
        <v>2</v>
      </c>
      <c r="K335" s="24" t="n">
        <v>2</v>
      </c>
      <c r="L335" s="37" t="n">
        <f aca="false">IF(F335="N/A","",IF(COUNT(H335:K335)=0,"",IF(Config!$C$19="Highest dimension",MAX(H335:K335),ROUND(H335*Config!$C$20+I335*Config!$C$21+J335*Config!$C$22+K335*Config!$C$23,1))))</f>
        <v>3</v>
      </c>
      <c r="M335" s="38" t="n">
        <f aca="false">IF(OR(L335="",G335=""),"",G335*L335)</f>
        <v>6</v>
      </c>
      <c r="N335" s="31" t="n">
        <f aca="false">IF(M335="","",MATCH(M335,Config!$E$5:$E$9,1))</f>
        <v>2</v>
      </c>
      <c r="O335" s="7" t="str">
        <f aca="false">IF(F335="N/A","N/A",IF(N335="","Not assessed",INDEX(Config!$B$5:$B$9,N335)))</f>
        <v>Medium-Low</v>
      </c>
      <c r="P335" s="32" t="n">
        <v>0</v>
      </c>
      <c r="Q335" s="8"/>
      <c r="R335" s="33"/>
      <c r="S335" s="34" t="n">
        <f aca="false">IF(N335="","",IF(AND(R335="Y",P335&lt;&gt;0),MAX(1,MIN(5,N335+MAX(-Config!$C$27,MIN(Config!$C$27,P335)))),N335))</f>
        <v>2</v>
      </c>
      <c r="T335" s="35" t="str">
        <f aca="false">IF(F335="N/A","N/A",IF(S335="","Not assessed",INDEX(Config!$B$5:$B$9,S335)))</f>
        <v>Medium-Low</v>
      </c>
      <c r="U335" s="7" t="str">
        <f aca="false">IF(P335=0,"None",IF(R335="Y","Applied","Pending HO approval"))</f>
        <v>None</v>
      </c>
      <c r="V335" s="8"/>
    </row>
    <row r="336" customFormat="false" ht="15" hidden="false" customHeight="false" outlineLevel="0" collapsed="false">
      <c r="A336" s="26" t="str">
        <f aca="false">Entities!$A$30</f>
        <v>CH</v>
      </c>
      <c r="B336" s="12" t="str">
        <f aca="false">INDEX(Entities!$B$5:$B$34,MATCH(A336,Entities!$A$5:$A$34,0))</f>
        <v>Arab Bank (Switzerland) – sister company</v>
      </c>
      <c r="C336" s="12" t="str">
        <f aca="false">INDEX(Entities!$D$5:$D$34,MATCH(A336,Entities!$A$5:$A$34,0))</f>
        <v>Europe</v>
      </c>
      <c r="D336" s="12" t="s">
        <v>304</v>
      </c>
      <c r="E336" s="12" t="str">
        <f aca="false">INDEX('Risk Taxonomy'!$B$5:$B$24,MATCH(D336,'Risk Taxonomy'!$A$5:$A$24,0))</f>
        <v>Liquidity and funding risk</v>
      </c>
      <c r="F336" s="7" t="str">
        <f aca="false">IF(D336="RC-04",IF(INDEX(Entities!$G$5:$G$34,MATCH(A336,Entities!$A$5:$A$34,0))="Y","Yes","N/A"),"Yes")</f>
        <v>Yes</v>
      </c>
      <c r="G336" s="24" t="n">
        <v>3</v>
      </c>
      <c r="H336" s="24" t="n">
        <v>2</v>
      </c>
      <c r="I336" s="24" t="n">
        <v>3</v>
      </c>
      <c r="J336" s="24" t="n">
        <v>2</v>
      </c>
      <c r="K336" s="24" t="n">
        <v>2</v>
      </c>
      <c r="L336" s="37" t="n">
        <f aca="false">IF(F336="N/A","",IF(COUNT(H336:K336)=0,"",IF(Config!$C$19="Highest dimension",MAX(H336:K336),ROUND(H336*Config!$C$20+I336*Config!$C$21+J336*Config!$C$22+K336*Config!$C$23,1))))</f>
        <v>3</v>
      </c>
      <c r="M336" s="38" t="n">
        <f aca="false">IF(OR(L336="",G336=""),"",G336*L336)</f>
        <v>9</v>
      </c>
      <c r="N336" s="31" t="n">
        <f aca="false">IF(M336="","",MATCH(M336,Config!$E$5:$E$9,1))</f>
        <v>3</v>
      </c>
      <c r="O336" s="7" t="str">
        <f aca="false">IF(F336="N/A","N/A",IF(N336="","Not assessed",INDEX(Config!$B$5:$B$9,N336)))</f>
        <v>Medium</v>
      </c>
      <c r="P336" s="32" t="n">
        <v>0</v>
      </c>
      <c r="Q336" s="8"/>
      <c r="R336" s="33"/>
      <c r="S336" s="34" t="n">
        <f aca="false">IF(N336="","",IF(AND(R336="Y",P336&lt;&gt;0),MAX(1,MIN(5,N336+MAX(-Config!$C$27,MIN(Config!$C$27,P336)))),N336))</f>
        <v>3</v>
      </c>
      <c r="T336" s="35" t="str">
        <f aca="false">IF(F336="N/A","N/A",IF(S336="","Not assessed",INDEX(Config!$B$5:$B$9,S336)))</f>
        <v>Medium</v>
      </c>
      <c r="U336" s="7" t="str">
        <f aca="false">IF(P336=0,"None",IF(R336="Y","Applied","Pending HO approval"))</f>
        <v>None</v>
      </c>
      <c r="V336" s="8"/>
    </row>
    <row r="337" customFormat="false" ht="15" hidden="false" customHeight="false" outlineLevel="0" collapsed="false">
      <c r="A337" s="26" t="str">
        <f aca="false">Entities!$A$30</f>
        <v>CH</v>
      </c>
      <c r="B337" s="12" t="str">
        <f aca="false">INDEX(Entities!$B$5:$B$34,MATCH(A337,Entities!$A$5:$A$34,0))</f>
        <v>Arab Bank (Switzerland) – sister company</v>
      </c>
      <c r="C337" s="12" t="str">
        <f aca="false">INDEX(Entities!$D$5:$D$34,MATCH(A337,Entities!$A$5:$A$34,0))</f>
        <v>Europe</v>
      </c>
      <c r="D337" s="12" t="s">
        <v>307</v>
      </c>
      <c r="E337" s="12" t="str">
        <f aca="false">INDEX('Risk Taxonomy'!$B$5:$B$24,MATCH(D337,'Risk Taxonomy'!$A$5:$A$24,0))</f>
        <v>Operational risk</v>
      </c>
      <c r="F337" s="7" t="str">
        <f aca="false">IF(D337="RC-04",IF(INDEX(Entities!$G$5:$G$34,MATCH(A337,Entities!$A$5:$A$34,0))="Y","Yes","N/A"),"Yes")</f>
        <v>Yes</v>
      </c>
      <c r="G337" s="24" t="n">
        <v>2</v>
      </c>
      <c r="H337" s="24" t="n">
        <v>3</v>
      </c>
      <c r="I337" s="24" t="n">
        <v>4</v>
      </c>
      <c r="J337" s="24" t="n">
        <v>2</v>
      </c>
      <c r="K337" s="24" t="n">
        <v>3</v>
      </c>
      <c r="L337" s="37" t="n">
        <f aca="false">IF(F337="N/A","",IF(COUNT(H337:K337)=0,"",IF(Config!$C$19="Highest dimension",MAX(H337:K337),ROUND(H337*Config!$C$20+I337*Config!$C$21+J337*Config!$C$22+K337*Config!$C$23,1))))</f>
        <v>4</v>
      </c>
      <c r="M337" s="38" t="n">
        <f aca="false">IF(OR(L337="",G337=""),"",G337*L337)</f>
        <v>8</v>
      </c>
      <c r="N337" s="31" t="n">
        <f aca="false">IF(M337="","",MATCH(M337,Config!$E$5:$E$9,1))</f>
        <v>2</v>
      </c>
      <c r="O337" s="7" t="str">
        <f aca="false">IF(F337="N/A","N/A",IF(N337="","Not assessed",INDEX(Config!$B$5:$B$9,N337)))</f>
        <v>Medium-Low</v>
      </c>
      <c r="P337" s="32" t="n">
        <v>0</v>
      </c>
      <c r="Q337" s="8"/>
      <c r="R337" s="33"/>
      <c r="S337" s="34" t="n">
        <f aca="false">IF(N337="","",IF(AND(R337="Y",P337&lt;&gt;0),MAX(1,MIN(5,N337+MAX(-Config!$C$27,MIN(Config!$C$27,P337)))),N337))</f>
        <v>2</v>
      </c>
      <c r="T337" s="35" t="str">
        <f aca="false">IF(F337="N/A","N/A",IF(S337="","Not assessed",INDEX(Config!$B$5:$B$9,S337)))</f>
        <v>Medium-Low</v>
      </c>
      <c r="U337" s="7" t="str">
        <f aca="false">IF(P337=0,"None",IF(R337="Y","Applied","Pending HO approval"))</f>
        <v>None</v>
      </c>
      <c r="V337" s="8"/>
    </row>
    <row r="338" customFormat="false" ht="15" hidden="false" customHeight="false" outlineLevel="0" collapsed="false">
      <c r="A338" s="26" t="str">
        <f aca="false">Entities!$A$30</f>
        <v>CH</v>
      </c>
      <c r="B338" s="12" t="str">
        <f aca="false">INDEX(Entities!$B$5:$B$34,MATCH(A338,Entities!$A$5:$A$34,0))</f>
        <v>Arab Bank (Switzerland) – sister company</v>
      </c>
      <c r="C338" s="12" t="str">
        <f aca="false">INDEX(Entities!$D$5:$D$34,MATCH(A338,Entities!$A$5:$A$34,0))</f>
        <v>Europe</v>
      </c>
      <c r="D338" s="12" t="s">
        <v>310</v>
      </c>
      <c r="E338" s="12" t="str">
        <f aca="false">INDEX('Risk Taxonomy'!$B$5:$B$24,MATCH(D338,'Risk Taxonomy'!$A$5:$A$24,0))</f>
        <v>Cyber, information security and technology</v>
      </c>
      <c r="F338" s="7" t="str">
        <f aca="false">IF(D338="RC-04",IF(INDEX(Entities!$G$5:$G$34,MATCH(A338,Entities!$A$5:$A$34,0))="Y","Yes","N/A"),"Yes")</f>
        <v>Yes</v>
      </c>
      <c r="G338" s="24" t="n">
        <v>3</v>
      </c>
      <c r="H338" s="24" t="n">
        <v>3</v>
      </c>
      <c r="I338" s="24" t="n">
        <v>1</v>
      </c>
      <c r="J338" s="24" t="n">
        <v>2</v>
      </c>
      <c r="K338" s="24" t="n">
        <v>1</v>
      </c>
      <c r="L338" s="37" t="n">
        <f aca="false">IF(F338="N/A","",IF(COUNT(H338:K338)=0,"",IF(Config!$C$19="Highest dimension",MAX(H338:K338),ROUND(H338*Config!$C$20+I338*Config!$C$21+J338*Config!$C$22+K338*Config!$C$23,1))))</f>
        <v>3</v>
      </c>
      <c r="M338" s="38" t="n">
        <f aca="false">IF(OR(L338="",G338=""),"",G338*L338)</f>
        <v>9</v>
      </c>
      <c r="N338" s="31" t="n">
        <f aca="false">IF(M338="","",MATCH(M338,Config!$E$5:$E$9,1))</f>
        <v>3</v>
      </c>
      <c r="O338" s="7" t="str">
        <f aca="false">IF(F338="N/A","N/A",IF(N338="","Not assessed",INDEX(Config!$B$5:$B$9,N338)))</f>
        <v>Medium</v>
      </c>
      <c r="P338" s="32" t="n">
        <v>0</v>
      </c>
      <c r="Q338" s="8"/>
      <c r="R338" s="33"/>
      <c r="S338" s="34" t="n">
        <f aca="false">IF(N338="","",IF(AND(R338="Y",P338&lt;&gt;0),MAX(1,MIN(5,N338+MAX(-Config!$C$27,MIN(Config!$C$27,P338)))),N338))</f>
        <v>3</v>
      </c>
      <c r="T338" s="35" t="str">
        <f aca="false">IF(F338="N/A","N/A",IF(S338="","Not assessed",INDEX(Config!$B$5:$B$9,S338)))</f>
        <v>Medium</v>
      </c>
      <c r="U338" s="7" t="str">
        <f aca="false">IF(P338=0,"None",IF(R338="Y","Applied","Pending HO approval"))</f>
        <v>None</v>
      </c>
      <c r="V338" s="8"/>
    </row>
    <row r="339" customFormat="false" ht="15" hidden="false" customHeight="false" outlineLevel="0" collapsed="false">
      <c r="A339" s="26" t="str">
        <f aca="false">Entities!$A$30</f>
        <v>CH</v>
      </c>
      <c r="B339" s="12" t="str">
        <f aca="false">INDEX(Entities!$B$5:$B$34,MATCH(A339,Entities!$A$5:$A$34,0))</f>
        <v>Arab Bank (Switzerland) – sister company</v>
      </c>
      <c r="C339" s="12" t="str">
        <f aca="false">INDEX(Entities!$D$5:$D$34,MATCH(A339,Entities!$A$5:$A$34,0))</f>
        <v>Europe</v>
      </c>
      <c r="D339" s="12" t="s">
        <v>313</v>
      </c>
      <c r="E339" s="12" t="str">
        <f aca="false">INDEX('Risk Taxonomy'!$B$5:$B$24,MATCH(D339,'Risk Taxonomy'!$A$5:$A$24,0))</f>
        <v>Third-party and outsourcing</v>
      </c>
      <c r="F339" s="7" t="str">
        <f aca="false">IF(D339="RC-04",IF(INDEX(Entities!$G$5:$G$34,MATCH(A339,Entities!$A$5:$A$34,0))="Y","Yes","N/A"),"Yes")</f>
        <v>Yes</v>
      </c>
      <c r="G339" s="24" t="n">
        <v>2</v>
      </c>
      <c r="H339" s="24" t="n">
        <v>2</v>
      </c>
      <c r="I339" s="24" t="n">
        <v>2</v>
      </c>
      <c r="J339" s="24" t="n">
        <v>1</v>
      </c>
      <c r="K339" s="24" t="n">
        <v>2</v>
      </c>
      <c r="L339" s="37" t="n">
        <f aca="false">IF(F339="N/A","",IF(COUNT(H339:K339)=0,"",IF(Config!$C$19="Highest dimension",MAX(H339:K339),ROUND(H339*Config!$C$20+I339*Config!$C$21+J339*Config!$C$22+K339*Config!$C$23,1))))</f>
        <v>2</v>
      </c>
      <c r="M339" s="38" t="n">
        <f aca="false">IF(OR(L339="",G339=""),"",G339*L339)</f>
        <v>4</v>
      </c>
      <c r="N339" s="31" t="n">
        <f aca="false">IF(M339="","",MATCH(M339,Config!$E$5:$E$9,1))</f>
        <v>1</v>
      </c>
      <c r="O339" s="7" t="str">
        <f aca="false">IF(F339="N/A","N/A",IF(N339="","Not assessed",INDEX(Config!$B$5:$B$9,N339)))</f>
        <v>Low</v>
      </c>
      <c r="P339" s="32" t="n">
        <v>0</v>
      </c>
      <c r="Q339" s="8"/>
      <c r="R339" s="33"/>
      <c r="S339" s="34" t="n">
        <f aca="false">IF(N339="","",IF(AND(R339="Y",P339&lt;&gt;0),MAX(1,MIN(5,N339+MAX(-Config!$C$27,MIN(Config!$C$27,P339)))),N339))</f>
        <v>1</v>
      </c>
      <c r="T339" s="35" t="str">
        <f aca="false">IF(F339="N/A","N/A",IF(S339="","Not assessed",INDEX(Config!$B$5:$B$9,S339)))</f>
        <v>Low</v>
      </c>
      <c r="U339" s="7" t="str">
        <f aca="false">IF(P339=0,"None",IF(R339="Y","Applied","Pending HO approval"))</f>
        <v>None</v>
      </c>
      <c r="V339" s="8"/>
    </row>
    <row r="340" customFormat="false" ht="15" hidden="false" customHeight="false" outlineLevel="0" collapsed="false">
      <c r="A340" s="26" t="str">
        <f aca="false">Entities!$A$30</f>
        <v>CH</v>
      </c>
      <c r="B340" s="12" t="str">
        <f aca="false">INDEX(Entities!$B$5:$B$34,MATCH(A340,Entities!$A$5:$A$34,0))</f>
        <v>Arab Bank (Switzerland) – sister company</v>
      </c>
      <c r="C340" s="12" t="str">
        <f aca="false">INDEX(Entities!$D$5:$D$34,MATCH(A340,Entities!$A$5:$A$34,0))</f>
        <v>Europe</v>
      </c>
      <c r="D340" s="12" t="s">
        <v>316</v>
      </c>
      <c r="E340" s="12" t="str">
        <f aca="false">INDEX('Risk Taxonomy'!$B$5:$B$24,MATCH(D340,'Risk Taxonomy'!$A$5:$A$24,0))</f>
        <v>Legal and litigation</v>
      </c>
      <c r="F340" s="7" t="str">
        <f aca="false">IF(D340="RC-04",IF(INDEX(Entities!$G$5:$G$34,MATCH(A340,Entities!$A$5:$A$34,0))="Y","Yes","N/A"),"Yes")</f>
        <v>Yes</v>
      </c>
      <c r="G340" s="24" t="n">
        <v>2</v>
      </c>
      <c r="H340" s="24" t="n">
        <v>1</v>
      </c>
      <c r="I340" s="24" t="n">
        <v>2</v>
      </c>
      <c r="J340" s="24" t="n">
        <v>3</v>
      </c>
      <c r="K340" s="24" t="n">
        <v>3</v>
      </c>
      <c r="L340" s="37" t="n">
        <f aca="false">IF(F340="N/A","",IF(COUNT(H340:K340)=0,"",IF(Config!$C$19="Highest dimension",MAX(H340:K340),ROUND(H340*Config!$C$20+I340*Config!$C$21+J340*Config!$C$22+K340*Config!$C$23,1))))</f>
        <v>3</v>
      </c>
      <c r="M340" s="38" t="n">
        <f aca="false">IF(OR(L340="",G340=""),"",G340*L340)</f>
        <v>6</v>
      </c>
      <c r="N340" s="31" t="n">
        <f aca="false">IF(M340="","",MATCH(M340,Config!$E$5:$E$9,1))</f>
        <v>2</v>
      </c>
      <c r="O340" s="7" t="str">
        <f aca="false">IF(F340="N/A","N/A",IF(N340="","Not assessed",INDEX(Config!$B$5:$B$9,N340)))</f>
        <v>Medium-Low</v>
      </c>
      <c r="P340" s="32" t="n">
        <v>0</v>
      </c>
      <c r="Q340" s="8"/>
      <c r="R340" s="33"/>
      <c r="S340" s="34" t="n">
        <f aca="false">IF(N340="","",IF(AND(R340="Y",P340&lt;&gt;0),MAX(1,MIN(5,N340+MAX(-Config!$C$27,MIN(Config!$C$27,P340)))),N340))</f>
        <v>2</v>
      </c>
      <c r="T340" s="35" t="str">
        <f aca="false">IF(F340="N/A","N/A",IF(S340="","Not assessed",INDEX(Config!$B$5:$B$9,S340)))</f>
        <v>Medium-Low</v>
      </c>
      <c r="U340" s="7" t="str">
        <f aca="false">IF(P340=0,"None",IF(R340="Y","Applied","Pending HO approval"))</f>
        <v>None</v>
      </c>
      <c r="V340" s="8"/>
    </row>
    <row r="341" customFormat="false" ht="15" hidden="false" customHeight="false" outlineLevel="0" collapsed="false">
      <c r="A341" s="26" t="str">
        <f aca="false">Entities!$A$30</f>
        <v>CH</v>
      </c>
      <c r="B341" s="12" t="str">
        <f aca="false">INDEX(Entities!$B$5:$B$34,MATCH(A341,Entities!$A$5:$A$34,0))</f>
        <v>Arab Bank (Switzerland) – sister company</v>
      </c>
      <c r="C341" s="12" t="str">
        <f aca="false">INDEX(Entities!$D$5:$D$34,MATCH(A341,Entities!$A$5:$A$34,0))</f>
        <v>Europe</v>
      </c>
      <c r="D341" s="12" t="s">
        <v>319</v>
      </c>
      <c r="E341" s="12" t="str">
        <f aca="false">INDEX('Risk Taxonomy'!$B$5:$B$24,MATCH(D341,'Risk Taxonomy'!$A$5:$A$24,0))</f>
        <v>Reputational</v>
      </c>
      <c r="F341" s="7" t="str">
        <f aca="false">IF(D341="RC-04",IF(INDEX(Entities!$G$5:$G$34,MATCH(A341,Entities!$A$5:$A$34,0))="Y","Yes","N/A"),"Yes")</f>
        <v>Yes</v>
      </c>
      <c r="G341" s="24" t="n">
        <v>3</v>
      </c>
      <c r="H341" s="24" t="n">
        <v>1</v>
      </c>
      <c r="I341" s="24" t="n">
        <v>1</v>
      </c>
      <c r="J341" s="24" t="n">
        <v>2</v>
      </c>
      <c r="K341" s="24" t="n">
        <v>2</v>
      </c>
      <c r="L341" s="37" t="n">
        <f aca="false">IF(F341="N/A","",IF(COUNT(H341:K341)=0,"",IF(Config!$C$19="Highest dimension",MAX(H341:K341),ROUND(H341*Config!$C$20+I341*Config!$C$21+J341*Config!$C$22+K341*Config!$C$23,1))))</f>
        <v>2</v>
      </c>
      <c r="M341" s="38" t="n">
        <f aca="false">IF(OR(L341="",G341=""),"",G341*L341)</f>
        <v>6</v>
      </c>
      <c r="N341" s="31" t="n">
        <f aca="false">IF(M341="","",MATCH(M341,Config!$E$5:$E$9,1))</f>
        <v>2</v>
      </c>
      <c r="O341" s="7" t="str">
        <f aca="false">IF(F341="N/A","N/A",IF(N341="","Not assessed",INDEX(Config!$B$5:$B$9,N341)))</f>
        <v>Medium-Low</v>
      </c>
      <c r="P341" s="32" t="n">
        <v>0</v>
      </c>
      <c r="Q341" s="8"/>
      <c r="R341" s="33"/>
      <c r="S341" s="34" t="n">
        <f aca="false">IF(N341="","",IF(AND(R341="Y",P341&lt;&gt;0),MAX(1,MIN(5,N341+MAX(-Config!$C$27,MIN(Config!$C$27,P341)))),N341))</f>
        <v>2</v>
      </c>
      <c r="T341" s="35" t="str">
        <f aca="false">IF(F341="N/A","N/A",IF(S341="","Not assessed",INDEX(Config!$B$5:$B$9,S341)))</f>
        <v>Medium-Low</v>
      </c>
      <c r="U341" s="7" t="str">
        <f aca="false">IF(P341=0,"None",IF(R341="Y","Applied","Pending HO approval"))</f>
        <v>None</v>
      </c>
      <c r="V341" s="8"/>
    </row>
    <row r="342" customFormat="false" ht="15" hidden="false" customHeight="false" outlineLevel="0" collapsed="false">
      <c r="A342" s="26" t="str">
        <f aca="false">Entities!$A$30</f>
        <v>CH</v>
      </c>
      <c r="B342" s="12" t="str">
        <f aca="false">INDEX(Entities!$B$5:$B$34,MATCH(A342,Entities!$A$5:$A$34,0))</f>
        <v>Arab Bank (Switzerland) – sister company</v>
      </c>
      <c r="C342" s="12" t="str">
        <f aca="false">INDEX(Entities!$D$5:$D$34,MATCH(A342,Entities!$A$5:$A$34,0))</f>
        <v>Europe</v>
      </c>
      <c r="D342" s="12" t="s">
        <v>322</v>
      </c>
      <c r="E342" s="12" t="str">
        <f aca="false">INDEX('Risk Taxonomy'!$B$5:$B$24,MATCH(D342,'Risk Taxonomy'!$A$5:$A$24,0))</f>
        <v>Strategic, business model and ESG</v>
      </c>
      <c r="F342" s="7" t="str">
        <f aca="false">IF(D342="RC-04",IF(INDEX(Entities!$G$5:$G$34,MATCH(A342,Entities!$A$5:$A$34,0))="Y","Yes","N/A"),"Yes")</f>
        <v>Yes</v>
      </c>
      <c r="G342" s="24" t="n">
        <v>2</v>
      </c>
      <c r="H342" s="24" t="n">
        <v>2</v>
      </c>
      <c r="I342" s="24" t="n">
        <v>2</v>
      </c>
      <c r="J342" s="24" t="n">
        <v>2</v>
      </c>
      <c r="K342" s="24" t="n">
        <v>2</v>
      </c>
      <c r="L342" s="37" t="n">
        <f aca="false">IF(F342="N/A","",IF(COUNT(H342:K342)=0,"",IF(Config!$C$19="Highest dimension",MAX(H342:K342),ROUND(H342*Config!$C$20+I342*Config!$C$21+J342*Config!$C$22+K342*Config!$C$23,1))))</f>
        <v>2</v>
      </c>
      <c r="M342" s="38" t="n">
        <f aca="false">IF(OR(L342="",G342=""),"",G342*L342)</f>
        <v>4</v>
      </c>
      <c r="N342" s="31" t="n">
        <f aca="false">IF(M342="","",MATCH(M342,Config!$E$5:$E$9,1))</f>
        <v>1</v>
      </c>
      <c r="O342" s="7" t="str">
        <f aca="false">IF(F342="N/A","N/A",IF(N342="","Not assessed",INDEX(Config!$B$5:$B$9,N342)))</f>
        <v>Low</v>
      </c>
      <c r="P342" s="32" t="n">
        <v>0</v>
      </c>
      <c r="Q342" s="8"/>
      <c r="R342" s="33"/>
      <c r="S342" s="34" t="n">
        <f aca="false">IF(N342="","",IF(AND(R342="Y",P342&lt;&gt;0),MAX(1,MIN(5,N342+MAX(-Config!$C$27,MIN(Config!$C$27,P342)))),N342))</f>
        <v>1</v>
      </c>
      <c r="T342" s="35" t="str">
        <f aca="false">IF(F342="N/A","N/A",IF(S342="","Not assessed",INDEX(Config!$B$5:$B$9,S342)))</f>
        <v>Low</v>
      </c>
      <c r="U342" s="7" t="str">
        <f aca="false">IF(P342=0,"None",IF(R342="Y","Applied","Pending HO approval"))</f>
        <v>None</v>
      </c>
      <c r="V342" s="8"/>
    </row>
    <row r="343" customFormat="false" ht="15" hidden="false" customHeight="false" outlineLevel="0" collapsed="false">
      <c r="A343" s="26" t="str">
        <f aca="false">Entities!$A$31</f>
        <v>SG</v>
      </c>
      <c r="B343" s="12" t="str">
        <f aca="false">INDEX(Entities!$B$5:$B$34,MATCH(A343,Entities!$A$5:$A$34,0))</f>
        <v>Arab Bank – Singapore</v>
      </c>
      <c r="C343" s="12" t="str">
        <f aca="false">INDEX(Entities!$D$5:$D$34,MATCH(A343,Entities!$A$5:$A$34,0))</f>
        <v>Asia-Pacific</v>
      </c>
      <c r="D343" s="12" t="s">
        <v>284</v>
      </c>
      <c r="E343" s="12" t="str">
        <f aca="false">INDEX('Risk Taxonomy'!$B$5:$B$24,MATCH(D343,'Risk Taxonomy'!$A$5:$A$24,0))</f>
        <v>Regulatory compliance</v>
      </c>
      <c r="F343" s="7" t="str">
        <f aca="false">IF(D343="RC-04",IF(INDEX(Entities!$G$5:$G$34,MATCH(A343,Entities!$A$5:$A$34,0))="Y","Yes","N/A"),"Yes")</f>
        <v>Yes</v>
      </c>
      <c r="G343" s="24" t="n">
        <v>2</v>
      </c>
      <c r="H343" s="24" t="n">
        <v>2</v>
      </c>
      <c r="I343" s="24" t="n">
        <v>1</v>
      </c>
      <c r="J343" s="24" t="n">
        <v>1</v>
      </c>
      <c r="K343" s="24" t="n">
        <v>3</v>
      </c>
      <c r="L343" s="37" t="n">
        <f aca="false">IF(F343="N/A","",IF(COUNT(H343:K343)=0,"",IF(Config!$C$19="Highest dimension",MAX(H343:K343),ROUND(H343*Config!$C$20+I343*Config!$C$21+J343*Config!$C$22+K343*Config!$C$23,1))))</f>
        <v>3</v>
      </c>
      <c r="M343" s="38" t="n">
        <f aca="false">IF(OR(L343="",G343=""),"",G343*L343)</f>
        <v>6</v>
      </c>
      <c r="N343" s="31" t="n">
        <f aca="false">IF(M343="","",MATCH(M343,Config!$E$5:$E$9,1))</f>
        <v>2</v>
      </c>
      <c r="O343" s="7" t="str">
        <f aca="false">IF(F343="N/A","N/A",IF(N343="","Not assessed",INDEX(Config!$B$5:$B$9,N343)))</f>
        <v>Medium-Low</v>
      </c>
      <c r="P343" s="32" t="n">
        <v>0</v>
      </c>
      <c r="Q343" s="8"/>
      <c r="R343" s="33"/>
      <c r="S343" s="34" t="n">
        <f aca="false">IF(N343="","",IF(AND(R343="Y",P343&lt;&gt;0),MAX(1,MIN(5,N343+MAX(-Config!$C$27,MIN(Config!$C$27,P343)))),N343))</f>
        <v>2</v>
      </c>
      <c r="T343" s="35" t="str">
        <f aca="false">IF(F343="N/A","N/A",IF(S343="","Not assessed",INDEX(Config!$B$5:$B$9,S343)))</f>
        <v>Medium-Low</v>
      </c>
      <c r="U343" s="7" t="str">
        <f aca="false">IF(P343=0,"None",IF(R343="Y","Applied","Pending HO approval"))</f>
        <v>None</v>
      </c>
      <c r="V343" s="8"/>
    </row>
    <row r="344" customFormat="false" ht="15" hidden="false" customHeight="false" outlineLevel="0" collapsed="false">
      <c r="A344" s="26" t="str">
        <f aca="false">Entities!$A$31</f>
        <v>SG</v>
      </c>
      <c r="B344" s="12" t="str">
        <f aca="false">INDEX(Entities!$B$5:$B$34,MATCH(A344,Entities!$A$5:$A$34,0))</f>
        <v>Arab Bank – Singapore</v>
      </c>
      <c r="C344" s="12" t="str">
        <f aca="false">INDEX(Entities!$D$5:$D$34,MATCH(A344,Entities!$A$5:$A$34,0))</f>
        <v>Asia-Pacific</v>
      </c>
      <c r="D344" s="12" t="s">
        <v>288</v>
      </c>
      <c r="E344" s="12" t="str">
        <f aca="false">INDEX('Risk Taxonomy'!$B$5:$B$24,MATCH(D344,'Risk Taxonomy'!$A$5:$A$24,0))</f>
        <v>Conduct and consumer protection</v>
      </c>
      <c r="F344" s="7" t="str">
        <f aca="false">IF(D344="RC-04",IF(INDEX(Entities!$G$5:$G$34,MATCH(A344,Entities!$A$5:$A$34,0))="Y","Yes","N/A"),"Yes")</f>
        <v>Yes</v>
      </c>
      <c r="G344" s="24" t="n">
        <v>2</v>
      </c>
      <c r="H344" s="24" t="n">
        <v>3</v>
      </c>
      <c r="I344" s="24" t="n">
        <v>1</v>
      </c>
      <c r="J344" s="24" t="n">
        <v>3</v>
      </c>
      <c r="K344" s="24" t="n">
        <v>4</v>
      </c>
      <c r="L344" s="37" t="n">
        <f aca="false">IF(F344="N/A","",IF(COUNT(H344:K344)=0,"",IF(Config!$C$19="Highest dimension",MAX(H344:K344),ROUND(H344*Config!$C$20+I344*Config!$C$21+J344*Config!$C$22+K344*Config!$C$23,1))))</f>
        <v>4</v>
      </c>
      <c r="M344" s="38" t="n">
        <f aca="false">IF(OR(L344="",G344=""),"",G344*L344)</f>
        <v>8</v>
      </c>
      <c r="N344" s="31" t="n">
        <f aca="false">IF(M344="","",MATCH(M344,Config!$E$5:$E$9,1))</f>
        <v>2</v>
      </c>
      <c r="O344" s="7" t="str">
        <f aca="false">IF(F344="N/A","N/A",IF(N344="","Not assessed",INDEX(Config!$B$5:$B$9,N344)))</f>
        <v>Medium-Low</v>
      </c>
      <c r="P344" s="32" t="n">
        <v>0</v>
      </c>
      <c r="Q344" s="8"/>
      <c r="R344" s="33"/>
      <c r="S344" s="34" t="n">
        <f aca="false">IF(N344="","",IF(AND(R344="Y",P344&lt;&gt;0),MAX(1,MIN(5,N344+MAX(-Config!$C$27,MIN(Config!$C$27,P344)))),N344))</f>
        <v>2</v>
      </c>
      <c r="T344" s="35" t="str">
        <f aca="false">IF(F344="N/A","N/A",IF(S344="","Not assessed",INDEX(Config!$B$5:$B$9,S344)))</f>
        <v>Medium-Low</v>
      </c>
      <c r="U344" s="7" t="str">
        <f aca="false">IF(P344=0,"None",IF(R344="Y","Applied","Pending HO approval"))</f>
        <v>None</v>
      </c>
      <c r="V344" s="8"/>
    </row>
    <row r="345" customFormat="false" ht="15" hidden="false" customHeight="false" outlineLevel="0" collapsed="false">
      <c r="A345" s="26" t="str">
        <f aca="false">Entities!$A$31</f>
        <v>SG</v>
      </c>
      <c r="B345" s="12" t="str">
        <f aca="false">INDEX(Entities!$B$5:$B$34,MATCH(A345,Entities!$A$5:$A$34,0))</f>
        <v>Arab Bank – Singapore</v>
      </c>
      <c r="C345" s="12" t="str">
        <f aca="false">INDEX(Entities!$D$5:$D$34,MATCH(A345,Entities!$A$5:$A$34,0))</f>
        <v>Asia-Pacific</v>
      </c>
      <c r="D345" s="12" t="s">
        <v>290</v>
      </c>
      <c r="E345" s="12" t="str">
        <f aca="false">INDEX('Risk Taxonomy'!$B$5:$B$24,MATCH(D345,'Risk Taxonomy'!$A$5:$A$24,0))</f>
        <v>Data protection and privacy</v>
      </c>
      <c r="F345" s="7" t="str">
        <f aca="false">IF(D345="RC-04",IF(INDEX(Entities!$G$5:$G$34,MATCH(A345,Entities!$A$5:$A$34,0))="Y","Yes","N/A"),"Yes")</f>
        <v>Yes</v>
      </c>
      <c r="G345" s="24" t="n">
        <v>2</v>
      </c>
      <c r="H345" s="24" t="n">
        <v>3</v>
      </c>
      <c r="I345" s="24" t="n">
        <v>1</v>
      </c>
      <c r="J345" s="24" t="n">
        <v>2</v>
      </c>
      <c r="K345" s="24" t="n">
        <v>1</v>
      </c>
      <c r="L345" s="37" t="n">
        <f aca="false">IF(F345="N/A","",IF(COUNT(H345:K345)=0,"",IF(Config!$C$19="Highest dimension",MAX(H345:K345),ROUND(H345*Config!$C$20+I345*Config!$C$21+J345*Config!$C$22+K345*Config!$C$23,1))))</f>
        <v>3</v>
      </c>
      <c r="M345" s="38" t="n">
        <f aca="false">IF(OR(L345="",G345=""),"",G345*L345)</f>
        <v>6</v>
      </c>
      <c r="N345" s="31" t="n">
        <f aca="false">IF(M345="","",MATCH(M345,Config!$E$5:$E$9,1))</f>
        <v>2</v>
      </c>
      <c r="O345" s="7" t="str">
        <f aca="false">IF(F345="N/A","N/A",IF(N345="","Not assessed",INDEX(Config!$B$5:$B$9,N345)))</f>
        <v>Medium-Low</v>
      </c>
      <c r="P345" s="32" t="n">
        <v>0</v>
      </c>
      <c r="Q345" s="8"/>
      <c r="R345" s="33"/>
      <c r="S345" s="34" t="n">
        <f aca="false">IF(N345="","",IF(AND(R345="Y",P345&lt;&gt;0),MAX(1,MIN(5,N345+MAX(-Config!$C$27,MIN(Config!$C$27,P345)))),N345))</f>
        <v>2</v>
      </c>
      <c r="T345" s="35" t="str">
        <f aca="false">IF(F345="N/A","N/A",IF(S345="","Not assessed",INDEX(Config!$B$5:$B$9,S345)))</f>
        <v>Medium-Low</v>
      </c>
      <c r="U345" s="7" t="str">
        <f aca="false">IF(P345=0,"None",IF(R345="Y","Applied","Pending HO approval"))</f>
        <v>None</v>
      </c>
      <c r="V345" s="8"/>
    </row>
    <row r="346" customFormat="false" ht="15" hidden="false" customHeight="false" outlineLevel="0" collapsed="false">
      <c r="A346" s="26" t="str">
        <f aca="false">Entities!$A$31</f>
        <v>SG</v>
      </c>
      <c r="B346" s="12" t="str">
        <f aca="false">INDEX(Entities!$B$5:$B$34,MATCH(A346,Entities!$A$5:$A$34,0))</f>
        <v>Arab Bank – Singapore</v>
      </c>
      <c r="C346" s="12" t="str">
        <f aca="false">INDEX(Entities!$D$5:$D$34,MATCH(A346,Entities!$A$5:$A$34,0))</f>
        <v>Asia-Pacific</v>
      </c>
      <c r="D346" s="12" t="s">
        <v>293</v>
      </c>
      <c r="E346" s="12" t="str">
        <f aca="false">INDEX('Risk Taxonomy'!$B$5:$B$24,MATCH(D346,'Risk Taxonomy'!$A$5:$A$24,0))</f>
        <v>Shariah non-compliance</v>
      </c>
      <c r="F346" s="7" t="str">
        <f aca="false">IF(D346="RC-04",IF(INDEX(Entities!$G$5:$G$34,MATCH(A346,Entities!$A$5:$A$34,0))="Y","Yes","N/A"),"Yes")</f>
        <v>N/A</v>
      </c>
      <c r="G346" s="24"/>
      <c r="H346" s="24"/>
      <c r="I346" s="24"/>
      <c r="J346" s="24"/>
      <c r="K346" s="24"/>
      <c r="L346" s="37" t="str">
        <f aca="false">IF(F346="N/A","",IF(COUNT(H346:K346)=0,"",IF(Config!$C$19="Highest dimension",MAX(H346:K346),ROUND(H346*Config!$C$20+I346*Config!$C$21+J346*Config!$C$22+K346*Config!$C$23,1))))</f>
        <v/>
      </c>
      <c r="M346" s="38" t="str">
        <f aca="false">IF(OR(L346="",G346=""),"",G346*L346)</f>
        <v/>
      </c>
      <c r="N346" s="31" t="str">
        <f aca="false">IF(M346="","",MATCH(M346,Config!$E$5:$E$9,1))</f>
        <v/>
      </c>
      <c r="O346" s="7" t="str">
        <f aca="false">IF(F346="N/A","N/A",IF(N346="","Not assessed",INDEX(Config!$B$5:$B$9,N346)))</f>
        <v>N/A</v>
      </c>
      <c r="P346" s="32" t="n">
        <v>0</v>
      </c>
      <c r="Q346" s="8"/>
      <c r="R346" s="33"/>
      <c r="S346" s="34" t="str">
        <f aca="false">IF(N346="","",IF(AND(R346="Y",P346&lt;&gt;0),MAX(1,MIN(5,N346+MAX(-Config!$C$27,MIN(Config!$C$27,P346)))),N346))</f>
        <v/>
      </c>
      <c r="T346" s="35" t="str">
        <f aca="false">IF(F346="N/A","N/A",IF(S346="","Not assessed",INDEX(Config!$B$5:$B$9,S346)))</f>
        <v>N/A</v>
      </c>
      <c r="U346" s="7" t="str">
        <f aca="false">IF(P346=0,"None",IF(R346="Y","Applied","Pending HO approval"))</f>
        <v>None</v>
      </c>
      <c r="V346" s="8"/>
    </row>
    <row r="347" customFormat="false" ht="15" hidden="false" customHeight="false" outlineLevel="0" collapsed="false">
      <c r="A347" s="26" t="str">
        <f aca="false">Entities!$A$31</f>
        <v>SG</v>
      </c>
      <c r="B347" s="12" t="str">
        <f aca="false">INDEX(Entities!$B$5:$B$34,MATCH(A347,Entities!$A$5:$A$34,0))</f>
        <v>Arab Bank – Singapore</v>
      </c>
      <c r="C347" s="12" t="str">
        <f aca="false">INDEX(Entities!$D$5:$D$34,MATCH(A347,Entities!$A$5:$A$34,0))</f>
        <v>Asia-Pacific</v>
      </c>
      <c r="D347" s="12" t="s">
        <v>297</v>
      </c>
      <c r="E347" s="12" t="str">
        <f aca="false">INDEX('Risk Taxonomy'!$B$5:$B$24,MATCH(D347,'Risk Taxonomy'!$A$5:$A$24,0))</f>
        <v>Credit risk</v>
      </c>
      <c r="F347" s="7" t="str">
        <f aca="false">IF(D347="RC-04",IF(INDEX(Entities!$G$5:$G$34,MATCH(A347,Entities!$A$5:$A$34,0))="Y","Yes","N/A"),"Yes")</f>
        <v>Yes</v>
      </c>
      <c r="G347" s="24" t="n">
        <v>2</v>
      </c>
      <c r="H347" s="24" t="n">
        <v>1</v>
      </c>
      <c r="I347" s="24" t="n">
        <v>3</v>
      </c>
      <c r="J347" s="24" t="n">
        <v>4</v>
      </c>
      <c r="K347" s="24" t="n">
        <v>2</v>
      </c>
      <c r="L347" s="37" t="n">
        <f aca="false">IF(F347="N/A","",IF(COUNT(H347:K347)=0,"",IF(Config!$C$19="Highest dimension",MAX(H347:K347),ROUND(H347*Config!$C$20+I347*Config!$C$21+J347*Config!$C$22+K347*Config!$C$23,1))))</f>
        <v>4</v>
      </c>
      <c r="M347" s="38" t="n">
        <f aca="false">IF(OR(L347="",G347=""),"",G347*L347)</f>
        <v>8</v>
      </c>
      <c r="N347" s="31" t="n">
        <f aca="false">IF(M347="","",MATCH(M347,Config!$E$5:$E$9,1))</f>
        <v>2</v>
      </c>
      <c r="O347" s="7" t="str">
        <f aca="false">IF(F347="N/A","N/A",IF(N347="","Not assessed",INDEX(Config!$B$5:$B$9,N347)))</f>
        <v>Medium-Low</v>
      </c>
      <c r="P347" s="32" t="n">
        <v>0</v>
      </c>
      <c r="Q347" s="8"/>
      <c r="R347" s="33"/>
      <c r="S347" s="34" t="n">
        <f aca="false">IF(N347="","",IF(AND(R347="Y",P347&lt;&gt;0),MAX(1,MIN(5,N347+MAX(-Config!$C$27,MIN(Config!$C$27,P347)))),N347))</f>
        <v>2</v>
      </c>
      <c r="T347" s="35" t="str">
        <f aca="false">IF(F347="N/A","N/A",IF(S347="","Not assessed",INDEX(Config!$B$5:$B$9,S347)))</f>
        <v>Medium-Low</v>
      </c>
      <c r="U347" s="7" t="str">
        <f aca="false">IF(P347=0,"None",IF(R347="Y","Applied","Pending HO approval"))</f>
        <v>None</v>
      </c>
      <c r="V347" s="8"/>
    </row>
    <row r="348" customFormat="false" ht="15" hidden="false" customHeight="false" outlineLevel="0" collapsed="false">
      <c r="A348" s="26" t="str">
        <f aca="false">Entities!$A$31</f>
        <v>SG</v>
      </c>
      <c r="B348" s="12" t="str">
        <f aca="false">INDEX(Entities!$B$5:$B$34,MATCH(A348,Entities!$A$5:$A$34,0))</f>
        <v>Arab Bank – Singapore</v>
      </c>
      <c r="C348" s="12" t="str">
        <f aca="false">INDEX(Entities!$D$5:$D$34,MATCH(A348,Entities!$A$5:$A$34,0))</f>
        <v>Asia-Pacific</v>
      </c>
      <c r="D348" s="12" t="s">
        <v>302</v>
      </c>
      <c r="E348" s="12" t="str">
        <f aca="false">INDEX('Risk Taxonomy'!$B$5:$B$24,MATCH(D348,'Risk Taxonomy'!$A$5:$A$24,0))</f>
        <v>Market risk</v>
      </c>
      <c r="F348" s="7" t="str">
        <f aca="false">IF(D348="RC-04",IF(INDEX(Entities!$G$5:$G$34,MATCH(A348,Entities!$A$5:$A$34,0))="Y","Yes","N/A"),"Yes")</f>
        <v>Yes</v>
      </c>
      <c r="G348" s="24" t="n">
        <v>3</v>
      </c>
      <c r="H348" s="24" t="n">
        <v>2</v>
      </c>
      <c r="I348" s="24" t="n">
        <v>2</v>
      </c>
      <c r="J348" s="24" t="n">
        <v>2</v>
      </c>
      <c r="K348" s="24" t="n">
        <v>3</v>
      </c>
      <c r="L348" s="37" t="n">
        <f aca="false">IF(F348="N/A","",IF(COUNT(H348:K348)=0,"",IF(Config!$C$19="Highest dimension",MAX(H348:K348),ROUND(H348*Config!$C$20+I348*Config!$C$21+J348*Config!$C$22+K348*Config!$C$23,1))))</f>
        <v>3</v>
      </c>
      <c r="M348" s="38" t="n">
        <f aca="false">IF(OR(L348="",G348=""),"",G348*L348)</f>
        <v>9</v>
      </c>
      <c r="N348" s="31" t="n">
        <f aca="false">IF(M348="","",MATCH(M348,Config!$E$5:$E$9,1))</f>
        <v>3</v>
      </c>
      <c r="O348" s="7" t="str">
        <f aca="false">IF(F348="N/A","N/A",IF(N348="","Not assessed",INDEX(Config!$B$5:$B$9,N348)))</f>
        <v>Medium</v>
      </c>
      <c r="P348" s="32" t="n">
        <v>0</v>
      </c>
      <c r="Q348" s="8"/>
      <c r="R348" s="33"/>
      <c r="S348" s="34" t="n">
        <f aca="false">IF(N348="","",IF(AND(R348="Y",P348&lt;&gt;0),MAX(1,MIN(5,N348+MAX(-Config!$C$27,MIN(Config!$C$27,P348)))),N348))</f>
        <v>3</v>
      </c>
      <c r="T348" s="35" t="str">
        <f aca="false">IF(F348="N/A","N/A",IF(S348="","Not assessed",INDEX(Config!$B$5:$B$9,S348)))</f>
        <v>Medium</v>
      </c>
      <c r="U348" s="7" t="str">
        <f aca="false">IF(P348=0,"None",IF(R348="Y","Applied","Pending HO approval"))</f>
        <v>None</v>
      </c>
      <c r="V348" s="8"/>
    </row>
    <row r="349" customFormat="false" ht="15" hidden="false" customHeight="false" outlineLevel="0" collapsed="false">
      <c r="A349" s="26" t="str">
        <f aca="false">Entities!$A$31</f>
        <v>SG</v>
      </c>
      <c r="B349" s="12" t="str">
        <f aca="false">INDEX(Entities!$B$5:$B$34,MATCH(A349,Entities!$A$5:$A$34,0))</f>
        <v>Arab Bank – Singapore</v>
      </c>
      <c r="C349" s="12" t="str">
        <f aca="false">INDEX(Entities!$D$5:$D$34,MATCH(A349,Entities!$A$5:$A$34,0))</f>
        <v>Asia-Pacific</v>
      </c>
      <c r="D349" s="12" t="s">
        <v>304</v>
      </c>
      <c r="E349" s="12" t="str">
        <f aca="false">INDEX('Risk Taxonomy'!$B$5:$B$24,MATCH(D349,'Risk Taxonomy'!$A$5:$A$24,0))</f>
        <v>Liquidity and funding risk</v>
      </c>
      <c r="F349" s="7" t="str">
        <f aca="false">IF(D349="RC-04",IF(INDEX(Entities!$G$5:$G$34,MATCH(A349,Entities!$A$5:$A$34,0))="Y","Yes","N/A"),"Yes")</f>
        <v>Yes</v>
      </c>
      <c r="G349" s="24" t="n">
        <v>2</v>
      </c>
      <c r="H349" s="24" t="n">
        <v>3</v>
      </c>
      <c r="I349" s="24" t="n">
        <v>4</v>
      </c>
      <c r="J349" s="24" t="n">
        <v>3</v>
      </c>
      <c r="K349" s="24" t="n">
        <v>4</v>
      </c>
      <c r="L349" s="37" t="n">
        <f aca="false">IF(F349="N/A","",IF(COUNT(H349:K349)=0,"",IF(Config!$C$19="Highest dimension",MAX(H349:K349),ROUND(H349*Config!$C$20+I349*Config!$C$21+J349*Config!$C$22+K349*Config!$C$23,1))))</f>
        <v>4</v>
      </c>
      <c r="M349" s="38" t="n">
        <f aca="false">IF(OR(L349="",G349=""),"",G349*L349)</f>
        <v>8</v>
      </c>
      <c r="N349" s="31" t="n">
        <f aca="false">IF(M349="","",MATCH(M349,Config!$E$5:$E$9,1))</f>
        <v>2</v>
      </c>
      <c r="O349" s="7" t="str">
        <f aca="false">IF(F349="N/A","N/A",IF(N349="","Not assessed",INDEX(Config!$B$5:$B$9,N349)))</f>
        <v>Medium-Low</v>
      </c>
      <c r="P349" s="32" t="n">
        <v>0</v>
      </c>
      <c r="Q349" s="8"/>
      <c r="R349" s="33"/>
      <c r="S349" s="34" t="n">
        <f aca="false">IF(N349="","",IF(AND(R349="Y",P349&lt;&gt;0),MAX(1,MIN(5,N349+MAX(-Config!$C$27,MIN(Config!$C$27,P349)))),N349))</f>
        <v>2</v>
      </c>
      <c r="T349" s="35" t="str">
        <f aca="false">IF(F349="N/A","N/A",IF(S349="","Not assessed",INDEX(Config!$B$5:$B$9,S349)))</f>
        <v>Medium-Low</v>
      </c>
      <c r="U349" s="7" t="str">
        <f aca="false">IF(P349=0,"None",IF(R349="Y","Applied","Pending HO approval"))</f>
        <v>None</v>
      </c>
      <c r="V349" s="8"/>
    </row>
    <row r="350" customFormat="false" ht="15" hidden="false" customHeight="false" outlineLevel="0" collapsed="false">
      <c r="A350" s="26" t="str">
        <f aca="false">Entities!$A$31</f>
        <v>SG</v>
      </c>
      <c r="B350" s="12" t="str">
        <f aca="false">INDEX(Entities!$B$5:$B$34,MATCH(A350,Entities!$A$5:$A$34,0))</f>
        <v>Arab Bank – Singapore</v>
      </c>
      <c r="C350" s="12" t="str">
        <f aca="false">INDEX(Entities!$D$5:$D$34,MATCH(A350,Entities!$A$5:$A$34,0))</f>
        <v>Asia-Pacific</v>
      </c>
      <c r="D350" s="12" t="s">
        <v>307</v>
      </c>
      <c r="E350" s="12" t="str">
        <f aca="false">INDEX('Risk Taxonomy'!$B$5:$B$24,MATCH(D350,'Risk Taxonomy'!$A$5:$A$24,0))</f>
        <v>Operational risk</v>
      </c>
      <c r="F350" s="7" t="str">
        <f aca="false">IF(D350="RC-04",IF(INDEX(Entities!$G$5:$G$34,MATCH(A350,Entities!$A$5:$A$34,0))="Y","Yes","N/A"),"Yes")</f>
        <v>Yes</v>
      </c>
      <c r="G350" s="24" t="n">
        <v>2</v>
      </c>
      <c r="H350" s="24" t="n">
        <v>2</v>
      </c>
      <c r="I350" s="24" t="n">
        <v>1</v>
      </c>
      <c r="J350" s="24" t="n">
        <v>3</v>
      </c>
      <c r="K350" s="24" t="n">
        <v>3</v>
      </c>
      <c r="L350" s="37" t="n">
        <f aca="false">IF(F350="N/A","",IF(COUNT(H350:K350)=0,"",IF(Config!$C$19="Highest dimension",MAX(H350:K350),ROUND(H350*Config!$C$20+I350*Config!$C$21+J350*Config!$C$22+K350*Config!$C$23,1))))</f>
        <v>3</v>
      </c>
      <c r="M350" s="38" t="n">
        <f aca="false">IF(OR(L350="",G350=""),"",G350*L350)</f>
        <v>6</v>
      </c>
      <c r="N350" s="31" t="n">
        <f aca="false">IF(M350="","",MATCH(M350,Config!$E$5:$E$9,1))</f>
        <v>2</v>
      </c>
      <c r="O350" s="7" t="str">
        <f aca="false">IF(F350="N/A","N/A",IF(N350="","Not assessed",INDEX(Config!$B$5:$B$9,N350)))</f>
        <v>Medium-Low</v>
      </c>
      <c r="P350" s="32" t="n">
        <v>0</v>
      </c>
      <c r="Q350" s="8"/>
      <c r="R350" s="33"/>
      <c r="S350" s="34" t="n">
        <f aca="false">IF(N350="","",IF(AND(R350="Y",P350&lt;&gt;0),MAX(1,MIN(5,N350+MAX(-Config!$C$27,MIN(Config!$C$27,P350)))),N350))</f>
        <v>2</v>
      </c>
      <c r="T350" s="35" t="str">
        <f aca="false">IF(F350="N/A","N/A",IF(S350="","Not assessed",INDEX(Config!$B$5:$B$9,S350)))</f>
        <v>Medium-Low</v>
      </c>
      <c r="U350" s="7" t="str">
        <f aca="false">IF(P350=0,"None",IF(R350="Y","Applied","Pending HO approval"))</f>
        <v>None</v>
      </c>
      <c r="V350" s="8"/>
    </row>
    <row r="351" customFormat="false" ht="15" hidden="false" customHeight="false" outlineLevel="0" collapsed="false">
      <c r="A351" s="26" t="str">
        <f aca="false">Entities!$A$31</f>
        <v>SG</v>
      </c>
      <c r="B351" s="12" t="str">
        <f aca="false">INDEX(Entities!$B$5:$B$34,MATCH(A351,Entities!$A$5:$A$34,0))</f>
        <v>Arab Bank – Singapore</v>
      </c>
      <c r="C351" s="12" t="str">
        <f aca="false">INDEX(Entities!$D$5:$D$34,MATCH(A351,Entities!$A$5:$A$34,0))</f>
        <v>Asia-Pacific</v>
      </c>
      <c r="D351" s="12" t="s">
        <v>310</v>
      </c>
      <c r="E351" s="12" t="str">
        <f aca="false">INDEX('Risk Taxonomy'!$B$5:$B$24,MATCH(D351,'Risk Taxonomy'!$A$5:$A$24,0))</f>
        <v>Cyber, information security and technology</v>
      </c>
      <c r="F351" s="7" t="str">
        <f aca="false">IF(D351="RC-04",IF(INDEX(Entities!$G$5:$G$34,MATCH(A351,Entities!$A$5:$A$34,0))="Y","Yes","N/A"),"Yes")</f>
        <v>Yes</v>
      </c>
      <c r="G351" s="24" t="n">
        <v>3</v>
      </c>
      <c r="H351" s="24" t="n">
        <v>3</v>
      </c>
      <c r="I351" s="24" t="n">
        <v>2</v>
      </c>
      <c r="J351" s="24" t="n">
        <v>1</v>
      </c>
      <c r="K351" s="24" t="n">
        <v>2</v>
      </c>
      <c r="L351" s="37" t="n">
        <f aca="false">IF(F351="N/A","",IF(COUNT(H351:K351)=0,"",IF(Config!$C$19="Highest dimension",MAX(H351:K351),ROUND(H351*Config!$C$20+I351*Config!$C$21+J351*Config!$C$22+K351*Config!$C$23,1))))</f>
        <v>3</v>
      </c>
      <c r="M351" s="38" t="n">
        <f aca="false">IF(OR(L351="",G351=""),"",G351*L351)</f>
        <v>9</v>
      </c>
      <c r="N351" s="31" t="n">
        <f aca="false">IF(M351="","",MATCH(M351,Config!$E$5:$E$9,1))</f>
        <v>3</v>
      </c>
      <c r="O351" s="7" t="str">
        <f aca="false">IF(F351="N/A","N/A",IF(N351="","Not assessed",INDEX(Config!$B$5:$B$9,N351)))</f>
        <v>Medium</v>
      </c>
      <c r="P351" s="32" t="n">
        <v>0</v>
      </c>
      <c r="Q351" s="8"/>
      <c r="R351" s="33"/>
      <c r="S351" s="34" t="n">
        <f aca="false">IF(N351="","",IF(AND(R351="Y",P351&lt;&gt;0),MAX(1,MIN(5,N351+MAX(-Config!$C$27,MIN(Config!$C$27,P351)))),N351))</f>
        <v>3</v>
      </c>
      <c r="T351" s="35" t="str">
        <f aca="false">IF(F351="N/A","N/A",IF(S351="","Not assessed",INDEX(Config!$B$5:$B$9,S351)))</f>
        <v>Medium</v>
      </c>
      <c r="U351" s="7" t="str">
        <f aca="false">IF(P351=0,"None",IF(R351="Y","Applied","Pending HO approval"))</f>
        <v>None</v>
      </c>
      <c r="V351" s="8"/>
    </row>
    <row r="352" customFormat="false" ht="15" hidden="false" customHeight="false" outlineLevel="0" collapsed="false">
      <c r="A352" s="26" t="str">
        <f aca="false">Entities!$A$31</f>
        <v>SG</v>
      </c>
      <c r="B352" s="12" t="str">
        <f aca="false">INDEX(Entities!$B$5:$B$34,MATCH(A352,Entities!$A$5:$A$34,0))</f>
        <v>Arab Bank – Singapore</v>
      </c>
      <c r="C352" s="12" t="str">
        <f aca="false">INDEX(Entities!$D$5:$D$34,MATCH(A352,Entities!$A$5:$A$34,0))</f>
        <v>Asia-Pacific</v>
      </c>
      <c r="D352" s="12" t="s">
        <v>313</v>
      </c>
      <c r="E352" s="12" t="str">
        <f aca="false">INDEX('Risk Taxonomy'!$B$5:$B$24,MATCH(D352,'Risk Taxonomy'!$A$5:$A$24,0))</f>
        <v>Third-party and outsourcing</v>
      </c>
      <c r="F352" s="7" t="str">
        <f aca="false">IF(D352="RC-04",IF(INDEX(Entities!$G$5:$G$34,MATCH(A352,Entities!$A$5:$A$34,0))="Y","Yes","N/A"),"Yes")</f>
        <v>Yes</v>
      </c>
      <c r="G352" s="24" t="n">
        <v>1</v>
      </c>
      <c r="H352" s="24" t="n">
        <v>2</v>
      </c>
      <c r="I352" s="24" t="n">
        <v>2</v>
      </c>
      <c r="J352" s="24" t="n">
        <v>1</v>
      </c>
      <c r="K352" s="24" t="n">
        <v>1</v>
      </c>
      <c r="L352" s="37" t="n">
        <f aca="false">IF(F352="N/A","",IF(COUNT(H352:K352)=0,"",IF(Config!$C$19="Highest dimension",MAX(H352:K352),ROUND(H352*Config!$C$20+I352*Config!$C$21+J352*Config!$C$22+K352*Config!$C$23,1))))</f>
        <v>2</v>
      </c>
      <c r="M352" s="38" t="n">
        <f aca="false">IF(OR(L352="",G352=""),"",G352*L352)</f>
        <v>2</v>
      </c>
      <c r="N352" s="31" t="n">
        <f aca="false">IF(M352="","",MATCH(M352,Config!$E$5:$E$9,1))</f>
        <v>1</v>
      </c>
      <c r="O352" s="7" t="str">
        <f aca="false">IF(F352="N/A","N/A",IF(N352="","Not assessed",INDEX(Config!$B$5:$B$9,N352)))</f>
        <v>Low</v>
      </c>
      <c r="P352" s="32" t="n">
        <v>0</v>
      </c>
      <c r="Q352" s="8"/>
      <c r="R352" s="33"/>
      <c r="S352" s="34" t="n">
        <f aca="false">IF(N352="","",IF(AND(R352="Y",P352&lt;&gt;0),MAX(1,MIN(5,N352+MAX(-Config!$C$27,MIN(Config!$C$27,P352)))),N352))</f>
        <v>1</v>
      </c>
      <c r="T352" s="35" t="str">
        <f aca="false">IF(F352="N/A","N/A",IF(S352="","Not assessed",INDEX(Config!$B$5:$B$9,S352)))</f>
        <v>Low</v>
      </c>
      <c r="U352" s="7" t="str">
        <f aca="false">IF(P352=0,"None",IF(R352="Y","Applied","Pending HO approval"))</f>
        <v>None</v>
      </c>
      <c r="V352" s="8"/>
    </row>
    <row r="353" customFormat="false" ht="15" hidden="false" customHeight="false" outlineLevel="0" collapsed="false">
      <c r="A353" s="26" t="str">
        <f aca="false">Entities!$A$31</f>
        <v>SG</v>
      </c>
      <c r="B353" s="12" t="str">
        <f aca="false">INDEX(Entities!$B$5:$B$34,MATCH(A353,Entities!$A$5:$A$34,0))</f>
        <v>Arab Bank – Singapore</v>
      </c>
      <c r="C353" s="12" t="str">
        <f aca="false">INDEX(Entities!$D$5:$D$34,MATCH(A353,Entities!$A$5:$A$34,0))</f>
        <v>Asia-Pacific</v>
      </c>
      <c r="D353" s="12" t="s">
        <v>316</v>
      </c>
      <c r="E353" s="12" t="str">
        <f aca="false">INDEX('Risk Taxonomy'!$B$5:$B$24,MATCH(D353,'Risk Taxonomy'!$A$5:$A$24,0))</f>
        <v>Legal and litigation</v>
      </c>
      <c r="F353" s="7" t="str">
        <f aca="false">IF(D353="RC-04",IF(INDEX(Entities!$G$5:$G$34,MATCH(A353,Entities!$A$5:$A$34,0))="Y","Yes","N/A"),"Yes")</f>
        <v>Yes</v>
      </c>
      <c r="G353" s="24" t="n">
        <v>2</v>
      </c>
      <c r="H353" s="24" t="n">
        <v>3</v>
      </c>
      <c r="I353" s="24" t="n">
        <v>3</v>
      </c>
      <c r="J353" s="24" t="n">
        <v>4</v>
      </c>
      <c r="K353" s="24" t="n">
        <v>3</v>
      </c>
      <c r="L353" s="37" t="n">
        <f aca="false">IF(F353="N/A","",IF(COUNT(H353:K353)=0,"",IF(Config!$C$19="Highest dimension",MAX(H353:K353),ROUND(H353*Config!$C$20+I353*Config!$C$21+J353*Config!$C$22+K353*Config!$C$23,1))))</f>
        <v>4</v>
      </c>
      <c r="M353" s="38" t="n">
        <f aca="false">IF(OR(L353="",G353=""),"",G353*L353)</f>
        <v>8</v>
      </c>
      <c r="N353" s="31" t="n">
        <f aca="false">IF(M353="","",MATCH(M353,Config!$E$5:$E$9,1))</f>
        <v>2</v>
      </c>
      <c r="O353" s="7" t="str">
        <f aca="false">IF(F353="N/A","N/A",IF(N353="","Not assessed",INDEX(Config!$B$5:$B$9,N353)))</f>
        <v>Medium-Low</v>
      </c>
      <c r="P353" s="32" t="n">
        <v>0</v>
      </c>
      <c r="Q353" s="8"/>
      <c r="R353" s="33"/>
      <c r="S353" s="34" t="n">
        <f aca="false">IF(N353="","",IF(AND(R353="Y",P353&lt;&gt;0),MAX(1,MIN(5,N353+MAX(-Config!$C$27,MIN(Config!$C$27,P353)))),N353))</f>
        <v>2</v>
      </c>
      <c r="T353" s="35" t="str">
        <f aca="false">IF(F353="N/A","N/A",IF(S353="","Not assessed",INDEX(Config!$B$5:$B$9,S353)))</f>
        <v>Medium-Low</v>
      </c>
      <c r="U353" s="7" t="str">
        <f aca="false">IF(P353=0,"None",IF(R353="Y","Applied","Pending HO approval"))</f>
        <v>None</v>
      </c>
      <c r="V353" s="8"/>
    </row>
    <row r="354" customFormat="false" ht="15" hidden="false" customHeight="false" outlineLevel="0" collapsed="false">
      <c r="A354" s="26" t="str">
        <f aca="false">Entities!$A$31</f>
        <v>SG</v>
      </c>
      <c r="B354" s="12" t="str">
        <f aca="false">INDEX(Entities!$B$5:$B$34,MATCH(A354,Entities!$A$5:$A$34,0))</f>
        <v>Arab Bank – Singapore</v>
      </c>
      <c r="C354" s="12" t="str">
        <f aca="false">INDEX(Entities!$D$5:$D$34,MATCH(A354,Entities!$A$5:$A$34,0))</f>
        <v>Asia-Pacific</v>
      </c>
      <c r="D354" s="12" t="s">
        <v>319</v>
      </c>
      <c r="E354" s="12" t="str">
        <f aca="false">INDEX('Risk Taxonomy'!$B$5:$B$24,MATCH(D354,'Risk Taxonomy'!$A$5:$A$24,0))</f>
        <v>Reputational</v>
      </c>
      <c r="F354" s="7" t="str">
        <f aca="false">IF(D354="RC-04",IF(INDEX(Entities!$G$5:$G$34,MATCH(A354,Entities!$A$5:$A$34,0))="Y","Yes","N/A"),"Yes")</f>
        <v>Yes</v>
      </c>
      <c r="G354" s="24" t="n">
        <v>2</v>
      </c>
      <c r="H354" s="24" t="n">
        <v>1</v>
      </c>
      <c r="I354" s="24" t="n">
        <v>4</v>
      </c>
      <c r="J354" s="24" t="n">
        <v>1</v>
      </c>
      <c r="K354" s="24" t="n">
        <v>3</v>
      </c>
      <c r="L354" s="37" t="n">
        <f aca="false">IF(F354="N/A","",IF(COUNT(H354:K354)=0,"",IF(Config!$C$19="Highest dimension",MAX(H354:K354),ROUND(H354*Config!$C$20+I354*Config!$C$21+J354*Config!$C$22+K354*Config!$C$23,1))))</f>
        <v>4</v>
      </c>
      <c r="M354" s="38" t="n">
        <f aca="false">IF(OR(L354="",G354=""),"",G354*L354)</f>
        <v>8</v>
      </c>
      <c r="N354" s="31" t="n">
        <f aca="false">IF(M354="","",MATCH(M354,Config!$E$5:$E$9,1))</f>
        <v>2</v>
      </c>
      <c r="O354" s="7" t="str">
        <f aca="false">IF(F354="N/A","N/A",IF(N354="","Not assessed",INDEX(Config!$B$5:$B$9,N354)))</f>
        <v>Medium-Low</v>
      </c>
      <c r="P354" s="32" t="n">
        <v>0</v>
      </c>
      <c r="Q354" s="8"/>
      <c r="R354" s="33"/>
      <c r="S354" s="34" t="n">
        <f aca="false">IF(N354="","",IF(AND(R354="Y",P354&lt;&gt;0),MAX(1,MIN(5,N354+MAX(-Config!$C$27,MIN(Config!$C$27,P354)))),N354))</f>
        <v>2</v>
      </c>
      <c r="T354" s="35" t="str">
        <f aca="false">IF(F354="N/A","N/A",IF(S354="","Not assessed",INDEX(Config!$B$5:$B$9,S354)))</f>
        <v>Medium-Low</v>
      </c>
      <c r="U354" s="7" t="str">
        <f aca="false">IF(P354=0,"None",IF(R354="Y","Applied","Pending HO approval"))</f>
        <v>None</v>
      </c>
      <c r="V354" s="8"/>
    </row>
    <row r="355" customFormat="false" ht="15" hidden="false" customHeight="false" outlineLevel="0" collapsed="false">
      <c r="A355" s="26" t="str">
        <f aca="false">Entities!$A$31</f>
        <v>SG</v>
      </c>
      <c r="B355" s="12" t="str">
        <f aca="false">INDEX(Entities!$B$5:$B$34,MATCH(A355,Entities!$A$5:$A$34,0))</f>
        <v>Arab Bank – Singapore</v>
      </c>
      <c r="C355" s="12" t="str">
        <f aca="false">INDEX(Entities!$D$5:$D$34,MATCH(A355,Entities!$A$5:$A$34,0))</f>
        <v>Asia-Pacific</v>
      </c>
      <c r="D355" s="12" t="s">
        <v>322</v>
      </c>
      <c r="E355" s="12" t="str">
        <f aca="false">INDEX('Risk Taxonomy'!$B$5:$B$24,MATCH(D355,'Risk Taxonomy'!$A$5:$A$24,0))</f>
        <v>Strategic, business model and ESG</v>
      </c>
      <c r="F355" s="7" t="str">
        <f aca="false">IF(D355="RC-04",IF(INDEX(Entities!$G$5:$G$34,MATCH(A355,Entities!$A$5:$A$34,0))="Y","Yes","N/A"),"Yes")</f>
        <v>Yes</v>
      </c>
      <c r="G355" s="24" t="n">
        <v>2</v>
      </c>
      <c r="H355" s="24" t="n">
        <v>3</v>
      </c>
      <c r="I355" s="24" t="n">
        <v>3</v>
      </c>
      <c r="J355" s="24" t="n">
        <v>3</v>
      </c>
      <c r="K355" s="24" t="n">
        <v>2</v>
      </c>
      <c r="L355" s="37" t="n">
        <f aca="false">IF(F355="N/A","",IF(COUNT(H355:K355)=0,"",IF(Config!$C$19="Highest dimension",MAX(H355:K355),ROUND(H355*Config!$C$20+I355*Config!$C$21+J355*Config!$C$22+K355*Config!$C$23,1))))</f>
        <v>3</v>
      </c>
      <c r="M355" s="38" t="n">
        <f aca="false">IF(OR(L355="",G355=""),"",G355*L355)</f>
        <v>6</v>
      </c>
      <c r="N355" s="31" t="n">
        <f aca="false">IF(M355="","",MATCH(M355,Config!$E$5:$E$9,1))</f>
        <v>2</v>
      </c>
      <c r="O355" s="7" t="str">
        <f aca="false">IF(F355="N/A","N/A",IF(N355="","Not assessed",INDEX(Config!$B$5:$B$9,N355)))</f>
        <v>Medium-Low</v>
      </c>
      <c r="P355" s="32" t="n">
        <v>0</v>
      </c>
      <c r="Q355" s="8"/>
      <c r="R355" s="33"/>
      <c r="S355" s="34" t="n">
        <f aca="false">IF(N355="","",IF(AND(R355="Y",P355&lt;&gt;0),MAX(1,MIN(5,N355+MAX(-Config!$C$27,MIN(Config!$C$27,P355)))),N355))</f>
        <v>2</v>
      </c>
      <c r="T355" s="35" t="str">
        <f aca="false">IF(F355="N/A","N/A",IF(S355="","Not assessed",INDEX(Config!$B$5:$B$9,S355)))</f>
        <v>Medium-Low</v>
      </c>
      <c r="U355" s="7" t="str">
        <f aca="false">IF(P355=0,"None",IF(R355="Y","Applied","Pending HO approval"))</f>
        <v>None</v>
      </c>
      <c r="V355" s="8"/>
    </row>
    <row r="356" customFormat="false" ht="15" hidden="false" customHeight="false" outlineLevel="0" collapsed="false">
      <c r="A356" s="26" t="str">
        <f aca="false">Entities!$A$32</f>
        <v>CN</v>
      </c>
      <c r="B356" s="12" t="str">
        <f aca="false">INDEX(Entities!$B$5:$B$34,MATCH(A356,Entities!$A$5:$A$34,0))</f>
        <v>Arab Bank – China</v>
      </c>
      <c r="C356" s="12" t="str">
        <f aca="false">INDEX(Entities!$D$5:$D$34,MATCH(A356,Entities!$A$5:$A$34,0))</f>
        <v>Asia-Pacific</v>
      </c>
      <c r="D356" s="12" t="s">
        <v>284</v>
      </c>
      <c r="E356" s="12" t="str">
        <f aca="false">INDEX('Risk Taxonomy'!$B$5:$B$24,MATCH(D356,'Risk Taxonomy'!$A$5:$A$24,0))</f>
        <v>Regulatory compliance</v>
      </c>
      <c r="F356" s="7" t="str">
        <f aca="false">IF(D356="RC-04",IF(INDEX(Entities!$G$5:$G$34,MATCH(A356,Entities!$A$5:$A$34,0))="Y","Yes","N/A"),"Yes")</f>
        <v>Yes</v>
      </c>
      <c r="G356" s="24" t="n">
        <v>3</v>
      </c>
      <c r="H356" s="24" t="n">
        <v>1</v>
      </c>
      <c r="I356" s="24" t="n">
        <v>3</v>
      </c>
      <c r="J356" s="24" t="n">
        <v>4</v>
      </c>
      <c r="K356" s="24" t="n">
        <v>2</v>
      </c>
      <c r="L356" s="37" t="n">
        <f aca="false">IF(F356="N/A","",IF(COUNT(H356:K356)=0,"",IF(Config!$C$19="Highest dimension",MAX(H356:K356),ROUND(H356*Config!$C$20+I356*Config!$C$21+J356*Config!$C$22+K356*Config!$C$23,1))))</f>
        <v>4</v>
      </c>
      <c r="M356" s="38" t="n">
        <f aca="false">IF(OR(L356="",G356=""),"",G356*L356)</f>
        <v>12</v>
      </c>
      <c r="N356" s="31" t="n">
        <f aca="false">IF(M356="","",MATCH(M356,Config!$E$5:$E$9,1))</f>
        <v>3</v>
      </c>
      <c r="O356" s="7" t="str">
        <f aca="false">IF(F356="N/A","N/A",IF(N356="","Not assessed",INDEX(Config!$B$5:$B$9,N356)))</f>
        <v>Medium</v>
      </c>
      <c r="P356" s="32" t="n">
        <v>0</v>
      </c>
      <c r="Q356" s="8"/>
      <c r="R356" s="33"/>
      <c r="S356" s="34" t="n">
        <f aca="false">IF(N356="","",IF(AND(R356="Y",P356&lt;&gt;0),MAX(1,MIN(5,N356+MAX(-Config!$C$27,MIN(Config!$C$27,P356)))),N356))</f>
        <v>3</v>
      </c>
      <c r="T356" s="35" t="str">
        <f aca="false">IF(F356="N/A","N/A",IF(S356="","Not assessed",INDEX(Config!$B$5:$B$9,S356)))</f>
        <v>Medium</v>
      </c>
      <c r="U356" s="7" t="str">
        <f aca="false">IF(P356=0,"None",IF(R356="Y","Applied","Pending HO approval"))</f>
        <v>None</v>
      </c>
      <c r="V356" s="8"/>
    </row>
    <row r="357" customFormat="false" ht="15" hidden="false" customHeight="false" outlineLevel="0" collapsed="false">
      <c r="A357" s="26" t="str">
        <f aca="false">Entities!$A$32</f>
        <v>CN</v>
      </c>
      <c r="B357" s="12" t="str">
        <f aca="false">INDEX(Entities!$B$5:$B$34,MATCH(A357,Entities!$A$5:$A$34,0))</f>
        <v>Arab Bank – China</v>
      </c>
      <c r="C357" s="12" t="str">
        <f aca="false">INDEX(Entities!$D$5:$D$34,MATCH(A357,Entities!$A$5:$A$34,0))</f>
        <v>Asia-Pacific</v>
      </c>
      <c r="D357" s="12" t="s">
        <v>288</v>
      </c>
      <c r="E357" s="12" t="str">
        <f aca="false">INDEX('Risk Taxonomy'!$B$5:$B$24,MATCH(D357,'Risk Taxonomy'!$A$5:$A$24,0))</f>
        <v>Conduct and consumer protection</v>
      </c>
      <c r="F357" s="7" t="str">
        <f aca="false">IF(D357="RC-04",IF(INDEX(Entities!$G$5:$G$34,MATCH(A357,Entities!$A$5:$A$34,0))="Y","Yes","N/A"),"Yes")</f>
        <v>Yes</v>
      </c>
      <c r="G357" s="24" t="n">
        <v>2</v>
      </c>
      <c r="H357" s="24" t="n">
        <v>1</v>
      </c>
      <c r="I357" s="24" t="n">
        <v>2</v>
      </c>
      <c r="J357" s="24" t="n">
        <v>2</v>
      </c>
      <c r="K357" s="24" t="n">
        <v>2</v>
      </c>
      <c r="L357" s="37" t="n">
        <f aca="false">IF(F357="N/A","",IF(COUNT(H357:K357)=0,"",IF(Config!$C$19="Highest dimension",MAX(H357:K357),ROUND(H357*Config!$C$20+I357*Config!$C$21+J357*Config!$C$22+K357*Config!$C$23,1))))</f>
        <v>2</v>
      </c>
      <c r="M357" s="38" t="n">
        <f aca="false">IF(OR(L357="",G357=""),"",G357*L357)</f>
        <v>4</v>
      </c>
      <c r="N357" s="31" t="n">
        <f aca="false">IF(M357="","",MATCH(M357,Config!$E$5:$E$9,1))</f>
        <v>1</v>
      </c>
      <c r="O357" s="7" t="str">
        <f aca="false">IF(F357="N/A","N/A",IF(N357="","Not assessed",INDEX(Config!$B$5:$B$9,N357)))</f>
        <v>Low</v>
      </c>
      <c r="P357" s="32" t="n">
        <v>0</v>
      </c>
      <c r="Q357" s="8"/>
      <c r="R357" s="33"/>
      <c r="S357" s="34" t="n">
        <f aca="false">IF(N357="","",IF(AND(R357="Y",P357&lt;&gt;0),MAX(1,MIN(5,N357+MAX(-Config!$C$27,MIN(Config!$C$27,P357)))),N357))</f>
        <v>1</v>
      </c>
      <c r="T357" s="35" t="str">
        <f aca="false">IF(F357="N/A","N/A",IF(S357="","Not assessed",INDEX(Config!$B$5:$B$9,S357)))</f>
        <v>Low</v>
      </c>
      <c r="U357" s="7" t="str">
        <f aca="false">IF(P357=0,"None",IF(R357="Y","Applied","Pending HO approval"))</f>
        <v>None</v>
      </c>
      <c r="V357" s="8"/>
    </row>
    <row r="358" customFormat="false" ht="15" hidden="false" customHeight="false" outlineLevel="0" collapsed="false">
      <c r="A358" s="26" t="str">
        <f aca="false">Entities!$A$32</f>
        <v>CN</v>
      </c>
      <c r="B358" s="12" t="str">
        <f aca="false">INDEX(Entities!$B$5:$B$34,MATCH(A358,Entities!$A$5:$A$34,0))</f>
        <v>Arab Bank – China</v>
      </c>
      <c r="C358" s="12" t="str">
        <f aca="false">INDEX(Entities!$D$5:$D$34,MATCH(A358,Entities!$A$5:$A$34,0))</f>
        <v>Asia-Pacific</v>
      </c>
      <c r="D358" s="12" t="s">
        <v>290</v>
      </c>
      <c r="E358" s="12" t="str">
        <f aca="false">INDEX('Risk Taxonomy'!$B$5:$B$24,MATCH(D358,'Risk Taxonomy'!$A$5:$A$24,0))</f>
        <v>Data protection and privacy</v>
      </c>
      <c r="F358" s="7" t="str">
        <f aca="false">IF(D358="RC-04",IF(INDEX(Entities!$G$5:$G$34,MATCH(A358,Entities!$A$5:$A$34,0))="Y","Yes","N/A"),"Yes")</f>
        <v>Yes</v>
      </c>
      <c r="G358" s="24" t="n">
        <v>3</v>
      </c>
      <c r="H358" s="24" t="n">
        <v>2</v>
      </c>
      <c r="I358" s="24" t="n">
        <v>2</v>
      </c>
      <c r="J358" s="24" t="n">
        <v>2</v>
      </c>
      <c r="K358" s="24" t="n">
        <v>1</v>
      </c>
      <c r="L358" s="37" t="n">
        <f aca="false">IF(F358="N/A","",IF(COUNT(H358:K358)=0,"",IF(Config!$C$19="Highest dimension",MAX(H358:K358),ROUND(H358*Config!$C$20+I358*Config!$C$21+J358*Config!$C$22+K358*Config!$C$23,1))))</f>
        <v>2</v>
      </c>
      <c r="M358" s="38" t="n">
        <f aca="false">IF(OR(L358="",G358=""),"",G358*L358)</f>
        <v>6</v>
      </c>
      <c r="N358" s="31" t="n">
        <f aca="false">IF(M358="","",MATCH(M358,Config!$E$5:$E$9,1))</f>
        <v>2</v>
      </c>
      <c r="O358" s="7" t="str">
        <f aca="false">IF(F358="N/A","N/A",IF(N358="","Not assessed",INDEX(Config!$B$5:$B$9,N358)))</f>
        <v>Medium-Low</v>
      </c>
      <c r="P358" s="32" t="n">
        <v>0</v>
      </c>
      <c r="Q358" s="8"/>
      <c r="R358" s="33"/>
      <c r="S358" s="34" t="n">
        <f aca="false">IF(N358="","",IF(AND(R358="Y",P358&lt;&gt;0),MAX(1,MIN(5,N358+MAX(-Config!$C$27,MIN(Config!$C$27,P358)))),N358))</f>
        <v>2</v>
      </c>
      <c r="T358" s="35" t="str">
        <f aca="false">IF(F358="N/A","N/A",IF(S358="","Not assessed",INDEX(Config!$B$5:$B$9,S358)))</f>
        <v>Medium-Low</v>
      </c>
      <c r="U358" s="7" t="str">
        <f aca="false">IF(P358=0,"None",IF(R358="Y","Applied","Pending HO approval"))</f>
        <v>None</v>
      </c>
      <c r="V358" s="8"/>
    </row>
    <row r="359" customFormat="false" ht="15" hidden="false" customHeight="false" outlineLevel="0" collapsed="false">
      <c r="A359" s="26" t="str">
        <f aca="false">Entities!$A$32</f>
        <v>CN</v>
      </c>
      <c r="B359" s="12" t="str">
        <f aca="false">INDEX(Entities!$B$5:$B$34,MATCH(A359,Entities!$A$5:$A$34,0))</f>
        <v>Arab Bank – China</v>
      </c>
      <c r="C359" s="12" t="str">
        <f aca="false">INDEX(Entities!$D$5:$D$34,MATCH(A359,Entities!$A$5:$A$34,0))</f>
        <v>Asia-Pacific</v>
      </c>
      <c r="D359" s="12" t="s">
        <v>293</v>
      </c>
      <c r="E359" s="12" t="str">
        <f aca="false">INDEX('Risk Taxonomy'!$B$5:$B$24,MATCH(D359,'Risk Taxonomy'!$A$5:$A$24,0))</f>
        <v>Shariah non-compliance</v>
      </c>
      <c r="F359" s="7" t="str">
        <f aca="false">IF(D359="RC-04",IF(INDEX(Entities!$G$5:$G$34,MATCH(A359,Entities!$A$5:$A$34,0))="Y","Yes","N/A"),"Yes")</f>
        <v>N/A</v>
      </c>
      <c r="G359" s="24"/>
      <c r="H359" s="24"/>
      <c r="I359" s="24"/>
      <c r="J359" s="24"/>
      <c r="K359" s="24"/>
      <c r="L359" s="37" t="str">
        <f aca="false">IF(F359="N/A","",IF(COUNT(H359:K359)=0,"",IF(Config!$C$19="Highest dimension",MAX(H359:K359),ROUND(H359*Config!$C$20+I359*Config!$C$21+J359*Config!$C$22+K359*Config!$C$23,1))))</f>
        <v/>
      </c>
      <c r="M359" s="38" t="str">
        <f aca="false">IF(OR(L359="",G359=""),"",G359*L359)</f>
        <v/>
      </c>
      <c r="N359" s="31" t="str">
        <f aca="false">IF(M359="","",MATCH(M359,Config!$E$5:$E$9,1))</f>
        <v/>
      </c>
      <c r="O359" s="7" t="str">
        <f aca="false">IF(F359="N/A","N/A",IF(N359="","Not assessed",INDEX(Config!$B$5:$B$9,N359)))</f>
        <v>N/A</v>
      </c>
      <c r="P359" s="32" t="n">
        <v>0</v>
      </c>
      <c r="Q359" s="8"/>
      <c r="R359" s="33"/>
      <c r="S359" s="34" t="str">
        <f aca="false">IF(N359="","",IF(AND(R359="Y",P359&lt;&gt;0),MAX(1,MIN(5,N359+MAX(-Config!$C$27,MIN(Config!$C$27,P359)))),N359))</f>
        <v/>
      </c>
      <c r="T359" s="35" t="str">
        <f aca="false">IF(F359="N/A","N/A",IF(S359="","Not assessed",INDEX(Config!$B$5:$B$9,S359)))</f>
        <v>N/A</v>
      </c>
      <c r="U359" s="7" t="str">
        <f aca="false">IF(P359=0,"None",IF(R359="Y","Applied","Pending HO approval"))</f>
        <v>None</v>
      </c>
      <c r="V359" s="8"/>
    </row>
    <row r="360" customFormat="false" ht="15" hidden="false" customHeight="false" outlineLevel="0" collapsed="false">
      <c r="A360" s="26" t="str">
        <f aca="false">Entities!$A$32</f>
        <v>CN</v>
      </c>
      <c r="B360" s="12" t="str">
        <f aca="false">INDEX(Entities!$B$5:$B$34,MATCH(A360,Entities!$A$5:$A$34,0))</f>
        <v>Arab Bank – China</v>
      </c>
      <c r="C360" s="12" t="str">
        <f aca="false">INDEX(Entities!$D$5:$D$34,MATCH(A360,Entities!$A$5:$A$34,0))</f>
        <v>Asia-Pacific</v>
      </c>
      <c r="D360" s="12" t="s">
        <v>297</v>
      </c>
      <c r="E360" s="12" t="str">
        <f aca="false">INDEX('Risk Taxonomy'!$B$5:$B$24,MATCH(D360,'Risk Taxonomy'!$A$5:$A$24,0))</f>
        <v>Credit risk</v>
      </c>
      <c r="F360" s="7" t="str">
        <f aca="false">IF(D360="RC-04",IF(INDEX(Entities!$G$5:$G$34,MATCH(A360,Entities!$A$5:$A$34,0))="Y","Yes","N/A"),"Yes")</f>
        <v>Yes</v>
      </c>
      <c r="G360" s="24" t="n">
        <v>3</v>
      </c>
      <c r="H360" s="24" t="n">
        <v>2</v>
      </c>
      <c r="I360" s="24" t="n">
        <v>2</v>
      </c>
      <c r="J360" s="24" t="n">
        <v>2</v>
      </c>
      <c r="K360" s="24" t="n">
        <v>1</v>
      </c>
      <c r="L360" s="37" t="n">
        <f aca="false">IF(F360="N/A","",IF(COUNT(H360:K360)=0,"",IF(Config!$C$19="Highest dimension",MAX(H360:K360),ROUND(H360*Config!$C$20+I360*Config!$C$21+J360*Config!$C$22+K360*Config!$C$23,1))))</f>
        <v>2</v>
      </c>
      <c r="M360" s="38" t="n">
        <f aca="false">IF(OR(L360="",G360=""),"",G360*L360)</f>
        <v>6</v>
      </c>
      <c r="N360" s="31" t="n">
        <f aca="false">IF(M360="","",MATCH(M360,Config!$E$5:$E$9,1))</f>
        <v>2</v>
      </c>
      <c r="O360" s="7" t="str">
        <f aca="false">IF(F360="N/A","N/A",IF(N360="","Not assessed",INDEX(Config!$B$5:$B$9,N360)))</f>
        <v>Medium-Low</v>
      </c>
      <c r="P360" s="32" t="n">
        <v>0</v>
      </c>
      <c r="Q360" s="8"/>
      <c r="R360" s="33"/>
      <c r="S360" s="34" t="n">
        <f aca="false">IF(N360="","",IF(AND(R360="Y",P360&lt;&gt;0),MAX(1,MIN(5,N360+MAX(-Config!$C$27,MIN(Config!$C$27,P360)))),N360))</f>
        <v>2</v>
      </c>
      <c r="T360" s="35" t="str">
        <f aca="false">IF(F360="N/A","N/A",IF(S360="","Not assessed",INDEX(Config!$B$5:$B$9,S360)))</f>
        <v>Medium-Low</v>
      </c>
      <c r="U360" s="7" t="str">
        <f aca="false">IF(P360=0,"None",IF(R360="Y","Applied","Pending HO approval"))</f>
        <v>None</v>
      </c>
      <c r="V360" s="8"/>
    </row>
    <row r="361" customFormat="false" ht="15" hidden="false" customHeight="false" outlineLevel="0" collapsed="false">
      <c r="A361" s="26" t="str">
        <f aca="false">Entities!$A$32</f>
        <v>CN</v>
      </c>
      <c r="B361" s="12" t="str">
        <f aca="false">INDEX(Entities!$B$5:$B$34,MATCH(A361,Entities!$A$5:$A$34,0))</f>
        <v>Arab Bank – China</v>
      </c>
      <c r="C361" s="12" t="str">
        <f aca="false">INDEX(Entities!$D$5:$D$34,MATCH(A361,Entities!$A$5:$A$34,0))</f>
        <v>Asia-Pacific</v>
      </c>
      <c r="D361" s="12" t="s">
        <v>302</v>
      </c>
      <c r="E361" s="12" t="str">
        <f aca="false">INDEX('Risk Taxonomy'!$B$5:$B$24,MATCH(D361,'Risk Taxonomy'!$A$5:$A$24,0))</f>
        <v>Market risk</v>
      </c>
      <c r="F361" s="7" t="str">
        <f aca="false">IF(D361="RC-04",IF(INDEX(Entities!$G$5:$G$34,MATCH(A361,Entities!$A$5:$A$34,0))="Y","Yes","N/A"),"Yes")</f>
        <v>Yes</v>
      </c>
      <c r="G361" s="24" t="n">
        <v>1</v>
      </c>
      <c r="H361" s="24" t="n">
        <v>2</v>
      </c>
      <c r="I361" s="24" t="n">
        <v>2</v>
      </c>
      <c r="J361" s="24" t="n">
        <v>2</v>
      </c>
      <c r="K361" s="24" t="n">
        <v>2</v>
      </c>
      <c r="L361" s="37" t="n">
        <f aca="false">IF(F361="N/A","",IF(COUNT(H361:K361)=0,"",IF(Config!$C$19="Highest dimension",MAX(H361:K361),ROUND(H361*Config!$C$20+I361*Config!$C$21+J361*Config!$C$22+K361*Config!$C$23,1))))</f>
        <v>2</v>
      </c>
      <c r="M361" s="38" t="n">
        <f aca="false">IF(OR(L361="",G361=""),"",G361*L361)</f>
        <v>2</v>
      </c>
      <c r="N361" s="31" t="n">
        <f aca="false">IF(M361="","",MATCH(M361,Config!$E$5:$E$9,1))</f>
        <v>1</v>
      </c>
      <c r="O361" s="7" t="str">
        <f aca="false">IF(F361="N/A","N/A",IF(N361="","Not assessed",INDEX(Config!$B$5:$B$9,N361)))</f>
        <v>Low</v>
      </c>
      <c r="P361" s="32" t="n">
        <v>0</v>
      </c>
      <c r="Q361" s="8"/>
      <c r="R361" s="33"/>
      <c r="S361" s="34" t="n">
        <f aca="false">IF(N361="","",IF(AND(R361="Y",P361&lt;&gt;0),MAX(1,MIN(5,N361+MAX(-Config!$C$27,MIN(Config!$C$27,P361)))),N361))</f>
        <v>1</v>
      </c>
      <c r="T361" s="35" t="str">
        <f aca="false">IF(F361="N/A","N/A",IF(S361="","Not assessed",INDEX(Config!$B$5:$B$9,S361)))</f>
        <v>Low</v>
      </c>
      <c r="U361" s="7" t="str">
        <f aca="false">IF(P361=0,"None",IF(R361="Y","Applied","Pending HO approval"))</f>
        <v>None</v>
      </c>
      <c r="V361" s="8"/>
    </row>
    <row r="362" customFormat="false" ht="15" hidden="false" customHeight="false" outlineLevel="0" collapsed="false">
      <c r="A362" s="26" t="str">
        <f aca="false">Entities!$A$32</f>
        <v>CN</v>
      </c>
      <c r="B362" s="12" t="str">
        <f aca="false">INDEX(Entities!$B$5:$B$34,MATCH(A362,Entities!$A$5:$A$34,0))</f>
        <v>Arab Bank – China</v>
      </c>
      <c r="C362" s="12" t="str">
        <f aca="false">INDEX(Entities!$D$5:$D$34,MATCH(A362,Entities!$A$5:$A$34,0))</f>
        <v>Asia-Pacific</v>
      </c>
      <c r="D362" s="12" t="s">
        <v>304</v>
      </c>
      <c r="E362" s="12" t="str">
        <f aca="false">INDEX('Risk Taxonomy'!$B$5:$B$24,MATCH(D362,'Risk Taxonomy'!$A$5:$A$24,0))</f>
        <v>Liquidity and funding risk</v>
      </c>
      <c r="F362" s="7" t="str">
        <f aca="false">IF(D362="RC-04",IF(INDEX(Entities!$G$5:$G$34,MATCH(A362,Entities!$A$5:$A$34,0))="Y","Yes","N/A"),"Yes")</f>
        <v>Yes</v>
      </c>
      <c r="G362" s="24" t="n">
        <v>1</v>
      </c>
      <c r="H362" s="24" t="n">
        <v>3</v>
      </c>
      <c r="I362" s="24" t="n">
        <v>3</v>
      </c>
      <c r="J362" s="24" t="n">
        <v>2</v>
      </c>
      <c r="K362" s="24" t="n">
        <v>2</v>
      </c>
      <c r="L362" s="37" t="n">
        <f aca="false">IF(F362="N/A","",IF(COUNT(H362:K362)=0,"",IF(Config!$C$19="Highest dimension",MAX(H362:K362),ROUND(H362*Config!$C$20+I362*Config!$C$21+J362*Config!$C$22+K362*Config!$C$23,1))))</f>
        <v>3</v>
      </c>
      <c r="M362" s="38" t="n">
        <f aca="false">IF(OR(L362="",G362=""),"",G362*L362)</f>
        <v>3</v>
      </c>
      <c r="N362" s="31" t="n">
        <f aca="false">IF(M362="","",MATCH(M362,Config!$E$5:$E$9,1))</f>
        <v>1</v>
      </c>
      <c r="O362" s="7" t="str">
        <f aca="false">IF(F362="N/A","N/A",IF(N362="","Not assessed",INDEX(Config!$B$5:$B$9,N362)))</f>
        <v>Low</v>
      </c>
      <c r="P362" s="32" t="n">
        <v>0</v>
      </c>
      <c r="Q362" s="8"/>
      <c r="R362" s="33"/>
      <c r="S362" s="34" t="n">
        <f aca="false">IF(N362="","",IF(AND(R362="Y",P362&lt;&gt;0),MAX(1,MIN(5,N362+MAX(-Config!$C$27,MIN(Config!$C$27,P362)))),N362))</f>
        <v>1</v>
      </c>
      <c r="T362" s="35" t="str">
        <f aca="false">IF(F362="N/A","N/A",IF(S362="","Not assessed",INDEX(Config!$B$5:$B$9,S362)))</f>
        <v>Low</v>
      </c>
      <c r="U362" s="7" t="str">
        <f aca="false">IF(P362=0,"None",IF(R362="Y","Applied","Pending HO approval"))</f>
        <v>None</v>
      </c>
      <c r="V362" s="8"/>
    </row>
    <row r="363" customFormat="false" ht="15" hidden="false" customHeight="false" outlineLevel="0" collapsed="false">
      <c r="A363" s="26" t="str">
        <f aca="false">Entities!$A$32</f>
        <v>CN</v>
      </c>
      <c r="B363" s="12" t="str">
        <f aca="false">INDEX(Entities!$B$5:$B$34,MATCH(A363,Entities!$A$5:$A$34,0))</f>
        <v>Arab Bank – China</v>
      </c>
      <c r="C363" s="12" t="str">
        <f aca="false">INDEX(Entities!$D$5:$D$34,MATCH(A363,Entities!$A$5:$A$34,0))</f>
        <v>Asia-Pacific</v>
      </c>
      <c r="D363" s="12" t="s">
        <v>307</v>
      </c>
      <c r="E363" s="12" t="str">
        <f aca="false">INDEX('Risk Taxonomy'!$B$5:$B$24,MATCH(D363,'Risk Taxonomy'!$A$5:$A$24,0))</f>
        <v>Operational risk</v>
      </c>
      <c r="F363" s="7" t="str">
        <f aca="false">IF(D363="RC-04",IF(INDEX(Entities!$G$5:$G$34,MATCH(A363,Entities!$A$5:$A$34,0))="Y","Yes","N/A"),"Yes")</f>
        <v>Yes</v>
      </c>
      <c r="G363" s="24" t="n">
        <v>1</v>
      </c>
      <c r="H363" s="24" t="n">
        <v>3</v>
      </c>
      <c r="I363" s="24" t="n">
        <v>2</v>
      </c>
      <c r="J363" s="24" t="n">
        <v>1</v>
      </c>
      <c r="K363" s="24" t="n">
        <v>1</v>
      </c>
      <c r="L363" s="37" t="n">
        <f aca="false">IF(F363="N/A","",IF(COUNT(H363:K363)=0,"",IF(Config!$C$19="Highest dimension",MAX(H363:K363),ROUND(H363*Config!$C$20+I363*Config!$C$21+J363*Config!$C$22+K363*Config!$C$23,1))))</f>
        <v>3</v>
      </c>
      <c r="M363" s="38" t="n">
        <f aca="false">IF(OR(L363="",G363=""),"",G363*L363)</f>
        <v>3</v>
      </c>
      <c r="N363" s="31" t="n">
        <f aca="false">IF(M363="","",MATCH(M363,Config!$E$5:$E$9,1))</f>
        <v>1</v>
      </c>
      <c r="O363" s="7" t="str">
        <f aca="false">IF(F363="N/A","N/A",IF(N363="","Not assessed",INDEX(Config!$B$5:$B$9,N363)))</f>
        <v>Low</v>
      </c>
      <c r="P363" s="32" t="n">
        <v>0</v>
      </c>
      <c r="Q363" s="8"/>
      <c r="R363" s="33"/>
      <c r="S363" s="34" t="n">
        <f aca="false">IF(N363="","",IF(AND(R363="Y",P363&lt;&gt;0),MAX(1,MIN(5,N363+MAX(-Config!$C$27,MIN(Config!$C$27,P363)))),N363))</f>
        <v>1</v>
      </c>
      <c r="T363" s="35" t="str">
        <f aca="false">IF(F363="N/A","N/A",IF(S363="","Not assessed",INDEX(Config!$B$5:$B$9,S363)))</f>
        <v>Low</v>
      </c>
      <c r="U363" s="7" t="str">
        <f aca="false">IF(P363=0,"None",IF(R363="Y","Applied","Pending HO approval"))</f>
        <v>None</v>
      </c>
      <c r="V363" s="8"/>
    </row>
    <row r="364" customFormat="false" ht="15" hidden="false" customHeight="false" outlineLevel="0" collapsed="false">
      <c r="A364" s="26" t="str">
        <f aca="false">Entities!$A$32</f>
        <v>CN</v>
      </c>
      <c r="B364" s="12" t="str">
        <f aca="false">INDEX(Entities!$B$5:$B$34,MATCH(A364,Entities!$A$5:$A$34,0))</f>
        <v>Arab Bank – China</v>
      </c>
      <c r="C364" s="12" t="str">
        <f aca="false">INDEX(Entities!$D$5:$D$34,MATCH(A364,Entities!$A$5:$A$34,0))</f>
        <v>Asia-Pacific</v>
      </c>
      <c r="D364" s="12" t="s">
        <v>310</v>
      </c>
      <c r="E364" s="12" t="str">
        <f aca="false">INDEX('Risk Taxonomy'!$B$5:$B$24,MATCH(D364,'Risk Taxonomy'!$A$5:$A$24,0))</f>
        <v>Cyber, information security and technology</v>
      </c>
      <c r="F364" s="7" t="str">
        <f aca="false">IF(D364="RC-04",IF(INDEX(Entities!$G$5:$G$34,MATCH(A364,Entities!$A$5:$A$34,0))="Y","Yes","N/A"),"Yes")</f>
        <v>Yes</v>
      </c>
      <c r="G364" s="24" t="n">
        <v>2</v>
      </c>
      <c r="H364" s="24" t="n">
        <v>2</v>
      </c>
      <c r="I364" s="24" t="n">
        <v>1</v>
      </c>
      <c r="J364" s="24" t="n">
        <v>2</v>
      </c>
      <c r="K364" s="24" t="n">
        <v>2</v>
      </c>
      <c r="L364" s="37" t="n">
        <f aca="false">IF(F364="N/A","",IF(COUNT(H364:K364)=0,"",IF(Config!$C$19="Highest dimension",MAX(H364:K364),ROUND(H364*Config!$C$20+I364*Config!$C$21+J364*Config!$C$22+K364*Config!$C$23,1))))</f>
        <v>2</v>
      </c>
      <c r="M364" s="38" t="n">
        <f aca="false">IF(OR(L364="",G364=""),"",G364*L364)</f>
        <v>4</v>
      </c>
      <c r="N364" s="31" t="n">
        <f aca="false">IF(M364="","",MATCH(M364,Config!$E$5:$E$9,1))</f>
        <v>1</v>
      </c>
      <c r="O364" s="7" t="str">
        <f aca="false">IF(F364="N/A","N/A",IF(N364="","Not assessed",INDEX(Config!$B$5:$B$9,N364)))</f>
        <v>Low</v>
      </c>
      <c r="P364" s="32" t="n">
        <v>0</v>
      </c>
      <c r="Q364" s="8"/>
      <c r="R364" s="33"/>
      <c r="S364" s="34" t="n">
        <f aca="false">IF(N364="","",IF(AND(R364="Y",P364&lt;&gt;0),MAX(1,MIN(5,N364+MAX(-Config!$C$27,MIN(Config!$C$27,P364)))),N364))</f>
        <v>1</v>
      </c>
      <c r="T364" s="35" t="str">
        <f aca="false">IF(F364="N/A","N/A",IF(S364="","Not assessed",INDEX(Config!$B$5:$B$9,S364)))</f>
        <v>Low</v>
      </c>
      <c r="U364" s="7" t="str">
        <f aca="false">IF(P364=0,"None",IF(R364="Y","Applied","Pending HO approval"))</f>
        <v>None</v>
      </c>
      <c r="V364" s="8"/>
    </row>
    <row r="365" customFormat="false" ht="15" hidden="false" customHeight="false" outlineLevel="0" collapsed="false">
      <c r="A365" s="26" t="str">
        <f aca="false">Entities!$A$32</f>
        <v>CN</v>
      </c>
      <c r="B365" s="12" t="str">
        <f aca="false">INDEX(Entities!$B$5:$B$34,MATCH(A365,Entities!$A$5:$A$34,0))</f>
        <v>Arab Bank – China</v>
      </c>
      <c r="C365" s="12" t="str">
        <f aca="false">INDEX(Entities!$D$5:$D$34,MATCH(A365,Entities!$A$5:$A$34,0))</f>
        <v>Asia-Pacific</v>
      </c>
      <c r="D365" s="12" t="s">
        <v>313</v>
      </c>
      <c r="E365" s="12" t="str">
        <f aca="false">INDEX('Risk Taxonomy'!$B$5:$B$24,MATCH(D365,'Risk Taxonomy'!$A$5:$A$24,0))</f>
        <v>Third-party and outsourcing</v>
      </c>
      <c r="F365" s="7" t="str">
        <f aca="false">IF(D365="RC-04",IF(INDEX(Entities!$G$5:$G$34,MATCH(A365,Entities!$A$5:$A$34,0))="Y","Yes","N/A"),"Yes")</f>
        <v>Yes</v>
      </c>
      <c r="G365" s="24" t="n">
        <v>2</v>
      </c>
      <c r="H365" s="24" t="n">
        <v>2</v>
      </c>
      <c r="I365" s="24" t="n">
        <v>1</v>
      </c>
      <c r="J365" s="24" t="n">
        <v>2</v>
      </c>
      <c r="K365" s="24" t="n">
        <v>1</v>
      </c>
      <c r="L365" s="37" t="n">
        <f aca="false">IF(F365="N/A","",IF(COUNT(H365:K365)=0,"",IF(Config!$C$19="Highest dimension",MAX(H365:K365),ROUND(H365*Config!$C$20+I365*Config!$C$21+J365*Config!$C$22+K365*Config!$C$23,1))))</f>
        <v>2</v>
      </c>
      <c r="M365" s="38" t="n">
        <f aca="false">IF(OR(L365="",G365=""),"",G365*L365)</f>
        <v>4</v>
      </c>
      <c r="N365" s="31" t="n">
        <f aca="false">IF(M365="","",MATCH(M365,Config!$E$5:$E$9,1))</f>
        <v>1</v>
      </c>
      <c r="O365" s="7" t="str">
        <f aca="false">IF(F365="N/A","N/A",IF(N365="","Not assessed",INDEX(Config!$B$5:$B$9,N365)))</f>
        <v>Low</v>
      </c>
      <c r="P365" s="32" t="n">
        <v>0</v>
      </c>
      <c r="Q365" s="8"/>
      <c r="R365" s="33"/>
      <c r="S365" s="34" t="n">
        <f aca="false">IF(N365="","",IF(AND(R365="Y",P365&lt;&gt;0),MAX(1,MIN(5,N365+MAX(-Config!$C$27,MIN(Config!$C$27,P365)))),N365))</f>
        <v>1</v>
      </c>
      <c r="T365" s="35" t="str">
        <f aca="false">IF(F365="N/A","N/A",IF(S365="","Not assessed",INDEX(Config!$B$5:$B$9,S365)))</f>
        <v>Low</v>
      </c>
      <c r="U365" s="7" t="str">
        <f aca="false">IF(P365=0,"None",IF(R365="Y","Applied","Pending HO approval"))</f>
        <v>None</v>
      </c>
      <c r="V365" s="8"/>
    </row>
    <row r="366" customFormat="false" ht="15" hidden="false" customHeight="false" outlineLevel="0" collapsed="false">
      <c r="A366" s="26" t="str">
        <f aca="false">Entities!$A$32</f>
        <v>CN</v>
      </c>
      <c r="B366" s="12" t="str">
        <f aca="false">INDEX(Entities!$B$5:$B$34,MATCH(A366,Entities!$A$5:$A$34,0))</f>
        <v>Arab Bank – China</v>
      </c>
      <c r="C366" s="12" t="str">
        <f aca="false">INDEX(Entities!$D$5:$D$34,MATCH(A366,Entities!$A$5:$A$34,0))</f>
        <v>Asia-Pacific</v>
      </c>
      <c r="D366" s="12" t="s">
        <v>316</v>
      </c>
      <c r="E366" s="12" t="str">
        <f aca="false">INDEX('Risk Taxonomy'!$B$5:$B$24,MATCH(D366,'Risk Taxonomy'!$A$5:$A$24,0))</f>
        <v>Legal and litigation</v>
      </c>
      <c r="F366" s="7" t="str">
        <f aca="false">IF(D366="RC-04",IF(INDEX(Entities!$G$5:$G$34,MATCH(A366,Entities!$A$5:$A$34,0))="Y","Yes","N/A"),"Yes")</f>
        <v>Yes</v>
      </c>
      <c r="G366" s="24" t="n">
        <v>3</v>
      </c>
      <c r="H366" s="24" t="n">
        <v>3</v>
      </c>
      <c r="I366" s="24" t="n">
        <v>1</v>
      </c>
      <c r="J366" s="24" t="n">
        <v>3</v>
      </c>
      <c r="K366" s="24" t="n">
        <v>2</v>
      </c>
      <c r="L366" s="37" t="n">
        <f aca="false">IF(F366="N/A","",IF(COUNT(H366:K366)=0,"",IF(Config!$C$19="Highest dimension",MAX(H366:K366),ROUND(H366*Config!$C$20+I366*Config!$C$21+J366*Config!$C$22+K366*Config!$C$23,1))))</f>
        <v>3</v>
      </c>
      <c r="M366" s="38" t="n">
        <f aca="false">IF(OR(L366="",G366=""),"",G366*L366)</f>
        <v>9</v>
      </c>
      <c r="N366" s="31" t="n">
        <f aca="false">IF(M366="","",MATCH(M366,Config!$E$5:$E$9,1))</f>
        <v>3</v>
      </c>
      <c r="O366" s="7" t="str">
        <f aca="false">IF(F366="N/A","N/A",IF(N366="","Not assessed",INDEX(Config!$B$5:$B$9,N366)))</f>
        <v>Medium</v>
      </c>
      <c r="P366" s="32" t="n">
        <v>0</v>
      </c>
      <c r="Q366" s="8"/>
      <c r="R366" s="33"/>
      <c r="S366" s="34" t="n">
        <f aca="false">IF(N366="","",IF(AND(R366="Y",P366&lt;&gt;0),MAX(1,MIN(5,N366+MAX(-Config!$C$27,MIN(Config!$C$27,P366)))),N366))</f>
        <v>3</v>
      </c>
      <c r="T366" s="35" t="str">
        <f aca="false">IF(F366="N/A","N/A",IF(S366="","Not assessed",INDEX(Config!$B$5:$B$9,S366)))</f>
        <v>Medium</v>
      </c>
      <c r="U366" s="7" t="str">
        <f aca="false">IF(P366=0,"None",IF(R366="Y","Applied","Pending HO approval"))</f>
        <v>None</v>
      </c>
      <c r="V366" s="8"/>
    </row>
    <row r="367" customFormat="false" ht="15" hidden="false" customHeight="false" outlineLevel="0" collapsed="false">
      <c r="A367" s="26" t="str">
        <f aca="false">Entities!$A$32</f>
        <v>CN</v>
      </c>
      <c r="B367" s="12" t="str">
        <f aca="false">INDEX(Entities!$B$5:$B$34,MATCH(A367,Entities!$A$5:$A$34,0))</f>
        <v>Arab Bank – China</v>
      </c>
      <c r="C367" s="12" t="str">
        <f aca="false">INDEX(Entities!$D$5:$D$34,MATCH(A367,Entities!$A$5:$A$34,0))</f>
        <v>Asia-Pacific</v>
      </c>
      <c r="D367" s="12" t="s">
        <v>319</v>
      </c>
      <c r="E367" s="12" t="str">
        <f aca="false">INDEX('Risk Taxonomy'!$B$5:$B$24,MATCH(D367,'Risk Taxonomy'!$A$5:$A$24,0))</f>
        <v>Reputational</v>
      </c>
      <c r="F367" s="7" t="str">
        <f aca="false">IF(D367="RC-04",IF(INDEX(Entities!$G$5:$G$34,MATCH(A367,Entities!$A$5:$A$34,0))="Y","Yes","N/A"),"Yes")</f>
        <v>Yes</v>
      </c>
      <c r="G367" s="24" t="n">
        <v>2</v>
      </c>
      <c r="H367" s="24" t="n">
        <v>1</v>
      </c>
      <c r="I367" s="24" t="n">
        <v>2</v>
      </c>
      <c r="J367" s="24" t="n">
        <v>2</v>
      </c>
      <c r="K367" s="24" t="n">
        <v>3</v>
      </c>
      <c r="L367" s="37" t="n">
        <f aca="false">IF(F367="N/A","",IF(COUNT(H367:K367)=0,"",IF(Config!$C$19="Highest dimension",MAX(H367:K367),ROUND(H367*Config!$C$20+I367*Config!$C$21+J367*Config!$C$22+K367*Config!$C$23,1))))</f>
        <v>3</v>
      </c>
      <c r="M367" s="38" t="n">
        <f aca="false">IF(OR(L367="",G367=""),"",G367*L367)</f>
        <v>6</v>
      </c>
      <c r="N367" s="31" t="n">
        <f aca="false">IF(M367="","",MATCH(M367,Config!$E$5:$E$9,1))</f>
        <v>2</v>
      </c>
      <c r="O367" s="7" t="str">
        <f aca="false">IF(F367="N/A","N/A",IF(N367="","Not assessed",INDEX(Config!$B$5:$B$9,N367)))</f>
        <v>Medium-Low</v>
      </c>
      <c r="P367" s="32" t="n">
        <v>0</v>
      </c>
      <c r="Q367" s="8"/>
      <c r="R367" s="33"/>
      <c r="S367" s="34" t="n">
        <f aca="false">IF(N367="","",IF(AND(R367="Y",P367&lt;&gt;0),MAX(1,MIN(5,N367+MAX(-Config!$C$27,MIN(Config!$C$27,P367)))),N367))</f>
        <v>2</v>
      </c>
      <c r="T367" s="35" t="str">
        <f aca="false">IF(F367="N/A","N/A",IF(S367="","Not assessed",INDEX(Config!$B$5:$B$9,S367)))</f>
        <v>Medium-Low</v>
      </c>
      <c r="U367" s="7" t="str">
        <f aca="false">IF(P367=0,"None",IF(R367="Y","Applied","Pending HO approval"))</f>
        <v>None</v>
      </c>
      <c r="V367" s="8"/>
    </row>
    <row r="368" customFormat="false" ht="15" hidden="false" customHeight="false" outlineLevel="0" collapsed="false">
      <c r="A368" s="26" t="str">
        <f aca="false">Entities!$A$32</f>
        <v>CN</v>
      </c>
      <c r="B368" s="12" t="str">
        <f aca="false">INDEX(Entities!$B$5:$B$34,MATCH(A368,Entities!$A$5:$A$34,0))</f>
        <v>Arab Bank – China</v>
      </c>
      <c r="C368" s="12" t="str">
        <f aca="false">INDEX(Entities!$D$5:$D$34,MATCH(A368,Entities!$A$5:$A$34,0))</f>
        <v>Asia-Pacific</v>
      </c>
      <c r="D368" s="12" t="s">
        <v>322</v>
      </c>
      <c r="E368" s="12" t="str">
        <f aca="false">INDEX('Risk Taxonomy'!$B$5:$B$24,MATCH(D368,'Risk Taxonomy'!$A$5:$A$24,0))</f>
        <v>Strategic, business model and ESG</v>
      </c>
      <c r="F368" s="7" t="str">
        <f aca="false">IF(D368="RC-04",IF(INDEX(Entities!$G$5:$G$34,MATCH(A368,Entities!$A$5:$A$34,0))="Y","Yes","N/A"),"Yes")</f>
        <v>Yes</v>
      </c>
      <c r="G368" s="24" t="n">
        <v>2</v>
      </c>
      <c r="H368" s="24" t="n">
        <v>1</v>
      </c>
      <c r="I368" s="24" t="n">
        <v>2</v>
      </c>
      <c r="J368" s="24" t="n">
        <v>1</v>
      </c>
      <c r="K368" s="24" t="n">
        <v>2</v>
      </c>
      <c r="L368" s="37" t="n">
        <f aca="false">IF(F368="N/A","",IF(COUNT(H368:K368)=0,"",IF(Config!$C$19="Highest dimension",MAX(H368:K368),ROUND(H368*Config!$C$20+I368*Config!$C$21+J368*Config!$C$22+K368*Config!$C$23,1))))</f>
        <v>2</v>
      </c>
      <c r="M368" s="38" t="n">
        <f aca="false">IF(OR(L368="",G368=""),"",G368*L368)</f>
        <v>4</v>
      </c>
      <c r="N368" s="31" t="n">
        <f aca="false">IF(M368="","",MATCH(M368,Config!$E$5:$E$9,1))</f>
        <v>1</v>
      </c>
      <c r="O368" s="7" t="str">
        <f aca="false">IF(F368="N/A","N/A",IF(N368="","Not assessed",INDEX(Config!$B$5:$B$9,N368)))</f>
        <v>Low</v>
      </c>
      <c r="P368" s="32" t="n">
        <v>0</v>
      </c>
      <c r="Q368" s="8"/>
      <c r="R368" s="33"/>
      <c r="S368" s="34" t="n">
        <f aca="false">IF(N368="","",IF(AND(R368="Y",P368&lt;&gt;0),MAX(1,MIN(5,N368+MAX(-Config!$C$27,MIN(Config!$C$27,P368)))),N368))</f>
        <v>1</v>
      </c>
      <c r="T368" s="35" t="str">
        <f aca="false">IF(F368="N/A","N/A",IF(S368="","Not assessed",INDEX(Config!$B$5:$B$9,S368)))</f>
        <v>Low</v>
      </c>
      <c r="U368" s="7" t="str">
        <f aca="false">IF(P368=0,"None",IF(R368="Y","Applied","Pending HO approval"))</f>
        <v>None</v>
      </c>
      <c r="V368" s="8"/>
    </row>
    <row r="369" customFormat="false" ht="15" hidden="false" customHeight="false" outlineLevel="0" collapsed="false">
      <c r="A369" s="26" t="str">
        <f aca="false">Entities!$A$33</f>
        <v>AU</v>
      </c>
      <c r="B369" s="12" t="str">
        <f aca="false">INDEX(Entities!$B$5:$B$34,MATCH(A369,Entities!$A$5:$A$34,0))</f>
        <v>Arab Bank Australia</v>
      </c>
      <c r="C369" s="12" t="str">
        <f aca="false">INDEX(Entities!$D$5:$D$34,MATCH(A369,Entities!$A$5:$A$34,0))</f>
        <v>Asia-Pacific</v>
      </c>
      <c r="D369" s="12" t="s">
        <v>284</v>
      </c>
      <c r="E369" s="12" t="str">
        <f aca="false">INDEX('Risk Taxonomy'!$B$5:$B$24,MATCH(D369,'Risk Taxonomy'!$A$5:$A$24,0))</f>
        <v>Regulatory compliance</v>
      </c>
      <c r="F369" s="7" t="str">
        <f aca="false">IF(D369="RC-04",IF(INDEX(Entities!$G$5:$G$34,MATCH(A369,Entities!$A$5:$A$34,0))="Y","Yes","N/A"),"Yes")</f>
        <v>Yes</v>
      </c>
      <c r="G369" s="24" t="n">
        <v>2</v>
      </c>
      <c r="H369" s="24" t="n">
        <v>2</v>
      </c>
      <c r="I369" s="24" t="n">
        <v>2</v>
      </c>
      <c r="J369" s="24" t="n">
        <v>1</v>
      </c>
      <c r="K369" s="24" t="n">
        <v>1</v>
      </c>
      <c r="L369" s="37" t="n">
        <f aca="false">IF(F369="N/A","",IF(COUNT(H369:K369)=0,"",IF(Config!$C$19="Highest dimension",MAX(H369:K369),ROUND(H369*Config!$C$20+I369*Config!$C$21+J369*Config!$C$22+K369*Config!$C$23,1))))</f>
        <v>2</v>
      </c>
      <c r="M369" s="38" t="n">
        <f aca="false">IF(OR(L369="",G369=""),"",G369*L369)</f>
        <v>4</v>
      </c>
      <c r="N369" s="31" t="n">
        <f aca="false">IF(M369="","",MATCH(M369,Config!$E$5:$E$9,1))</f>
        <v>1</v>
      </c>
      <c r="O369" s="7" t="str">
        <f aca="false">IF(F369="N/A","N/A",IF(N369="","Not assessed",INDEX(Config!$B$5:$B$9,N369)))</f>
        <v>Low</v>
      </c>
      <c r="P369" s="32" t="n">
        <v>0</v>
      </c>
      <c r="Q369" s="8"/>
      <c r="R369" s="33"/>
      <c r="S369" s="34" t="n">
        <f aca="false">IF(N369="","",IF(AND(R369="Y",P369&lt;&gt;0),MAX(1,MIN(5,N369+MAX(-Config!$C$27,MIN(Config!$C$27,P369)))),N369))</f>
        <v>1</v>
      </c>
      <c r="T369" s="35" t="str">
        <f aca="false">IF(F369="N/A","N/A",IF(S369="","Not assessed",INDEX(Config!$B$5:$B$9,S369)))</f>
        <v>Low</v>
      </c>
      <c r="U369" s="7" t="str">
        <f aca="false">IF(P369=0,"None",IF(R369="Y","Applied","Pending HO approval"))</f>
        <v>None</v>
      </c>
      <c r="V369" s="8"/>
    </row>
    <row r="370" customFormat="false" ht="15" hidden="false" customHeight="false" outlineLevel="0" collapsed="false">
      <c r="A370" s="26" t="str">
        <f aca="false">Entities!$A$33</f>
        <v>AU</v>
      </c>
      <c r="B370" s="12" t="str">
        <f aca="false">INDEX(Entities!$B$5:$B$34,MATCH(A370,Entities!$A$5:$A$34,0))</f>
        <v>Arab Bank Australia</v>
      </c>
      <c r="C370" s="12" t="str">
        <f aca="false">INDEX(Entities!$D$5:$D$34,MATCH(A370,Entities!$A$5:$A$34,0))</f>
        <v>Asia-Pacific</v>
      </c>
      <c r="D370" s="12" t="s">
        <v>288</v>
      </c>
      <c r="E370" s="12" t="str">
        <f aca="false">INDEX('Risk Taxonomy'!$B$5:$B$24,MATCH(D370,'Risk Taxonomy'!$A$5:$A$24,0))</f>
        <v>Conduct and consumer protection</v>
      </c>
      <c r="F370" s="7" t="str">
        <f aca="false">IF(D370="RC-04",IF(INDEX(Entities!$G$5:$G$34,MATCH(A370,Entities!$A$5:$A$34,0))="Y","Yes","N/A"),"Yes")</f>
        <v>Yes</v>
      </c>
      <c r="G370" s="24" t="n">
        <v>3</v>
      </c>
      <c r="H370" s="24" t="n">
        <v>3</v>
      </c>
      <c r="I370" s="24" t="n">
        <v>2</v>
      </c>
      <c r="J370" s="24" t="n">
        <v>2</v>
      </c>
      <c r="K370" s="24" t="n">
        <v>3</v>
      </c>
      <c r="L370" s="37" t="n">
        <f aca="false">IF(F370="N/A","",IF(COUNT(H370:K370)=0,"",IF(Config!$C$19="Highest dimension",MAX(H370:K370),ROUND(H370*Config!$C$20+I370*Config!$C$21+J370*Config!$C$22+K370*Config!$C$23,1))))</f>
        <v>3</v>
      </c>
      <c r="M370" s="38" t="n">
        <f aca="false">IF(OR(L370="",G370=""),"",G370*L370)</f>
        <v>9</v>
      </c>
      <c r="N370" s="31" t="n">
        <f aca="false">IF(M370="","",MATCH(M370,Config!$E$5:$E$9,1))</f>
        <v>3</v>
      </c>
      <c r="O370" s="7" t="str">
        <f aca="false">IF(F370="N/A","N/A",IF(N370="","Not assessed",INDEX(Config!$B$5:$B$9,N370)))</f>
        <v>Medium</v>
      </c>
      <c r="P370" s="32" t="n">
        <v>0</v>
      </c>
      <c r="Q370" s="8"/>
      <c r="R370" s="33"/>
      <c r="S370" s="34" t="n">
        <f aca="false">IF(N370="","",IF(AND(R370="Y",P370&lt;&gt;0),MAX(1,MIN(5,N370+MAX(-Config!$C$27,MIN(Config!$C$27,P370)))),N370))</f>
        <v>3</v>
      </c>
      <c r="T370" s="35" t="str">
        <f aca="false">IF(F370="N/A","N/A",IF(S370="","Not assessed",INDEX(Config!$B$5:$B$9,S370)))</f>
        <v>Medium</v>
      </c>
      <c r="U370" s="7" t="str">
        <f aca="false">IF(P370=0,"None",IF(R370="Y","Applied","Pending HO approval"))</f>
        <v>None</v>
      </c>
      <c r="V370" s="8"/>
    </row>
    <row r="371" customFormat="false" ht="15" hidden="false" customHeight="false" outlineLevel="0" collapsed="false">
      <c r="A371" s="26" t="str">
        <f aca="false">Entities!$A$33</f>
        <v>AU</v>
      </c>
      <c r="B371" s="12" t="str">
        <f aca="false">INDEX(Entities!$B$5:$B$34,MATCH(A371,Entities!$A$5:$A$34,0))</f>
        <v>Arab Bank Australia</v>
      </c>
      <c r="C371" s="12" t="str">
        <f aca="false">INDEX(Entities!$D$5:$D$34,MATCH(A371,Entities!$A$5:$A$34,0))</f>
        <v>Asia-Pacific</v>
      </c>
      <c r="D371" s="12" t="s">
        <v>290</v>
      </c>
      <c r="E371" s="12" t="str">
        <f aca="false">INDEX('Risk Taxonomy'!$B$5:$B$24,MATCH(D371,'Risk Taxonomy'!$A$5:$A$24,0))</f>
        <v>Data protection and privacy</v>
      </c>
      <c r="F371" s="7" t="str">
        <f aca="false">IF(D371="RC-04",IF(INDEX(Entities!$G$5:$G$34,MATCH(A371,Entities!$A$5:$A$34,0))="Y","Yes","N/A"),"Yes")</f>
        <v>Yes</v>
      </c>
      <c r="G371" s="24" t="n">
        <v>2</v>
      </c>
      <c r="H371" s="24" t="n">
        <v>1</v>
      </c>
      <c r="I371" s="24" t="n">
        <v>2</v>
      </c>
      <c r="J371" s="24" t="n">
        <v>2</v>
      </c>
      <c r="K371" s="24" t="n">
        <v>3</v>
      </c>
      <c r="L371" s="37" t="n">
        <f aca="false">IF(F371="N/A","",IF(COUNT(H371:K371)=0,"",IF(Config!$C$19="Highest dimension",MAX(H371:K371),ROUND(H371*Config!$C$20+I371*Config!$C$21+J371*Config!$C$22+K371*Config!$C$23,1))))</f>
        <v>3</v>
      </c>
      <c r="M371" s="38" t="n">
        <f aca="false">IF(OR(L371="",G371=""),"",G371*L371)</f>
        <v>6</v>
      </c>
      <c r="N371" s="31" t="n">
        <f aca="false">IF(M371="","",MATCH(M371,Config!$E$5:$E$9,1))</f>
        <v>2</v>
      </c>
      <c r="O371" s="7" t="str">
        <f aca="false">IF(F371="N/A","N/A",IF(N371="","Not assessed",INDEX(Config!$B$5:$B$9,N371)))</f>
        <v>Medium-Low</v>
      </c>
      <c r="P371" s="32" t="n">
        <v>0</v>
      </c>
      <c r="Q371" s="8"/>
      <c r="R371" s="33"/>
      <c r="S371" s="34" t="n">
        <f aca="false">IF(N371="","",IF(AND(R371="Y",P371&lt;&gt;0),MAX(1,MIN(5,N371+MAX(-Config!$C$27,MIN(Config!$C$27,P371)))),N371))</f>
        <v>2</v>
      </c>
      <c r="T371" s="35" t="str">
        <f aca="false">IF(F371="N/A","N/A",IF(S371="","Not assessed",INDEX(Config!$B$5:$B$9,S371)))</f>
        <v>Medium-Low</v>
      </c>
      <c r="U371" s="7" t="str">
        <f aca="false">IF(P371=0,"None",IF(R371="Y","Applied","Pending HO approval"))</f>
        <v>None</v>
      </c>
      <c r="V371" s="8"/>
    </row>
    <row r="372" customFormat="false" ht="15" hidden="false" customHeight="false" outlineLevel="0" collapsed="false">
      <c r="A372" s="26" t="str">
        <f aca="false">Entities!$A$33</f>
        <v>AU</v>
      </c>
      <c r="B372" s="12" t="str">
        <f aca="false">INDEX(Entities!$B$5:$B$34,MATCH(A372,Entities!$A$5:$A$34,0))</f>
        <v>Arab Bank Australia</v>
      </c>
      <c r="C372" s="12" t="str">
        <f aca="false">INDEX(Entities!$D$5:$D$34,MATCH(A372,Entities!$A$5:$A$34,0))</f>
        <v>Asia-Pacific</v>
      </c>
      <c r="D372" s="12" t="s">
        <v>293</v>
      </c>
      <c r="E372" s="12" t="str">
        <f aca="false">INDEX('Risk Taxonomy'!$B$5:$B$24,MATCH(D372,'Risk Taxonomy'!$A$5:$A$24,0))</f>
        <v>Shariah non-compliance</v>
      </c>
      <c r="F372" s="7" t="str">
        <f aca="false">IF(D372="RC-04",IF(INDEX(Entities!$G$5:$G$34,MATCH(A372,Entities!$A$5:$A$34,0))="Y","Yes","N/A"),"Yes")</f>
        <v>N/A</v>
      </c>
      <c r="G372" s="24"/>
      <c r="H372" s="24"/>
      <c r="I372" s="24"/>
      <c r="J372" s="24"/>
      <c r="K372" s="24"/>
      <c r="L372" s="37" t="str">
        <f aca="false">IF(F372="N/A","",IF(COUNT(H372:K372)=0,"",IF(Config!$C$19="Highest dimension",MAX(H372:K372),ROUND(H372*Config!$C$20+I372*Config!$C$21+J372*Config!$C$22+K372*Config!$C$23,1))))</f>
        <v/>
      </c>
      <c r="M372" s="38" t="str">
        <f aca="false">IF(OR(L372="",G372=""),"",G372*L372)</f>
        <v/>
      </c>
      <c r="N372" s="31" t="str">
        <f aca="false">IF(M372="","",MATCH(M372,Config!$E$5:$E$9,1))</f>
        <v/>
      </c>
      <c r="O372" s="7" t="str">
        <f aca="false">IF(F372="N/A","N/A",IF(N372="","Not assessed",INDEX(Config!$B$5:$B$9,N372)))</f>
        <v>N/A</v>
      </c>
      <c r="P372" s="32" t="n">
        <v>0</v>
      </c>
      <c r="Q372" s="8"/>
      <c r="R372" s="33"/>
      <c r="S372" s="34" t="str">
        <f aca="false">IF(N372="","",IF(AND(R372="Y",P372&lt;&gt;0),MAX(1,MIN(5,N372+MAX(-Config!$C$27,MIN(Config!$C$27,P372)))),N372))</f>
        <v/>
      </c>
      <c r="T372" s="35" t="str">
        <f aca="false">IF(F372="N/A","N/A",IF(S372="","Not assessed",INDEX(Config!$B$5:$B$9,S372)))</f>
        <v>N/A</v>
      </c>
      <c r="U372" s="7" t="str">
        <f aca="false">IF(P372=0,"None",IF(R372="Y","Applied","Pending HO approval"))</f>
        <v>None</v>
      </c>
      <c r="V372" s="8"/>
    </row>
    <row r="373" customFormat="false" ht="15" hidden="false" customHeight="false" outlineLevel="0" collapsed="false">
      <c r="A373" s="26" t="str">
        <f aca="false">Entities!$A$33</f>
        <v>AU</v>
      </c>
      <c r="B373" s="12" t="str">
        <f aca="false">INDEX(Entities!$B$5:$B$34,MATCH(A373,Entities!$A$5:$A$34,0))</f>
        <v>Arab Bank Australia</v>
      </c>
      <c r="C373" s="12" t="str">
        <f aca="false">INDEX(Entities!$D$5:$D$34,MATCH(A373,Entities!$A$5:$A$34,0))</f>
        <v>Asia-Pacific</v>
      </c>
      <c r="D373" s="12" t="s">
        <v>297</v>
      </c>
      <c r="E373" s="12" t="str">
        <f aca="false">INDEX('Risk Taxonomy'!$B$5:$B$24,MATCH(D373,'Risk Taxonomy'!$A$5:$A$24,0))</f>
        <v>Credit risk</v>
      </c>
      <c r="F373" s="7" t="str">
        <f aca="false">IF(D373="RC-04",IF(INDEX(Entities!$G$5:$G$34,MATCH(A373,Entities!$A$5:$A$34,0))="Y","Yes","N/A"),"Yes")</f>
        <v>Yes</v>
      </c>
      <c r="G373" s="24" t="n">
        <v>2</v>
      </c>
      <c r="H373" s="24" t="n">
        <v>1</v>
      </c>
      <c r="I373" s="24" t="n">
        <v>1</v>
      </c>
      <c r="J373" s="24" t="n">
        <v>2</v>
      </c>
      <c r="K373" s="24" t="n">
        <v>1</v>
      </c>
      <c r="L373" s="37" t="n">
        <f aca="false">IF(F373="N/A","",IF(COUNT(H373:K373)=0,"",IF(Config!$C$19="Highest dimension",MAX(H373:K373),ROUND(H373*Config!$C$20+I373*Config!$C$21+J373*Config!$C$22+K373*Config!$C$23,1))))</f>
        <v>2</v>
      </c>
      <c r="M373" s="38" t="n">
        <f aca="false">IF(OR(L373="",G373=""),"",G373*L373)</f>
        <v>4</v>
      </c>
      <c r="N373" s="31" t="n">
        <f aca="false">IF(M373="","",MATCH(M373,Config!$E$5:$E$9,1))</f>
        <v>1</v>
      </c>
      <c r="O373" s="7" t="str">
        <f aca="false">IF(F373="N/A","N/A",IF(N373="","Not assessed",INDEX(Config!$B$5:$B$9,N373)))</f>
        <v>Low</v>
      </c>
      <c r="P373" s="32" t="n">
        <v>0</v>
      </c>
      <c r="Q373" s="8"/>
      <c r="R373" s="33"/>
      <c r="S373" s="34" t="n">
        <f aca="false">IF(N373="","",IF(AND(R373="Y",P373&lt;&gt;0),MAX(1,MIN(5,N373+MAX(-Config!$C$27,MIN(Config!$C$27,P373)))),N373))</f>
        <v>1</v>
      </c>
      <c r="T373" s="35" t="str">
        <f aca="false">IF(F373="N/A","N/A",IF(S373="","Not assessed",INDEX(Config!$B$5:$B$9,S373)))</f>
        <v>Low</v>
      </c>
      <c r="U373" s="7" t="str">
        <f aca="false">IF(P373=0,"None",IF(R373="Y","Applied","Pending HO approval"))</f>
        <v>None</v>
      </c>
      <c r="V373" s="8"/>
    </row>
    <row r="374" customFormat="false" ht="15" hidden="false" customHeight="false" outlineLevel="0" collapsed="false">
      <c r="A374" s="26" t="str">
        <f aca="false">Entities!$A$33</f>
        <v>AU</v>
      </c>
      <c r="B374" s="12" t="str">
        <f aca="false">INDEX(Entities!$B$5:$B$34,MATCH(A374,Entities!$A$5:$A$34,0))</f>
        <v>Arab Bank Australia</v>
      </c>
      <c r="C374" s="12" t="str">
        <f aca="false">INDEX(Entities!$D$5:$D$34,MATCH(A374,Entities!$A$5:$A$34,0))</f>
        <v>Asia-Pacific</v>
      </c>
      <c r="D374" s="12" t="s">
        <v>302</v>
      </c>
      <c r="E374" s="12" t="str">
        <f aca="false">INDEX('Risk Taxonomy'!$B$5:$B$24,MATCH(D374,'Risk Taxonomy'!$A$5:$A$24,0))</f>
        <v>Market risk</v>
      </c>
      <c r="F374" s="7" t="str">
        <f aca="false">IF(D374="RC-04",IF(INDEX(Entities!$G$5:$G$34,MATCH(A374,Entities!$A$5:$A$34,0))="Y","Yes","N/A"),"Yes")</f>
        <v>Yes</v>
      </c>
      <c r="G374" s="24" t="n">
        <v>2</v>
      </c>
      <c r="H374" s="24" t="n">
        <v>3</v>
      </c>
      <c r="I374" s="24" t="n">
        <v>2</v>
      </c>
      <c r="J374" s="24" t="n">
        <v>2</v>
      </c>
      <c r="K374" s="24" t="n">
        <v>2</v>
      </c>
      <c r="L374" s="37" t="n">
        <f aca="false">IF(F374="N/A","",IF(COUNT(H374:K374)=0,"",IF(Config!$C$19="Highest dimension",MAX(H374:K374),ROUND(H374*Config!$C$20+I374*Config!$C$21+J374*Config!$C$22+K374*Config!$C$23,1))))</f>
        <v>3</v>
      </c>
      <c r="M374" s="38" t="n">
        <f aca="false">IF(OR(L374="",G374=""),"",G374*L374)</f>
        <v>6</v>
      </c>
      <c r="N374" s="31" t="n">
        <f aca="false">IF(M374="","",MATCH(M374,Config!$E$5:$E$9,1))</f>
        <v>2</v>
      </c>
      <c r="O374" s="7" t="str">
        <f aca="false">IF(F374="N/A","N/A",IF(N374="","Not assessed",INDEX(Config!$B$5:$B$9,N374)))</f>
        <v>Medium-Low</v>
      </c>
      <c r="P374" s="32" t="n">
        <v>0</v>
      </c>
      <c r="Q374" s="8"/>
      <c r="R374" s="33"/>
      <c r="S374" s="34" t="n">
        <f aca="false">IF(N374="","",IF(AND(R374="Y",P374&lt;&gt;0),MAX(1,MIN(5,N374+MAX(-Config!$C$27,MIN(Config!$C$27,P374)))),N374))</f>
        <v>2</v>
      </c>
      <c r="T374" s="35" t="str">
        <f aca="false">IF(F374="N/A","N/A",IF(S374="","Not assessed",INDEX(Config!$B$5:$B$9,S374)))</f>
        <v>Medium-Low</v>
      </c>
      <c r="U374" s="7" t="str">
        <f aca="false">IF(P374=0,"None",IF(R374="Y","Applied","Pending HO approval"))</f>
        <v>None</v>
      </c>
      <c r="V374" s="8"/>
    </row>
    <row r="375" customFormat="false" ht="15" hidden="false" customHeight="false" outlineLevel="0" collapsed="false">
      <c r="A375" s="26" t="str">
        <f aca="false">Entities!$A$33</f>
        <v>AU</v>
      </c>
      <c r="B375" s="12" t="str">
        <f aca="false">INDEX(Entities!$B$5:$B$34,MATCH(A375,Entities!$A$5:$A$34,0))</f>
        <v>Arab Bank Australia</v>
      </c>
      <c r="C375" s="12" t="str">
        <f aca="false">INDEX(Entities!$D$5:$D$34,MATCH(A375,Entities!$A$5:$A$34,0))</f>
        <v>Asia-Pacific</v>
      </c>
      <c r="D375" s="12" t="s">
        <v>304</v>
      </c>
      <c r="E375" s="12" t="str">
        <f aca="false">INDEX('Risk Taxonomy'!$B$5:$B$24,MATCH(D375,'Risk Taxonomy'!$A$5:$A$24,0))</f>
        <v>Liquidity and funding risk</v>
      </c>
      <c r="F375" s="7" t="str">
        <f aca="false">IF(D375="RC-04",IF(INDEX(Entities!$G$5:$G$34,MATCH(A375,Entities!$A$5:$A$34,0))="Y","Yes","N/A"),"Yes")</f>
        <v>Yes</v>
      </c>
      <c r="G375" s="24" t="n">
        <v>3</v>
      </c>
      <c r="H375" s="24" t="n">
        <v>3</v>
      </c>
      <c r="I375" s="24" t="n">
        <v>2</v>
      </c>
      <c r="J375" s="24" t="n">
        <v>3</v>
      </c>
      <c r="K375" s="24" t="n">
        <v>1</v>
      </c>
      <c r="L375" s="37" t="n">
        <f aca="false">IF(F375="N/A","",IF(COUNT(H375:K375)=0,"",IF(Config!$C$19="Highest dimension",MAX(H375:K375),ROUND(H375*Config!$C$20+I375*Config!$C$21+J375*Config!$C$22+K375*Config!$C$23,1))))</f>
        <v>3</v>
      </c>
      <c r="M375" s="38" t="n">
        <f aca="false">IF(OR(L375="",G375=""),"",G375*L375)</f>
        <v>9</v>
      </c>
      <c r="N375" s="31" t="n">
        <f aca="false">IF(M375="","",MATCH(M375,Config!$E$5:$E$9,1))</f>
        <v>3</v>
      </c>
      <c r="O375" s="7" t="str">
        <f aca="false">IF(F375="N/A","N/A",IF(N375="","Not assessed",INDEX(Config!$B$5:$B$9,N375)))</f>
        <v>Medium</v>
      </c>
      <c r="P375" s="32" t="n">
        <v>0</v>
      </c>
      <c r="Q375" s="8"/>
      <c r="R375" s="33"/>
      <c r="S375" s="34" t="n">
        <f aca="false">IF(N375="","",IF(AND(R375="Y",P375&lt;&gt;0),MAX(1,MIN(5,N375+MAX(-Config!$C$27,MIN(Config!$C$27,P375)))),N375))</f>
        <v>3</v>
      </c>
      <c r="T375" s="35" t="str">
        <f aca="false">IF(F375="N/A","N/A",IF(S375="","Not assessed",INDEX(Config!$B$5:$B$9,S375)))</f>
        <v>Medium</v>
      </c>
      <c r="U375" s="7" t="str">
        <f aca="false">IF(P375=0,"None",IF(R375="Y","Applied","Pending HO approval"))</f>
        <v>None</v>
      </c>
      <c r="V375" s="8"/>
    </row>
    <row r="376" customFormat="false" ht="15" hidden="false" customHeight="false" outlineLevel="0" collapsed="false">
      <c r="A376" s="26" t="str">
        <f aca="false">Entities!$A$33</f>
        <v>AU</v>
      </c>
      <c r="B376" s="12" t="str">
        <f aca="false">INDEX(Entities!$B$5:$B$34,MATCH(A376,Entities!$A$5:$A$34,0))</f>
        <v>Arab Bank Australia</v>
      </c>
      <c r="C376" s="12" t="str">
        <f aca="false">INDEX(Entities!$D$5:$D$34,MATCH(A376,Entities!$A$5:$A$34,0))</f>
        <v>Asia-Pacific</v>
      </c>
      <c r="D376" s="12" t="s">
        <v>307</v>
      </c>
      <c r="E376" s="12" t="str">
        <f aca="false">INDEX('Risk Taxonomy'!$B$5:$B$24,MATCH(D376,'Risk Taxonomy'!$A$5:$A$24,0))</f>
        <v>Operational risk</v>
      </c>
      <c r="F376" s="7" t="str">
        <f aca="false">IF(D376="RC-04",IF(INDEX(Entities!$G$5:$G$34,MATCH(A376,Entities!$A$5:$A$34,0))="Y","Yes","N/A"),"Yes")</f>
        <v>Yes</v>
      </c>
      <c r="G376" s="24" t="n">
        <v>4</v>
      </c>
      <c r="H376" s="24" t="n">
        <v>1</v>
      </c>
      <c r="I376" s="24" t="n">
        <v>2</v>
      </c>
      <c r="J376" s="24" t="n">
        <v>4</v>
      </c>
      <c r="K376" s="24" t="n">
        <v>2</v>
      </c>
      <c r="L376" s="37" t="n">
        <f aca="false">IF(F376="N/A","",IF(COUNT(H376:K376)=0,"",IF(Config!$C$19="Highest dimension",MAX(H376:K376),ROUND(H376*Config!$C$20+I376*Config!$C$21+J376*Config!$C$22+K376*Config!$C$23,1))))</f>
        <v>4</v>
      </c>
      <c r="M376" s="38" t="n">
        <f aca="false">IF(OR(L376="",G376=""),"",G376*L376)</f>
        <v>16</v>
      </c>
      <c r="N376" s="31" t="n">
        <f aca="false">IF(M376="","",MATCH(M376,Config!$E$5:$E$9,1))</f>
        <v>4</v>
      </c>
      <c r="O376" s="7" t="str">
        <f aca="false">IF(F376="N/A","N/A",IF(N376="","Not assessed",INDEX(Config!$B$5:$B$9,N376)))</f>
        <v>Medium-High</v>
      </c>
      <c r="P376" s="32" t="n">
        <v>0</v>
      </c>
      <c r="Q376" s="8"/>
      <c r="R376" s="33"/>
      <c r="S376" s="34" t="n">
        <f aca="false">IF(N376="","",IF(AND(R376="Y",P376&lt;&gt;0),MAX(1,MIN(5,N376+MAX(-Config!$C$27,MIN(Config!$C$27,P376)))),N376))</f>
        <v>4</v>
      </c>
      <c r="T376" s="35" t="str">
        <f aca="false">IF(F376="N/A","N/A",IF(S376="","Not assessed",INDEX(Config!$B$5:$B$9,S376)))</f>
        <v>Medium-High</v>
      </c>
      <c r="U376" s="7" t="str">
        <f aca="false">IF(P376=0,"None",IF(R376="Y","Applied","Pending HO approval"))</f>
        <v>None</v>
      </c>
      <c r="V376" s="8"/>
    </row>
    <row r="377" customFormat="false" ht="15" hidden="false" customHeight="false" outlineLevel="0" collapsed="false">
      <c r="A377" s="26" t="str">
        <f aca="false">Entities!$A$33</f>
        <v>AU</v>
      </c>
      <c r="B377" s="12" t="str">
        <f aca="false">INDEX(Entities!$B$5:$B$34,MATCH(A377,Entities!$A$5:$A$34,0))</f>
        <v>Arab Bank Australia</v>
      </c>
      <c r="C377" s="12" t="str">
        <f aca="false">INDEX(Entities!$D$5:$D$34,MATCH(A377,Entities!$A$5:$A$34,0))</f>
        <v>Asia-Pacific</v>
      </c>
      <c r="D377" s="12" t="s">
        <v>310</v>
      </c>
      <c r="E377" s="12" t="str">
        <f aca="false">INDEX('Risk Taxonomy'!$B$5:$B$24,MATCH(D377,'Risk Taxonomy'!$A$5:$A$24,0))</f>
        <v>Cyber, information security and technology</v>
      </c>
      <c r="F377" s="7" t="str">
        <f aca="false">IF(D377="RC-04",IF(INDEX(Entities!$G$5:$G$34,MATCH(A377,Entities!$A$5:$A$34,0))="Y","Yes","N/A"),"Yes")</f>
        <v>Yes</v>
      </c>
      <c r="G377" s="24" t="n">
        <v>3</v>
      </c>
      <c r="H377" s="24" t="n">
        <v>4</v>
      </c>
      <c r="I377" s="24" t="n">
        <v>3</v>
      </c>
      <c r="J377" s="24" t="n">
        <v>2</v>
      </c>
      <c r="K377" s="24" t="n">
        <v>2</v>
      </c>
      <c r="L377" s="37" t="n">
        <f aca="false">IF(F377="N/A","",IF(COUNT(H377:K377)=0,"",IF(Config!$C$19="Highest dimension",MAX(H377:K377),ROUND(H377*Config!$C$20+I377*Config!$C$21+J377*Config!$C$22+K377*Config!$C$23,1))))</f>
        <v>4</v>
      </c>
      <c r="M377" s="38" t="n">
        <f aca="false">IF(OR(L377="",G377=""),"",G377*L377)</f>
        <v>12</v>
      </c>
      <c r="N377" s="31" t="n">
        <f aca="false">IF(M377="","",MATCH(M377,Config!$E$5:$E$9,1))</f>
        <v>3</v>
      </c>
      <c r="O377" s="7" t="str">
        <f aca="false">IF(F377="N/A","N/A",IF(N377="","Not assessed",INDEX(Config!$B$5:$B$9,N377)))</f>
        <v>Medium</v>
      </c>
      <c r="P377" s="32" t="n">
        <v>0</v>
      </c>
      <c r="Q377" s="8"/>
      <c r="R377" s="33"/>
      <c r="S377" s="34" t="n">
        <f aca="false">IF(N377="","",IF(AND(R377="Y",P377&lt;&gt;0),MAX(1,MIN(5,N377+MAX(-Config!$C$27,MIN(Config!$C$27,P377)))),N377))</f>
        <v>3</v>
      </c>
      <c r="T377" s="35" t="str">
        <f aca="false">IF(F377="N/A","N/A",IF(S377="","Not assessed",INDEX(Config!$B$5:$B$9,S377)))</f>
        <v>Medium</v>
      </c>
      <c r="U377" s="7" t="str">
        <f aca="false">IF(P377=0,"None",IF(R377="Y","Applied","Pending HO approval"))</f>
        <v>None</v>
      </c>
      <c r="V377" s="8"/>
    </row>
    <row r="378" customFormat="false" ht="15" hidden="false" customHeight="false" outlineLevel="0" collapsed="false">
      <c r="A378" s="26" t="str">
        <f aca="false">Entities!$A$33</f>
        <v>AU</v>
      </c>
      <c r="B378" s="12" t="str">
        <f aca="false">INDEX(Entities!$B$5:$B$34,MATCH(A378,Entities!$A$5:$A$34,0))</f>
        <v>Arab Bank Australia</v>
      </c>
      <c r="C378" s="12" t="str">
        <f aca="false">INDEX(Entities!$D$5:$D$34,MATCH(A378,Entities!$A$5:$A$34,0))</f>
        <v>Asia-Pacific</v>
      </c>
      <c r="D378" s="12" t="s">
        <v>313</v>
      </c>
      <c r="E378" s="12" t="str">
        <f aca="false">INDEX('Risk Taxonomy'!$B$5:$B$24,MATCH(D378,'Risk Taxonomy'!$A$5:$A$24,0))</f>
        <v>Third-party and outsourcing</v>
      </c>
      <c r="F378" s="7" t="str">
        <f aca="false">IF(D378="RC-04",IF(INDEX(Entities!$G$5:$G$34,MATCH(A378,Entities!$A$5:$A$34,0))="Y","Yes","N/A"),"Yes")</f>
        <v>Yes</v>
      </c>
      <c r="G378" s="24" t="n">
        <v>2</v>
      </c>
      <c r="H378" s="24" t="n">
        <v>3</v>
      </c>
      <c r="I378" s="24" t="n">
        <v>3</v>
      </c>
      <c r="J378" s="24" t="n">
        <v>2</v>
      </c>
      <c r="K378" s="24" t="n">
        <v>3</v>
      </c>
      <c r="L378" s="37" t="n">
        <f aca="false">IF(F378="N/A","",IF(COUNT(H378:K378)=0,"",IF(Config!$C$19="Highest dimension",MAX(H378:K378),ROUND(H378*Config!$C$20+I378*Config!$C$21+J378*Config!$C$22+K378*Config!$C$23,1))))</f>
        <v>3</v>
      </c>
      <c r="M378" s="38" t="n">
        <f aca="false">IF(OR(L378="",G378=""),"",G378*L378)</f>
        <v>6</v>
      </c>
      <c r="N378" s="31" t="n">
        <f aca="false">IF(M378="","",MATCH(M378,Config!$E$5:$E$9,1))</f>
        <v>2</v>
      </c>
      <c r="O378" s="7" t="str">
        <f aca="false">IF(F378="N/A","N/A",IF(N378="","Not assessed",INDEX(Config!$B$5:$B$9,N378)))</f>
        <v>Medium-Low</v>
      </c>
      <c r="P378" s="32" t="n">
        <v>0</v>
      </c>
      <c r="Q378" s="8"/>
      <c r="R378" s="33"/>
      <c r="S378" s="34" t="n">
        <f aca="false">IF(N378="","",IF(AND(R378="Y",P378&lt;&gt;0),MAX(1,MIN(5,N378+MAX(-Config!$C$27,MIN(Config!$C$27,P378)))),N378))</f>
        <v>2</v>
      </c>
      <c r="T378" s="35" t="str">
        <f aca="false">IF(F378="N/A","N/A",IF(S378="","Not assessed",INDEX(Config!$B$5:$B$9,S378)))</f>
        <v>Medium-Low</v>
      </c>
      <c r="U378" s="7" t="str">
        <f aca="false">IF(P378=0,"None",IF(R378="Y","Applied","Pending HO approval"))</f>
        <v>None</v>
      </c>
      <c r="V378" s="8"/>
    </row>
    <row r="379" customFormat="false" ht="15" hidden="false" customHeight="false" outlineLevel="0" collapsed="false">
      <c r="A379" s="26" t="str">
        <f aca="false">Entities!$A$33</f>
        <v>AU</v>
      </c>
      <c r="B379" s="12" t="str">
        <f aca="false">INDEX(Entities!$B$5:$B$34,MATCH(A379,Entities!$A$5:$A$34,0))</f>
        <v>Arab Bank Australia</v>
      </c>
      <c r="C379" s="12" t="str">
        <f aca="false">INDEX(Entities!$D$5:$D$34,MATCH(A379,Entities!$A$5:$A$34,0))</f>
        <v>Asia-Pacific</v>
      </c>
      <c r="D379" s="12" t="s">
        <v>316</v>
      </c>
      <c r="E379" s="12" t="str">
        <f aca="false">INDEX('Risk Taxonomy'!$B$5:$B$24,MATCH(D379,'Risk Taxonomy'!$A$5:$A$24,0))</f>
        <v>Legal and litigation</v>
      </c>
      <c r="F379" s="7" t="str">
        <f aca="false">IF(D379="RC-04",IF(INDEX(Entities!$G$5:$G$34,MATCH(A379,Entities!$A$5:$A$34,0))="Y","Yes","N/A"),"Yes")</f>
        <v>Yes</v>
      </c>
      <c r="G379" s="24" t="n">
        <v>3</v>
      </c>
      <c r="H379" s="24" t="n">
        <v>2</v>
      </c>
      <c r="I379" s="24" t="n">
        <v>3</v>
      </c>
      <c r="J379" s="24" t="n">
        <v>1</v>
      </c>
      <c r="K379" s="24" t="n">
        <v>1</v>
      </c>
      <c r="L379" s="37" t="n">
        <f aca="false">IF(F379="N/A","",IF(COUNT(H379:K379)=0,"",IF(Config!$C$19="Highest dimension",MAX(H379:K379),ROUND(H379*Config!$C$20+I379*Config!$C$21+J379*Config!$C$22+K379*Config!$C$23,1))))</f>
        <v>3</v>
      </c>
      <c r="M379" s="38" t="n">
        <f aca="false">IF(OR(L379="",G379=""),"",G379*L379)</f>
        <v>9</v>
      </c>
      <c r="N379" s="31" t="n">
        <f aca="false">IF(M379="","",MATCH(M379,Config!$E$5:$E$9,1))</f>
        <v>3</v>
      </c>
      <c r="O379" s="7" t="str">
        <f aca="false">IF(F379="N/A","N/A",IF(N379="","Not assessed",INDEX(Config!$B$5:$B$9,N379)))</f>
        <v>Medium</v>
      </c>
      <c r="P379" s="32" t="n">
        <v>0</v>
      </c>
      <c r="Q379" s="8"/>
      <c r="R379" s="33"/>
      <c r="S379" s="34" t="n">
        <f aca="false">IF(N379="","",IF(AND(R379="Y",P379&lt;&gt;0),MAX(1,MIN(5,N379+MAX(-Config!$C$27,MIN(Config!$C$27,P379)))),N379))</f>
        <v>3</v>
      </c>
      <c r="T379" s="35" t="str">
        <f aca="false">IF(F379="N/A","N/A",IF(S379="","Not assessed",INDEX(Config!$B$5:$B$9,S379)))</f>
        <v>Medium</v>
      </c>
      <c r="U379" s="7" t="str">
        <f aca="false">IF(P379=0,"None",IF(R379="Y","Applied","Pending HO approval"))</f>
        <v>None</v>
      </c>
      <c r="V379" s="8"/>
    </row>
    <row r="380" customFormat="false" ht="15" hidden="false" customHeight="false" outlineLevel="0" collapsed="false">
      <c r="A380" s="26" t="str">
        <f aca="false">Entities!$A$33</f>
        <v>AU</v>
      </c>
      <c r="B380" s="12" t="str">
        <f aca="false">INDEX(Entities!$B$5:$B$34,MATCH(A380,Entities!$A$5:$A$34,0))</f>
        <v>Arab Bank Australia</v>
      </c>
      <c r="C380" s="12" t="str">
        <f aca="false">INDEX(Entities!$D$5:$D$34,MATCH(A380,Entities!$A$5:$A$34,0))</f>
        <v>Asia-Pacific</v>
      </c>
      <c r="D380" s="12" t="s">
        <v>319</v>
      </c>
      <c r="E380" s="12" t="str">
        <f aca="false">INDEX('Risk Taxonomy'!$B$5:$B$24,MATCH(D380,'Risk Taxonomy'!$A$5:$A$24,0))</f>
        <v>Reputational</v>
      </c>
      <c r="F380" s="7" t="str">
        <f aca="false">IF(D380="RC-04",IF(INDEX(Entities!$G$5:$G$34,MATCH(A380,Entities!$A$5:$A$34,0))="Y","Yes","N/A"),"Yes")</f>
        <v>Yes</v>
      </c>
      <c r="G380" s="24" t="n">
        <v>2</v>
      </c>
      <c r="H380" s="24" t="n">
        <v>3</v>
      </c>
      <c r="I380" s="24" t="n">
        <v>2</v>
      </c>
      <c r="J380" s="24" t="n">
        <v>2</v>
      </c>
      <c r="K380" s="24" t="n">
        <v>1</v>
      </c>
      <c r="L380" s="37" t="n">
        <f aca="false">IF(F380="N/A","",IF(COUNT(H380:K380)=0,"",IF(Config!$C$19="Highest dimension",MAX(H380:K380),ROUND(H380*Config!$C$20+I380*Config!$C$21+J380*Config!$C$22+K380*Config!$C$23,1))))</f>
        <v>3</v>
      </c>
      <c r="M380" s="38" t="n">
        <f aca="false">IF(OR(L380="",G380=""),"",G380*L380)</f>
        <v>6</v>
      </c>
      <c r="N380" s="31" t="n">
        <f aca="false">IF(M380="","",MATCH(M380,Config!$E$5:$E$9,1))</f>
        <v>2</v>
      </c>
      <c r="O380" s="7" t="str">
        <f aca="false">IF(F380="N/A","N/A",IF(N380="","Not assessed",INDEX(Config!$B$5:$B$9,N380)))</f>
        <v>Medium-Low</v>
      </c>
      <c r="P380" s="32" t="n">
        <v>0</v>
      </c>
      <c r="Q380" s="8"/>
      <c r="R380" s="33"/>
      <c r="S380" s="34" t="n">
        <f aca="false">IF(N380="","",IF(AND(R380="Y",P380&lt;&gt;0),MAX(1,MIN(5,N380+MAX(-Config!$C$27,MIN(Config!$C$27,P380)))),N380))</f>
        <v>2</v>
      </c>
      <c r="T380" s="35" t="str">
        <f aca="false">IF(F380="N/A","N/A",IF(S380="","Not assessed",INDEX(Config!$B$5:$B$9,S380)))</f>
        <v>Medium-Low</v>
      </c>
      <c r="U380" s="7" t="str">
        <f aca="false">IF(P380=0,"None",IF(R380="Y","Applied","Pending HO approval"))</f>
        <v>None</v>
      </c>
      <c r="V380" s="8"/>
    </row>
    <row r="381" customFormat="false" ht="15" hidden="false" customHeight="false" outlineLevel="0" collapsed="false">
      <c r="A381" s="26" t="str">
        <f aca="false">Entities!$A$33</f>
        <v>AU</v>
      </c>
      <c r="B381" s="12" t="str">
        <f aca="false">INDEX(Entities!$B$5:$B$34,MATCH(A381,Entities!$A$5:$A$34,0))</f>
        <v>Arab Bank Australia</v>
      </c>
      <c r="C381" s="12" t="str">
        <f aca="false">INDEX(Entities!$D$5:$D$34,MATCH(A381,Entities!$A$5:$A$34,0))</f>
        <v>Asia-Pacific</v>
      </c>
      <c r="D381" s="12" t="s">
        <v>322</v>
      </c>
      <c r="E381" s="12" t="str">
        <f aca="false">INDEX('Risk Taxonomy'!$B$5:$B$24,MATCH(D381,'Risk Taxonomy'!$A$5:$A$24,0))</f>
        <v>Strategic, business model and ESG</v>
      </c>
      <c r="F381" s="7" t="str">
        <f aca="false">IF(D381="RC-04",IF(INDEX(Entities!$G$5:$G$34,MATCH(A381,Entities!$A$5:$A$34,0))="Y","Yes","N/A"),"Yes")</f>
        <v>Yes</v>
      </c>
      <c r="G381" s="24" t="n">
        <v>4</v>
      </c>
      <c r="H381" s="24" t="n">
        <v>2</v>
      </c>
      <c r="I381" s="24" t="n">
        <v>2</v>
      </c>
      <c r="J381" s="24" t="n">
        <v>1</v>
      </c>
      <c r="K381" s="24" t="n">
        <v>1</v>
      </c>
      <c r="L381" s="37" t="n">
        <f aca="false">IF(F381="N/A","",IF(COUNT(H381:K381)=0,"",IF(Config!$C$19="Highest dimension",MAX(H381:K381),ROUND(H381*Config!$C$20+I381*Config!$C$21+J381*Config!$C$22+K381*Config!$C$23,1))))</f>
        <v>2</v>
      </c>
      <c r="M381" s="38" t="n">
        <f aca="false">IF(OR(L381="",G381=""),"",G381*L381)</f>
        <v>8</v>
      </c>
      <c r="N381" s="31" t="n">
        <f aca="false">IF(M381="","",MATCH(M381,Config!$E$5:$E$9,1))</f>
        <v>2</v>
      </c>
      <c r="O381" s="7" t="str">
        <f aca="false">IF(F381="N/A","N/A",IF(N381="","Not assessed",INDEX(Config!$B$5:$B$9,N381)))</f>
        <v>Medium-Low</v>
      </c>
      <c r="P381" s="32" t="n">
        <v>0</v>
      </c>
      <c r="Q381" s="8"/>
      <c r="R381" s="33"/>
      <c r="S381" s="34" t="n">
        <f aca="false">IF(N381="","",IF(AND(R381="Y",P381&lt;&gt;0),MAX(1,MIN(5,N381+MAX(-Config!$C$27,MIN(Config!$C$27,P381)))),N381))</f>
        <v>2</v>
      </c>
      <c r="T381" s="35" t="str">
        <f aca="false">IF(F381="N/A","N/A",IF(S381="","Not assessed",INDEX(Config!$B$5:$B$9,S381)))</f>
        <v>Medium-Low</v>
      </c>
      <c r="U381" s="7" t="str">
        <f aca="false">IF(P381=0,"None",IF(R381="Y","Applied","Pending HO approval"))</f>
        <v>None</v>
      </c>
      <c r="V381" s="8"/>
    </row>
    <row r="382" customFormat="false" ht="15" hidden="false" customHeight="false" outlineLevel="0" collapsed="false">
      <c r="A382" s="26" t="str">
        <f aca="false">Entities!$A$34</f>
        <v>US</v>
      </c>
      <c r="B382" s="12" t="str">
        <f aca="false">INDEX(Entities!$B$5:$B$34,MATCH(A382,Entities!$A$5:$A$34,0))</f>
        <v>Arab Bank – United States (if retained)</v>
      </c>
      <c r="C382" s="12" t="str">
        <f aca="false">INDEX(Entities!$D$5:$D$34,MATCH(A382,Entities!$A$5:$A$34,0))</f>
        <v>Americas</v>
      </c>
      <c r="D382" s="12" t="s">
        <v>284</v>
      </c>
      <c r="E382" s="12" t="str">
        <f aca="false">INDEX('Risk Taxonomy'!$B$5:$B$24,MATCH(D382,'Risk Taxonomy'!$A$5:$A$24,0))</f>
        <v>Regulatory compliance</v>
      </c>
      <c r="F382" s="7" t="str">
        <f aca="false">IF(D382="RC-04",IF(INDEX(Entities!$G$5:$G$34,MATCH(A382,Entities!$A$5:$A$34,0))="Y","Yes","N/A"),"Yes")</f>
        <v>Yes</v>
      </c>
      <c r="G382" s="24" t="n">
        <v>2</v>
      </c>
      <c r="H382" s="24" t="n">
        <v>2</v>
      </c>
      <c r="I382" s="24" t="n">
        <v>1</v>
      </c>
      <c r="J382" s="24" t="n">
        <v>2</v>
      </c>
      <c r="K382" s="24" t="n">
        <v>1</v>
      </c>
      <c r="L382" s="37" t="n">
        <f aca="false">IF(F382="N/A","",IF(COUNT(H382:K382)=0,"",IF(Config!$C$19="Highest dimension",MAX(H382:K382),ROUND(H382*Config!$C$20+I382*Config!$C$21+J382*Config!$C$22+K382*Config!$C$23,1))))</f>
        <v>2</v>
      </c>
      <c r="M382" s="38" t="n">
        <f aca="false">IF(OR(L382="",G382=""),"",G382*L382)</f>
        <v>4</v>
      </c>
      <c r="N382" s="31" t="n">
        <f aca="false">IF(M382="","",MATCH(M382,Config!$E$5:$E$9,1))</f>
        <v>1</v>
      </c>
      <c r="O382" s="7" t="str">
        <f aca="false">IF(F382="N/A","N/A",IF(N382="","Not assessed",INDEX(Config!$B$5:$B$9,N382)))</f>
        <v>Low</v>
      </c>
      <c r="P382" s="32" t="n">
        <v>0</v>
      </c>
      <c r="Q382" s="8"/>
      <c r="R382" s="33"/>
      <c r="S382" s="34" t="n">
        <f aca="false">IF(N382="","",IF(AND(R382="Y",P382&lt;&gt;0),MAX(1,MIN(5,N382+MAX(-Config!$C$27,MIN(Config!$C$27,P382)))),N382))</f>
        <v>1</v>
      </c>
      <c r="T382" s="35" t="str">
        <f aca="false">IF(F382="N/A","N/A",IF(S382="","Not assessed",INDEX(Config!$B$5:$B$9,S382)))</f>
        <v>Low</v>
      </c>
      <c r="U382" s="7" t="str">
        <f aca="false">IF(P382=0,"None",IF(R382="Y","Applied","Pending HO approval"))</f>
        <v>None</v>
      </c>
      <c r="V382" s="8"/>
    </row>
    <row r="383" customFormat="false" ht="15" hidden="false" customHeight="false" outlineLevel="0" collapsed="false">
      <c r="A383" s="26" t="str">
        <f aca="false">Entities!$A$34</f>
        <v>US</v>
      </c>
      <c r="B383" s="12" t="str">
        <f aca="false">INDEX(Entities!$B$5:$B$34,MATCH(A383,Entities!$A$5:$A$34,0))</f>
        <v>Arab Bank – United States (if retained)</v>
      </c>
      <c r="C383" s="12" t="str">
        <f aca="false">INDEX(Entities!$D$5:$D$34,MATCH(A383,Entities!$A$5:$A$34,0))</f>
        <v>Americas</v>
      </c>
      <c r="D383" s="12" t="s">
        <v>288</v>
      </c>
      <c r="E383" s="12" t="str">
        <f aca="false">INDEX('Risk Taxonomy'!$B$5:$B$24,MATCH(D383,'Risk Taxonomy'!$A$5:$A$24,0))</f>
        <v>Conduct and consumer protection</v>
      </c>
      <c r="F383" s="7" t="str">
        <f aca="false">IF(D383="RC-04",IF(INDEX(Entities!$G$5:$G$34,MATCH(A383,Entities!$A$5:$A$34,0))="Y","Yes","N/A"),"Yes")</f>
        <v>Yes</v>
      </c>
      <c r="G383" s="24" t="n">
        <v>1</v>
      </c>
      <c r="H383" s="24" t="n">
        <v>2</v>
      </c>
      <c r="I383" s="24" t="n">
        <v>3</v>
      </c>
      <c r="J383" s="24" t="n">
        <v>2</v>
      </c>
      <c r="K383" s="24" t="n">
        <v>2</v>
      </c>
      <c r="L383" s="37" t="n">
        <f aca="false">IF(F383="N/A","",IF(COUNT(H383:K383)=0,"",IF(Config!$C$19="Highest dimension",MAX(H383:K383),ROUND(H383*Config!$C$20+I383*Config!$C$21+J383*Config!$C$22+K383*Config!$C$23,1))))</f>
        <v>3</v>
      </c>
      <c r="M383" s="38" t="n">
        <f aca="false">IF(OR(L383="",G383=""),"",G383*L383)</f>
        <v>3</v>
      </c>
      <c r="N383" s="31" t="n">
        <f aca="false">IF(M383="","",MATCH(M383,Config!$E$5:$E$9,1))</f>
        <v>1</v>
      </c>
      <c r="O383" s="7" t="str">
        <f aca="false">IF(F383="N/A","N/A",IF(N383="","Not assessed",INDEX(Config!$B$5:$B$9,N383)))</f>
        <v>Low</v>
      </c>
      <c r="P383" s="32" t="n">
        <v>0</v>
      </c>
      <c r="Q383" s="8"/>
      <c r="R383" s="33"/>
      <c r="S383" s="34" t="n">
        <f aca="false">IF(N383="","",IF(AND(R383="Y",P383&lt;&gt;0),MAX(1,MIN(5,N383+MAX(-Config!$C$27,MIN(Config!$C$27,P383)))),N383))</f>
        <v>1</v>
      </c>
      <c r="T383" s="35" t="str">
        <f aca="false">IF(F383="N/A","N/A",IF(S383="","Not assessed",INDEX(Config!$B$5:$B$9,S383)))</f>
        <v>Low</v>
      </c>
      <c r="U383" s="7" t="str">
        <f aca="false">IF(P383=0,"None",IF(R383="Y","Applied","Pending HO approval"))</f>
        <v>None</v>
      </c>
      <c r="V383" s="8"/>
    </row>
    <row r="384" customFormat="false" ht="15" hidden="false" customHeight="false" outlineLevel="0" collapsed="false">
      <c r="A384" s="26" t="str">
        <f aca="false">Entities!$A$34</f>
        <v>US</v>
      </c>
      <c r="B384" s="12" t="str">
        <f aca="false">INDEX(Entities!$B$5:$B$34,MATCH(A384,Entities!$A$5:$A$34,0))</f>
        <v>Arab Bank – United States (if retained)</v>
      </c>
      <c r="C384" s="12" t="str">
        <f aca="false">INDEX(Entities!$D$5:$D$34,MATCH(A384,Entities!$A$5:$A$34,0))</f>
        <v>Americas</v>
      </c>
      <c r="D384" s="12" t="s">
        <v>290</v>
      </c>
      <c r="E384" s="12" t="str">
        <f aca="false">INDEX('Risk Taxonomy'!$B$5:$B$24,MATCH(D384,'Risk Taxonomy'!$A$5:$A$24,0))</f>
        <v>Data protection and privacy</v>
      </c>
      <c r="F384" s="7" t="str">
        <f aca="false">IF(D384="RC-04",IF(INDEX(Entities!$G$5:$G$34,MATCH(A384,Entities!$A$5:$A$34,0))="Y","Yes","N/A"),"Yes")</f>
        <v>Yes</v>
      </c>
      <c r="G384" s="24" t="n">
        <v>2</v>
      </c>
      <c r="H384" s="24" t="n">
        <v>1</v>
      </c>
      <c r="I384" s="24" t="n">
        <v>2</v>
      </c>
      <c r="J384" s="24" t="n">
        <v>1</v>
      </c>
      <c r="K384" s="24" t="n">
        <v>1</v>
      </c>
      <c r="L384" s="37" t="n">
        <f aca="false">IF(F384="N/A","",IF(COUNT(H384:K384)=0,"",IF(Config!$C$19="Highest dimension",MAX(H384:K384),ROUND(H384*Config!$C$20+I384*Config!$C$21+J384*Config!$C$22+K384*Config!$C$23,1))))</f>
        <v>2</v>
      </c>
      <c r="M384" s="38" t="n">
        <f aca="false">IF(OR(L384="",G384=""),"",G384*L384)</f>
        <v>4</v>
      </c>
      <c r="N384" s="31" t="n">
        <f aca="false">IF(M384="","",MATCH(M384,Config!$E$5:$E$9,1))</f>
        <v>1</v>
      </c>
      <c r="O384" s="7" t="str">
        <f aca="false">IF(F384="N/A","N/A",IF(N384="","Not assessed",INDEX(Config!$B$5:$B$9,N384)))</f>
        <v>Low</v>
      </c>
      <c r="P384" s="32" t="n">
        <v>0</v>
      </c>
      <c r="Q384" s="8"/>
      <c r="R384" s="33"/>
      <c r="S384" s="34" t="n">
        <f aca="false">IF(N384="","",IF(AND(R384="Y",P384&lt;&gt;0),MAX(1,MIN(5,N384+MAX(-Config!$C$27,MIN(Config!$C$27,P384)))),N384))</f>
        <v>1</v>
      </c>
      <c r="T384" s="35" t="str">
        <f aca="false">IF(F384="N/A","N/A",IF(S384="","Not assessed",INDEX(Config!$B$5:$B$9,S384)))</f>
        <v>Low</v>
      </c>
      <c r="U384" s="7" t="str">
        <f aca="false">IF(P384=0,"None",IF(R384="Y","Applied","Pending HO approval"))</f>
        <v>None</v>
      </c>
      <c r="V384" s="8"/>
    </row>
    <row r="385" customFormat="false" ht="15" hidden="false" customHeight="false" outlineLevel="0" collapsed="false">
      <c r="A385" s="26" t="str">
        <f aca="false">Entities!$A$34</f>
        <v>US</v>
      </c>
      <c r="B385" s="12" t="str">
        <f aca="false">INDEX(Entities!$B$5:$B$34,MATCH(A385,Entities!$A$5:$A$34,0))</f>
        <v>Arab Bank – United States (if retained)</v>
      </c>
      <c r="C385" s="12" t="str">
        <f aca="false">INDEX(Entities!$D$5:$D$34,MATCH(A385,Entities!$A$5:$A$34,0))</f>
        <v>Americas</v>
      </c>
      <c r="D385" s="12" t="s">
        <v>293</v>
      </c>
      <c r="E385" s="12" t="str">
        <f aca="false">INDEX('Risk Taxonomy'!$B$5:$B$24,MATCH(D385,'Risk Taxonomy'!$A$5:$A$24,0))</f>
        <v>Shariah non-compliance</v>
      </c>
      <c r="F385" s="7" t="str">
        <f aca="false">IF(D385="RC-04",IF(INDEX(Entities!$G$5:$G$34,MATCH(A385,Entities!$A$5:$A$34,0))="Y","Yes","N/A"),"Yes")</f>
        <v>N/A</v>
      </c>
      <c r="G385" s="24"/>
      <c r="H385" s="24"/>
      <c r="I385" s="24"/>
      <c r="J385" s="24"/>
      <c r="K385" s="24"/>
      <c r="L385" s="37" t="str">
        <f aca="false">IF(F385="N/A","",IF(COUNT(H385:K385)=0,"",IF(Config!$C$19="Highest dimension",MAX(H385:K385),ROUND(H385*Config!$C$20+I385*Config!$C$21+J385*Config!$C$22+K385*Config!$C$23,1))))</f>
        <v/>
      </c>
      <c r="M385" s="38" t="str">
        <f aca="false">IF(OR(L385="",G385=""),"",G385*L385)</f>
        <v/>
      </c>
      <c r="N385" s="31" t="str">
        <f aca="false">IF(M385="","",MATCH(M385,Config!$E$5:$E$9,1))</f>
        <v/>
      </c>
      <c r="O385" s="7" t="str">
        <f aca="false">IF(F385="N/A","N/A",IF(N385="","Not assessed",INDEX(Config!$B$5:$B$9,N385)))</f>
        <v>N/A</v>
      </c>
      <c r="P385" s="32" t="n">
        <v>0</v>
      </c>
      <c r="Q385" s="8"/>
      <c r="R385" s="33"/>
      <c r="S385" s="34" t="str">
        <f aca="false">IF(N385="","",IF(AND(R385="Y",P385&lt;&gt;0),MAX(1,MIN(5,N385+MAX(-Config!$C$27,MIN(Config!$C$27,P385)))),N385))</f>
        <v/>
      </c>
      <c r="T385" s="35" t="str">
        <f aca="false">IF(F385="N/A","N/A",IF(S385="","Not assessed",INDEX(Config!$B$5:$B$9,S385)))</f>
        <v>N/A</v>
      </c>
      <c r="U385" s="7" t="str">
        <f aca="false">IF(P385=0,"None",IF(R385="Y","Applied","Pending HO approval"))</f>
        <v>None</v>
      </c>
      <c r="V385" s="8"/>
    </row>
    <row r="386" customFormat="false" ht="15" hidden="false" customHeight="false" outlineLevel="0" collapsed="false">
      <c r="A386" s="26" t="str">
        <f aca="false">Entities!$A$34</f>
        <v>US</v>
      </c>
      <c r="B386" s="12" t="str">
        <f aca="false">INDEX(Entities!$B$5:$B$34,MATCH(A386,Entities!$A$5:$A$34,0))</f>
        <v>Arab Bank – United States (if retained)</v>
      </c>
      <c r="C386" s="12" t="str">
        <f aca="false">INDEX(Entities!$D$5:$D$34,MATCH(A386,Entities!$A$5:$A$34,0))</f>
        <v>Americas</v>
      </c>
      <c r="D386" s="12" t="s">
        <v>297</v>
      </c>
      <c r="E386" s="12" t="str">
        <f aca="false">INDEX('Risk Taxonomy'!$B$5:$B$24,MATCH(D386,'Risk Taxonomy'!$A$5:$A$24,0))</f>
        <v>Credit risk</v>
      </c>
      <c r="F386" s="7" t="str">
        <f aca="false">IF(D386="RC-04",IF(INDEX(Entities!$G$5:$G$34,MATCH(A386,Entities!$A$5:$A$34,0))="Y","Yes","N/A"),"Yes")</f>
        <v>Yes</v>
      </c>
      <c r="G386" s="24" t="n">
        <v>2</v>
      </c>
      <c r="H386" s="24" t="n">
        <v>2</v>
      </c>
      <c r="I386" s="24" t="n">
        <v>1</v>
      </c>
      <c r="J386" s="24" t="n">
        <v>2</v>
      </c>
      <c r="K386" s="24" t="n">
        <v>2</v>
      </c>
      <c r="L386" s="37" t="n">
        <f aca="false">IF(F386="N/A","",IF(COUNT(H386:K386)=0,"",IF(Config!$C$19="Highest dimension",MAX(H386:K386),ROUND(H386*Config!$C$20+I386*Config!$C$21+J386*Config!$C$22+K386*Config!$C$23,1))))</f>
        <v>2</v>
      </c>
      <c r="M386" s="38" t="n">
        <f aca="false">IF(OR(L386="",G386=""),"",G386*L386)</f>
        <v>4</v>
      </c>
      <c r="N386" s="31" t="n">
        <f aca="false">IF(M386="","",MATCH(M386,Config!$E$5:$E$9,1))</f>
        <v>1</v>
      </c>
      <c r="O386" s="7" t="str">
        <f aca="false">IF(F386="N/A","N/A",IF(N386="","Not assessed",INDEX(Config!$B$5:$B$9,N386)))</f>
        <v>Low</v>
      </c>
      <c r="P386" s="32" t="n">
        <v>0</v>
      </c>
      <c r="Q386" s="8"/>
      <c r="R386" s="33"/>
      <c r="S386" s="34" t="n">
        <f aca="false">IF(N386="","",IF(AND(R386="Y",P386&lt;&gt;0),MAX(1,MIN(5,N386+MAX(-Config!$C$27,MIN(Config!$C$27,P386)))),N386))</f>
        <v>1</v>
      </c>
      <c r="T386" s="35" t="str">
        <f aca="false">IF(F386="N/A","N/A",IF(S386="","Not assessed",INDEX(Config!$B$5:$B$9,S386)))</f>
        <v>Low</v>
      </c>
      <c r="U386" s="7" t="str">
        <f aca="false">IF(P386=0,"None",IF(R386="Y","Applied","Pending HO approval"))</f>
        <v>None</v>
      </c>
      <c r="V386" s="8"/>
    </row>
    <row r="387" customFormat="false" ht="15" hidden="false" customHeight="false" outlineLevel="0" collapsed="false">
      <c r="A387" s="26" t="str">
        <f aca="false">Entities!$A$34</f>
        <v>US</v>
      </c>
      <c r="B387" s="12" t="str">
        <f aca="false">INDEX(Entities!$B$5:$B$34,MATCH(A387,Entities!$A$5:$A$34,0))</f>
        <v>Arab Bank – United States (if retained)</v>
      </c>
      <c r="C387" s="12" t="str">
        <f aca="false">INDEX(Entities!$D$5:$D$34,MATCH(A387,Entities!$A$5:$A$34,0))</f>
        <v>Americas</v>
      </c>
      <c r="D387" s="12" t="s">
        <v>302</v>
      </c>
      <c r="E387" s="12" t="str">
        <f aca="false">INDEX('Risk Taxonomy'!$B$5:$B$24,MATCH(D387,'Risk Taxonomy'!$A$5:$A$24,0))</f>
        <v>Market risk</v>
      </c>
      <c r="F387" s="7" t="str">
        <f aca="false">IF(D387="RC-04",IF(INDEX(Entities!$G$5:$G$34,MATCH(A387,Entities!$A$5:$A$34,0))="Y","Yes","N/A"),"Yes")</f>
        <v>Yes</v>
      </c>
      <c r="G387" s="24" t="n">
        <v>2</v>
      </c>
      <c r="H387" s="24" t="n">
        <v>2</v>
      </c>
      <c r="I387" s="24" t="n">
        <v>3</v>
      </c>
      <c r="J387" s="24" t="n">
        <v>1</v>
      </c>
      <c r="K387" s="24" t="n">
        <v>1</v>
      </c>
      <c r="L387" s="37" t="n">
        <f aca="false">IF(F387="N/A","",IF(COUNT(H387:K387)=0,"",IF(Config!$C$19="Highest dimension",MAX(H387:K387),ROUND(H387*Config!$C$20+I387*Config!$C$21+J387*Config!$C$22+K387*Config!$C$23,1))))</f>
        <v>3</v>
      </c>
      <c r="M387" s="38" t="n">
        <f aca="false">IF(OR(L387="",G387=""),"",G387*L387)</f>
        <v>6</v>
      </c>
      <c r="N387" s="31" t="n">
        <f aca="false">IF(M387="","",MATCH(M387,Config!$E$5:$E$9,1))</f>
        <v>2</v>
      </c>
      <c r="O387" s="7" t="str">
        <f aca="false">IF(F387="N/A","N/A",IF(N387="","Not assessed",INDEX(Config!$B$5:$B$9,N387)))</f>
        <v>Medium-Low</v>
      </c>
      <c r="P387" s="32" t="n">
        <v>0</v>
      </c>
      <c r="Q387" s="8"/>
      <c r="R387" s="33"/>
      <c r="S387" s="34" t="n">
        <f aca="false">IF(N387="","",IF(AND(R387="Y",P387&lt;&gt;0),MAX(1,MIN(5,N387+MAX(-Config!$C$27,MIN(Config!$C$27,P387)))),N387))</f>
        <v>2</v>
      </c>
      <c r="T387" s="35" t="str">
        <f aca="false">IF(F387="N/A","N/A",IF(S387="","Not assessed",INDEX(Config!$B$5:$B$9,S387)))</f>
        <v>Medium-Low</v>
      </c>
      <c r="U387" s="7" t="str">
        <f aca="false">IF(P387=0,"None",IF(R387="Y","Applied","Pending HO approval"))</f>
        <v>None</v>
      </c>
      <c r="V387" s="8"/>
    </row>
    <row r="388" customFormat="false" ht="15" hidden="false" customHeight="false" outlineLevel="0" collapsed="false">
      <c r="A388" s="26" t="str">
        <f aca="false">Entities!$A$34</f>
        <v>US</v>
      </c>
      <c r="B388" s="12" t="str">
        <f aca="false">INDEX(Entities!$B$5:$B$34,MATCH(A388,Entities!$A$5:$A$34,0))</f>
        <v>Arab Bank – United States (if retained)</v>
      </c>
      <c r="C388" s="12" t="str">
        <f aca="false">INDEX(Entities!$D$5:$D$34,MATCH(A388,Entities!$A$5:$A$34,0))</f>
        <v>Americas</v>
      </c>
      <c r="D388" s="12" t="s">
        <v>304</v>
      </c>
      <c r="E388" s="12" t="str">
        <f aca="false">INDEX('Risk Taxonomy'!$B$5:$B$24,MATCH(D388,'Risk Taxonomy'!$A$5:$A$24,0))</f>
        <v>Liquidity and funding risk</v>
      </c>
      <c r="F388" s="7" t="str">
        <f aca="false">IF(D388="RC-04",IF(INDEX(Entities!$G$5:$G$34,MATCH(A388,Entities!$A$5:$A$34,0))="Y","Yes","N/A"),"Yes")</f>
        <v>Yes</v>
      </c>
      <c r="G388" s="24" t="n">
        <v>1</v>
      </c>
      <c r="H388" s="24" t="n">
        <v>3</v>
      </c>
      <c r="I388" s="24" t="n">
        <v>2</v>
      </c>
      <c r="J388" s="24" t="n">
        <v>4</v>
      </c>
      <c r="K388" s="24" t="n">
        <v>2</v>
      </c>
      <c r="L388" s="37" t="n">
        <f aca="false">IF(F388="N/A","",IF(COUNT(H388:K388)=0,"",IF(Config!$C$19="Highest dimension",MAX(H388:K388),ROUND(H388*Config!$C$20+I388*Config!$C$21+J388*Config!$C$22+K388*Config!$C$23,1))))</f>
        <v>4</v>
      </c>
      <c r="M388" s="38" t="n">
        <f aca="false">IF(OR(L388="",G388=""),"",G388*L388)</f>
        <v>4</v>
      </c>
      <c r="N388" s="31" t="n">
        <f aca="false">IF(M388="","",MATCH(M388,Config!$E$5:$E$9,1))</f>
        <v>1</v>
      </c>
      <c r="O388" s="7" t="str">
        <f aca="false">IF(F388="N/A","N/A",IF(N388="","Not assessed",INDEX(Config!$B$5:$B$9,N388)))</f>
        <v>Low</v>
      </c>
      <c r="P388" s="32" t="n">
        <v>0</v>
      </c>
      <c r="Q388" s="8"/>
      <c r="R388" s="33"/>
      <c r="S388" s="34" t="n">
        <f aca="false">IF(N388="","",IF(AND(R388="Y",P388&lt;&gt;0),MAX(1,MIN(5,N388+MAX(-Config!$C$27,MIN(Config!$C$27,P388)))),N388))</f>
        <v>1</v>
      </c>
      <c r="T388" s="35" t="str">
        <f aca="false">IF(F388="N/A","N/A",IF(S388="","Not assessed",INDEX(Config!$B$5:$B$9,S388)))</f>
        <v>Low</v>
      </c>
      <c r="U388" s="7" t="str">
        <f aca="false">IF(P388=0,"None",IF(R388="Y","Applied","Pending HO approval"))</f>
        <v>None</v>
      </c>
      <c r="V388" s="8"/>
    </row>
    <row r="389" customFormat="false" ht="15" hidden="false" customHeight="false" outlineLevel="0" collapsed="false">
      <c r="A389" s="26" t="str">
        <f aca="false">Entities!$A$34</f>
        <v>US</v>
      </c>
      <c r="B389" s="12" t="str">
        <f aca="false">INDEX(Entities!$B$5:$B$34,MATCH(A389,Entities!$A$5:$A$34,0))</f>
        <v>Arab Bank – United States (if retained)</v>
      </c>
      <c r="C389" s="12" t="str">
        <f aca="false">INDEX(Entities!$D$5:$D$34,MATCH(A389,Entities!$A$5:$A$34,0))</f>
        <v>Americas</v>
      </c>
      <c r="D389" s="12" t="s">
        <v>307</v>
      </c>
      <c r="E389" s="12" t="str">
        <f aca="false">INDEX('Risk Taxonomy'!$B$5:$B$24,MATCH(D389,'Risk Taxonomy'!$A$5:$A$24,0))</f>
        <v>Operational risk</v>
      </c>
      <c r="F389" s="7" t="str">
        <f aca="false">IF(D389="RC-04",IF(INDEX(Entities!$G$5:$G$34,MATCH(A389,Entities!$A$5:$A$34,0))="Y","Yes","N/A"),"Yes")</f>
        <v>Yes</v>
      </c>
      <c r="G389" s="24" t="n">
        <v>2</v>
      </c>
      <c r="H389" s="24" t="n">
        <v>2</v>
      </c>
      <c r="I389" s="24" t="n">
        <v>2</v>
      </c>
      <c r="J389" s="24" t="n">
        <v>2</v>
      </c>
      <c r="K389" s="24" t="n">
        <v>1</v>
      </c>
      <c r="L389" s="37" t="n">
        <f aca="false">IF(F389="N/A","",IF(COUNT(H389:K389)=0,"",IF(Config!$C$19="Highest dimension",MAX(H389:K389),ROUND(H389*Config!$C$20+I389*Config!$C$21+J389*Config!$C$22+K389*Config!$C$23,1))))</f>
        <v>2</v>
      </c>
      <c r="M389" s="38" t="n">
        <f aca="false">IF(OR(L389="",G389=""),"",G389*L389)</f>
        <v>4</v>
      </c>
      <c r="N389" s="31" t="n">
        <f aca="false">IF(M389="","",MATCH(M389,Config!$E$5:$E$9,1))</f>
        <v>1</v>
      </c>
      <c r="O389" s="7" t="str">
        <f aca="false">IF(F389="N/A","N/A",IF(N389="","Not assessed",INDEX(Config!$B$5:$B$9,N389)))</f>
        <v>Low</v>
      </c>
      <c r="P389" s="32" t="n">
        <v>0</v>
      </c>
      <c r="Q389" s="8"/>
      <c r="R389" s="33"/>
      <c r="S389" s="34" t="n">
        <f aca="false">IF(N389="","",IF(AND(R389="Y",P389&lt;&gt;0),MAX(1,MIN(5,N389+MAX(-Config!$C$27,MIN(Config!$C$27,P389)))),N389))</f>
        <v>1</v>
      </c>
      <c r="T389" s="35" t="str">
        <f aca="false">IF(F389="N/A","N/A",IF(S389="","Not assessed",INDEX(Config!$B$5:$B$9,S389)))</f>
        <v>Low</v>
      </c>
      <c r="U389" s="7" t="str">
        <f aca="false">IF(P389=0,"None",IF(R389="Y","Applied","Pending HO approval"))</f>
        <v>None</v>
      </c>
      <c r="V389" s="8"/>
    </row>
    <row r="390" customFormat="false" ht="15" hidden="false" customHeight="false" outlineLevel="0" collapsed="false">
      <c r="A390" s="26" t="str">
        <f aca="false">Entities!$A$34</f>
        <v>US</v>
      </c>
      <c r="B390" s="12" t="str">
        <f aca="false">INDEX(Entities!$B$5:$B$34,MATCH(A390,Entities!$A$5:$A$34,0))</f>
        <v>Arab Bank – United States (if retained)</v>
      </c>
      <c r="C390" s="12" t="str">
        <f aca="false">INDEX(Entities!$D$5:$D$34,MATCH(A390,Entities!$A$5:$A$34,0))</f>
        <v>Americas</v>
      </c>
      <c r="D390" s="12" t="s">
        <v>310</v>
      </c>
      <c r="E390" s="12" t="str">
        <f aca="false">INDEX('Risk Taxonomy'!$B$5:$B$24,MATCH(D390,'Risk Taxonomy'!$A$5:$A$24,0))</f>
        <v>Cyber, information security and technology</v>
      </c>
      <c r="F390" s="7" t="str">
        <f aca="false">IF(D390="RC-04",IF(INDEX(Entities!$G$5:$G$34,MATCH(A390,Entities!$A$5:$A$34,0))="Y","Yes","N/A"),"Yes")</f>
        <v>Yes</v>
      </c>
      <c r="G390" s="24" t="n">
        <v>2</v>
      </c>
      <c r="H390" s="24" t="n">
        <v>2</v>
      </c>
      <c r="I390" s="24" t="n">
        <v>1</v>
      </c>
      <c r="J390" s="24" t="n">
        <v>2</v>
      </c>
      <c r="K390" s="24" t="n">
        <v>2</v>
      </c>
      <c r="L390" s="37" t="n">
        <f aca="false">IF(F390="N/A","",IF(COUNT(H390:K390)=0,"",IF(Config!$C$19="Highest dimension",MAX(H390:K390),ROUND(H390*Config!$C$20+I390*Config!$C$21+J390*Config!$C$22+K390*Config!$C$23,1))))</f>
        <v>2</v>
      </c>
      <c r="M390" s="38" t="n">
        <f aca="false">IF(OR(L390="",G390=""),"",G390*L390)</f>
        <v>4</v>
      </c>
      <c r="N390" s="31" t="n">
        <f aca="false">IF(M390="","",MATCH(M390,Config!$E$5:$E$9,1))</f>
        <v>1</v>
      </c>
      <c r="O390" s="7" t="str">
        <f aca="false">IF(F390="N/A","N/A",IF(N390="","Not assessed",INDEX(Config!$B$5:$B$9,N390)))</f>
        <v>Low</v>
      </c>
      <c r="P390" s="32" t="n">
        <v>0</v>
      </c>
      <c r="Q390" s="8"/>
      <c r="R390" s="33"/>
      <c r="S390" s="34" t="n">
        <f aca="false">IF(N390="","",IF(AND(R390="Y",P390&lt;&gt;0),MAX(1,MIN(5,N390+MAX(-Config!$C$27,MIN(Config!$C$27,P390)))),N390))</f>
        <v>1</v>
      </c>
      <c r="T390" s="35" t="str">
        <f aca="false">IF(F390="N/A","N/A",IF(S390="","Not assessed",INDEX(Config!$B$5:$B$9,S390)))</f>
        <v>Low</v>
      </c>
      <c r="U390" s="7" t="str">
        <f aca="false">IF(P390=0,"None",IF(R390="Y","Applied","Pending HO approval"))</f>
        <v>None</v>
      </c>
      <c r="V390" s="8"/>
    </row>
    <row r="391" customFormat="false" ht="15" hidden="false" customHeight="false" outlineLevel="0" collapsed="false">
      <c r="A391" s="26" t="str">
        <f aca="false">Entities!$A$34</f>
        <v>US</v>
      </c>
      <c r="B391" s="12" t="str">
        <f aca="false">INDEX(Entities!$B$5:$B$34,MATCH(A391,Entities!$A$5:$A$34,0))</f>
        <v>Arab Bank – United States (if retained)</v>
      </c>
      <c r="C391" s="12" t="str">
        <f aca="false">INDEX(Entities!$D$5:$D$34,MATCH(A391,Entities!$A$5:$A$34,0))</f>
        <v>Americas</v>
      </c>
      <c r="D391" s="12" t="s">
        <v>313</v>
      </c>
      <c r="E391" s="12" t="str">
        <f aca="false">INDEX('Risk Taxonomy'!$B$5:$B$24,MATCH(D391,'Risk Taxonomy'!$A$5:$A$24,0))</f>
        <v>Third-party and outsourcing</v>
      </c>
      <c r="F391" s="7" t="str">
        <f aca="false">IF(D391="RC-04",IF(INDEX(Entities!$G$5:$G$34,MATCH(A391,Entities!$A$5:$A$34,0))="Y","Yes","N/A"),"Yes")</f>
        <v>Yes</v>
      </c>
      <c r="G391" s="24" t="n">
        <v>3</v>
      </c>
      <c r="H391" s="24" t="n">
        <v>2</v>
      </c>
      <c r="I391" s="24" t="n">
        <v>3</v>
      </c>
      <c r="J391" s="24" t="n">
        <v>2</v>
      </c>
      <c r="K391" s="24" t="n">
        <v>4</v>
      </c>
      <c r="L391" s="37" t="n">
        <f aca="false">IF(F391="N/A","",IF(COUNT(H391:K391)=0,"",IF(Config!$C$19="Highest dimension",MAX(H391:K391),ROUND(H391*Config!$C$20+I391*Config!$C$21+J391*Config!$C$22+K391*Config!$C$23,1))))</f>
        <v>4</v>
      </c>
      <c r="M391" s="38" t="n">
        <f aca="false">IF(OR(L391="",G391=""),"",G391*L391)</f>
        <v>12</v>
      </c>
      <c r="N391" s="31" t="n">
        <f aca="false">IF(M391="","",MATCH(M391,Config!$E$5:$E$9,1))</f>
        <v>3</v>
      </c>
      <c r="O391" s="7" t="str">
        <f aca="false">IF(F391="N/A","N/A",IF(N391="","Not assessed",INDEX(Config!$B$5:$B$9,N391)))</f>
        <v>Medium</v>
      </c>
      <c r="P391" s="32" t="n">
        <v>0</v>
      </c>
      <c r="Q391" s="8"/>
      <c r="R391" s="33"/>
      <c r="S391" s="34" t="n">
        <f aca="false">IF(N391="","",IF(AND(R391="Y",P391&lt;&gt;0),MAX(1,MIN(5,N391+MAX(-Config!$C$27,MIN(Config!$C$27,P391)))),N391))</f>
        <v>3</v>
      </c>
      <c r="T391" s="35" t="str">
        <f aca="false">IF(F391="N/A","N/A",IF(S391="","Not assessed",INDEX(Config!$B$5:$B$9,S391)))</f>
        <v>Medium</v>
      </c>
      <c r="U391" s="7" t="str">
        <f aca="false">IF(P391=0,"None",IF(R391="Y","Applied","Pending HO approval"))</f>
        <v>None</v>
      </c>
      <c r="V391" s="8"/>
    </row>
    <row r="392" customFormat="false" ht="15" hidden="false" customHeight="false" outlineLevel="0" collapsed="false">
      <c r="A392" s="26" t="str">
        <f aca="false">Entities!$A$34</f>
        <v>US</v>
      </c>
      <c r="B392" s="12" t="str">
        <f aca="false">INDEX(Entities!$B$5:$B$34,MATCH(A392,Entities!$A$5:$A$34,0))</f>
        <v>Arab Bank – United States (if retained)</v>
      </c>
      <c r="C392" s="12" t="str">
        <f aca="false">INDEX(Entities!$D$5:$D$34,MATCH(A392,Entities!$A$5:$A$34,0))</f>
        <v>Americas</v>
      </c>
      <c r="D392" s="12" t="s">
        <v>316</v>
      </c>
      <c r="E392" s="12" t="str">
        <f aca="false">INDEX('Risk Taxonomy'!$B$5:$B$24,MATCH(D392,'Risk Taxonomy'!$A$5:$A$24,0))</f>
        <v>Legal and litigation</v>
      </c>
      <c r="F392" s="7" t="str">
        <f aca="false">IF(D392="RC-04",IF(INDEX(Entities!$G$5:$G$34,MATCH(A392,Entities!$A$5:$A$34,0))="Y","Yes","N/A"),"Yes")</f>
        <v>Yes</v>
      </c>
      <c r="G392" s="24" t="n">
        <v>2</v>
      </c>
      <c r="H392" s="24" t="n">
        <v>2</v>
      </c>
      <c r="I392" s="24" t="n">
        <v>2</v>
      </c>
      <c r="J392" s="24" t="n">
        <v>3</v>
      </c>
      <c r="K392" s="24" t="n">
        <v>2</v>
      </c>
      <c r="L392" s="37" t="n">
        <f aca="false">IF(F392="N/A","",IF(COUNT(H392:K392)=0,"",IF(Config!$C$19="Highest dimension",MAX(H392:K392),ROUND(H392*Config!$C$20+I392*Config!$C$21+J392*Config!$C$22+K392*Config!$C$23,1))))</f>
        <v>3</v>
      </c>
      <c r="M392" s="38" t="n">
        <f aca="false">IF(OR(L392="",G392=""),"",G392*L392)</f>
        <v>6</v>
      </c>
      <c r="N392" s="31" t="n">
        <f aca="false">IF(M392="","",MATCH(M392,Config!$E$5:$E$9,1))</f>
        <v>2</v>
      </c>
      <c r="O392" s="7" t="str">
        <f aca="false">IF(F392="N/A","N/A",IF(N392="","Not assessed",INDEX(Config!$B$5:$B$9,N392)))</f>
        <v>Medium-Low</v>
      </c>
      <c r="P392" s="32" t="n">
        <v>0</v>
      </c>
      <c r="Q392" s="8"/>
      <c r="R392" s="33"/>
      <c r="S392" s="34" t="n">
        <f aca="false">IF(N392="","",IF(AND(R392="Y",P392&lt;&gt;0),MAX(1,MIN(5,N392+MAX(-Config!$C$27,MIN(Config!$C$27,P392)))),N392))</f>
        <v>2</v>
      </c>
      <c r="T392" s="35" t="str">
        <f aca="false">IF(F392="N/A","N/A",IF(S392="","Not assessed",INDEX(Config!$B$5:$B$9,S392)))</f>
        <v>Medium-Low</v>
      </c>
      <c r="U392" s="7" t="str">
        <f aca="false">IF(P392=0,"None",IF(R392="Y","Applied","Pending HO approval"))</f>
        <v>None</v>
      </c>
      <c r="V392" s="8"/>
    </row>
    <row r="393" customFormat="false" ht="15" hidden="false" customHeight="false" outlineLevel="0" collapsed="false">
      <c r="A393" s="26" t="str">
        <f aca="false">Entities!$A$34</f>
        <v>US</v>
      </c>
      <c r="B393" s="12" t="str">
        <f aca="false">INDEX(Entities!$B$5:$B$34,MATCH(A393,Entities!$A$5:$A$34,0))</f>
        <v>Arab Bank – United States (if retained)</v>
      </c>
      <c r="C393" s="12" t="str">
        <f aca="false">INDEX(Entities!$D$5:$D$34,MATCH(A393,Entities!$A$5:$A$34,0))</f>
        <v>Americas</v>
      </c>
      <c r="D393" s="12" t="s">
        <v>319</v>
      </c>
      <c r="E393" s="12" t="str">
        <f aca="false">INDEX('Risk Taxonomy'!$B$5:$B$24,MATCH(D393,'Risk Taxonomy'!$A$5:$A$24,0))</f>
        <v>Reputational</v>
      </c>
      <c r="F393" s="7" t="str">
        <f aca="false">IF(D393="RC-04",IF(INDEX(Entities!$G$5:$G$34,MATCH(A393,Entities!$A$5:$A$34,0))="Y","Yes","N/A"),"Yes")</f>
        <v>Yes</v>
      </c>
      <c r="G393" s="24" t="n">
        <v>2</v>
      </c>
      <c r="H393" s="24" t="n">
        <v>1</v>
      </c>
      <c r="I393" s="24" t="n">
        <v>1</v>
      </c>
      <c r="J393" s="24" t="n">
        <v>3</v>
      </c>
      <c r="K393" s="24" t="n">
        <v>1</v>
      </c>
      <c r="L393" s="37" t="n">
        <f aca="false">IF(F393="N/A","",IF(COUNT(H393:K393)=0,"",IF(Config!$C$19="Highest dimension",MAX(H393:K393),ROUND(H393*Config!$C$20+I393*Config!$C$21+J393*Config!$C$22+K393*Config!$C$23,1))))</f>
        <v>3</v>
      </c>
      <c r="M393" s="38" t="n">
        <f aca="false">IF(OR(L393="",G393=""),"",G393*L393)</f>
        <v>6</v>
      </c>
      <c r="N393" s="31" t="n">
        <f aca="false">IF(M393="","",MATCH(M393,Config!$E$5:$E$9,1))</f>
        <v>2</v>
      </c>
      <c r="O393" s="7" t="str">
        <f aca="false">IF(F393="N/A","N/A",IF(N393="","Not assessed",INDEX(Config!$B$5:$B$9,N393)))</f>
        <v>Medium-Low</v>
      </c>
      <c r="P393" s="32" t="n">
        <v>0</v>
      </c>
      <c r="Q393" s="8"/>
      <c r="R393" s="33"/>
      <c r="S393" s="34" t="n">
        <f aca="false">IF(N393="","",IF(AND(R393="Y",P393&lt;&gt;0),MAX(1,MIN(5,N393+MAX(-Config!$C$27,MIN(Config!$C$27,P393)))),N393))</f>
        <v>2</v>
      </c>
      <c r="T393" s="35" t="str">
        <f aca="false">IF(F393="N/A","N/A",IF(S393="","Not assessed",INDEX(Config!$B$5:$B$9,S393)))</f>
        <v>Medium-Low</v>
      </c>
      <c r="U393" s="7" t="str">
        <f aca="false">IF(P393=0,"None",IF(R393="Y","Applied","Pending HO approval"))</f>
        <v>None</v>
      </c>
      <c r="V393" s="8"/>
    </row>
    <row r="394" customFormat="false" ht="15" hidden="false" customHeight="false" outlineLevel="0" collapsed="false">
      <c r="A394" s="26" t="str">
        <f aca="false">Entities!$A$34</f>
        <v>US</v>
      </c>
      <c r="B394" s="12" t="str">
        <f aca="false">INDEX(Entities!$B$5:$B$34,MATCH(A394,Entities!$A$5:$A$34,0))</f>
        <v>Arab Bank – United States (if retained)</v>
      </c>
      <c r="C394" s="12" t="str">
        <f aca="false">INDEX(Entities!$D$5:$D$34,MATCH(A394,Entities!$A$5:$A$34,0))</f>
        <v>Americas</v>
      </c>
      <c r="D394" s="12" t="s">
        <v>322</v>
      </c>
      <c r="E394" s="12" t="str">
        <f aca="false">INDEX('Risk Taxonomy'!$B$5:$B$24,MATCH(D394,'Risk Taxonomy'!$A$5:$A$24,0))</f>
        <v>Strategic, business model and ESG</v>
      </c>
      <c r="F394" s="7" t="str">
        <f aca="false">IF(D394="RC-04",IF(INDEX(Entities!$G$5:$G$34,MATCH(A394,Entities!$A$5:$A$34,0))="Y","Yes","N/A"),"Yes")</f>
        <v>Yes</v>
      </c>
      <c r="G394" s="24" t="n">
        <v>1</v>
      </c>
      <c r="H394" s="24" t="n">
        <v>2</v>
      </c>
      <c r="I394" s="24" t="n">
        <v>1</v>
      </c>
      <c r="J394" s="24" t="n">
        <v>3</v>
      </c>
      <c r="K394" s="24" t="n">
        <v>2</v>
      </c>
      <c r="L394" s="37" t="n">
        <f aca="false">IF(F394="N/A","",IF(COUNT(H394:K394)=0,"",IF(Config!$C$19="Highest dimension",MAX(H394:K394),ROUND(H394*Config!$C$20+I394*Config!$C$21+J394*Config!$C$22+K394*Config!$C$23,1))))</f>
        <v>3</v>
      </c>
      <c r="M394" s="38" t="n">
        <f aca="false">IF(OR(L394="",G394=""),"",G394*L394)</f>
        <v>3</v>
      </c>
      <c r="N394" s="31" t="n">
        <f aca="false">IF(M394="","",MATCH(M394,Config!$E$5:$E$9,1))</f>
        <v>1</v>
      </c>
      <c r="O394" s="7" t="str">
        <f aca="false">IF(F394="N/A","N/A",IF(N394="","Not assessed",INDEX(Config!$B$5:$B$9,N394)))</f>
        <v>Low</v>
      </c>
      <c r="P394" s="32" t="n">
        <v>0</v>
      </c>
      <c r="Q394" s="8"/>
      <c r="R394" s="33"/>
      <c r="S394" s="34" t="n">
        <f aca="false">IF(N394="","",IF(AND(R394="Y",P394&lt;&gt;0),MAX(1,MIN(5,N394+MAX(-Config!$C$27,MIN(Config!$C$27,P394)))),N394))</f>
        <v>1</v>
      </c>
      <c r="T394" s="35" t="str">
        <f aca="false">IF(F394="N/A","N/A",IF(S394="","Not assessed",INDEX(Config!$B$5:$B$9,S394)))</f>
        <v>Low</v>
      </c>
      <c r="U394" s="7" t="str">
        <f aca="false">IF(P394=0,"None",IF(R394="Y","Applied","Pending HO approval"))</f>
        <v>None</v>
      </c>
      <c r="V394" s="8"/>
    </row>
  </sheetData>
  <autoFilter ref="A4:V394"/>
  <conditionalFormatting sqref="N5:N394">
    <cfRule type="expression" priority="2" aboveAverage="0" equalAverage="0" bottom="0" percent="0" rank="0" text="" dxfId="0">
      <formula>N5=1</formula>
    </cfRule>
    <cfRule type="expression" priority="3" aboveAverage="0" equalAverage="0" bottom="0" percent="0" rank="0" text="" dxfId="1">
      <formula>N5=2</formula>
    </cfRule>
    <cfRule type="expression" priority="4" aboveAverage="0" equalAverage="0" bottom="0" percent="0" rank="0" text="" dxfId="2">
      <formula>N5=3</formula>
    </cfRule>
    <cfRule type="expression" priority="5" aboveAverage="0" equalAverage="0" bottom="0" percent="0" rank="0" text="" dxfId="3">
      <formula>N5=4</formula>
    </cfRule>
    <cfRule type="expression" priority="6" aboveAverage="0" equalAverage="0" bottom="0" percent="0" rank="0" text="" dxfId="4">
      <formula>N5=5</formula>
    </cfRule>
  </conditionalFormatting>
  <conditionalFormatting sqref="S5:S394">
    <cfRule type="expression" priority="7" aboveAverage="0" equalAverage="0" bottom="0" percent="0" rank="0" text="" dxfId="0">
      <formula>S5=1</formula>
    </cfRule>
    <cfRule type="expression" priority="8" aboveAverage="0" equalAverage="0" bottom="0" percent="0" rank="0" text="" dxfId="1">
      <formula>S5=2</formula>
    </cfRule>
    <cfRule type="expression" priority="9" aboveAverage="0" equalAverage="0" bottom="0" percent="0" rank="0" text="" dxfId="2">
      <formula>S5=3</formula>
    </cfRule>
    <cfRule type="expression" priority="10" aboveAverage="0" equalAverage="0" bottom="0" percent="0" rank="0" text="" dxfId="3">
      <formula>S5=4</formula>
    </cfRule>
    <cfRule type="expression" priority="11" aboveAverage="0" equalAverage="0" bottom="0" percent="0" rank="0" text="" dxfId="4">
      <formula>S5=5</formula>
    </cfRule>
  </conditionalFormatting>
  <dataValidations count="3">
    <dataValidation allowBlank="false" error="Enter a whole number 1–5" errorStyle="stop" operator="between" showDropDown="false" showErrorMessage="true" showInputMessage="false" sqref="G5:K394" type="whole">
      <formula1>1</formula1>
      <formula2>5</formula2>
    </dataValidation>
    <dataValidation allowBlank="false" errorStyle="stop" operator="between" showDropDown="false" showErrorMessage="false" showInputMessage="false" sqref="R5:R394" type="list">
      <formula1>Config!$H$15:$H$16</formula1>
      <formula2>0</formula2>
    </dataValidation>
    <dataValidation allowBlank="false" errorStyle="stop" operator="between" showDropDown="false" showErrorMessage="false" showInputMessage="false" sqref="P5:P394" type="whole">
      <formula1>-4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22" min="3" style="0" width="9.51"/>
    <col collapsed="false" customWidth="true" hidden="false" outlineLevel="0" max="24" min="23" style="0" width="9"/>
    <col collapsed="false" customWidth="true" hidden="false" outlineLevel="0" max="25" min="25" style="0" width="8"/>
    <col collapsed="false" customWidth="true" hidden="false" outlineLevel="0" max="26" min="26" style="0" width="10"/>
    <col collapsed="false" customWidth="true" hidden="false" outlineLevel="0" max="27" min="27" style="0" width="13"/>
  </cols>
  <sheetData>
    <row r="1" customFormat="false" ht="17.35" hidden="false" customHeight="false" outlineLevel="0" collapsed="false">
      <c r="A1" s="1" t="s">
        <v>473</v>
      </c>
    </row>
    <row r="2" customFormat="false" ht="15" hidden="false" customHeight="false" outlineLevel="0" collapsed="false">
      <c r="A2" s="2" t="s">
        <v>474</v>
      </c>
    </row>
    <row r="4" customFormat="false" ht="66" hidden="false" customHeight="true" outlineLevel="0" collapsed="false">
      <c r="A4" s="39"/>
      <c r="B4" s="39"/>
      <c r="C4" s="39" t="s">
        <v>261</v>
      </c>
      <c r="D4" s="39" t="s">
        <v>268</v>
      </c>
      <c r="E4" s="39" t="s">
        <v>271</v>
      </c>
      <c r="F4" s="39" t="s">
        <v>273</v>
      </c>
      <c r="G4" s="39" t="s">
        <v>276</v>
      </c>
      <c r="H4" s="39" t="s">
        <v>279</v>
      </c>
      <c r="I4" s="39" t="s">
        <v>282</v>
      </c>
      <c r="J4" s="39" t="s">
        <v>285</v>
      </c>
      <c r="K4" s="39" t="s">
        <v>289</v>
      </c>
      <c r="L4" s="39" t="s">
        <v>291</v>
      </c>
      <c r="M4" s="39" t="s">
        <v>294</v>
      </c>
      <c r="N4" s="39" t="s">
        <v>298</v>
      </c>
      <c r="O4" s="39" t="s">
        <v>303</v>
      </c>
      <c r="P4" s="39" t="s">
        <v>305</v>
      </c>
      <c r="Q4" s="39" t="s">
        <v>308</v>
      </c>
      <c r="R4" s="39" t="s">
        <v>311</v>
      </c>
      <c r="S4" s="39" t="s">
        <v>314</v>
      </c>
      <c r="T4" s="39" t="s">
        <v>317</v>
      </c>
      <c r="U4" s="39" t="s">
        <v>320</v>
      </c>
      <c r="V4" s="39" t="s">
        <v>323</v>
      </c>
      <c r="W4" s="39"/>
      <c r="X4" s="39"/>
      <c r="Y4" s="39"/>
      <c r="Z4" s="39"/>
      <c r="AA4" s="39"/>
    </row>
    <row r="5" customFormat="false" ht="23.85" hidden="false" customHeight="false" outlineLevel="0" collapsed="false">
      <c r="A5" s="5" t="s">
        <v>134</v>
      </c>
      <c r="B5" s="5" t="s">
        <v>135</v>
      </c>
      <c r="C5" s="5" t="s">
        <v>260</v>
      </c>
      <c r="D5" s="5" t="s">
        <v>267</v>
      </c>
      <c r="E5" s="5" t="s">
        <v>270</v>
      </c>
      <c r="F5" s="5" t="s">
        <v>272</v>
      </c>
      <c r="G5" s="5" t="s">
        <v>275</v>
      </c>
      <c r="H5" s="5" t="s">
        <v>278</v>
      </c>
      <c r="I5" s="5" t="s">
        <v>281</v>
      </c>
      <c r="J5" s="5" t="s">
        <v>284</v>
      </c>
      <c r="K5" s="5" t="s">
        <v>288</v>
      </c>
      <c r="L5" s="5" t="s">
        <v>290</v>
      </c>
      <c r="M5" s="5" t="s">
        <v>293</v>
      </c>
      <c r="N5" s="5" t="s">
        <v>297</v>
      </c>
      <c r="O5" s="5" t="s">
        <v>302</v>
      </c>
      <c r="P5" s="5" t="s">
        <v>304</v>
      </c>
      <c r="Q5" s="5" t="s">
        <v>307</v>
      </c>
      <c r="R5" s="5" t="s">
        <v>310</v>
      </c>
      <c r="S5" s="5" t="s">
        <v>313</v>
      </c>
      <c r="T5" s="5" t="s">
        <v>316</v>
      </c>
      <c r="U5" s="5" t="s">
        <v>319</v>
      </c>
      <c r="V5" s="5" t="s">
        <v>322</v>
      </c>
      <c r="W5" s="5" t="s">
        <v>475</v>
      </c>
      <c r="X5" s="5" t="s">
        <v>476</v>
      </c>
      <c r="Y5" s="5" t="s">
        <v>477</v>
      </c>
      <c r="Z5" s="5" t="s">
        <v>478</v>
      </c>
      <c r="AA5" s="5" t="s">
        <v>479</v>
      </c>
    </row>
    <row r="6" customFormat="false" ht="15" hidden="false" customHeight="false" outlineLevel="0" collapsed="false">
      <c r="A6" s="26" t="str">
        <f aca="false">Entities!A5</f>
        <v>JO-HO</v>
      </c>
      <c r="B6" s="26" t="str">
        <f aca="false">Entities!B5</f>
        <v>Arab Bank plc – Jordan (HO and domestic network)</v>
      </c>
      <c r="C6" s="31" t="n">
        <f aca="false">IF(COUNTIFS('FC Calculation'!$A$5:$A$214,$A6,'FC Calculation'!$D$5:$D$214,C$5,'FC Calculation'!$T$5:$T$214,"&gt;0")=0,"",SUMIFS('FC Calculation'!$T$5:$T$214,'FC Calculation'!$A$5:$A$214,$A6,'FC Calculation'!$D$5:$D$214,C$5))</f>
        <v>3</v>
      </c>
      <c r="D6" s="31" t="n">
        <f aca="false">IF(COUNTIFS('FC Calculation'!$A$5:$A$214,$A6,'FC Calculation'!$D$5:$D$214,D$5,'FC Calculation'!$T$5:$T$214,"&gt;0")=0,"",SUMIFS('FC Calculation'!$T$5:$T$214,'FC Calculation'!$A$5:$A$214,$A6,'FC Calculation'!$D$5:$D$214,D$5))</f>
        <v>3</v>
      </c>
      <c r="E6" s="31" t="n">
        <f aca="false">IF(COUNTIFS('FC Calculation'!$A$5:$A$214,$A6,'FC Calculation'!$D$5:$D$214,E$5,'FC Calculation'!$T$5:$T$214,"&gt;0")=0,"",SUMIFS('FC Calculation'!$T$5:$T$214,'FC Calculation'!$A$5:$A$214,$A6,'FC Calculation'!$D$5:$D$214,E$5))</f>
        <v>3</v>
      </c>
      <c r="F6" s="31" t="n">
        <f aca="false">IF(COUNTIFS('FC Calculation'!$A$5:$A$214,$A6,'FC Calculation'!$D$5:$D$214,F$5,'FC Calculation'!$T$5:$T$214,"&gt;0")=0,"",SUMIFS('FC Calculation'!$T$5:$T$214,'FC Calculation'!$A$5:$A$214,$A6,'FC Calculation'!$D$5:$D$214,F$5))</f>
        <v>3</v>
      </c>
      <c r="G6" s="31" t="n">
        <f aca="false">IF(COUNTIFS('FC Calculation'!$A$5:$A$214,$A6,'FC Calculation'!$D$5:$D$214,G$5,'FC Calculation'!$T$5:$T$214,"&gt;0")=0,"",SUMIFS('FC Calculation'!$T$5:$T$214,'FC Calculation'!$A$5:$A$214,$A6,'FC Calculation'!$D$5:$D$214,G$5))</f>
        <v>3</v>
      </c>
      <c r="H6" s="31" t="n">
        <f aca="false">IF(COUNTIFS('FC Calculation'!$A$5:$A$214,$A6,'FC Calculation'!$D$5:$D$214,H$5,'FC Calculation'!$T$5:$T$214,"&gt;0")=0,"",SUMIFS('FC Calculation'!$T$5:$T$214,'FC Calculation'!$A$5:$A$214,$A6,'FC Calculation'!$D$5:$D$214,H$5))</f>
        <v>3</v>
      </c>
      <c r="I6" s="31" t="n">
        <f aca="false">IF(COUNTIFS('FC Calculation'!$A$5:$A$214,$A6,'FC Calculation'!$D$5:$D$214,I$5,'FC Calculation'!$T$5:$T$214,"&gt;0")=0,"",SUMIFS('FC Calculation'!$T$5:$T$214,'FC Calculation'!$A$5:$A$214,$A6,'FC Calculation'!$D$5:$D$214,I$5))</f>
        <v>3</v>
      </c>
      <c r="J6" s="31" t="n">
        <f aca="false">IF(COUNTIFS('LxI Assessment'!$A$5:$A$394,$A6,'LxI Assessment'!$D$5:$D$394,J$5,'LxI Assessment'!$F$5:$F$394,"N/A")&gt;0,"N/A",IF(COUNTIFS('LxI Assessment'!$A$5:$A$394,$A6,'LxI Assessment'!$D$5:$D$394,J$5,'LxI Assessment'!$S$5:$S$394,"&gt;0")=0,"",SUMIFS('LxI Assessment'!$S$5:$S$394,'LxI Assessment'!$A$5:$A$394,$A6,'LxI Assessment'!$D$5:$D$394,J$5)))</f>
        <v>4</v>
      </c>
      <c r="K6" s="31" t="n">
        <f aca="false">IF(COUNTIFS('LxI Assessment'!$A$5:$A$394,$A6,'LxI Assessment'!$D$5:$D$394,K$5,'LxI Assessment'!$F$5:$F$394,"N/A")&gt;0,"N/A",IF(COUNTIFS('LxI Assessment'!$A$5:$A$394,$A6,'LxI Assessment'!$D$5:$D$394,K$5,'LxI Assessment'!$S$5:$S$394,"&gt;0")=0,"",SUMIFS('LxI Assessment'!$S$5:$S$394,'LxI Assessment'!$A$5:$A$394,$A6,'LxI Assessment'!$D$5:$D$394,K$5)))</f>
        <v>3</v>
      </c>
      <c r="L6" s="31" t="n">
        <f aca="false">IF(COUNTIFS('LxI Assessment'!$A$5:$A$394,$A6,'LxI Assessment'!$D$5:$D$394,L$5,'LxI Assessment'!$F$5:$F$394,"N/A")&gt;0,"N/A",IF(COUNTIFS('LxI Assessment'!$A$5:$A$394,$A6,'LxI Assessment'!$D$5:$D$394,L$5,'LxI Assessment'!$S$5:$S$394,"&gt;0")=0,"",SUMIFS('LxI Assessment'!$S$5:$S$394,'LxI Assessment'!$A$5:$A$394,$A6,'LxI Assessment'!$D$5:$D$394,L$5)))</f>
        <v>3</v>
      </c>
      <c r="M6" s="31" t="str">
        <f aca="false">IF(COUNTIFS('LxI Assessment'!$A$5:$A$394,$A6,'LxI Assessment'!$D$5:$D$394,M$5,'LxI Assessment'!$F$5:$F$394,"N/A")&gt;0,"N/A",IF(COUNTIFS('LxI Assessment'!$A$5:$A$394,$A6,'LxI Assessment'!$D$5:$D$394,M$5,'LxI Assessment'!$S$5:$S$394,"&gt;0")=0,"",SUMIFS('LxI Assessment'!$S$5:$S$394,'LxI Assessment'!$A$5:$A$394,$A6,'LxI Assessment'!$D$5:$D$394,M$5)))</f>
        <v>N/A</v>
      </c>
      <c r="N6" s="31" t="n">
        <f aca="false">IF(COUNTIFS('LxI Assessment'!$A$5:$A$394,$A6,'LxI Assessment'!$D$5:$D$394,N$5,'LxI Assessment'!$F$5:$F$394,"N/A")&gt;0,"N/A",IF(COUNTIFS('LxI Assessment'!$A$5:$A$394,$A6,'LxI Assessment'!$D$5:$D$394,N$5,'LxI Assessment'!$S$5:$S$394,"&gt;0")=0,"",SUMIFS('LxI Assessment'!$S$5:$S$394,'LxI Assessment'!$A$5:$A$394,$A6,'LxI Assessment'!$D$5:$D$394,N$5)))</f>
        <v>3</v>
      </c>
      <c r="O6" s="31" t="n">
        <f aca="false">IF(COUNTIFS('LxI Assessment'!$A$5:$A$394,$A6,'LxI Assessment'!$D$5:$D$394,O$5,'LxI Assessment'!$F$5:$F$394,"N/A")&gt;0,"N/A",IF(COUNTIFS('LxI Assessment'!$A$5:$A$394,$A6,'LxI Assessment'!$D$5:$D$394,O$5,'LxI Assessment'!$S$5:$S$394,"&gt;0")=0,"",SUMIFS('LxI Assessment'!$S$5:$S$394,'LxI Assessment'!$A$5:$A$394,$A6,'LxI Assessment'!$D$5:$D$394,O$5)))</f>
        <v>3</v>
      </c>
      <c r="P6" s="31" t="n">
        <f aca="false">IF(COUNTIFS('LxI Assessment'!$A$5:$A$394,$A6,'LxI Assessment'!$D$5:$D$394,P$5,'LxI Assessment'!$F$5:$F$394,"N/A")&gt;0,"N/A",IF(COUNTIFS('LxI Assessment'!$A$5:$A$394,$A6,'LxI Assessment'!$D$5:$D$394,P$5,'LxI Assessment'!$S$5:$S$394,"&gt;0")=0,"",SUMIFS('LxI Assessment'!$S$5:$S$394,'LxI Assessment'!$A$5:$A$394,$A6,'LxI Assessment'!$D$5:$D$394,P$5)))</f>
        <v>3</v>
      </c>
      <c r="Q6" s="31" t="n">
        <f aca="false">IF(COUNTIFS('LxI Assessment'!$A$5:$A$394,$A6,'LxI Assessment'!$D$5:$D$394,Q$5,'LxI Assessment'!$F$5:$F$394,"N/A")&gt;0,"N/A",IF(COUNTIFS('LxI Assessment'!$A$5:$A$394,$A6,'LxI Assessment'!$D$5:$D$394,Q$5,'LxI Assessment'!$S$5:$S$394,"&gt;0")=0,"",SUMIFS('LxI Assessment'!$S$5:$S$394,'LxI Assessment'!$A$5:$A$394,$A6,'LxI Assessment'!$D$5:$D$394,Q$5)))</f>
        <v>3</v>
      </c>
      <c r="R6" s="31" t="n">
        <f aca="false">IF(COUNTIFS('LxI Assessment'!$A$5:$A$394,$A6,'LxI Assessment'!$D$5:$D$394,R$5,'LxI Assessment'!$F$5:$F$394,"N/A")&gt;0,"N/A",IF(COUNTIFS('LxI Assessment'!$A$5:$A$394,$A6,'LxI Assessment'!$D$5:$D$394,R$5,'LxI Assessment'!$S$5:$S$394,"&gt;0")=0,"",SUMIFS('LxI Assessment'!$S$5:$S$394,'LxI Assessment'!$A$5:$A$394,$A6,'LxI Assessment'!$D$5:$D$394,R$5)))</f>
        <v>3</v>
      </c>
      <c r="S6" s="31" t="n">
        <f aca="false">IF(COUNTIFS('LxI Assessment'!$A$5:$A$394,$A6,'LxI Assessment'!$D$5:$D$394,S$5,'LxI Assessment'!$F$5:$F$394,"N/A")&gt;0,"N/A",IF(COUNTIFS('LxI Assessment'!$A$5:$A$394,$A6,'LxI Assessment'!$D$5:$D$394,S$5,'LxI Assessment'!$S$5:$S$394,"&gt;0")=0,"",SUMIFS('LxI Assessment'!$S$5:$S$394,'LxI Assessment'!$A$5:$A$394,$A6,'LxI Assessment'!$D$5:$D$394,S$5)))</f>
        <v>3</v>
      </c>
      <c r="T6" s="31" t="n">
        <f aca="false">IF(COUNTIFS('LxI Assessment'!$A$5:$A$394,$A6,'LxI Assessment'!$D$5:$D$394,T$5,'LxI Assessment'!$F$5:$F$394,"N/A")&gt;0,"N/A",IF(COUNTIFS('LxI Assessment'!$A$5:$A$394,$A6,'LxI Assessment'!$D$5:$D$394,T$5,'LxI Assessment'!$S$5:$S$394,"&gt;0")=0,"",SUMIFS('LxI Assessment'!$S$5:$S$394,'LxI Assessment'!$A$5:$A$394,$A6,'LxI Assessment'!$D$5:$D$394,T$5)))</f>
        <v>3</v>
      </c>
      <c r="U6" s="31" t="n">
        <f aca="false">IF(COUNTIFS('LxI Assessment'!$A$5:$A$394,$A6,'LxI Assessment'!$D$5:$D$394,U$5,'LxI Assessment'!$F$5:$F$394,"N/A")&gt;0,"N/A",IF(COUNTIFS('LxI Assessment'!$A$5:$A$394,$A6,'LxI Assessment'!$D$5:$D$394,U$5,'LxI Assessment'!$S$5:$S$394,"&gt;0")=0,"",SUMIFS('LxI Assessment'!$S$5:$S$394,'LxI Assessment'!$A$5:$A$394,$A6,'LxI Assessment'!$D$5:$D$394,U$5)))</f>
        <v>4</v>
      </c>
      <c r="V6" s="31" t="n">
        <f aca="false">IF(COUNTIFS('LxI Assessment'!$A$5:$A$394,$A6,'LxI Assessment'!$D$5:$D$394,V$5,'LxI Assessment'!$F$5:$F$394,"N/A")&gt;0,"N/A",IF(COUNTIFS('LxI Assessment'!$A$5:$A$394,$A6,'LxI Assessment'!$D$5:$D$394,V$5,'LxI Assessment'!$S$5:$S$394,"&gt;0")=0,"",SUMIFS('LxI Assessment'!$S$5:$S$394,'LxI Assessment'!$A$5:$A$394,$A6,'LxI Assessment'!$D$5:$D$394,V$5)))</f>
        <v>2</v>
      </c>
      <c r="W6" s="34" t="n">
        <f aca="false">MAX(C6:V6)</f>
        <v>4</v>
      </c>
      <c r="X6" s="29" t="n">
        <f aca="false">IFERROR(AVERAGE(C6:V6),"")</f>
        <v>3.05263157894737</v>
      </c>
      <c r="Y6" s="31" t="n">
        <f aca="false">COUNTIF(C6:V6,5)</f>
        <v>0</v>
      </c>
      <c r="Z6" s="31" t="n">
        <f aca="false">COUNTIF(C6:V6,4)</f>
        <v>2</v>
      </c>
      <c r="AA6" s="7" t="str">
        <f aca="false">IF(W6=0,"",INDEX(Config!$B$5:$B$9,W6))</f>
        <v>Medium-High</v>
      </c>
    </row>
    <row r="7" customFormat="false" ht="15" hidden="false" customHeight="false" outlineLevel="0" collapsed="false">
      <c r="A7" s="26" t="str">
        <f aca="false">Entities!A6</f>
        <v>JO-IIAB</v>
      </c>
      <c r="B7" s="26" t="str">
        <f aca="false">Entities!B6</f>
        <v>Islamic International Arab Bank</v>
      </c>
      <c r="C7" s="31" t="n">
        <f aca="false">IF(COUNTIFS('FC Calculation'!$A$5:$A$214,$A7,'FC Calculation'!$D$5:$D$214,C$5,'FC Calculation'!$T$5:$T$214,"&gt;0")=0,"",SUMIFS('FC Calculation'!$T$5:$T$214,'FC Calculation'!$A$5:$A$214,$A7,'FC Calculation'!$D$5:$D$214,C$5))</f>
        <v>3</v>
      </c>
      <c r="D7" s="31" t="n">
        <f aca="false">IF(COUNTIFS('FC Calculation'!$A$5:$A$214,$A7,'FC Calculation'!$D$5:$D$214,D$5,'FC Calculation'!$T$5:$T$214,"&gt;0")=0,"",SUMIFS('FC Calculation'!$T$5:$T$214,'FC Calculation'!$A$5:$A$214,$A7,'FC Calculation'!$D$5:$D$214,D$5))</f>
        <v>3</v>
      </c>
      <c r="E7" s="31" t="n">
        <f aca="false">IF(COUNTIFS('FC Calculation'!$A$5:$A$214,$A7,'FC Calculation'!$D$5:$D$214,E$5,'FC Calculation'!$T$5:$T$214,"&gt;0")=0,"",SUMIFS('FC Calculation'!$T$5:$T$214,'FC Calculation'!$A$5:$A$214,$A7,'FC Calculation'!$D$5:$D$214,E$5))</f>
        <v>3</v>
      </c>
      <c r="F7" s="31" t="n">
        <f aca="false">IF(COUNTIFS('FC Calculation'!$A$5:$A$214,$A7,'FC Calculation'!$D$5:$D$214,F$5,'FC Calculation'!$T$5:$T$214,"&gt;0")=0,"",SUMIFS('FC Calculation'!$T$5:$T$214,'FC Calculation'!$A$5:$A$214,$A7,'FC Calculation'!$D$5:$D$214,F$5))</f>
        <v>3</v>
      </c>
      <c r="G7" s="31" t="n">
        <f aca="false">IF(COUNTIFS('FC Calculation'!$A$5:$A$214,$A7,'FC Calculation'!$D$5:$D$214,G$5,'FC Calculation'!$T$5:$T$214,"&gt;0")=0,"",SUMIFS('FC Calculation'!$T$5:$T$214,'FC Calculation'!$A$5:$A$214,$A7,'FC Calculation'!$D$5:$D$214,G$5))</f>
        <v>3</v>
      </c>
      <c r="H7" s="31" t="n">
        <f aca="false">IF(COUNTIFS('FC Calculation'!$A$5:$A$214,$A7,'FC Calculation'!$D$5:$D$214,H$5,'FC Calculation'!$T$5:$T$214,"&gt;0")=0,"",SUMIFS('FC Calculation'!$T$5:$T$214,'FC Calculation'!$A$5:$A$214,$A7,'FC Calculation'!$D$5:$D$214,H$5))</f>
        <v>3</v>
      </c>
      <c r="I7" s="31" t="n">
        <f aca="false">IF(COUNTIFS('FC Calculation'!$A$5:$A$214,$A7,'FC Calculation'!$D$5:$D$214,I$5,'FC Calculation'!$T$5:$T$214,"&gt;0")=0,"",SUMIFS('FC Calculation'!$T$5:$T$214,'FC Calculation'!$A$5:$A$214,$A7,'FC Calculation'!$D$5:$D$214,I$5))</f>
        <v>3</v>
      </c>
      <c r="J7" s="31" t="n">
        <f aca="false">IF(COUNTIFS('LxI Assessment'!$A$5:$A$394,$A7,'LxI Assessment'!$D$5:$D$394,J$5,'LxI Assessment'!$F$5:$F$394,"N/A")&gt;0,"N/A",IF(COUNTIFS('LxI Assessment'!$A$5:$A$394,$A7,'LxI Assessment'!$D$5:$D$394,J$5,'LxI Assessment'!$S$5:$S$394,"&gt;0")=0,"",SUMIFS('LxI Assessment'!$S$5:$S$394,'LxI Assessment'!$A$5:$A$394,$A7,'LxI Assessment'!$D$5:$D$394,J$5)))</f>
        <v>5</v>
      </c>
      <c r="K7" s="31" t="n">
        <f aca="false">IF(COUNTIFS('LxI Assessment'!$A$5:$A$394,$A7,'LxI Assessment'!$D$5:$D$394,K$5,'LxI Assessment'!$F$5:$F$394,"N/A")&gt;0,"N/A",IF(COUNTIFS('LxI Assessment'!$A$5:$A$394,$A7,'LxI Assessment'!$D$5:$D$394,K$5,'LxI Assessment'!$S$5:$S$394,"&gt;0")=0,"",SUMIFS('LxI Assessment'!$S$5:$S$394,'LxI Assessment'!$A$5:$A$394,$A7,'LxI Assessment'!$D$5:$D$394,K$5)))</f>
        <v>3</v>
      </c>
      <c r="L7" s="31" t="n">
        <f aca="false">IF(COUNTIFS('LxI Assessment'!$A$5:$A$394,$A7,'LxI Assessment'!$D$5:$D$394,L$5,'LxI Assessment'!$F$5:$F$394,"N/A")&gt;0,"N/A",IF(COUNTIFS('LxI Assessment'!$A$5:$A$394,$A7,'LxI Assessment'!$D$5:$D$394,L$5,'LxI Assessment'!$S$5:$S$394,"&gt;0")=0,"",SUMIFS('LxI Assessment'!$S$5:$S$394,'LxI Assessment'!$A$5:$A$394,$A7,'LxI Assessment'!$D$5:$D$394,L$5)))</f>
        <v>2</v>
      </c>
      <c r="M7" s="31" t="n">
        <f aca="false">IF(COUNTIFS('LxI Assessment'!$A$5:$A$394,$A7,'LxI Assessment'!$D$5:$D$394,M$5,'LxI Assessment'!$F$5:$F$394,"N/A")&gt;0,"N/A",IF(COUNTIFS('LxI Assessment'!$A$5:$A$394,$A7,'LxI Assessment'!$D$5:$D$394,M$5,'LxI Assessment'!$S$5:$S$394,"&gt;0")=0,"",SUMIFS('LxI Assessment'!$S$5:$S$394,'LxI Assessment'!$A$5:$A$394,$A7,'LxI Assessment'!$D$5:$D$394,M$5)))</f>
        <v>2</v>
      </c>
      <c r="N7" s="31" t="n">
        <f aca="false">IF(COUNTIFS('LxI Assessment'!$A$5:$A$394,$A7,'LxI Assessment'!$D$5:$D$394,N$5,'LxI Assessment'!$F$5:$F$394,"N/A")&gt;0,"N/A",IF(COUNTIFS('LxI Assessment'!$A$5:$A$394,$A7,'LxI Assessment'!$D$5:$D$394,N$5,'LxI Assessment'!$S$5:$S$394,"&gt;0")=0,"",SUMIFS('LxI Assessment'!$S$5:$S$394,'LxI Assessment'!$A$5:$A$394,$A7,'LxI Assessment'!$D$5:$D$394,N$5)))</f>
        <v>4</v>
      </c>
      <c r="O7" s="31" t="n">
        <f aca="false">IF(COUNTIFS('LxI Assessment'!$A$5:$A$394,$A7,'LxI Assessment'!$D$5:$D$394,O$5,'LxI Assessment'!$F$5:$F$394,"N/A")&gt;0,"N/A",IF(COUNTIFS('LxI Assessment'!$A$5:$A$394,$A7,'LxI Assessment'!$D$5:$D$394,O$5,'LxI Assessment'!$S$5:$S$394,"&gt;0")=0,"",SUMIFS('LxI Assessment'!$S$5:$S$394,'LxI Assessment'!$A$5:$A$394,$A7,'LxI Assessment'!$D$5:$D$394,O$5)))</f>
        <v>3</v>
      </c>
      <c r="P7" s="31" t="n">
        <f aca="false">IF(COUNTIFS('LxI Assessment'!$A$5:$A$394,$A7,'LxI Assessment'!$D$5:$D$394,P$5,'LxI Assessment'!$F$5:$F$394,"N/A")&gt;0,"N/A",IF(COUNTIFS('LxI Assessment'!$A$5:$A$394,$A7,'LxI Assessment'!$D$5:$D$394,P$5,'LxI Assessment'!$S$5:$S$394,"&gt;0")=0,"",SUMIFS('LxI Assessment'!$S$5:$S$394,'LxI Assessment'!$A$5:$A$394,$A7,'LxI Assessment'!$D$5:$D$394,P$5)))</f>
        <v>2</v>
      </c>
      <c r="Q7" s="31" t="n">
        <f aca="false">IF(COUNTIFS('LxI Assessment'!$A$5:$A$394,$A7,'LxI Assessment'!$D$5:$D$394,Q$5,'LxI Assessment'!$F$5:$F$394,"N/A")&gt;0,"N/A",IF(COUNTIFS('LxI Assessment'!$A$5:$A$394,$A7,'LxI Assessment'!$D$5:$D$394,Q$5,'LxI Assessment'!$S$5:$S$394,"&gt;0")=0,"",SUMIFS('LxI Assessment'!$S$5:$S$394,'LxI Assessment'!$A$5:$A$394,$A7,'LxI Assessment'!$D$5:$D$394,Q$5)))</f>
        <v>2</v>
      </c>
      <c r="R7" s="31" t="n">
        <f aca="false">IF(COUNTIFS('LxI Assessment'!$A$5:$A$394,$A7,'LxI Assessment'!$D$5:$D$394,R$5,'LxI Assessment'!$F$5:$F$394,"N/A")&gt;0,"N/A",IF(COUNTIFS('LxI Assessment'!$A$5:$A$394,$A7,'LxI Assessment'!$D$5:$D$394,R$5,'LxI Assessment'!$S$5:$S$394,"&gt;0")=0,"",SUMIFS('LxI Assessment'!$S$5:$S$394,'LxI Assessment'!$A$5:$A$394,$A7,'LxI Assessment'!$D$5:$D$394,R$5)))</f>
        <v>3</v>
      </c>
      <c r="S7" s="31" t="n">
        <f aca="false">IF(COUNTIFS('LxI Assessment'!$A$5:$A$394,$A7,'LxI Assessment'!$D$5:$D$394,S$5,'LxI Assessment'!$F$5:$F$394,"N/A")&gt;0,"N/A",IF(COUNTIFS('LxI Assessment'!$A$5:$A$394,$A7,'LxI Assessment'!$D$5:$D$394,S$5,'LxI Assessment'!$S$5:$S$394,"&gt;0")=0,"",SUMIFS('LxI Assessment'!$S$5:$S$394,'LxI Assessment'!$A$5:$A$394,$A7,'LxI Assessment'!$D$5:$D$394,S$5)))</f>
        <v>3</v>
      </c>
      <c r="T7" s="31" t="n">
        <f aca="false">IF(COUNTIFS('LxI Assessment'!$A$5:$A$394,$A7,'LxI Assessment'!$D$5:$D$394,T$5,'LxI Assessment'!$F$5:$F$394,"N/A")&gt;0,"N/A",IF(COUNTIFS('LxI Assessment'!$A$5:$A$394,$A7,'LxI Assessment'!$D$5:$D$394,T$5,'LxI Assessment'!$S$5:$S$394,"&gt;0")=0,"",SUMIFS('LxI Assessment'!$S$5:$S$394,'LxI Assessment'!$A$5:$A$394,$A7,'LxI Assessment'!$D$5:$D$394,T$5)))</f>
        <v>1</v>
      </c>
      <c r="U7" s="31" t="n">
        <f aca="false">IF(COUNTIFS('LxI Assessment'!$A$5:$A$394,$A7,'LxI Assessment'!$D$5:$D$394,U$5,'LxI Assessment'!$F$5:$F$394,"N/A")&gt;0,"N/A",IF(COUNTIFS('LxI Assessment'!$A$5:$A$394,$A7,'LxI Assessment'!$D$5:$D$394,U$5,'LxI Assessment'!$S$5:$S$394,"&gt;0")=0,"",SUMIFS('LxI Assessment'!$S$5:$S$394,'LxI Assessment'!$A$5:$A$394,$A7,'LxI Assessment'!$D$5:$D$394,U$5)))</f>
        <v>2</v>
      </c>
      <c r="V7" s="31" t="n">
        <f aca="false">IF(COUNTIFS('LxI Assessment'!$A$5:$A$394,$A7,'LxI Assessment'!$D$5:$D$394,V$5,'LxI Assessment'!$F$5:$F$394,"N/A")&gt;0,"N/A",IF(COUNTIFS('LxI Assessment'!$A$5:$A$394,$A7,'LxI Assessment'!$D$5:$D$394,V$5,'LxI Assessment'!$S$5:$S$394,"&gt;0")=0,"",SUMIFS('LxI Assessment'!$S$5:$S$394,'LxI Assessment'!$A$5:$A$394,$A7,'LxI Assessment'!$D$5:$D$394,V$5)))</f>
        <v>3</v>
      </c>
      <c r="W7" s="34" t="n">
        <f aca="false">MAX(C7:V7)</f>
        <v>5</v>
      </c>
      <c r="X7" s="29" t="n">
        <f aca="false">IFERROR(AVERAGE(C7:V7),"")</f>
        <v>2.8</v>
      </c>
      <c r="Y7" s="31" t="n">
        <f aca="false">COUNTIF(C7:V7,5)</f>
        <v>1</v>
      </c>
      <c r="Z7" s="31" t="n">
        <f aca="false">COUNTIF(C7:V7,4)</f>
        <v>1</v>
      </c>
      <c r="AA7" s="7" t="str">
        <f aca="false">IF(W7=0,"",INDEX(Config!$B$5:$B$9,W7))</f>
        <v>High</v>
      </c>
    </row>
    <row r="8" customFormat="false" ht="15" hidden="false" customHeight="false" outlineLevel="0" collapsed="false">
      <c r="A8" s="26" t="str">
        <f aca="false">Entities!A7</f>
        <v>JO-INV</v>
      </c>
      <c r="B8" s="26" t="str">
        <f aca="false">Entities!B7</f>
        <v>Al-Arabi Investment Group (AB Invest)</v>
      </c>
      <c r="C8" s="31" t="n">
        <f aca="false">IF(COUNTIFS('FC Calculation'!$A$5:$A$214,$A8,'FC Calculation'!$D$5:$D$214,C$5,'FC Calculation'!$T$5:$T$214,"&gt;0")=0,"",SUMIFS('FC Calculation'!$T$5:$T$214,'FC Calculation'!$A$5:$A$214,$A8,'FC Calculation'!$D$5:$D$214,C$5))</f>
        <v>2</v>
      </c>
      <c r="D8" s="31" t="n">
        <f aca="false">IF(COUNTIFS('FC Calculation'!$A$5:$A$214,$A8,'FC Calculation'!$D$5:$D$214,D$5,'FC Calculation'!$T$5:$T$214,"&gt;0")=0,"",SUMIFS('FC Calculation'!$T$5:$T$214,'FC Calculation'!$A$5:$A$214,$A8,'FC Calculation'!$D$5:$D$214,D$5))</f>
        <v>2</v>
      </c>
      <c r="E8" s="31" t="n">
        <f aca="false">IF(COUNTIFS('FC Calculation'!$A$5:$A$214,$A8,'FC Calculation'!$D$5:$D$214,E$5,'FC Calculation'!$T$5:$T$214,"&gt;0")=0,"",SUMIFS('FC Calculation'!$T$5:$T$214,'FC Calculation'!$A$5:$A$214,$A8,'FC Calculation'!$D$5:$D$214,E$5))</f>
        <v>2</v>
      </c>
      <c r="F8" s="31" t="n">
        <f aca="false">IF(COUNTIFS('FC Calculation'!$A$5:$A$214,$A8,'FC Calculation'!$D$5:$D$214,F$5,'FC Calculation'!$T$5:$T$214,"&gt;0")=0,"",SUMIFS('FC Calculation'!$T$5:$T$214,'FC Calculation'!$A$5:$A$214,$A8,'FC Calculation'!$D$5:$D$214,F$5))</f>
        <v>2</v>
      </c>
      <c r="G8" s="31" t="n">
        <f aca="false">IF(COUNTIFS('FC Calculation'!$A$5:$A$214,$A8,'FC Calculation'!$D$5:$D$214,G$5,'FC Calculation'!$T$5:$T$214,"&gt;0")=0,"",SUMIFS('FC Calculation'!$T$5:$T$214,'FC Calculation'!$A$5:$A$214,$A8,'FC Calculation'!$D$5:$D$214,G$5))</f>
        <v>2</v>
      </c>
      <c r="H8" s="31" t="n">
        <f aca="false">IF(COUNTIFS('FC Calculation'!$A$5:$A$214,$A8,'FC Calculation'!$D$5:$D$214,H$5,'FC Calculation'!$T$5:$T$214,"&gt;0")=0,"",SUMIFS('FC Calculation'!$T$5:$T$214,'FC Calculation'!$A$5:$A$214,$A8,'FC Calculation'!$D$5:$D$214,H$5))</f>
        <v>2</v>
      </c>
      <c r="I8" s="31" t="n">
        <f aca="false">IF(COUNTIFS('FC Calculation'!$A$5:$A$214,$A8,'FC Calculation'!$D$5:$D$214,I$5,'FC Calculation'!$T$5:$T$214,"&gt;0")=0,"",SUMIFS('FC Calculation'!$T$5:$T$214,'FC Calculation'!$A$5:$A$214,$A8,'FC Calculation'!$D$5:$D$214,I$5))</f>
        <v>3</v>
      </c>
      <c r="J8" s="31" t="n">
        <f aca="false">IF(COUNTIFS('LxI Assessment'!$A$5:$A$394,$A8,'LxI Assessment'!$D$5:$D$394,J$5,'LxI Assessment'!$F$5:$F$394,"N/A")&gt;0,"N/A",IF(COUNTIFS('LxI Assessment'!$A$5:$A$394,$A8,'LxI Assessment'!$D$5:$D$394,J$5,'LxI Assessment'!$S$5:$S$394,"&gt;0")=0,"",SUMIFS('LxI Assessment'!$S$5:$S$394,'LxI Assessment'!$A$5:$A$394,$A8,'LxI Assessment'!$D$5:$D$394,J$5)))</f>
        <v>3</v>
      </c>
      <c r="K8" s="31" t="n">
        <f aca="false">IF(COUNTIFS('LxI Assessment'!$A$5:$A$394,$A8,'LxI Assessment'!$D$5:$D$394,K$5,'LxI Assessment'!$F$5:$F$394,"N/A")&gt;0,"N/A",IF(COUNTIFS('LxI Assessment'!$A$5:$A$394,$A8,'LxI Assessment'!$D$5:$D$394,K$5,'LxI Assessment'!$S$5:$S$394,"&gt;0")=0,"",SUMIFS('LxI Assessment'!$S$5:$S$394,'LxI Assessment'!$A$5:$A$394,$A8,'LxI Assessment'!$D$5:$D$394,K$5)))</f>
        <v>3</v>
      </c>
      <c r="L8" s="31" t="n">
        <f aca="false">IF(COUNTIFS('LxI Assessment'!$A$5:$A$394,$A8,'LxI Assessment'!$D$5:$D$394,L$5,'LxI Assessment'!$F$5:$F$394,"N/A")&gt;0,"N/A",IF(COUNTIFS('LxI Assessment'!$A$5:$A$394,$A8,'LxI Assessment'!$D$5:$D$394,L$5,'LxI Assessment'!$S$5:$S$394,"&gt;0")=0,"",SUMIFS('LxI Assessment'!$S$5:$S$394,'LxI Assessment'!$A$5:$A$394,$A8,'LxI Assessment'!$D$5:$D$394,L$5)))</f>
        <v>2</v>
      </c>
      <c r="M8" s="31" t="str">
        <f aca="false">IF(COUNTIFS('LxI Assessment'!$A$5:$A$394,$A8,'LxI Assessment'!$D$5:$D$394,M$5,'LxI Assessment'!$F$5:$F$394,"N/A")&gt;0,"N/A",IF(COUNTIFS('LxI Assessment'!$A$5:$A$394,$A8,'LxI Assessment'!$D$5:$D$394,M$5,'LxI Assessment'!$S$5:$S$394,"&gt;0")=0,"",SUMIFS('LxI Assessment'!$S$5:$S$394,'LxI Assessment'!$A$5:$A$394,$A8,'LxI Assessment'!$D$5:$D$394,M$5)))</f>
        <v>N/A</v>
      </c>
      <c r="N8" s="31" t="n">
        <f aca="false">IF(COUNTIFS('LxI Assessment'!$A$5:$A$394,$A8,'LxI Assessment'!$D$5:$D$394,N$5,'LxI Assessment'!$F$5:$F$394,"N/A")&gt;0,"N/A",IF(COUNTIFS('LxI Assessment'!$A$5:$A$394,$A8,'LxI Assessment'!$D$5:$D$394,N$5,'LxI Assessment'!$S$5:$S$394,"&gt;0")=0,"",SUMIFS('LxI Assessment'!$S$5:$S$394,'LxI Assessment'!$A$5:$A$394,$A8,'LxI Assessment'!$D$5:$D$394,N$5)))</f>
        <v>3</v>
      </c>
      <c r="O8" s="31" t="n">
        <f aca="false">IF(COUNTIFS('LxI Assessment'!$A$5:$A$394,$A8,'LxI Assessment'!$D$5:$D$394,O$5,'LxI Assessment'!$F$5:$F$394,"N/A")&gt;0,"N/A",IF(COUNTIFS('LxI Assessment'!$A$5:$A$394,$A8,'LxI Assessment'!$D$5:$D$394,O$5,'LxI Assessment'!$S$5:$S$394,"&gt;0")=0,"",SUMIFS('LxI Assessment'!$S$5:$S$394,'LxI Assessment'!$A$5:$A$394,$A8,'LxI Assessment'!$D$5:$D$394,O$5)))</f>
        <v>2</v>
      </c>
      <c r="P8" s="31" t="n">
        <f aca="false">IF(COUNTIFS('LxI Assessment'!$A$5:$A$394,$A8,'LxI Assessment'!$D$5:$D$394,P$5,'LxI Assessment'!$F$5:$F$394,"N/A")&gt;0,"N/A",IF(COUNTIFS('LxI Assessment'!$A$5:$A$394,$A8,'LxI Assessment'!$D$5:$D$394,P$5,'LxI Assessment'!$S$5:$S$394,"&gt;0")=0,"",SUMIFS('LxI Assessment'!$S$5:$S$394,'LxI Assessment'!$A$5:$A$394,$A8,'LxI Assessment'!$D$5:$D$394,P$5)))</f>
        <v>4</v>
      </c>
      <c r="Q8" s="31" t="n">
        <f aca="false">IF(COUNTIFS('LxI Assessment'!$A$5:$A$394,$A8,'LxI Assessment'!$D$5:$D$394,Q$5,'LxI Assessment'!$F$5:$F$394,"N/A")&gt;0,"N/A",IF(COUNTIFS('LxI Assessment'!$A$5:$A$394,$A8,'LxI Assessment'!$D$5:$D$394,Q$5,'LxI Assessment'!$S$5:$S$394,"&gt;0")=0,"",SUMIFS('LxI Assessment'!$S$5:$S$394,'LxI Assessment'!$A$5:$A$394,$A8,'LxI Assessment'!$D$5:$D$394,Q$5)))</f>
        <v>3</v>
      </c>
      <c r="R8" s="31" t="n">
        <f aca="false">IF(COUNTIFS('LxI Assessment'!$A$5:$A$394,$A8,'LxI Assessment'!$D$5:$D$394,R$5,'LxI Assessment'!$F$5:$F$394,"N/A")&gt;0,"N/A",IF(COUNTIFS('LxI Assessment'!$A$5:$A$394,$A8,'LxI Assessment'!$D$5:$D$394,R$5,'LxI Assessment'!$S$5:$S$394,"&gt;0")=0,"",SUMIFS('LxI Assessment'!$S$5:$S$394,'LxI Assessment'!$A$5:$A$394,$A8,'LxI Assessment'!$D$5:$D$394,R$5)))</f>
        <v>3</v>
      </c>
      <c r="S8" s="31" t="n">
        <f aca="false">IF(COUNTIFS('LxI Assessment'!$A$5:$A$394,$A8,'LxI Assessment'!$D$5:$D$394,S$5,'LxI Assessment'!$F$5:$F$394,"N/A")&gt;0,"N/A",IF(COUNTIFS('LxI Assessment'!$A$5:$A$394,$A8,'LxI Assessment'!$D$5:$D$394,S$5,'LxI Assessment'!$S$5:$S$394,"&gt;0")=0,"",SUMIFS('LxI Assessment'!$S$5:$S$394,'LxI Assessment'!$A$5:$A$394,$A8,'LxI Assessment'!$D$5:$D$394,S$5)))</f>
        <v>3</v>
      </c>
      <c r="T8" s="31" t="n">
        <f aca="false">IF(COUNTIFS('LxI Assessment'!$A$5:$A$394,$A8,'LxI Assessment'!$D$5:$D$394,T$5,'LxI Assessment'!$F$5:$F$394,"N/A")&gt;0,"N/A",IF(COUNTIFS('LxI Assessment'!$A$5:$A$394,$A8,'LxI Assessment'!$D$5:$D$394,T$5,'LxI Assessment'!$S$5:$S$394,"&gt;0")=0,"",SUMIFS('LxI Assessment'!$S$5:$S$394,'LxI Assessment'!$A$5:$A$394,$A8,'LxI Assessment'!$D$5:$D$394,T$5)))</f>
        <v>2</v>
      </c>
      <c r="U8" s="31" t="n">
        <f aca="false">IF(COUNTIFS('LxI Assessment'!$A$5:$A$394,$A8,'LxI Assessment'!$D$5:$D$394,U$5,'LxI Assessment'!$F$5:$F$394,"N/A")&gt;0,"N/A",IF(COUNTIFS('LxI Assessment'!$A$5:$A$394,$A8,'LxI Assessment'!$D$5:$D$394,U$5,'LxI Assessment'!$S$5:$S$394,"&gt;0")=0,"",SUMIFS('LxI Assessment'!$S$5:$S$394,'LxI Assessment'!$A$5:$A$394,$A8,'LxI Assessment'!$D$5:$D$394,U$5)))</f>
        <v>3</v>
      </c>
      <c r="V8" s="31" t="n">
        <f aca="false">IF(COUNTIFS('LxI Assessment'!$A$5:$A$394,$A8,'LxI Assessment'!$D$5:$D$394,V$5,'LxI Assessment'!$F$5:$F$394,"N/A")&gt;0,"N/A",IF(COUNTIFS('LxI Assessment'!$A$5:$A$394,$A8,'LxI Assessment'!$D$5:$D$394,V$5,'LxI Assessment'!$S$5:$S$394,"&gt;0")=0,"",SUMIFS('LxI Assessment'!$S$5:$S$394,'LxI Assessment'!$A$5:$A$394,$A8,'LxI Assessment'!$D$5:$D$394,V$5)))</f>
        <v>2</v>
      </c>
      <c r="W8" s="34" t="n">
        <f aca="false">MAX(C8:V8)</f>
        <v>4</v>
      </c>
      <c r="X8" s="29" t="n">
        <f aca="false">IFERROR(AVERAGE(C8:V8),"")</f>
        <v>2.52631578947368</v>
      </c>
      <c r="Y8" s="31" t="n">
        <f aca="false">COUNTIF(C8:V8,5)</f>
        <v>0</v>
      </c>
      <c r="Z8" s="31" t="n">
        <f aca="false">COUNTIF(C8:V8,4)</f>
        <v>1</v>
      </c>
      <c r="AA8" s="7" t="str">
        <f aca="false">IF(W8=0,"",INDEX(Config!$B$5:$B$9,W8))</f>
        <v>Medium-High</v>
      </c>
    </row>
    <row r="9" customFormat="false" ht="15" hidden="false" customHeight="false" outlineLevel="0" collapsed="false">
      <c r="A9" s="26" t="str">
        <f aca="false">Entities!A8</f>
        <v>JO-INS</v>
      </c>
      <c r="B9" s="26" t="str">
        <f aca="false">Entities!B8</f>
        <v>Insurance subsidiary – Jordan</v>
      </c>
      <c r="C9" s="31" t="n">
        <f aca="false">IF(COUNTIFS('FC Calculation'!$A$5:$A$214,$A9,'FC Calculation'!$D$5:$D$214,C$5,'FC Calculation'!$T$5:$T$214,"&gt;0")=0,"",SUMIFS('FC Calculation'!$T$5:$T$214,'FC Calculation'!$A$5:$A$214,$A9,'FC Calculation'!$D$5:$D$214,C$5))</f>
        <v>3</v>
      </c>
      <c r="D9" s="31" t="n">
        <f aca="false">IF(COUNTIFS('FC Calculation'!$A$5:$A$214,$A9,'FC Calculation'!$D$5:$D$214,D$5,'FC Calculation'!$T$5:$T$214,"&gt;0")=0,"",SUMIFS('FC Calculation'!$T$5:$T$214,'FC Calculation'!$A$5:$A$214,$A9,'FC Calculation'!$D$5:$D$214,D$5))</f>
        <v>2</v>
      </c>
      <c r="E9" s="31" t="n">
        <f aca="false">IF(COUNTIFS('FC Calculation'!$A$5:$A$214,$A9,'FC Calculation'!$D$5:$D$214,E$5,'FC Calculation'!$T$5:$T$214,"&gt;0")=0,"",SUMIFS('FC Calculation'!$T$5:$T$214,'FC Calculation'!$A$5:$A$214,$A9,'FC Calculation'!$D$5:$D$214,E$5))</f>
        <v>3</v>
      </c>
      <c r="F9" s="31" t="n">
        <f aca="false">IF(COUNTIFS('FC Calculation'!$A$5:$A$214,$A9,'FC Calculation'!$D$5:$D$214,F$5,'FC Calculation'!$T$5:$T$214,"&gt;0")=0,"",SUMIFS('FC Calculation'!$T$5:$T$214,'FC Calculation'!$A$5:$A$214,$A9,'FC Calculation'!$D$5:$D$214,F$5))</f>
        <v>3</v>
      </c>
      <c r="G9" s="31" t="n">
        <f aca="false">IF(COUNTIFS('FC Calculation'!$A$5:$A$214,$A9,'FC Calculation'!$D$5:$D$214,G$5,'FC Calculation'!$T$5:$T$214,"&gt;0")=0,"",SUMIFS('FC Calculation'!$T$5:$T$214,'FC Calculation'!$A$5:$A$214,$A9,'FC Calculation'!$D$5:$D$214,G$5))</f>
        <v>3</v>
      </c>
      <c r="H9" s="31" t="n">
        <f aca="false">IF(COUNTIFS('FC Calculation'!$A$5:$A$214,$A9,'FC Calculation'!$D$5:$D$214,H$5,'FC Calculation'!$T$5:$T$214,"&gt;0")=0,"",SUMIFS('FC Calculation'!$T$5:$T$214,'FC Calculation'!$A$5:$A$214,$A9,'FC Calculation'!$D$5:$D$214,H$5))</f>
        <v>2</v>
      </c>
      <c r="I9" s="31" t="n">
        <f aca="false">IF(COUNTIFS('FC Calculation'!$A$5:$A$214,$A9,'FC Calculation'!$D$5:$D$214,I$5,'FC Calculation'!$T$5:$T$214,"&gt;0")=0,"",SUMIFS('FC Calculation'!$T$5:$T$214,'FC Calculation'!$A$5:$A$214,$A9,'FC Calculation'!$D$5:$D$214,I$5))</f>
        <v>3</v>
      </c>
      <c r="J9" s="31" t="n">
        <f aca="false">IF(COUNTIFS('LxI Assessment'!$A$5:$A$394,$A9,'LxI Assessment'!$D$5:$D$394,J$5,'LxI Assessment'!$F$5:$F$394,"N/A")&gt;0,"N/A",IF(COUNTIFS('LxI Assessment'!$A$5:$A$394,$A9,'LxI Assessment'!$D$5:$D$394,J$5,'LxI Assessment'!$S$5:$S$394,"&gt;0")=0,"",SUMIFS('LxI Assessment'!$S$5:$S$394,'LxI Assessment'!$A$5:$A$394,$A9,'LxI Assessment'!$D$5:$D$394,J$5)))</f>
        <v>3</v>
      </c>
      <c r="K9" s="31" t="n">
        <f aca="false">IF(COUNTIFS('LxI Assessment'!$A$5:$A$394,$A9,'LxI Assessment'!$D$5:$D$394,K$5,'LxI Assessment'!$F$5:$F$394,"N/A")&gt;0,"N/A",IF(COUNTIFS('LxI Assessment'!$A$5:$A$394,$A9,'LxI Assessment'!$D$5:$D$394,K$5,'LxI Assessment'!$S$5:$S$394,"&gt;0")=0,"",SUMIFS('LxI Assessment'!$S$5:$S$394,'LxI Assessment'!$A$5:$A$394,$A9,'LxI Assessment'!$D$5:$D$394,K$5)))</f>
        <v>3</v>
      </c>
      <c r="L9" s="31" t="n">
        <f aca="false">IF(COUNTIFS('LxI Assessment'!$A$5:$A$394,$A9,'LxI Assessment'!$D$5:$D$394,L$5,'LxI Assessment'!$F$5:$F$394,"N/A")&gt;0,"N/A",IF(COUNTIFS('LxI Assessment'!$A$5:$A$394,$A9,'LxI Assessment'!$D$5:$D$394,L$5,'LxI Assessment'!$S$5:$S$394,"&gt;0")=0,"",SUMIFS('LxI Assessment'!$S$5:$S$394,'LxI Assessment'!$A$5:$A$394,$A9,'LxI Assessment'!$D$5:$D$394,L$5)))</f>
        <v>4</v>
      </c>
      <c r="M9" s="31" t="str">
        <f aca="false">IF(COUNTIFS('LxI Assessment'!$A$5:$A$394,$A9,'LxI Assessment'!$D$5:$D$394,M$5,'LxI Assessment'!$F$5:$F$394,"N/A")&gt;0,"N/A",IF(COUNTIFS('LxI Assessment'!$A$5:$A$394,$A9,'LxI Assessment'!$D$5:$D$394,M$5,'LxI Assessment'!$S$5:$S$394,"&gt;0")=0,"",SUMIFS('LxI Assessment'!$S$5:$S$394,'LxI Assessment'!$A$5:$A$394,$A9,'LxI Assessment'!$D$5:$D$394,M$5)))</f>
        <v>N/A</v>
      </c>
      <c r="N9" s="31" t="n">
        <f aca="false">IF(COUNTIFS('LxI Assessment'!$A$5:$A$394,$A9,'LxI Assessment'!$D$5:$D$394,N$5,'LxI Assessment'!$F$5:$F$394,"N/A")&gt;0,"N/A",IF(COUNTIFS('LxI Assessment'!$A$5:$A$394,$A9,'LxI Assessment'!$D$5:$D$394,N$5,'LxI Assessment'!$S$5:$S$394,"&gt;0")=0,"",SUMIFS('LxI Assessment'!$S$5:$S$394,'LxI Assessment'!$A$5:$A$394,$A9,'LxI Assessment'!$D$5:$D$394,N$5)))</f>
        <v>3</v>
      </c>
      <c r="O9" s="31" t="n">
        <f aca="false">IF(COUNTIFS('LxI Assessment'!$A$5:$A$394,$A9,'LxI Assessment'!$D$5:$D$394,O$5,'LxI Assessment'!$F$5:$F$394,"N/A")&gt;0,"N/A",IF(COUNTIFS('LxI Assessment'!$A$5:$A$394,$A9,'LxI Assessment'!$D$5:$D$394,O$5,'LxI Assessment'!$S$5:$S$394,"&gt;0")=0,"",SUMIFS('LxI Assessment'!$S$5:$S$394,'LxI Assessment'!$A$5:$A$394,$A9,'LxI Assessment'!$D$5:$D$394,O$5)))</f>
        <v>3</v>
      </c>
      <c r="P9" s="31" t="n">
        <f aca="false">IF(COUNTIFS('LxI Assessment'!$A$5:$A$394,$A9,'LxI Assessment'!$D$5:$D$394,P$5,'LxI Assessment'!$F$5:$F$394,"N/A")&gt;0,"N/A",IF(COUNTIFS('LxI Assessment'!$A$5:$A$394,$A9,'LxI Assessment'!$D$5:$D$394,P$5,'LxI Assessment'!$S$5:$S$394,"&gt;0")=0,"",SUMIFS('LxI Assessment'!$S$5:$S$394,'LxI Assessment'!$A$5:$A$394,$A9,'LxI Assessment'!$D$5:$D$394,P$5)))</f>
        <v>3</v>
      </c>
      <c r="Q9" s="31" t="n">
        <f aca="false">IF(COUNTIFS('LxI Assessment'!$A$5:$A$394,$A9,'LxI Assessment'!$D$5:$D$394,Q$5,'LxI Assessment'!$F$5:$F$394,"N/A")&gt;0,"N/A",IF(COUNTIFS('LxI Assessment'!$A$5:$A$394,$A9,'LxI Assessment'!$D$5:$D$394,Q$5,'LxI Assessment'!$S$5:$S$394,"&gt;0")=0,"",SUMIFS('LxI Assessment'!$S$5:$S$394,'LxI Assessment'!$A$5:$A$394,$A9,'LxI Assessment'!$D$5:$D$394,Q$5)))</f>
        <v>3</v>
      </c>
      <c r="R9" s="31" t="n">
        <f aca="false">IF(COUNTIFS('LxI Assessment'!$A$5:$A$394,$A9,'LxI Assessment'!$D$5:$D$394,R$5,'LxI Assessment'!$F$5:$F$394,"N/A")&gt;0,"N/A",IF(COUNTIFS('LxI Assessment'!$A$5:$A$394,$A9,'LxI Assessment'!$D$5:$D$394,R$5,'LxI Assessment'!$S$5:$S$394,"&gt;0")=0,"",SUMIFS('LxI Assessment'!$S$5:$S$394,'LxI Assessment'!$A$5:$A$394,$A9,'LxI Assessment'!$D$5:$D$394,R$5)))</f>
        <v>3</v>
      </c>
      <c r="S9" s="31" t="n">
        <f aca="false">IF(COUNTIFS('LxI Assessment'!$A$5:$A$394,$A9,'LxI Assessment'!$D$5:$D$394,S$5,'LxI Assessment'!$F$5:$F$394,"N/A")&gt;0,"N/A",IF(COUNTIFS('LxI Assessment'!$A$5:$A$394,$A9,'LxI Assessment'!$D$5:$D$394,S$5,'LxI Assessment'!$S$5:$S$394,"&gt;0")=0,"",SUMIFS('LxI Assessment'!$S$5:$S$394,'LxI Assessment'!$A$5:$A$394,$A9,'LxI Assessment'!$D$5:$D$394,S$5)))</f>
        <v>3</v>
      </c>
      <c r="T9" s="31" t="n">
        <f aca="false">IF(COUNTIFS('LxI Assessment'!$A$5:$A$394,$A9,'LxI Assessment'!$D$5:$D$394,T$5,'LxI Assessment'!$F$5:$F$394,"N/A")&gt;0,"N/A",IF(COUNTIFS('LxI Assessment'!$A$5:$A$394,$A9,'LxI Assessment'!$D$5:$D$394,T$5,'LxI Assessment'!$S$5:$S$394,"&gt;0")=0,"",SUMIFS('LxI Assessment'!$S$5:$S$394,'LxI Assessment'!$A$5:$A$394,$A9,'LxI Assessment'!$D$5:$D$394,T$5)))</f>
        <v>3</v>
      </c>
      <c r="U9" s="31" t="n">
        <f aca="false">IF(COUNTIFS('LxI Assessment'!$A$5:$A$394,$A9,'LxI Assessment'!$D$5:$D$394,U$5,'LxI Assessment'!$F$5:$F$394,"N/A")&gt;0,"N/A",IF(COUNTIFS('LxI Assessment'!$A$5:$A$394,$A9,'LxI Assessment'!$D$5:$D$394,U$5,'LxI Assessment'!$S$5:$S$394,"&gt;0")=0,"",SUMIFS('LxI Assessment'!$S$5:$S$394,'LxI Assessment'!$A$5:$A$394,$A9,'LxI Assessment'!$D$5:$D$394,U$5)))</f>
        <v>3</v>
      </c>
      <c r="V9" s="31" t="n">
        <f aca="false">IF(COUNTIFS('LxI Assessment'!$A$5:$A$394,$A9,'LxI Assessment'!$D$5:$D$394,V$5,'LxI Assessment'!$F$5:$F$394,"N/A")&gt;0,"N/A",IF(COUNTIFS('LxI Assessment'!$A$5:$A$394,$A9,'LxI Assessment'!$D$5:$D$394,V$5,'LxI Assessment'!$S$5:$S$394,"&gt;0")=0,"",SUMIFS('LxI Assessment'!$S$5:$S$394,'LxI Assessment'!$A$5:$A$394,$A9,'LxI Assessment'!$D$5:$D$394,V$5)))</f>
        <v>2</v>
      </c>
      <c r="W9" s="34" t="n">
        <f aca="false">MAX(C9:V9)</f>
        <v>4</v>
      </c>
      <c r="X9" s="29" t="n">
        <f aca="false">IFERROR(AVERAGE(C9:V9),"")</f>
        <v>2.89473684210526</v>
      </c>
      <c r="Y9" s="31" t="n">
        <f aca="false">COUNTIF(C9:V9,5)</f>
        <v>0</v>
      </c>
      <c r="Z9" s="31" t="n">
        <f aca="false">COUNTIF(C9:V9,4)</f>
        <v>1</v>
      </c>
      <c r="AA9" s="7" t="str">
        <f aca="false">IF(W9=0,"",INDEX(Config!$B$5:$B$9,W9))</f>
        <v>Medium-High</v>
      </c>
    </row>
    <row r="10" customFormat="false" ht="15" hidden="false" customHeight="false" outlineLevel="0" collapsed="false">
      <c r="A10" s="26" t="str">
        <f aca="false">Entities!A9</f>
        <v>JO-LSG</v>
      </c>
      <c r="B10" s="26" t="str">
        <f aca="false">Entities!B9</f>
        <v>Leasing subsidiary – Jordan</v>
      </c>
      <c r="C10" s="31" t="n">
        <f aca="false">IF(COUNTIFS('FC Calculation'!$A$5:$A$214,$A10,'FC Calculation'!$D$5:$D$214,C$5,'FC Calculation'!$T$5:$T$214,"&gt;0")=0,"",SUMIFS('FC Calculation'!$T$5:$T$214,'FC Calculation'!$A$5:$A$214,$A10,'FC Calculation'!$D$5:$D$214,C$5))</f>
        <v>3</v>
      </c>
      <c r="D10" s="31" t="n">
        <f aca="false">IF(COUNTIFS('FC Calculation'!$A$5:$A$214,$A10,'FC Calculation'!$D$5:$D$214,D$5,'FC Calculation'!$T$5:$T$214,"&gt;0")=0,"",SUMIFS('FC Calculation'!$T$5:$T$214,'FC Calculation'!$A$5:$A$214,$A10,'FC Calculation'!$D$5:$D$214,D$5))</f>
        <v>2</v>
      </c>
      <c r="E10" s="31" t="n">
        <f aca="false">IF(COUNTIFS('FC Calculation'!$A$5:$A$214,$A10,'FC Calculation'!$D$5:$D$214,E$5,'FC Calculation'!$T$5:$T$214,"&gt;0")=0,"",SUMIFS('FC Calculation'!$T$5:$T$214,'FC Calculation'!$A$5:$A$214,$A10,'FC Calculation'!$D$5:$D$214,E$5))</f>
        <v>2</v>
      </c>
      <c r="F10" s="31" t="n">
        <f aca="false">IF(COUNTIFS('FC Calculation'!$A$5:$A$214,$A10,'FC Calculation'!$D$5:$D$214,F$5,'FC Calculation'!$T$5:$T$214,"&gt;0")=0,"",SUMIFS('FC Calculation'!$T$5:$T$214,'FC Calculation'!$A$5:$A$214,$A10,'FC Calculation'!$D$5:$D$214,F$5))</f>
        <v>3</v>
      </c>
      <c r="G10" s="31" t="n">
        <f aca="false">IF(COUNTIFS('FC Calculation'!$A$5:$A$214,$A10,'FC Calculation'!$D$5:$D$214,G$5,'FC Calculation'!$T$5:$T$214,"&gt;0")=0,"",SUMIFS('FC Calculation'!$T$5:$T$214,'FC Calculation'!$A$5:$A$214,$A10,'FC Calculation'!$D$5:$D$214,G$5))</f>
        <v>2</v>
      </c>
      <c r="H10" s="31" t="n">
        <f aca="false">IF(COUNTIFS('FC Calculation'!$A$5:$A$214,$A10,'FC Calculation'!$D$5:$D$214,H$5,'FC Calculation'!$T$5:$T$214,"&gt;0")=0,"",SUMIFS('FC Calculation'!$T$5:$T$214,'FC Calculation'!$A$5:$A$214,$A10,'FC Calculation'!$D$5:$D$214,H$5))</f>
        <v>3</v>
      </c>
      <c r="I10" s="31" t="n">
        <f aca="false">IF(COUNTIFS('FC Calculation'!$A$5:$A$214,$A10,'FC Calculation'!$D$5:$D$214,I$5,'FC Calculation'!$T$5:$T$214,"&gt;0")=0,"",SUMIFS('FC Calculation'!$T$5:$T$214,'FC Calculation'!$A$5:$A$214,$A10,'FC Calculation'!$D$5:$D$214,I$5))</f>
        <v>3</v>
      </c>
      <c r="J10" s="31" t="n">
        <f aca="false">IF(COUNTIFS('LxI Assessment'!$A$5:$A$394,$A10,'LxI Assessment'!$D$5:$D$394,J$5,'LxI Assessment'!$F$5:$F$394,"N/A")&gt;0,"N/A",IF(COUNTIFS('LxI Assessment'!$A$5:$A$394,$A10,'LxI Assessment'!$D$5:$D$394,J$5,'LxI Assessment'!$S$5:$S$394,"&gt;0")=0,"",SUMIFS('LxI Assessment'!$S$5:$S$394,'LxI Assessment'!$A$5:$A$394,$A10,'LxI Assessment'!$D$5:$D$394,J$5)))</f>
        <v>3</v>
      </c>
      <c r="K10" s="31" t="n">
        <f aca="false">IF(COUNTIFS('LxI Assessment'!$A$5:$A$394,$A10,'LxI Assessment'!$D$5:$D$394,K$5,'LxI Assessment'!$F$5:$F$394,"N/A")&gt;0,"N/A",IF(COUNTIFS('LxI Assessment'!$A$5:$A$394,$A10,'LxI Assessment'!$D$5:$D$394,K$5,'LxI Assessment'!$S$5:$S$394,"&gt;0")=0,"",SUMIFS('LxI Assessment'!$S$5:$S$394,'LxI Assessment'!$A$5:$A$394,$A10,'LxI Assessment'!$D$5:$D$394,K$5)))</f>
        <v>1</v>
      </c>
      <c r="L10" s="31" t="n">
        <f aca="false">IF(COUNTIFS('LxI Assessment'!$A$5:$A$394,$A10,'LxI Assessment'!$D$5:$D$394,L$5,'LxI Assessment'!$F$5:$F$394,"N/A")&gt;0,"N/A",IF(COUNTIFS('LxI Assessment'!$A$5:$A$394,$A10,'LxI Assessment'!$D$5:$D$394,L$5,'LxI Assessment'!$S$5:$S$394,"&gt;0")=0,"",SUMIFS('LxI Assessment'!$S$5:$S$394,'LxI Assessment'!$A$5:$A$394,$A10,'LxI Assessment'!$D$5:$D$394,L$5)))</f>
        <v>4</v>
      </c>
      <c r="M10" s="31" t="str">
        <f aca="false">IF(COUNTIFS('LxI Assessment'!$A$5:$A$394,$A10,'LxI Assessment'!$D$5:$D$394,M$5,'LxI Assessment'!$F$5:$F$394,"N/A")&gt;0,"N/A",IF(COUNTIFS('LxI Assessment'!$A$5:$A$394,$A10,'LxI Assessment'!$D$5:$D$394,M$5,'LxI Assessment'!$S$5:$S$394,"&gt;0")=0,"",SUMIFS('LxI Assessment'!$S$5:$S$394,'LxI Assessment'!$A$5:$A$394,$A10,'LxI Assessment'!$D$5:$D$394,M$5)))</f>
        <v>N/A</v>
      </c>
      <c r="N10" s="31" t="n">
        <f aca="false">IF(COUNTIFS('LxI Assessment'!$A$5:$A$394,$A10,'LxI Assessment'!$D$5:$D$394,N$5,'LxI Assessment'!$F$5:$F$394,"N/A")&gt;0,"N/A",IF(COUNTIFS('LxI Assessment'!$A$5:$A$394,$A10,'LxI Assessment'!$D$5:$D$394,N$5,'LxI Assessment'!$S$5:$S$394,"&gt;0")=0,"",SUMIFS('LxI Assessment'!$S$5:$S$394,'LxI Assessment'!$A$5:$A$394,$A10,'LxI Assessment'!$D$5:$D$394,N$5)))</f>
        <v>4</v>
      </c>
      <c r="O10" s="31" t="n">
        <f aca="false">IF(COUNTIFS('LxI Assessment'!$A$5:$A$394,$A10,'LxI Assessment'!$D$5:$D$394,O$5,'LxI Assessment'!$F$5:$F$394,"N/A")&gt;0,"N/A",IF(COUNTIFS('LxI Assessment'!$A$5:$A$394,$A10,'LxI Assessment'!$D$5:$D$394,O$5,'LxI Assessment'!$S$5:$S$394,"&gt;0")=0,"",SUMIFS('LxI Assessment'!$S$5:$S$394,'LxI Assessment'!$A$5:$A$394,$A10,'LxI Assessment'!$D$5:$D$394,O$5)))</f>
        <v>2</v>
      </c>
      <c r="P10" s="31" t="n">
        <f aca="false">IF(COUNTIFS('LxI Assessment'!$A$5:$A$394,$A10,'LxI Assessment'!$D$5:$D$394,P$5,'LxI Assessment'!$F$5:$F$394,"N/A")&gt;0,"N/A",IF(COUNTIFS('LxI Assessment'!$A$5:$A$394,$A10,'LxI Assessment'!$D$5:$D$394,P$5,'LxI Assessment'!$S$5:$S$394,"&gt;0")=0,"",SUMIFS('LxI Assessment'!$S$5:$S$394,'LxI Assessment'!$A$5:$A$394,$A10,'LxI Assessment'!$D$5:$D$394,P$5)))</f>
        <v>3</v>
      </c>
      <c r="Q10" s="31" t="n">
        <f aca="false">IF(COUNTIFS('LxI Assessment'!$A$5:$A$394,$A10,'LxI Assessment'!$D$5:$D$394,Q$5,'LxI Assessment'!$F$5:$F$394,"N/A")&gt;0,"N/A",IF(COUNTIFS('LxI Assessment'!$A$5:$A$394,$A10,'LxI Assessment'!$D$5:$D$394,Q$5,'LxI Assessment'!$S$5:$S$394,"&gt;0")=0,"",SUMIFS('LxI Assessment'!$S$5:$S$394,'LxI Assessment'!$A$5:$A$394,$A10,'LxI Assessment'!$D$5:$D$394,Q$5)))</f>
        <v>3</v>
      </c>
      <c r="R10" s="31" t="n">
        <f aca="false">IF(COUNTIFS('LxI Assessment'!$A$5:$A$394,$A10,'LxI Assessment'!$D$5:$D$394,R$5,'LxI Assessment'!$F$5:$F$394,"N/A")&gt;0,"N/A",IF(COUNTIFS('LxI Assessment'!$A$5:$A$394,$A10,'LxI Assessment'!$D$5:$D$394,R$5,'LxI Assessment'!$S$5:$S$394,"&gt;0")=0,"",SUMIFS('LxI Assessment'!$S$5:$S$394,'LxI Assessment'!$A$5:$A$394,$A10,'LxI Assessment'!$D$5:$D$394,R$5)))</f>
        <v>4</v>
      </c>
      <c r="S10" s="31" t="n">
        <f aca="false">IF(COUNTIFS('LxI Assessment'!$A$5:$A$394,$A10,'LxI Assessment'!$D$5:$D$394,S$5,'LxI Assessment'!$F$5:$F$394,"N/A")&gt;0,"N/A",IF(COUNTIFS('LxI Assessment'!$A$5:$A$394,$A10,'LxI Assessment'!$D$5:$D$394,S$5,'LxI Assessment'!$S$5:$S$394,"&gt;0")=0,"",SUMIFS('LxI Assessment'!$S$5:$S$394,'LxI Assessment'!$A$5:$A$394,$A10,'LxI Assessment'!$D$5:$D$394,S$5)))</f>
        <v>4</v>
      </c>
      <c r="T10" s="31" t="n">
        <f aca="false">IF(COUNTIFS('LxI Assessment'!$A$5:$A$394,$A10,'LxI Assessment'!$D$5:$D$394,T$5,'LxI Assessment'!$F$5:$F$394,"N/A")&gt;0,"N/A",IF(COUNTIFS('LxI Assessment'!$A$5:$A$394,$A10,'LxI Assessment'!$D$5:$D$394,T$5,'LxI Assessment'!$S$5:$S$394,"&gt;0")=0,"",SUMIFS('LxI Assessment'!$S$5:$S$394,'LxI Assessment'!$A$5:$A$394,$A10,'LxI Assessment'!$D$5:$D$394,T$5)))</f>
        <v>2</v>
      </c>
      <c r="U10" s="31" t="n">
        <f aca="false">IF(COUNTIFS('LxI Assessment'!$A$5:$A$394,$A10,'LxI Assessment'!$D$5:$D$394,U$5,'LxI Assessment'!$F$5:$F$394,"N/A")&gt;0,"N/A",IF(COUNTIFS('LxI Assessment'!$A$5:$A$394,$A10,'LxI Assessment'!$D$5:$D$394,U$5,'LxI Assessment'!$S$5:$S$394,"&gt;0")=0,"",SUMIFS('LxI Assessment'!$S$5:$S$394,'LxI Assessment'!$A$5:$A$394,$A10,'LxI Assessment'!$D$5:$D$394,U$5)))</f>
        <v>2</v>
      </c>
      <c r="V10" s="31" t="n">
        <f aca="false">IF(COUNTIFS('LxI Assessment'!$A$5:$A$394,$A10,'LxI Assessment'!$D$5:$D$394,V$5,'LxI Assessment'!$F$5:$F$394,"N/A")&gt;0,"N/A",IF(COUNTIFS('LxI Assessment'!$A$5:$A$394,$A10,'LxI Assessment'!$D$5:$D$394,V$5,'LxI Assessment'!$S$5:$S$394,"&gt;0")=0,"",SUMIFS('LxI Assessment'!$S$5:$S$394,'LxI Assessment'!$A$5:$A$394,$A10,'LxI Assessment'!$D$5:$D$394,V$5)))</f>
        <v>2</v>
      </c>
      <c r="W10" s="34" t="n">
        <f aca="false">MAX(C10:V10)</f>
        <v>4</v>
      </c>
      <c r="X10" s="29" t="n">
        <f aca="false">IFERROR(AVERAGE(C10:V10),"")</f>
        <v>2.73684210526316</v>
      </c>
      <c r="Y10" s="31" t="n">
        <f aca="false">COUNTIF(C10:V10,5)</f>
        <v>0</v>
      </c>
      <c r="Z10" s="31" t="n">
        <f aca="false">COUNTIF(C10:V10,4)</f>
        <v>4</v>
      </c>
      <c r="AA10" s="7" t="str">
        <f aca="false">IF(W10=0,"",INDEX(Config!$B$5:$B$9,W10))</f>
        <v>Medium-High</v>
      </c>
    </row>
    <row r="11" customFormat="false" ht="15" hidden="false" customHeight="false" outlineLevel="0" collapsed="false">
      <c r="A11" s="26" t="str">
        <f aca="false">Entities!A10</f>
        <v>PS</v>
      </c>
      <c r="B11" s="26" t="str">
        <f aca="false">Entities!B10</f>
        <v>Arab Bank – Palestine</v>
      </c>
      <c r="C11" s="31" t="n">
        <f aca="false">IF(COUNTIFS('FC Calculation'!$A$5:$A$214,$A11,'FC Calculation'!$D$5:$D$214,C$5,'FC Calculation'!$T$5:$T$214,"&gt;0")=0,"",SUMIFS('FC Calculation'!$T$5:$T$214,'FC Calculation'!$A$5:$A$214,$A11,'FC Calculation'!$D$5:$D$214,C$5))</f>
        <v>4</v>
      </c>
      <c r="D11" s="31" t="n">
        <f aca="false">IF(COUNTIFS('FC Calculation'!$A$5:$A$214,$A11,'FC Calculation'!$D$5:$D$214,D$5,'FC Calculation'!$T$5:$T$214,"&gt;0")=0,"",SUMIFS('FC Calculation'!$T$5:$T$214,'FC Calculation'!$A$5:$A$214,$A11,'FC Calculation'!$D$5:$D$214,D$5))</f>
        <v>4</v>
      </c>
      <c r="E11" s="31" t="n">
        <f aca="false">IF(COUNTIFS('FC Calculation'!$A$5:$A$214,$A11,'FC Calculation'!$D$5:$D$214,E$5,'FC Calculation'!$T$5:$T$214,"&gt;0")=0,"",SUMIFS('FC Calculation'!$T$5:$T$214,'FC Calculation'!$A$5:$A$214,$A11,'FC Calculation'!$D$5:$D$214,E$5))</f>
        <v>4</v>
      </c>
      <c r="F11" s="31" t="n">
        <f aca="false">IF(COUNTIFS('FC Calculation'!$A$5:$A$214,$A11,'FC Calculation'!$D$5:$D$214,F$5,'FC Calculation'!$T$5:$T$214,"&gt;0")=0,"",SUMIFS('FC Calculation'!$T$5:$T$214,'FC Calculation'!$A$5:$A$214,$A11,'FC Calculation'!$D$5:$D$214,F$5))</f>
        <v>4</v>
      </c>
      <c r="G11" s="31" t="n">
        <f aca="false">IF(COUNTIFS('FC Calculation'!$A$5:$A$214,$A11,'FC Calculation'!$D$5:$D$214,G$5,'FC Calculation'!$T$5:$T$214,"&gt;0")=0,"",SUMIFS('FC Calculation'!$T$5:$T$214,'FC Calculation'!$A$5:$A$214,$A11,'FC Calculation'!$D$5:$D$214,G$5))</f>
        <v>4</v>
      </c>
      <c r="H11" s="31" t="n">
        <f aca="false">IF(COUNTIFS('FC Calculation'!$A$5:$A$214,$A11,'FC Calculation'!$D$5:$D$214,H$5,'FC Calculation'!$T$5:$T$214,"&gt;0")=0,"",SUMIFS('FC Calculation'!$T$5:$T$214,'FC Calculation'!$A$5:$A$214,$A11,'FC Calculation'!$D$5:$D$214,H$5))</f>
        <v>4</v>
      </c>
      <c r="I11" s="31" t="n">
        <f aca="false">IF(COUNTIFS('FC Calculation'!$A$5:$A$214,$A11,'FC Calculation'!$D$5:$D$214,I$5,'FC Calculation'!$T$5:$T$214,"&gt;0")=0,"",SUMIFS('FC Calculation'!$T$5:$T$214,'FC Calculation'!$A$5:$A$214,$A11,'FC Calculation'!$D$5:$D$214,I$5))</f>
        <v>4</v>
      </c>
      <c r="J11" s="31" t="n">
        <f aca="false">IF(COUNTIFS('LxI Assessment'!$A$5:$A$394,$A11,'LxI Assessment'!$D$5:$D$394,J$5,'LxI Assessment'!$F$5:$F$394,"N/A")&gt;0,"N/A",IF(COUNTIFS('LxI Assessment'!$A$5:$A$394,$A11,'LxI Assessment'!$D$5:$D$394,J$5,'LxI Assessment'!$S$5:$S$394,"&gt;0")=0,"",SUMIFS('LxI Assessment'!$S$5:$S$394,'LxI Assessment'!$A$5:$A$394,$A11,'LxI Assessment'!$D$5:$D$394,J$5)))</f>
        <v>5</v>
      </c>
      <c r="K11" s="31" t="n">
        <f aca="false">IF(COUNTIFS('LxI Assessment'!$A$5:$A$394,$A11,'LxI Assessment'!$D$5:$D$394,K$5,'LxI Assessment'!$F$5:$F$394,"N/A")&gt;0,"N/A",IF(COUNTIFS('LxI Assessment'!$A$5:$A$394,$A11,'LxI Assessment'!$D$5:$D$394,K$5,'LxI Assessment'!$S$5:$S$394,"&gt;0")=0,"",SUMIFS('LxI Assessment'!$S$5:$S$394,'LxI Assessment'!$A$5:$A$394,$A11,'LxI Assessment'!$D$5:$D$394,K$5)))</f>
        <v>2</v>
      </c>
      <c r="L11" s="31" t="n">
        <f aca="false">IF(COUNTIFS('LxI Assessment'!$A$5:$A$394,$A11,'LxI Assessment'!$D$5:$D$394,L$5,'LxI Assessment'!$F$5:$F$394,"N/A")&gt;0,"N/A",IF(COUNTIFS('LxI Assessment'!$A$5:$A$394,$A11,'LxI Assessment'!$D$5:$D$394,L$5,'LxI Assessment'!$S$5:$S$394,"&gt;0")=0,"",SUMIFS('LxI Assessment'!$S$5:$S$394,'LxI Assessment'!$A$5:$A$394,$A11,'LxI Assessment'!$D$5:$D$394,L$5)))</f>
        <v>4</v>
      </c>
      <c r="M11" s="31" t="str">
        <f aca="false">IF(COUNTIFS('LxI Assessment'!$A$5:$A$394,$A11,'LxI Assessment'!$D$5:$D$394,M$5,'LxI Assessment'!$F$5:$F$394,"N/A")&gt;0,"N/A",IF(COUNTIFS('LxI Assessment'!$A$5:$A$394,$A11,'LxI Assessment'!$D$5:$D$394,M$5,'LxI Assessment'!$S$5:$S$394,"&gt;0")=0,"",SUMIFS('LxI Assessment'!$S$5:$S$394,'LxI Assessment'!$A$5:$A$394,$A11,'LxI Assessment'!$D$5:$D$394,M$5)))</f>
        <v>N/A</v>
      </c>
      <c r="N11" s="31" t="n">
        <f aca="false">IF(COUNTIFS('LxI Assessment'!$A$5:$A$394,$A11,'LxI Assessment'!$D$5:$D$394,N$5,'LxI Assessment'!$F$5:$F$394,"N/A")&gt;0,"N/A",IF(COUNTIFS('LxI Assessment'!$A$5:$A$394,$A11,'LxI Assessment'!$D$5:$D$394,N$5,'LxI Assessment'!$S$5:$S$394,"&gt;0")=0,"",SUMIFS('LxI Assessment'!$S$5:$S$394,'LxI Assessment'!$A$5:$A$394,$A11,'LxI Assessment'!$D$5:$D$394,N$5)))</f>
        <v>5</v>
      </c>
      <c r="O11" s="31" t="n">
        <f aca="false">IF(COUNTIFS('LxI Assessment'!$A$5:$A$394,$A11,'LxI Assessment'!$D$5:$D$394,O$5,'LxI Assessment'!$F$5:$F$394,"N/A")&gt;0,"N/A",IF(COUNTIFS('LxI Assessment'!$A$5:$A$394,$A11,'LxI Assessment'!$D$5:$D$394,O$5,'LxI Assessment'!$S$5:$S$394,"&gt;0")=0,"",SUMIFS('LxI Assessment'!$S$5:$S$394,'LxI Assessment'!$A$5:$A$394,$A11,'LxI Assessment'!$D$5:$D$394,O$5)))</f>
        <v>4</v>
      </c>
      <c r="P11" s="31" t="n">
        <f aca="false">IF(COUNTIFS('LxI Assessment'!$A$5:$A$394,$A11,'LxI Assessment'!$D$5:$D$394,P$5,'LxI Assessment'!$F$5:$F$394,"N/A")&gt;0,"N/A",IF(COUNTIFS('LxI Assessment'!$A$5:$A$394,$A11,'LxI Assessment'!$D$5:$D$394,P$5,'LxI Assessment'!$S$5:$S$394,"&gt;0")=0,"",SUMIFS('LxI Assessment'!$S$5:$S$394,'LxI Assessment'!$A$5:$A$394,$A11,'LxI Assessment'!$D$5:$D$394,P$5)))</f>
        <v>5</v>
      </c>
      <c r="Q11" s="31" t="n">
        <f aca="false">IF(COUNTIFS('LxI Assessment'!$A$5:$A$394,$A11,'LxI Assessment'!$D$5:$D$394,Q$5,'LxI Assessment'!$F$5:$F$394,"N/A")&gt;0,"N/A",IF(COUNTIFS('LxI Assessment'!$A$5:$A$394,$A11,'LxI Assessment'!$D$5:$D$394,Q$5,'LxI Assessment'!$S$5:$S$394,"&gt;0")=0,"",SUMIFS('LxI Assessment'!$S$5:$S$394,'LxI Assessment'!$A$5:$A$394,$A11,'LxI Assessment'!$D$5:$D$394,Q$5)))</f>
        <v>4</v>
      </c>
      <c r="R11" s="31" t="n">
        <f aca="false">IF(COUNTIFS('LxI Assessment'!$A$5:$A$394,$A11,'LxI Assessment'!$D$5:$D$394,R$5,'LxI Assessment'!$F$5:$F$394,"N/A")&gt;0,"N/A",IF(COUNTIFS('LxI Assessment'!$A$5:$A$394,$A11,'LxI Assessment'!$D$5:$D$394,R$5,'LxI Assessment'!$S$5:$S$394,"&gt;0")=0,"",SUMIFS('LxI Assessment'!$S$5:$S$394,'LxI Assessment'!$A$5:$A$394,$A11,'LxI Assessment'!$D$5:$D$394,R$5)))</f>
        <v>5</v>
      </c>
      <c r="S11" s="31" t="n">
        <f aca="false">IF(COUNTIFS('LxI Assessment'!$A$5:$A$394,$A11,'LxI Assessment'!$D$5:$D$394,S$5,'LxI Assessment'!$F$5:$F$394,"N/A")&gt;0,"N/A",IF(COUNTIFS('LxI Assessment'!$A$5:$A$394,$A11,'LxI Assessment'!$D$5:$D$394,S$5,'LxI Assessment'!$S$5:$S$394,"&gt;0")=0,"",SUMIFS('LxI Assessment'!$S$5:$S$394,'LxI Assessment'!$A$5:$A$394,$A11,'LxI Assessment'!$D$5:$D$394,S$5)))</f>
        <v>4</v>
      </c>
      <c r="T11" s="31" t="n">
        <f aca="false">IF(COUNTIFS('LxI Assessment'!$A$5:$A$394,$A11,'LxI Assessment'!$D$5:$D$394,T$5,'LxI Assessment'!$F$5:$F$394,"N/A")&gt;0,"N/A",IF(COUNTIFS('LxI Assessment'!$A$5:$A$394,$A11,'LxI Assessment'!$D$5:$D$394,T$5,'LxI Assessment'!$S$5:$S$394,"&gt;0")=0,"",SUMIFS('LxI Assessment'!$S$5:$S$394,'LxI Assessment'!$A$5:$A$394,$A11,'LxI Assessment'!$D$5:$D$394,T$5)))</f>
        <v>5</v>
      </c>
      <c r="U11" s="31" t="n">
        <f aca="false">IF(COUNTIFS('LxI Assessment'!$A$5:$A$394,$A11,'LxI Assessment'!$D$5:$D$394,U$5,'LxI Assessment'!$F$5:$F$394,"N/A")&gt;0,"N/A",IF(COUNTIFS('LxI Assessment'!$A$5:$A$394,$A11,'LxI Assessment'!$D$5:$D$394,U$5,'LxI Assessment'!$S$5:$S$394,"&gt;0")=0,"",SUMIFS('LxI Assessment'!$S$5:$S$394,'LxI Assessment'!$A$5:$A$394,$A11,'LxI Assessment'!$D$5:$D$394,U$5)))</f>
        <v>4</v>
      </c>
      <c r="V11" s="31" t="n">
        <f aca="false">IF(COUNTIFS('LxI Assessment'!$A$5:$A$394,$A11,'LxI Assessment'!$D$5:$D$394,V$5,'LxI Assessment'!$F$5:$F$394,"N/A")&gt;0,"N/A",IF(COUNTIFS('LxI Assessment'!$A$5:$A$394,$A11,'LxI Assessment'!$D$5:$D$394,V$5,'LxI Assessment'!$S$5:$S$394,"&gt;0")=0,"",SUMIFS('LxI Assessment'!$S$5:$S$394,'LxI Assessment'!$A$5:$A$394,$A11,'LxI Assessment'!$D$5:$D$394,V$5)))</f>
        <v>5</v>
      </c>
      <c r="W11" s="34" t="n">
        <f aca="false">MAX(C11:V11)</f>
        <v>5</v>
      </c>
      <c r="X11" s="29" t="n">
        <f aca="false">IFERROR(AVERAGE(C11:V11),"")</f>
        <v>4.21052631578947</v>
      </c>
      <c r="Y11" s="31" t="n">
        <f aca="false">COUNTIF(C11:V11,5)</f>
        <v>6</v>
      </c>
      <c r="Z11" s="31" t="n">
        <f aca="false">COUNTIF(C11:V11,4)</f>
        <v>12</v>
      </c>
      <c r="AA11" s="7" t="str">
        <f aca="false">IF(W11=0,"",INDEX(Config!$B$5:$B$9,W11))</f>
        <v>High</v>
      </c>
    </row>
    <row r="12" customFormat="false" ht="15" hidden="false" customHeight="false" outlineLevel="0" collapsed="false">
      <c r="A12" s="26" t="str">
        <f aca="false">Entities!A11</f>
        <v>PS-INV</v>
      </c>
      <c r="B12" s="26" t="str">
        <f aca="false">Entities!B11</f>
        <v>Al-Arabi Investment Group – Palestine</v>
      </c>
      <c r="C12" s="31" t="n">
        <f aca="false">IF(COUNTIFS('FC Calculation'!$A$5:$A$214,$A12,'FC Calculation'!$D$5:$D$214,C$5,'FC Calculation'!$T$5:$T$214,"&gt;0")=0,"",SUMIFS('FC Calculation'!$T$5:$T$214,'FC Calculation'!$A$5:$A$214,$A12,'FC Calculation'!$D$5:$D$214,C$5))</f>
        <v>4</v>
      </c>
      <c r="D12" s="31" t="n">
        <f aca="false">IF(COUNTIFS('FC Calculation'!$A$5:$A$214,$A12,'FC Calculation'!$D$5:$D$214,D$5,'FC Calculation'!$T$5:$T$214,"&gt;0")=0,"",SUMIFS('FC Calculation'!$T$5:$T$214,'FC Calculation'!$A$5:$A$214,$A12,'FC Calculation'!$D$5:$D$214,D$5))</f>
        <v>3</v>
      </c>
      <c r="E12" s="31" t="n">
        <f aca="false">IF(COUNTIFS('FC Calculation'!$A$5:$A$214,$A12,'FC Calculation'!$D$5:$D$214,E$5,'FC Calculation'!$T$5:$T$214,"&gt;0")=0,"",SUMIFS('FC Calculation'!$T$5:$T$214,'FC Calculation'!$A$5:$A$214,$A12,'FC Calculation'!$D$5:$D$214,E$5))</f>
        <v>3</v>
      </c>
      <c r="F12" s="31" t="n">
        <f aca="false">IF(COUNTIFS('FC Calculation'!$A$5:$A$214,$A12,'FC Calculation'!$D$5:$D$214,F$5,'FC Calculation'!$T$5:$T$214,"&gt;0")=0,"",SUMIFS('FC Calculation'!$T$5:$T$214,'FC Calculation'!$A$5:$A$214,$A12,'FC Calculation'!$D$5:$D$214,F$5))</f>
        <v>3</v>
      </c>
      <c r="G12" s="31" t="n">
        <f aca="false">IF(COUNTIFS('FC Calculation'!$A$5:$A$214,$A12,'FC Calculation'!$D$5:$D$214,G$5,'FC Calculation'!$T$5:$T$214,"&gt;0")=0,"",SUMIFS('FC Calculation'!$T$5:$T$214,'FC Calculation'!$A$5:$A$214,$A12,'FC Calculation'!$D$5:$D$214,G$5))</f>
        <v>4</v>
      </c>
      <c r="H12" s="31" t="n">
        <f aca="false">IF(COUNTIFS('FC Calculation'!$A$5:$A$214,$A12,'FC Calculation'!$D$5:$D$214,H$5,'FC Calculation'!$T$5:$T$214,"&gt;0")=0,"",SUMIFS('FC Calculation'!$T$5:$T$214,'FC Calculation'!$A$5:$A$214,$A12,'FC Calculation'!$D$5:$D$214,H$5))</f>
        <v>3</v>
      </c>
      <c r="I12" s="31" t="n">
        <f aca="false">IF(COUNTIFS('FC Calculation'!$A$5:$A$214,$A12,'FC Calculation'!$D$5:$D$214,I$5,'FC Calculation'!$T$5:$T$214,"&gt;0")=0,"",SUMIFS('FC Calculation'!$T$5:$T$214,'FC Calculation'!$A$5:$A$214,$A12,'FC Calculation'!$D$5:$D$214,I$5))</f>
        <v>4</v>
      </c>
      <c r="J12" s="31" t="n">
        <f aca="false">IF(COUNTIFS('LxI Assessment'!$A$5:$A$394,$A12,'LxI Assessment'!$D$5:$D$394,J$5,'LxI Assessment'!$F$5:$F$394,"N/A")&gt;0,"N/A",IF(COUNTIFS('LxI Assessment'!$A$5:$A$394,$A12,'LxI Assessment'!$D$5:$D$394,J$5,'LxI Assessment'!$S$5:$S$394,"&gt;0")=0,"",SUMIFS('LxI Assessment'!$S$5:$S$394,'LxI Assessment'!$A$5:$A$394,$A12,'LxI Assessment'!$D$5:$D$394,J$5)))</f>
        <v>5</v>
      </c>
      <c r="K12" s="31" t="n">
        <f aca="false">IF(COUNTIFS('LxI Assessment'!$A$5:$A$394,$A12,'LxI Assessment'!$D$5:$D$394,K$5,'LxI Assessment'!$F$5:$F$394,"N/A")&gt;0,"N/A",IF(COUNTIFS('LxI Assessment'!$A$5:$A$394,$A12,'LxI Assessment'!$D$5:$D$394,K$5,'LxI Assessment'!$S$5:$S$394,"&gt;0")=0,"",SUMIFS('LxI Assessment'!$S$5:$S$394,'LxI Assessment'!$A$5:$A$394,$A12,'LxI Assessment'!$D$5:$D$394,K$5)))</f>
        <v>5</v>
      </c>
      <c r="L12" s="31" t="n">
        <f aca="false">IF(COUNTIFS('LxI Assessment'!$A$5:$A$394,$A12,'LxI Assessment'!$D$5:$D$394,L$5,'LxI Assessment'!$F$5:$F$394,"N/A")&gt;0,"N/A",IF(COUNTIFS('LxI Assessment'!$A$5:$A$394,$A12,'LxI Assessment'!$D$5:$D$394,L$5,'LxI Assessment'!$S$5:$S$394,"&gt;0")=0,"",SUMIFS('LxI Assessment'!$S$5:$S$394,'LxI Assessment'!$A$5:$A$394,$A12,'LxI Assessment'!$D$5:$D$394,L$5)))</f>
        <v>4</v>
      </c>
      <c r="M12" s="31" t="str">
        <f aca="false">IF(COUNTIFS('LxI Assessment'!$A$5:$A$394,$A12,'LxI Assessment'!$D$5:$D$394,M$5,'LxI Assessment'!$F$5:$F$394,"N/A")&gt;0,"N/A",IF(COUNTIFS('LxI Assessment'!$A$5:$A$394,$A12,'LxI Assessment'!$D$5:$D$394,M$5,'LxI Assessment'!$S$5:$S$394,"&gt;0")=0,"",SUMIFS('LxI Assessment'!$S$5:$S$394,'LxI Assessment'!$A$5:$A$394,$A12,'LxI Assessment'!$D$5:$D$394,M$5)))</f>
        <v>N/A</v>
      </c>
      <c r="N12" s="31" t="n">
        <f aca="false">IF(COUNTIFS('LxI Assessment'!$A$5:$A$394,$A12,'LxI Assessment'!$D$5:$D$394,N$5,'LxI Assessment'!$F$5:$F$394,"N/A")&gt;0,"N/A",IF(COUNTIFS('LxI Assessment'!$A$5:$A$394,$A12,'LxI Assessment'!$D$5:$D$394,N$5,'LxI Assessment'!$S$5:$S$394,"&gt;0")=0,"",SUMIFS('LxI Assessment'!$S$5:$S$394,'LxI Assessment'!$A$5:$A$394,$A12,'LxI Assessment'!$D$5:$D$394,N$5)))</f>
        <v>5</v>
      </c>
      <c r="O12" s="31" t="n">
        <f aca="false">IF(COUNTIFS('LxI Assessment'!$A$5:$A$394,$A12,'LxI Assessment'!$D$5:$D$394,O$5,'LxI Assessment'!$F$5:$F$394,"N/A")&gt;0,"N/A",IF(COUNTIFS('LxI Assessment'!$A$5:$A$394,$A12,'LxI Assessment'!$D$5:$D$394,O$5,'LxI Assessment'!$S$5:$S$394,"&gt;0")=0,"",SUMIFS('LxI Assessment'!$S$5:$S$394,'LxI Assessment'!$A$5:$A$394,$A12,'LxI Assessment'!$D$5:$D$394,O$5)))</f>
        <v>4</v>
      </c>
      <c r="P12" s="31" t="n">
        <f aca="false">IF(COUNTIFS('LxI Assessment'!$A$5:$A$394,$A12,'LxI Assessment'!$D$5:$D$394,P$5,'LxI Assessment'!$F$5:$F$394,"N/A")&gt;0,"N/A",IF(COUNTIFS('LxI Assessment'!$A$5:$A$394,$A12,'LxI Assessment'!$D$5:$D$394,P$5,'LxI Assessment'!$S$5:$S$394,"&gt;0")=0,"",SUMIFS('LxI Assessment'!$S$5:$S$394,'LxI Assessment'!$A$5:$A$394,$A12,'LxI Assessment'!$D$5:$D$394,P$5)))</f>
        <v>3</v>
      </c>
      <c r="Q12" s="31" t="n">
        <f aca="false">IF(COUNTIFS('LxI Assessment'!$A$5:$A$394,$A12,'LxI Assessment'!$D$5:$D$394,Q$5,'LxI Assessment'!$F$5:$F$394,"N/A")&gt;0,"N/A",IF(COUNTIFS('LxI Assessment'!$A$5:$A$394,$A12,'LxI Assessment'!$D$5:$D$394,Q$5,'LxI Assessment'!$S$5:$S$394,"&gt;0")=0,"",SUMIFS('LxI Assessment'!$S$5:$S$394,'LxI Assessment'!$A$5:$A$394,$A12,'LxI Assessment'!$D$5:$D$394,Q$5)))</f>
        <v>5</v>
      </c>
      <c r="R12" s="31" t="n">
        <f aca="false">IF(COUNTIFS('LxI Assessment'!$A$5:$A$394,$A12,'LxI Assessment'!$D$5:$D$394,R$5,'LxI Assessment'!$F$5:$F$394,"N/A")&gt;0,"N/A",IF(COUNTIFS('LxI Assessment'!$A$5:$A$394,$A12,'LxI Assessment'!$D$5:$D$394,R$5,'LxI Assessment'!$S$5:$S$394,"&gt;0")=0,"",SUMIFS('LxI Assessment'!$S$5:$S$394,'LxI Assessment'!$A$5:$A$394,$A12,'LxI Assessment'!$D$5:$D$394,R$5)))</f>
        <v>5</v>
      </c>
      <c r="S12" s="31" t="n">
        <f aca="false">IF(COUNTIFS('LxI Assessment'!$A$5:$A$394,$A12,'LxI Assessment'!$D$5:$D$394,S$5,'LxI Assessment'!$F$5:$F$394,"N/A")&gt;0,"N/A",IF(COUNTIFS('LxI Assessment'!$A$5:$A$394,$A12,'LxI Assessment'!$D$5:$D$394,S$5,'LxI Assessment'!$S$5:$S$394,"&gt;0")=0,"",SUMIFS('LxI Assessment'!$S$5:$S$394,'LxI Assessment'!$A$5:$A$394,$A12,'LxI Assessment'!$D$5:$D$394,S$5)))</f>
        <v>5</v>
      </c>
      <c r="T12" s="31" t="n">
        <f aca="false">IF(COUNTIFS('LxI Assessment'!$A$5:$A$394,$A12,'LxI Assessment'!$D$5:$D$394,T$5,'LxI Assessment'!$F$5:$F$394,"N/A")&gt;0,"N/A",IF(COUNTIFS('LxI Assessment'!$A$5:$A$394,$A12,'LxI Assessment'!$D$5:$D$394,T$5,'LxI Assessment'!$S$5:$S$394,"&gt;0")=0,"",SUMIFS('LxI Assessment'!$S$5:$S$394,'LxI Assessment'!$A$5:$A$394,$A12,'LxI Assessment'!$D$5:$D$394,T$5)))</f>
        <v>4</v>
      </c>
      <c r="U12" s="31" t="n">
        <f aca="false">IF(COUNTIFS('LxI Assessment'!$A$5:$A$394,$A12,'LxI Assessment'!$D$5:$D$394,U$5,'LxI Assessment'!$F$5:$F$394,"N/A")&gt;0,"N/A",IF(COUNTIFS('LxI Assessment'!$A$5:$A$394,$A12,'LxI Assessment'!$D$5:$D$394,U$5,'LxI Assessment'!$S$5:$S$394,"&gt;0")=0,"",SUMIFS('LxI Assessment'!$S$5:$S$394,'LxI Assessment'!$A$5:$A$394,$A12,'LxI Assessment'!$D$5:$D$394,U$5)))</f>
        <v>4</v>
      </c>
      <c r="V12" s="31" t="n">
        <f aca="false">IF(COUNTIFS('LxI Assessment'!$A$5:$A$394,$A12,'LxI Assessment'!$D$5:$D$394,V$5,'LxI Assessment'!$F$5:$F$394,"N/A")&gt;0,"N/A",IF(COUNTIFS('LxI Assessment'!$A$5:$A$394,$A12,'LxI Assessment'!$D$5:$D$394,V$5,'LxI Assessment'!$S$5:$S$394,"&gt;0")=0,"",SUMIFS('LxI Assessment'!$S$5:$S$394,'LxI Assessment'!$A$5:$A$394,$A12,'LxI Assessment'!$D$5:$D$394,V$5)))</f>
        <v>5</v>
      </c>
      <c r="W12" s="34" t="n">
        <f aca="false">MAX(C12:V12)</f>
        <v>5</v>
      </c>
      <c r="X12" s="29" t="n">
        <f aca="false">IFERROR(AVERAGE(C12:V12),"")</f>
        <v>4.10526315789474</v>
      </c>
      <c r="Y12" s="31" t="n">
        <f aca="false">COUNTIF(C12:V12,5)</f>
        <v>7</v>
      </c>
      <c r="Z12" s="31" t="n">
        <f aca="false">COUNTIF(C12:V12,4)</f>
        <v>7</v>
      </c>
      <c r="AA12" s="7" t="str">
        <f aca="false">IF(W12=0,"",INDEX(Config!$B$5:$B$9,W12))</f>
        <v>High</v>
      </c>
    </row>
    <row r="13" customFormat="false" ht="15" hidden="false" customHeight="false" outlineLevel="0" collapsed="false">
      <c r="A13" s="26" t="str">
        <f aca="false">Entities!A12</f>
        <v>LB</v>
      </c>
      <c r="B13" s="26" t="str">
        <f aca="false">Entities!B12</f>
        <v>Arab Bank – Lebanon</v>
      </c>
      <c r="C13" s="31" t="n">
        <f aca="false">IF(COUNTIFS('FC Calculation'!$A$5:$A$214,$A13,'FC Calculation'!$D$5:$D$214,C$5,'FC Calculation'!$T$5:$T$214,"&gt;0")=0,"",SUMIFS('FC Calculation'!$T$5:$T$214,'FC Calculation'!$A$5:$A$214,$A13,'FC Calculation'!$D$5:$D$214,C$5))</f>
        <v>4</v>
      </c>
      <c r="D13" s="31" t="n">
        <f aca="false">IF(COUNTIFS('FC Calculation'!$A$5:$A$214,$A13,'FC Calculation'!$D$5:$D$214,D$5,'FC Calculation'!$T$5:$T$214,"&gt;0")=0,"",SUMIFS('FC Calculation'!$T$5:$T$214,'FC Calculation'!$A$5:$A$214,$A13,'FC Calculation'!$D$5:$D$214,D$5))</f>
        <v>4</v>
      </c>
      <c r="E13" s="31" t="n">
        <f aca="false">IF(COUNTIFS('FC Calculation'!$A$5:$A$214,$A13,'FC Calculation'!$D$5:$D$214,E$5,'FC Calculation'!$T$5:$T$214,"&gt;0")=0,"",SUMIFS('FC Calculation'!$T$5:$T$214,'FC Calculation'!$A$5:$A$214,$A13,'FC Calculation'!$D$5:$D$214,E$5))</f>
        <v>4</v>
      </c>
      <c r="F13" s="31" t="n">
        <f aca="false">IF(COUNTIFS('FC Calculation'!$A$5:$A$214,$A13,'FC Calculation'!$D$5:$D$214,F$5,'FC Calculation'!$T$5:$T$214,"&gt;0")=0,"",SUMIFS('FC Calculation'!$T$5:$T$214,'FC Calculation'!$A$5:$A$214,$A13,'FC Calculation'!$D$5:$D$214,F$5))</f>
        <v>4</v>
      </c>
      <c r="G13" s="31" t="n">
        <f aca="false">IF(COUNTIFS('FC Calculation'!$A$5:$A$214,$A13,'FC Calculation'!$D$5:$D$214,G$5,'FC Calculation'!$T$5:$T$214,"&gt;0")=0,"",SUMIFS('FC Calculation'!$T$5:$T$214,'FC Calculation'!$A$5:$A$214,$A13,'FC Calculation'!$D$5:$D$214,G$5))</f>
        <v>4</v>
      </c>
      <c r="H13" s="31" t="n">
        <f aca="false">IF(COUNTIFS('FC Calculation'!$A$5:$A$214,$A13,'FC Calculation'!$D$5:$D$214,H$5,'FC Calculation'!$T$5:$T$214,"&gt;0")=0,"",SUMIFS('FC Calculation'!$T$5:$T$214,'FC Calculation'!$A$5:$A$214,$A13,'FC Calculation'!$D$5:$D$214,H$5))</f>
        <v>4</v>
      </c>
      <c r="I13" s="31" t="n">
        <f aca="false">IF(COUNTIFS('FC Calculation'!$A$5:$A$214,$A13,'FC Calculation'!$D$5:$D$214,I$5,'FC Calculation'!$T$5:$T$214,"&gt;0")=0,"",SUMIFS('FC Calculation'!$T$5:$T$214,'FC Calculation'!$A$5:$A$214,$A13,'FC Calculation'!$D$5:$D$214,I$5))</f>
        <v>4</v>
      </c>
      <c r="J13" s="31" t="n">
        <f aca="false">IF(COUNTIFS('LxI Assessment'!$A$5:$A$394,$A13,'LxI Assessment'!$D$5:$D$394,J$5,'LxI Assessment'!$F$5:$F$394,"N/A")&gt;0,"N/A",IF(COUNTIFS('LxI Assessment'!$A$5:$A$394,$A13,'LxI Assessment'!$D$5:$D$394,J$5,'LxI Assessment'!$S$5:$S$394,"&gt;0")=0,"",SUMIFS('LxI Assessment'!$S$5:$S$394,'LxI Assessment'!$A$5:$A$394,$A13,'LxI Assessment'!$D$5:$D$394,J$5)))</f>
        <v>5</v>
      </c>
      <c r="K13" s="31" t="n">
        <f aca="false">IF(COUNTIFS('LxI Assessment'!$A$5:$A$394,$A13,'LxI Assessment'!$D$5:$D$394,K$5,'LxI Assessment'!$F$5:$F$394,"N/A")&gt;0,"N/A",IF(COUNTIFS('LxI Assessment'!$A$5:$A$394,$A13,'LxI Assessment'!$D$5:$D$394,K$5,'LxI Assessment'!$S$5:$S$394,"&gt;0")=0,"",SUMIFS('LxI Assessment'!$S$5:$S$394,'LxI Assessment'!$A$5:$A$394,$A13,'LxI Assessment'!$D$5:$D$394,K$5)))</f>
        <v>5</v>
      </c>
      <c r="L13" s="31" t="n">
        <f aca="false">IF(COUNTIFS('LxI Assessment'!$A$5:$A$394,$A13,'LxI Assessment'!$D$5:$D$394,L$5,'LxI Assessment'!$F$5:$F$394,"N/A")&gt;0,"N/A",IF(COUNTIFS('LxI Assessment'!$A$5:$A$394,$A13,'LxI Assessment'!$D$5:$D$394,L$5,'LxI Assessment'!$S$5:$S$394,"&gt;0")=0,"",SUMIFS('LxI Assessment'!$S$5:$S$394,'LxI Assessment'!$A$5:$A$394,$A13,'LxI Assessment'!$D$5:$D$394,L$5)))</f>
        <v>5</v>
      </c>
      <c r="M13" s="31" t="str">
        <f aca="false">IF(COUNTIFS('LxI Assessment'!$A$5:$A$394,$A13,'LxI Assessment'!$D$5:$D$394,M$5,'LxI Assessment'!$F$5:$F$394,"N/A")&gt;0,"N/A",IF(COUNTIFS('LxI Assessment'!$A$5:$A$394,$A13,'LxI Assessment'!$D$5:$D$394,M$5,'LxI Assessment'!$S$5:$S$394,"&gt;0")=0,"",SUMIFS('LxI Assessment'!$S$5:$S$394,'LxI Assessment'!$A$5:$A$394,$A13,'LxI Assessment'!$D$5:$D$394,M$5)))</f>
        <v>N/A</v>
      </c>
      <c r="N13" s="31" t="n">
        <f aca="false">IF(COUNTIFS('LxI Assessment'!$A$5:$A$394,$A13,'LxI Assessment'!$D$5:$D$394,N$5,'LxI Assessment'!$F$5:$F$394,"N/A")&gt;0,"N/A",IF(COUNTIFS('LxI Assessment'!$A$5:$A$394,$A13,'LxI Assessment'!$D$5:$D$394,N$5,'LxI Assessment'!$S$5:$S$394,"&gt;0")=0,"",SUMIFS('LxI Assessment'!$S$5:$S$394,'LxI Assessment'!$A$5:$A$394,$A13,'LxI Assessment'!$D$5:$D$394,N$5)))</f>
        <v>5</v>
      </c>
      <c r="O13" s="31" t="n">
        <f aca="false">IF(COUNTIFS('LxI Assessment'!$A$5:$A$394,$A13,'LxI Assessment'!$D$5:$D$394,O$5,'LxI Assessment'!$F$5:$F$394,"N/A")&gt;0,"N/A",IF(COUNTIFS('LxI Assessment'!$A$5:$A$394,$A13,'LxI Assessment'!$D$5:$D$394,O$5,'LxI Assessment'!$S$5:$S$394,"&gt;0")=0,"",SUMIFS('LxI Assessment'!$S$5:$S$394,'LxI Assessment'!$A$5:$A$394,$A13,'LxI Assessment'!$D$5:$D$394,O$5)))</f>
        <v>5</v>
      </c>
      <c r="P13" s="31" t="n">
        <f aca="false">IF(COUNTIFS('LxI Assessment'!$A$5:$A$394,$A13,'LxI Assessment'!$D$5:$D$394,P$5,'LxI Assessment'!$F$5:$F$394,"N/A")&gt;0,"N/A",IF(COUNTIFS('LxI Assessment'!$A$5:$A$394,$A13,'LxI Assessment'!$D$5:$D$394,P$5,'LxI Assessment'!$S$5:$S$394,"&gt;0")=0,"",SUMIFS('LxI Assessment'!$S$5:$S$394,'LxI Assessment'!$A$5:$A$394,$A13,'LxI Assessment'!$D$5:$D$394,P$5)))</f>
        <v>5</v>
      </c>
      <c r="Q13" s="31" t="n">
        <f aca="false">IF(COUNTIFS('LxI Assessment'!$A$5:$A$394,$A13,'LxI Assessment'!$D$5:$D$394,Q$5,'LxI Assessment'!$F$5:$F$394,"N/A")&gt;0,"N/A",IF(COUNTIFS('LxI Assessment'!$A$5:$A$394,$A13,'LxI Assessment'!$D$5:$D$394,Q$5,'LxI Assessment'!$S$5:$S$394,"&gt;0")=0,"",SUMIFS('LxI Assessment'!$S$5:$S$394,'LxI Assessment'!$A$5:$A$394,$A13,'LxI Assessment'!$D$5:$D$394,Q$5)))</f>
        <v>4</v>
      </c>
      <c r="R13" s="31" t="n">
        <f aca="false">IF(COUNTIFS('LxI Assessment'!$A$5:$A$394,$A13,'LxI Assessment'!$D$5:$D$394,R$5,'LxI Assessment'!$F$5:$F$394,"N/A")&gt;0,"N/A",IF(COUNTIFS('LxI Assessment'!$A$5:$A$394,$A13,'LxI Assessment'!$D$5:$D$394,R$5,'LxI Assessment'!$S$5:$S$394,"&gt;0")=0,"",SUMIFS('LxI Assessment'!$S$5:$S$394,'LxI Assessment'!$A$5:$A$394,$A13,'LxI Assessment'!$D$5:$D$394,R$5)))</f>
        <v>4</v>
      </c>
      <c r="S13" s="31" t="n">
        <f aca="false">IF(COUNTIFS('LxI Assessment'!$A$5:$A$394,$A13,'LxI Assessment'!$D$5:$D$394,S$5,'LxI Assessment'!$F$5:$F$394,"N/A")&gt;0,"N/A",IF(COUNTIFS('LxI Assessment'!$A$5:$A$394,$A13,'LxI Assessment'!$D$5:$D$394,S$5,'LxI Assessment'!$S$5:$S$394,"&gt;0")=0,"",SUMIFS('LxI Assessment'!$S$5:$S$394,'LxI Assessment'!$A$5:$A$394,$A13,'LxI Assessment'!$D$5:$D$394,S$5)))</f>
        <v>5</v>
      </c>
      <c r="T13" s="31" t="n">
        <f aca="false">IF(COUNTIFS('LxI Assessment'!$A$5:$A$394,$A13,'LxI Assessment'!$D$5:$D$394,T$5,'LxI Assessment'!$F$5:$F$394,"N/A")&gt;0,"N/A",IF(COUNTIFS('LxI Assessment'!$A$5:$A$394,$A13,'LxI Assessment'!$D$5:$D$394,T$5,'LxI Assessment'!$S$5:$S$394,"&gt;0")=0,"",SUMIFS('LxI Assessment'!$S$5:$S$394,'LxI Assessment'!$A$5:$A$394,$A13,'LxI Assessment'!$D$5:$D$394,T$5)))</f>
        <v>4</v>
      </c>
      <c r="U13" s="31" t="n">
        <f aca="false">IF(COUNTIFS('LxI Assessment'!$A$5:$A$394,$A13,'LxI Assessment'!$D$5:$D$394,U$5,'LxI Assessment'!$F$5:$F$394,"N/A")&gt;0,"N/A",IF(COUNTIFS('LxI Assessment'!$A$5:$A$394,$A13,'LxI Assessment'!$D$5:$D$394,U$5,'LxI Assessment'!$S$5:$S$394,"&gt;0")=0,"",SUMIFS('LxI Assessment'!$S$5:$S$394,'LxI Assessment'!$A$5:$A$394,$A13,'LxI Assessment'!$D$5:$D$394,U$5)))</f>
        <v>5</v>
      </c>
      <c r="V13" s="31" t="n">
        <f aca="false">IF(COUNTIFS('LxI Assessment'!$A$5:$A$394,$A13,'LxI Assessment'!$D$5:$D$394,V$5,'LxI Assessment'!$F$5:$F$394,"N/A")&gt;0,"N/A",IF(COUNTIFS('LxI Assessment'!$A$5:$A$394,$A13,'LxI Assessment'!$D$5:$D$394,V$5,'LxI Assessment'!$S$5:$S$394,"&gt;0")=0,"",SUMIFS('LxI Assessment'!$S$5:$S$394,'LxI Assessment'!$A$5:$A$394,$A13,'LxI Assessment'!$D$5:$D$394,V$5)))</f>
        <v>5</v>
      </c>
      <c r="W13" s="34" t="n">
        <f aca="false">MAX(C13:V13)</f>
        <v>5</v>
      </c>
      <c r="X13" s="29" t="n">
        <f aca="false">IFERROR(AVERAGE(C13:V13),"")</f>
        <v>4.47368421052632</v>
      </c>
      <c r="Y13" s="31" t="n">
        <f aca="false">COUNTIF(C13:V13,5)</f>
        <v>9</v>
      </c>
      <c r="Z13" s="31" t="n">
        <f aca="false">COUNTIF(C13:V13,4)</f>
        <v>10</v>
      </c>
      <c r="AA13" s="7" t="str">
        <f aca="false">IF(W13=0,"",INDEX(Config!$B$5:$B$9,W13))</f>
        <v>High</v>
      </c>
    </row>
    <row r="14" customFormat="false" ht="15" hidden="false" customHeight="false" outlineLevel="0" collapsed="false">
      <c r="A14" s="26" t="str">
        <f aca="false">Entities!A13</f>
        <v>SY</v>
      </c>
      <c r="B14" s="26" t="str">
        <f aca="false">Entities!B13</f>
        <v>Arab Bank – Syria</v>
      </c>
      <c r="C14" s="31" t="n">
        <f aca="false">IF(COUNTIFS('FC Calculation'!$A$5:$A$214,$A14,'FC Calculation'!$D$5:$D$214,C$5,'FC Calculation'!$T$5:$T$214,"&gt;0")=0,"",SUMIFS('FC Calculation'!$T$5:$T$214,'FC Calculation'!$A$5:$A$214,$A14,'FC Calculation'!$D$5:$D$214,C$5))</f>
        <v>4</v>
      </c>
      <c r="D14" s="31" t="n">
        <f aca="false">IF(COUNTIFS('FC Calculation'!$A$5:$A$214,$A14,'FC Calculation'!$D$5:$D$214,D$5,'FC Calculation'!$T$5:$T$214,"&gt;0")=0,"",SUMIFS('FC Calculation'!$T$5:$T$214,'FC Calculation'!$A$5:$A$214,$A14,'FC Calculation'!$D$5:$D$214,D$5))</f>
        <v>4</v>
      </c>
      <c r="E14" s="31" t="n">
        <f aca="false">IF(COUNTIFS('FC Calculation'!$A$5:$A$214,$A14,'FC Calculation'!$D$5:$D$214,E$5,'FC Calculation'!$T$5:$T$214,"&gt;0")=0,"",SUMIFS('FC Calculation'!$T$5:$T$214,'FC Calculation'!$A$5:$A$214,$A14,'FC Calculation'!$D$5:$D$214,E$5))</f>
        <v>4</v>
      </c>
      <c r="F14" s="31" t="n">
        <f aca="false">IF(COUNTIFS('FC Calculation'!$A$5:$A$214,$A14,'FC Calculation'!$D$5:$D$214,F$5,'FC Calculation'!$T$5:$T$214,"&gt;0")=0,"",SUMIFS('FC Calculation'!$T$5:$T$214,'FC Calculation'!$A$5:$A$214,$A14,'FC Calculation'!$D$5:$D$214,F$5))</f>
        <v>4</v>
      </c>
      <c r="G14" s="31" t="n">
        <f aca="false">IF(COUNTIFS('FC Calculation'!$A$5:$A$214,$A14,'FC Calculation'!$D$5:$D$214,G$5,'FC Calculation'!$T$5:$T$214,"&gt;0")=0,"",SUMIFS('FC Calculation'!$T$5:$T$214,'FC Calculation'!$A$5:$A$214,$A14,'FC Calculation'!$D$5:$D$214,G$5))</f>
        <v>4</v>
      </c>
      <c r="H14" s="31" t="n">
        <f aca="false">IF(COUNTIFS('FC Calculation'!$A$5:$A$214,$A14,'FC Calculation'!$D$5:$D$214,H$5,'FC Calculation'!$T$5:$T$214,"&gt;0")=0,"",SUMIFS('FC Calculation'!$T$5:$T$214,'FC Calculation'!$A$5:$A$214,$A14,'FC Calculation'!$D$5:$D$214,H$5))</f>
        <v>4</v>
      </c>
      <c r="I14" s="31" t="n">
        <f aca="false">IF(COUNTIFS('FC Calculation'!$A$5:$A$214,$A14,'FC Calculation'!$D$5:$D$214,I$5,'FC Calculation'!$T$5:$T$214,"&gt;0")=0,"",SUMIFS('FC Calculation'!$T$5:$T$214,'FC Calculation'!$A$5:$A$214,$A14,'FC Calculation'!$D$5:$D$214,I$5))</f>
        <v>4</v>
      </c>
      <c r="J14" s="31" t="n">
        <f aca="false">IF(COUNTIFS('LxI Assessment'!$A$5:$A$394,$A14,'LxI Assessment'!$D$5:$D$394,J$5,'LxI Assessment'!$F$5:$F$394,"N/A")&gt;0,"N/A",IF(COUNTIFS('LxI Assessment'!$A$5:$A$394,$A14,'LxI Assessment'!$D$5:$D$394,J$5,'LxI Assessment'!$S$5:$S$394,"&gt;0")=0,"",SUMIFS('LxI Assessment'!$S$5:$S$394,'LxI Assessment'!$A$5:$A$394,$A14,'LxI Assessment'!$D$5:$D$394,J$5)))</f>
        <v>5</v>
      </c>
      <c r="K14" s="31" t="n">
        <f aca="false">IF(COUNTIFS('LxI Assessment'!$A$5:$A$394,$A14,'LxI Assessment'!$D$5:$D$394,K$5,'LxI Assessment'!$F$5:$F$394,"N/A")&gt;0,"N/A",IF(COUNTIFS('LxI Assessment'!$A$5:$A$394,$A14,'LxI Assessment'!$D$5:$D$394,K$5,'LxI Assessment'!$S$5:$S$394,"&gt;0")=0,"",SUMIFS('LxI Assessment'!$S$5:$S$394,'LxI Assessment'!$A$5:$A$394,$A14,'LxI Assessment'!$D$5:$D$394,K$5)))</f>
        <v>5</v>
      </c>
      <c r="L14" s="31" t="n">
        <f aca="false">IF(COUNTIFS('LxI Assessment'!$A$5:$A$394,$A14,'LxI Assessment'!$D$5:$D$394,L$5,'LxI Assessment'!$F$5:$F$394,"N/A")&gt;0,"N/A",IF(COUNTIFS('LxI Assessment'!$A$5:$A$394,$A14,'LxI Assessment'!$D$5:$D$394,L$5,'LxI Assessment'!$S$5:$S$394,"&gt;0")=0,"",SUMIFS('LxI Assessment'!$S$5:$S$394,'LxI Assessment'!$A$5:$A$394,$A14,'LxI Assessment'!$D$5:$D$394,L$5)))</f>
        <v>3</v>
      </c>
      <c r="M14" s="31" t="str">
        <f aca="false">IF(COUNTIFS('LxI Assessment'!$A$5:$A$394,$A14,'LxI Assessment'!$D$5:$D$394,M$5,'LxI Assessment'!$F$5:$F$394,"N/A")&gt;0,"N/A",IF(COUNTIFS('LxI Assessment'!$A$5:$A$394,$A14,'LxI Assessment'!$D$5:$D$394,M$5,'LxI Assessment'!$S$5:$S$394,"&gt;0")=0,"",SUMIFS('LxI Assessment'!$S$5:$S$394,'LxI Assessment'!$A$5:$A$394,$A14,'LxI Assessment'!$D$5:$D$394,M$5)))</f>
        <v>N/A</v>
      </c>
      <c r="N14" s="31" t="n">
        <f aca="false">IF(COUNTIFS('LxI Assessment'!$A$5:$A$394,$A14,'LxI Assessment'!$D$5:$D$394,N$5,'LxI Assessment'!$F$5:$F$394,"N/A")&gt;0,"N/A",IF(COUNTIFS('LxI Assessment'!$A$5:$A$394,$A14,'LxI Assessment'!$D$5:$D$394,N$5,'LxI Assessment'!$S$5:$S$394,"&gt;0")=0,"",SUMIFS('LxI Assessment'!$S$5:$S$394,'LxI Assessment'!$A$5:$A$394,$A14,'LxI Assessment'!$D$5:$D$394,N$5)))</f>
        <v>4</v>
      </c>
      <c r="O14" s="31" t="n">
        <f aca="false">IF(COUNTIFS('LxI Assessment'!$A$5:$A$394,$A14,'LxI Assessment'!$D$5:$D$394,O$5,'LxI Assessment'!$F$5:$F$394,"N/A")&gt;0,"N/A",IF(COUNTIFS('LxI Assessment'!$A$5:$A$394,$A14,'LxI Assessment'!$D$5:$D$394,O$5,'LxI Assessment'!$S$5:$S$394,"&gt;0")=0,"",SUMIFS('LxI Assessment'!$S$5:$S$394,'LxI Assessment'!$A$5:$A$394,$A14,'LxI Assessment'!$D$5:$D$394,O$5)))</f>
        <v>4</v>
      </c>
      <c r="P14" s="31" t="n">
        <f aca="false">IF(COUNTIFS('LxI Assessment'!$A$5:$A$394,$A14,'LxI Assessment'!$D$5:$D$394,P$5,'LxI Assessment'!$F$5:$F$394,"N/A")&gt;0,"N/A",IF(COUNTIFS('LxI Assessment'!$A$5:$A$394,$A14,'LxI Assessment'!$D$5:$D$394,P$5,'LxI Assessment'!$S$5:$S$394,"&gt;0")=0,"",SUMIFS('LxI Assessment'!$S$5:$S$394,'LxI Assessment'!$A$5:$A$394,$A14,'LxI Assessment'!$D$5:$D$394,P$5)))</f>
        <v>5</v>
      </c>
      <c r="Q14" s="31" t="n">
        <f aca="false">IF(COUNTIFS('LxI Assessment'!$A$5:$A$394,$A14,'LxI Assessment'!$D$5:$D$394,Q$5,'LxI Assessment'!$F$5:$F$394,"N/A")&gt;0,"N/A",IF(COUNTIFS('LxI Assessment'!$A$5:$A$394,$A14,'LxI Assessment'!$D$5:$D$394,Q$5,'LxI Assessment'!$S$5:$S$394,"&gt;0")=0,"",SUMIFS('LxI Assessment'!$S$5:$S$394,'LxI Assessment'!$A$5:$A$394,$A14,'LxI Assessment'!$D$5:$D$394,Q$5)))</f>
        <v>5</v>
      </c>
      <c r="R14" s="31" t="n">
        <f aca="false">IF(COUNTIFS('LxI Assessment'!$A$5:$A$394,$A14,'LxI Assessment'!$D$5:$D$394,R$5,'LxI Assessment'!$F$5:$F$394,"N/A")&gt;0,"N/A",IF(COUNTIFS('LxI Assessment'!$A$5:$A$394,$A14,'LxI Assessment'!$D$5:$D$394,R$5,'LxI Assessment'!$S$5:$S$394,"&gt;0")=0,"",SUMIFS('LxI Assessment'!$S$5:$S$394,'LxI Assessment'!$A$5:$A$394,$A14,'LxI Assessment'!$D$5:$D$394,R$5)))</f>
        <v>5</v>
      </c>
      <c r="S14" s="31" t="n">
        <f aca="false">IF(COUNTIFS('LxI Assessment'!$A$5:$A$394,$A14,'LxI Assessment'!$D$5:$D$394,S$5,'LxI Assessment'!$F$5:$F$394,"N/A")&gt;0,"N/A",IF(COUNTIFS('LxI Assessment'!$A$5:$A$394,$A14,'LxI Assessment'!$D$5:$D$394,S$5,'LxI Assessment'!$S$5:$S$394,"&gt;0")=0,"",SUMIFS('LxI Assessment'!$S$5:$S$394,'LxI Assessment'!$A$5:$A$394,$A14,'LxI Assessment'!$D$5:$D$394,S$5)))</f>
        <v>5</v>
      </c>
      <c r="T14" s="31" t="n">
        <f aca="false">IF(COUNTIFS('LxI Assessment'!$A$5:$A$394,$A14,'LxI Assessment'!$D$5:$D$394,T$5,'LxI Assessment'!$F$5:$F$394,"N/A")&gt;0,"N/A",IF(COUNTIFS('LxI Assessment'!$A$5:$A$394,$A14,'LxI Assessment'!$D$5:$D$394,T$5,'LxI Assessment'!$S$5:$S$394,"&gt;0")=0,"",SUMIFS('LxI Assessment'!$S$5:$S$394,'LxI Assessment'!$A$5:$A$394,$A14,'LxI Assessment'!$D$5:$D$394,T$5)))</f>
        <v>3</v>
      </c>
      <c r="U14" s="31" t="n">
        <f aca="false">IF(COUNTIFS('LxI Assessment'!$A$5:$A$394,$A14,'LxI Assessment'!$D$5:$D$394,U$5,'LxI Assessment'!$F$5:$F$394,"N/A")&gt;0,"N/A",IF(COUNTIFS('LxI Assessment'!$A$5:$A$394,$A14,'LxI Assessment'!$D$5:$D$394,U$5,'LxI Assessment'!$S$5:$S$394,"&gt;0")=0,"",SUMIFS('LxI Assessment'!$S$5:$S$394,'LxI Assessment'!$A$5:$A$394,$A14,'LxI Assessment'!$D$5:$D$394,U$5)))</f>
        <v>4</v>
      </c>
      <c r="V14" s="31" t="n">
        <f aca="false">IF(COUNTIFS('LxI Assessment'!$A$5:$A$394,$A14,'LxI Assessment'!$D$5:$D$394,V$5,'LxI Assessment'!$F$5:$F$394,"N/A")&gt;0,"N/A",IF(COUNTIFS('LxI Assessment'!$A$5:$A$394,$A14,'LxI Assessment'!$D$5:$D$394,V$5,'LxI Assessment'!$S$5:$S$394,"&gt;0")=0,"",SUMIFS('LxI Assessment'!$S$5:$S$394,'LxI Assessment'!$A$5:$A$394,$A14,'LxI Assessment'!$D$5:$D$394,V$5)))</f>
        <v>4</v>
      </c>
      <c r="W14" s="34" t="n">
        <f aca="false">MAX(C14:V14)</f>
        <v>5</v>
      </c>
      <c r="X14" s="29" t="n">
        <f aca="false">IFERROR(AVERAGE(C14:V14),"")</f>
        <v>4.21052631578947</v>
      </c>
      <c r="Y14" s="31" t="n">
        <f aca="false">COUNTIF(C14:V14,5)</f>
        <v>6</v>
      </c>
      <c r="Z14" s="31" t="n">
        <f aca="false">COUNTIF(C14:V14,4)</f>
        <v>11</v>
      </c>
      <c r="AA14" s="7" t="str">
        <f aca="false">IF(W14=0,"",INDEX(Config!$B$5:$B$9,W14))</f>
        <v>High</v>
      </c>
    </row>
    <row r="15" customFormat="false" ht="15" hidden="false" customHeight="false" outlineLevel="0" collapsed="false">
      <c r="A15" s="26" t="str">
        <f aca="false">Entities!A14</f>
        <v>AE</v>
      </c>
      <c r="B15" s="26" t="str">
        <f aca="false">Entities!B14</f>
        <v>Arab Bank – UAE</v>
      </c>
      <c r="C15" s="31" t="n">
        <f aca="false">IF(COUNTIFS('FC Calculation'!$A$5:$A$214,$A15,'FC Calculation'!$D$5:$D$214,C$5,'FC Calculation'!$T$5:$T$214,"&gt;0")=0,"",SUMIFS('FC Calculation'!$T$5:$T$214,'FC Calculation'!$A$5:$A$214,$A15,'FC Calculation'!$D$5:$D$214,C$5))</f>
        <v>3</v>
      </c>
      <c r="D15" s="31" t="n">
        <f aca="false">IF(COUNTIFS('FC Calculation'!$A$5:$A$214,$A15,'FC Calculation'!$D$5:$D$214,D$5,'FC Calculation'!$T$5:$T$214,"&gt;0")=0,"",SUMIFS('FC Calculation'!$T$5:$T$214,'FC Calculation'!$A$5:$A$214,$A15,'FC Calculation'!$D$5:$D$214,D$5))</f>
        <v>3</v>
      </c>
      <c r="E15" s="31" t="n">
        <f aca="false">IF(COUNTIFS('FC Calculation'!$A$5:$A$214,$A15,'FC Calculation'!$D$5:$D$214,E$5,'FC Calculation'!$T$5:$T$214,"&gt;0")=0,"",SUMIFS('FC Calculation'!$T$5:$T$214,'FC Calculation'!$A$5:$A$214,$A15,'FC Calculation'!$D$5:$D$214,E$5))</f>
        <v>2</v>
      </c>
      <c r="F15" s="31" t="n">
        <f aca="false">IF(COUNTIFS('FC Calculation'!$A$5:$A$214,$A15,'FC Calculation'!$D$5:$D$214,F$5,'FC Calculation'!$T$5:$T$214,"&gt;0")=0,"",SUMIFS('FC Calculation'!$T$5:$T$214,'FC Calculation'!$A$5:$A$214,$A15,'FC Calculation'!$D$5:$D$214,F$5))</f>
        <v>3</v>
      </c>
      <c r="G15" s="31" t="n">
        <f aca="false">IF(COUNTIFS('FC Calculation'!$A$5:$A$214,$A15,'FC Calculation'!$D$5:$D$214,G$5,'FC Calculation'!$T$5:$T$214,"&gt;0")=0,"",SUMIFS('FC Calculation'!$T$5:$T$214,'FC Calculation'!$A$5:$A$214,$A15,'FC Calculation'!$D$5:$D$214,G$5))</f>
        <v>3</v>
      </c>
      <c r="H15" s="31" t="n">
        <f aca="false">IF(COUNTIFS('FC Calculation'!$A$5:$A$214,$A15,'FC Calculation'!$D$5:$D$214,H$5,'FC Calculation'!$T$5:$T$214,"&gt;0")=0,"",SUMIFS('FC Calculation'!$T$5:$T$214,'FC Calculation'!$A$5:$A$214,$A15,'FC Calculation'!$D$5:$D$214,H$5))</f>
        <v>3</v>
      </c>
      <c r="I15" s="31" t="n">
        <f aca="false">IF(COUNTIFS('FC Calculation'!$A$5:$A$214,$A15,'FC Calculation'!$D$5:$D$214,I$5,'FC Calculation'!$T$5:$T$214,"&gt;0")=0,"",SUMIFS('FC Calculation'!$T$5:$T$214,'FC Calculation'!$A$5:$A$214,$A15,'FC Calculation'!$D$5:$D$214,I$5))</f>
        <v>3</v>
      </c>
      <c r="J15" s="31" t="n">
        <f aca="false">IF(COUNTIFS('LxI Assessment'!$A$5:$A$394,$A15,'LxI Assessment'!$D$5:$D$394,J$5,'LxI Assessment'!$F$5:$F$394,"N/A")&gt;0,"N/A",IF(COUNTIFS('LxI Assessment'!$A$5:$A$394,$A15,'LxI Assessment'!$D$5:$D$394,J$5,'LxI Assessment'!$S$5:$S$394,"&gt;0")=0,"",SUMIFS('LxI Assessment'!$S$5:$S$394,'LxI Assessment'!$A$5:$A$394,$A15,'LxI Assessment'!$D$5:$D$394,J$5)))</f>
        <v>3</v>
      </c>
      <c r="K15" s="31" t="n">
        <f aca="false">IF(COUNTIFS('LxI Assessment'!$A$5:$A$394,$A15,'LxI Assessment'!$D$5:$D$394,K$5,'LxI Assessment'!$F$5:$F$394,"N/A")&gt;0,"N/A",IF(COUNTIFS('LxI Assessment'!$A$5:$A$394,$A15,'LxI Assessment'!$D$5:$D$394,K$5,'LxI Assessment'!$S$5:$S$394,"&gt;0")=0,"",SUMIFS('LxI Assessment'!$S$5:$S$394,'LxI Assessment'!$A$5:$A$394,$A15,'LxI Assessment'!$D$5:$D$394,K$5)))</f>
        <v>3</v>
      </c>
      <c r="L15" s="31" t="n">
        <f aca="false">IF(COUNTIFS('LxI Assessment'!$A$5:$A$394,$A15,'LxI Assessment'!$D$5:$D$394,L$5,'LxI Assessment'!$F$5:$F$394,"N/A")&gt;0,"N/A",IF(COUNTIFS('LxI Assessment'!$A$5:$A$394,$A15,'LxI Assessment'!$D$5:$D$394,L$5,'LxI Assessment'!$S$5:$S$394,"&gt;0")=0,"",SUMIFS('LxI Assessment'!$S$5:$S$394,'LxI Assessment'!$A$5:$A$394,$A15,'LxI Assessment'!$D$5:$D$394,L$5)))</f>
        <v>5</v>
      </c>
      <c r="M15" s="31" t="str">
        <f aca="false">IF(COUNTIFS('LxI Assessment'!$A$5:$A$394,$A15,'LxI Assessment'!$D$5:$D$394,M$5,'LxI Assessment'!$F$5:$F$394,"N/A")&gt;0,"N/A",IF(COUNTIFS('LxI Assessment'!$A$5:$A$394,$A15,'LxI Assessment'!$D$5:$D$394,M$5,'LxI Assessment'!$S$5:$S$394,"&gt;0")=0,"",SUMIFS('LxI Assessment'!$S$5:$S$394,'LxI Assessment'!$A$5:$A$394,$A15,'LxI Assessment'!$D$5:$D$394,M$5)))</f>
        <v>N/A</v>
      </c>
      <c r="N15" s="31" t="n">
        <f aca="false">IF(COUNTIFS('LxI Assessment'!$A$5:$A$394,$A15,'LxI Assessment'!$D$5:$D$394,N$5,'LxI Assessment'!$F$5:$F$394,"N/A")&gt;0,"N/A",IF(COUNTIFS('LxI Assessment'!$A$5:$A$394,$A15,'LxI Assessment'!$D$5:$D$394,N$5,'LxI Assessment'!$S$5:$S$394,"&gt;0")=0,"",SUMIFS('LxI Assessment'!$S$5:$S$394,'LxI Assessment'!$A$5:$A$394,$A15,'LxI Assessment'!$D$5:$D$394,N$5)))</f>
        <v>2</v>
      </c>
      <c r="O15" s="31" t="n">
        <f aca="false">IF(COUNTIFS('LxI Assessment'!$A$5:$A$394,$A15,'LxI Assessment'!$D$5:$D$394,O$5,'LxI Assessment'!$F$5:$F$394,"N/A")&gt;0,"N/A",IF(COUNTIFS('LxI Assessment'!$A$5:$A$394,$A15,'LxI Assessment'!$D$5:$D$394,O$5,'LxI Assessment'!$S$5:$S$394,"&gt;0")=0,"",SUMIFS('LxI Assessment'!$S$5:$S$394,'LxI Assessment'!$A$5:$A$394,$A15,'LxI Assessment'!$D$5:$D$394,O$5)))</f>
        <v>3</v>
      </c>
      <c r="P15" s="31" t="n">
        <f aca="false">IF(COUNTIFS('LxI Assessment'!$A$5:$A$394,$A15,'LxI Assessment'!$D$5:$D$394,P$5,'LxI Assessment'!$F$5:$F$394,"N/A")&gt;0,"N/A",IF(COUNTIFS('LxI Assessment'!$A$5:$A$394,$A15,'LxI Assessment'!$D$5:$D$394,P$5,'LxI Assessment'!$S$5:$S$394,"&gt;0")=0,"",SUMIFS('LxI Assessment'!$S$5:$S$394,'LxI Assessment'!$A$5:$A$394,$A15,'LxI Assessment'!$D$5:$D$394,P$5)))</f>
        <v>2</v>
      </c>
      <c r="Q15" s="31" t="n">
        <f aca="false">IF(COUNTIFS('LxI Assessment'!$A$5:$A$394,$A15,'LxI Assessment'!$D$5:$D$394,Q$5,'LxI Assessment'!$F$5:$F$394,"N/A")&gt;0,"N/A",IF(COUNTIFS('LxI Assessment'!$A$5:$A$394,$A15,'LxI Assessment'!$D$5:$D$394,Q$5,'LxI Assessment'!$S$5:$S$394,"&gt;0")=0,"",SUMIFS('LxI Assessment'!$S$5:$S$394,'LxI Assessment'!$A$5:$A$394,$A15,'LxI Assessment'!$D$5:$D$394,Q$5)))</f>
        <v>2</v>
      </c>
      <c r="R15" s="31" t="n">
        <f aca="false">IF(COUNTIFS('LxI Assessment'!$A$5:$A$394,$A15,'LxI Assessment'!$D$5:$D$394,R$5,'LxI Assessment'!$F$5:$F$394,"N/A")&gt;0,"N/A",IF(COUNTIFS('LxI Assessment'!$A$5:$A$394,$A15,'LxI Assessment'!$D$5:$D$394,R$5,'LxI Assessment'!$S$5:$S$394,"&gt;0")=0,"",SUMIFS('LxI Assessment'!$S$5:$S$394,'LxI Assessment'!$A$5:$A$394,$A15,'LxI Assessment'!$D$5:$D$394,R$5)))</f>
        <v>3</v>
      </c>
      <c r="S15" s="31" t="n">
        <f aca="false">IF(COUNTIFS('LxI Assessment'!$A$5:$A$394,$A15,'LxI Assessment'!$D$5:$D$394,S$5,'LxI Assessment'!$F$5:$F$394,"N/A")&gt;0,"N/A",IF(COUNTIFS('LxI Assessment'!$A$5:$A$394,$A15,'LxI Assessment'!$D$5:$D$394,S$5,'LxI Assessment'!$S$5:$S$394,"&gt;0")=0,"",SUMIFS('LxI Assessment'!$S$5:$S$394,'LxI Assessment'!$A$5:$A$394,$A15,'LxI Assessment'!$D$5:$D$394,S$5)))</f>
        <v>4</v>
      </c>
      <c r="T15" s="31" t="n">
        <f aca="false">IF(COUNTIFS('LxI Assessment'!$A$5:$A$394,$A15,'LxI Assessment'!$D$5:$D$394,T$5,'LxI Assessment'!$F$5:$F$394,"N/A")&gt;0,"N/A",IF(COUNTIFS('LxI Assessment'!$A$5:$A$394,$A15,'LxI Assessment'!$D$5:$D$394,T$5,'LxI Assessment'!$S$5:$S$394,"&gt;0")=0,"",SUMIFS('LxI Assessment'!$S$5:$S$394,'LxI Assessment'!$A$5:$A$394,$A15,'LxI Assessment'!$D$5:$D$394,T$5)))</f>
        <v>2</v>
      </c>
      <c r="U15" s="31" t="n">
        <f aca="false">IF(COUNTIFS('LxI Assessment'!$A$5:$A$394,$A15,'LxI Assessment'!$D$5:$D$394,U$5,'LxI Assessment'!$F$5:$F$394,"N/A")&gt;0,"N/A",IF(COUNTIFS('LxI Assessment'!$A$5:$A$394,$A15,'LxI Assessment'!$D$5:$D$394,U$5,'LxI Assessment'!$S$5:$S$394,"&gt;0")=0,"",SUMIFS('LxI Assessment'!$S$5:$S$394,'LxI Assessment'!$A$5:$A$394,$A15,'LxI Assessment'!$D$5:$D$394,U$5)))</f>
        <v>3</v>
      </c>
      <c r="V15" s="31" t="n">
        <f aca="false">IF(COUNTIFS('LxI Assessment'!$A$5:$A$394,$A15,'LxI Assessment'!$D$5:$D$394,V$5,'LxI Assessment'!$F$5:$F$394,"N/A")&gt;0,"N/A",IF(COUNTIFS('LxI Assessment'!$A$5:$A$394,$A15,'LxI Assessment'!$D$5:$D$394,V$5,'LxI Assessment'!$S$5:$S$394,"&gt;0")=0,"",SUMIFS('LxI Assessment'!$S$5:$S$394,'LxI Assessment'!$A$5:$A$394,$A15,'LxI Assessment'!$D$5:$D$394,V$5)))</f>
        <v>2</v>
      </c>
      <c r="W15" s="34" t="n">
        <f aca="false">MAX(C15:V15)</f>
        <v>5</v>
      </c>
      <c r="X15" s="29" t="n">
        <f aca="false">IFERROR(AVERAGE(C15:V15),"")</f>
        <v>2.84210526315789</v>
      </c>
      <c r="Y15" s="31" t="n">
        <f aca="false">COUNTIF(C15:V15,5)</f>
        <v>1</v>
      </c>
      <c r="Z15" s="31" t="n">
        <f aca="false">COUNTIF(C15:V15,4)</f>
        <v>1</v>
      </c>
      <c r="AA15" s="7" t="str">
        <f aca="false">IF(W15=0,"",INDEX(Config!$B$5:$B$9,W15))</f>
        <v>High</v>
      </c>
    </row>
    <row r="16" customFormat="false" ht="15" hidden="false" customHeight="false" outlineLevel="0" collapsed="false">
      <c r="A16" s="26" t="str">
        <f aca="false">Entities!A15</f>
        <v>BH</v>
      </c>
      <c r="B16" s="26" t="str">
        <f aca="false">Entities!B15</f>
        <v>Arab Bank – Bahrain</v>
      </c>
      <c r="C16" s="31" t="n">
        <f aca="false">IF(COUNTIFS('FC Calculation'!$A$5:$A$214,$A16,'FC Calculation'!$D$5:$D$214,C$5,'FC Calculation'!$T$5:$T$214,"&gt;0")=0,"",SUMIFS('FC Calculation'!$T$5:$T$214,'FC Calculation'!$A$5:$A$214,$A16,'FC Calculation'!$D$5:$D$214,C$5))</f>
        <v>3</v>
      </c>
      <c r="D16" s="31" t="n">
        <f aca="false">IF(COUNTIFS('FC Calculation'!$A$5:$A$214,$A16,'FC Calculation'!$D$5:$D$214,D$5,'FC Calculation'!$T$5:$T$214,"&gt;0")=0,"",SUMIFS('FC Calculation'!$T$5:$T$214,'FC Calculation'!$A$5:$A$214,$A16,'FC Calculation'!$D$5:$D$214,D$5))</f>
        <v>3</v>
      </c>
      <c r="E16" s="31" t="n">
        <f aca="false">IF(COUNTIFS('FC Calculation'!$A$5:$A$214,$A16,'FC Calculation'!$D$5:$D$214,E$5,'FC Calculation'!$T$5:$T$214,"&gt;0")=0,"",SUMIFS('FC Calculation'!$T$5:$T$214,'FC Calculation'!$A$5:$A$214,$A16,'FC Calculation'!$D$5:$D$214,E$5))</f>
        <v>3</v>
      </c>
      <c r="F16" s="31" t="n">
        <f aca="false">IF(COUNTIFS('FC Calculation'!$A$5:$A$214,$A16,'FC Calculation'!$D$5:$D$214,F$5,'FC Calculation'!$T$5:$T$214,"&gt;0")=0,"",SUMIFS('FC Calculation'!$T$5:$T$214,'FC Calculation'!$A$5:$A$214,$A16,'FC Calculation'!$D$5:$D$214,F$5))</f>
        <v>3</v>
      </c>
      <c r="G16" s="31" t="n">
        <f aca="false">IF(COUNTIFS('FC Calculation'!$A$5:$A$214,$A16,'FC Calculation'!$D$5:$D$214,G$5,'FC Calculation'!$T$5:$T$214,"&gt;0")=0,"",SUMIFS('FC Calculation'!$T$5:$T$214,'FC Calculation'!$A$5:$A$214,$A16,'FC Calculation'!$D$5:$D$214,G$5))</f>
        <v>3</v>
      </c>
      <c r="H16" s="31" t="n">
        <f aca="false">IF(COUNTIFS('FC Calculation'!$A$5:$A$214,$A16,'FC Calculation'!$D$5:$D$214,H$5,'FC Calculation'!$T$5:$T$214,"&gt;0")=0,"",SUMIFS('FC Calculation'!$T$5:$T$214,'FC Calculation'!$A$5:$A$214,$A16,'FC Calculation'!$D$5:$D$214,H$5))</f>
        <v>2</v>
      </c>
      <c r="I16" s="31" t="n">
        <f aca="false">IF(COUNTIFS('FC Calculation'!$A$5:$A$214,$A16,'FC Calculation'!$D$5:$D$214,I$5,'FC Calculation'!$T$5:$T$214,"&gt;0")=0,"",SUMIFS('FC Calculation'!$T$5:$T$214,'FC Calculation'!$A$5:$A$214,$A16,'FC Calculation'!$D$5:$D$214,I$5))</f>
        <v>3</v>
      </c>
      <c r="J16" s="31" t="n">
        <f aca="false">IF(COUNTIFS('LxI Assessment'!$A$5:$A$394,$A16,'LxI Assessment'!$D$5:$D$394,J$5,'LxI Assessment'!$F$5:$F$394,"N/A")&gt;0,"N/A",IF(COUNTIFS('LxI Assessment'!$A$5:$A$394,$A16,'LxI Assessment'!$D$5:$D$394,J$5,'LxI Assessment'!$S$5:$S$394,"&gt;0")=0,"",SUMIFS('LxI Assessment'!$S$5:$S$394,'LxI Assessment'!$A$5:$A$394,$A16,'LxI Assessment'!$D$5:$D$394,J$5)))</f>
        <v>3</v>
      </c>
      <c r="K16" s="31" t="n">
        <f aca="false">IF(COUNTIFS('LxI Assessment'!$A$5:$A$394,$A16,'LxI Assessment'!$D$5:$D$394,K$5,'LxI Assessment'!$F$5:$F$394,"N/A")&gt;0,"N/A",IF(COUNTIFS('LxI Assessment'!$A$5:$A$394,$A16,'LxI Assessment'!$D$5:$D$394,K$5,'LxI Assessment'!$S$5:$S$394,"&gt;0")=0,"",SUMIFS('LxI Assessment'!$S$5:$S$394,'LxI Assessment'!$A$5:$A$394,$A16,'LxI Assessment'!$D$5:$D$394,K$5)))</f>
        <v>3</v>
      </c>
      <c r="L16" s="31" t="n">
        <f aca="false">IF(COUNTIFS('LxI Assessment'!$A$5:$A$394,$A16,'LxI Assessment'!$D$5:$D$394,L$5,'LxI Assessment'!$F$5:$F$394,"N/A")&gt;0,"N/A",IF(COUNTIFS('LxI Assessment'!$A$5:$A$394,$A16,'LxI Assessment'!$D$5:$D$394,L$5,'LxI Assessment'!$S$5:$S$394,"&gt;0")=0,"",SUMIFS('LxI Assessment'!$S$5:$S$394,'LxI Assessment'!$A$5:$A$394,$A16,'LxI Assessment'!$D$5:$D$394,L$5)))</f>
        <v>3</v>
      </c>
      <c r="M16" s="31" t="str">
        <f aca="false">IF(COUNTIFS('LxI Assessment'!$A$5:$A$394,$A16,'LxI Assessment'!$D$5:$D$394,M$5,'LxI Assessment'!$F$5:$F$394,"N/A")&gt;0,"N/A",IF(COUNTIFS('LxI Assessment'!$A$5:$A$394,$A16,'LxI Assessment'!$D$5:$D$394,M$5,'LxI Assessment'!$S$5:$S$394,"&gt;0")=0,"",SUMIFS('LxI Assessment'!$S$5:$S$394,'LxI Assessment'!$A$5:$A$394,$A16,'LxI Assessment'!$D$5:$D$394,M$5)))</f>
        <v>N/A</v>
      </c>
      <c r="N16" s="31" t="n">
        <f aca="false">IF(COUNTIFS('LxI Assessment'!$A$5:$A$394,$A16,'LxI Assessment'!$D$5:$D$394,N$5,'LxI Assessment'!$F$5:$F$394,"N/A")&gt;0,"N/A",IF(COUNTIFS('LxI Assessment'!$A$5:$A$394,$A16,'LxI Assessment'!$D$5:$D$394,N$5,'LxI Assessment'!$S$5:$S$394,"&gt;0")=0,"",SUMIFS('LxI Assessment'!$S$5:$S$394,'LxI Assessment'!$A$5:$A$394,$A16,'LxI Assessment'!$D$5:$D$394,N$5)))</f>
        <v>3</v>
      </c>
      <c r="O16" s="31" t="n">
        <f aca="false">IF(COUNTIFS('LxI Assessment'!$A$5:$A$394,$A16,'LxI Assessment'!$D$5:$D$394,O$5,'LxI Assessment'!$F$5:$F$394,"N/A")&gt;0,"N/A",IF(COUNTIFS('LxI Assessment'!$A$5:$A$394,$A16,'LxI Assessment'!$D$5:$D$394,O$5,'LxI Assessment'!$S$5:$S$394,"&gt;0")=0,"",SUMIFS('LxI Assessment'!$S$5:$S$394,'LxI Assessment'!$A$5:$A$394,$A16,'LxI Assessment'!$D$5:$D$394,O$5)))</f>
        <v>3</v>
      </c>
      <c r="P16" s="31" t="n">
        <f aca="false">IF(COUNTIFS('LxI Assessment'!$A$5:$A$394,$A16,'LxI Assessment'!$D$5:$D$394,P$5,'LxI Assessment'!$F$5:$F$394,"N/A")&gt;0,"N/A",IF(COUNTIFS('LxI Assessment'!$A$5:$A$394,$A16,'LxI Assessment'!$D$5:$D$394,P$5,'LxI Assessment'!$S$5:$S$394,"&gt;0")=0,"",SUMIFS('LxI Assessment'!$S$5:$S$394,'LxI Assessment'!$A$5:$A$394,$A16,'LxI Assessment'!$D$5:$D$394,P$5)))</f>
        <v>2</v>
      </c>
      <c r="Q16" s="31" t="n">
        <f aca="false">IF(COUNTIFS('LxI Assessment'!$A$5:$A$394,$A16,'LxI Assessment'!$D$5:$D$394,Q$5,'LxI Assessment'!$F$5:$F$394,"N/A")&gt;0,"N/A",IF(COUNTIFS('LxI Assessment'!$A$5:$A$394,$A16,'LxI Assessment'!$D$5:$D$394,Q$5,'LxI Assessment'!$S$5:$S$394,"&gt;0")=0,"",SUMIFS('LxI Assessment'!$S$5:$S$394,'LxI Assessment'!$A$5:$A$394,$A16,'LxI Assessment'!$D$5:$D$394,Q$5)))</f>
        <v>3</v>
      </c>
      <c r="R16" s="31" t="n">
        <f aca="false">IF(COUNTIFS('LxI Assessment'!$A$5:$A$394,$A16,'LxI Assessment'!$D$5:$D$394,R$5,'LxI Assessment'!$F$5:$F$394,"N/A")&gt;0,"N/A",IF(COUNTIFS('LxI Assessment'!$A$5:$A$394,$A16,'LxI Assessment'!$D$5:$D$394,R$5,'LxI Assessment'!$S$5:$S$394,"&gt;0")=0,"",SUMIFS('LxI Assessment'!$S$5:$S$394,'LxI Assessment'!$A$5:$A$394,$A16,'LxI Assessment'!$D$5:$D$394,R$5)))</f>
        <v>2</v>
      </c>
      <c r="S16" s="31" t="n">
        <f aca="false">IF(COUNTIFS('LxI Assessment'!$A$5:$A$394,$A16,'LxI Assessment'!$D$5:$D$394,S$5,'LxI Assessment'!$F$5:$F$394,"N/A")&gt;0,"N/A",IF(COUNTIFS('LxI Assessment'!$A$5:$A$394,$A16,'LxI Assessment'!$D$5:$D$394,S$5,'LxI Assessment'!$S$5:$S$394,"&gt;0")=0,"",SUMIFS('LxI Assessment'!$S$5:$S$394,'LxI Assessment'!$A$5:$A$394,$A16,'LxI Assessment'!$D$5:$D$394,S$5)))</f>
        <v>3</v>
      </c>
      <c r="T16" s="31" t="n">
        <f aca="false">IF(COUNTIFS('LxI Assessment'!$A$5:$A$394,$A16,'LxI Assessment'!$D$5:$D$394,T$5,'LxI Assessment'!$F$5:$F$394,"N/A")&gt;0,"N/A",IF(COUNTIFS('LxI Assessment'!$A$5:$A$394,$A16,'LxI Assessment'!$D$5:$D$394,T$5,'LxI Assessment'!$S$5:$S$394,"&gt;0")=0,"",SUMIFS('LxI Assessment'!$S$5:$S$394,'LxI Assessment'!$A$5:$A$394,$A16,'LxI Assessment'!$D$5:$D$394,T$5)))</f>
        <v>3</v>
      </c>
      <c r="U16" s="31" t="n">
        <f aca="false">IF(COUNTIFS('LxI Assessment'!$A$5:$A$394,$A16,'LxI Assessment'!$D$5:$D$394,U$5,'LxI Assessment'!$F$5:$F$394,"N/A")&gt;0,"N/A",IF(COUNTIFS('LxI Assessment'!$A$5:$A$394,$A16,'LxI Assessment'!$D$5:$D$394,U$5,'LxI Assessment'!$S$5:$S$394,"&gt;0")=0,"",SUMIFS('LxI Assessment'!$S$5:$S$394,'LxI Assessment'!$A$5:$A$394,$A16,'LxI Assessment'!$D$5:$D$394,U$5)))</f>
        <v>3</v>
      </c>
      <c r="V16" s="31" t="n">
        <f aca="false">IF(COUNTIFS('LxI Assessment'!$A$5:$A$394,$A16,'LxI Assessment'!$D$5:$D$394,V$5,'LxI Assessment'!$F$5:$F$394,"N/A")&gt;0,"N/A",IF(COUNTIFS('LxI Assessment'!$A$5:$A$394,$A16,'LxI Assessment'!$D$5:$D$394,V$5,'LxI Assessment'!$S$5:$S$394,"&gt;0")=0,"",SUMIFS('LxI Assessment'!$S$5:$S$394,'LxI Assessment'!$A$5:$A$394,$A16,'LxI Assessment'!$D$5:$D$394,V$5)))</f>
        <v>3</v>
      </c>
      <c r="W16" s="34" t="n">
        <f aca="false">MAX(C16:V16)</f>
        <v>3</v>
      </c>
      <c r="X16" s="29" t="n">
        <f aca="false">IFERROR(AVERAGE(C16:V16),"")</f>
        <v>2.84210526315789</v>
      </c>
      <c r="Y16" s="31" t="n">
        <f aca="false">COUNTIF(C16:V16,5)</f>
        <v>0</v>
      </c>
      <c r="Z16" s="31" t="n">
        <f aca="false">COUNTIF(C16:V16,4)</f>
        <v>0</v>
      </c>
      <c r="AA16" s="7" t="str">
        <f aca="false">IF(W16=0,"",INDEX(Config!$B$5:$B$9,W16))</f>
        <v>Medium</v>
      </c>
    </row>
    <row r="17" customFormat="false" ht="15" hidden="false" customHeight="false" outlineLevel="0" collapsed="false">
      <c r="A17" s="26" t="str">
        <f aca="false">Entities!A16</f>
        <v>QA</v>
      </c>
      <c r="B17" s="26" t="str">
        <f aca="false">Entities!B16</f>
        <v>Arab Bank – Qatar</v>
      </c>
      <c r="C17" s="31" t="n">
        <f aca="false">IF(COUNTIFS('FC Calculation'!$A$5:$A$214,$A17,'FC Calculation'!$D$5:$D$214,C$5,'FC Calculation'!$T$5:$T$214,"&gt;0")=0,"",SUMIFS('FC Calculation'!$T$5:$T$214,'FC Calculation'!$A$5:$A$214,$A17,'FC Calculation'!$D$5:$D$214,C$5))</f>
        <v>3</v>
      </c>
      <c r="D17" s="31" t="n">
        <f aca="false">IF(COUNTIFS('FC Calculation'!$A$5:$A$214,$A17,'FC Calculation'!$D$5:$D$214,D$5,'FC Calculation'!$T$5:$T$214,"&gt;0")=0,"",SUMIFS('FC Calculation'!$T$5:$T$214,'FC Calculation'!$A$5:$A$214,$A17,'FC Calculation'!$D$5:$D$214,D$5))</f>
        <v>3</v>
      </c>
      <c r="E17" s="31" t="n">
        <f aca="false">IF(COUNTIFS('FC Calculation'!$A$5:$A$214,$A17,'FC Calculation'!$D$5:$D$214,E$5,'FC Calculation'!$T$5:$T$214,"&gt;0")=0,"",SUMIFS('FC Calculation'!$T$5:$T$214,'FC Calculation'!$A$5:$A$214,$A17,'FC Calculation'!$D$5:$D$214,E$5))</f>
        <v>3</v>
      </c>
      <c r="F17" s="31" t="n">
        <f aca="false">IF(COUNTIFS('FC Calculation'!$A$5:$A$214,$A17,'FC Calculation'!$D$5:$D$214,F$5,'FC Calculation'!$T$5:$T$214,"&gt;0")=0,"",SUMIFS('FC Calculation'!$T$5:$T$214,'FC Calculation'!$A$5:$A$214,$A17,'FC Calculation'!$D$5:$D$214,F$5))</f>
        <v>3</v>
      </c>
      <c r="G17" s="31" t="n">
        <f aca="false">IF(COUNTIFS('FC Calculation'!$A$5:$A$214,$A17,'FC Calculation'!$D$5:$D$214,G$5,'FC Calculation'!$T$5:$T$214,"&gt;0")=0,"",SUMIFS('FC Calculation'!$T$5:$T$214,'FC Calculation'!$A$5:$A$214,$A17,'FC Calculation'!$D$5:$D$214,G$5))</f>
        <v>2</v>
      </c>
      <c r="H17" s="31" t="n">
        <f aca="false">IF(COUNTIFS('FC Calculation'!$A$5:$A$214,$A17,'FC Calculation'!$D$5:$D$214,H$5,'FC Calculation'!$T$5:$T$214,"&gt;0")=0,"",SUMIFS('FC Calculation'!$T$5:$T$214,'FC Calculation'!$A$5:$A$214,$A17,'FC Calculation'!$D$5:$D$214,H$5))</f>
        <v>3</v>
      </c>
      <c r="I17" s="31" t="n">
        <f aca="false">IF(COUNTIFS('FC Calculation'!$A$5:$A$214,$A17,'FC Calculation'!$D$5:$D$214,I$5,'FC Calculation'!$T$5:$T$214,"&gt;0")=0,"",SUMIFS('FC Calculation'!$T$5:$T$214,'FC Calculation'!$A$5:$A$214,$A17,'FC Calculation'!$D$5:$D$214,I$5))</f>
        <v>3</v>
      </c>
      <c r="J17" s="31" t="n">
        <f aca="false">IF(COUNTIFS('LxI Assessment'!$A$5:$A$394,$A17,'LxI Assessment'!$D$5:$D$394,J$5,'LxI Assessment'!$F$5:$F$394,"N/A")&gt;0,"N/A",IF(COUNTIFS('LxI Assessment'!$A$5:$A$394,$A17,'LxI Assessment'!$D$5:$D$394,J$5,'LxI Assessment'!$S$5:$S$394,"&gt;0")=0,"",SUMIFS('LxI Assessment'!$S$5:$S$394,'LxI Assessment'!$A$5:$A$394,$A17,'LxI Assessment'!$D$5:$D$394,J$5)))</f>
        <v>2</v>
      </c>
      <c r="K17" s="31" t="n">
        <f aca="false">IF(COUNTIFS('LxI Assessment'!$A$5:$A$394,$A17,'LxI Assessment'!$D$5:$D$394,K$5,'LxI Assessment'!$F$5:$F$394,"N/A")&gt;0,"N/A",IF(COUNTIFS('LxI Assessment'!$A$5:$A$394,$A17,'LxI Assessment'!$D$5:$D$394,K$5,'LxI Assessment'!$S$5:$S$394,"&gt;0")=0,"",SUMIFS('LxI Assessment'!$S$5:$S$394,'LxI Assessment'!$A$5:$A$394,$A17,'LxI Assessment'!$D$5:$D$394,K$5)))</f>
        <v>2</v>
      </c>
      <c r="L17" s="31" t="n">
        <f aca="false">IF(COUNTIFS('LxI Assessment'!$A$5:$A$394,$A17,'LxI Assessment'!$D$5:$D$394,L$5,'LxI Assessment'!$F$5:$F$394,"N/A")&gt;0,"N/A",IF(COUNTIFS('LxI Assessment'!$A$5:$A$394,$A17,'LxI Assessment'!$D$5:$D$394,L$5,'LxI Assessment'!$S$5:$S$394,"&gt;0")=0,"",SUMIFS('LxI Assessment'!$S$5:$S$394,'LxI Assessment'!$A$5:$A$394,$A17,'LxI Assessment'!$D$5:$D$394,L$5)))</f>
        <v>3</v>
      </c>
      <c r="M17" s="31" t="str">
        <f aca="false">IF(COUNTIFS('LxI Assessment'!$A$5:$A$394,$A17,'LxI Assessment'!$D$5:$D$394,M$5,'LxI Assessment'!$F$5:$F$394,"N/A")&gt;0,"N/A",IF(COUNTIFS('LxI Assessment'!$A$5:$A$394,$A17,'LxI Assessment'!$D$5:$D$394,M$5,'LxI Assessment'!$S$5:$S$394,"&gt;0")=0,"",SUMIFS('LxI Assessment'!$S$5:$S$394,'LxI Assessment'!$A$5:$A$394,$A17,'LxI Assessment'!$D$5:$D$394,M$5)))</f>
        <v>N/A</v>
      </c>
      <c r="N17" s="31" t="n">
        <f aca="false">IF(COUNTIFS('LxI Assessment'!$A$5:$A$394,$A17,'LxI Assessment'!$D$5:$D$394,N$5,'LxI Assessment'!$F$5:$F$394,"N/A")&gt;0,"N/A",IF(COUNTIFS('LxI Assessment'!$A$5:$A$394,$A17,'LxI Assessment'!$D$5:$D$394,N$5,'LxI Assessment'!$S$5:$S$394,"&gt;0")=0,"",SUMIFS('LxI Assessment'!$S$5:$S$394,'LxI Assessment'!$A$5:$A$394,$A17,'LxI Assessment'!$D$5:$D$394,N$5)))</f>
        <v>3</v>
      </c>
      <c r="O17" s="31" t="n">
        <f aca="false">IF(COUNTIFS('LxI Assessment'!$A$5:$A$394,$A17,'LxI Assessment'!$D$5:$D$394,O$5,'LxI Assessment'!$F$5:$F$394,"N/A")&gt;0,"N/A",IF(COUNTIFS('LxI Assessment'!$A$5:$A$394,$A17,'LxI Assessment'!$D$5:$D$394,O$5,'LxI Assessment'!$S$5:$S$394,"&gt;0")=0,"",SUMIFS('LxI Assessment'!$S$5:$S$394,'LxI Assessment'!$A$5:$A$394,$A17,'LxI Assessment'!$D$5:$D$394,O$5)))</f>
        <v>3</v>
      </c>
      <c r="P17" s="31" t="n">
        <f aca="false">IF(COUNTIFS('LxI Assessment'!$A$5:$A$394,$A17,'LxI Assessment'!$D$5:$D$394,P$5,'LxI Assessment'!$F$5:$F$394,"N/A")&gt;0,"N/A",IF(COUNTIFS('LxI Assessment'!$A$5:$A$394,$A17,'LxI Assessment'!$D$5:$D$394,P$5,'LxI Assessment'!$S$5:$S$394,"&gt;0")=0,"",SUMIFS('LxI Assessment'!$S$5:$S$394,'LxI Assessment'!$A$5:$A$394,$A17,'LxI Assessment'!$D$5:$D$394,P$5)))</f>
        <v>3</v>
      </c>
      <c r="Q17" s="31" t="n">
        <f aca="false">IF(COUNTIFS('LxI Assessment'!$A$5:$A$394,$A17,'LxI Assessment'!$D$5:$D$394,Q$5,'LxI Assessment'!$F$5:$F$394,"N/A")&gt;0,"N/A",IF(COUNTIFS('LxI Assessment'!$A$5:$A$394,$A17,'LxI Assessment'!$D$5:$D$394,Q$5,'LxI Assessment'!$S$5:$S$394,"&gt;0")=0,"",SUMIFS('LxI Assessment'!$S$5:$S$394,'LxI Assessment'!$A$5:$A$394,$A17,'LxI Assessment'!$D$5:$D$394,Q$5)))</f>
        <v>2</v>
      </c>
      <c r="R17" s="31" t="n">
        <f aca="false">IF(COUNTIFS('LxI Assessment'!$A$5:$A$394,$A17,'LxI Assessment'!$D$5:$D$394,R$5,'LxI Assessment'!$F$5:$F$394,"N/A")&gt;0,"N/A",IF(COUNTIFS('LxI Assessment'!$A$5:$A$394,$A17,'LxI Assessment'!$D$5:$D$394,R$5,'LxI Assessment'!$S$5:$S$394,"&gt;0")=0,"",SUMIFS('LxI Assessment'!$S$5:$S$394,'LxI Assessment'!$A$5:$A$394,$A17,'LxI Assessment'!$D$5:$D$394,R$5)))</f>
        <v>3</v>
      </c>
      <c r="S17" s="31" t="n">
        <f aca="false">IF(COUNTIFS('LxI Assessment'!$A$5:$A$394,$A17,'LxI Assessment'!$D$5:$D$394,S$5,'LxI Assessment'!$F$5:$F$394,"N/A")&gt;0,"N/A",IF(COUNTIFS('LxI Assessment'!$A$5:$A$394,$A17,'LxI Assessment'!$D$5:$D$394,S$5,'LxI Assessment'!$S$5:$S$394,"&gt;0")=0,"",SUMIFS('LxI Assessment'!$S$5:$S$394,'LxI Assessment'!$A$5:$A$394,$A17,'LxI Assessment'!$D$5:$D$394,S$5)))</f>
        <v>2</v>
      </c>
      <c r="T17" s="31" t="n">
        <f aca="false">IF(COUNTIFS('LxI Assessment'!$A$5:$A$394,$A17,'LxI Assessment'!$D$5:$D$394,T$5,'LxI Assessment'!$F$5:$F$394,"N/A")&gt;0,"N/A",IF(COUNTIFS('LxI Assessment'!$A$5:$A$394,$A17,'LxI Assessment'!$D$5:$D$394,T$5,'LxI Assessment'!$S$5:$S$394,"&gt;0")=0,"",SUMIFS('LxI Assessment'!$S$5:$S$394,'LxI Assessment'!$A$5:$A$394,$A17,'LxI Assessment'!$D$5:$D$394,T$5)))</f>
        <v>2</v>
      </c>
      <c r="U17" s="31" t="n">
        <f aca="false">IF(COUNTIFS('LxI Assessment'!$A$5:$A$394,$A17,'LxI Assessment'!$D$5:$D$394,U$5,'LxI Assessment'!$F$5:$F$394,"N/A")&gt;0,"N/A",IF(COUNTIFS('LxI Assessment'!$A$5:$A$394,$A17,'LxI Assessment'!$D$5:$D$394,U$5,'LxI Assessment'!$S$5:$S$394,"&gt;0")=0,"",SUMIFS('LxI Assessment'!$S$5:$S$394,'LxI Assessment'!$A$5:$A$394,$A17,'LxI Assessment'!$D$5:$D$394,U$5)))</f>
        <v>4</v>
      </c>
      <c r="V17" s="31" t="n">
        <f aca="false">IF(COUNTIFS('LxI Assessment'!$A$5:$A$394,$A17,'LxI Assessment'!$D$5:$D$394,V$5,'LxI Assessment'!$F$5:$F$394,"N/A")&gt;0,"N/A",IF(COUNTIFS('LxI Assessment'!$A$5:$A$394,$A17,'LxI Assessment'!$D$5:$D$394,V$5,'LxI Assessment'!$S$5:$S$394,"&gt;0")=0,"",SUMIFS('LxI Assessment'!$S$5:$S$394,'LxI Assessment'!$A$5:$A$394,$A17,'LxI Assessment'!$D$5:$D$394,V$5)))</f>
        <v>2</v>
      </c>
      <c r="W17" s="34" t="n">
        <f aca="false">MAX(C17:V17)</f>
        <v>4</v>
      </c>
      <c r="X17" s="29" t="n">
        <f aca="false">IFERROR(AVERAGE(C17:V17),"")</f>
        <v>2.68421052631579</v>
      </c>
      <c r="Y17" s="31" t="n">
        <f aca="false">COUNTIF(C17:V17,5)</f>
        <v>0</v>
      </c>
      <c r="Z17" s="31" t="n">
        <f aca="false">COUNTIF(C17:V17,4)</f>
        <v>1</v>
      </c>
      <c r="AA17" s="7" t="str">
        <f aca="false">IF(W17=0,"",INDEX(Config!$B$5:$B$9,W17))</f>
        <v>Medium-High</v>
      </c>
    </row>
    <row r="18" customFormat="false" ht="15" hidden="false" customHeight="false" outlineLevel="0" collapsed="false">
      <c r="A18" s="26" t="str">
        <f aca="false">Entities!A17</f>
        <v>SA</v>
      </c>
      <c r="B18" s="26" t="str">
        <f aca="false">Entities!B17</f>
        <v>Arab National Bank (affiliate)</v>
      </c>
      <c r="C18" s="31" t="n">
        <f aca="false">IF(COUNTIFS('FC Calculation'!$A$5:$A$214,$A18,'FC Calculation'!$D$5:$D$214,C$5,'FC Calculation'!$T$5:$T$214,"&gt;0")=0,"",SUMIFS('FC Calculation'!$T$5:$T$214,'FC Calculation'!$A$5:$A$214,$A18,'FC Calculation'!$D$5:$D$214,C$5))</f>
        <v>3</v>
      </c>
      <c r="D18" s="31" t="n">
        <f aca="false">IF(COUNTIFS('FC Calculation'!$A$5:$A$214,$A18,'FC Calculation'!$D$5:$D$214,D$5,'FC Calculation'!$T$5:$T$214,"&gt;0")=0,"",SUMIFS('FC Calculation'!$T$5:$T$214,'FC Calculation'!$A$5:$A$214,$A18,'FC Calculation'!$D$5:$D$214,D$5))</f>
        <v>3</v>
      </c>
      <c r="E18" s="31" t="n">
        <f aca="false">IF(COUNTIFS('FC Calculation'!$A$5:$A$214,$A18,'FC Calculation'!$D$5:$D$214,E$5,'FC Calculation'!$T$5:$T$214,"&gt;0")=0,"",SUMIFS('FC Calculation'!$T$5:$T$214,'FC Calculation'!$A$5:$A$214,$A18,'FC Calculation'!$D$5:$D$214,E$5))</f>
        <v>3</v>
      </c>
      <c r="F18" s="31" t="n">
        <f aca="false">IF(COUNTIFS('FC Calculation'!$A$5:$A$214,$A18,'FC Calculation'!$D$5:$D$214,F$5,'FC Calculation'!$T$5:$T$214,"&gt;0")=0,"",SUMIFS('FC Calculation'!$T$5:$T$214,'FC Calculation'!$A$5:$A$214,$A18,'FC Calculation'!$D$5:$D$214,F$5))</f>
        <v>3</v>
      </c>
      <c r="G18" s="31" t="n">
        <f aca="false">IF(COUNTIFS('FC Calculation'!$A$5:$A$214,$A18,'FC Calculation'!$D$5:$D$214,G$5,'FC Calculation'!$T$5:$T$214,"&gt;0")=0,"",SUMIFS('FC Calculation'!$T$5:$T$214,'FC Calculation'!$A$5:$A$214,$A18,'FC Calculation'!$D$5:$D$214,G$5))</f>
        <v>3</v>
      </c>
      <c r="H18" s="31" t="n">
        <f aca="false">IF(COUNTIFS('FC Calculation'!$A$5:$A$214,$A18,'FC Calculation'!$D$5:$D$214,H$5,'FC Calculation'!$T$5:$T$214,"&gt;0")=0,"",SUMIFS('FC Calculation'!$T$5:$T$214,'FC Calculation'!$A$5:$A$214,$A18,'FC Calculation'!$D$5:$D$214,H$5))</f>
        <v>3</v>
      </c>
      <c r="I18" s="31" t="n">
        <f aca="false">IF(COUNTIFS('FC Calculation'!$A$5:$A$214,$A18,'FC Calculation'!$D$5:$D$214,I$5,'FC Calculation'!$T$5:$T$214,"&gt;0")=0,"",SUMIFS('FC Calculation'!$T$5:$T$214,'FC Calculation'!$A$5:$A$214,$A18,'FC Calculation'!$D$5:$D$214,I$5))</f>
        <v>3</v>
      </c>
      <c r="J18" s="31" t="n">
        <f aca="false">IF(COUNTIFS('LxI Assessment'!$A$5:$A$394,$A18,'LxI Assessment'!$D$5:$D$394,J$5,'LxI Assessment'!$F$5:$F$394,"N/A")&gt;0,"N/A",IF(COUNTIFS('LxI Assessment'!$A$5:$A$394,$A18,'LxI Assessment'!$D$5:$D$394,J$5,'LxI Assessment'!$S$5:$S$394,"&gt;0")=0,"",SUMIFS('LxI Assessment'!$S$5:$S$394,'LxI Assessment'!$A$5:$A$394,$A18,'LxI Assessment'!$D$5:$D$394,J$5)))</f>
        <v>4</v>
      </c>
      <c r="K18" s="31" t="n">
        <f aca="false">IF(COUNTIFS('LxI Assessment'!$A$5:$A$394,$A18,'LxI Assessment'!$D$5:$D$394,K$5,'LxI Assessment'!$F$5:$F$394,"N/A")&gt;0,"N/A",IF(COUNTIFS('LxI Assessment'!$A$5:$A$394,$A18,'LxI Assessment'!$D$5:$D$394,K$5,'LxI Assessment'!$S$5:$S$394,"&gt;0")=0,"",SUMIFS('LxI Assessment'!$S$5:$S$394,'LxI Assessment'!$A$5:$A$394,$A18,'LxI Assessment'!$D$5:$D$394,K$5)))</f>
        <v>4</v>
      </c>
      <c r="L18" s="31" t="n">
        <f aca="false">IF(COUNTIFS('LxI Assessment'!$A$5:$A$394,$A18,'LxI Assessment'!$D$5:$D$394,L$5,'LxI Assessment'!$F$5:$F$394,"N/A")&gt;0,"N/A",IF(COUNTIFS('LxI Assessment'!$A$5:$A$394,$A18,'LxI Assessment'!$D$5:$D$394,L$5,'LxI Assessment'!$S$5:$S$394,"&gt;0")=0,"",SUMIFS('LxI Assessment'!$S$5:$S$394,'LxI Assessment'!$A$5:$A$394,$A18,'LxI Assessment'!$D$5:$D$394,L$5)))</f>
        <v>2</v>
      </c>
      <c r="M18" s="31" t="str">
        <f aca="false">IF(COUNTIFS('LxI Assessment'!$A$5:$A$394,$A18,'LxI Assessment'!$D$5:$D$394,M$5,'LxI Assessment'!$F$5:$F$394,"N/A")&gt;0,"N/A",IF(COUNTIFS('LxI Assessment'!$A$5:$A$394,$A18,'LxI Assessment'!$D$5:$D$394,M$5,'LxI Assessment'!$S$5:$S$394,"&gt;0")=0,"",SUMIFS('LxI Assessment'!$S$5:$S$394,'LxI Assessment'!$A$5:$A$394,$A18,'LxI Assessment'!$D$5:$D$394,M$5)))</f>
        <v>N/A</v>
      </c>
      <c r="N18" s="31" t="n">
        <f aca="false">IF(COUNTIFS('LxI Assessment'!$A$5:$A$394,$A18,'LxI Assessment'!$D$5:$D$394,N$5,'LxI Assessment'!$F$5:$F$394,"N/A")&gt;0,"N/A",IF(COUNTIFS('LxI Assessment'!$A$5:$A$394,$A18,'LxI Assessment'!$D$5:$D$394,N$5,'LxI Assessment'!$S$5:$S$394,"&gt;0")=0,"",SUMIFS('LxI Assessment'!$S$5:$S$394,'LxI Assessment'!$A$5:$A$394,$A18,'LxI Assessment'!$D$5:$D$394,N$5)))</f>
        <v>2</v>
      </c>
      <c r="O18" s="31" t="n">
        <f aca="false">IF(COUNTIFS('LxI Assessment'!$A$5:$A$394,$A18,'LxI Assessment'!$D$5:$D$394,O$5,'LxI Assessment'!$F$5:$F$394,"N/A")&gt;0,"N/A",IF(COUNTIFS('LxI Assessment'!$A$5:$A$394,$A18,'LxI Assessment'!$D$5:$D$394,O$5,'LxI Assessment'!$S$5:$S$394,"&gt;0")=0,"",SUMIFS('LxI Assessment'!$S$5:$S$394,'LxI Assessment'!$A$5:$A$394,$A18,'LxI Assessment'!$D$5:$D$394,O$5)))</f>
        <v>3</v>
      </c>
      <c r="P18" s="31" t="n">
        <f aca="false">IF(COUNTIFS('LxI Assessment'!$A$5:$A$394,$A18,'LxI Assessment'!$D$5:$D$394,P$5,'LxI Assessment'!$F$5:$F$394,"N/A")&gt;0,"N/A",IF(COUNTIFS('LxI Assessment'!$A$5:$A$394,$A18,'LxI Assessment'!$D$5:$D$394,P$5,'LxI Assessment'!$S$5:$S$394,"&gt;0")=0,"",SUMIFS('LxI Assessment'!$S$5:$S$394,'LxI Assessment'!$A$5:$A$394,$A18,'LxI Assessment'!$D$5:$D$394,P$5)))</f>
        <v>4</v>
      </c>
      <c r="Q18" s="31" t="n">
        <f aca="false">IF(COUNTIFS('LxI Assessment'!$A$5:$A$394,$A18,'LxI Assessment'!$D$5:$D$394,Q$5,'LxI Assessment'!$F$5:$F$394,"N/A")&gt;0,"N/A",IF(COUNTIFS('LxI Assessment'!$A$5:$A$394,$A18,'LxI Assessment'!$D$5:$D$394,Q$5,'LxI Assessment'!$S$5:$S$394,"&gt;0")=0,"",SUMIFS('LxI Assessment'!$S$5:$S$394,'LxI Assessment'!$A$5:$A$394,$A18,'LxI Assessment'!$D$5:$D$394,Q$5)))</f>
        <v>3</v>
      </c>
      <c r="R18" s="31" t="n">
        <f aca="false">IF(COUNTIFS('LxI Assessment'!$A$5:$A$394,$A18,'LxI Assessment'!$D$5:$D$394,R$5,'LxI Assessment'!$F$5:$F$394,"N/A")&gt;0,"N/A",IF(COUNTIFS('LxI Assessment'!$A$5:$A$394,$A18,'LxI Assessment'!$D$5:$D$394,R$5,'LxI Assessment'!$S$5:$S$394,"&gt;0")=0,"",SUMIFS('LxI Assessment'!$S$5:$S$394,'LxI Assessment'!$A$5:$A$394,$A18,'LxI Assessment'!$D$5:$D$394,R$5)))</f>
        <v>3</v>
      </c>
      <c r="S18" s="31" t="n">
        <f aca="false">IF(COUNTIFS('LxI Assessment'!$A$5:$A$394,$A18,'LxI Assessment'!$D$5:$D$394,S$5,'LxI Assessment'!$F$5:$F$394,"N/A")&gt;0,"N/A",IF(COUNTIFS('LxI Assessment'!$A$5:$A$394,$A18,'LxI Assessment'!$D$5:$D$394,S$5,'LxI Assessment'!$S$5:$S$394,"&gt;0")=0,"",SUMIFS('LxI Assessment'!$S$5:$S$394,'LxI Assessment'!$A$5:$A$394,$A18,'LxI Assessment'!$D$5:$D$394,S$5)))</f>
        <v>3</v>
      </c>
      <c r="T18" s="31" t="n">
        <f aca="false">IF(COUNTIFS('LxI Assessment'!$A$5:$A$394,$A18,'LxI Assessment'!$D$5:$D$394,T$5,'LxI Assessment'!$F$5:$F$394,"N/A")&gt;0,"N/A",IF(COUNTIFS('LxI Assessment'!$A$5:$A$394,$A18,'LxI Assessment'!$D$5:$D$394,T$5,'LxI Assessment'!$S$5:$S$394,"&gt;0")=0,"",SUMIFS('LxI Assessment'!$S$5:$S$394,'LxI Assessment'!$A$5:$A$394,$A18,'LxI Assessment'!$D$5:$D$394,T$5)))</f>
        <v>1</v>
      </c>
      <c r="U18" s="31" t="n">
        <f aca="false">IF(COUNTIFS('LxI Assessment'!$A$5:$A$394,$A18,'LxI Assessment'!$D$5:$D$394,U$5,'LxI Assessment'!$F$5:$F$394,"N/A")&gt;0,"N/A",IF(COUNTIFS('LxI Assessment'!$A$5:$A$394,$A18,'LxI Assessment'!$D$5:$D$394,U$5,'LxI Assessment'!$S$5:$S$394,"&gt;0")=0,"",SUMIFS('LxI Assessment'!$S$5:$S$394,'LxI Assessment'!$A$5:$A$394,$A18,'LxI Assessment'!$D$5:$D$394,U$5)))</f>
        <v>2</v>
      </c>
      <c r="V18" s="31" t="n">
        <f aca="false">IF(COUNTIFS('LxI Assessment'!$A$5:$A$394,$A18,'LxI Assessment'!$D$5:$D$394,V$5,'LxI Assessment'!$F$5:$F$394,"N/A")&gt;0,"N/A",IF(COUNTIFS('LxI Assessment'!$A$5:$A$394,$A18,'LxI Assessment'!$D$5:$D$394,V$5,'LxI Assessment'!$S$5:$S$394,"&gt;0")=0,"",SUMIFS('LxI Assessment'!$S$5:$S$394,'LxI Assessment'!$A$5:$A$394,$A18,'LxI Assessment'!$D$5:$D$394,V$5)))</f>
        <v>3</v>
      </c>
      <c r="W18" s="34" t="n">
        <f aca="false">MAX(C18:V18)</f>
        <v>4</v>
      </c>
      <c r="X18" s="29" t="n">
        <f aca="false">IFERROR(AVERAGE(C18:V18),"")</f>
        <v>2.89473684210526</v>
      </c>
      <c r="Y18" s="31" t="n">
        <f aca="false">COUNTIF(C18:V18,5)</f>
        <v>0</v>
      </c>
      <c r="Z18" s="31" t="n">
        <f aca="false">COUNTIF(C18:V18,4)</f>
        <v>3</v>
      </c>
      <c r="AA18" s="7" t="str">
        <f aca="false">IF(W18=0,"",INDEX(Config!$B$5:$B$9,W18))</f>
        <v>Medium-High</v>
      </c>
    </row>
    <row r="19" customFormat="false" ht="15" hidden="false" customHeight="false" outlineLevel="0" collapsed="false">
      <c r="A19" s="26" t="str">
        <f aca="false">Entities!A18</f>
        <v>OM</v>
      </c>
      <c r="B19" s="26" t="str">
        <f aca="false">Entities!B18</f>
        <v>Oman Arab Bank (affiliate)</v>
      </c>
      <c r="C19" s="31" t="n">
        <f aca="false">IF(COUNTIFS('FC Calculation'!$A$5:$A$214,$A19,'FC Calculation'!$D$5:$D$214,C$5,'FC Calculation'!$T$5:$T$214,"&gt;0")=0,"",SUMIFS('FC Calculation'!$T$5:$T$214,'FC Calculation'!$A$5:$A$214,$A19,'FC Calculation'!$D$5:$D$214,C$5))</f>
        <v>3</v>
      </c>
      <c r="D19" s="31" t="n">
        <f aca="false">IF(COUNTIFS('FC Calculation'!$A$5:$A$214,$A19,'FC Calculation'!$D$5:$D$214,D$5,'FC Calculation'!$T$5:$T$214,"&gt;0")=0,"",SUMIFS('FC Calculation'!$T$5:$T$214,'FC Calculation'!$A$5:$A$214,$A19,'FC Calculation'!$D$5:$D$214,D$5))</f>
        <v>3</v>
      </c>
      <c r="E19" s="31" t="n">
        <f aca="false">IF(COUNTIFS('FC Calculation'!$A$5:$A$214,$A19,'FC Calculation'!$D$5:$D$214,E$5,'FC Calculation'!$T$5:$T$214,"&gt;0")=0,"",SUMIFS('FC Calculation'!$T$5:$T$214,'FC Calculation'!$A$5:$A$214,$A19,'FC Calculation'!$D$5:$D$214,E$5))</f>
        <v>3</v>
      </c>
      <c r="F19" s="31" t="n">
        <f aca="false">IF(COUNTIFS('FC Calculation'!$A$5:$A$214,$A19,'FC Calculation'!$D$5:$D$214,F$5,'FC Calculation'!$T$5:$T$214,"&gt;0")=0,"",SUMIFS('FC Calculation'!$T$5:$T$214,'FC Calculation'!$A$5:$A$214,$A19,'FC Calculation'!$D$5:$D$214,F$5))</f>
        <v>3</v>
      </c>
      <c r="G19" s="31" t="n">
        <f aca="false">IF(COUNTIFS('FC Calculation'!$A$5:$A$214,$A19,'FC Calculation'!$D$5:$D$214,G$5,'FC Calculation'!$T$5:$T$214,"&gt;0")=0,"",SUMIFS('FC Calculation'!$T$5:$T$214,'FC Calculation'!$A$5:$A$214,$A19,'FC Calculation'!$D$5:$D$214,G$5))</f>
        <v>3</v>
      </c>
      <c r="H19" s="31" t="n">
        <f aca="false">IF(COUNTIFS('FC Calculation'!$A$5:$A$214,$A19,'FC Calculation'!$D$5:$D$214,H$5,'FC Calculation'!$T$5:$T$214,"&gt;0")=0,"",SUMIFS('FC Calculation'!$T$5:$T$214,'FC Calculation'!$A$5:$A$214,$A19,'FC Calculation'!$D$5:$D$214,H$5))</f>
        <v>3</v>
      </c>
      <c r="I19" s="31" t="n">
        <f aca="false">IF(COUNTIFS('FC Calculation'!$A$5:$A$214,$A19,'FC Calculation'!$D$5:$D$214,I$5,'FC Calculation'!$T$5:$T$214,"&gt;0")=0,"",SUMIFS('FC Calculation'!$T$5:$T$214,'FC Calculation'!$A$5:$A$214,$A19,'FC Calculation'!$D$5:$D$214,I$5))</f>
        <v>3</v>
      </c>
      <c r="J19" s="31" t="n">
        <f aca="false">IF(COUNTIFS('LxI Assessment'!$A$5:$A$394,$A19,'LxI Assessment'!$D$5:$D$394,J$5,'LxI Assessment'!$F$5:$F$394,"N/A")&gt;0,"N/A",IF(COUNTIFS('LxI Assessment'!$A$5:$A$394,$A19,'LxI Assessment'!$D$5:$D$394,J$5,'LxI Assessment'!$S$5:$S$394,"&gt;0")=0,"",SUMIFS('LxI Assessment'!$S$5:$S$394,'LxI Assessment'!$A$5:$A$394,$A19,'LxI Assessment'!$D$5:$D$394,J$5)))</f>
        <v>3</v>
      </c>
      <c r="K19" s="31" t="n">
        <f aca="false">IF(COUNTIFS('LxI Assessment'!$A$5:$A$394,$A19,'LxI Assessment'!$D$5:$D$394,K$5,'LxI Assessment'!$F$5:$F$394,"N/A")&gt;0,"N/A",IF(COUNTIFS('LxI Assessment'!$A$5:$A$394,$A19,'LxI Assessment'!$D$5:$D$394,K$5,'LxI Assessment'!$S$5:$S$394,"&gt;0")=0,"",SUMIFS('LxI Assessment'!$S$5:$S$394,'LxI Assessment'!$A$5:$A$394,$A19,'LxI Assessment'!$D$5:$D$394,K$5)))</f>
        <v>3</v>
      </c>
      <c r="L19" s="31" t="n">
        <f aca="false">IF(COUNTIFS('LxI Assessment'!$A$5:$A$394,$A19,'LxI Assessment'!$D$5:$D$394,L$5,'LxI Assessment'!$F$5:$F$394,"N/A")&gt;0,"N/A",IF(COUNTIFS('LxI Assessment'!$A$5:$A$394,$A19,'LxI Assessment'!$D$5:$D$394,L$5,'LxI Assessment'!$S$5:$S$394,"&gt;0")=0,"",SUMIFS('LxI Assessment'!$S$5:$S$394,'LxI Assessment'!$A$5:$A$394,$A19,'LxI Assessment'!$D$5:$D$394,L$5)))</f>
        <v>3</v>
      </c>
      <c r="M19" s="31" t="str">
        <f aca="false">IF(COUNTIFS('LxI Assessment'!$A$5:$A$394,$A19,'LxI Assessment'!$D$5:$D$394,M$5,'LxI Assessment'!$F$5:$F$394,"N/A")&gt;0,"N/A",IF(COUNTIFS('LxI Assessment'!$A$5:$A$394,$A19,'LxI Assessment'!$D$5:$D$394,M$5,'LxI Assessment'!$S$5:$S$394,"&gt;0")=0,"",SUMIFS('LxI Assessment'!$S$5:$S$394,'LxI Assessment'!$A$5:$A$394,$A19,'LxI Assessment'!$D$5:$D$394,M$5)))</f>
        <v>N/A</v>
      </c>
      <c r="N19" s="31" t="n">
        <f aca="false">IF(COUNTIFS('LxI Assessment'!$A$5:$A$394,$A19,'LxI Assessment'!$D$5:$D$394,N$5,'LxI Assessment'!$F$5:$F$394,"N/A")&gt;0,"N/A",IF(COUNTIFS('LxI Assessment'!$A$5:$A$394,$A19,'LxI Assessment'!$D$5:$D$394,N$5,'LxI Assessment'!$S$5:$S$394,"&gt;0")=0,"",SUMIFS('LxI Assessment'!$S$5:$S$394,'LxI Assessment'!$A$5:$A$394,$A19,'LxI Assessment'!$D$5:$D$394,N$5)))</f>
        <v>2</v>
      </c>
      <c r="O19" s="31" t="n">
        <f aca="false">IF(COUNTIFS('LxI Assessment'!$A$5:$A$394,$A19,'LxI Assessment'!$D$5:$D$394,O$5,'LxI Assessment'!$F$5:$F$394,"N/A")&gt;0,"N/A",IF(COUNTIFS('LxI Assessment'!$A$5:$A$394,$A19,'LxI Assessment'!$D$5:$D$394,O$5,'LxI Assessment'!$S$5:$S$394,"&gt;0")=0,"",SUMIFS('LxI Assessment'!$S$5:$S$394,'LxI Assessment'!$A$5:$A$394,$A19,'LxI Assessment'!$D$5:$D$394,O$5)))</f>
        <v>2</v>
      </c>
      <c r="P19" s="31" t="n">
        <f aca="false">IF(COUNTIFS('LxI Assessment'!$A$5:$A$394,$A19,'LxI Assessment'!$D$5:$D$394,P$5,'LxI Assessment'!$F$5:$F$394,"N/A")&gt;0,"N/A",IF(COUNTIFS('LxI Assessment'!$A$5:$A$394,$A19,'LxI Assessment'!$D$5:$D$394,P$5,'LxI Assessment'!$S$5:$S$394,"&gt;0")=0,"",SUMIFS('LxI Assessment'!$S$5:$S$394,'LxI Assessment'!$A$5:$A$394,$A19,'LxI Assessment'!$D$5:$D$394,P$5)))</f>
        <v>3</v>
      </c>
      <c r="Q19" s="31" t="n">
        <f aca="false">IF(COUNTIFS('LxI Assessment'!$A$5:$A$394,$A19,'LxI Assessment'!$D$5:$D$394,Q$5,'LxI Assessment'!$F$5:$F$394,"N/A")&gt;0,"N/A",IF(COUNTIFS('LxI Assessment'!$A$5:$A$394,$A19,'LxI Assessment'!$D$5:$D$394,Q$5,'LxI Assessment'!$S$5:$S$394,"&gt;0")=0,"",SUMIFS('LxI Assessment'!$S$5:$S$394,'LxI Assessment'!$A$5:$A$394,$A19,'LxI Assessment'!$D$5:$D$394,Q$5)))</f>
        <v>3</v>
      </c>
      <c r="R19" s="31" t="n">
        <f aca="false">IF(COUNTIFS('LxI Assessment'!$A$5:$A$394,$A19,'LxI Assessment'!$D$5:$D$394,R$5,'LxI Assessment'!$F$5:$F$394,"N/A")&gt;0,"N/A",IF(COUNTIFS('LxI Assessment'!$A$5:$A$394,$A19,'LxI Assessment'!$D$5:$D$394,R$5,'LxI Assessment'!$S$5:$S$394,"&gt;0")=0,"",SUMIFS('LxI Assessment'!$S$5:$S$394,'LxI Assessment'!$A$5:$A$394,$A19,'LxI Assessment'!$D$5:$D$394,R$5)))</f>
        <v>4</v>
      </c>
      <c r="S19" s="31" t="n">
        <f aca="false">IF(COUNTIFS('LxI Assessment'!$A$5:$A$394,$A19,'LxI Assessment'!$D$5:$D$394,S$5,'LxI Assessment'!$F$5:$F$394,"N/A")&gt;0,"N/A",IF(COUNTIFS('LxI Assessment'!$A$5:$A$394,$A19,'LxI Assessment'!$D$5:$D$394,S$5,'LxI Assessment'!$S$5:$S$394,"&gt;0")=0,"",SUMIFS('LxI Assessment'!$S$5:$S$394,'LxI Assessment'!$A$5:$A$394,$A19,'LxI Assessment'!$D$5:$D$394,S$5)))</f>
        <v>1</v>
      </c>
      <c r="T19" s="31" t="n">
        <f aca="false">IF(COUNTIFS('LxI Assessment'!$A$5:$A$394,$A19,'LxI Assessment'!$D$5:$D$394,T$5,'LxI Assessment'!$F$5:$F$394,"N/A")&gt;0,"N/A",IF(COUNTIFS('LxI Assessment'!$A$5:$A$394,$A19,'LxI Assessment'!$D$5:$D$394,T$5,'LxI Assessment'!$S$5:$S$394,"&gt;0")=0,"",SUMIFS('LxI Assessment'!$S$5:$S$394,'LxI Assessment'!$A$5:$A$394,$A19,'LxI Assessment'!$D$5:$D$394,T$5)))</f>
        <v>3</v>
      </c>
      <c r="U19" s="31" t="n">
        <f aca="false">IF(COUNTIFS('LxI Assessment'!$A$5:$A$394,$A19,'LxI Assessment'!$D$5:$D$394,U$5,'LxI Assessment'!$F$5:$F$394,"N/A")&gt;0,"N/A",IF(COUNTIFS('LxI Assessment'!$A$5:$A$394,$A19,'LxI Assessment'!$D$5:$D$394,U$5,'LxI Assessment'!$S$5:$S$394,"&gt;0")=0,"",SUMIFS('LxI Assessment'!$S$5:$S$394,'LxI Assessment'!$A$5:$A$394,$A19,'LxI Assessment'!$D$5:$D$394,U$5)))</f>
        <v>3</v>
      </c>
      <c r="V19" s="31" t="n">
        <f aca="false">IF(COUNTIFS('LxI Assessment'!$A$5:$A$394,$A19,'LxI Assessment'!$D$5:$D$394,V$5,'LxI Assessment'!$F$5:$F$394,"N/A")&gt;0,"N/A",IF(COUNTIFS('LxI Assessment'!$A$5:$A$394,$A19,'LxI Assessment'!$D$5:$D$394,V$5,'LxI Assessment'!$S$5:$S$394,"&gt;0")=0,"",SUMIFS('LxI Assessment'!$S$5:$S$394,'LxI Assessment'!$A$5:$A$394,$A19,'LxI Assessment'!$D$5:$D$394,V$5)))</f>
        <v>4</v>
      </c>
      <c r="W19" s="34" t="n">
        <f aca="false">MAX(C19:V19)</f>
        <v>4</v>
      </c>
      <c r="X19" s="29" t="n">
        <f aca="false">IFERROR(AVERAGE(C19:V19),"")</f>
        <v>2.89473684210526</v>
      </c>
      <c r="Y19" s="31" t="n">
        <f aca="false">COUNTIF(C19:V19,5)</f>
        <v>0</v>
      </c>
      <c r="Z19" s="31" t="n">
        <f aca="false">COUNTIF(C19:V19,4)</f>
        <v>2</v>
      </c>
      <c r="AA19" s="7" t="str">
        <f aca="false">IF(W19=0,"",INDEX(Config!$B$5:$B$9,W19))</f>
        <v>Medium-High</v>
      </c>
    </row>
    <row r="20" customFormat="false" ht="15" hidden="false" customHeight="false" outlineLevel="0" collapsed="false">
      <c r="A20" s="26" t="str">
        <f aca="false">Entities!A19</f>
        <v>IQ</v>
      </c>
      <c r="B20" s="26" t="str">
        <f aca="false">Entities!B19</f>
        <v>Arab Bank Iraq</v>
      </c>
      <c r="C20" s="31" t="n">
        <f aca="false">IF(COUNTIFS('FC Calculation'!$A$5:$A$214,$A20,'FC Calculation'!$D$5:$D$214,C$5,'FC Calculation'!$T$5:$T$214,"&gt;0")=0,"",SUMIFS('FC Calculation'!$T$5:$T$214,'FC Calculation'!$A$5:$A$214,$A20,'FC Calculation'!$D$5:$D$214,C$5))</f>
        <v>4</v>
      </c>
      <c r="D20" s="31" t="n">
        <f aca="false">IF(COUNTIFS('FC Calculation'!$A$5:$A$214,$A20,'FC Calculation'!$D$5:$D$214,D$5,'FC Calculation'!$T$5:$T$214,"&gt;0")=0,"",SUMIFS('FC Calculation'!$T$5:$T$214,'FC Calculation'!$A$5:$A$214,$A20,'FC Calculation'!$D$5:$D$214,D$5))</f>
        <v>4</v>
      </c>
      <c r="E20" s="31" t="n">
        <f aca="false">IF(COUNTIFS('FC Calculation'!$A$5:$A$214,$A20,'FC Calculation'!$D$5:$D$214,E$5,'FC Calculation'!$T$5:$T$214,"&gt;0")=0,"",SUMIFS('FC Calculation'!$T$5:$T$214,'FC Calculation'!$A$5:$A$214,$A20,'FC Calculation'!$D$5:$D$214,E$5))</f>
        <v>4</v>
      </c>
      <c r="F20" s="31" t="n">
        <f aca="false">IF(COUNTIFS('FC Calculation'!$A$5:$A$214,$A20,'FC Calculation'!$D$5:$D$214,F$5,'FC Calculation'!$T$5:$T$214,"&gt;0")=0,"",SUMIFS('FC Calculation'!$T$5:$T$214,'FC Calculation'!$A$5:$A$214,$A20,'FC Calculation'!$D$5:$D$214,F$5))</f>
        <v>4</v>
      </c>
      <c r="G20" s="31" t="n">
        <f aca="false">IF(COUNTIFS('FC Calculation'!$A$5:$A$214,$A20,'FC Calculation'!$D$5:$D$214,G$5,'FC Calculation'!$T$5:$T$214,"&gt;0")=0,"",SUMIFS('FC Calculation'!$T$5:$T$214,'FC Calculation'!$A$5:$A$214,$A20,'FC Calculation'!$D$5:$D$214,G$5))</f>
        <v>4</v>
      </c>
      <c r="H20" s="31" t="n">
        <f aca="false">IF(COUNTIFS('FC Calculation'!$A$5:$A$214,$A20,'FC Calculation'!$D$5:$D$214,H$5,'FC Calculation'!$T$5:$T$214,"&gt;0")=0,"",SUMIFS('FC Calculation'!$T$5:$T$214,'FC Calculation'!$A$5:$A$214,$A20,'FC Calculation'!$D$5:$D$214,H$5))</f>
        <v>4</v>
      </c>
      <c r="I20" s="31" t="n">
        <f aca="false">IF(COUNTIFS('FC Calculation'!$A$5:$A$214,$A20,'FC Calculation'!$D$5:$D$214,I$5,'FC Calculation'!$T$5:$T$214,"&gt;0")=0,"",SUMIFS('FC Calculation'!$T$5:$T$214,'FC Calculation'!$A$5:$A$214,$A20,'FC Calculation'!$D$5:$D$214,I$5))</f>
        <v>4</v>
      </c>
      <c r="J20" s="31" t="n">
        <f aca="false">IF(COUNTIFS('LxI Assessment'!$A$5:$A$394,$A20,'LxI Assessment'!$D$5:$D$394,J$5,'LxI Assessment'!$F$5:$F$394,"N/A")&gt;0,"N/A",IF(COUNTIFS('LxI Assessment'!$A$5:$A$394,$A20,'LxI Assessment'!$D$5:$D$394,J$5,'LxI Assessment'!$S$5:$S$394,"&gt;0")=0,"",SUMIFS('LxI Assessment'!$S$5:$S$394,'LxI Assessment'!$A$5:$A$394,$A20,'LxI Assessment'!$D$5:$D$394,J$5)))</f>
        <v>5</v>
      </c>
      <c r="K20" s="31" t="n">
        <f aca="false">IF(COUNTIFS('LxI Assessment'!$A$5:$A$394,$A20,'LxI Assessment'!$D$5:$D$394,K$5,'LxI Assessment'!$F$5:$F$394,"N/A")&gt;0,"N/A",IF(COUNTIFS('LxI Assessment'!$A$5:$A$394,$A20,'LxI Assessment'!$D$5:$D$394,K$5,'LxI Assessment'!$S$5:$S$394,"&gt;0")=0,"",SUMIFS('LxI Assessment'!$S$5:$S$394,'LxI Assessment'!$A$5:$A$394,$A20,'LxI Assessment'!$D$5:$D$394,K$5)))</f>
        <v>3</v>
      </c>
      <c r="L20" s="31" t="n">
        <f aca="false">IF(COUNTIFS('LxI Assessment'!$A$5:$A$394,$A20,'LxI Assessment'!$D$5:$D$394,L$5,'LxI Assessment'!$F$5:$F$394,"N/A")&gt;0,"N/A",IF(COUNTIFS('LxI Assessment'!$A$5:$A$394,$A20,'LxI Assessment'!$D$5:$D$394,L$5,'LxI Assessment'!$S$5:$S$394,"&gt;0")=0,"",SUMIFS('LxI Assessment'!$S$5:$S$394,'LxI Assessment'!$A$5:$A$394,$A20,'LxI Assessment'!$D$5:$D$394,L$5)))</f>
        <v>5</v>
      </c>
      <c r="M20" s="31" t="str">
        <f aca="false">IF(COUNTIFS('LxI Assessment'!$A$5:$A$394,$A20,'LxI Assessment'!$D$5:$D$394,M$5,'LxI Assessment'!$F$5:$F$394,"N/A")&gt;0,"N/A",IF(COUNTIFS('LxI Assessment'!$A$5:$A$394,$A20,'LxI Assessment'!$D$5:$D$394,M$5,'LxI Assessment'!$S$5:$S$394,"&gt;0")=0,"",SUMIFS('LxI Assessment'!$S$5:$S$394,'LxI Assessment'!$A$5:$A$394,$A20,'LxI Assessment'!$D$5:$D$394,M$5)))</f>
        <v>N/A</v>
      </c>
      <c r="N20" s="31" t="n">
        <f aca="false">IF(COUNTIFS('LxI Assessment'!$A$5:$A$394,$A20,'LxI Assessment'!$D$5:$D$394,N$5,'LxI Assessment'!$F$5:$F$394,"N/A")&gt;0,"N/A",IF(COUNTIFS('LxI Assessment'!$A$5:$A$394,$A20,'LxI Assessment'!$D$5:$D$394,N$5,'LxI Assessment'!$S$5:$S$394,"&gt;0")=0,"",SUMIFS('LxI Assessment'!$S$5:$S$394,'LxI Assessment'!$A$5:$A$394,$A20,'LxI Assessment'!$D$5:$D$394,N$5)))</f>
        <v>4</v>
      </c>
      <c r="O20" s="31" t="n">
        <f aca="false">IF(COUNTIFS('LxI Assessment'!$A$5:$A$394,$A20,'LxI Assessment'!$D$5:$D$394,O$5,'LxI Assessment'!$F$5:$F$394,"N/A")&gt;0,"N/A",IF(COUNTIFS('LxI Assessment'!$A$5:$A$394,$A20,'LxI Assessment'!$D$5:$D$394,O$5,'LxI Assessment'!$S$5:$S$394,"&gt;0")=0,"",SUMIFS('LxI Assessment'!$S$5:$S$394,'LxI Assessment'!$A$5:$A$394,$A20,'LxI Assessment'!$D$5:$D$394,O$5)))</f>
        <v>4</v>
      </c>
      <c r="P20" s="31" t="n">
        <f aca="false">IF(COUNTIFS('LxI Assessment'!$A$5:$A$394,$A20,'LxI Assessment'!$D$5:$D$394,P$5,'LxI Assessment'!$F$5:$F$394,"N/A")&gt;0,"N/A",IF(COUNTIFS('LxI Assessment'!$A$5:$A$394,$A20,'LxI Assessment'!$D$5:$D$394,P$5,'LxI Assessment'!$S$5:$S$394,"&gt;0")=0,"",SUMIFS('LxI Assessment'!$S$5:$S$394,'LxI Assessment'!$A$5:$A$394,$A20,'LxI Assessment'!$D$5:$D$394,P$5)))</f>
        <v>5</v>
      </c>
      <c r="Q20" s="31" t="n">
        <f aca="false">IF(COUNTIFS('LxI Assessment'!$A$5:$A$394,$A20,'LxI Assessment'!$D$5:$D$394,Q$5,'LxI Assessment'!$F$5:$F$394,"N/A")&gt;0,"N/A",IF(COUNTIFS('LxI Assessment'!$A$5:$A$394,$A20,'LxI Assessment'!$D$5:$D$394,Q$5,'LxI Assessment'!$S$5:$S$394,"&gt;0")=0,"",SUMIFS('LxI Assessment'!$S$5:$S$394,'LxI Assessment'!$A$5:$A$394,$A20,'LxI Assessment'!$D$5:$D$394,Q$5)))</f>
        <v>5</v>
      </c>
      <c r="R20" s="31" t="n">
        <f aca="false">IF(COUNTIFS('LxI Assessment'!$A$5:$A$394,$A20,'LxI Assessment'!$D$5:$D$394,R$5,'LxI Assessment'!$F$5:$F$394,"N/A")&gt;0,"N/A",IF(COUNTIFS('LxI Assessment'!$A$5:$A$394,$A20,'LxI Assessment'!$D$5:$D$394,R$5,'LxI Assessment'!$S$5:$S$394,"&gt;0")=0,"",SUMIFS('LxI Assessment'!$S$5:$S$394,'LxI Assessment'!$A$5:$A$394,$A20,'LxI Assessment'!$D$5:$D$394,R$5)))</f>
        <v>5</v>
      </c>
      <c r="S20" s="31" t="n">
        <f aca="false">IF(COUNTIFS('LxI Assessment'!$A$5:$A$394,$A20,'LxI Assessment'!$D$5:$D$394,S$5,'LxI Assessment'!$F$5:$F$394,"N/A")&gt;0,"N/A",IF(COUNTIFS('LxI Assessment'!$A$5:$A$394,$A20,'LxI Assessment'!$D$5:$D$394,S$5,'LxI Assessment'!$S$5:$S$394,"&gt;0")=0,"",SUMIFS('LxI Assessment'!$S$5:$S$394,'LxI Assessment'!$A$5:$A$394,$A20,'LxI Assessment'!$D$5:$D$394,S$5)))</f>
        <v>4</v>
      </c>
      <c r="T20" s="31" t="n">
        <f aca="false">IF(COUNTIFS('LxI Assessment'!$A$5:$A$394,$A20,'LxI Assessment'!$D$5:$D$394,T$5,'LxI Assessment'!$F$5:$F$394,"N/A")&gt;0,"N/A",IF(COUNTIFS('LxI Assessment'!$A$5:$A$394,$A20,'LxI Assessment'!$D$5:$D$394,T$5,'LxI Assessment'!$S$5:$S$394,"&gt;0")=0,"",SUMIFS('LxI Assessment'!$S$5:$S$394,'LxI Assessment'!$A$5:$A$394,$A20,'LxI Assessment'!$D$5:$D$394,T$5)))</f>
        <v>3</v>
      </c>
      <c r="U20" s="31" t="n">
        <f aca="false">IF(COUNTIFS('LxI Assessment'!$A$5:$A$394,$A20,'LxI Assessment'!$D$5:$D$394,U$5,'LxI Assessment'!$F$5:$F$394,"N/A")&gt;0,"N/A",IF(COUNTIFS('LxI Assessment'!$A$5:$A$394,$A20,'LxI Assessment'!$D$5:$D$394,U$5,'LxI Assessment'!$S$5:$S$394,"&gt;0")=0,"",SUMIFS('LxI Assessment'!$S$5:$S$394,'LxI Assessment'!$A$5:$A$394,$A20,'LxI Assessment'!$D$5:$D$394,U$5)))</f>
        <v>5</v>
      </c>
      <c r="V20" s="31" t="n">
        <f aca="false">IF(COUNTIFS('LxI Assessment'!$A$5:$A$394,$A20,'LxI Assessment'!$D$5:$D$394,V$5,'LxI Assessment'!$F$5:$F$394,"N/A")&gt;0,"N/A",IF(COUNTIFS('LxI Assessment'!$A$5:$A$394,$A20,'LxI Assessment'!$D$5:$D$394,V$5,'LxI Assessment'!$S$5:$S$394,"&gt;0")=0,"",SUMIFS('LxI Assessment'!$S$5:$S$394,'LxI Assessment'!$A$5:$A$394,$A20,'LxI Assessment'!$D$5:$D$394,V$5)))</f>
        <v>4</v>
      </c>
      <c r="W20" s="34" t="n">
        <f aca="false">MAX(C20:V20)</f>
        <v>5</v>
      </c>
      <c r="X20" s="29" t="n">
        <f aca="false">IFERROR(AVERAGE(C20:V20),"")</f>
        <v>4.21052631578947</v>
      </c>
      <c r="Y20" s="31" t="n">
        <f aca="false">COUNTIF(C20:V20,5)</f>
        <v>6</v>
      </c>
      <c r="Z20" s="31" t="n">
        <f aca="false">COUNTIF(C20:V20,4)</f>
        <v>11</v>
      </c>
      <c r="AA20" s="7" t="str">
        <f aca="false">IF(W20=0,"",INDEX(Config!$B$5:$B$9,W20))</f>
        <v>High</v>
      </c>
    </row>
    <row r="21" customFormat="false" ht="15" hidden="false" customHeight="false" outlineLevel="0" collapsed="false">
      <c r="A21" s="26" t="str">
        <f aca="false">Entities!A20</f>
        <v>YE</v>
      </c>
      <c r="B21" s="26" t="str">
        <f aca="false">Entities!B20</f>
        <v>Arab Bank – Yemen</v>
      </c>
      <c r="C21" s="31" t="n">
        <f aca="false">IF(COUNTIFS('FC Calculation'!$A$5:$A$214,$A21,'FC Calculation'!$D$5:$D$214,C$5,'FC Calculation'!$T$5:$T$214,"&gt;0")=0,"",SUMIFS('FC Calculation'!$T$5:$T$214,'FC Calculation'!$A$5:$A$214,$A21,'FC Calculation'!$D$5:$D$214,C$5))</f>
        <v>4</v>
      </c>
      <c r="D21" s="31" t="n">
        <f aca="false">IF(COUNTIFS('FC Calculation'!$A$5:$A$214,$A21,'FC Calculation'!$D$5:$D$214,D$5,'FC Calculation'!$T$5:$T$214,"&gt;0")=0,"",SUMIFS('FC Calculation'!$T$5:$T$214,'FC Calculation'!$A$5:$A$214,$A21,'FC Calculation'!$D$5:$D$214,D$5))</f>
        <v>4</v>
      </c>
      <c r="E21" s="31" t="n">
        <f aca="false">IF(COUNTIFS('FC Calculation'!$A$5:$A$214,$A21,'FC Calculation'!$D$5:$D$214,E$5,'FC Calculation'!$T$5:$T$214,"&gt;0")=0,"",SUMIFS('FC Calculation'!$T$5:$T$214,'FC Calculation'!$A$5:$A$214,$A21,'FC Calculation'!$D$5:$D$214,E$5))</f>
        <v>4</v>
      </c>
      <c r="F21" s="31" t="n">
        <f aca="false">IF(COUNTIFS('FC Calculation'!$A$5:$A$214,$A21,'FC Calculation'!$D$5:$D$214,F$5,'FC Calculation'!$T$5:$T$214,"&gt;0")=0,"",SUMIFS('FC Calculation'!$T$5:$T$214,'FC Calculation'!$A$5:$A$214,$A21,'FC Calculation'!$D$5:$D$214,F$5))</f>
        <v>4</v>
      </c>
      <c r="G21" s="31" t="n">
        <f aca="false">IF(COUNTIFS('FC Calculation'!$A$5:$A$214,$A21,'FC Calculation'!$D$5:$D$214,G$5,'FC Calculation'!$T$5:$T$214,"&gt;0")=0,"",SUMIFS('FC Calculation'!$T$5:$T$214,'FC Calculation'!$A$5:$A$214,$A21,'FC Calculation'!$D$5:$D$214,G$5))</f>
        <v>4</v>
      </c>
      <c r="H21" s="31" t="n">
        <f aca="false">IF(COUNTIFS('FC Calculation'!$A$5:$A$214,$A21,'FC Calculation'!$D$5:$D$214,H$5,'FC Calculation'!$T$5:$T$214,"&gt;0")=0,"",SUMIFS('FC Calculation'!$T$5:$T$214,'FC Calculation'!$A$5:$A$214,$A21,'FC Calculation'!$D$5:$D$214,H$5))</f>
        <v>4</v>
      </c>
      <c r="I21" s="31" t="n">
        <f aca="false">IF(COUNTIFS('FC Calculation'!$A$5:$A$214,$A21,'FC Calculation'!$D$5:$D$214,I$5,'FC Calculation'!$T$5:$T$214,"&gt;0")=0,"",SUMIFS('FC Calculation'!$T$5:$T$214,'FC Calculation'!$A$5:$A$214,$A21,'FC Calculation'!$D$5:$D$214,I$5))</f>
        <v>4</v>
      </c>
      <c r="J21" s="31" t="n">
        <f aca="false">IF(COUNTIFS('LxI Assessment'!$A$5:$A$394,$A21,'LxI Assessment'!$D$5:$D$394,J$5,'LxI Assessment'!$F$5:$F$394,"N/A")&gt;0,"N/A",IF(COUNTIFS('LxI Assessment'!$A$5:$A$394,$A21,'LxI Assessment'!$D$5:$D$394,J$5,'LxI Assessment'!$S$5:$S$394,"&gt;0")=0,"",SUMIFS('LxI Assessment'!$S$5:$S$394,'LxI Assessment'!$A$5:$A$394,$A21,'LxI Assessment'!$D$5:$D$394,J$5)))</f>
        <v>5</v>
      </c>
      <c r="K21" s="31" t="n">
        <f aca="false">IF(COUNTIFS('LxI Assessment'!$A$5:$A$394,$A21,'LxI Assessment'!$D$5:$D$394,K$5,'LxI Assessment'!$F$5:$F$394,"N/A")&gt;0,"N/A",IF(COUNTIFS('LxI Assessment'!$A$5:$A$394,$A21,'LxI Assessment'!$D$5:$D$394,K$5,'LxI Assessment'!$S$5:$S$394,"&gt;0")=0,"",SUMIFS('LxI Assessment'!$S$5:$S$394,'LxI Assessment'!$A$5:$A$394,$A21,'LxI Assessment'!$D$5:$D$394,K$5)))</f>
        <v>3</v>
      </c>
      <c r="L21" s="31" t="n">
        <f aca="false">IF(COUNTIFS('LxI Assessment'!$A$5:$A$394,$A21,'LxI Assessment'!$D$5:$D$394,L$5,'LxI Assessment'!$F$5:$F$394,"N/A")&gt;0,"N/A",IF(COUNTIFS('LxI Assessment'!$A$5:$A$394,$A21,'LxI Assessment'!$D$5:$D$394,L$5,'LxI Assessment'!$S$5:$S$394,"&gt;0")=0,"",SUMIFS('LxI Assessment'!$S$5:$S$394,'LxI Assessment'!$A$5:$A$394,$A21,'LxI Assessment'!$D$5:$D$394,L$5)))</f>
        <v>4</v>
      </c>
      <c r="M21" s="31" t="str">
        <f aca="false">IF(COUNTIFS('LxI Assessment'!$A$5:$A$394,$A21,'LxI Assessment'!$D$5:$D$394,M$5,'LxI Assessment'!$F$5:$F$394,"N/A")&gt;0,"N/A",IF(COUNTIFS('LxI Assessment'!$A$5:$A$394,$A21,'LxI Assessment'!$D$5:$D$394,M$5,'LxI Assessment'!$S$5:$S$394,"&gt;0")=0,"",SUMIFS('LxI Assessment'!$S$5:$S$394,'LxI Assessment'!$A$5:$A$394,$A21,'LxI Assessment'!$D$5:$D$394,M$5)))</f>
        <v>N/A</v>
      </c>
      <c r="N21" s="31" t="n">
        <f aca="false">IF(COUNTIFS('LxI Assessment'!$A$5:$A$394,$A21,'LxI Assessment'!$D$5:$D$394,N$5,'LxI Assessment'!$F$5:$F$394,"N/A")&gt;0,"N/A",IF(COUNTIFS('LxI Assessment'!$A$5:$A$394,$A21,'LxI Assessment'!$D$5:$D$394,N$5,'LxI Assessment'!$S$5:$S$394,"&gt;0")=0,"",SUMIFS('LxI Assessment'!$S$5:$S$394,'LxI Assessment'!$A$5:$A$394,$A21,'LxI Assessment'!$D$5:$D$394,N$5)))</f>
        <v>5</v>
      </c>
      <c r="O21" s="31" t="n">
        <f aca="false">IF(COUNTIFS('LxI Assessment'!$A$5:$A$394,$A21,'LxI Assessment'!$D$5:$D$394,O$5,'LxI Assessment'!$F$5:$F$394,"N/A")&gt;0,"N/A",IF(COUNTIFS('LxI Assessment'!$A$5:$A$394,$A21,'LxI Assessment'!$D$5:$D$394,O$5,'LxI Assessment'!$S$5:$S$394,"&gt;0")=0,"",SUMIFS('LxI Assessment'!$S$5:$S$394,'LxI Assessment'!$A$5:$A$394,$A21,'LxI Assessment'!$D$5:$D$394,O$5)))</f>
        <v>5</v>
      </c>
      <c r="P21" s="31" t="n">
        <f aca="false">IF(COUNTIFS('LxI Assessment'!$A$5:$A$394,$A21,'LxI Assessment'!$D$5:$D$394,P$5,'LxI Assessment'!$F$5:$F$394,"N/A")&gt;0,"N/A",IF(COUNTIFS('LxI Assessment'!$A$5:$A$394,$A21,'LxI Assessment'!$D$5:$D$394,P$5,'LxI Assessment'!$S$5:$S$394,"&gt;0")=0,"",SUMIFS('LxI Assessment'!$S$5:$S$394,'LxI Assessment'!$A$5:$A$394,$A21,'LxI Assessment'!$D$5:$D$394,P$5)))</f>
        <v>5</v>
      </c>
      <c r="Q21" s="31" t="n">
        <f aca="false">IF(COUNTIFS('LxI Assessment'!$A$5:$A$394,$A21,'LxI Assessment'!$D$5:$D$394,Q$5,'LxI Assessment'!$F$5:$F$394,"N/A")&gt;0,"N/A",IF(COUNTIFS('LxI Assessment'!$A$5:$A$394,$A21,'LxI Assessment'!$D$5:$D$394,Q$5,'LxI Assessment'!$S$5:$S$394,"&gt;0")=0,"",SUMIFS('LxI Assessment'!$S$5:$S$394,'LxI Assessment'!$A$5:$A$394,$A21,'LxI Assessment'!$D$5:$D$394,Q$5)))</f>
        <v>4</v>
      </c>
      <c r="R21" s="31" t="n">
        <f aca="false">IF(COUNTIFS('LxI Assessment'!$A$5:$A$394,$A21,'LxI Assessment'!$D$5:$D$394,R$5,'LxI Assessment'!$F$5:$F$394,"N/A")&gt;0,"N/A",IF(COUNTIFS('LxI Assessment'!$A$5:$A$394,$A21,'LxI Assessment'!$D$5:$D$394,R$5,'LxI Assessment'!$S$5:$S$394,"&gt;0")=0,"",SUMIFS('LxI Assessment'!$S$5:$S$394,'LxI Assessment'!$A$5:$A$394,$A21,'LxI Assessment'!$D$5:$D$394,R$5)))</f>
        <v>5</v>
      </c>
      <c r="S21" s="31" t="n">
        <f aca="false">IF(COUNTIFS('LxI Assessment'!$A$5:$A$394,$A21,'LxI Assessment'!$D$5:$D$394,S$5,'LxI Assessment'!$F$5:$F$394,"N/A")&gt;0,"N/A",IF(COUNTIFS('LxI Assessment'!$A$5:$A$394,$A21,'LxI Assessment'!$D$5:$D$394,S$5,'LxI Assessment'!$S$5:$S$394,"&gt;0")=0,"",SUMIFS('LxI Assessment'!$S$5:$S$394,'LxI Assessment'!$A$5:$A$394,$A21,'LxI Assessment'!$D$5:$D$394,S$5)))</f>
        <v>5</v>
      </c>
      <c r="T21" s="31" t="n">
        <f aca="false">IF(COUNTIFS('LxI Assessment'!$A$5:$A$394,$A21,'LxI Assessment'!$D$5:$D$394,T$5,'LxI Assessment'!$F$5:$F$394,"N/A")&gt;0,"N/A",IF(COUNTIFS('LxI Assessment'!$A$5:$A$394,$A21,'LxI Assessment'!$D$5:$D$394,T$5,'LxI Assessment'!$S$5:$S$394,"&gt;0")=0,"",SUMIFS('LxI Assessment'!$S$5:$S$394,'LxI Assessment'!$A$5:$A$394,$A21,'LxI Assessment'!$D$5:$D$394,T$5)))</f>
        <v>4</v>
      </c>
      <c r="U21" s="31" t="n">
        <f aca="false">IF(COUNTIFS('LxI Assessment'!$A$5:$A$394,$A21,'LxI Assessment'!$D$5:$D$394,U$5,'LxI Assessment'!$F$5:$F$394,"N/A")&gt;0,"N/A",IF(COUNTIFS('LxI Assessment'!$A$5:$A$394,$A21,'LxI Assessment'!$D$5:$D$394,U$5,'LxI Assessment'!$S$5:$S$394,"&gt;0")=0,"",SUMIFS('LxI Assessment'!$S$5:$S$394,'LxI Assessment'!$A$5:$A$394,$A21,'LxI Assessment'!$D$5:$D$394,U$5)))</f>
        <v>3</v>
      </c>
      <c r="V21" s="31" t="n">
        <f aca="false">IF(COUNTIFS('LxI Assessment'!$A$5:$A$394,$A21,'LxI Assessment'!$D$5:$D$394,V$5,'LxI Assessment'!$F$5:$F$394,"N/A")&gt;0,"N/A",IF(COUNTIFS('LxI Assessment'!$A$5:$A$394,$A21,'LxI Assessment'!$D$5:$D$394,V$5,'LxI Assessment'!$S$5:$S$394,"&gt;0")=0,"",SUMIFS('LxI Assessment'!$S$5:$S$394,'LxI Assessment'!$A$5:$A$394,$A21,'LxI Assessment'!$D$5:$D$394,V$5)))</f>
        <v>5</v>
      </c>
      <c r="W21" s="34" t="n">
        <f aca="false">MAX(C21:V21)</f>
        <v>5</v>
      </c>
      <c r="X21" s="29" t="n">
        <f aca="false">IFERROR(AVERAGE(C21:V21),"")</f>
        <v>4.26315789473684</v>
      </c>
      <c r="Y21" s="31" t="n">
        <f aca="false">COUNTIF(C21:V21,5)</f>
        <v>7</v>
      </c>
      <c r="Z21" s="31" t="n">
        <f aca="false">COUNTIF(C21:V21,4)</f>
        <v>10</v>
      </c>
      <c r="AA21" s="7" t="str">
        <f aca="false">IF(W21=0,"",INDEX(Config!$B$5:$B$9,W21))</f>
        <v>High</v>
      </c>
    </row>
    <row r="22" customFormat="false" ht="15" hidden="false" customHeight="false" outlineLevel="0" collapsed="false">
      <c r="A22" s="26" t="str">
        <f aca="false">Entities!A21</f>
        <v>EG</v>
      </c>
      <c r="B22" s="26" t="str">
        <f aca="false">Entities!B21</f>
        <v>Arab Bank – Egypt</v>
      </c>
      <c r="C22" s="31" t="n">
        <f aca="false">IF(COUNTIFS('FC Calculation'!$A$5:$A$214,$A22,'FC Calculation'!$D$5:$D$214,C$5,'FC Calculation'!$T$5:$T$214,"&gt;0")=0,"",SUMIFS('FC Calculation'!$T$5:$T$214,'FC Calculation'!$A$5:$A$214,$A22,'FC Calculation'!$D$5:$D$214,C$5))</f>
        <v>2</v>
      </c>
      <c r="D22" s="31" t="n">
        <f aca="false">IF(COUNTIFS('FC Calculation'!$A$5:$A$214,$A22,'FC Calculation'!$D$5:$D$214,D$5,'FC Calculation'!$T$5:$T$214,"&gt;0")=0,"",SUMIFS('FC Calculation'!$T$5:$T$214,'FC Calculation'!$A$5:$A$214,$A22,'FC Calculation'!$D$5:$D$214,D$5))</f>
        <v>2</v>
      </c>
      <c r="E22" s="31" t="n">
        <f aca="false">IF(COUNTIFS('FC Calculation'!$A$5:$A$214,$A22,'FC Calculation'!$D$5:$D$214,E$5,'FC Calculation'!$T$5:$T$214,"&gt;0")=0,"",SUMIFS('FC Calculation'!$T$5:$T$214,'FC Calculation'!$A$5:$A$214,$A22,'FC Calculation'!$D$5:$D$214,E$5))</f>
        <v>2</v>
      </c>
      <c r="F22" s="31" t="n">
        <f aca="false">IF(COUNTIFS('FC Calculation'!$A$5:$A$214,$A22,'FC Calculation'!$D$5:$D$214,F$5,'FC Calculation'!$T$5:$T$214,"&gt;0")=0,"",SUMIFS('FC Calculation'!$T$5:$T$214,'FC Calculation'!$A$5:$A$214,$A22,'FC Calculation'!$D$5:$D$214,F$5))</f>
        <v>2</v>
      </c>
      <c r="G22" s="31" t="n">
        <f aca="false">IF(COUNTIFS('FC Calculation'!$A$5:$A$214,$A22,'FC Calculation'!$D$5:$D$214,G$5,'FC Calculation'!$T$5:$T$214,"&gt;0")=0,"",SUMIFS('FC Calculation'!$T$5:$T$214,'FC Calculation'!$A$5:$A$214,$A22,'FC Calculation'!$D$5:$D$214,G$5))</f>
        <v>2</v>
      </c>
      <c r="H22" s="31" t="n">
        <f aca="false">IF(COUNTIFS('FC Calculation'!$A$5:$A$214,$A22,'FC Calculation'!$D$5:$D$214,H$5,'FC Calculation'!$T$5:$T$214,"&gt;0")=0,"",SUMIFS('FC Calculation'!$T$5:$T$214,'FC Calculation'!$A$5:$A$214,$A22,'FC Calculation'!$D$5:$D$214,H$5))</f>
        <v>3</v>
      </c>
      <c r="I22" s="31" t="n">
        <f aca="false">IF(COUNTIFS('FC Calculation'!$A$5:$A$214,$A22,'FC Calculation'!$D$5:$D$214,I$5,'FC Calculation'!$T$5:$T$214,"&gt;0")=0,"",SUMIFS('FC Calculation'!$T$5:$T$214,'FC Calculation'!$A$5:$A$214,$A22,'FC Calculation'!$D$5:$D$214,I$5))</f>
        <v>2</v>
      </c>
      <c r="J22" s="31" t="n">
        <f aca="false">IF(COUNTIFS('LxI Assessment'!$A$5:$A$394,$A22,'LxI Assessment'!$D$5:$D$394,J$5,'LxI Assessment'!$F$5:$F$394,"N/A")&gt;0,"N/A",IF(COUNTIFS('LxI Assessment'!$A$5:$A$394,$A22,'LxI Assessment'!$D$5:$D$394,J$5,'LxI Assessment'!$S$5:$S$394,"&gt;0")=0,"",SUMIFS('LxI Assessment'!$S$5:$S$394,'LxI Assessment'!$A$5:$A$394,$A22,'LxI Assessment'!$D$5:$D$394,J$5)))</f>
        <v>2</v>
      </c>
      <c r="K22" s="31" t="n">
        <f aca="false">IF(COUNTIFS('LxI Assessment'!$A$5:$A$394,$A22,'LxI Assessment'!$D$5:$D$394,K$5,'LxI Assessment'!$F$5:$F$394,"N/A")&gt;0,"N/A",IF(COUNTIFS('LxI Assessment'!$A$5:$A$394,$A22,'LxI Assessment'!$D$5:$D$394,K$5,'LxI Assessment'!$S$5:$S$394,"&gt;0")=0,"",SUMIFS('LxI Assessment'!$S$5:$S$394,'LxI Assessment'!$A$5:$A$394,$A22,'LxI Assessment'!$D$5:$D$394,K$5)))</f>
        <v>3</v>
      </c>
      <c r="L22" s="31" t="n">
        <f aca="false">IF(COUNTIFS('LxI Assessment'!$A$5:$A$394,$A22,'LxI Assessment'!$D$5:$D$394,L$5,'LxI Assessment'!$F$5:$F$394,"N/A")&gt;0,"N/A",IF(COUNTIFS('LxI Assessment'!$A$5:$A$394,$A22,'LxI Assessment'!$D$5:$D$394,L$5,'LxI Assessment'!$S$5:$S$394,"&gt;0")=0,"",SUMIFS('LxI Assessment'!$S$5:$S$394,'LxI Assessment'!$A$5:$A$394,$A22,'LxI Assessment'!$D$5:$D$394,L$5)))</f>
        <v>3</v>
      </c>
      <c r="M22" s="31" t="str">
        <f aca="false">IF(COUNTIFS('LxI Assessment'!$A$5:$A$394,$A22,'LxI Assessment'!$D$5:$D$394,M$5,'LxI Assessment'!$F$5:$F$394,"N/A")&gt;0,"N/A",IF(COUNTIFS('LxI Assessment'!$A$5:$A$394,$A22,'LxI Assessment'!$D$5:$D$394,M$5,'LxI Assessment'!$S$5:$S$394,"&gt;0")=0,"",SUMIFS('LxI Assessment'!$S$5:$S$394,'LxI Assessment'!$A$5:$A$394,$A22,'LxI Assessment'!$D$5:$D$394,M$5)))</f>
        <v>N/A</v>
      </c>
      <c r="N22" s="31" t="n">
        <f aca="false">IF(COUNTIFS('LxI Assessment'!$A$5:$A$394,$A22,'LxI Assessment'!$D$5:$D$394,N$5,'LxI Assessment'!$F$5:$F$394,"N/A")&gt;0,"N/A",IF(COUNTIFS('LxI Assessment'!$A$5:$A$394,$A22,'LxI Assessment'!$D$5:$D$394,N$5,'LxI Assessment'!$S$5:$S$394,"&gt;0")=0,"",SUMIFS('LxI Assessment'!$S$5:$S$394,'LxI Assessment'!$A$5:$A$394,$A22,'LxI Assessment'!$D$5:$D$394,N$5)))</f>
        <v>3</v>
      </c>
      <c r="O22" s="31" t="n">
        <f aca="false">IF(COUNTIFS('LxI Assessment'!$A$5:$A$394,$A22,'LxI Assessment'!$D$5:$D$394,O$5,'LxI Assessment'!$F$5:$F$394,"N/A")&gt;0,"N/A",IF(COUNTIFS('LxI Assessment'!$A$5:$A$394,$A22,'LxI Assessment'!$D$5:$D$394,O$5,'LxI Assessment'!$S$5:$S$394,"&gt;0")=0,"",SUMIFS('LxI Assessment'!$S$5:$S$394,'LxI Assessment'!$A$5:$A$394,$A22,'LxI Assessment'!$D$5:$D$394,O$5)))</f>
        <v>3</v>
      </c>
      <c r="P22" s="31" t="n">
        <f aca="false">IF(COUNTIFS('LxI Assessment'!$A$5:$A$394,$A22,'LxI Assessment'!$D$5:$D$394,P$5,'LxI Assessment'!$F$5:$F$394,"N/A")&gt;0,"N/A",IF(COUNTIFS('LxI Assessment'!$A$5:$A$394,$A22,'LxI Assessment'!$D$5:$D$394,P$5,'LxI Assessment'!$S$5:$S$394,"&gt;0")=0,"",SUMIFS('LxI Assessment'!$S$5:$S$394,'LxI Assessment'!$A$5:$A$394,$A22,'LxI Assessment'!$D$5:$D$394,P$5)))</f>
        <v>2</v>
      </c>
      <c r="Q22" s="31" t="n">
        <f aca="false">IF(COUNTIFS('LxI Assessment'!$A$5:$A$394,$A22,'LxI Assessment'!$D$5:$D$394,Q$5,'LxI Assessment'!$F$5:$F$394,"N/A")&gt;0,"N/A",IF(COUNTIFS('LxI Assessment'!$A$5:$A$394,$A22,'LxI Assessment'!$D$5:$D$394,Q$5,'LxI Assessment'!$S$5:$S$394,"&gt;0")=0,"",SUMIFS('LxI Assessment'!$S$5:$S$394,'LxI Assessment'!$A$5:$A$394,$A22,'LxI Assessment'!$D$5:$D$394,Q$5)))</f>
        <v>3</v>
      </c>
      <c r="R22" s="31" t="n">
        <f aca="false">IF(COUNTIFS('LxI Assessment'!$A$5:$A$394,$A22,'LxI Assessment'!$D$5:$D$394,R$5,'LxI Assessment'!$F$5:$F$394,"N/A")&gt;0,"N/A",IF(COUNTIFS('LxI Assessment'!$A$5:$A$394,$A22,'LxI Assessment'!$D$5:$D$394,R$5,'LxI Assessment'!$S$5:$S$394,"&gt;0")=0,"",SUMIFS('LxI Assessment'!$S$5:$S$394,'LxI Assessment'!$A$5:$A$394,$A22,'LxI Assessment'!$D$5:$D$394,R$5)))</f>
        <v>3</v>
      </c>
      <c r="S22" s="31" t="n">
        <f aca="false">IF(COUNTIFS('LxI Assessment'!$A$5:$A$394,$A22,'LxI Assessment'!$D$5:$D$394,S$5,'LxI Assessment'!$F$5:$F$394,"N/A")&gt;0,"N/A",IF(COUNTIFS('LxI Assessment'!$A$5:$A$394,$A22,'LxI Assessment'!$D$5:$D$394,S$5,'LxI Assessment'!$S$5:$S$394,"&gt;0")=0,"",SUMIFS('LxI Assessment'!$S$5:$S$394,'LxI Assessment'!$A$5:$A$394,$A22,'LxI Assessment'!$D$5:$D$394,S$5)))</f>
        <v>2</v>
      </c>
      <c r="T22" s="31" t="n">
        <f aca="false">IF(COUNTIFS('LxI Assessment'!$A$5:$A$394,$A22,'LxI Assessment'!$D$5:$D$394,T$5,'LxI Assessment'!$F$5:$F$394,"N/A")&gt;0,"N/A",IF(COUNTIFS('LxI Assessment'!$A$5:$A$394,$A22,'LxI Assessment'!$D$5:$D$394,T$5,'LxI Assessment'!$S$5:$S$394,"&gt;0")=0,"",SUMIFS('LxI Assessment'!$S$5:$S$394,'LxI Assessment'!$A$5:$A$394,$A22,'LxI Assessment'!$D$5:$D$394,T$5)))</f>
        <v>2</v>
      </c>
      <c r="U22" s="31" t="n">
        <f aca="false">IF(COUNTIFS('LxI Assessment'!$A$5:$A$394,$A22,'LxI Assessment'!$D$5:$D$394,U$5,'LxI Assessment'!$F$5:$F$394,"N/A")&gt;0,"N/A",IF(COUNTIFS('LxI Assessment'!$A$5:$A$394,$A22,'LxI Assessment'!$D$5:$D$394,U$5,'LxI Assessment'!$S$5:$S$394,"&gt;0")=0,"",SUMIFS('LxI Assessment'!$S$5:$S$394,'LxI Assessment'!$A$5:$A$394,$A22,'LxI Assessment'!$D$5:$D$394,U$5)))</f>
        <v>3</v>
      </c>
      <c r="V22" s="31" t="n">
        <f aca="false">IF(COUNTIFS('LxI Assessment'!$A$5:$A$394,$A22,'LxI Assessment'!$D$5:$D$394,V$5,'LxI Assessment'!$F$5:$F$394,"N/A")&gt;0,"N/A",IF(COUNTIFS('LxI Assessment'!$A$5:$A$394,$A22,'LxI Assessment'!$D$5:$D$394,V$5,'LxI Assessment'!$S$5:$S$394,"&gt;0")=0,"",SUMIFS('LxI Assessment'!$S$5:$S$394,'LxI Assessment'!$A$5:$A$394,$A22,'LxI Assessment'!$D$5:$D$394,V$5)))</f>
        <v>3</v>
      </c>
      <c r="W22" s="34" t="n">
        <f aca="false">MAX(C22:V22)</f>
        <v>3</v>
      </c>
      <c r="X22" s="29" t="n">
        <f aca="false">IFERROR(AVERAGE(C22:V22),"")</f>
        <v>2.47368421052632</v>
      </c>
      <c r="Y22" s="31" t="n">
        <f aca="false">COUNTIF(C22:V22,5)</f>
        <v>0</v>
      </c>
      <c r="Z22" s="31" t="n">
        <f aca="false">COUNTIF(C22:V22,4)</f>
        <v>0</v>
      </c>
      <c r="AA22" s="7" t="str">
        <f aca="false">IF(W22=0,"",INDEX(Config!$B$5:$B$9,W22))</f>
        <v>Medium</v>
      </c>
    </row>
    <row r="23" customFormat="false" ht="15" hidden="false" customHeight="false" outlineLevel="0" collapsed="false">
      <c r="A23" s="26" t="str">
        <f aca="false">Entities!A22</f>
        <v>DZ</v>
      </c>
      <c r="B23" s="26" t="str">
        <f aca="false">Entities!B22</f>
        <v>Arab Bank – Algeria</v>
      </c>
      <c r="C23" s="31" t="n">
        <f aca="false">IF(COUNTIFS('FC Calculation'!$A$5:$A$214,$A23,'FC Calculation'!$D$5:$D$214,C$5,'FC Calculation'!$T$5:$T$214,"&gt;0")=0,"",SUMIFS('FC Calculation'!$T$5:$T$214,'FC Calculation'!$A$5:$A$214,$A23,'FC Calculation'!$D$5:$D$214,C$5))</f>
        <v>3</v>
      </c>
      <c r="D23" s="31" t="n">
        <f aca="false">IF(COUNTIFS('FC Calculation'!$A$5:$A$214,$A23,'FC Calculation'!$D$5:$D$214,D$5,'FC Calculation'!$T$5:$T$214,"&gt;0")=0,"",SUMIFS('FC Calculation'!$T$5:$T$214,'FC Calculation'!$A$5:$A$214,$A23,'FC Calculation'!$D$5:$D$214,D$5))</f>
        <v>3</v>
      </c>
      <c r="E23" s="31" t="n">
        <f aca="false">IF(COUNTIFS('FC Calculation'!$A$5:$A$214,$A23,'FC Calculation'!$D$5:$D$214,E$5,'FC Calculation'!$T$5:$T$214,"&gt;0")=0,"",SUMIFS('FC Calculation'!$T$5:$T$214,'FC Calculation'!$A$5:$A$214,$A23,'FC Calculation'!$D$5:$D$214,E$5))</f>
        <v>3</v>
      </c>
      <c r="F23" s="31" t="n">
        <f aca="false">IF(COUNTIFS('FC Calculation'!$A$5:$A$214,$A23,'FC Calculation'!$D$5:$D$214,F$5,'FC Calculation'!$T$5:$T$214,"&gt;0")=0,"",SUMIFS('FC Calculation'!$T$5:$T$214,'FC Calculation'!$A$5:$A$214,$A23,'FC Calculation'!$D$5:$D$214,F$5))</f>
        <v>3</v>
      </c>
      <c r="G23" s="31" t="n">
        <f aca="false">IF(COUNTIFS('FC Calculation'!$A$5:$A$214,$A23,'FC Calculation'!$D$5:$D$214,G$5,'FC Calculation'!$T$5:$T$214,"&gt;0")=0,"",SUMIFS('FC Calculation'!$T$5:$T$214,'FC Calculation'!$A$5:$A$214,$A23,'FC Calculation'!$D$5:$D$214,G$5))</f>
        <v>3</v>
      </c>
      <c r="H23" s="31" t="n">
        <f aca="false">IF(COUNTIFS('FC Calculation'!$A$5:$A$214,$A23,'FC Calculation'!$D$5:$D$214,H$5,'FC Calculation'!$T$5:$T$214,"&gt;0")=0,"",SUMIFS('FC Calculation'!$T$5:$T$214,'FC Calculation'!$A$5:$A$214,$A23,'FC Calculation'!$D$5:$D$214,H$5))</f>
        <v>3</v>
      </c>
      <c r="I23" s="31" t="n">
        <f aca="false">IF(COUNTIFS('FC Calculation'!$A$5:$A$214,$A23,'FC Calculation'!$D$5:$D$214,I$5,'FC Calculation'!$T$5:$T$214,"&gt;0")=0,"",SUMIFS('FC Calculation'!$T$5:$T$214,'FC Calculation'!$A$5:$A$214,$A23,'FC Calculation'!$D$5:$D$214,I$5))</f>
        <v>3</v>
      </c>
      <c r="J23" s="31" t="n">
        <f aca="false">IF(COUNTIFS('LxI Assessment'!$A$5:$A$394,$A23,'LxI Assessment'!$D$5:$D$394,J$5,'LxI Assessment'!$F$5:$F$394,"N/A")&gt;0,"N/A",IF(COUNTIFS('LxI Assessment'!$A$5:$A$394,$A23,'LxI Assessment'!$D$5:$D$394,J$5,'LxI Assessment'!$S$5:$S$394,"&gt;0")=0,"",SUMIFS('LxI Assessment'!$S$5:$S$394,'LxI Assessment'!$A$5:$A$394,$A23,'LxI Assessment'!$D$5:$D$394,J$5)))</f>
        <v>3</v>
      </c>
      <c r="K23" s="31" t="n">
        <f aca="false">IF(COUNTIFS('LxI Assessment'!$A$5:$A$394,$A23,'LxI Assessment'!$D$5:$D$394,K$5,'LxI Assessment'!$F$5:$F$394,"N/A")&gt;0,"N/A",IF(COUNTIFS('LxI Assessment'!$A$5:$A$394,$A23,'LxI Assessment'!$D$5:$D$394,K$5,'LxI Assessment'!$S$5:$S$394,"&gt;0")=0,"",SUMIFS('LxI Assessment'!$S$5:$S$394,'LxI Assessment'!$A$5:$A$394,$A23,'LxI Assessment'!$D$5:$D$394,K$5)))</f>
        <v>3</v>
      </c>
      <c r="L23" s="31" t="n">
        <f aca="false">IF(COUNTIFS('LxI Assessment'!$A$5:$A$394,$A23,'LxI Assessment'!$D$5:$D$394,L$5,'LxI Assessment'!$F$5:$F$394,"N/A")&gt;0,"N/A",IF(COUNTIFS('LxI Assessment'!$A$5:$A$394,$A23,'LxI Assessment'!$D$5:$D$394,L$5,'LxI Assessment'!$S$5:$S$394,"&gt;0")=0,"",SUMIFS('LxI Assessment'!$S$5:$S$394,'LxI Assessment'!$A$5:$A$394,$A23,'LxI Assessment'!$D$5:$D$394,L$5)))</f>
        <v>3</v>
      </c>
      <c r="M23" s="31" t="str">
        <f aca="false">IF(COUNTIFS('LxI Assessment'!$A$5:$A$394,$A23,'LxI Assessment'!$D$5:$D$394,M$5,'LxI Assessment'!$F$5:$F$394,"N/A")&gt;0,"N/A",IF(COUNTIFS('LxI Assessment'!$A$5:$A$394,$A23,'LxI Assessment'!$D$5:$D$394,M$5,'LxI Assessment'!$S$5:$S$394,"&gt;0")=0,"",SUMIFS('LxI Assessment'!$S$5:$S$394,'LxI Assessment'!$A$5:$A$394,$A23,'LxI Assessment'!$D$5:$D$394,M$5)))</f>
        <v>N/A</v>
      </c>
      <c r="N23" s="31" t="n">
        <f aca="false">IF(COUNTIFS('LxI Assessment'!$A$5:$A$394,$A23,'LxI Assessment'!$D$5:$D$394,N$5,'LxI Assessment'!$F$5:$F$394,"N/A")&gt;0,"N/A",IF(COUNTIFS('LxI Assessment'!$A$5:$A$394,$A23,'LxI Assessment'!$D$5:$D$394,N$5,'LxI Assessment'!$S$5:$S$394,"&gt;0")=0,"",SUMIFS('LxI Assessment'!$S$5:$S$394,'LxI Assessment'!$A$5:$A$394,$A23,'LxI Assessment'!$D$5:$D$394,N$5)))</f>
        <v>3</v>
      </c>
      <c r="O23" s="31" t="n">
        <f aca="false">IF(COUNTIFS('LxI Assessment'!$A$5:$A$394,$A23,'LxI Assessment'!$D$5:$D$394,O$5,'LxI Assessment'!$F$5:$F$394,"N/A")&gt;0,"N/A",IF(COUNTIFS('LxI Assessment'!$A$5:$A$394,$A23,'LxI Assessment'!$D$5:$D$394,O$5,'LxI Assessment'!$S$5:$S$394,"&gt;0")=0,"",SUMIFS('LxI Assessment'!$S$5:$S$394,'LxI Assessment'!$A$5:$A$394,$A23,'LxI Assessment'!$D$5:$D$394,O$5)))</f>
        <v>4</v>
      </c>
      <c r="P23" s="31" t="n">
        <f aca="false">IF(COUNTIFS('LxI Assessment'!$A$5:$A$394,$A23,'LxI Assessment'!$D$5:$D$394,P$5,'LxI Assessment'!$F$5:$F$394,"N/A")&gt;0,"N/A",IF(COUNTIFS('LxI Assessment'!$A$5:$A$394,$A23,'LxI Assessment'!$D$5:$D$394,P$5,'LxI Assessment'!$S$5:$S$394,"&gt;0")=0,"",SUMIFS('LxI Assessment'!$S$5:$S$394,'LxI Assessment'!$A$5:$A$394,$A23,'LxI Assessment'!$D$5:$D$394,P$5)))</f>
        <v>4</v>
      </c>
      <c r="Q23" s="31" t="n">
        <f aca="false">IF(COUNTIFS('LxI Assessment'!$A$5:$A$394,$A23,'LxI Assessment'!$D$5:$D$394,Q$5,'LxI Assessment'!$F$5:$F$394,"N/A")&gt;0,"N/A",IF(COUNTIFS('LxI Assessment'!$A$5:$A$394,$A23,'LxI Assessment'!$D$5:$D$394,Q$5,'LxI Assessment'!$S$5:$S$394,"&gt;0")=0,"",SUMIFS('LxI Assessment'!$S$5:$S$394,'LxI Assessment'!$A$5:$A$394,$A23,'LxI Assessment'!$D$5:$D$394,Q$5)))</f>
        <v>3</v>
      </c>
      <c r="R23" s="31" t="n">
        <f aca="false">IF(COUNTIFS('LxI Assessment'!$A$5:$A$394,$A23,'LxI Assessment'!$D$5:$D$394,R$5,'LxI Assessment'!$F$5:$F$394,"N/A")&gt;0,"N/A",IF(COUNTIFS('LxI Assessment'!$A$5:$A$394,$A23,'LxI Assessment'!$D$5:$D$394,R$5,'LxI Assessment'!$S$5:$S$394,"&gt;0")=0,"",SUMIFS('LxI Assessment'!$S$5:$S$394,'LxI Assessment'!$A$5:$A$394,$A23,'LxI Assessment'!$D$5:$D$394,R$5)))</f>
        <v>4</v>
      </c>
      <c r="S23" s="31" t="n">
        <f aca="false">IF(COUNTIFS('LxI Assessment'!$A$5:$A$394,$A23,'LxI Assessment'!$D$5:$D$394,S$5,'LxI Assessment'!$F$5:$F$394,"N/A")&gt;0,"N/A",IF(COUNTIFS('LxI Assessment'!$A$5:$A$394,$A23,'LxI Assessment'!$D$5:$D$394,S$5,'LxI Assessment'!$S$5:$S$394,"&gt;0")=0,"",SUMIFS('LxI Assessment'!$S$5:$S$394,'LxI Assessment'!$A$5:$A$394,$A23,'LxI Assessment'!$D$5:$D$394,S$5)))</f>
        <v>3</v>
      </c>
      <c r="T23" s="31" t="n">
        <f aca="false">IF(COUNTIFS('LxI Assessment'!$A$5:$A$394,$A23,'LxI Assessment'!$D$5:$D$394,T$5,'LxI Assessment'!$F$5:$F$394,"N/A")&gt;0,"N/A",IF(COUNTIFS('LxI Assessment'!$A$5:$A$394,$A23,'LxI Assessment'!$D$5:$D$394,T$5,'LxI Assessment'!$S$5:$S$394,"&gt;0")=0,"",SUMIFS('LxI Assessment'!$S$5:$S$394,'LxI Assessment'!$A$5:$A$394,$A23,'LxI Assessment'!$D$5:$D$394,T$5)))</f>
        <v>4</v>
      </c>
      <c r="U23" s="31" t="n">
        <f aca="false">IF(COUNTIFS('LxI Assessment'!$A$5:$A$394,$A23,'LxI Assessment'!$D$5:$D$394,U$5,'LxI Assessment'!$F$5:$F$394,"N/A")&gt;0,"N/A",IF(COUNTIFS('LxI Assessment'!$A$5:$A$394,$A23,'LxI Assessment'!$D$5:$D$394,U$5,'LxI Assessment'!$S$5:$S$394,"&gt;0")=0,"",SUMIFS('LxI Assessment'!$S$5:$S$394,'LxI Assessment'!$A$5:$A$394,$A23,'LxI Assessment'!$D$5:$D$394,U$5)))</f>
        <v>3</v>
      </c>
      <c r="V23" s="31" t="n">
        <f aca="false">IF(COUNTIFS('LxI Assessment'!$A$5:$A$394,$A23,'LxI Assessment'!$D$5:$D$394,V$5,'LxI Assessment'!$F$5:$F$394,"N/A")&gt;0,"N/A",IF(COUNTIFS('LxI Assessment'!$A$5:$A$394,$A23,'LxI Assessment'!$D$5:$D$394,V$5,'LxI Assessment'!$S$5:$S$394,"&gt;0")=0,"",SUMIFS('LxI Assessment'!$S$5:$S$394,'LxI Assessment'!$A$5:$A$394,$A23,'LxI Assessment'!$D$5:$D$394,V$5)))</f>
        <v>3</v>
      </c>
      <c r="W23" s="34" t="n">
        <f aca="false">MAX(C23:V23)</f>
        <v>4</v>
      </c>
      <c r="X23" s="29" t="n">
        <f aca="false">IFERROR(AVERAGE(C23:V23),"")</f>
        <v>3.21052631578947</v>
      </c>
      <c r="Y23" s="31" t="n">
        <f aca="false">COUNTIF(C23:V23,5)</f>
        <v>0</v>
      </c>
      <c r="Z23" s="31" t="n">
        <f aca="false">COUNTIF(C23:V23,4)</f>
        <v>4</v>
      </c>
      <c r="AA23" s="7" t="str">
        <f aca="false">IF(W23=0,"",INDEX(Config!$B$5:$B$9,W23))</f>
        <v>Medium-High</v>
      </c>
    </row>
    <row r="24" customFormat="false" ht="15" hidden="false" customHeight="false" outlineLevel="0" collapsed="false">
      <c r="A24" s="26" t="str">
        <f aca="false">Entities!A23</f>
        <v>MA</v>
      </c>
      <c r="B24" s="26" t="str">
        <f aca="false">Entities!B23</f>
        <v>Arab Bank – Morocco</v>
      </c>
      <c r="C24" s="31" t="n">
        <f aca="false">IF(COUNTIFS('FC Calculation'!$A$5:$A$214,$A24,'FC Calculation'!$D$5:$D$214,C$5,'FC Calculation'!$T$5:$T$214,"&gt;0")=0,"",SUMIFS('FC Calculation'!$T$5:$T$214,'FC Calculation'!$A$5:$A$214,$A24,'FC Calculation'!$D$5:$D$214,C$5))</f>
        <v>3</v>
      </c>
      <c r="D24" s="31" t="n">
        <f aca="false">IF(COUNTIFS('FC Calculation'!$A$5:$A$214,$A24,'FC Calculation'!$D$5:$D$214,D$5,'FC Calculation'!$T$5:$T$214,"&gt;0")=0,"",SUMIFS('FC Calculation'!$T$5:$T$214,'FC Calculation'!$A$5:$A$214,$A24,'FC Calculation'!$D$5:$D$214,D$5))</f>
        <v>3</v>
      </c>
      <c r="E24" s="31" t="n">
        <f aca="false">IF(COUNTIFS('FC Calculation'!$A$5:$A$214,$A24,'FC Calculation'!$D$5:$D$214,E$5,'FC Calculation'!$T$5:$T$214,"&gt;0")=0,"",SUMIFS('FC Calculation'!$T$5:$T$214,'FC Calculation'!$A$5:$A$214,$A24,'FC Calculation'!$D$5:$D$214,E$5))</f>
        <v>3</v>
      </c>
      <c r="F24" s="31" t="n">
        <f aca="false">IF(COUNTIFS('FC Calculation'!$A$5:$A$214,$A24,'FC Calculation'!$D$5:$D$214,F$5,'FC Calculation'!$T$5:$T$214,"&gt;0")=0,"",SUMIFS('FC Calculation'!$T$5:$T$214,'FC Calculation'!$A$5:$A$214,$A24,'FC Calculation'!$D$5:$D$214,F$5))</f>
        <v>3</v>
      </c>
      <c r="G24" s="31" t="n">
        <f aca="false">IF(COUNTIFS('FC Calculation'!$A$5:$A$214,$A24,'FC Calculation'!$D$5:$D$214,G$5,'FC Calculation'!$T$5:$T$214,"&gt;0")=0,"",SUMIFS('FC Calculation'!$T$5:$T$214,'FC Calculation'!$A$5:$A$214,$A24,'FC Calculation'!$D$5:$D$214,G$5))</f>
        <v>3</v>
      </c>
      <c r="H24" s="31" t="n">
        <f aca="false">IF(COUNTIFS('FC Calculation'!$A$5:$A$214,$A24,'FC Calculation'!$D$5:$D$214,H$5,'FC Calculation'!$T$5:$T$214,"&gt;0")=0,"",SUMIFS('FC Calculation'!$T$5:$T$214,'FC Calculation'!$A$5:$A$214,$A24,'FC Calculation'!$D$5:$D$214,H$5))</f>
        <v>3</v>
      </c>
      <c r="I24" s="31" t="n">
        <f aca="false">IF(COUNTIFS('FC Calculation'!$A$5:$A$214,$A24,'FC Calculation'!$D$5:$D$214,I$5,'FC Calculation'!$T$5:$T$214,"&gt;0")=0,"",SUMIFS('FC Calculation'!$T$5:$T$214,'FC Calculation'!$A$5:$A$214,$A24,'FC Calculation'!$D$5:$D$214,I$5))</f>
        <v>3</v>
      </c>
      <c r="J24" s="31" t="n">
        <f aca="false">IF(COUNTIFS('LxI Assessment'!$A$5:$A$394,$A24,'LxI Assessment'!$D$5:$D$394,J$5,'LxI Assessment'!$F$5:$F$394,"N/A")&gt;0,"N/A",IF(COUNTIFS('LxI Assessment'!$A$5:$A$394,$A24,'LxI Assessment'!$D$5:$D$394,J$5,'LxI Assessment'!$S$5:$S$394,"&gt;0")=0,"",SUMIFS('LxI Assessment'!$S$5:$S$394,'LxI Assessment'!$A$5:$A$394,$A24,'LxI Assessment'!$D$5:$D$394,J$5)))</f>
        <v>3</v>
      </c>
      <c r="K24" s="31" t="n">
        <f aca="false">IF(COUNTIFS('LxI Assessment'!$A$5:$A$394,$A24,'LxI Assessment'!$D$5:$D$394,K$5,'LxI Assessment'!$F$5:$F$394,"N/A")&gt;0,"N/A",IF(COUNTIFS('LxI Assessment'!$A$5:$A$394,$A24,'LxI Assessment'!$D$5:$D$394,K$5,'LxI Assessment'!$S$5:$S$394,"&gt;0")=0,"",SUMIFS('LxI Assessment'!$S$5:$S$394,'LxI Assessment'!$A$5:$A$394,$A24,'LxI Assessment'!$D$5:$D$394,K$5)))</f>
        <v>2</v>
      </c>
      <c r="L24" s="31" t="n">
        <f aca="false">IF(COUNTIFS('LxI Assessment'!$A$5:$A$394,$A24,'LxI Assessment'!$D$5:$D$394,L$5,'LxI Assessment'!$F$5:$F$394,"N/A")&gt;0,"N/A",IF(COUNTIFS('LxI Assessment'!$A$5:$A$394,$A24,'LxI Assessment'!$D$5:$D$394,L$5,'LxI Assessment'!$S$5:$S$394,"&gt;0")=0,"",SUMIFS('LxI Assessment'!$S$5:$S$394,'LxI Assessment'!$A$5:$A$394,$A24,'LxI Assessment'!$D$5:$D$394,L$5)))</f>
        <v>1</v>
      </c>
      <c r="M24" s="31" t="str">
        <f aca="false">IF(COUNTIFS('LxI Assessment'!$A$5:$A$394,$A24,'LxI Assessment'!$D$5:$D$394,M$5,'LxI Assessment'!$F$5:$F$394,"N/A")&gt;0,"N/A",IF(COUNTIFS('LxI Assessment'!$A$5:$A$394,$A24,'LxI Assessment'!$D$5:$D$394,M$5,'LxI Assessment'!$S$5:$S$394,"&gt;0")=0,"",SUMIFS('LxI Assessment'!$S$5:$S$394,'LxI Assessment'!$A$5:$A$394,$A24,'LxI Assessment'!$D$5:$D$394,M$5)))</f>
        <v>N/A</v>
      </c>
      <c r="N24" s="31" t="n">
        <f aca="false">IF(COUNTIFS('LxI Assessment'!$A$5:$A$394,$A24,'LxI Assessment'!$D$5:$D$394,N$5,'LxI Assessment'!$F$5:$F$394,"N/A")&gt;0,"N/A",IF(COUNTIFS('LxI Assessment'!$A$5:$A$394,$A24,'LxI Assessment'!$D$5:$D$394,N$5,'LxI Assessment'!$S$5:$S$394,"&gt;0")=0,"",SUMIFS('LxI Assessment'!$S$5:$S$394,'LxI Assessment'!$A$5:$A$394,$A24,'LxI Assessment'!$D$5:$D$394,N$5)))</f>
        <v>4</v>
      </c>
      <c r="O24" s="31" t="n">
        <f aca="false">IF(COUNTIFS('LxI Assessment'!$A$5:$A$394,$A24,'LxI Assessment'!$D$5:$D$394,O$5,'LxI Assessment'!$F$5:$F$394,"N/A")&gt;0,"N/A",IF(COUNTIFS('LxI Assessment'!$A$5:$A$394,$A24,'LxI Assessment'!$D$5:$D$394,O$5,'LxI Assessment'!$S$5:$S$394,"&gt;0")=0,"",SUMIFS('LxI Assessment'!$S$5:$S$394,'LxI Assessment'!$A$5:$A$394,$A24,'LxI Assessment'!$D$5:$D$394,O$5)))</f>
        <v>3</v>
      </c>
      <c r="P24" s="31" t="n">
        <f aca="false">IF(COUNTIFS('LxI Assessment'!$A$5:$A$394,$A24,'LxI Assessment'!$D$5:$D$394,P$5,'LxI Assessment'!$F$5:$F$394,"N/A")&gt;0,"N/A",IF(COUNTIFS('LxI Assessment'!$A$5:$A$394,$A24,'LxI Assessment'!$D$5:$D$394,P$5,'LxI Assessment'!$S$5:$S$394,"&gt;0")=0,"",SUMIFS('LxI Assessment'!$S$5:$S$394,'LxI Assessment'!$A$5:$A$394,$A24,'LxI Assessment'!$D$5:$D$394,P$5)))</f>
        <v>3</v>
      </c>
      <c r="Q24" s="31" t="n">
        <f aca="false">IF(COUNTIFS('LxI Assessment'!$A$5:$A$394,$A24,'LxI Assessment'!$D$5:$D$394,Q$5,'LxI Assessment'!$F$5:$F$394,"N/A")&gt;0,"N/A",IF(COUNTIFS('LxI Assessment'!$A$5:$A$394,$A24,'LxI Assessment'!$D$5:$D$394,Q$5,'LxI Assessment'!$S$5:$S$394,"&gt;0")=0,"",SUMIFS('LxI Assessment'!$S$5:$S$394,'LxI Assessment'!$A$5:$A$394,$A24,'LxI Assessment'!$D$5:$D$394,Q$5)))</f>
        <v>3</v>
      </c>
      <c r="R24" s="31" t="n">
        <f aca="false">IF(COUNTIFS('LxI Assessment'!$A$5:$A$394,$A24,'LxI Assessment'!$D$5:$D$394,R$5,'LxI Assessment'!$F$5:$F$394,"N/A")&gt;0,"N/A",IF(COUNTIFS('LxI Assessment'!$A$5:$A$394,$A24,'LxI Assessment'!$D$5:$D$394,R$5,'LxI Assessment'!$S$5:$S$394,"&gt;0")=0,"",SUMIFS('LxI Assessment'!$S$5:$S$394,'LxI Assessment'!$A$5:$A$394,$A24,'LxI Assessment'!$D$5:$D$394,R$5)))</f>
        <v>3</v>
      </c>
      <c r="S24" s="31" t="n">
        <f aca="false">IF(COUNTIFS('LxI Assessment'!$A$5:$A$394,$A24,'LxI Assessment'!$D$5:$D$394,S$5,'LxI Assessment'!$F$5:$F$394,"N/A")&gt;0,"N/A",IF(COUNTIFS('LxI Assessment'!$A$5:$A$394,$A24,'LxI Assessment'!$D$5:$D$394,S$5,'LxI Assessment'!$S$5:$S$394,"&gt;0")=0,"",SUMIFS('LxI Assessment'!$S$5:$S$394,'LxI Assessment'!$A$5:$A$394,$A24,'LxI Assessment'!$D$5:$D$394,S$5)))</f>
        <v>3</v>
      </c>
      <c r="T24" s="31" t="n">
        <f aca="false">IF(COUNTIFS('LxI Assessment'!$A$5:$A$394,$A24,'LxI Assessment'!$D$5:$D$394,T$5,'LxI Assessment'!$F$5:$F$394,"N/A")&gt;0,"N/A",IF(COUNTIFS('LxI Assessment'!$A$5:$A$394,$A24,'LxI Assessment'!$D$5:$D$394,T$5,'LxI Assessment'!$S$5:$S$394,"&gt;0")=0,"",SUMIFS('LxI Assessment'!$S$5:$S$394,'LxI Assessment'!$A$5:$A$394,$A24,'LxI Assessment'!$D$5:$D$394,T$5)))</f>
        <v>3</v>
      </c>
      <c r="U24" s="31" t="n">
        <f aca="false">IF(COUNTIFS('LxI Assessment'!$A$5:$A$394,$A24,'LxI Assessment'!$D$5:$D$394,U$5,'LxI Assessment'!$F$5:$F$394,"N/A")&gt;0,"N/A",IF(COUNTIFS('LxI Assessment'!$A$5:$A$394,$A24,'LxI Assessment'!$D$5:$D$394,U$5,'LxI Assessment'!$S$5:$S$394,"&gt;0")=0,"",SUMIFS('LxI Assessment'!$S$5:$S$394,'LxI Assessment'!$A$5:$A$394,$A24,'LxI Assessment'!$D$5:$D$394,U$5)))</f>
        <v>4</v>
      </c>
      <c r="V24" s="31" t="n">
        <f aca="false">IF(COUNTIFS('LxI Assessment'!$A$5:$A$394,$A24,'LxI Assessment'!$D$5:$D$394,V$5,'LxI Assessment'!$F$5:$F$394,"N/A")&gt;0,"N/A",IF(COUNTIFS('LxI Assessment'!$A$5:$A$394,$A24,'LxI Assessment'!$D$5:$D$394,V$5,'LxI Assessment'!$S$5:$S$394,"&gt;0")=0,"",SUMIFS('LxI Assessment'!$S$5:$S$394,'LxI Assessment'!$A$5:$A$394,$A24,'LxI Assessment'!$D$5:$D$394,V$5)))</f>
        <v>3</v>
      </c>
      <c r="W24" s="34" t="n">
        <f aca="false">MAX(C24:V24)</f>
        <v>4</v>
      </c>
      <c r="X24" s="29" t="n">
        <f aca="false">IFERROR(AVERAGE(C24:V24),"")</f>
        <v>2.94736842105263</v>
      </c>
      <c r="Y24" s="31" t="n">
        <f aca="false">COUNTIF(C24:V24,5)</f>
        <v>0</v>
      </c>
      <c r="Z24" s="31" t="n">
        <f aca="false">COUNTIF(C24:V24,4)</f>
        <v>2</v>
      </c>
      <c r="AA24" s="7" t="str">
        <f aca="false">IF(W24=0,"",INDEX(Config!$B$5:$B$9,W24))</f>
        <v>Medium-High</v>
      </c>
    </row>
    <row r="25" customFormat="false" ht="15" hidden="false" customHeight="false" outlineLevel="0" collapsed="false">
      <c r="A25" s="26" t="str">
        <f aca="false">Entities!A24</f>
        <v>TN</v>
      </c>
      <c r="B25" s="26" t="str">
        <f aca="false">Entities!B24</f>
        <v>Arab Tunisian Bank</v>
      </c>
      <c r="C25" s="31" t="n">
        <f aca="false">IF(COUNTIFS('FC Calculation'!$A$5:$A$214,$A25,'FC Calculation'!$D$5:$D$214,C$5,'FC Calculation'!$T$5:$T$214,"&gt;0")=0,"",SUMIFS('FC Calculation'!$T$5:$T$214,'FC Calculation'!$A$5:$A$214,$A25,'FC Calculation'!$D$5:$D$214,C$5))</f>
        <v>3</v>
      </c>
      <c r="D25" s="31" t="n">
        <f aca="false">IF(COUNTIFS('FC Calculation'!$A$5:$A$214,$A25,'FC Calculation'!$D$5:$D$214,D$5,'FC Calculation'!$T$5:$T$214,"&gt;0")=0,"",SUMIFS('FC Calculation'!$T$5:$T$214,'FC Calculation'!$A$5:$A$214,$A25,'FC Calculation'!$D$5:$D$214,D$5))</f>
        <v>3</v>
      </c>
      <c r="E25" s="31" t="n">
        <f aca="false">IF(COUNTIFS('FC Calculation'!$A$5:$A$214,$A25,'FC Calculation'!$D$5:$D$214,E$5,'FC Calculation'!$T$5:$T$214,"&gt;0")=0,"",SUMIFS('FC Calculation'!$T$5:$T$214,'FC Calculation'!$A$5:$A$214,$A25,'FC Calculation'!$D$5:$D$214,E$5))</f>
        <v>3</v>
      </c>
      <c r="F25" s="31" t="n">
        <f aca="false">IF(COUNTIFS('FC Calculation'!$A$5:$A$214,$A25,'FC Calculation'!$D$5:$D$214,F$5,'FC Calculation'!$T$5:$T$214,"&gt;0")=0,"",SUMIFS('FC Calculation'!$T$5:$T$214,'FC Calculation'!$A$5:$A$214,$A25,'FC Calculation'!$D$5:$D$214,F$5))</f>
        <v>3</v>
      </c>
      <c r="G25" s="31" t="n">
        <f aca="false">IF(COUNTIFS('FC Calculation'!$A$5:$A$214,$A25,'FC Calculation'!$D$5:$D$214,G$5,'FC Calculation'!$T$5:$T$214,"&gt;0")=0,"",SUMIFS('FC Calculation'!$T$5:$T$214,'FC Calculation'!$A$5:$A$214,$A25,'FC Calculation'!$D$5:$D$214,G$5))</f>
        <v>3</v>
      </c>
      <c r="H25" s="31" t="n">
        <f aca="false">IF(COUNTIFS('FC Calculation'!$A$5:$A$214,$A25,'FC Calculation'!$D$5:$D$214,H$5,'FC Calculation'!$T$5:$T$214,"&gt;0")=0,"",SUMIFS('FC Calculation'!$T$5:$T$214,'FC Calculation'!$A$5:$A$214,$A25,'FC Calculation'!$D$5:$D$214,H$5))</f>
        <v>3</v>
      </c>
      <c r="I25" s="31" t="n">
        <f aca="false">IF(COUNTIFS('FC Calculation'!$A$5:$A$214,$A25,'FC Calculation'!$D$5:$D$214,I$5,'FC Calculation'!$T$5:$T$214,"&gt;0")=0,"",SUMIFS('FC Calculation'!$T$5:$T$214,'FC Calculation'!$A$5:$A$214,$A25,'FC Calculation'!$D$5:$D$214,I$5))</f>
        <v>3</v>
      </c>
      <c r="J25" s="31" t="n">
        <f aca="false">IF(COUNTIFS('LxI Assessment'!$A$5:$A$394,$A25,'LxI Assessment'!$D$5:$D$394,J$5,'LxI Assessment'!$F$5:$F$394,"N/A")&gt;0,"N/A",IF(COUNTIFS('LxI Assessment'!$A$5:$A$394,$A25,'LxI Assessment'!$D$5:$D$394,J$5,'LxI Assessment'!$S$5:$S$394,"&gt;0")=0,"",SUMIFS('LxI Assessment'!$S$5:$S$394,'LxI Assessment'!$A$5:$A$394,$A25,'LxI Assessment'!$D$5:$D$394,J$5)))</f>
        <v>4</v>
      </c>
      <c r="K25" s="31" t="n">
        <f aca="false">IF(COUNTIFS('LxI Assessment'!$A$5:$A$394,$A25,'LxI Assessment'!$D$5:$D$394,K$5,'LxI Assessment'!$F$5:$F$394,"N/A")&gt;0,"N/A",IF(COUNTIFS('LxI Assessment'!$A$5:$A$394,$A25,'LxI Assessment'!$D$5:$D$394,K$5,'LxI Assessment'!$S$5:$S$394,"&gt;0")=0,"",SUMIFS('LxI Assessment'!$S$5:$S$394,'LxI Assessment'!$A$5:$A$394,$A25,'LxI Assessment'!$D$5:$D$394,K$5)))</f>
        <v>3</v>
      </c>
      <c r="L25" s="31" t="n">
        <f aca="false">IF(COUNTIFS('LxI Assessment'!$A$5:$A$394,$A25,'LxI Assessment'!$D$5:$D$394,L$5,'LxI Assessment'!$F$5:$F$394,"N/A")&gt;0,"N/A",IF(COUNTIFS('LxI Assessment'!$A$5:$A$394,$A25,'LxI Assessment'!$D$5:$D$394,L$5,'LxI Assessment'!$S$5:$S$394,"&gt;0")=0,"",SUMIFS('LxI Assessment'!$S$5:$S$394,'LxI Assessment'!$A$5:$A$394,$A25,'LxI Assessment'!$D$5:$D$394,L$5)))</f>
        <v>2</v>
      </c>
      <c r="M25" s="31" t="str">
        <f aca="false">IF(COUNTIFS('LxI Assessment'!$A$5:$A$394,$A25,'LxI Assessment'!$D$5:$D$394,M$5,'LxI Assessment'!$F$5:$F$394,"N/A")&gt;0,"N/A",IF(COUNTIFS('LxI Assessment'!$A$5:$A$394,$A25,'LxI Assessment'!$D$5:$D$394,M$5,'LxI Assessment'!$S$5:$S$394,"&gt;0")=0,"",SUMIFS('LxI Assessment'!$S$5:$S$394,'LxI Assessment'!$A$5:$A$394,$A25,'LxI Assessment'!$D$5:$D$394,M$5)))</f>
        <v>N/A</v>
      </c>
      <c r="N25" s="31" t="n">
        <f aca="false">IF(COUNTIFS('LxI Assessment'!$A$5:$A$394,$A25,'LxI Assessment'!$D$5:$D$394,N$5,'LxI Assessment'!$F$5:$F$394,"N/A")&gt;0,"N/A",IF(COUNTIFS('LxI Assessment'!$A$5:$A$394,$A25,'LxI Assessment'!$D$5:$D$394,N$5,'LxI Assessment'!$S$5:$S$394,"&gt;0")=0,"",SUMIFS('LxI Assessment'!$S$5:$S$394,'LxI Assessment'!$A$5:$A$394,$A25,'LxI Assessment'!$D$5:$D$394,N$5)))</f>
        <v>4</v>
      </c>
      <c r="O25" s="31" t="n">
        <f aca="false">IF(COUNTIFS('LxI Assessment'!$A$5:$A$394,$A25,'LxI Assessment'!$D$5:$D$394,O$5,'LxI Assessment'!$F$5:$F$394,"N/A")&gt;0,"N/A",IF(COUNTIFS('LxI Assessment'!$A$5:$A$394,$A25,'LxI Assessment'!$D$5:$D$394,O$5,'LxI Assessment'!$S$5:$S$394,"&gt;0")=0,"",SUMIFS('LxI Assessment'!$S$5:$S$394,'LxI Assessment'!$A$5:$A$394,$A25,'LxI Assessment'!$D$5:$D$394,O$5)))</f>
        <v>3</v>
      </c>
      <c r="P25" s="31" t="n">
        <f aca="false">IF(COUNTIFS('LxI Assessment'!$A$5:$A$394,$A25,'LxI Assessment'!$D$5:$D$394,P$5,'LxI Assessment'!$F$5:$F$394,"N/A")&gt;0,"N/A",IF(COUNTIFS('LxI Assessment'!$A$5:$A$394,$A25,'LxI Assessment'!$D$5:$D$394,P$5,'LxI Assessment'!$S$5:$S$394,"&gt;0")=0,"",SUMIFS('LxI Assessment'!$S$5:$S$394,'LxI Assessment'!$A$5:$A$394,$A25,'LxI Assessment'!$D$5:$D$394,P$5)))</f>
        <v>2</v>
      </c>
      <c r="Q25" s="31" t="n">
        <f aca="false">IF(COUNTIFS('LxI Assessment'!$A$5:$A$394,$A25,'LxI Assessment'!$D$5:$D$394,Q$5,'LxI Assessment'!$F$5:$F$394,"N/A")&gt;0,"N/A",IF(COUNTIFS('LxI Assessment'!$A$5:$A$394,$A25,'LxI Assessment'!$D$5:$D$394,Q$5,'LxI Assessment'!$S$5:$S$394,"&gt;0")=0,"",SUMIFS('LxI Assessment'!$S$5:$S$394,'LxI Assessment'!$A$5:$A$394,$A25,'LxI Assessment'!$D$5:$D$394,Q$5)))</f>
        <v>4</v>
      </c>
      <c r="R25" s="31" t="n">
        <f aca="false">IF(COUNTIFS('LxI Assessment'!$A$5:$A$394,$A25,'LxI Assessment'!$D$5:$D$394,R$5,'LxI Assessment'!$F$5:$F$394,"N/A")&gt;0,"N/A",IF(COUNTIFS('LxI Assessment'!$A$5:$A$394,$A25,'LxI Assessment'!$D$5:$D$394,R$5,'LxI Assessment'!$S$5:$S$394,"&gt;0")=0,"",SUMIFS('LxI Assessment'!$S$5:$S$394,'LxI Assessment'!$A$5:$A$394,$A25,'LxI Assessment'!$D$5:$D$394,R$5)))</f>
        <v>3</v>
      </c>
      <c r="S25" s="31" t="n">
        <f aca="false">IF(COUNTIFS('LxI Assessment'!$A$5:$A$394,$A25,'LxI Assessment'!$D$5:$D$394,S$5,'LxI Assessment'!$F$5:$F$394,"N/A")&gt;0,"N/A",IF(COUNTIFS('LxI Assessment'!$A$5:$A$394,$A25,'LxI Assessment'!$D$5:$D$394,S$5,'LxI Assessment'!$S$5:$S$394,"&gt;0")=0,"",SUMIFS('LxI Assessment'!$S$5:$S$394,'LxI Assessment'!$A$5:$A$394,$A25,'LxI Assessment'!$D$5:$D$394,S$5)))</f>
        <v>3</v>
      </c>
      <c r="T25" s="31" t="n">
        <f aca="false">IF(COUNTIFS('LxI Assessment'!$A$5:$A$394,$A25,'LxI Assessment'!$D$5:$D$394,T$5,'LxI Assessment'!$F$5:$F$394,"N/A")&gt;0,"N/A",IF(COUNTIFS('LxI Assessment'!$A$5:$A$394,$A25,'LxI Assessment'!$D$5:$D$394,T$5,'LxI Assessment'!$S$5:$S$394,"&gt;0")=0,"",SUMIFS('LxI Assessment'!$S$5:$S$394,'LxI Assessment'!$A$5:$A$394,$A25,'LxI Assessment'!$D$5:$D$394,T$5)))</f>
        <v>1</v>
      </c>
      <c r="U25" s="31" t="n">
        <f aca="false">IF(COUNTIFS('LxI Assessment'!$A$5:$A$394,$A25,'LxI Assessment'!$D$5:$D$394,U$5,'LxI Assessment'!$F$5:$F$394,"N/A")&gt;0,"N/A",IF(COUNTIFS('LxI Assessment'!$A$5:$A$394,$A25,'LxI Assessment'!$D$5:$D$394,U$5,'LxI Assessment'!$S$5:$S$394,"&gt;0")=0,"",SUMIFS('LxI Assessment'!$S$5:$S$394,'LxI Assessment'!$A$5:$A$394,$A25,'LxI Assessment'!$D$5:$D$394,U$5)))</f>
        <v>3</v>
      </c>
      <c r="V25" s="31" t="n">
        <f aca="false">IF(COUNTIFS('LxI Assessment'!$A$5:$A$394,$A25,'LxI Assessment'!$D$5:$D$394,V$5,'LxI Assessment'!$F$5:$F$394,"N/A")&gt;0,"N/A",IF(COUNTIFS('LxI Assessment'!$A$5:$A$394,$A25,'LxI Assessment'!$D$5:$D$394,V$5,'LxI Assessment'!$S$5:$S$394,"&gt;0")=0,"",SUMIFS('LxI Assessment'!$S$5:$S$394,'LxI Assessment'!$A$5:$A$394,$A25,'LxI Assessment'!$D$5:$D$394,V$5)))</f>
        <v>3</v>
      </c>
      <c r="W25" s="34" t="n">
        <f aca="false">MAX(C25:V25)</f>
        <v>4</v>
      </c>
      <c r="X25" s="29" t="n">
        <f aca="false">IFERROR(AVERAGE(C25:V25),"")</f>
        <v>2.94736842105263</v>
      </c>
      <c r="Y25" s="31" t="n">
        <f aca="false">COUNTIF(C25:V25,5)</f>
        <v>0</v>
      </c>
      <c r="Z25" s="31" t="n">
        <f aca="false">COUNTIF(C25:V25,4)</f>
        <v>3</v>
      </c>
      <c r="AA25" s="7" t="str">
        <f aca="false">IF(W25=0,"",INDEX(Config!$B$5:$B$9,W25))</f>
        <v>Medium-High</v>
      </c>
    </row>
    <row r="26" customFormat="false" ht="15" hidden="false" customHeight="false" outlineLevel="0" collapsed="false">
      <c r="A26" s="26" t="str">
        <f aca="false">Entities!A25</f>
        <v>SD</v>
      </c>
      <c r="B26" s="26" t="str">
        <f aca="false">Entities!B25</f>
        <v>Arab Sudanese Bank</v>
      </c>
      <c r="C26" s="31" t="n">
        <f aca="false">IF(COUNTIFS('FC Calculation'!$A$5:$A$214,$A26,'FC Calculation'!$D$5:$D$214,C$5,'FC Calculation'!$T$5:$T$214,"&gt;0")=0,"",SUMIFS('FC Calculation'!$T$5:$T$214,'FC Calculation'!$A$5:$A$214,$A26,'FC Calculation'!$D$5:$D$214,C$5))</f>
        <v>5</v>
      </c>
      <c r="D26" s="31" t="n">
        <f aca="false">IF(COUNTIFS('FC Calculation'!$A$5:$A$214,$A26,'FC Calculation'!$D$5:$D$214,D$5,'FC Calculation'!$T$5:$T$214,"&gt;0")=0,"",SUMIFS('FC Calculation'!$T$5:$T$214,'FC Calculation'!$A$5:$A$214,$A26,'FC Calculation'!$D$5:$D$214,D$5))</f>
        <v>5</v>
      </c>
      <c r="E26" s="31" t="n">
        <f aca="false">IF(COUNTIFS('FC Calculation'!$A$5:$A$214,$A26,'FC Calculation'!$D$5:$D$214,E$5,'FC Calculation'!$T$5:$T$214,"&gt;0")=0,"",SUMIFS('FC Calculation'!$T$5:$T$214,'FC Calculation'!$A$5:$A$214,$A26,'FC Calculation'!$D$5:$D$214,E$5))</f>
        <v>4</v>
      </c>
      <c r="F26" s="31" t="n">
        <f aca="false">IF(COUNTIFS('FC Calculation'!$A$5:$A$214,$A26,'FC Calculation'!$D$5:$D$214,F$5,'FC Calculation'!$T$5:$T$214,"&gt;0")=0,"",SUMIFS('FC Calculation'!$T$5:$T$214,'FC Calculation'!$A$5:$A$214,$A26,'FC Calculation'!$D$5:$D$214,F$5))</f>
        <v>4</v>
      </c>
      <c r="G26" s="31" t="n">
        <f aca="false">IF(COUNTIFS('FC Calculation'!$A$5:$A$214,$A26,'FC Calculation'!$D$5:$D$214,G$5,'FC Calculation'!$T$5:$T$214,"&gt;0")=0,"",SUMIFS('FC Calculation'!$T$5:$T$214,'FC Calculation'!$A$5:$A$214,$A26,'FC Calculation'!$D$5:$D$214,G$5))</f>
        <v>4</v>
      </c>
      <c r="H26" s="31" t="n">
        <f aca="false">IF(COUNTIFS('FC Calculation'!$A$5:$A$214,$A26,'FC Calculation'!$D$5:$D$214,H$5,'FC Calculation'!$T$5:$T$214,"&gt;0")=0,"",SUMIFS('FC Calculation'!$T$5:$T$214,'FC Calculation'!$A$5:$A$214,$A26,'FC Calculation'!$D$5:$D$214,H$5))</f>
        <v>5</v>
      </c>
      <c r="I26" s="31" t="n">
        <f aca="false">IF(COUNTIFS('FC Calculation'!$A$5:$A$214,$A26,'FC Calculation'!$D$5:$D$214,I$5,'FC Calculation'!$T$5:$T$214,"&gt;0")=0,"",SUMIFS('FC Calculation'!$T$5:$T$214,'FC Calculation'!$A$5:$A$214,$A26,'FC Calculation'!$D$5:$D$214,I$5))</f>
        <v>4</v>
      </c>
      <c r="J26" s="31" t="n">
        <f aca="false">IF(COUNTIFS('LxI Assessment'!$A$5:$A$394,$A26,'LxI Assessment'!$D$5:$D$394,J$5,'LxI Assessment'!$F$5:$F$394,"N/A")&gt;0,"N/A",IF(COUNTIFS('LxI Assessment'!$A$5:$A$394,$A26,'LxI Assessment'!$D$5:$D$394,J$5,'LxI Assessment'!$S$5:$S$394,"&gt;0")=0,"",SUMIFS('LxI Assessment'!$S$5:$S$394,'LxI Assessment'!$A$5:$A$394,$A26,'LxI Assessment'!$D$5:$D$394,J$5)))</f>
        <v>5</v>
      </c>
      <c r="K26" s="31" t="n">
        <f aca="false">IF(COUNTIFS('LxI Assessment'!$A$5:$A$394,$A26,'LxI Assessment'!$D$5:$D$394,K$5,'LxI Assessment'!$F$5:$F$394,"N/A")&gt;0,"N/A",IF(COUNTIFS('LxI Assessment'!$A$5:$A$394,$A26,'LxI Assessment'!$D$5:$D$394,K$5,'LxI Assessment'!$S$5:$S$394,"&gt;0")=0,"",SUMIFS('LxI Assessment'!$S$5:$S$394,'LxI Assessment'!$A$5:$A$394,$A26,'LxI Assessment'!$D$5:$D$394,K$5)))</f>
        <v>4</v>
      </c>
      <c r="L26" s="31" t="n">
        <f aca="false">IF(COUNTIFS('LxI Assessment'!$A$5:$A$394,$A26,'LxI Assessment'!$D$5:$D$394,L$5,'LxI Assessment'!$F$5:$F$394,"N/A")&gt;0,"N/A",IF(COUNTIFS('LxI Assessment'!$A$5:$A$394,$A26,'LxI Assessment'!$D$5:$D$394,L$5,'LxI Assessment'!$S$5:$S$394,"&gt;0")=0,"",SUMIFS('LxI Assessment'!$S$5:$S$394,'LxI Assessment'!$A$5:$A$394,$A26,'LxI Assessment'!$D$5:$D$394,L$5)))</f>
        <v>4</v>
      </c>
      <c r="M26" s="31" t="str">
        <f aca="false">IF(COUNTIFS('LxI Assessment'!$A$5:$A$394,$A26,'LxI Assessment'!$D$5:$D$394,M$5,'LxI Assessment'!$F$5:$F$394,"N/A")&gt;0,"N/A",IF(COUNTIFS('LxI Assessment'!$A$5:$A$394,$A26,'LxI Assessment'!$D$5:$D$394,M$5,'LxI Assessment'!$S$5:$S$394,"&gt;0")=0,"",SUMIFS('LxI Assessment'!$S$5:$S$394,'LxI Assessment'!$A$5:$A$394,$A26,'LxI Assessment'!$D$5:$D$394,M$5)))</f>
        <v>N/A</v>
      </c>
      <c r="N26" s="31" t="n">
        <f aca="false">IF(COUNTIFS('LxI Assessment'!$A$5:$A$394,$A26,'LxI Assessment'!$D$5:$D$394,N$5,'LxI Assessment'!$F$5:$F$394,"N/A")&gt;0,"N/A",IF(COUNTIFS('LxI Assessment'!$A$5:$A$394,$A26,'LxI Assessment'!$D$5:$D$394,N$5,'LxI Assessment'!$S$5:$S$394,"&gt;0")=0,"",SUMIFS('LxI Assessment'!$S$5:$S$394,'LxI Assessment'!$A$5:$A$394,$A26,'LxI Assessment'!$D$5:$D$394,N$5)))</f>
        <v>5</v>
      </c>
      <c r="O26" s="31" t="n">
        <f aca="false">IF(COUNTIFS('LxI Assessment'!$A$5:$A$394,$A26,'LxI Assessment'!$D$5:$D$394,O$5,'LxI Assessment'!$F$5:$F$394,"N/A")&gt;0,"N/A",IF(COUNTIFS('LxI Assessment'!$A$5:$A$394,$A26,'LxI Assessment'!$D$5:$D$394,O$5,'LxI Assessment'!$S$5:$S$394,"&gt;0")=0,"",SUMIFS('LxI Assessment'!$S$5:$S$394,'LxI Assessment'!$A$5:$A$394,$A26,'LxI Assessment'!$D$5:$D$394,O$5)))</f>
        <v>2</v>
      </c>
      <c r="P26" s="31" t="n">
        <f aca="false">IF(COUNTIFS('LxI Assessment'!$A$5:$A$394,$A26,'LxI Assessment'!$D$5:$D$394,P$5,'LxI Assessment'!$F$5:$F$394,"N/A")&gt;0,"N/A",IF(COUNTIFS('LxI Assessment'!$A$5:$A$394,$A26,'LxI Assessment'!$D$5:$D$394,P$5,'LxI Assessment'!$S$5:$S$394,"&gt;0")=0,"",SUMIFS('LxI Assessment'!$S$5:$S$394,'LxI Assessment'!$A$5:$A$394,$A26,'LxI Assessment'!$D$5:$D$394,P$5)))</f>
        <v>3</v>
      </c>
      <c r="Q26" s="31" t="n">
        <f aca="false">IF(COUNTIFS('LxI Assessment'!$A$5:$A$394,$A26,'LxI Assessment'!$D$5:$D$394,Q$5,'LxI Assessment'!$F$5:$F$394,"N/A")&gt;0,"N/A",IF(COUNTIFS('LxI Assessment'!$A$5:$A$394,$A26,'LxI Assessment'!$D$5:$D$394,Q$5,'LxI Assessment'!$S$5:$S$394,"&gt;0")=0,"",SUMIFS('LxI Assessment'!$S$5:$S$394,'LxI Assessment'!$A$5:$A$394,$A26,'LxI Assessment'!$D$5:$D$394,Q$5)))</f>
        <v>4</v>
      </c>
      <c r="R26" s="31" t="n">
        <f aca="false">IF(COUNTIFS('LxI Assessment'!$A$5:$A$394,$A26,'LxI Assessment'!$D$5:$D$394,R$5,'LxI Assessment'!$F$5:$F$394,"N/A")&gt;0,"N/A",IF(COUNTIFS('LxI Assessment'!$A$5:$A$394,$A26,'LxI Assessment'!$D$5:$D$394,R$5,'LxI Assessment'!$S$5:$S$394,"&gt;0")=0,"",SUMIFS('LxI Assessment'!$S$5:$S$394,'LxI Assessment'!$A$5:$A$394,$A26,'LxI Assessment'!$D$5:$D$394,R$5)))</f>
        <v>5</v>
      </c>
      <c r="S26" s="31" t="n">
        <f aca="false">IF(COUNTIFS('LxI Assessment'!$A$5:$A$394,$A26,'LxI Assessment'!$D$5:$D$394,S$5,'LxI Assessment'!$F$5:$F$394,"N/A")&gt;0,"N/A",IF(COUNTIFS('LxI Assessment'!$A$5:$A$394,$A26,'LxI Assessment'!$D$5:$D$394,S$5,'LxI Assessment'!$S$5:$S$394,"&gt;0")=0,"",SUMIFS('LxI Assessment'!$S$5:$S$394,'LxI Assessment'!$A$5:$A$394,$A26,'LxI Assessment'!$D$5:$D$394,S$5)))</f>
        <v>4</v>
      </c>
      <c r="T26" s="31" t="n">
        <f aca="false">IF(COUNTIFS('LxI Assessment'!$A$5:$A$394,$A26,'LxI Assessment'!$D$5:$D$394,T$5,'LxI Assessment'!$F$5:$F$394,"N/A")&gt;0,"N/A",IF(COUNTIFS('LxI Assessment'!$A$5:$A$394,$A26,'LxI Assessment'!$D$5:$D$394,T$5,'LxI Assessment'!$S$5:$S$394,"&gt;0")=0,"",SUMIFS('LxI Assessment'!$S$5:$S$394,'LxI Assessment'!$A$5:$A$394,$A26,'LxI Assessment'!$D$5:$D$394,T$5)))</f>
        <v>3</v>
      </c>
      <c r="U26" s="31" t="n">
        <f aca="false">IF(COUNTIFS('LxI Assessment'!$A$5:$A$394,$A26,'LxI Assessment'!$D$5:$D$394,U$5,'LxI Assessment'!$F$5:$F$394,"N/A")&gt;0,"N/A",IF(COUNTIFS('LxI Assessment'!$A$5:$A$394,$A26,'LxI Assessment'!$D$5:$D$394,U$5,'LxI Assessment'!$S$5:$S$394,"&gt;0")=0,"",SUMIFS('LxI Assessment'!$S$5:$S$394,'LxI Assessment'!$A$5:$A$394,$A26,'LxI Assessment'!$D$5:$D$394,U$5)))</f>
        <v>4</v>
      </c>
      <c r="V26" s="31" t="n">
        <f aca="false">IF(COUNTIFS('LxI Assessment'!$A$5:$A$394,$A26,'LxI Assessment'!$D$5:$D$394,V$5,'LxI Assessment'!$F$5:$F$394,"N/A")&gt;0,"N/A",IF(COUNTIFS('LxI Assessment'!$A$5:$A$394,$A26,'LxI Assessment'!$D$5:$D$394,V$5,'LxI Assessment'!$S$5:$S$394,"&gt;0")=0,"",SUMIFS('LxI Assessment'!$S$5:$S$394,'LxI Assessment'!$A$5:$A$394,$A26,'LxI Assessment'!$D$5:$D$394,V$5)))</f>
        <v>3</v>
      </c>
      <c r="W26" s="34" t="n">
        <f aca="false">MAX(C26:V26)</f>
        <v>5</v>
      </c>
      <c r="X26" s="29" t="n">
        <f aca="false">IFERROR(AVERAGE(C26:V26),"")</f>
        <v>4.05263157894737</v>
      </c>
      <c r="Y26" s="31" t="n">
        <f aca="false">COUNTIF(C26:V26,5)</f>
        <v>6</v>
      </c>
      <c r="Z26" s="31" t="n">
        <f aca="false">COUNTIF(C26:V26,4)</f>
        <v>9</v>
      </c>
      <c r="AA26" s="7" t="str">
        <f aca="false">IF(W26=0,"",INDEX(Config!$B$5:$B$9,W26))</f>
        <v>High</v>
      </c>
    </row>
    <row r="27" customFormat="false" ht="15" hidden="false" customHeight="false" outlineLevel="0" collapsed="false">
      <c r="A27" s="26" t="str">
        <f aca="false">Entities!A26</f>
        <v>GB</v>
      </c>
      <c r="B27" s="26" t="str">
        <f aca="false">Entities!B26</f>
        <v>Europe Arab Bank – United Kingdom</v>
      </c>
      <c r="C27" s="31" t="n">
        <f aca="false">IF(COUNTIFS('FC Calculation'!$A$5:$A$214,$A27,'FC Calculation'!$D$5:$D$214,C$5,'FC Calculation'!$T$5:$T$214,"&gt;0")=0,"",SUMIFS('FC Calculation'!$T$5:$T$214,'FC Calculation'!$A$5:$A$214,$A27,'FC Calculation'!$D$5:$D$214,C$5))</f>
        <v>2</v>
      </c>
      <c r="D27" s="31" t="n">
        <f aca="false">IF(COUNTIFS('FC Calculation'!$A$5:$A$214,$A27,'FC Calculation'!$D$5:$D$214,D$5,'FC Calculation'!$T$5:$T$214,"&gt;0")=0,"",SUMIFS('FC Calculation'!$T$5:$T$214,'FC Calculation'!$A$5:$A$214,$A27,'FC Calculation'!$D$5:$D$214,D$5))</f>
        <v>2</v>
      </c>
      <c r="E27" s="31" t="n">
        <f aca="false">IF(COUNTIFS('FC Calculation'!$A$5:$A$214,$A27,'FC Calculation'!$D$5:$D$214,E$5,'FC Calculation'!$T$5:$T$214,"&gt;0")=0,"",SUMIFS('FC Calculation'!$T$5:$T$214,'FC Calculation'!$A$5:$A$214,$A27,'FC Calculation'!$D$5:$D$214,E$5))</f>
        <v>2</v>
      </c>
      <c r="F27" s="31" t="n">
        <f aca="false">IF(COUNTIFS('FC Calculation'!$A$5:$A$214,$A27,'FC Calculation'!$D$5:$D$214,F$5,'FC Calculation'!$T$5:$T$214,"&gt;0")=0,"",SUMIFS('FC Calculation'!$T$5:$T$214,'FC Calculation'!$A$5:$A$214,$A27,'FC Calculation'!$D$5:$D$214,F$5))</f>
        <v>2</v>
      </c>
      <c r="G27" s="31" t="n">
        <f aca="false">IF(COUNTIFS('FC Calculation'!$A$5:$A$214,$A27,'FC Calculation'!$D$5:$D$214,G$5,'FC Calculation'!$T$5:$T$214,"&gt;0")=0,"",SUMIFS('FC Calculation'!$T$5:$T$214,'FC Calculation'!$A$5:$A$214,$A27,'FC Calculation'!$D$5:$D$214,G$5))</f>
        <v>2</v>
      </c>
      <c r="H27" s="31" t="n">
        <f aca="false">IF(COUNTIFS('FC Calculation'!$A$5:$A$214,$A27,'FC Calculation'!$D$5:$D$214,H$5,'FC Calculation'!$T$5:$T$214,"&gt;0")=0,"",SUMIFS('FC Calculation'!$T$5:$T$214,'FC Calculation'!$A$5:$A$214,$A27,'FC Calculation'!$D$5:$D$214,H$5))</f>
        <v>2</v>
      </c>
      <c r="I27" s="31" t="n">
        <f aca="false">IF(COUNTIFS('FC Calculation'!$A$5:$A$214,$A27,'FC Calculation'!$D$5:$D$214,I$5,'FC Calculation'!$T$5:$T$214,"&gt;0")=0,"",SUMIFS('FC Calculation'!$T$5:$T$214,'FC Calculation'!$A$5:$A$214,$A27,'FC Calculation'!$D$5:$D$214,I$5))</f>
        <v>2</v>
      </c>
      <c r="J27" s="31" t="n">
        <f aca="false">IF(COUNTIFS('LxI Assessment'!$A$5:$A$394,$A27,'LxI Assessment'!$D$5:$D$394,J$5,'LxI Assessment'!$F$5:$F$394,"N/A")&gt;0,"N/A",IF(COUNTIFS('LxI Assessment'!$A$5:$A$394,$A27,'LxI Assessment'!$D$5:$D$394,J$5,'LxI Assessment'!$S$5:$S$394,"&gt;0")=0,"",SUMIFS('LxI Assessment'!$S$5:$S$394,'LxI Assessment'!$A$5:$A$394,$A27,'LxI Assessment'!$D$5:$D$394,J$5)))</f>
        <v>1</v>
      </c>
      <c r="K27" s="31" t="n">
        <f aca="false">IF(COUNTIFS('LxI Assessment'!$A$5:$A$394,$A27,'LxI Assessment'!$D$5:$D$394,K$5,'LxI Assessment'!$F$5:$F$394,"N/A")&gt;0,"N/A",IF(COUNTIFS('LxI Assessment'!$A$5:$A$394,$A27,'LxI Assessment'!$D$5:$D$394,K$5,'LxI Assessment'!$S$5:$S$394,"&gt;0")=0,"",SUMIFS('LxI Assessment'!$S$5:$S$394,'LxI Assessment'!$A$5:$A$394,$A27,'LxI Assessment'!$D$5:$D$394,K$5)))</f>
        <v>2</v>
      </c>
      <c r="L27" s="31" t="n">
        <f aca="false">IF(COUNTIFS('LxI Assessment'!$A$5:$A$394,$A27,'LxI Assessment'!$D$5:$D$394,L$5,'LxI Assessment'!$F$5:$F$394,"N/A")&gt;0,"N/A",IF(COUNTIFS('LxI Assessment'!$A$5:$A$394,$A27,'LxI Assessment'!$D$5:$D$394,L$5,'LxI Assessment'!$S$5:$S$394,"&gt;0")=0,"",SUMIFS('LxI Assessment'!$S$5:$S$394,'LxI Assessment'!$A$5:$A$394,$A27,'LxI Assessment'!$D$5:$D$394,L$5)))</f>
        <v>1</v>
      </c>
      <c r="M27" s="31" t="str">
        <f aca="false">IF(COUNTIFS('LxI Assessment'!$A$5:$A$394,$A27,'LxI Assessment'!$D$5:$D$394,M$5,'LxI Assessment'!$F$5:$F$394,"N/A")&gt;0,"N/A",IF(COUNTIFS('LxI Assessment'!$A$5:$A$394,$A27,'LxI Assessment'!$D$5:$D$394,M$5,'LxI Assessment'!$S$5:$S$394,"&gt;0")=0,"",SUMIFS('LxI Assessment'!$S$5:$S$394,'LxI Assessment'!$A$5:$A$394,$A27,'LxI Assessment'!$D$5:$D$394,M$5)))</f>
        <v>N/A</v>
      </c>
      <c r="N27" s="31" t="n">
        <f aca="false">IF(COUNTIFS('LxI Assessment'!$A$5:$A$394,$A27,'LxI Assessment'!$D$5:$D$394,N$5,'LxI Assessment'!$F$5:$F$394,"N/A")&gt;0,"N/A",IF(COUNTIFS('LxI Assessment'!$A$5:$A$394,$A27,'LxI Assessment'!$D$5:$D$394,N$5,'LxI Assessment'!$S$5:$S$394,"&gt;0")=0,"",SUMIFS('LxI Assessment'!$S$5:$S$394,'LxI Assessment'!$A$5:$A$394,$A27,'LxI Assessment'!$D$5:$D$394,N$5)))</f>
        <v>2</v>
      </c>
      <c r="O27" s="31" t="n">
        <f aca="false">IF(COUNTIFS('LxI Assessment'!$A$5:$A$394,$A27,'LxI Assessment'!$D$5:$D$394,O$5,'LxI Assessment'!$F$5:$F$394,"N/A")&gt;0,"N/A",IF(COUNTIFS('LxI Assessment'!$A$5:$A$394,$A27,'LxI Assessment'!$D$5:$D$394,O$5,'LxI Assessment'!$S$5:$S$394,"&gt;0")=0,"",SUMIFS('LxI Assessment'!$S$5:$S$394,'LxI Assessment'!$A$5:$A$394,$A27,'LxI Assessment'!$D$5:$D$394,O$5)))</f>
        <v>1</v>
      </c>
      <c r="P27" s="31" t="n">
        <f aca="false">IF(COUNTIFS('LxI Assessment'!$A$5:$A$394,$A27,'LxI Assessment'!$D$5:$D$394,P$5,'LxI Assessment'!$F$5:$F$394,"N/A")&gt;0,"N/A",IF(COUNTIFS('LxI Assessment'!$A$5:$A$394,$A27,'LxI Assessment'!$D$5:$D$394,P$5,'LxI Assessment'!$S$5:$S$394,"&gt;0")=0,"",SUMIFS('LxI Assessment'!$S$5:$S$394,'LxI Assessment'!$A$5:$A$394,$A27,'LxI Assessment'!$D$5:$D$394,P$5)))</f>
        <v>2</v>
      </c>
      <c r="Q27" s="31" t="n">
        <f aca="false">IF(COUNTIFS('LxI Assessment'!$A$5:$A$394,$A27,'LxI Assessment'!$D$5:$D$394,Q$5,'LxI Assessment'!$F$5:$F$394,"N/A")&gt;0,"N/A",IF(COUNTIFS('LxI Assessment'!$A$5:$A$394,$A27,'LxI Assessment'!$D$5:$D$394,Q$5,'LxI Assessment'!$S$5:$S$394,"&gt;0")=0,"",SUMIFS('LxI Assessment'!$S$5:$S$394,'LxI Assessment'!$A$5:$A$394,$A27,'LxI Assessment'!$D$5:$D$394,Q$5)))</f>
        <v>3</v>
      </c>
      <c r="R27" s="31" t="n">
        <f aca="false">IF(COUNTIFS('LxI Assessment'!$A$5:$A$394,$A27,'LxI Assessment'!$D$5:$D$394,R$5,'LxI Assessment'!$F$5:$F$394,"N/A")&gt;0,"N/A",IF(COUNTIFS('LxI Assessment'!$A$5:$A$394,$A27,'LxI Assessment'!$D$5:$D$394,R$5,'LxI Assessment'!$S$5:$S$394,"&gt;0")=0,"",SUMIFS('LxI Assessment'!$S$5:$S$394,'LxI Assessment'!$A$5:$A$394,$A27,'LxI Assessment'!$D$5:$D$394,R$5)))</f>
        <v>1</v>
      </c>
      <c r="S27" s="31" t="n">
        <f aca="false">IF(COUNTIFS('LxI Assessment'!$A$5:$A$394,$A27,'LxI Assessment'!$D$5:$D$394,S$5,'LxI Assessment'!$F$5:$F$394,"N/A")&gt;0,"N/A",IF(COUNTIFS('LxI Assessment'!$A$5:$A$394,$A27,'LxI Assessment'!$D$5:$D$394,S$5,'LxI Assessment'!$S$5:$S$394,"&gt;0")=0,"",SUMIFS('LxI Assessment'!$S$5:$S$394,'LxI Assessment'!$A$5:$A$394,$A27,'LxI Assessment'!$D$5:$D$394,S$5)))</f>
        <v>2</v>
      </c>
      <c r="T27" s="31" t="n">
        <f aca="false">IF(COUNTIFS('LxI Assessment'!$A$5:$A$394,$A27,'LxI Assessment'!$D$5:$D$394,T$5,'LxI Assessment'!$F$5:$F$394,"N/A")&gt;0,"N/A",IF(COUNTIFS('LxI Assessment'!$A$5:$A$394,$A27,'LxI Assessment'!$D$5:$D$394,T$5,'LxI Assessment'!$S$5:$S$394,"&gt;0")=0,"",SUMIFS('LxI Assessment'!$S$5:$S$394,'LxI Assessment'!$A$5:$A$394,$A27,'LxI Assessment'!$D$5:$D$394,T$5)))</f>
        <v>1</v>
      </c>
      <c r="U27" s="31" t="n">
        <f aca="false">IF(COUNTIFS('LxI Assessment'!$A$5:$A$394,$A27,'LxI Assessment'!$D$5:$D$394,U$5,'LxI Assessment'!$F$5:$F$394,"N/A")&gt;0,"N/A",IF(COUNTIFS('LxI Assessment'!$A$5:$A$394,$A27,'LxI Assessment'!$D$5:$D$394,U$5,'LxI Assessment'!$S$5:$S$394,"&gt;0")=0,"",SUMIFS('LxI Assessment'!$S$5:$S$394,'LxI Assessment'!$A$5:$A$394,$A27,'LxI Assessment'!$D$5:$D$394,U$5)))</f>
        <v>2</v>
      </c>
      <c r="V27" s="31" t="n">
        <f aca="false">IF(COUNTIFS('LxI Assessment'!$A$5:$A$394,$A27,'LxI Assessment'!$D$5:$D$394,V$5,'LxI Assessment'!$F$5:$F$394,"N/A")&gt;0,"N/A",IF(COUNTIFS('LxI Assessment'!$A$5:$A$394,$A27,'LxI Assessment'!$D$5:$D$394,V$5,'LxI Assessment'!$S$5:$S$394,"&gt;0")=0,"",SUMIFS('LxI Assessment'!$S$5:$S$394,'LxI Assessment'!$A$5:$A$394,$A27,'LxI Assessment'!$D$5:$D$394,V$5)))</f>
        <v>1</v>
      </c>
      <c r="W27" s="34" t="n">
        <f aca="false">MAX(C27:V27)</f>
        <v>3</v>
      </c>
      <c r="X27" s="29" t="n">
        <f aca="false">IFERROR(AVERAGE(C27:V27),"")</f>
        <v>1.73684210526316</v>
      </c>
      <c r="Y27" s="31" t="n">
        <f aca="false">COUNTIF(C27:V27,5)</f>
        <v>0</v>
      </c>
      <c r="Z27" s="31" t="n">
        <f aca="false">COUNTIF(C27:V27,4)</f>
        <v>0</v>
      </c>
      <c r="AA27" s="7" t="str">
        <f aca="false">IF(W27=0,"",INDEX(Config!$B$5:$B$9,W27))</f>
        <v>Medium</v>
      </c>
    </row>
    <row r="28" customFormat="false" ht="15" hidden="false" customHeight="false" outlineLevel="0" collapsed="false">
      <c r="A28" s="26" t="str">
        <f aca="false">Entities!A27</f>
        <v>FR</v>
      </c>
      <c r="B28" s="26" t="str">
        <f aca="false">Entities!B27</f>
        <v>Arab Bank – France</v>
      </c>
      <c r="C28" s="31" t="n">
        <f aca="false">IF(COUNTIFS('FC Calculation'!$A$5:$A$214,$A28,'FC Calculation'!$D$5:$D$214,C$5,'FC Calculation'!$T$5:$T$214,"&gt;0")=0,"",SUMIFS('FC Calculation'!$T$5:$T$214,'FC Calculation'!$A$5:$A$214,$A28,'FC Calculation'!$D$5:$D$214,C$5))</f>
        <v>1</v>
      </c>
      <c r="D28" s="31" t="n">
        <f aca="false">IF(COUNTIFS('FC Calculation'!$A$5:$A$214,$A28,'FC Calculation'!$D$5:$D$214,D$5,'FC Calculation'!$T$5:$T$214,"&gt;0")=0,"",SUMIFS('FC Calculation'!$T$5:$T$214,'FC Calculation'!$A$5:$A$214,$A28,'FC Calculation'!$D$5:$D$214,D$5))</f>
        <v>1</v>
      </c>
      <c r="E28" s="31" t="n">
        <f aca="false">IF(COUNTIFS('FC Calculation'!$A$5:$A$214,$A28,'FC Calculation'!$D$5:$D$214,E$5,'FC Calculation'!$T$5:$T$214,"&gt;0")=0,"",SUMIFS('FC Calculation'!$T$5:$T$214,'FC Calculation'!$A$5:$A$214,$A28,'FC Calculation'!$D$5:$D$214,E$5))</f>
        <v>1</v>
      </c>
      <c r="F28" s="31" t="n">
        <f aca="false">IF(COUNTIFS('FC Calculation'!$A$5:$A$214,$A28,'FC Calculation'!$D$5:$D$214,F$5,'FC Calculation'!$T$5:$T$214,"&gt;0")=0,"",SUMIFS('FC Calculation'!$T$5:$T$214,'FC Calculation'!$A$5:$A$214,$A28,'FC Calculation'!$D$5:$D$214,F$5))</f>
        <v>2</v>
      </c>
      <c r="G28" s="31" t="n">
        <f aca="false">IF(COUNTIFS('FC Calculation'!$A$5:$A$214,$A28,'FC Calculation'!$D$5:$D$214,G$5,'FC Calculation'!$T$5:$T$214,"&gt;0")=0,"",SUMIFS('FC Calculation'!$T$5:$T$214,'FC Calculation'!$A$5:$A$214,$A28,'FC Calculation'!$D$5:$D$214,G$5))</f>
        <v>2</v>
      </c>
      <c r="H28" s="31" t="n">
        <f aca="false">IF(COUNTIFS('FC Calculation'!$A$5:$A$214,$A28,'FC Calculation'!$D$5:$D$214,H$5,'FC Calculation'!$T$5:$T$214,"&gt;0")=0,"",SUMIFS('FC Calculation'!$T$5:$T$214,'FC Calculation'!$A$5:$A$214,$A28,'FC Calculation'!$D$5:$D$214,H$5))</f>
        <v>2</v>
      </c>
      <c r="I28" s="31" t="n">
        <f aca="false">IF(COUNTIFS('FC Calculation'!$A$5:$A$214,$A28,'FC Calculation'!$D$5:$D$214,I$5,'FC Calculation'!$T$5:$T$214,"&gt;0")=0,"",SUMIFS('FC Calculation'!$T$5:$T$214,'FC Calculation'!$A$5:$A$214,$A28,'FC Calculation'!$D$5:$D$214,I$5))</f>
        <v>2</v>
      </c>
      <c r="J28" s="31" t="n">
        <f aca="false">IF(COUNTIFS('LxI Assessment'!$A$5:$A$394,$A28,'LxI Assessment'!$D$5:$D$394,J$5,'LxI Assessment'!$F$5:$F$394,"N/A")&gt;0,"N/A",IF(COUNTIFS('LxI Assessment'!$A$5:$A$394,$A28,'LxI Assessment'!$D$5:$D$394,J$5,'LxI Assessment'!$S$5:$S$394,"&gt;0")=0,"",SUMIFS('LxI Assessment'!$S$5:$S$394,'LxI Assessment'!$A$5:$A$394,$A28,'LxI Assessment'!$D$5:$D$394,J$5)))</f>
        <v>1</v>
      </c>
      <c r="K28" s="31" t="n">
        <f aca="false">IF(COUNTIFS('LxI Assessment'!$A$5:$A$394,$A28,'LxI Assessment'!$D$5:$D$394,K$5,'LxI Assessment'!$F$5:$F$394,"N/A")&gt;0,"N/A",IF(COUNTIFS('LxI Assessment'!$A$5:$A$394,$A28,'LxI Assessment'!$D$5:$D$394,K$5,'LxI Assessment'!$S$5:$S$394,"&gt;0")=0,"",SUMIFS('LxI Assessment'!$S$5:$S$394,'LxI Assessment'!$A$5:$A$394,$A28,'LxI Assessment'!$D$5:$D$394,K$5)))</f>
        <v>1</v>
      </c>
      <c r="L28" s="31" t="n">
        <f aca="false">IF(COUNTIFS('LxI Assessment'!$A$5:$A$394,$A28,'LxI Assessment'!$D$5:$D$394,L$5,'LxI Assessment'!$F$5:$F$394,"N/A")&gt;0,"N/A",IF(COUNTIFS('LxI Assessment'!$A$5:$A$394,$A28,'LxI Assessment'!$D$5:$D$394,L$5,'LxI Assessment'!$S$5:$S$394,"&gt;0")=0,"",SUMIFS('LxI Assessment'!$S$5:$S$394,'LxI Assessment'!$A$5:$A$394,$A28,'LxI Assessment'!$D$5:$D$394,L$5)))</f>
        <v>2</v>
      </c>
      <c r="M28" s="31" t="str">
        <f aca="false">IF(COUNTIFS('LxI Assessment'!$A$5:$A$394,$A28,'LxI Assessment'!$D$5:$D$394,M$5,'LxI Assessment'!$F$5:$F$394,"N/A")&gt;0,"N/A",IF(COUNTIFS('LxI Assessment'!$A$5:$A$394,$A28,'LxI Assessment'!$D$5:$D$394,M$5,'LxI Assessment'!$S$5:$S$394,"&gt;0")=0,"",SUMIFS('LxI Assessment'!$S$5:$S$394,'LxI Assessment'!$A$5:$A$394,$A28,'LxI Assessment'!$D$5:$D$394,M$5)))</f>
        <v>N/A</v>
      </c>
      <c r="N28" s="31" t="n">
        <f aca="false">IF(COUNTIFS('LxI Assessment'!$A$5:$A$394,$A28,'LxI Assessment'!$D$5:$D$394,N$5,'LxI Assessment'!$F$5:$F$394,"N/A")&gt;0,"N/A",IF(COUNTIFS('LxI Assessment'!$A$5:$A$394,$A28,'LxI Assessment'!$D$5:$D$394,N$5,'LxI Assessment'!$S$5:$S$394,"&gt;0")=0,"",SUMIFS('LxI Assessment'!$S$5:$S$394,'LxI Assessment'!$A$5:$A$394,$A28,'LxI Assessment'!$D$5:$D$394,N$5)))</f>
        <v>2</v>
      </c>
      <c r="O28" s="31" t="n">
        <f aca="false">IF(COUNTIFS('LxI Assessment'!$A$5:$A$394,$A28,'LxI Assessment'!$D$5:$D$394,O$5,'LxI Assessment'!$F$5:$F$394,"N/A")&gt;0,"N/A",IF(COUNTIFS('LxI Assessment'!$A$5:$A$394,$A28,'LxI Assessment'!$D$5:$D$394,O$5,'LxI Assessment'!$S$5:$S$394,"&gt;0")=0,"",SUMIFS('LxI Assessment'!$S$5:$S$394,'LxI Assessment'!$A$5:$A$394,$A28,'LxI Assessment'!$D$5:$D$394,O$5)))</f>
        <v>1</v>
      </c>
      <c r="P28" s="31" t="n">
        <f aca="false">IF(COUNTIFS('LxI Assessment'!$A$5:$A$394,$A28,'LxI Assessment'!$D$5:$D$394,P$5,'LxI Assessment'!$F$5:$F$394,"N/A")&gt;0,"N/A",IF(COUNTIFS('LxI Assessment'!$A$5:$A$394,$A28,'LxI Assessment'!$D$5:$D$394,P$5,'LxI Assessment'!$S$5:$S$394,"&gt;0")=0,"",SUMIFS('LxI Assessment'!$S$5:$S$394,'LxI Assessment'!$A$5:$A$394,$A28,'LxI Assessment'!$D$5:$D$394,P$5)))</f>
        <v>2</v>
      </c>
      <c r="Q28" s="31" t="n">
        <f aca="false">IF(COUNTIFS('LxI Assessment'!$A$5:$A$394,$A28,'LxI Assessment'!$D$5:$D$394,Q$5,'LxI Assessment'!$F$5:$F$394,"N/A")&gt;0,"N/A",IF(COUNTIFS('LxI Assessment'!$A$5:$A$394,$A28,'LxI Assessment'!$D$5:$D$394,Q$5,'LxI Assessment'!$S$5:$S$394,"&gt;0")=0,"",SUMIFS('LxI Assessment'!$S$5:$S$394,'LxI Assessment'!$A$5:$A$394,$A28,'LxI Assessment'!$D$5:$D$394,Q$5)))</f>
        <v>3</v>
      </c>
      <c r="R28" s="31" t="n">
        <f aca="false">IF(COUNTIFS('LxI Assessment'!$A$5:$A$394,$A28,'LxI Assessment'!$D$5:$D$394,R$5,'LxI Assessment'!$F$5:$F$394,"N/A")&gt;0,"N/A",IF(COUNTIFS('LxI Assessment'!$A$5:$A$394,$A28,'LxI Assessment'!$D$5:$D$394,R$5,'LxI Assessment'!$S$5:$S$394,"&gt;0")=0,"",SUMIFS('LxI Assessment'!$S$5:$S$394,'LxI Assessment'!$A$5:$A$394,$A28,'LxI Assessment'!$D$5:$D$394,R$5)))</f>
        <v>2</v>
      </c>
      <c r="S28" s="31" t="n">
        <f aca="false">IF(COUNTIFS('LxI Assessment'!$A$5:$A$394,$A28,'LxI Assessment'!$D$5:$D$394,S$5,'LxI Assessment'!$F$5:$F$394,"N/A")&gt;0,"N/A",IF(COUNTIFS('LxI Assessment'!$A$5:$A$394,$A28,'LxI Assessment'!$D$5:$D$394,S$5,'LxI Assessment'!$S$5:$S$394,"&gt;0")=0,"",SUMIFS('LxI Assessment'!$S$5:$S$394,'LxI Assessment'!$A$5:$A$394,$A28,'LxI Assessment'!$D$5:$D$394,S$5)))</f>
        <v>2</v>
      </c>
      <c r="T28" s="31" t="n">
        <f aca="false">IF(COUNTIFS('LxI Assessment'!$A$5:$A$394,$A28,'LxI Assessment'!$D$5:$D$394,T$5,'LxI Assessment'!$F$5:$F$394,"N/A")&gt;0,"N/A",IF(COUNTIFS('LxI Assessment'!$A$5:$A$394,$A28,'LxI Assessment'!$D$5:$D$394,T$5,'LxI Assessment'!$S$5:$S$394,"&gt;0")=0,"",SUMIFS('LxI Assessment'!$S$5:$S$394,'LxI Assessment'!$A$5:$A$394,$A28,'LxI Assessment'!$D$5:$D$394,T$5)))</f>
        <v>1</v>
      </c>
      <c r="U28" s="31" t="n">
        <f aca="false">IF(COUNTIFS('LxI Assessment'!$A$5:$A$394,$A28,'LxI Assessment'!$D$5:$D$394,U$5,'LxI Assessment'!$F$5:$F$394,"N/A")&gt;0,"N/A",IF(COUNTIFS('LxI Assessment'!$A$5:$A$394,$A28,'LxI Assessment'!$D$5:$D$394,U$5,'LxI Assessment'!$S$5:$S$394,"&gt;0")=0,"",SUMIFS('LxI Assessment'!$S$5:$S$394,'LxI Assessment'!$A$5:$A$394,$A28,'LxI Assessment'!$D$5:$D$394,U$5)))</f>
        <v>2</v>
      </c>
      <c r="V28" s="31" t="n">
        <f aca="false">IF(COUNTIFS('LxI Assessment'!$A$5:$A$394,$A28,'LxI Assessment'!$D$5:$D$394,V$5,'LxI Assessment'!$F$5:$F$394,"N/A")&gt;0,"N/A",IF(COUNTIFS('LxI Assessment'!$A$5:$A$394,$A28,'LxI Assessment'!$D$5:$D$394,V$5,'LxI Assessment'!$S$5:$S$394,"&gt;0")=0,"",SUMIFS('LxI Assessment'!$S$5:$S$394,'LxI Assessment'!$A$5:$A$394,$A28,'LxI Assessment'!$D$5:$D$394,V$5)))</f>
        <v>2</v>
      </c>
      <c r="W28" s="34" t="n">
        <f aca="false">MAX(C28:V28)</f>
        <v>3</v>
      </c>
      <c r="X28" s="29" t="n">
        <f aca="false">IFERROR(AVERAGE(C28:V28),"")</f>
        <v>1.68421052631579</v>
      </c>
      <c r="Y28" s="31" t="n">
        <f aca="false">COUNTIF(C28:V28,5)</f>
        <v>0</v>
      </c>
      <c r="Z28" s="31" t="n">
        <f aca="false">COUNTIF(C28:V28,4)</f>
        <v>0</v>
      </c>
      <c r="AA28" s="7" t="str">
        <f aca="false">IF(W28=0,"",INDEX(Config!$B$5:$B$9,W28))</f>
        <v>Medium</v>
      </c>
    </row>
    <row r="29" customFormat="false" ht="15" hidden="false" customHeight="false" outlineLevel="0" collapsed="false">
      <c r="A29" s="26" t="str">
        <f aca="false">Entities!A28</f>
        <v>DE</v>
      </c>
      <c r="B29" s="26" t="str">
        <f aca="false">Entities!B28</f>
        <v>Arab Bank – Germany</v>
      </c>
      <c r="C29" s="31" t="n">
        <f aca="false">IF(COUNTIFS('FC Calculation'!$A$5:$A$214,$A29,'FC Calculation'!$D$5:$D$214,C$5,'FC Calculation'!$T$5:$T$214,"&gt;0")=0,"",SUMIFS('FC Calculation'!$T$5:$T$214,'FC Calculation'!$A$5:$A$214,$A29,'FC Calculation'!$D$5:$D$214,C$5))</f>
        <v>1</v>
      </c>
      <c r="D29" s="31" t="n">
        <f aca="false">IF(COUNTIFS('FC Calculation'!$A$5:$A$214,$A29,'FC Calculation'!$D$5:$D$214,D$5,'FC Calculation'!$T$5:$T$214,"&gt;0")=0,"",SUMIFS('FC Calculation'!$T$5:$T$214,'FC Calculation'!$A$5:$A$214,$A29,'FC Calculation'!$D$5:$D$214,D$5))</f>
        <v>1</v>
      </c>
      <c r="E29" s="31" t="n">
        <f aca="false">IF(COUNTIFS('FC Calculation'!$A$5:$A$214,$A29,'FC Calculation'!$D$5:$D$214,E$5,'FC Calculation'!$T$5:$T$214,"&gt;0")=0,"",SUMIFS('FC Calculation'!$T$5:$T$214,'FC Calculation'!$A$5:$A$214,$A29,'FC Calculation'!$D$5:$D$214,E$5))</f>
        <v>2</v>
      </c>
      <c r="F29" s="31" t="n">
        <f aca="false">IF(COUNTIFS('FC Calculation'!$A$5:$A$214,$A29,'FC Calculation'!$D$5:$D$214,F$5,'FC Calculation'!$T$5:$T$214,"&gt;0")=0,"",SUMIFS('FC Calculation'!$T$5:$T$214,'FC Calculation'!$A$5:$A$214,$A29,'FC Calculation'!$D$5:$D$214,F$5))</f>
        <v>1</v>
      </c>
      <c r="G29" s="31" t="n">
        <f aca="false">IF(COUNTIFS('FC Calculation'!$A$5:$A$214,$A29,'FC Calculation'!$D$5:$D$214,G$5,'FC Calculation'!$T$5:$T$214,"&gt;0")=0,"",SUMIFS('FC Calculation'!$T$5:$T$214,'FC Calculation'!$A$5:$A$214,$A29,'FC Calculation'!$D$5:$D$214,G$5))</f>
        <v>1</v>
      </c>
      <c r="H29" s="31" t="n">
        <f aca="false">IF(COUNTIFS('FC Calculation'!$A$5:$A$214,$A29,'FC Calculation'!$D$5:$D$214,H$5,'FC Calculation'!$T$5:$T$214,"&gt;0")=0,"",SUMIFS('FC Calculation'!$T$5:$T$214,'FC Calculation'!$A$5:$A$214,$A29,'FC Calculation'!$D$5:$D$214,H$5))</f>
        <v>1</v>
      </c>
      <c r="I29" s="31" t="n">
        <f aca="false">IF(COUNTIFS('FC Calculation'!$A$5:$A$214,$A29,'FC Calculation'!$D$5:$D$214,I$5,'FC Calculation'!$T$5:$T$214,"&gt;0")=0,"",SUMIFS('FC Calculation'!$T$5:$T$214,'FC Calculation'!$A$5:$A$214,$A29,'FC Calculation'!$D$5:$D$214,I$5))</f>
        <v>1</v>
      </c>
      <c r="J29" s="31" t="n">
        <f aca="false">IF(COUNTIFS('LxI Assessment'!$A$5:$A$394,$A29,'LxI Assessment'!$D$5:$D$394,J$5,'LxI Assessment'!$F$5:$F$394,"N/A")&gt;0,"N/A",IF(COUNTIFS('LxI Assessment'!$A$5:$A$394,$A29,'LxI Assessment'!$D$5:$D$394,J$5,'LxI Assessment'!$S$5:$S$394,"&gt;0")=0,"",SUMIFS('LxI Assessment'!$S$5:$S$394,'LxI Assessment'!$A$5:$A$394,$A29,'LxI Assessment'!$D$5:$D$394,J$5)))</f>
        <v>1</v>
      </c>
      <c r="K29" s="31" t="n">
        <f aca="false">IF(COUNTIFS('LxI Assessment'!$A$5:$A$394,$A29,'LxI Assessment'!$D$5:$D$394,K$5,'LxI Assessment'!$F$5:$F$394,"N/A")&gt;0,"N/A",IF(COUNTIFS('LxI Assessment'!$A$5:$A$394,$A29,'LxI Assessment'!$D$5:$D$394,K$5,'LxI Assessment'!$S$5:$S$394,"&gt;0")=0,"",SUMIFS('LxI Assessment'!$S$5:$S$394,'LxI Assessment'!$A$5:$A$394,$A29,'LxI Assessment'!$D$5:$D$394,K$5)))</f>
        <v>1</v>
      </c>
      <c r="L29" s="31" t="n">
        <f aca="false">IF(COUNTIFS('LxI Assessment'!$A$5:$A$394,$A29,'LxI Assessment'!$D$5:$D$394,L$5,'LxI Assessment'!$F$5:$F$394,"N/A")&gt;0,"N/A",IF(COUNTIFS('LxI Assessment'!$A$5:$A$394,$A29,'LxI Assessment'!$D$5:$D$394,L$5,'LxI Assessment'!$S$5:$S$394,"&gt;0")=0,"",SUMIFS('LxI Assessment'!$S$5:$S$394,'LxI Assessment'!$A$5:$A$394,$A29,'LxI Assessment'!$D$5:$D$394,L$5)))</f>
        <v>1</v>
      </c>
      <c r="M29" s="31" t="str">
        <f aca="false">IF(COUNTIFS('LxI Assessment'!$A$5:$A$394,$A29,'LxI Assessment'!$D$5:$D$394,M$5,'LxI Assessment'!$F$5:$F$394,"N/A")&gt;0,"N/A",IF(COUNTIFS('LxI Assessment'!$A$5:$A$394,$A29,'LxI Assessment'!$D$5:$D$394,M$5,'LxI Assessment'!$S$5:$S$394,"&gt;0")=0,"",SUMIFS('LxI Assessment'!$S$5:$S$394,'LxI Assessment'!$A$5:$A$394,$A29,'LxI Assessment'!$D$5:$D$394,M$5)))</f>
        <v>N/A</v>
      </c>
      <c r="N29" s="31" t="n">
        <f aca="false">IF(COUNTIFS('LxI Assessment'!$A$5:$A$394,$A29,'LxI Assessment'!$D$5:$D$394,N$5,'LxI Assessment'!$F$5:$F$394,"N/A")&gt;0,"N/A",IF(COUNTIFS('LxI Assessment'!$A$5:$A$394,$A29,'LxI Assessment'!$D$5:$D$394,N$5,'LxI Assessment'!$S$5:$S$394,"&gt;0")=0,"",SUMIFS('LxI Assessment'!$S$5:$S$394,'LxI Assessment'!$A$5:$A$394,$A29,'LxI Assessment'!$D$5:$D$394,N$5)))</f>
        <v>3</v>
      </c>
      <c r="O29" s="31" t="n">
        <f aca="false">IF(COUNTIFS('LxI Assessment'!$A$5:$A$394,$A29,'LxI Assessment'!$D$5:$D$394,O$5,'LxI Assessment'!$F$5:$F$394,"N/A")&gt;0,"N/A",IF(COUNTIFS('LxI Assessment'!$A$5:$A$394,$A29,'LxI Assessment'!$D$5:$D$394,O$5,'LxI Assessment'!$S$5:$S$394,"&gt;0")=0,"",SUMIFS('LxI Assessment'!$S$5:$S$394,'LxI Assessment'!$A$5:$A$394,$A29,'LxI Assessment'!$D$5:$D$394,O$5)))</f>
        <v>2</v>
      </c>
      <c r="P29" s="31" t="n">
        <f aca="false">IF(COUNTIFS('LxI Assessment'!$A$5:$A$394,$A29,'LxI Assessment'!$D$5:$D$394,P$5,'LxI Assessment'!$F$5:$F$394,"N/A")&gt;0,"N/A",IF(COUNTIFS('LxI Assessment'!$A$5:$A$394,$A29,'LxI Assessment'!$D$5:$D$394,P$5,'LxI Assessment'!$S$5:$S$394,"&gt;0")=0,"",SUMIFS('LxI Assessment'!$S$5:$S$394,'LxI Assessment'!$A$5:$A$394,$A29,'LxI Assessment'!$D$5:$D$394,P$5)))</f>
        <v>1</v>
      </c>
      <c r="Q29" s="31" t="n">
        <f aca="false">IF(COUNTIFS('LxI Assessment'!$A$5:$A$394,$A29,'LxI Assessment'!$D$5:$D$394,Q$5,'LxI Assessment'!$F$5:$F$394,"N/A")&gt;0,"N/A",IF(COUNTIFS('LxI Assessment'!$A$5:$A$394,$A29,'LxI Assessment'!$D$5:$D$394,Q$5,'LxI Assessment'!$S$5:$S$394,"&gt;0")=0,"",SUMIFS('LxI Assessment'!$S$5:$S$394,'LxI Assessment'!$A$5:$A$394,$A29,'LxI Assessment'!$D$5:$D$394,Q$5)))</f>
        <v>2</v>
      </c>
      <c r="R29" s="31" t="n">
        <f aca="false">IF(COUNTIFS('LxI Assessment'!$A$5:$A$394,$A29,'LxI Assessment'!$D$5:$D$394,R$5,'LxI Assessment'!$F$5:$F$394,"N/A")&gt;0,"N/A",IF(COUNTIFS('LxI Assessment'!$A$5:$A$394,$A29,'LxI Assessment'!$D$5:$D$394,R$5,'LxI Assessment'!$S$5:$S$394,"&gt;0")=0,"",SUMIFS('LxI Assessment'!$S$5:$S$394,'LxI Assessment'!$A$5:$A$394,$A29,'LxI Assessment'!$D$5:$D$394,R$5)))</f>
        <v>1</v>
      </c>
      <c r="S29" s="31" t="n">
        <f aca="false">IF(COUNTIFS('LxI Assessment'!$A$5:$A$394,$A29,'LxI Assessment'!$D$5:$D$394,S$5,'LxI Assessment'!$F$5:$F$394,"N/A")&gt;0,"N/A",IF(COUNTIFS('LxI Assessment'!$A$5:$A$394,$A29,'LxI Assessment'!$D$5:$D$394,S$5,'LxI Assessment'!$S$5:$S$394,"&gt;0")=0,"",SUMIFS('LxI Assessment'!$S$5:$S$394,'LxI Assessment'!$A$5:$A$394,$A29,'LxI Assessment'!$D$5:$D$394,S$5)))</f>
        <v>1</v>
      </c>
      <c r="T29" s="31" t="n">
        <f aca="false">IF(COUNTIFS('LxI Assessment'!$A$5:$A$394,$A29,'LxI Assessment'!$D$5:$D$394,T$5,'LxI Assessment'!$F$5:$F$394,"N/A")&gt;0,"N/A",IF(COUNTIFS('LxI Assessment'!$A$5:$A$394,$A29,'LxI Assessment'!$D$5:$D$394,T$5,'LxI Assessment'!$S$5:$S$394,"&gt;0")=0,"",SUMIFS('LxI Assessment'!$S$5:$S$394,'LxI Assessment'!$A$5:$A$394,$A29,'LxI Assessment'!$D$5:$D$394,T$5)))</f>
        <v>2</v>
      </c>
      <c r="U29" s="31" t="n">
        <f aca="false">IF(COUNTIFS('LxI Assessment'!$A$5:$A$394,$A29,'LxI Assessment'!$D$5:$D$394,U$5,'LxI Assessment'!$F$5:$F$394,"N/A")&gt;0,"N/A",IF(COUNTIFS('LxI Assessment'!$A$5:$A$394,$A29,'LxI Assessment'!$D$5:$D$394,U$5,'LxI Assessment'!$S$5:$S$394,"&gt;0")=0,"",SUMIFS('LxI Assessment'!$S$5:$S$394,'LxI Assessment'!$A$5:$A$394,$A29,'LxI Assessment'!$D$5:$D$394,U$5)))</f>
        <v>1</v>
      </c>
      <c r="V29" s="31" t="n">
        <f aca="false">IF(COUNTIFS('LxI Assessment'!$A$5:$A$394,$A29,'LxI Assessment'!$D$5:$D$394,V$5,'LxI Assessment'!$F$5:$F$394,"N/A")&gt;0,"N/A",IF(COUNTIFS('LxI Assessment'!$A$5:$A$394,$A29,'LxI Assessment'!$D$5:$D$394,V$5,'LxI Assessment'!$S$5:$S$394,"&gt;0")=0,"",SUMIFS('LxI Assessment'!$S$5:$S$394,'LxI Assessment'!$A$5:$A$394,$A29,'LxI Assessment'!$D$5:$D$394,V$5)))</f>
        <v>1</v>
      </c>
      <c r="W29" s="34" t="n">
        <f aca="false">MAX(C29:V29)</f>
        <v>3</v>
      </c>
      <c r="X29" s="29" t="n">
        <f aca="false">IFERROR(AVERAGE(C29:V29),"")</f>
        <v>1.31578947368421</v>
      </c>
      <c r="Y29" s="31" t="n">
        <f aca="false">COUNTIF(C29:V29,5)</f>
        <v>0</v>
      </c>
      <c r="Z29" s="31" t="n">
        <f aca="false">COUNTIF(C29:V29,4)</f>
        <v>0</v>
      </c>
      <c r="AA29" s="7" t="str">
        <f aca="false">IF(W29=0,"",INDEX(Config!$B$5:$B$9,W29))</f>
        <v>Medium</v>
      </c>
    </row>
    <row r="30" customFormat="false" ht="15" hidden="false" customHeight="false" outlineLevel="0" collapsed="false">
      <c r="A30" s="26" t="str">
        <f aca="false">Entities!A29</f>
        <v>IT</v>
      </c>
      <c r="B30" s="26" t="str">
        <f aca="false">Entities!B29</f>
        <v>Arab Bank – Italy</v>
      </c>
      <c r="C30" s="31" t="n">
        <f aca="false">IF(COUNTIFS('FC Calculation'!$A$5:$A$214,$A30,'FC Calculation'!$D$5:$D$214,C$5,'FC Calculation'!$T$5:$T$214,"&gt;0")=0,"",SUMIFS('FC Calculation'!$T$5:$T$214,'FC Calculation'!$A$5:$A$214,$A30,'FC Calculation'!$D$5:$D$214,C$5))</f>
        <v>2</v>
      </c>
      <c r="D30" s="31" t="n">
        <f aca="false">IF(COUNTIFS('FC Calculation'!$A$5:$A$214,$A30,'FC Calculation'!$D$5:$D$214,D$5,'FC Calculation'!$T$5:$T$214,"&gt;0")=0,"",SUMIFS('FC Calculation'!$T$5:$T$214,'FC Calculation'!$A$5:$A$214,$A30,'FC Calculation'!$D$5:$D$214,D$5))</f>
        <v>1</v>
      </c>
      <c r="E30" s="31" t="n">
        <f aca="false">IF(COUNTIFS('FC Calculation'!$A$5:$A$214,$A30,'FC Calculation'!$D$5:$D$214,E$5,'FC Calculation'!$T$5:$T$214,"&gt;0")=0,"",SUMIFS('FC Calculation'!$T$5:$T$214,'FC Calculation'!$A$5:$A$214,$A30,'FC Calculation'!$D$5:$D$214,E$5))</f>
        <v>2</v>
      </c>
      <c r="F30" s="31" t="n">
        <f aca="false">IF(COUNTIFS('FC Calculation'!$A$5:$A$214,$A30,'FC Calculation'!$D$5:$D$214,F$5,'FC Calculation'!$T$5:$T$214,"&gt;0")=0,"",SUMIFS('FC Calculation'!$T$5:$T$214,'FC Calculation'!$A$5:$A$214,$A30,'FC Calculation'!$D$5:$D$214,F$5))</f>
        <v>2</v>
      </c>
      <c r="G30" s="31" t="n">
        <f aca="false">IF(COUNTIFS('FC Calculation'!$A$5:$A$214,$A30,'FC Calculation'!$D$5:$D$214,G$5,'FC Calculation'!$T$5:$T$214,"&gt;0")=0,"",SUMIFS('FC Calculation'!$T$5:$T$214,'FC Calculation'!$A$5:$A$214,$A30,'FC Calculation'!$D$5:$D$214,G$5))</f>
        <v>2</v>
      </c>
      <c r="H30" s="31" t="n">
        <f aca="false">IF(COUNTIFS('FC Calculation'!$A$5:$A$214,$A30,'FC Calculation'!$D$5:$D$214,H$5,'FC Calculation'!$T$5:$T$214,"&gt;0")=0,"",SUMIFS('FC Calculation'!$T$5:$T$214,'FC Calculation'!$A$5:$A$214,$A30,'FC Calculation'!$D$5:$D$214,H$5))</f>
        <v>2</v>
      </c>
      <c r="I30" s="31" t="n">
        <f aca="false">IF(COUNTIFS('FC Calculation'!$A$5:$A$214,$A30,'FC Calculation'!$D$5:$D$214,I$5,'FC Calculation'!$T$5:$T$214,"&gt;0")=0,"",SUMIFS('FC Calculation'!$T$5:$T$214,'FC Calculation'!$A$5:$A$214,$A30,'FC Calculation'!$D$5:$D$214,I$5))</f>
        <v>2</v>
      </c>
      <c r="J30" s="31" t="n">
        <f aca="false">IF(COUNTIFS('LxI Assessment'!$A$5:$A$394,$A30,'LxI Assessment'!$D$5:$D$394,J$5,'LxI Assessment'!$F$5:$F$394,"N/A")&gt;0,"N/A",IF(COUNTIFS('LxI Assessment'!$A$5:$A$394,$A30,'LxI Assessment'!$D$5:$D$394,J$5,'LxI Assessment'!$S$5:$S$394,"&gt;0")=0,"",SUMIFS('LxI Assessment'!$S$5:$S$394,'LxI Assessment'!$A$5:$A$394,$A30,'LxI Assessment'!$D$5:$D$394,J$5)))</f>
        <v>3</v>
      </c>
      <c r="K30" s="31" t="n">
        <f aca="false">IF(COUNTIFS('LxI Assessment'!$A$5:$A$394,$A30,'LxI Assessment'!$D$5:$D$394,K$5,'LxI Assessment'!$F$5:$F$394,"N/A")&gt;0,"N/A",IF(COUNTIFS('LxI Assessment'!$A$5:$A$394,$A30,'LxI Assessment'!$D$5:$D$394,K$5,'LxI Assessment'!$S$5:$S$394,"&gt;0")=0,"",SUMIFS('LxI Assessment'!$S$5:$S$394,'LxI Assessment'!$A$5:$A$394,$A30,'LxI Assessment'!$D$5:$D$394,K$5)))</f>
        <v>1</v>
      </c>
      <c r="L30" s="31" t="n">
        <f aca="false">IF(COUNTIFS('LxI Assessment'!$A$5:$A$394,$A30,'LxI Assessment'!$D$5:$D$394,L$5,'LxI Assessment'!$F$5:$F$394,"N/A")&gt;0,"N/A",IF(COUNTIFS('LxI Assessment'!$A$5:$A$394,$A30,'LxI Assessment'!$D$5:$D$394,L$5,'LxI Assessment'!$S$5:$S$394,"&gt;0")=0,"",SUMIFS('LxI Assessment'!$S$5:$S$394,'LxI Assessment'!$A$5:$A$394,$A30,'LxI Assessment'!$D$5:$D$394,L$5)))</f>
        <v>3</v>
      </c>
      <c r="M30" s="31" t="str">
        <f aca="false">IF(COUNTIFS('LxI Assessment'!$A$5:$A$394,$A30,'LxI Assessment'!$D$5:$D$394,M$5,'LxI Assessment'!$F$5:$F$394,"N/A")&gt;0,"N/A",IF(COUNTIFS('LxI Assessment'!$A$5:$A$394,$A30,'LxI Assessment'!$D$5:$D$394,M$5,'LxI Assessment'!$S$5:$S$394,"&gt;0")=0,"",SUMIFS('LxI Assessment'!$S$5:$S$394,'LxI Assessment'!$A$5:$A$394,$A30,'LxI Assessment'!$D$5:$D$394,M$5)))</f>
        <v>N/A</v>
      </c>
      <c r="N30" s="31" t="n">
        <f aca="false">IF(COUNTIFS('LxI Assessment'!$A$5:$A$394,$A30,'LxI Assessment'!$D$5:$D$394,N$5,'LxI Assessment'!$F$5:$F$394,"N/A")&gt;0,"N/A",IF(COUNTIFS('LxI Assessment'!$A$5:$A$394,$A30,'LxI Assessment'!$D$5:$D$394,N$5,'LxI Assessment'!$S$5:$S$394,"&gt;0")=0,"",SUMIFS('LxI Assessment'!$S$5:$S$394,'LxI Assessment'!$A$5:$A$394,$A30,'LxI Assessment'!$D$5:$D$394,N$5)))</f>
        <v>1</v>
      </c>
      <c r="O30" s="31" t="n">
        <f aca="false">IF(COUNTIFS('LxI Assessment'!$A$5:$A$394,$A30,'LxI Assessment'!$D$5:$D$394,O$5,'LxI Assessment'!$F$5:$F$394,"N/A")&gt;0,"N/A",IF(COUNTIFS('LxI Assessment'!$A$5:$A$394,$A30,'LxI Assessment'!$D$5:$D$394,O$5,'LxI Assessment'!$S$5:$S$394,"&gt;0")=0,"",SUMIFS('LxI Assessment'!$S$5:$S$394,'LxI Assessment'!$A$5:$A$394,$A30,'LxI Assessment'!$D$5:$D$394,O$5)))</f>
        <v>2</v>
      </c>
      <c r="P30" s="31" t="n">
        <f aca="false">IF(COUNTIFS('LxI Assessment'!$A$5:$A$394,$A30,'LxI Assessment'!$D$5:$D$394,P$5,'LxI Assessment'!$F$5:$F$394,"N/A")&gt;0,"N/A",IF(COUNTIFS('LxI Assessment'!$A$5:$A$394,$A30,'LxI Assessment'!$D$5:$D$394,P$5,'LxI Assessment'!$S$5:$S$394,"&gt;0")=0,"",SUMIFS('LxI Assessment'!$S$5:$S$394,'LxI Assessment'!$A$5:$A$394,$A30,'LxI Assessment'!$D$5:$D$394,P$5)))</f>
        <v>3</v>
      </c>
      <c r="Q30" s="31" t="n">
        <f aca="false">IF(COUNTIFS('LxI Assessment'!$A$5:$A$394,$A30,'LxI Assessment'!$D$5:$D$394,Q$5,'LxI Assessment'!$F$5:$F$394,"N/A")&gt;0,"N/A",IF(COUNTIFS('LxI Assessment'!$A$5:$A$394,$A30,'LxI Assessment'!$D$5:$D$394,Q$5,'LxI Assessment'!$S$5:$S$394,"&gt;0")=0,"",SUMIFS('LxI Assessment'!$S$5:$S$394,'LxI Assessment'!$A$5:$A$394,$A30,'LxI Assessment'!$D$5:$D$394,Q$5)))</f>
        <v>3</v>
      </c>
      <c r="R30" s="31" t="n">
        <f aca="false">IF(COUNTIFS('LxI Assessment'!$A$5:$A$394,$A30,'LxI Assessment'!$D$5:$D$394,R$5,'LxI Assessment'!$F$5:$F$394,"N/A")&gt;0,"N/A",IF(COUNTIFS('LxI Assessment'!$A$5:$A$394,$A30,'LxI Assessment'!$D$5:$D$394,R$5,'LxI Assessment'!$S$5:$S$394,"&gt;0")=0,"",SUMIFS('LxI Assessment'!$S$5:$S$394,'LxI Assessment'!$A$5:$A$394,$A30,'LxI Assessment'!$D$5:$D$394,R$5)))</f>
        <v>1</v>
      </c>
      <c r="S30" s="31" t="n">
        <f aca="false">IF(COUNTIFS('LxI Assessment'!$A$5:$A$394,$A30,'LxI Assessment'!$D$5:$D$394,S$5,'LxI Assessment'!$F$5:$F$394,"N/A")&gt;0,"N/A",IF(COUNTIFS('LxI Assessment'!$A$5:$A$394,$A30,'LxI Assessment'!$D$5:$D$394,S$5,'LxI Assessment'!$S$5:$S$394,"&gt;0")=0,"",SUMIFS('LxI Assessment'!$S$5:$S$394,'LxI Assessment'!$A$5:$A$394,$A30,'LxI Assessment'!$D$5:$D$394,S$5)))</f>
        <v>1</v>
      </c>
      <c r="T30" s="31" t="n">
        <f aca="false">IF(COUNTIFS('LxI Assessment'!$A$5:$A$394,$A30,'LxI Assessment'!$D$5:$D$394,T$5,'LxI Assessment'!$F$5:$F$394,"N/A")&gt;0,"N/A",IF(COUNTIFS('LxI Assessment'!$A$5:$A$394,$A30,'LxI Assessment'!$D$5:$D$394,T$5,'LxI Assessment'!$S$5:$S$394,"&gt;0")=0,"",SUMIFS('LxI Assessment'!$S$5:$S$394,'LxI Assessment'!$A$5:$A$394,$A30,'LxI Assessment'!$D$5:$D$394,T$5)))</f>
        <v>1</v>
      </c>
      <c r="U30" s="31" t="n">
        <f aca="false">IF(COUNTIFS('LxI Assessment'!$A$5:$A$394,$A30,'LxI Assessment'!$D$5:$D$394,U$5,'LxI Assessment'!$F$5:$F$394,"N/A")&gt;0,"N/A",IF(COUNTIFS('LxI Assessment'!$A$5:$A$394,$A30,'LxI Assessment'!$D$5:$D$394,U$5,'LxI Assessment'!$S$5:$S$394,"&gt;0")=0,"",SUMIFS('LxI Assessment'!$S$5:$S$394,'LxI Assessment'!$A$5:$A$394,$A30,'LxI Assessment'!$D$5:$D$394,U$5)))</f>
        <v>3</v>
      </c>
      <c r="V30" s="31" t="n">
        <f aca="false">IF(COUNTIFS('LxI Assessment'!$A$5:$A$394,$A30,'LxI Assessment'!$D$5:$D$394,V$5,'LxI Assessment'!$F$5:$F$394,"N/A")&gt;0,"N/A",IF(COUNTIFS('LxI Assessment'!$A$5:$A$394,$A30,'LxI Assessment'!$D$5:$D$394,V$5,'LxI Assessment'!$S$5:$S$394,"&gt;0")=0,"",SUMIFS('LxI Assessment'!$S$5:$S$394,'LxI Assessment'!$A$5:$A$394,$A30,'LxI Assessment'!$D$5:$D$394,V$5)))</f>
        <v>1</v>
      </c>
      <c r="W30" s="34" t="n">
        <f aca="false">MAX(C30:V30)</f>
        <v>3</v>
      </c>
      <c r="X30" s="29" t="n">
        <f aca="false">IFERROR(AVERAGE(C30:V30),"")</f>
        <v>1.89473684210526</v>
      </c>
      <c r="Y30" s="31" t="n">
        <f aca="false">COUNTIF(C30:V30,5)</f>
        <v>0</v>
      </c>
      <c r="Z30" s="31" t="n">
        <f aca="false">COUNTIF(C30:V30,4)</f>
        <v>0</v>
      </c>
      <c r="AA30" s="7" t="str">
        <f aca="false">IF(W30=0,"",INDEX(Config!$B$5:$B$9,W30))</f>
        <v>Medium</v>
      </c>
    </row>
    <row r="31" customFormat="false" ht="15" hidden="false" customHeight="false" outlineLevel="0" collapsed="false">
      <c r="A31" s="26" t="str">
        <f aca="false">Entities!A30</f>
        <v>CH</v>
      </c>
      <c r="B31" s="26" t="str">
        <f aca="false">Entities!B30</f>
        <v>Arab Bank (Switzerland) – sister company</v>
      </c>
      <c r="C31" s="31" t="n">
        <f aca="false">IF(COUNTIFS('FC Calculation'!$A$5:$A$214,$A31,'FC Calculation'!$D$5:$D$214,C$5,'FC Calculation'!$T$5:$T$214,"&gt;0")=0,"",SUMIFS('FC Calculation'!$T$5:$T$214,'FC Calculation'!$A$5:$A$214,$A31,'FC Calculation'!$D$5:$D$214,C$5))</f>
        <v>2</v>
      </c>
      <c r="D31" s="31" t="n">
        <f aca="false">IF(COUNTIFS('FC Calculation'!$A$5:$A$214,$A31,'FC Calculation'!$D$5:$D$214,D$5,'FC Calculation'!$T$5:$T$214,"&gt;0")=0,"",SUMIFS('FC Calculation'!$T$5:$T$214,'FC Calculation'!$A$5:$A$214,$A31,'FC Calculation'!$D$5:$D$214,D$5))</f>
        <v>2</v>
      </c>
      <c r="E31" s="31" t="n">
        <f aca="false">IF(COUNTIFS('FC Calculation'!$A$5:$A$214,$A31,'FC Calculation'!$D$5:$D$214,E$5,'FC Calculation'!$T$5:$T$214,"&gt;0")=0,"",SUMIFS('FC Calculation'!$T$5:$T$214,'FC Calculation'!$A$5:$A$214,$A31,'FC Calculation'!$D$5:$D$214,E$5))</f>
        <v>2</v>
      </c>
      <c r="F31" s="31" t="n">
        <f aca="false">IF(COUNTIFS('FC Calculation'!$A$5:$A$214,$A31,'FC Calculation'!$D$5:$D$214,F$5,'FC Calculation'!$T$5:$T$214,"&gt;0")=0,"",SUMIFS('FC Calculation'!$T$5:$T$214,'FC Calculation'!$A$5:$A$214,$A31,'FC Calculation'!$D$5:$D$214,F$5))</f>
        <v>2</v>
      </c>
      <c r="G31" s="31" t="n">
        <f aca="false">IF(COUNTIFS('FC Calculation'!$A$5:$A$214,$A31,'FC Calculation'!$D$5:$D$214,G$5,'FC Calculation'!$T$5:$T$214,"&gt;0")=0,"",SUMIFS('FC Calculation'!$T$5:$T$214,'FC Calculation'!$A$5:$A$214,$A31,'FC Calculation'!$D$5:$D$214,G$5))</f>
        <v>2</v>
      </c>
      <c r="H31" s="31" t="n">
        <f aca="false">IF(COUNTIFS('FC Calculation'!$A$5:$A$214,$A31,'FC Calculation'!$D$5:$D$214,H$5,'FC Calculation'!$T$5:$T$214,"&gt;0")=0,"",SUMIFS('FC Calculation'!$T$5:$T$214,'FC Calculation'!$A$5:$A$214,$A31,'FC Calculation'!$D$5:$D$214,H$5))</f>
        <v>2</v>
      </c>
      <c r="I31" s="31" t="n">
        <f aca="false">IF(COUNTIFS('FC Calculation'!$A$5:$A$214,$A31,'FC Calculation'!$D$5:$D$214,I$5,'FC Calculation'!$T$5:$T$214,"&gt;0")=0,"",SUMIFS('FC Calculation'!$T$5:$T$214,'FC Calculation'!$A$5:$A$214,$A31,'FC Calculation'!$D$5:$D$214,I$5))</f>
        <v>2</v>
      </c>
      <c r="J31" s="31" t="n">
        <f aca="false">IF(COUNTIFS('LxI Assessment'!$A$5:$A$394,$A31,'LxI Assessment'!$D$5:$D$394,J$5,'LxI Assessment'!$F$5:$F$394,"N/A")&gt;0,"N/A",IF(COUNTIFS('LxI Assessment'!$A$5:$A$394,$A31,'LxI Assessment'!$D$5:$D$394,J$5,'LxI Assessment'!$S$5:$S$394,"&gt;0")=0,"",SUMIFS('LxI Assessment'!$S$5:$S$394,'LxI Assessment'!$A$5:$A$394,$A31,'LxI Assessment'!$D$5:$D$394,J$5)))</f>
        <v>3</v>
      </c>
      <c r="K31" s="31" t="n">
        <f aca="false">IF(COUNTIFS('LxI Assessment'!$A$5:$A$394,$A31,'LxI Assessment'!$D$5:$D$394,K$5,'LxI Assessment'!$F$5:$F$394,"N/A")&gt;0,"N/A",IF(COUNTIFS('LxI Assessment'!$A$5:$A$394,$A31,'LxI Assessment'!$D$5:$D$394,K$5,'LxI Assessment'!$S$5:$S$394,"&gt;0")=0,"",SUMIFS('LxI Assessment'!$S$5:$S$394,'LxI Assessment'!$A$5:$A$394,$A31,'LxI Assessment'!$D$5:$D$394,K$5)))</f>
        <v>2</v>
      </c>
      <c r="L31" s="31" t="n">
        <f aca="false">IF(COUNTIFS('LxI Assessment'!$A$5:$A$394,$A31,'LxI Assessment'!$D$5:$D$394,L$5,'LxI Assessment'!$F$5:$F$394,"N/A")&gt;0,"N/A",IF(COUNTIFS('LxI Assessment'!$A$5:$A$394,$A31,'LxI Assessment'!$D$5:$D$394,L$5,'LxI Assessment'!$S$5:$S$394,"&gt;0")=0,"",SUMIFS('LxI Assessment'!$S$5:$S$394,'LxI Assessment'!$A$5:$A$394,$A31,'LxI Assessment'!$D$5:$D$394,L$5)))</f>
        <v>1</v>
      </c>
      <c r="M31" s="31" t="str">
        <f aca="false">IF(COUNTIFS('LxI Assessment'!$A$5:$A$394,$A31,'LxI Assessment'!$D$5:$D$394,M$5,'LxI Assessment'!$F$5:$F$394,"N/A")&gt;0,"N/A",IF(COUNTIFS('LxI Assessment'!$A$5:$A$394,$A31,'LxI Assessment'!$D$5:$D$394,M$5,'LxI Assessment'!$S$5:$S$394,"&gt;0")=0,"",SUMIFS('LxI Assessment'!$S$5:$S$394,'LxI Assessment'!$A$5:$A$394,$A31,'LxI Assessment'!$D$5:$D$394,M$5)))</f>
        <v>N/A</v>
      </c>
      <c r="N31" s="31" t="n">
        <f aca="false">IF(COUNTIFS('LxI Assessment'!$A$5:$A$394,$A31,'LxI Assessment'!$D$5:$D$394,N$5,'LxI Assessment'!$F$5:$F$394,"N/A")&gt;0,"N/A",IF(COUNTIFS('LxI Assessment'!$A$5:$A$394,$A31,'LxI Assessment'!$D$5:$D$394,N$5,'LxI Assessment'!$S$5:$S$394,"&gt;0")=0,"",SUMIFS('LxI Assessment'!$S$5:$S$394,'LxI Assessment'!$A$5:$A$394,$A31,'LxI Assessment'!$D$5:$D$394,N$5)))</f>
        <v>3</v>
      </c>
      <c r="O31" s="31" t="n">
        <f aca="false">IF(COUNTIFS('LxI Assessment'!$A$5:$A$394,$A31,'LxI Assessment'!$D$5:$D$394,O$5,'LxI Assessment'!$F$5:$F$394,"N/A")&gt;0,"N/A",IF(COUNTIFS('LxI Assessment'!$A$5:$A$394,$A31,'LxI Assessment'!$D$5:$D$394,O$5,'LxI Assessment'!$S$5:$S$394,"&gt;0")=0,"",SUMIFS('LxI Assessment'!$S$5:$S$394,'LxI Assessment'!$A$5:$A$394,$A31,'LxI Assessment'!$D$5:$D$394,O$5)))</f>
        <v>2</v>
      </c>
      <c r="P31" s="31" t="n">
        <f aca="false">IF(COUNTIFS('LxI Assessment'!$A$5:$A$394,$A31,'LxI Assessment'!$D$5:$D$394,P$5,'LxI Assessment'!$F$5:$F$394,"N/A")&gt;0,"N/A",IF(COUNTIFS('LxI Assessment'!$A$5:$A$394,$A31,'LxI Assessment'!$D$5:$D$394,P$5,'LxI Assessment'!$S$5:$S$394,"&gt;0")=0,"",SUMIFS('LxI Assessment'!$S$5:$S$394,'LxI Assessment'!$A$5:$A$394,$A31,'LxI Assessment'!$D$5:$D$394,P$5)))</f>
        <v>3</v>
      </c>
      <c r="Q31" s="31" t="n">
        <f aca="false">IF(COUNTIFS('LxI Assessment'!$A$5:$A$394,$A31,'LxI Assessment'!$D$5:$D$394,Q$5,'LxI Assessment'!$F$5:$F$394,"N/A")&gt;0,"N/A",IF(COUNTIFS('LxI Assessment'!$A$5:$A$394,$A31,'LxI Assessment'!$D$5:$D$394,Q$5,'LxI Assessment'!$S$5:$S$394,"&gt;0")=0,"",SUMIFS('LxI Assessment'!$S$5:$S$394,'LxI Assessment'!$A$5:$A$394,$A31,'LxI Assessment'!$D$5:$D$394,Q$5)))</f>
        <v>2</v>
      </c>
      <c r="R31" s="31" t="n">
        <f aca="false">IF(COUNTIFS('LxI Assessment'!$A$5:$A$394,$A31,'LxI Assessment'!$D$5:$D$394,R$5,'LxI Assessment'!$F$5:$F$394,"N/A")&gt;0,"N/A",IF(COUNTIFS('LxI Assessment'!$A$5:$A$394,$A31,'LxI Assessment'!$D$5:$D$394,R$5,'LxI Assessment'!$S$5:$S$394,"&gt;0")=0,"",SUMIFS('LxI Assessment'!$S$5:$S$394,'LxI Assessment'!$A$5:$A$394,$A31,'LxI Assessment'!$D$5:$D$394,R$5)))</f>
        <v>3</v>
      </c>
      <c r="S31" s="31" t="n">
        <f aca="false">IF(COUNTIFS('LxI Assessment'!$A$5:$A$394,$A31,'LxI Assessment'!$D$5:$D$394,S$5,'LxI Assessment'!$F$5:$F$394,"N/A")&gt;0,"N/A",IF(COUNTIFS('LxI Assessment'!$A$5:$A$394,$A31,'LxI Assessment'!$D$5:$D$394,S$5,'LxI Assessment'!$S$5:$S$394,"&gt;0")=0,"",SUMIFS('LxI Assessment'!$S$5:$S$394,'LxI Assessment'!$A$5:$A$394,$A31,'LxI Assessment'!$D$5:$D$394,S$5)))</f>
        <v>1</v>
      </c>
      <c r="T31" s="31" t="n">
        <f aca="false">IF(COUNTIFS('LxI Assessment'!$A$5:$A$394,$A31,'LxI Assessment'!$D$5:$D$394,T$5,'LxI Assessment'!$F$5:$F$394,"N/A")&gt;0,"N/A",IF(COUNTIFS('LxI Assessment'!$A$5:$A$394,$A31,'LxI Assessment'!$D$5:$D$394,T$5,'LxI Assessment'!$S$5:$S$394,"&gt;0")=0,"",SUMIFS('LxI Assessment'!$S$5:$S$394,'LxI Assessment'!$A$5:$A$394,$A31,'LxI Assessment'!$D$5:$D$394,T$5)))</f>
        <v>2</v>
      </c>
      <c r="U31" s="31" t="n">
        <f aca="false">IF(COUNTIFS('LxI Assessment'!$A$5:$A$394,$A31,'LxI Assessment'!$D$5:$D$394,U$5,'LxI Assessment'!$F$5:$F$394,"N/A")&gt;0,"N/A",IF(COUNTIFS('LxI Assessment'!$A$5:$A$394,$A31,'LxI Assessment'!$D$5:$D$394,U$5,'LxI Assessment'!$S$5:$S$394,"&gt;0")=0,"",SUMIFS('LxI Assessment'!$S$5:$S$394,'LxI Assessment'!$A$5:$A$394,$A31,'LxI Assessment'!$D$5:$D$394,U$5)))</f>
        <v>2</v>
      </c>
      <c r="V31" s="31" t="n">
        <f aca="false">IF(COUNTIFS('LxI Assessment'!$A$5:$A$394,$A31,'LxI Assessment'!$D$5:$D$394,V$5,'LxI Assessment'!$F$5:$F$394,"N/A")&gt;0,"N/A",IF(COUNTIFS('LxI Assessment'!$A$5:$A$394,$A31,'LxI Assessment'!$D$5:$D$394,V$5,'LxI Assessment'!$S$5:$S$394,"&gt;0")=0,"",SUMIFS('LxI Assessment'!$S$5:$S$394,'LxI Assessment'!$A$5:$A$394,$A31,'LxI Assessment'!$D$5:$D$394,V$5)))</f>
        <v>1</v>
      </c>
      <c r="W31" s="34" t="n">
        <f aca="false">MAX(C31:V31)</f>
        <v>3</v>
      </c>
      <c r="X31" s="29" t="n">
        <f aca="false">IFERROR(AVERAGE(C31:V31),"")</f>
        <v>2.05263157894737</v>
      </c>
      <c r="Y31" s="31" t="n">
        <f aca="false">COUNTIF(C31:V31,5)</f>
        <v>0</v>
      </c>
      <c r="Z31" s="31" t="n">
        <f aca="false">COUNTIF(C31:V31,4)</f>
        <v>0</v>
      </c>
      <c r="AA31" s="7" t="str">
        <f aca="false">IF(W31=0,"",INDEX(Config!$B$5:$B$9,W31))</f>
        <v>Medium</v>
      </c>
    </row>
    <row r="32" customFormat="false" ht="15" hidden="false" customHeight="false" outlineLevel="0" collapsed="false">
      <c r="A32" s="26" t="str">
        <f aca="false">Entities!A31</f>
        <v>SG</v>
      </c>
      <c r="B32" s="26" t="str">
        <f aca="false">Entities!B31</f>
        <v>Arab Bank – Singapore</v>
      </c>
      <c r="C32" s="31" t="n">
        <f aca="false">IF(COUNTIFS('FC Calculation'!$A$5:$A$214,$A32,'FC Calculation'!$D$5:$D$214,C$5,'FC Calculation'!$T$5:$T$214,"&gt;0")=0,"",SUMIFS('FC Calculation'!$T$5:$T$214,'FC Calculation'!$A$5:$A$214,$A32,'FC Calculation'!$D$5:$D$214,C$5))</f>
        <v>2</v>
      </c>
      <c r="D32" s="31" t="n">
        <f aca="false">IF(COUNTIFS('FC Calculation'!$A$5:$A$214,$A32,'FC Calculation'!$D$5:$D$214,D$5,'FC Calculation'!$T$5:$T$214,"&gt;0")=0,"",SUMIFS('FC Calculation'!$T$5:$T$214,'FC Calculation'!$A$5:$A$214,$A32,'FC Calculation'!$D$5:$D$214,D$5))</f>
        <v>2</v>
      </c>
      <c r="E32" s="31" t="n">
        <f aca="false">IF(COUNTIFS('FC Calculation'!$A$5:$A$214,$A32,'FC Calculation'!$D$5:$D$214,E$5,'FC Calculation'!$T$5:$T$214,"&gt;0")=0,"",SUMIFS('FC Calculation'!$T$5:$T$214,'FC Calculation'!$A$5:$A$214,$A32,'FC Calculation'!$D$5:$D$214,E$5))</f>
        <v>2</v>
      </c>
      <c r="F32" s="31" t="n">
        <f aca="false">IF(COUNTIFS('FC Calculation'!$A$5:$A$214,$A32,'FC Calculation'!$D$5:$D$214,F$5,'FC Calculation'!$T$5:$T$214,"&gt;0")=0,"",SUMIFS('FC Calculation'!$T$5:$T$214,'FC Calculation'!$A$5:$A$214,$A32,'FC Calculation'!$D$5:$D$214,F$5))</f>
        <v>2</v>
      </c>
      <c r="G32" s="31" t="n">
        <f aca="false">IF(COUNTIFS('FC Calculation'!$A$5:$A$214,$A32,'FC Calculation'!$D$5:$D$214,G$5,'FC Calculation'!$T$5:$T$214,"&gt;0")=0,"",SUMIFS('FC Calculation'!$T$5:$T$214,'FC Calculation'!$A$5:$A$214,$A32,'FC Calculation'!$D$5:$D$214,G$5))</f>
        <v>2</v>
      </c>
      <c r="H32" s="31" t="n">
        <f aca="false">IF(COUNTIFS('FC Calculation'!$A$5:$A$214,$A32,'FC Calculation'!$D$5:$D$214,H$5,'FC Calculation'!$T$5:$T$214,"&gt;0")=0,"",SUMIFS('FC Calculation'!$T$5:$T$214,'FC Calculation'!$A$5:$A$214,$A32,'FC Calculation'!$D$5:$D$214,H$5))</f>
        <v>1</v>
      </c>
      <c r="I32" s="31" t="n">
        <f aca="false">IF(COUNTIFS('FC Calculation'!$A$5:$A$214,$A32,'FC Calculation'!$D$5:$D$214,I$5,'FC Calculation'!$T$5:$T$214,"&gt;0")=0,"",SUMIFS('FC Calculation'!$T$5:$T$214,'FC Calculation'!$A$5:$A$214,$A32,'FC Calculation'!$D$5:$D$214,I$5))</f>
        <v>2</v>
      </c>
      <c r="J32" s="31" t="n">
        <f aca="false">IF(COUNTIFS('LxI Assessment'!$A$5:$A$394,$A32,'LxI Assessment'!$D$5:$D$394,J$5,'LxI Assessment'!$F$5:$F$394,"N/A")&gt;0,"N/A",IF(COUNTIFS('LxI Assessment'!$A$5:$A$394,$A32,'LxI Assessment'!$D$5:$D$394,J$5,'LxI Assessment'!$S$5:$S$394,"&gt;0")=0,"",SUMIFS('LxI Assessment'!$S$5:$S$394,'LxI Assessment'!$A$5:$A$394,$A32,'LxI Assessment'!$D$5:$D$394,J$5)))</f>
        <v>2</v>
      </c>
      <c r="K32" s="31" t="n">
        <f aca="false">IF(COUNTIFS('LxI Assessment'!$A$5:$A$394,$A32,'LxI Assessment'!$D$5:$D$394,K$5,'LxI Assessment'!$F$5:$F$394,"N/A")&gt;0,"N/A",IF(COUNTIFS('LxI Assessment'!$A$5:$A$394,$A32,'LxI Assessment'!$D$5:$D$394,K$5,'LxI Assessment'!$S$5:$S$394,"&gt;0")=0,"",SUMIFS('LxI Assessment'!$S$5:$S$394,'LxI Assessment'!$A$5:$A$394,$A32,'LxI Assessment'!$D$5:$D$394,K$5)))</f>
        <v>2</v>
      </c>
      <c r="L32" s="31" t="n">
        <f aca="false">IF(COUNTIFS('LxI Assessment'!$A$5:$A$394,$A32,'LxI Assessment'!$D$5:$D$394,L$5,'LxI Assessment'!$F$5:$F$394,"N/A")&gt;0,"N/A",IF(COUNTIFS('LxI Assessment'!$A$5:$A$394,$A32,'LxI Assessment'!$D$5:$D$394,L$5,'LxI Assessment'!$S$5:$S$394,"&gt;0")=0,"",SUMIFS('LxI Assessment'!$S$5:$S$394,'LxI Assessment'!$A$5:$A$394,$A32,'LxI Assessment'!$D$5:$D$394,L$5)))</f>
        <v>2</v>
      </c>
      <c r="M32" s="31" t="str">
        <f aca="false">IF(COUNTIFS('LxI Assessment'!$A$5:$A$394,$A32,'LxI Assessment'!$D$5:$D$394,M$5,'LxI Assessment'!$F$5:$F$394,"N/A")&gt;0,"N/A",IF(COUNTIFS('LxI Assessment'!$A$5:$A$394,$A32,'LxI Assessment'!$D$5:$D$394,M$5,'LxI Assessment'!$S$5:$S$394,"&gt;0")=0,"",SUMIFS('LxI Assessment'!$S$5:$S$394,'LxI Assessment'!$A$5:$A$394,$A32,'LxI Assessment'!$D$5:$D$394,M$5)))</f>
        <v>N/A</v>
      </c>
      <c r="N32" s="31" t="n">
        <f aca="false">IF(COUNTIFS('LxI Assessment'!$A$5:$A$394,$A32,'LxI Assessment'!$D$5:$D$394,N$5,'LxI Assessment'!$F$5:$F$394,"N/A")&gt;0,"N/A",IF(COUNTIFS('LxI Assessment'!$A$5:$A$394,$A32,'LxI Assessment'!$D$5:$D$394,N$5,'LxI Assessment'!$S$5:$S$394,"&gt;0")=0,"",SUMIFS('LxI Assessment'!$S$5:$S$394,'LxI Assessment'!$A$5:$A$394,$A32,'LxI Assessment'!$D$5:$D$394,N$5)))</f>
        <v>2</v>
      </c>
      <c r="O32" s="31" t="n">
        <f aca="false">IF(COUNTIFS('LxI Assessment'!$A$5:$A$394,$A32,'LxI Assessment'!$D$5:$D$394,O$5,'LxI Assessment'!$F$5:$F$394,"N/A")&gt;0,"N/A",IF(COUNTIFS('LxI Assessment'!$A$5:$A$394,$A32,'LxI Assessment'!$D$5:$D$394,O$5,'LxI Assessment'!$S$5:$S$394,"&gt;0")=0,"",SUMIFS('LxI Assessment'!$S$5:$S$394,'LxI Assessment'!$A$5:$A$394,$A32,'LxI Assessment'!$D$5:$D$394,O$5)))</f>
        <v>3</v>
      </c>
      <c r="P32" s="31" t="n">
        <f aca="false">IF(COUNTIFS('LxI Assessment'!$A$5:$A$394,$A32,'LxI Assessment'!$D$5:$D$394,P$5,'LxI Assessment'!$F$5:$F$394,"N/A")&gt;0,"N/A",IF(COUNTIFS('LxI Assessment'!$A$5:$A$394,$A32,'LxI Assessment'!$D$5:$D$394,P$5,'LxI Assessment'!$S$5:$S$394,"&gt;0")=0,"",SUMIFS('LxI Assessment'!$S$5:$S$394,'LxI Assessment'!$A$5:$A$394,$A32,'LxI Assessment'!$D$5:$D$394,P$5)))</f>
        <v>2</v>
      </c>
      <c r="Q32" s="31" t="n">
        <f aca="false">IF(COUNTIFS('LxI Assessment'!$A$5:$A$394,$A32,'LxI Assessment'!$D$5:$D$394,Q$5,'LxI Assessment'!$F$5:$F$394,"N/A")&gt;0,"N/A",IF(COUNTIFS('LxI Assessment'!$A$5:$A$394,$A32,'LxI Assessment'!$D$5:$D$394,Q$5,'LxI Assessment'!$S$5:$S$394,"&gt;0")=0,"",SUMIFS('LxI Assessment'!$S$5:$S$394,'LxI Assessment'!$A$5:$A$394,$A32,'LxI Assessment'!$D$5:$D$394,Q$5)))</f>
        <v>2</v>
      </c>
      <c r="R32" s="31" t="n">
        <f aca="false">IF(COUNTIFS('LxI Assessment'!$A$5:$A$394,$A32,'LxI Assessment'!$D$5:$D$394,R$5,'LxI Assessment'!$F$5:$F$394,"N/A")&gt;0,"N/A",IF(COUNTIFS('LxI Assessment'!$A$5:$A$394,$A32,'LxI Assessment'!$D$5:$D$394,R$5,'LxI Assessment'!$S$5:$S$394,"&gt;0")=0,"",SUMIFS('LxI Assessment'!$S$5:$S$394,'LxI Assessment'!$A$5:$A$394,$A32,'LxI Assessment'!$D$5:$D$394,R$5)))</f>
        <v>3</v>
      </c>
      <c r="S32" s="31" t="n">
        <f aca="false">IF(COUNTIFS('LxI Assessment'!$A$5:$A$394,$A32,'LxI Assessment'!$D$5:$D$394,S$5,'LxI Assessment'!$F$5:$F$394,"N/A")&gt;0,"N/A",IF(COUNTIFS('LxI Assessment'!$A$5:$A$394,$A32,'LxI Assessment'!$D$5:$D$394,S$5,'LxI Assessment'!$S$5:$S$394,"&gt;0")=0,"",SUMIFS('LxI Assessment'!$S$5:$S$394,'LxI Assessment'!$A$5:$A$394,$A32,'LxI Assessment'!$D$5:$D$394,S$5)))</f>
        <v>1</v>
      </c>
      <c r="T32" s="31" t="n">
        <f aca="false">IF(COUNTIFS('LxI Assessment'!$A$5:$A$394,$A32,'LxI Assessment'!$D$5:$D$394,T$5,'LxI Assessment'!$F$5:$F$394,"N/A")&gt;0,"N/A",IF(COUNTIFS('LxI Assessment'!$A$5:$A$394,$A32,'LxI Assessment'!$D$5:$D$394,T$5,'LxI Assessment'!$S$5:$S$394,"&gt;0")=0,"",SUMIFS('LxI Assessment'!$S$5:$S$394,'LxI Assessment'!$A$5:$A$394,$A32,'LxI Assessment'!$D$5:$D$394,T$5)))</f>
        <v>2</v>
      </c>
      <c r="U32" s="31" t="n">
        <f aca="false">IF(COUNTIFS('LxI Assessment'!$A$5:$A$394,$A32,'LxI Assessment'!$D$5:$D$394,U$5,'LxI Assessment'!$F$5:$F$394,"N/A")&gt;0,"N/A",IF(COUNTIFS('LxI Assessment'!$A$5:$A$394,$A32,'LxI Assessment'!$D$5:$D$394,U$5,'LxI Assessment'!$S$5:$S$394,"&gt;0")=0,"",SUMIFS('LxI Assessment'!$S$5:$S$394,'LxI Assessment'!$A$5:$A$394,$A32,'LxI Assessment'!$D$5:$D$394,U$5)))</f>
        <v>2</v>
      </c>
      <c r="V32" s="31" t="n">
        <f aca="false">IF(COUNTIFS('LxI Assessment'!$A$5:$A$394,$A32,'LxI Assessment'!$D$5:$D$394,V$5,'LxI Assessment'!$F$5:$F$394,"N/A")&gt;0,"N/A",IF(COUNTIFS('LxI Assessment'!$A$5:$A$394,$A32,'LxI Assessment'!$D$5:$D$394,V$5,'LxI Assessment'!$S$5:$S$394,"&gt;0")=0,"",SUMIFS('LxI Assessment'!$S$5:$S$394,'LxI Assessment'!$A$5:$A$394,$A32,'LxI Assessment'!$D$5:$D$394,V$5)))</f>
        <v>2</v>
      </c>
      <c r="W32" s="34" t="n">
        <f aca="false">MAX(C32:V32)</f>
        <v>3</v>
      </c>
      <c r="X32" s="29" t="n">
        <f aca="false">IFERROR(AVERAGE(C32:V32),"")</f>
        <v>2</v>
      </c>
      <c r="Y32" s="31" t="n">
        <f aca="false">COUNTIF(C32:V32,5)</f>
        <v>0</v>
      </c>
      <c r="Z32" s="31" t="n">
        <f aca="false">COUNTIF(C32:V32,4)</f>
        <v>0</v>
      </c>
      <c r="AA32" s="7" t="str">
        <f aca="false">IF(W32=0,"",INDEX(Config!$B$5:$B$9,W32))</f>
        <v>Medium</v>
      </c>
    </row>
    <row r="33" customFormat="false" ht="15" hidden="false" customHeight="false" outlineLevel="0" collapsed="false">
      <c r="A33" s="26" t="str">
        <f aca="false">Entities!A32</f>
        <v>CN</v>
      </c>
      <c r="B33" s="26" t="str">
        <f aca="false">Entities!B32</f>
        <v>Arab Bank – China</v>
      </c>
      <c r="C33" s="31" t="n">
        <f aca="false">IF(COUNTIFS('FC Calculation'!$A$5:$A$214,$A33,'FC Calculation'!$D$5:$D$214,C$5,'FC Calculation'!$T$5:$T$214,"&gt;0")=0,"",SUMIFS('FC Calculation'!$T$5:$T$214,'FC Calculation'!$A$5:$A$214,$A33,'FC Calculation'!$D$5:$D$214,C$5))</f>
        <v>1</v>
      </c>
      <c r="D33" s="31" t="n">
        <f aca="false">IF(COUNTIFS('FC Calculation'!$A$5:$A$214,$A33,'FC Calculation'!$D$5:$D$214,D$5,'FC Calculation'!$T$5:$T$214,"&gt;0")=0,"",SUMIFS('FC Calculation'!$T$5:$T$214,'FC Calculation'!$A$5:$A$214,$A33,'FC Calculation'!$D$5:$D$214,D$5))</f>
        <v>1</v>
      </c>
      <c r="E33" s="31" t="n">
        <f aca="false">IF(COUNTIFS('FC Calculation'!$A$5:$A$214,$A33,'FC Calculation'!$D$5:$D$214,E$5,'FC Calculation'!$T$5:$T$214,"&gt;0")=0,"",SUMIFS('FC Calculation'!$T$5:$T$214,'FC Calculation'!$A$5:$A$214,$A33,'FC Calculation'!$D$5:$D$214,E$5))</f>
        <v>1</v>
      </c>
      <c r="F33" s="31" t="n">
        <f aca="false">IF(COUNTIFS('FC Calculation'!$A$5:$A$214,$A33,'FC Calculation'!$D$5:$D$214,F$5,'FC Calculation'!$T$5:$T$214,"&gt;0")=0,"",SUMIFS('FC Calculation'!$T$5:$T$214,'FC Calculation'!$A$5:$A$214,$A33,'FC Calculation'!$D$5:$D$214,F$5))</f>
        <v>1</v>
      </c>
      <c r="G33" s="31" t="n">
        <f aca="false">IF(COUNTIFS('FC Calculation'!$A$5:$A$214,$A33,'FC Calculation'!$D$5:$D$214,G$5,'FC Calculation'!$T$5:$T$214,"&gt;0")=0,"",SUMIFS('FC Calculation'!$T$5:$T$214,'FC Calculation'!$A$5:$A$214,$A33,'FC Calculation'!$D$5:$D$214,G$5))</f>
        <v>1</v>
      </c>
      <c r="H33" s="31" t="n">
        <f aca="false">IF(COUNTIFS('FC Calculation'!$A$5:$A$214,$A33,'FC Calculation'!$D$5:$D$214,H$5,'FC Calculation'!$T$5:$T$214,"&gt;0")=0,"",SUMIFS('FC Calculation'!$T$5:$T$214,'FC Calculation'!$A$5:$A$214,$A33,'FC Calculation'!$D$5:$D$214,H$5))</f>
        <v>1</v>
      </c>
      <c r="I33" s="31" t="n">
        <f aca="false">IF(COUNTIFS('FC Calculation'!$A$5:$A$214,$A33,'FC Calculation'!$D$5:$D$214,I$5,'FC Calculation'!$T$5:$T$214,"&gt;0")=0,"",SUMIFS('FC Calculation'!$T$5:$T$214,'FC Calculation'!$A$5:$A$214,$A33,'FC Calculation'!$D$5:$D$214,I$5))</f>
        <v>1</v>
      </c>
      <c r="J33" s="31" t="n">
        <f aca="false">IF(COUNTIFS('LxI Assessment'!$A$5:$A$394,$A33,'LxI Assessment'!$D$5:$D$394,J$5,'LxI Assessment'!$F$5:$F$394,"N/A")&gt;0,"N/A",IF(COUNTIFS('LxI Assessment'!$A$5:$A$394,$A33,'LxI Assessment'!$D$5:$D$394,J$5,'LxI Assessment'!$S$5:$S$394,"&gt;0")=0,"",SUMIFS('LxI Assessment'!$S$5:$S$394,'LxI Assessment'!$A$5:$A$394,$A33,'LxI Assessment'!$D$5:$D$394,J$5)))</f>
        <v>3</v>
      </c>
      <c r="K33" s="31" t="n">
        <f aca="false">IF(COUNTIFS('LxI Assessment'!$A$5:$A$394,$A33,'LxI Assessment'!$D$5:$D$394,K$5,'LxI Assessment'!$F$5:$F$394,"N/A")&gt;0,"N/A",IF(COUNTIFS('LxI Assessment'!$A$5:$A$394,$A33,'LxI Assessment'!$D$5:$D$394,K$5,'LxI Assessment'!$S$5:$S$394,"&gt;0")=0,"",SUMIFS('LxI Assessment'!$S$5:$S$394,'LxI Assessment'!$A$5:$A$394,$A33,'LxI Assessment'!$D$5:$D$394,K$5)))</f>
        <v>1</v>
      </c>
      <c r="L33" s="31" t="n">
        <f aca="false">IF(COUNTIFS('LxI Assessment'!$A$5:$A$394,$A33,'LxI Assessment'!$D$5:$D$394,L$5,'LxI Assessment'!$F$5:$F$394,"N/A")&gt;0,"N/A",IF(COUNTIFS('LxI Assessment'!$A$5:$A$394,$A33,'LxI Assessment'!$D$5:$D$394,L$5,'LxI Assessment'!$S$5:$S$394,"&gt;0")=0,"",SUMIFS('LxI Assessment'!$S$5:$S$394,'LxI Assessment'!$A$5:$A$394,$A33,'LxI Assessment'!$D$5:$D$394,L$5)))</f>
        <v>2</v>
      </c>
      <c r="M33" s="31" t="str">
        <f aca="false">IF(COUNTIFS('LxI Assessment'!$A$5:$A$394,$A33,'LxI Assessment'!$D$5:$D$394,M$5,'LxI Assessment'!$F$5:$F$394,"N/A")&gt;0,"N/A",IF(COUNTIFS('LxI Assessment'!$A$5:$A$394,$A33,'LxI Assessment'!$D$5:$D$394,M$5,'LxI Assessment'!$S$5:$S$394,"&gt;0")=0,"",SUMIFS('LxI Assessment'!$S$5:$S$394,'LxI Assessment'!$A$5:$A$394,$A33,'LxI Assessment'!$D$5:$D$394,M$5)))</f>
        <v>N/A</v>
      </c>
      <c r="N33" s="31" t="n">
        <f aca="false">IF(COUNTIFS('LxI Assessment'!$A$5:$A$394,$A33,'LxI Assessment'!$D$5:$D$394,N$5,'LxI Assessment'!$F$5:$F$394,"N/A")&gt;0,"N/A",IF(COUNTIFS('LxI Assessment'!$A$5:$A$394,$A33,'LxI Assessment'!$D$5:$D$394,N$5,'LxI Assessment'!$S$5:$S$394,"&gt;0")=0,"",SUMIFS('LxI Assessment'!$S$5:$S$394,'LxI Assessment'!$A$5:$A$394,$A33,'LxI Assessment'!$D$5:$D$394,N$5)))</f>
        <v>2</v>
      </c>
      <c r="O33" s="31" t="n">
        <f aca="false">IF(COUNTIFS('LxI Assessment'!$A$5:$A$394,$A33,'LxI Assessment'!$D$5:$D$394,O$5,'LxI Assessment'!$F$5:$F$394,"N/A")&gt;0,"N/A",IF(COUNTIFS('LxI Assessment'!$A$5:$A$394,$A33,'LxI Assessment'!$D$5:$D$394,O$5,'LxI Assessment'!$S$5:$S$394,"&gt;0")=0,"",SUMIFS('LxI Assessment'!$S$5:$S$394,'LxI Assessment'!$A$5:$A$394,$A33,'LxI Assessment'!$D$5:$D$394,O$5)))</f>
        <v>1</v>
      </c>
      <c r="P33" s="31" t="n">
        <f aca="false">IF(COUNTIFS('LxI Assessment'!$A$5:$A$394,$A33,'LxI Assessment'!$D$5:$D$394,P$5,'LxI Assessment'!$F$5:$F$394,"N/A")&gt;0,"N/A",IF(COUNTIFS('LxI Assessment'!$A$5:$A$394,$A33,'LxI Assessment'!$D$5:$D$394,P$5,'LxI Assessment'!$S$5:$S$394,"&gt;0")=0,"",SUMIFS('LxI Assessment'!$S$5:$S$394,'LxI Assessment'!$A$5:$A$394,$A33,'LxI Assessment'!$D$5:$D$394,P$5)))</f>
        <v>1</v>
      </c>
      <c r="Q33" s="31" t="n">
        <f aca="false">IF(COUNTIFS('LxI Assessment'!$A$5:$A$394,$A33,'LxI Assessment'!$D$5:$D$394,Q$5,'LxI Assessment'!$F$5:$F$394,"N/A")&gt;0,"N/A",IF(COUNTIFS('LxI Assessment'!$A$5:$A$394,$A33,'LxI Assessment'!$D$5:$D$394,Q$5,'LxI Assessment'!$S$5:$S$394,"&gt;0")=0,"",SUMIFS('LxI Assessment'!$S$5:$S$394,'LxI Assessment'!$A$5:$A$394,$A33,'LxI Assessment'!$D$5:$D$394,Q$5)))</f>
        <v>1</v>
      </c>
      <c r="R33" s="31" t="n">
        <f aca="false">IF(COUNTIFS('LxI Assessment'!$A$5:$A$394,$A33,'LxI Assessment'!$D$5:$D$394,R$5,'LxI Assessment'!$F$5:$F$394,"N/A")&gt;0,"N/A",IF(COUNTIFS('LxI Assessment'!$A$5:$A$394,$A33,'LxI Assessment'!$D$5:$D$394,R$5,'LxI Assessment'!$S$5:$S$394,"&gt;0")=0,"",SUMIFS('LxI Assessment'!$S$5:$S$394,'LxI Assessment'!$A$5:$A$394,$A33,'LxI Assessment'!$D$5:$D$394,R$5)))</f>
        <v>1</v>
      </c>
      <c r="S33" s="31" t="n">
        <f aca="false">IF(COUNTIFS('LxI Assessment'!$A$5:$A$394,$A33,'LxI Assessment'!$D$5:$D$394,S$5,'LxI Assessment'!$F$5:$F$394,"N/A")&gt;0,"N/A",IF(COUNTIFS('LxI Assessment'!$A$5:$A$394,$A33,'LxI Assessment'!$D$5:$D$394,S$5,'LxI Assessment'!$S$5:$S$394,"&gt;0")=0,"",SUMIFS('LxI Assessment'!$S$5:$S$394,'LxI Assessment'!$A$5:$A$394,$A33,'LxI Assessment'!$D$5:$D$394,S$5)))</f>
        <v>1</v>
      </c>
      <c r="T33" s="31" t="n">
        <f aca="false">IF(COUNTIFS('LxI Assessment'!$A$5:$A$394,$A33,'LxI Assessment'!$D$5:$D$394,T$5,'LxI Assessment'!$F$5:$F$394,"N/A")&gt;0,"N/A",IF(COUNTIFS('LxI Assessment'!$A$5:$A$394,$A33,'LxI Assessment'!$D$5:$D$394,T$5,'LxI Assessment'!$S$5:$S$394,"&gt;0")=0,"",SUMIFS('LxI Assessment'!$S$5:$S$394,'LxI Assessment'!$A$5:$A$394,$A33,'LxI Assessment'!$D$5:$D$394,T$5)))</f>
        <v>3</v>
      </c>
      <c r="U33" s="31" t="n">
        <f aca="false">IF(COUNTIFS('LxI Assessment'!$A$5:$A$394,$A33,'LxI Assessment'!$D$5:$D$394,U$5,'LxI Assessment'!$F$5:$F$394,"N/A")&gt;0,"N/A",IF(COUNTIFS('LxI Assessment'!$A$5:$A$394,$A33,'LxI Assessment'!$D$5:$D$394,U$5,'LxI Assessment'!$S$5:$S$394,"&gt;0")=0,"",SUMIFS('LxI Assessment'!$S$5:$S$394,'LxI Assessment'!$A$5:$A$394,$A33,'LxI Assessment'!$D$5:$D$394,U$5)))</f>
        <v>2</v>
      </c>
      <c r="V33" s="31" t="n">
        <f aca="false">IF(COUNTIFS('LxI Assessment'!$A$5:$A$394,$A33,'LxI Assessment'!$D$5:$D$394,V$5,'LxI Assessment'!$F$5:$F$394,"N/A")&gt;0,"N/A",IF(COUNTIFS('LxI Assessment'!$A$5:$A$394,$A33,'LxI Assessment'!$D$5:$D$394,V$5,'LxI Assessment'!$S$5:$S$394,"&gt;0")=0,"",SUMIFS('LxI Assessment'!$S$5:$S$394,'LxI Assessment'!$A$5:$A$394,$A33,'LxI Assessment'!$D$5:$D$394,V$5)))</f>
        <v>1</v>
      </c>
      <c r="W33" s="34" t="n">
        <f aca="false">MAX(C33:V33)</f>
        <v>3</v>
      </c>
      <c r="X33" s="29" t="n">
        <f aca="false">IFERROR(AVERAGE(C33:V33),"")</f>
        <v>1.36842105263158</v>
      </c>
      <c r="Y33" s="31" t="n">
        <f aca="false">COUNTIF(C33:V33,5)</f>
        <v>0</v>
      </c>
      <c r="Z33" s="31" t="n">
        <f aca="false">COUNTIF(C33:V33,4)</f>
        <v>0</v>
      </c>
      <c r="AA33" s="7" t="str">
        <f aca="false">IF(W33=0,"",INDEX(Config!$B$5:$B$9,W33))</f>
        <v>Medium</v>
      </c>
    </row>
    <row r="34" customFormat="false" ht="15" hidden="false" customHeight="false" outlineLevel="0" collapsed="false">
      <c r="A34" s="26" t="str">
        <f aca="false">Entities!A33</f>
        <v>AU</v>
      </c>
      <c r="B34" s="26" t="str">
        <f aca="false">Entities!B33</f>
        <v>Arab Bank Australia</v>
      </c>
      <c r="C34" s="31" t="n">
        <f aca="false">IF(COUNTIFS('FC Calculation'!$A$5:$A$214,$A34,'FC Calculation'!$D$5:$D$214,C$5,'FC Calculation'!$T$5:$T$214,"&gt;0")=0,"",SUMIFS('FC Calculation'!$T$5:$T$214,'FC Calculation'!$A$5:$A$214,$A34,'FC Calculation'!$D$5:$D$214,C$5))</f>
        <v>1</v>
      </c>
      <c r="D34" s="31" t="n">
        <f aca="false">IF(COUNTIFS('FC Calculation'!$A$5:$A$214,$A34,'FC Calculation'!$D$5:$D$214,D$5,'FC Calculation'!$T$5:$T$214,"&gt;0")=0,"",SUMIFS('FC Calculation'!$T$5:$T$214,'FC Calculation'!$A$5:$A$214,$A34,'FC Calculation'!$D$5:$D$214,D$5))</f>
        <v>1</v>
      </c>
      <c r="E34" s="31" t="n">
        <f aca="false">IF(COUNTIFS('FC Calculation'!$A$5:$A$214,$A34,'FC Calculation'!$D$5:$D$214,E$5,'FC Calculation'!$T$5:$T$214,"&gt;0")=0,"",SUMIFS('FC Calculation'!$T$5:$T$214,'FC Calculation'!$A$5:$A$214,$A34,'FC Calculation'!$D$5:$D$214,E$5))</f>
        <v>1</v>
      </c>
      <c r="F34" s="31" t="n">
        <f aca="false">IF(COUNTIFS('FC Calculation'!$A$5:$A$214,$A34,'FC Calculation'!$D$5:$D$214,F$5,'FC Calculation'!$T$5:$T$214,"&gt;0")=0,"",SUMIFS('FC Calculation'!$T$5:$T$214,'FC Calculation'!$A$5:$A$214,$A34,'FC Calculation'!$D$5:$D$214,F$5))</f>
        <v>1</v>
      </c>
      <c r="G34" s="31" t="n">
        <f aca="false">IF(COUNTIFS('FC Calculation'!$A$5:$A$214,$A34,'FC Calculation'!$D$5:$D$214,G$5,'FC Calculation'!$T$5:$T$214,"&gt;0")=0,"",SUMIFS('FC Calculation'!$T$5:$T$214,'FC Calculation'!$A$5:$A$214,$A34,'FC Calculation'!$D$5:$D$214,G$5))</f>
        <v>1</v>
      </c>
      <c r="H34" s="31" t="n">
        <f aca="false">IF(COUNTIFS('FC Calculation'!$A$5:$A$214,$A34,'FC Calculation'!$D$5:$D$214,H$5,'FC Calculation'!$T$5:$T$214,"&gt;0")=0,"",SUMIFS('FC Calculation'!$T$5:$T$214,'FC Calculation'!$A$5:$A$214,$A34,'FC Calculation'!$D$5:$D$214,H$5))</f>
        <v>1</v>
      </c>
      <c r="I34" s="31" t="n">
        <f aca="false">IF(COUNTIFS('FC Calculation'!$A$5:$A$214,$A34,'FC Calculation'!$D$5:$D$214,I$5,'FC Calculation'!$T$5:$T$214,"&gt;0")=0,"",SUMIFS('FC Calculation'!$T$5:$T$214,'FC Calculation'!$A$5:$A$214,$A34,'FC Calculation'!$D$5:$D$214,I$5))</f>
        <v>1</v>
      </c>
      <c r="J34" s="31" t="n">
        <f aca="false">IF(COUNTIFS('LxI Assessment'!$A$5:$A$394,$A34,'LxI Assessment'!$D$5:$D$394,J$5,'LxI Assessment'!$F$5:$F$394,"N/A")&gt;0,"N/A",IF(COUNTIFS('LxI Assessment'!$A$5:$A$394,$A34,'LxI Assessment'!$D$5:$D$394,J$5,'LxI Assessment'!$S$5:$S$394,"&gt;0")=0,"",SUMIFS('LxI Assessment'!$S$5:$S$394,'LxI Assessment'!$A$5:$A$394,$A34,'LxI Assessment'!$D$5:$D$394,J$5)))</f>
        <v>1</v>
      </c>
      <c r="K34" s="31" t="n">
        <f aca="false">IF(COUNTIFS('LxI Assessment'!$A$5:$A$394,$A34,'LxI Assessment'!$D$5:$D$394,K$5,'LxI Assessment'!$F$5:$F$394,"N/A")&gt;0,"N/A",IF(COUNTIFS('LxI Assessment'!$A$5:$A$394,$A34,'LxI Assessment'!$D$5:$D$394,K$5,'LxI Assessment'!$S$5:$S$394,"&gt;0")=0,"",SUMIFS('LxI Assessment'!$S$5:$S$394,'LxI Assessment'!$A$5:$A$394,$A34,'LxI Assessment'!$D$5:$D$394,K$5)))</f>
        <v>3</v>
      </c>
      <c r="L34" s="31" t="n">
        <f aca="false">IF(COUNTIFS('LxI Assessment'!$A$5:$A$394,$A34,'LxI Assessment'!$D$5:$D$394,L$5,'LxI Assessment'!$F$5:$F$394,"N/A")&gt;0,"N/A",IF(COUNTIFS('LxI Assessment'!$A$5:$A$394,$A34,'LxI Assessment'!$D$5:$D$394,L$5,'LxI Assessment'!$S$5:$S$394,"&gt;0")=0,"",SUMIFS('LxI Assessment'!$S$5:$S$394,'LxI Assessment'!$A$5:$A$394,$A34,'LxI Assessment'!$D$5:$D$394,L$5)))</f>
        <v>2</v>
      </c>
      <c r="M34" s="31" t="str">
        <f aca="false">IF(COUNTIFS('LxI Assessment'!$A$5:$A$394,$A34,'LxI Assessment'!$D$5:$D$394,M$5,'LxI Assessment'!$F$5:$F$394,"N/A")&gt;0,"N/A",IF(COUNTIFS('LxI Assessment'!$A$5:$A$394,$A34,'LxI Assessment'!$D$5:$D$394,M$5,'LxI Assessment'!$S$5:$S$394,"&gt;0")=0,"",SUMIFS('LxI Assessment'!$S$5:$S$394,'LxI Assessment'!$A$5:$A$394,$A34,'LxI Assessment'!$D$5:$D$394,M$5)))</f>
        <v>N/A</v>
      </c>
      <c r="N34" s="31" t="n">
        <f aca="false">IF(COUNTIFS('LxI Assessment'!$A$5:$A$394,$A34,'LxI Assessment'!$D$5:$D$394,N$5,'LxI Assessment'!$F$5:$F$394,"N/A")&gt;0,"N/A",IF(COUNTIFS('LxI Assessment'!$A$5:$A$394,$A34,'LxI Assessment'!$D$5:$D$394,N$5,'LxI Assessment'!$S$5:$S$394,"&gt;0")=0,"",SUMIFS('LxI Assessment'!$S$5:$S$394,'LxI Assessment'!$A$5:$A$394,$A34,'LxI Assessment'!$D$5:$D$394,N$5)))</f>
        <v>1</v>
      </c>
      <c r="O34" s="31" t="n">
        <f aca="false">IF(COUNTIFS('LxI Assessment'!$A$5:$A$394,$A34,'LxI Assessment'!$D$5:$D$394,O$5,'LxI Assessment'!$F$5:$F$394,"N/A")&gt;0,"N/A",IF(COUNTIFS('LxI Assessment'!$A$5:$A$394,$A34,'LxI Assessment'!$D$5:$D$394,O$5,'LxI Assessment'!$S$5:$S$394,"&gt;0")=0,"",SUMIFS('LxI Assessment'!$S$5:$S$394,'LxI Assessment'!$A$5:$A$394,$A34,'LxI Assessment'!$D$5:$D$394,O$5)))</f>
        <v>2</v>
      </c>
      <c r="P34" s="31" t="n">
        <f aca="false">IF(COUNTIFS('LxI Assessment'!$A$5:$A$394,$A34,'LxI Assessment'!$D$5:$D$394,P$5,'LxI Assessment'!$F$5:$F$394,"N/A")&gt;0,"N/A",IF(COUNTIFS('LxI Assessment'!$A$5:$A$394,$A34,'LxI Assessment'!$D$5:$D$394,P$5,'LxI Assessment'!$S$5:$S$394,"&gt;0")=0,"",SUMIFS('LxI Assessment'!$S$5:$S$394,'LxI Assessment'!$A$5:$A$394,$A34,'LxI Assessment'!$D$5:$D$394,P$5)))</f>
        <v>3</v>
      </c>
      <c r="Q34" s="31" t="n">
        <f aca="false">IF(COUNTIFS('LxI Assessment'!$A$5:$A$394,$A34,'LxI Assessment'!$D$5:$D$394,Q$5,'LxI Assessment'!$F$5:$F$394,"N/A")&gt;0,"N/A",IF(COUNTIFS('LxI Assessment'!$A$5:$A$394,$A34,'LxI Assessment'!$D$5:$D$394,Q$5,'LxI Assessment'!$S$5:$S$394,"&gt;0")=0,"",SUMIFS('LxI Assessment'!$S$5:$S$394,'LxI Assessment'!$A$5:$A$394,$A34,'LxI Assessment'!$D$5:$D$394,Q$5)))</f>
        <v>4</v>
      </c>
      <c r="R34" s="31" t="n">
        <f aca="false">IF(COUNTIFS('LxI Assessment'!$A$5:$A$394,$A34,'LxI Assessment'!$D$5:$D$394,R$5,'LxI Assessment'!$F$5:$F$394,"N/A")&gt;0,"N/A",IF(COUNTIFS('LxI Assessment'!$A$5:$A$394,$A34,'LxI Assessment'!$D$5:$D$394,R$5,'LxI Assessment'!$S$5:$S$394,"&gt;0")=0,"",SUMIFS('LxI Assessment'!$S$5:$S$394,'LxI Assessment'!$A$5:$A$394,$A34,'LxI Assessment'!$D$5:$D$394,R$5)))</f>
        <v>3</v>
      </c>
      <c r="S34" s="31" t="n">
        <f aca="false">IF(COUNTIFS('LxI Assessment'!$A$5:$A$394,$A34,'LxI Assessment'!$D$5:$D$394,S$5,'LxI Assessment'!$F$5:$F$394,"N/A")&gt;0,"N/A",IF(COUNTIFS('LxI Assessment'!$A$5:$A$394,$A34,'LxI Assessment'!$D$5:$D$394,S$5,'LxI Assessment'!$S$5:$S$394,"&gt;0")=0,"",SUMIFS('LxI Assessment'!$S$5:$S$394,'LxI Assessment'!$A$5:$A$394,$A34,'LxI Assessment'!$D$5:$D$394,S$5)))</f>
        <v>2</v>
      </c>
      <c r="T34" s="31" t="n">
        <f aca="false">IF(COUNTIFS('LxI Assessment'!$A$5:$A$394,$A34,'LxI Assessment'!$D$5:$D$394,T$5,'LxI Assessment'!$F$5:$F$394,"N/A")&gt;0,"N/A",IF(COUNTIFS('LxI Assessment'!$A$5:$A$394,$A34,'LxI Assessment'!$D$5:$D$394,T$5,'LxI Assessment'!$S$5:$S$394,"&gt;0")=0,"",SUMIFS('LxI Assessment'!$S$5:$S$394,'LxI Assessment'!$A$5:$A$394,$A34,'LxI Assessment'!$D$5:$D$394,T$5)))</f>
        <v>3</v>
      </c>
      <c r="U34" s="31" t="n">
        <f aca="false">IF(COUNTIFS('LxI Assessment'!$A$5:$A$394,$A34,'LxI Assessment'!$D$5:$D$394,U$5,'LxI Assessment'!$F$5:$F$394,"N/A")&gt;0,"N/A",IF(COUNTIFS('LxI Assessment'!$A$5:$A$394,$A34,'LxI Assessment'!$D$5:$D$394,U$5,'LxI Assessment'!$S$5:$S$394,"&gt;0")=0,"",SUMIFS('LxI Assessment'!$S$5:$S$394,'LxI Assessment'!$A$5:$A$394,$A34,'LxI Assessment'!$D$5:$D$394,U$5)))</f>
        <v>2</v>
      </c>
      <c r="V34" s="31" t="n">
        <f aca="false">IF(COUNTIFS('LxI Assessment'!$A$5:$A$394,$A34,'LxI Assessment'!$D$5:$D$394,V$5,'LxI Assessment'!$F$5:$F$394,"N/A")&gt;0,"N/A",IF(COUNTIFS('LxI Assessment'!$A$5:$A$394,$A34,'LxI Assessment'!$D$5:$D$394,V$5,'LxI Assessment'!$S$5:$S$394,"&gt;0")=0,"",SUMIFS('LxI Assessment'!$S$5:$S$394,'LxI Assessment'!$A$5:$A$394,$A34,'LxI Assessment'!$D$5:$D$394,V$5)))</f>
        <v>2</v>
      </c>
      <c r="W34" s="34" t="n">
        <f aca="false">MAX(C34:V34)</f>
        <v>4</v>
      </c>
      <c r="X34" s="29" t="n">
        <f aca="false">IFERROR(AVERAGE(C34:V34),"")</f>
        <v>1.84210526315789</v>
      </c>
      <c r="Y34" s="31" t="n">
        <f aca="false">COUNTIF(C34:V34,5)</f>
        <v>0</v>
      </c>
      <c r="Z34" s="31" t="n">
        <f aca="false">COUNTIF(C34:V34,4)</f>
        <v>1</v>
      </c>
      <c r="AA34" s="7" t="str">
        <f aca="false">IF(W34=0,"",INDEX(Config!$B$5:$B$9,W34))</f>
        <v>Medium-High</v>
      </c>
    </row>
    <row r="35" customFormat="false" ht="15" hidden="false" customHeight="false" outlineLevel="0" collapsed="false">
      <c r="A35" s="26" t="str">
        <f aca="false">Entities!A34</f>
        <v>US</v>
      </c>
      <c r="B35" s="26" t="str">
        <f aca="false">Entities!B34</f>
        <v>Arab Bank – United States (if retained)</v>
      </c>
      <c r="C35" s="31" t="n">
        <f aca="false">IF(COUNTIFS('FC Calculation'!$A$5:$A$214,$A35,'FC Calculation'!$D$5:$D$214,C$5,'FC Calculation'!$T$5:$T$214,"&gt;0")=0,"",SUMIFS('FC Calculation'!$T$5:$T$214,'FC Calculation'!$A$5:$A$214,$A35,'FC Calculation'!$D$5:$D$214,C$5))</f>
        <v>1</v>
      </c>
      <c r="D35" s="31" t="n">
        <f aca="false">IF(COUNTIFS('FC Calculation'!$A$5:$A$214,$A35,'FC Calculation'!$D$5:$D$214,D$5,'FC Calculation'!$T$5:$T$214,"&gt;0")=0,"",SUMIFS('FC Calculation'!$T$5:$T$214,'FC Calculation'!$A$5:$A$214,$A35,'FC Calculation'!$D$5:$D$214,D$5))</f>
        <v>1</v>
      </c>
      <c r="E35" s="31" t="n">
        <f aca="false">IF(COUNTIFS('FC Calculation'!$A$5:$A$214,$A35,'FC Calculation'!$D$5:$D$214,E$5,'FC Calculation'!$T$5:$T$214,"&gt;0")=0,"",SUMIFS('FC Calculation'!$T$5:$T$214,'FC Calculation'!$A$5:$A$214,$A35,'FC Calculation'!$D$5:$D$214,E$5))</f>
        <v>1</v>
      </c>
      <c r="F35" s="31" t="n">
        <f aca="false">IF(COUNTIFS('FC Calculation'!$A$5:$A$214,$A35,'FC Calculation'!$D$5:$D$214,F$5,'FC Calculation'!$T$5:$T$214,"&gt;0")=0,"",SUMIFS('FC Calculation'!$T$5:$T$214,'FC Calculation'!$A$5:$A$214,$A35,'FC Calculation'!$D$5:$D$214,F$5))</f>
        <v>1</v>
      </c>
      <c r="G35" s="31" t="n">
        <f aca="false">IF(COUNTIFS('FC Calculation'!$A$5:$A$214,$A35,'FC Calculation'!$D$5:$D$214,G$5,'FC Calculation'!$T$5:$T$214,"&gt;0")=0,"",SUMIFS('FC Calculation'!$T$5:$T$214,'FC Calculation'!$A$5:$A$214,$A35,'FC Calculation'!$D$5:$D$214,G$5))</f>
        <v>1</v>
      </c>
      <c r="H35" s="31" t="n">
        <f aca="false">IF(COUNTIFS('FC Calculation'!$A$5:$A$214,$A35,'FC Calculation'!$D$5:$D$214,H$5,'FC Calculation'!$T$5:$T$214,"&gt;0")=0,"",SUMIFS('FC Calculation'!$T$5:$T$214,'FC Calculation'!$A$5:$A$214,$A35,'FC Calculation'!$D$5:$D$214,H$5))</f>
        <v>2</v>
      </c>
      <c r="I35" s="31" t="n">
        <f aca="false">IF(COUNTIFS('FC Calculation'!$A$5:$A$214,$A35,'FC Calculation'!$D$5:$D$214,I$5,'FC Calculation'!$T$5:$T$214,"&gt;0")=0,"",SUMIFS('FC Calculation'!$T$5:$T$214,'FC Calculation'!$A$5:$A$214,$A35,'FC Calculation'!$D$5:$D$214,I$5))</f>
        <v>1</v>
      </c>
      <c r="J35" s="31" t="n">
        <f aca="false">IF(COUNTIFS('LxI Assessment'!$A$5:$A$394,$A35,'LxI Assessment'!$D$5:$D$394,J$5,'LxI Assessment'!$F$5:$F$394,"N/A")&gt;0,"N/A",IF(COUNTIFS('LxI Assessment'!$A$5:$A$394,$A35,'LxI Assessment'!$D$5:$D$394,J$5,'LxI Assessment'!$S$5:$S$394,"&gt;0")=0,"",SUMIFS('LxI Assessment'!$S$5:$S$394,'LxI Assessment'!$A$5:$A$394,$A35,'LxI Assessment'!$D$5:$D$394,J$5)))</f>
        <v>1</v>
      </c>
      <c r="K35" s="31" t="n">
        <f aca="false">IF(COUNTIFS('LxI Assessment'!$A$5:$A$394,$A35,'LxI Assessment'!$D$5:$D$394,K$5,'LxI Assessment'!$F$5:$F$394,"N/A")&gt;0,"N/A",IF(COUNTIFS('LxI Assessment'!$A$5:$A$394,$A35,'LxI Assessment'!$D$5:$D$394,K$5,'LxI Assessment'!$S$5:$S$394,"&gt;0")=0,"",SUMIFS('LxI Assessment'!$S$5:$S$394,'LxI Assessment'!$A$5:$A$394,$A35,'LxI Assessment'!$D$5:$D$394,K$5)))</f>
        <v>1</v>
      </c>
      <c r="L35" s="31" t="n">
        <f aca="false">IF(COUNTIFS('LxI Assessment'!$A$5:$A$394,$A35,'LxI Assessment'!$D$5:$D$394,L$5,'LxI Assessment'!$F$5:$F$394,"N/A")&gt;0,"N/A",IF(COUNTIFS('LxI Assessment'!$A$5:$A$394,$A35,'LxI Assessment'!$D$5:$D$394,L$5,'LxI Assessment'!$S$5:$S$394,"&gt;0")=0,"",SUMIFS('LxI Assessment'!$S$5:$S$394,'LxI Assessment'!$A$5:$A$394,$A35,'LxI Assessment'!$D$5:$D$394,L$5)))</f>
        <v>1</v>
      </c>
      <c r="M35" s="31" t="str">
        <f aca="false">IF(COUNTIFS('LxI Assessment'!$A$5:$A$394,$A35,'LxI Assessment'!$D$5:$D$394,M$5,'LxI Assessment'!$F$5:$F$394,"N/A")&gt;0,"N/A",IF(COUNTIFS('LxI Assessment'!$A$5:$A$394,$A35,'LxI Assessment'!$D$5:$D$394,M$5,'LxI Assessment'!$S$5:$S$394,"&gt;0")=0,"",SUMIFS('LxI Assessment'!$S$5:$S$394,'LxI Assessment'!$A$5:$A$394,$A35,'LxI Assessment'!$D$5:$D$394,M$5)))</f>
        <v>N/A</v>
      </c>
      <c r="N35" s="31" t="n">
        <f aca="false">IF(COUNTIFS('LxI Assessment'!$A$5:$A$394,$A35,'LxI Assessment'!$D$5:$D$394,N$5,'LxI Assessment'!$F$5:$F$394,"N/A")&gt;0,"N/A",IF(COUNTIFS('LxI Assessment'!$A$5:$A$394,$A35,'LxI Assessment'!$D$5:$D$394,N$5,'LxI Assessment'!$S$5:$S$394,"&gt;0")=0,"",SUMIFS('LxI Assessment'!$S$5:$S$394,'LxI Assessment'!$A$5:$A$394,$A35,'LxI Assessment'!$D$5:$D$394,N$5)))</f>
        <v>1</v>
      </c>
      <c r="O35" s="31" t="n">
        <f aca="false">IF(COUNTIFS('LxI Assessment'!$A$5:$A$394,$A35,'LxI Assessment'!$D$5:$D$394,O$5,'LxI Assessment'!$F$5:$F$394,"N/A")&gt;0,"N/A",IF(COUNTIFS('LxI Assessment'!$A$5:$A$394,$A35,'LxI Assessment'!$D$5:$D$394,O$5,'LxI Assessment'!$S$5:$S$394,"&gt;0")=0,"",SUMIFS('LxI Assessment'!$S$5:$S$394,'LxI Assessment'!$A$5:$A$394,$A35,'LxI Assessment'!$D$5:$D$394,O$5)))</f>
        <v>2</v>
      </c>
      <c r="P35" s="31" t="n">
        <f aca="false">IF(COUNTIFS('LxI Assessment'!$A$5:$A$394,$A35,'LxI Assessment'!$D$5:$D$394,P$5,'LxI Assessment'!$F$5:$F$394,"N/A")&gt;0,"N/A",IF(COUNTIFS('LxI Assessment'!$A$5:$A$394,$A35,'LxI Assessment'!$D$5:$D$394,P$5,'LxI Assessment'!$S$5:$S$394,"&gt;0")=0,"",SUMIFS('LxI Assessment'!$S$5:$S$394,'LxI Assessment'!$A$5:$A$394,$A35,'LxI Assessment'!$D$5:$D$394,P$5)))</f>
        <v>1</v>
      </c>
      <c r="Q35" s="31" t="n">
        <f aca="false">IF(COUNTIFS('LxI Assessment'!$A$5:$A$394,$A35,'LxI Assessment'!$D$5:$D$394,Q$5,'LxI Assessment'!$F$5:$F$394,"N/A")&gt;0,"N/A",IF(COUNTIFS('LxI Assessment'!$A$5:$A$394,$A35,'LxI Assessment'!$D$5:$D$394,Q$5,'LxI Assessment'!$S$5:$S$394,"&gt;0")=0,"",SUMIFS('LxI Assessment'!$S$5:$S$394,'LxI Assessment'!$A$5:$A$394,$A35,'LxI Assessment'!$D$5:$D$394,Q$5)))</f>
        <v>1</v>
      </c>
      <c r="R35" s="31" t="n">
        <f aca="false">IF(COUNTIFS('LxI Assessment'!$A$5:$A$394,$A35,'LxI Assessment'!$D$5:$D$394,R$5,'LxI Assessment'!$F$5:$F$394,"N/A")&gt;0,"N/A",IF(COUNTIFS('LxI Assessment'!$A$5:$A$394,$A35,'LxI Assessment'!$D$5:$D$394,R$5,'LxI Assessment'!$S$5:$S$394,"&gt;0")=0,"",SUMIFS('LxI Assessment'!$S$5:$S$394,'LxI Assessment'!$A$5:$A$394,$A35,'LxI Assessment'!$D$5:$D$394,R$5)))</f>
        <v>1</v>
      </c>
      <c r="S35" s="31" t="n">
        <f aca="false">IF(COUNTIFS('LxI Assessment'!$A$5:$A$394,$A35,'LxI Assessment'!$D$5:$D$394,S$5,'LxI Assessment'!$F$5:$F$394,"N/A")&gt;0,"N/A",IF(COUNTIFS('LxI Assessment'!$A$5:$A$394,$A35,'LxI Assessment'!$D$5:$D$394,S$5,'LxI Assessment'!$S$5:$S$394,"&gt;0")=0,"",SUMIFS('LxI Assessment'!$S$5:$S$394,'LxI Assessment'!$A$5:$A$394,$A35,'LxI Assessment'!$D$5:$D$394,S$5)))</f>
        <v>3</v>
      </c>
      <c r="T35" s="31" t="n">
        <f aca="false">IF(COUNTIFS('LxI Assessment'!$A$5:$A$394,$A35,'LxI Assessment'!$D$5:$D$394,T$5,'LxI Assessment'!$F$5:$F$394,"N/A")&gt;0,"N/A",IF(COUNTIFS('LxI Assessment'!$A$5:$A$394,$A35,'LxI Assessment'!$D$5:$D$394,T$5,'LxI Assessment'!$S$5:$S$394,"&gt;0")=0,"",SUMIFS('LxI Assessment'!$S$5:$S$394,'LxI Assessment'!$A$5:$A$394,$A35,'LxI Assessment'!$D$5:$D$394,T$5)))</f>
        <v>2</v>
      </c>
      <c r="U35" s="31" t="n">
        <f aca="false">IF(COUNTIFS('LxI Assessment'!$A$5:$A$394,$A35,'LxI Assessment'!$D$5:$D$394,U$5,'LxI Assessment'!$F$5:$F$394,"N/A")&gt;0,"N/A",IF(COUNTIFS('LxI Assessment'!$A$5:$A$394,$A35,'LxI Assessment'!$D$5:$D$394,U$5,'LxI Assessment'!$S$5:$S$394,"&gt;0")=0,"",SUMIFS('LxI Assessment'!$S$5:$S$394,'LxI Assessment'!$A$5:$A$394,$A35,'LxI Assessment'!$D$5:$D$394,U$5)))</f>
        <v>2</v>
      </c>
      <c r="V35" s="31" t="n">
        <f aca="false">IF(COUNTIFS('LxI Assessment'!$A$5:$A$394,$A35,'LxI Assessment'!$D$5:$D$394,V$5,'LxI Assessment'!$F$5:$F$394,"N/A")&gt;0,"N/A",IF(COUNTIFS('LxI Assessment'!$A$5:$A$394,$A35,'LxI Assessment'!$D$5:$D$394,V$5,'LxI Assessment'!$S$5:$S$394,"&gt;0")=0,"",SUMIFS('LxI Assessment'!$S$5:$S$394,'LxI Assessment'!$A$5:$A$394,$A35,'LxI Assessment'!$D$5:$D$394,V$5)))</f>
        <v>1</v>
      </c>
      <c r="W35" s="34" t="n">
        <f aca="false">MAX(C35:V35)</f>
        <v>3</v>
      </c>
      <c r="X35" s="29" t="n">
        <f aca="false">IFERROR(AVERAGE(C35:V35),"")</f>
        <v>1.31578947368421</v>
      </c>
      <c r="Y35" s="31" t="n">
        <f aca="false">COUNTIF(C35:V35,5)</f>
        <v>0</v>
      </c>
      <c r="Z35" s="31" t="n">
        <f aca="false">COUNTIF(C35:V35,4)</f>
        <v>0</v>
      </c>
      <c r="AA35" s="7" t="str">
        <f aca="false">IF(W35=0,"",INDEX(Config!$B$5:$B$9,W35))</f>
        <v>Medium</v>
      </c>
    </row>
    <row r="37" customFormat="false" ht="15" hidden="false" customHeight="false" outlineLevel="0" collapsed="false">
      <c r="A37" s="3" t="s">
        <v>480</v>
      </c>
      <c r="B37" s="3"/>
      <c r="C37" s="29" t="n">
        <f aca="false">IFERROR(AVERAGE(C6:C35),"")</f>
        <v>2.73333333333333</v>
      </c>
      <c r="D37" s="29" t="n">
        <f aca="false">IFERROR(AVERAGE(D6:D35),"")</f>
        <v>2.6</v>
      </c>
      <c r="E37" s="29" t="n">
        <f aca="false">IFERROR(AVERAGE(E6:E35),"")</f>
        <v>2.63333333333333</v>
      </c>
      <c r="F37" s="29" t="n">
        <f aca="false">IFERROR(AVERAGE(F6:F35),"")</f>
        <v>2.7</v>
      </c>
      <c r="G37" s="29" t="n">
        <f aca="false">IFERROR(AVERAGE(G6:G35),"")</f>
        <v>2.66666666666667</v>
      </c>
      <c r="H37" s="29" t="n">
        <f aca="false">IFERROR(AVERAGE(H6:H35),"")</f>
        <v>2.7</v>
      </c>
      <c r="I37" s="29" t="n">
        <f aca="false">IFERROR(AVERAGE(I6:I35),"")</f>
        <v>2.76666666666667</v>
      </c>
      <c r="J37" s="29" t="n">
        <f aca="false">IFERROR(AVERAGE(J6:J35),"")</f>
        <v>3.2</v>
      </c>
      <c r="K37" s="29" t="n">
        <f aca="false">IFERROR(AVERAGE(K6:K35),"")</f>
        <v>2.66666666666667</v>
      </c>
      <c r="L37" s="29" t="n">
        <f aca="false">IFERROR(AVERAGE(L6:L35),"")</f>
        <v>2.8</v>
      </c>
      <c r="M37" s="29" t="n">
        <f aca="false">IFERROR(AVERAGE(M6:M35),"")</f>
        <v>2</v>
      </c>
      <c r="N37" s="29" t="n">
        <f aca="false">IFERROR(AVERAGE(N6:N35),"")</f>
        <v>3.1</v>
      </c>
      <c r="O37" s="29" t="n">
        <f aca="false">IFERROR(AVERAGE(O6:O35),"")</f>
        <v>2.8</v>
      </c>
      <c r="P37" s="29" t="n">
        <f aca="false">IFERROR(AVERAGE(P6:P35),"")</f>
        <v>2.96666666666667</v>
      </c>
      <c r="Q37" s="29" t="n">
        <f aca="false">IFERROR(AVERAGE(Q6:Q35),"")</f>
        <v>3.06666666666667</v>
      </c>
      <c r="R37" s="29" t="n">
        <f aca="false">IFERROR(AVERAGE(R6:R35),"")</f>
        <v>3.13333333333333</v>
      </c>
      <c r="S37" s="29" t="n">
        <f aca="false">IFERROR(AVERAGE(S6:S35),"")</f>
        <v>2.86666666666667</v>
      </c>
      <c r="T37" s="29" t="n">
        <f aca="false">IFERROR(AVERAGE(T6:T35),"")</f>
        <v>2.5</v>
      </c>
      <c r="U37" s="29" t="n">
        <f aca="false">IFERROR(AVERAGE(U6:U35),"")</f>
        <v>2.96666666666667</v>
      </c>
      <c r="V37" s="29" t="n">
        <f aca="false">IFERROR(AVERAGE(V6:V35),"")</f>
        <v>2.66666666666667</v>
      </c>
      <c r="W37" s="29" t="n">
        <f aca="false">IFERROR(AVERAGE(W6:W35),"")</f>
        <v>3.96666666666667</v>
      </c>
      <c r="X37" s="29" t="n">
        <f aca="false">IFERROR(AVERAGE(X6:X35),"")</f>
        <v>2.81614035087719</v>
      </c>
    </row>
    <row r="38" customFormat="false" ht="15" hidden="false" customHeight="false" outlineLevel="0" collapsed="false">
      <c r="A38" s="3" t="s">
        <v>481</v>
      </c>
      <c r="B38" s="3"/>
      <c r="C38" s="40" t="n">
        <f aca="false">IFERROR(SUMPRODUCT(Entities!$I$5:$I$34*ISNUMBER(C6:C35),C6:C35)/SUMPRODUCT(Entities!$I$5:$I$34*ISNUMBER(C6:C35)),"")</f>
        <v>2.75</v>
      </c>
      <c r="D38" s="40" t="n">
        <f aca="false">IFERROR(SUMPRODUCT(Entities!$I$5:$I$34*ISNUMBER(D6:D35),D6:D35)/SUMPRODUCT(Entities!$I$5:$I$34*ISNUMBER(D6:D35)),"")</f>
        <v>2.67857142857143</v>
      </c>
      <c r="E38" s="40" t="n">
        <f aca="false">IFERROR(SUMPRODUCT(Entities!$I$5:$I$34*ISNUMBER(E6:E35),E6:E35)/SUMPRODUCT(Entities!$I$5:$I$34*ISNUMBER(E6:E35)),"")</f>
        <v>2.66071428571429</v>
      </c>
      <c r="F38" s="40" t="n">
        <f aca="false">IFERROR(SUMPRODUCT(Entities!$I$5:$I$34*ISNUMBER(F6:F35),F6:F35)/SUMPRODUCT(Entities!$I$5:$I$34*ISNUMBER(F6:F35)),"")</f>
        <v>2.75</v>
      </c>
      <c r="G38" s="40" t="n">
        <f aca="false">IFERROR(SUMPRODUCT(Entities!$I$5:$I$34*ISNUMBER(G6:G35),G6:G35)/SUMPRODUCT(Entities!$I$5:$I$34*ISNUMBER(G6:G35)),"")</f>
        <v>2.71428571428571</v>
      </c>
      <c r="H38" s="40" t="n">
        <f aca="false">IFERROR(SUMPRODUCT(Entities!$I$5:$I$34*ISNUMBER(H6:H35),H6:H35)/SUMPRODUCT(Entities!$I$5:$I$34*ISNUMBER(H6:H35)),"")</f>
        <v>2.75</v>
      </c>
      <c r="I38" s="40" t="n">
        <f aca="false">IFERROR(SUMPRODUCT(Entities!$I$5:$I$34*ISNUMBER(I6:I35),I6:I35)/SUMPRODUCT(Entities!$I$5:$I$34*ISNUMBER(I6:I35)),"")</f>
        <v>2.78571428571429</v>
      </c>
      <c r="J38" s="40" t="n">
        <f aca="false">IFERROR(SUMPRODUCT(Entities!$I$5:$I$34*ISNUMBER(J6:J35),J6:J35)/SUMPRODUCT(Entities!$I$5:$I$34*ISNUMBER(J6:J35)),"")</f>
        <v>3.21428571428571</v>
      </c>
      <c r="K38" s="40" t="n">
        <f aca="false">IFERROR(SUMPRODUCT(Entities!$I$5:$I$34*ISNUMBER(K6:K35),K6:K35)/SUMPRODUCT(Entities!$I$5:$I$34*ISNUMBER(K6:K35)),"")</f>
        <v>2.73214285714286</v>
      </c>
      <c r="L38" s="40" t="n">
        <f aca="false">IFERROR(SUMPRODUCT(Entities!$I$5:$I$34*ISNUMBER(L6:L35),L6:L35)/SUMPRODUCT(Entities!$I$5:$I$34*ISNUMBER(L6:L35)),"")</f>
        <v>2.80357142857143</v>
      </c>
      <c r="M38" s="40" t="n">
        <f aca="false">IFERROR(SUMPRODUCT(Entities!$I$5:$I$34*ISNUMBER(M6:M35),M6:M35)/SUMPRODUCT(Entities!$I$5:$I$34*ISNUMBER(M6:M35)),"")</f>
        <v>2</v>
      </c>
      <c r="N38" s="40" t="n">
        <f aca="false">IFERROR(SUMPRODUCT(Entities!$I$5:$I$34*ISNUMBER(N6:N35),N6:N35)/SUMPRODUCT(Entities!$I$5:$I$34*ISNUMBER(N6:N35)),"")</f>
        <v>3.07142857142857</v>
      </c>
      <c r="O38" s="40" t="n">
        <f aca="false">IFERROR(SUMPRODUCT(Entities!$I$5:$I$34*ISNUMBER(O6:O35),O6:O35)/SUMPRODUCT(Entities!$I$5:$I$34*ISNUMBER(O6:O35)),"")</f>
        <v>2.83928571428571</v>
      </c>
      <c r="P38" s="40" t="n">
        <f aca="false">IFERROR(SUMPRODUCT(Entities!$I$5:$I$34*ISNUMBER(P6:P35),P6:P35)/SUMPRODUCT(Entities!$I$5:$I$34*ISNUMBER(P6:P35)),"")</f>
        <v>2.98214285714286</v>
      </c>
      <c r="Q38" s="40" t="n">
        <f aca="false">IFERROR(SUMPRODUCT(Entities!$I$5:$I$34*ISNUMBER(Q6:Q35),Q6:Q35)/SUMPRODUCT(Entities!$I$5:$I$34*ISNUMBER(Q6:Q35)),"")</f>
        <v>3.05357142857143</v>
      </c>
      <c r="R38" s="40" t="n">
        <f aca="false">IFERROR(SUMPRODUCT(Entities!$I$5:$I$34*ISNUMBER(R6:R35),R6:R35)/SUMPRODUCT(Entities!$I$5:$I$34*ISNUMBER(R6:R35)),"")</f>
        <v>3.16071428571429</v>
      </c>
      <c r="S38" s="40" t="n">
        <f aca="false">IFERROR(SUMPRODUCT(Entities!$I$5:$I$34*ISNUMBER(S6:S35),S6:S35)/SUMPRODUCT(Entities!$I$5:$I$34*ISNUMBER(S6:S35)),"")</f>
        <v>2.82142857142857</v>
      </c>
      <c r="T38" s="40" t="n">
        <f aca="false">IFERROR(SUMPRODUCT(Entities!$I$5:$I$34*ISNUMBER(T6:T35),T6:T35)/SUMPRODUCT(Entities!$I$5:$I$34*ISNUMBER(T6:T35)),"")</f>
        <v>2.44642857142857</v>
      </c>
      <c r="U38" s="40" t="n">
        <f aca="false">IFERROR(SUMPRODUCT(Entities!$I$5:$I$34*ISNUMBER(U6:U35),U6:U35)/SUMPRODUCT(Entities!$I$5:$I$34*ISNUMBER(U6:U35)),"")</f>
        <v>2.98214285714286</v>
      </c>
      <c r="V38" s="40" t="n">
        <f aca="false">IFERROR(SUMPRODUCT(Entities!$I$5:$I$34*ISNUMBER(V6:V35),V6:V35)/SUMPRODUCT(Entities!$I$5:$I$34*ISNUMBER(V6:V35)),"")</f>
        <v>2.69642857142857</v>
      </c>
      <c r="W38" s="40" t="n">
        <f aca="false">IFERROR(SUMPRODUCT(Entities!$I$5:$I$34*ISNUMBER(W6:W35),W6:W35)/SUMPRODUCT(Entities!$I$5:$I$34*ISNUMBER(W6:W35)),"")</f>
        <v>3.98214285714286</v>
      </c>
      <c r="X38" s="40" t="n">
        <f aca="false">IFERROR(SUMPRODUCT(Entities!$I$5:$I$34*ISNUMBER(X6:X35),X6:X35)/SUMPRODUCT(Entities!$I$5:$I$34*ISNUMBER(X6:X35)),"")</f>
        <v>2.83421052631579</v>
      </c>
    </row>
    <row r="39" customFormat="false" ht="27.75" hidden="false" customHeight="true" outlineLevel="0" collapsed="false">
      <c r="A39" s="3" t="s">
        <v>482</v>
      </c>
      <c r="B39" s="3"/>
      <c r="C39" s="41" t="str">
        <f aca="false">IF(C38="","",INDEX(Config!$B$5:$B$9,MATCH(C38,Config!$D$5:$D$9,1)))</f>
        <v>Medium</v>
      </c>
      <c r="D39" s="41" t="str">
        <f aca="false">IF(D38="","",INDEX(Config!$B$5:$B$9,MATCH(D38,Config!$D$5:$D$9,1)))</f>
        <v>Medium</v>
      </c>
      <c r="E39" s="41" t="str">
        <f aca="false">IF(E38="","",INDEX(Config!$B$5:$B$9,MATCH(E38,Config!$D$5:$D$9,1)))</f>
        <v>Medium</v>
      </c>
      <c r="F39" s="41" t="str">
        <f aca="false">IF(F38="","",INDEX(Config!$B$5:$B$9,MATCH(F38,Config!$D$5:$D$9,1)))</f>
        <v>Medium</v>
      </c>
      <c r="G39" s="41" t="str">
        <f aca="false">IF(G38="","",INDEX(Config!$B$5:$B$9,MATCH(G38,Config!$D$5:$D$9,1)))</f>
        <v>Medium</v>
      </c>
      <c r="H39" s="41" t="str">
        <f aca="false">IF(H38="","",INDEX(Config!$B$5:$B$9,MATCH(H38,Config!$D$5:$D$9,1)))</f>
        <v>Medium</v>
      </c>
      <c r="I39" s="41" t="str">
        <f aca="false">IF(I38="","",INDEX(Config!$B$5:$B$9,MATCH(I38,Config!$D$5:$D$9,1)))</f>
        <v>Medium</v>
      </c>
      <c r="J39" s="41" t="str">
        <f aca="false">IF(J38="","",INDEX(Config!$B$5:$B$9,MATCH(J38,Config!$D$5:$D$9,1)))</f>
        <v>Medium</v>
      </c>
      <c r="K39" s="41" t="str">
        <f aca="false">IF(K38="","",INDEX(Config!$B$5:$B$9,MATCH(K38,Config!$D$5:$D$9,1)))</f>
        <v>Medium</v>
      </c>
      <c r="L39" s="41" t="str">
        <f aca="false">IF(L38="","",INDEX(Config!$B$5:$B$9,MATCH(L38,Config!$D$5:$D$9,1)))</f>
        <v>Medium</v>
      </c>
      <c r="M39" s="41" t="str">
        <f aca="false">IF(M38="","",INDEX(Config!$B$5:$B$9,MATCH(M38,Config!$D$5:$D$9,1)))</f>
        <v>Medium-Low</v>
      </c>
      <c r="N39" s="41" t="str">
        <f aca="false">IF(N38="","",INDEX(Config!$B$5:$B$9,MATCH(N38,Config!$D$5:$D$9,1)))</f>
        <v>Medium</v>
      </c>
      <c r="O39" s="41" t="str">
        <f aca="false">IF(O38="","",INDEX(Config!$B$5:$B$9,MATCH(O38,Config!$D$5:$D$9,1)))</f>
        <v>Medium</v>
      </c>
      <c r="P39" s="41" t="str">
        <f aca="false">IF(P38="","",INDEX(Config!$B$5:$B$9,MATCH(P38,Config!$D$5:$D$9,1)))</f>
        <v>Medium</v>
      </c>
      <c r="Q39" s="41" t="str">
        <f aca="false">IF(Q38="","",INDEX(Config!$B$5:$B$9,MATCH(Q38,Config!$D$5:$D$9,1)))</f>
        <v>Medium</v>
      </c>
      <c r="R39" s="41" t="str">
        <f aca="false">IF(R38="","",INDEX(Config!$B$5:$B$9,MATCH(R38,Config!$D$5:$D$9,1)))</f>
        <v>Medium</v>
      </c>
      <c r="S39" s="41" t="str">
        <f aca="false">IF(S38="","",INDEX(Config!$B$5:$B$9,MATCH(S38,Config!$D$5:$D$9,1)))</f>
        <v>Medium</v>
      </c>
      <c r="T39" s="41" t="str">
        <f aca="false">IF(T38="","",INDEX(Config!$B$5:$B$9,MATCH(T38,Config!$D$5:$D$9,1)))</f>
        <v>Medium-Low</v>
      </c>
      <c r="U39" s="41" t="str">
        <f aca="false">IF(U38="","",INDEX(Config!$B$5:$B$9,MATCH(U38,Config!$D$5:$D$9,1)))</f>
        <v>Medium</v>
      </c>
      <c r="V39" s="41" t="str">
        <f aca="false">IF(V38="","",INDEX(Config!$B$5:$B$9,MATCH(V38,Config!$D$5:$D$9,1)))</f>
        <v>Medium</v>
      </c>
    </row>
    <row r="40" customFormat="false" ht="15" hidden="false" customHeight="false" outlineLevel="0" collapsed="false">
      <c r="A40" s="3" t="s">
        <v>483</v>
      </c>
      <c r="B40" s="3"/>
      <c r="C40" s="31" t="n">
        <f aca="false">COUNTIF(C6:C35,5)</f>
        <v>1</v>
      </c>
      <c r="D40" s="31" t="n">
        <f aca="false">COUNTIF(D6:D35,5)</f>
        <v>1</v>
      </c>
      <c r="E40" s="31" t="n">
        <f aca="false">COUNTIF(E6:E35,5)</f>
        <v>0</v>
      </c>
      <c r="F40" s="31" t="n">
        <f aca="false">COUNTIF(F6:F35,5)</f>
        <v>0</v>
      </c>
      <c r="G40" s="31" t="n">
        <f aca="false">COUNTIF(G6:G35,5)</f>
        <v>0</v>
      </c>
      <c r="H40" s="31" t="n">
        <f aca="false">COUNTIF(H6:H35,5)</f>
        <v>1</v>
      </c>
      <c r="I40" s="31" t="n">
        <f aca="false">COUNTIF(I6:I35,5)</f>
        <v>0</v>
      </c>
      <c r="J40" s="31" t="n">
        <f aca="false">COUNTIF(J6:J35,5)</f>
        <v>8</v>
      </c>
      <c r="K40" s="31" t="n">
        <f aca="false">COUNTIF(K6:K35,5)</f>
        <v>3</v>
      </c>
      <c r="L40" s="31" t="n">
        <f aca="false">COUNTIF(L6:L35,5)</f>
        <v>3</v>
      </c>
      <c r="M40" s="31" t="n">
        <f aca="false">COUNTIF(M6:M35,5)</f>
        <v>0</v>
      </c>
      <c r="N40" s="31" t="n">
        <f aca="false">COUNTIF(N6:N35,5)</f>
        <v>5</v>
      </c>
      <c r="O40" s="31" t="n">
        <f aca="false">COUNTIF(O6:O35,5)</f>
        <v>2</v>
      </c>
      <c r="P40" s="31" t="n">
        <f aca="false">COUNTIF(P6:P35,5)</f>
        <v>5</v>
      </c>
      <c r="Q40" s="31" t="n">
        <f aca="false">COUNTIF(Q6:Q35,5)</f>
        <v>3</v>
      </c>
      <c r="R40" s="31" t="n">
        <f aca="false">COUNTIF(R6:R35,5)</f>
        <v>6</v>
      </c>
      <c r="S40" s="31" t="n">
        <f aca="false">COUNTIF(S6:S35,5)</f>
        <v>4</v>
      </c>
      <c r="T40" s="31" t="n">
        <f aca="false">COUNTIF(T6:T35,5)</f>
        <v>1</v>
      </c>
      <c r="U40" s="31" t="n">
        <f aca="false">COUNTIF(U6:U35,5)</f>
        <v>2</v>
      </c>
      <c r="V40" s="31" t="n">
        <f aca="false">COUNTIF(V6:V35,5)</f>
        <v>4</v>
      </c>
    </row>
    <row r="41" customFormat="false" ht="15" hidden="false" customHeight="false" outlineLevel="0" collapsed="false">
      <c r="A41" s="3" t="s">
        <v>484</v>
      </c>
      <c r="B41" s="3"/>
      <c r="C41" s="31" t="n">
        <f aca="false">COUNTIF(C6:C35,4)</f>
        <v>6</v>
      </c>
      <c r="D41" s="31" t="n">
        <f aca="false">COUNTIF(D6:D35,4)</f>
        <v>5</v>
      </c>
      <c r="E41" s="31" t="n">
        <f aca="false">COUNTIF(E6:E35,4)</f>
        <v>6</v>
      </c>
      <c r="F41" s="31" t="n">
        <f aca="false">COUNTIF(F6:F35,4)</f>
        <v>6</v>
      </c>
      <c r="G41" s="31" t="n">
        <f aca="false">COUNTIF(G6:G35,4)</f>
        <v>7</v>
      </c>
      <c r="H41" s="31" t="n">
        <f aca="false">COUNTIF(H6:H35,4)</f>
        <v>5</v>
      </c>
      <c r="I41" s="31" t="n">
        <f aca="false">COUNTIF(I6:I35,4)</f>
        <v>7</v>
      </c>
      <c r="J41" s="31" t="n">
        <f aca="false">COUNTIF(J6:J35,4)</f>
        <v>3</v>
      </c>
      <c r="K41" s="31" t="n">
        <f aca="false">COUNTIF(K6:K35,4)</f>
        <v>2</v>
      </c>
      <c r="L41" s="31" t="n">
        <f aca="false">COUNTIF(L6:L35,4)</f>
        <v>6</v>
      </c>
      <c r="M41" s="31" t="n">
        <f aca="false">COUNTIF(M6:M35,4)</f>
        <v>0</v>
      </c>
      <c r="N41" s="31" t="n">
        <f aca="false">COUNTIF(N6:N35,4)</f>
        <v>6</v>
      </c>
      <c r="O41" s="31" t="n">
        <f aca="false">COUNTIF(O6:O35,4)</f>
        <v>5</v>
      </c>
      <c r="P41" s="31" t="n">
        <f aca="false">COUNTIF(P6:P35,4)</f>
        <v>3</v>
      </c>
      <c r="Q41" s="31" t="n">
        <f aca="false">COUNTIF(Q6:Q35,4)</f>
        <v>6</v>
      </c>
      <c r="R41" s="31" t="n">
        <f aca="false">COUNTIF(R6:R35,4)</f>
        <v>4</v>
      </c>
      <c r="S41" s="31" t="n">
        <f aca="false">COUNTIF(S6:S35,4)</f>
        <v>5</v>
      </c>
      <c r="T41" s="31" t="n">
        <f aca="false">COUNTIF(T6:T35,4)</f>
        <v>4</v>
      </c>
      <c r="U41" s="31" t="n">
        <f aca="false">COUNTIF(U6:U35,4)</f>
        <v>7</v>
      </c>
      <c r="V41" s="31" t="n">
        <f aca="false">COUNTIF(V6:V35,4)</f>
        <v>3</v>
      </c>
    </row>
  </sheetData>
  <mergeCells count="5">
    <mergeCell ref="A37:B37"/>
    <mergeCell ref="A38:B38"/>
    <mergeCell ref="A39:B39"/>
    <mergeCell ref="A40:B40"/>
    <mergeCell ref="A41:B41"/>
  </mergeCells>
  <conditionalFormatting sqref="C6:X38">
    <cfRule type="expression" priority="2" aboveAverage="0" equalAverage="0" bottom="0" percent="0" rank="0" text="" dxfId="0">
      <formula>AND(ISNUMBER(C6),C6&gt;0,C6&lt;1.81)</formula>
    </cfRule>
    <cfRule type="expression" priority="3" aboveAverage="0" equalAverage="0" bottom="0" percent="0" rank="0" text="" dxfId="1">
      <formula>AND(ISNUMBER(C6),C6&gt;0,AND(C6&gt;=1.81,C6&lt;2.61))</formula>
    </cfRule>
    <cfRule type="expression" priority="4" aboveAverage="0" equalAverage="0" bottom="0" percent="0" rank="0" text="" dxfId="2">
      <formula>AND(ISNUMBER(C6),C6&gt;0,AND(C6&gt;=2.61,C6&lt;3.41))</formula>
    </cfRule>
    <cfRule type="expression" priority="5" aboveAverage="0" equalAverage="0" bottom="0" percent="0" rank="0" text="" dxfId="3">
      <formula>AND(ISNUMBER(C6),C6&gt;0,AND(C6&gt;=3.41,C6&lt;4.21))</formula>
    </cfRule>
    <cfRule type="expression" priority="6" aboveAverage="0" equalAverage="0" bottom="0" percent="0" rank="0" text="" dxfId="4">
      <formula>AND(ISNUMBER(C6),C6&gt;0,C6&gt;=4.21)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485</v>
      </c>
    </row>
    <row r="2" customFormat="false" ht="15" hidden="false" customHeight="false" outlineLevel="0" collapsed="false">
      <c r="A2" s="2" t="s">
        <v>486</v>
      </c>
    </row>
    <row r="4" customFormat="false" ht="15" hidden="false" customHeight="false" outlineLevel="0" collapsed="false">
      <c r="A4" s="3" t="s">
        <v>487</v>
      </c>
      <c r="C4" s="34" t="n">
        <f aca="false">COUNTA(Entities!A5:A34)</f>
        <v>30</v>
      </c>
    </row>
    <row r="5" customFormat="false" ht="15" hidden="false" customHeight="false" outlineLevel="0" collapsed="false">
      <c r="A5" s="3" t="s">
        <v>488</v>
      </c>
      <c r="C5" s="34" t="n">
        <f aca="false">COUNTIF('Inherent Summary'!C6:V35,5)</f>
        <v>49</v>
      </c>
    </row>
    <row r="6" customFormat="false" ht="15" hidden="false" customHeight="false" outlineLevel="0" collapsed="false">
      <c r="A6" s="3" t="s">
        <v>489</v>
      </c>
      <c r="C6" s="34" t="n">
        <f aca="false">COUNTIF('Inherent Summary'!C6:V35,4)</f>
        <v>96</v>
      </c>
    </row>
    <row r="7" customFormat="false" ht="15" hidden="false" customHeight="false" outlineLevel="0" collapsed="false">
      <c r="A7" s="3" t="s">
        <v>490</v>
      </c>
      <c r="C7" s="40" t="n">
        <f aca="false">AVERAGE('Inherent Summary'!C38:V38)</f>
        <v>2.79464285714286</v>
      </c>
    </row>
    <row r="8" customFormat="false" ht="15" hidden="false" customHeight="false" outlineLevel="0" collapsed="false">
      <c r="A8" s="3" t="s">
        <v>491</v>
      </c>
      <c r="C8" s="34" t="n">
        <f aca="false">COUNTIF('FC Calculation'!V5:V214,"Pending HO approval")+COUNTIF('LxI Assessment'!U5:U394,"Pending HO approval")</f>
        <v>1</v>
      </c>
    </row>
    <row r="9" customFormat="false" ht="15" hidden="false" customHeight="false" outlineLevel="0" collapsed="false">
      <c r="A9" s="3" t="s">
        <v>492</v>
      </c>
      <c r="C9" s="34" t="n">
        <f aca="false">COUNTIF('FC Calculation'!V5:V214,"Applied")+COUNTIF('LxI Assessment'!U5:U394,"Applied")</f>
        <v>2</v>
      </c>
    </row>
    <row r="10" customFormat="false" ht="15" hidden="false" customHeight="false" outlineLevel="0" collapsed="false">
      <c r="A10" s="3" t="s">
        <v>493</v>
      </c>
      <c r="C10" s="42" t="str">
        <f aca="false">Checks!C4</f>
        <v>OK with warnings</v>
      </c>
    </row>
    <row r="13" customFormat="false" ht="30" hidden="false" customHeight="true" outlineLevel="0" collapsed="false">
      <c r="A13" s="5" t="s">
        <v>252</v>
      </c>
      <c r="B13" s="5" t="s">
        <v>327</v>
      </c>
      <c r="C13" s="5" t="s">
        <v>494</v>
      </c>
      <c r="D13" s="5" t="s">
        <v>495</v>
      </c>
      <c r="E13" s="5" t="s">
        <v>496</v>
      </c>
      <c r="F13" s="5" t="s">
        <v>497</v>
      </c>
      <c r="G13" s="5" t="s">
        <v>498</v>
      </c>
      <c r="H13" s="5" t="s">
        <v>499</v>
      </c>
    </row>
    <row r="14" customFormat="false" ht="15" hidden="false" customHeight="false" outlineLevel="0" collapsed="false">
      <c r="A14" s="12" t="s">
        <v>260</v>
      </c>
      <c r="B14" s="12" t="s">
        <v>261</v>
      </c>
      <c r="C14" s="43" t="n">
        <f aca="false">'Inherent Summary'!C38</f>
        <v>2.75</v>
      </c>
      <c r="D14" s="31" t="n">
        <f aca="false">COUNTIF('Inherent Summary'!C6:C35,1)</f>
        <v>5</v>
      </c>
      <c r="E14" s="31" t="n">
        <f aca="false">COUNTIF('Inherent Summary'!C6:C35,2)</f>
        <v>6</v>
      </c>
      <c r="F14" s="31" t="n">
        <f aca="false">COUNTIF('Inherent Summary'!C6:C35,3)</f>
        <v>12</v>
      </c>
      <c r="G14" s="31" t="n">
        <f aca="false">COUNTIF('Inherent Summary'!C6:C35,4)</f>
        <v>6</v>
      </c>
      <c r="H14" s="31" t="n">
        <f aca="false">COUNTIF('Inherent Summary'!C6:C35,5)</f>
        <v>1</v>
      </c>
    </row>
    <row r="15" customFormat="false" ht="15" hidden="false" customHeight="false" outlineLevel="0" collapsed="false">
      <c r="A15" s="12" t="s">
        <v>267</v>
      </c>
      <c r="B15" s="12" t="s">
        <v>268</v>
      </c>
      <c r="C15" s="43" t="n">
        <f aca="false">'Inherent Summary'!D38</f>
        <v>2.67857142857143</v>
      </c>
      <c r="D15" s="31" t="n">
        <f aca="false">COUNTIF('Inherent Summary'!D6:D35,1)</f>
        <v>6</v>
      </c>
      <c r="E15" s="31" t="n">
        <f aca="false">COUNTIF('Inherent Summary'!D6:D35,2)</f>
        <v>7</v>
      </c>
      <c r="F15" s="31" t="n">
        <f aca="false">COUNTIF('Inherent Summary'!D6:D35,3)</f>
        <v>11</v>
      </c>
      <c r="G15" s="31" t="n">
        <f aca="false">COUNTIF('Inherent Summary'!D6:D35,4)</f>
        <v>5</v>
      </c>
      <c r="H15" s="31" t="n">
        <f aca="false">COUNTIF('Inherent Summary'!D6:D35,5)</f>
        <v>1</v>
      </c>
    </row>
    <row r="16" customFormat="false" ht="15" hidden="false" customHeight="false" outlineLevel="0" collapsed="false">
      <c r="A16" s="12" t="s">
        <v>270</v>
      </c>
      <c r="B16" s="12" t="s">
        <v>271</v>
      </c>
      <c r="C16" s="43" t="n">
        <f aca="false">'Inherent Summary'!E38</f>
        <v>2.66071428571429</v>
      </c>
      <c r="D16" s="31" t="n">
        <f aca="false">COUNTIF('Inherent Summary'!E6:E35,1)</f>
        <v>4</v>
      </c>
      <c r="E16" s="31" t="n">
        <f aca="false">COUNTIF('Inherent Summary'!E6:E35,2)</f>
        <v>9</v>
      </c>
      <c r="F16" s="31" t="n">
        <f aca="false">COUNTIF('Inherent Summary'!E6:E35,3)</f>
        <v>11</v>
      </c>
      <c r="G16" s="31" t="n">
        <f aca="false">COUNTIF('Inherent Summary'!E6:E35,4)</f>
        <v>6</v>
      </c>
      <c r="H16" s="31" t="n">
        <f aca="false">COUNTIF('Inherent Summary'!E6:E35,5)</f>
        <v>0</v>
      </c>
    </row>
    <row r="17" customFormat="false" ht="15" hidden="false" customHeight="false" outlineLevel="0" collapsed="false">
      <c r="A17" s="12" t="s">
        <v>272</v>
      </c>
      <c r="B17" s="12" t="s">
        <v>273</v>
      </c>
      <c r="C17" s="43" t="n">
        <f aca="false">'Inherent Summary'!F38</f>
        <v>2.75</v>
      </c>
      <c r="D17" s="31" t="n">
        <f aca="false">COUNTIF('Inherent Summary'!F6:F35,1)</f>
        <v>4</v>
      </c>
      <c r="E17" s="31" t="n">
        <f aca="false">COUNTIF('Inherent Summary'!F6:F35,2)</f>
        <v>7</v>
      </c>
      <c r="F17" s="31" t="n">
        <f aca="false">COUNTIF('Inherent Summary'!F6:F35,3)</f>
        <v>13</v>
      </c>
      <c r="G17" s="31" t="n">
        <f aca="false">COUNTIF('Inherent Summary'!F6:F35,4)</f>
        <v>6</v>
      </c>
      <c r="H17" s="31" t="n">
        <f aca="false">COUNTIF('Inherent Summary'!F6:F35,5)</f>
        <v>0</v>
      </c>
    </row>
    <row r="18" customFormat="false" ht="15" hidden="false" customHeight="false" outlineLevel="0" collapsed="false">
      <c r="A18" s="12" t="s">
        <v>275</v>
      </c>
      <c r="B18" s="12" t="s">
        <v>276</v>
      </c>
      <c r="C18" s="43" t="n">
        <f aca="false">'Inherent Summary'!G38</f>
        <v>2.71428571428571</v>
      </c>
      <c r="D18" s="31" t="n">
        <f aca="false">COUNTIF('Inherent Summary'!G6:G35,1)</f>
        <v>4</v>
      </c>
      <c r="E18" s="31" t="n">
        <f aca="false">COUNTIF('Inherent Summary'!G6:G35,2)</f>
        <v>9</v>
      </c>
      <c r="F18" s="31" t="n">
        <f aca="false">COUNTIF('Inherent Summary'!G6:G35,3)</f>
        <v>10</v>
      </c>
      <c r="G18" s="31" t="n">
        <f aca="false">COUNTIF('Inherent Summary'!G6:G35,4)</f>
        <v>7</v>
      </c>
      <c r="H18" s="31" t="n">
        <f aca="false">COUNTIF('Inherent Summary'!G6:G35,5)</f>
        <v>0</v>
      </c>
    </row>
    <row r="19" customFormat="false" ht="15" hidden="false" customHeight="false" outlineLevel="0" collapsed="false">
      <c r="A19" s="12" t="s">
        <v>278</v>
      </c>
      <c r="B19" s="12" t="s">
        <v>279</v>
      </c>
      <c r="C19" s="43" t="n">
        <f aca="false">'Inherent Summary'!H38</f>
        <v>2.75</v>
      </c>
      <c r="D19" s="31" t="n">
        <f aca="false">COUNTIF('Inherent Summary'!H6:H35,1)</f>
        <v>4</v>
      </c>
      <c r="E19" s="31" t="n">
        <f aca="false">COUNTIF('Inherent Summary'!H6:H35,2)</f>
        <v>8</v>
      </c>
      <c r="F19" s="31" t="n">
        <f aca="false">COUNTIF('Inherent Summary'!H6:H35,3)</f>
        <v>12</v>
      </c>
      <c r="G19" s="31" t="n">
        <f aca="false">COUNTIF('Inherent Summary'!H6:H35,4)</f>
        <v>5</v>
      </c>
      <c r="H19" s="31" t="n">
        <f aca="false">COUNTIF('Inherent Summary'!H6:H35,5)</f>
        <v>1</v>
      </c>
    </row>
    <row r="20" customFormat="false" ht="15" hidden="false" customHeight="false" outlineLevel="0" collapsed="false">
      <c r="A20" s="12" t="s">
        <v>281</v>
      </c>
      <c r="B20" s="12" t="s">
        <v>282</v>
      </c>
      <c r="C20" s="43" t="n">
        <f aca="false">'Inherent Summary'!I38</f>
        <v>2.78571428571429</v>
      </c>
      <c r="D20" s="31" t="n">
        <f aca="false">COUNTIF('Inherent Summary'!I6:I35,1)</f>
        <v>4</v>
      </c>
      <c r="E20" s="31" t="n">
        <f aca="false">COUNTIF('Inherent Summary'!I6:I35,2)</f>
        <v>6</v>
      </c>
      <c r="F20" s="31" t="n">
        <f aca="false">COUNTIF('Inherent Summary'!I6:I35,3)</f>
        <v>13</v>
      </c>
      <c r="G20" s="31" t="n">
        <f aca="false">COUNTIF('Inherent Summary'!I6:I35,4)</f>
        <v>7</v>
      </c>
      <c r="H20" s="31" t="n">
        <f aca="false">COUNTIF('Inherent Summary'!I6:I35,5)</f>
        <v>0</v>
      </c>
    </row>
    <row r="21" customFormat="false" ht="15" hidden="false" customHeight="false" outlineLevel="0" collapsed="false">
      <c r="A21" s="12" t="s">
        <v>284</v>
      </c>
      <c r="B21" s="12" t="s">
        <v>285</v>
      </c>
      <c r="C21" s="43" t="n">
        <f aca="false">'Inherent Summary'!J38</f>
        <v>3.21428571428571</v>
      </c>
      <c r="D21" s="31" t="n">
        <f aca="false">COUNTIF('Inherent Summary'!J6:J35,1)</f>
        <v>5</v>
      </c>
      <c r="E21" s="31" t="n">
        <f aca="false">COUNTIF('Inherent Summary'!J6:J35,2)</f>
        <v>3</v>
      </c>
      <c r="F21" s="31" t="n">
        <f aca="false">COUNTIF('Inherent Summary'!J6:J35,3)</f>
        <v>11</v>
      </c>
      <c r="G21" s="31" t="n">
        <f aca="false">COUNTIF('Inherent Summary'!J6:J35,4)</f>
        <v>3</v>
      </c>
      <c r="H21" s="31" t="n">
        <f aca="false">COUNTIF('Inherent Summary'!J6:J35,5)</f>
        <v>8</v>
      </c>
    </row>
    <row r="22" customFormat="false" ht="15" hidden="false" customHeight="false" outlineLevel="0" collapsed="false">
      <c r="A22" s="12" t="s">
        <v>288</v>
      </c>
      <c r="B22" s="12" t="s">
        <v>289</v>
      </c>
      <c r="C22" s="43" t="n">
        <f aca="false">'Inherent Summary'!K38</f>
        <v>2.73214285714286</v>
      </c>
      <c r="D22" s="31" t="n">
        <f aca="false">COUNTIF('Inherent Summary'!K6:K35,1)</f>
        <v>6</v>
      </c>
      <c r="E22" s="31" t="n">
        <f aca="false">COUNTIF('Inherent Summary'!K6:K35,2)</f>
        <v>6</v>
      </c>
      <c r="F22" s="31" t="n">
        <f aca="false">COUNTIF('Inherent Summary'!K6:K35,3)</f>
        <v>13</v>
      </c>
      <c r="G22" s="31" t="n">
        <f aca="false">COUNTIF('Inherent Summary'!K6:K35,4)</f>
        <v>2</v>
      </c>
      <c r="H22" s="31" t="n">
        <f aca="false">COUNTIF('Inherent Summary'!K6:K35,5)</f>
        <v>3</v>
      </c>
    </row>
    <row r="23" customFormat="false" ht="15" hidden="false" customHeight="false" outlineLevel="0" collapsed="false">
      <c r="A23" s="12" t="s">
        <v>290</v>
      </c>
      <c r="B23" s="12" t="s">
        <v>291</v>
      </c>
      <c r="C23" s="43" t="n">
        <f aca="false">'Inherent Summary'!L38</f>
        <v>2.80357142857143</v>
      </c>
      <c r="D23" s="31" t="n">
        <f aca="false">COUNTIF('Inherent Summary'!L6:L35,1)</f>
        <v>5</v>
      </c>
      <c r="E23" s="31" t="n">
        <f aca="false">COUNTIF('Inherent Summary'!L6:L35,2)</f>
        <v>8</v>
      </c>
      <c r="F23" s="31" t="n">
        <f aca="false">COUNTIF('Inherent Summary'!L6:L35,3)</f>
        <v>8</v>
      </c>
      <c r="G23" s="31" t="n">
        <f aca="false">COUNTIF('Inherent Summary'!L6:L35,4)</f>
        <v>6</v>
      </c>
      <c r="H23" s="31" t="n">
        <f aca="false">COUNTIF('Inherent Summary'!L6:L35,5)</f>
        <v>3</v>
      </c>
    </row>
    <row r="24" customFormat="false" ht="15" hidden="false" customHeight="false" outlineLevel="0" collapsed="false">
      <c r="A24" s="12" t="s">
        <v>293</v>
      </c>
      <c r="B24" s="12" t="s">
        <v>294</v>
      </c>
      <c r="C24" s="43" t="n">
        <f aca="false">'Inherent Summary'!M38</f>
        <v>2</v>
      </c>
      <c r="D24" s="31" t="n">
        <f aca="false">COUNTIF('Inherent Summary'!M6:M35,1)</f>
        <v>0</v>
      </c>
      <c r="E24" s="31" t="n">
        <f aca="false">COUNTIF('Inherent Summary'!M6:M35,2)</f>
        <v>1</v>
      </c>
      <c r="F24" s="31" t="n">
        <f aca="false">COUNTIF('Inherent Summary'!M6:M35,3)</f>
        <v>0</v>
      </c>
      <c r="G24" s="31" t="n">
        <f aca="false">COUNTIF('Inherent Summary'!M6:M35,4)</f>
        <v>0</v>
      </c>
      <c r="H24" s="31" t="n">
        <f aca="false">COUNTIF('Inherent Summary'!M6:M35,5)</f>
        <v>0</v>
      </c>
    </row>
    <row r="25" customFormat="false" ht="15" hidden="false" customHeight="false" outlineLevel="0" collapsed="false">
      <c r="A25" s="12" t="s">
        <v>297</v>
      </c>
      <c r="B25" s="12" t="s">
        <v>298</v>
      </c>
      <c r="C25" s="43" t="n">
        <f aca="false">'Inherent Summary'!N38</f>
        <v>3.07142857142857</v>
      </c>
      <c r="D25" s="31" t="n">
        <f aca="false">COUNTIF('Inherent Summary'!N6:N35,1)</f>
        <v>3</v>
      </c>
      <c r="E25" s="31" t="n">
        <f aca="false">COUNTIF('Inherent Summary'!N6:N35,2)</f>
        <v>7</v>
      </c>
      <c r="F25" s="31" t="n">
        <f aca="false">COUNTIF('Inherent Summary'!N6:N35,3)</f>
        <v>9</v>
      </c>
      <c r="G25" s="31" t="n">
        <f aca="false">COUNTIF('Inherent Summary'!N6:N35,4)</f>
        <v>6</v>
      </c>
      <c r="H25" s="31" t="n">
        <f aca="false">COUNTIF('Inherent Summary'!N6:N35,5)</f>
        <v>5</v>
      </c>
    </row>
    <row r="26" customFormat="false" ht="15" hidden="false" customHeight="false" outlineLevel="0" collapsed="false">
      <c r="A26" s="12" t="s">
        <v>302</v>
      </c>
      <c r="B26" s="12" t="s">
        <v>303</v>
      </c>
      <c r="C26" s="43" t="n">
        <f aca="false">'Inherent Summary'!O38</f>
        <v>2.83928571428571</v>
      </c>
      <c r="D26" s="31" t="n">
        <f aca="false">COUNTIF('Inherent Summary'!O6:O35,1)</f>
        <v>3</v>
      </c>
      <c r="E26" s="31" t="n">
        <f aca="false">COUNTIF('Inherent Summary'!O6:O35,2)</f>
        <v>9</v>
      </c>
      <c r="F26" s="31" t="n">
        <f aca="false">COUNTIF('Inherent Summary'!O6:O35,3)</f>
        <v>11</v>
      </c>
      <c r="G26" s="31" t="n">
        <f aca="false">COUNTIF('Inherent Summary'!O6:O35,4)</f>
        <v>5</v>
      </c>
      <c r="H26" s="31" t="n">
        <f aca="false">COUNTIF('Inherent Summary'!O6:O35,5)</f>
        <v>2</v>
      </c>
    </row>
    <row r="27" customFormat="false" ht="15" hidden="false" customHeight="false" outlineLevel="0" collapsed="false">
      <c r="A27" s="12" t="s">
        <v>304</v>
      </c>
      <c r="B27" s="12" t="s">
        <v>305</v>
      </c>
      <c r="C27" s="43" t="n">
        <f aca="false">'Inherent Summary'!P38</f>
        <v>2.98214285714286</v>
      </c>
      <c r="D27" s="31" t="n">
        <f aca="false">COUNTIF('Inherent Summary'!P6:P35,1)</f>
        <v>3</v>
      </c>
      <c r="E27" s="31" t="n">
        <f aca="false">COUNTIF('Inherent Summary'!P6:P35,2)</f>
        <v>8</v>
      </c>
      <c r="F27" s="31" t="n">
        <f aca="false">COUNTIF('Inherent Summary'!P6:P35,3)</f>
        <v>11</v>
      </c>
      <c r="G27" s="31" t="n">
        <f aca="false">COUNTIF('Inherent Summary'!P6:P35,4)</f>
        <v>3</v>
      </c>
      <c r="H27" s="31" t="n">
        <f aca="false">COUNTIF('Inherent Summary'!P6:P35,5)</f>
        <v>5</v>
      </c>
    </row>
    <row r="28" customFormat="false" ht="15" hidden="false" customHeight="false" outlineLevel="0" collapsed="false">
      <c r="A28" s="12" t="s">
        <v>307</v>
      </c>
      <c r="B28" s="12" t="s">
        <v>308</v>
      </c>
      <c r="C28" s="43" t="n">
        <f aca="false">'Inherent Summary'!Q38</f>
        <v>3.05357142857143</v>
      </c>
      <c r="D28" s="31" t="n">
        <f aca="false">COUNTIF('Inherent Summary'!Q6:Q35,1)</f>
        <v>2</v>
      </c>
      <c r="E28" s="31" t="n">
        <f aca="false">COUNTIF('Inherent Summary'!Q6:Q35,2)</f>
        <v>6</v>
      </c>
      <c r="F28" s="31" t="n">
        <f aca="false">COUNTIF('Inherent Summary'!Q6:Q35,3)</f>
        <v>13</v>
      </c>
      <c r="G28" s="31" t="n">
        <f aca="false">COUNTIF('Inherent Summary'!Q6:Q35,4)</f>
        <v>6</v>
      </c>
      <c r="H28" s="31" t="n">
        <f aca="false">COUNTIF('Inherent Summary'!Q6:Q35,5)</f>
        <v>3</v>
      </c>
    </row>
    <row r="29" customFormat="false" ht="15" hidden="false" customHeight="false" outlineLevel="0" collapsed="false">
      <c r="A29" s="12" t="s">
        <v>310</v>
      </c>
      <c r="B29" s="12" t="s">
        <v>311</v>
      </c>
      <c r="C29" s="43" t="n">
        <f aca="false">'Inherent Summary'!R38</f>
        <v>3.16071428571429</v>
      </c>
      <c r="D29" s="31" t="n">
        <f aca="false">COUNTIF('Inherent Summary'!R6:R35,1)</f>
        <v>5</v>
      </c>
      <c r="E29" s="31" t="n">
        <f aca="false">COUNTIF('Inherent Summary'!R6:R35,2)</f>
        <v>2</v>
      </c>
      <c r="F29" s="31" t="n">
        <f aca="false">COUNTIF('Inherent Summary'!R6:R35,3)</f>
        <v>13</v>
      </c>
      <c r="G29" s="31" t="n">
        <f aca="false">COUNTIF('Inherent Summary'!R6:R35,4)</f>
        <v>4</v>
      </c>
      <c r="H29" s="31" t="n">
        <f aca="false">COUNTIF('Inherent Summary'!R6:R35,5)</f>
        <v>6</v>
      </c>
    </row>
    <row r="30" customFormat="false" ht="15" hidden="false" customHeight="false" outlineLevel="0" collapsed="false">
      <c r="A30" s="12" t="s">
        <v>313</v>
      </c>
      <c r="B30" s="12" t="s">
        <v>314</v>
      </c>
      <c r="C30" s="43" t="n">
        <f aca="false">'Inherent Summary'!S38</f>
        <v>2.82142857142857</v>
      </c>
      <c r="D30" s="31" t="n">
        <f aca="false">COUNTIF('Inherent Summary'!S6:S35,1)</f>
        <v>6</v>
      </c>
      <c r="E30" s="31" t="n">
        <f aca="false">COUNTIF('Inherent Summary'!S6:S35,2)</f>
        <v>5</v>
      </c>
      <c r="F30" s="31" t="n">
        <f aca="false">COUNTIF('Inherent Summary'!S6:S35,3)</f>
        <v>10</v>
      </c>
      <c r="G30" s="31" t="n">
        <f aca="false">COUNTIF('Inherent Summary'!S6:S35,4)</f>
        <v>5</v>
      </c>
      <c r="H30" s="31" t="n">
        <f aca="false">COUNTIF('Inherent Summary'!S6:S35,5)</f>
        <v>4</v>
      </c>
    </row>
    <row r="31" customFormat="false" ht="15" hidden="false" customHeight="false" outlineLevel="0" collapsed="false">
      <c r="A31" s="12" t="s">
        <v>316</v>
      </c>
      <c r="B31" s="12" t="s">
        <v>317</v>
      </c>
      <c r="C31" s="43" t="n">
        <f aca="false">'Inherent Summary'!T38</f>
        <v>2.44642857142857</v>
      </c>
      <c r="D31" s="31" t="n">
        <f aca="false">COUNTIF('Inherent Summary'!T6:T35,1)</f>
        <v>6</v>
      </c>
      <c r="E31" s="31" t="n">
        <f aca="false">COUNTIF('Inherent Summary'!T6:T35,2)</f>
        <v>9</v>
      </c>
      <c r="F31" s="31" t="n">
        <f aca="false">COUNTIF('Inherent Summary'!T6:T35,3)</f>
        <v>10</v>
      </c>
      <c r="G31" s="31" t="n">
        <f aca="false">COUNTIF('Inherent Summary'!T6:T35,4)</f>
        <v>4</v>
      </c>
      <c r="H31" s="31" t="n">
        <f aca="false">COUNTIF('Inherent Summary'!T6:T35,5)</f>
        <v>1</v>
      </c>
    </row>
    <row r="32" customFormat="false" ht="15" hidden="false" customHeight="false" outlineLevel="0" collapsed="false">
      <c r="A32" s="12" t="s">
        <v>319</v>
      </c>
      <c r="B32" s="12" t="s">
        <v>320</v>
      </c>
      <c r="C32" s="43" t="n">
        <f aca="false">'Inherent Summary'!U38</f>
        <v>2.98214285714286</v>
      </c>
      <c r="D32" s="31" t="n">
        <f aca="false">COUNTIF('Inherent Summary'!U6:U35,1)</f>
        <v>1</v>
      </c>
      <c r="E32" s="31" t="n">
        <f aca="false">COUNTIF('Inherent Summary'!U6:U35,2)</f>
        <v>10</v>
      </c>
      <c r="F32" s="31" t="n">
        <f aca="false">COUNTIF('Inherent Summary'!U6:U35,3)</f>
        <v>10</v>
      </c>
      <c r="G32" s="31" t="n">
        <f aca="false">COUNTIF('Inherent Summary'!U6:U35,4)</f>
        <v>7</v>
      </c>
      <c r="H32" s="31" t="n">
        <f aca="false">COUNTIF('Inherent Summary'!U6:U35,5)</f>
        <v>2</v>
      </c>
    </row>
    <row r="33" customFormat="false" ht="15" hidden="false" customHeight="false" outlineLevel="0" collapsed="false">
      <c r="A33" s="12" t="s">
        <v>322</v>
      </c>
      <c r="B33" s="12" t="s">
        <v>323</v>
      </c>
      <c r="C33" s="43" t="n">
        <f aca="false">'Inherent Summary'!V38</f>
        <v>2.69642857142857</v>
      </c>
      <c r="D33" s="31" t="n">
        <f aca="false">COUNTIF('Inherent Summary'!V6:V35,1)</f>
        <v>6</v>
      </c>
      <c r="E33" s="31" t="n">
        <f aca="false">COUNTIF('Inherent Summary'!V6:V35,2)</f>
        <v>9</v>
      </c>
      <c r="F33" s="31" t="n">
        <f aca="false">COUNTIF('Inherent Summary'!V6:V35,3)</f>
        <v>8</v>
      </c>
      <c r="G33" s="31" t="n">
        <f aca="false">COUNTIF('Inherent Summary'!V6:V35,4)</f>
        <v>3</v>
      </c>
      <c r="H33" s="31" t="n">
        <f aca="false">COUNTIF('Inherent Summary'!V6:V35,5)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4"/>
    <col collapsed="false" customWidth="true" hidden="false" outlineLevel="0" max="10" min="7" style="0" width="13"/>
    <col collapsed="false" customWidth="true" hidden="false" outlineLevel="0" max="11" min="11" style="0" width="20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500</v>
      </c>
    </row>
    <row r="2" customFormat="false" ht="15" hidden="false" customHeight="false" outlineLevel="0" collapsed="false">
      <c r="A2" s="2" t="s">
        <v>501</v>
      </c>
    </row>
    <row r="3" customFormat="false" ht="15" hidden="false" customHeight="false" outlineLevel="0" collapsed="false">
      <c r="L3" s="6" t="s">
        <v>502</v>
      </c>
    </row>
    <row r="4" customFormat="false" ht="15" hidden="false" customHeight="true" outlineLevel="0" collapsed="false">
      <c r="A4" s="3" t="s">
        <v>503</v>
      </c>
      <c r="C4" s="44" t="n">
        <v>46295</v>
      </c>
      <c r="D4" s="4" t="s">
        <v>504</v>
      </c>
      <c r="E4" s="4"/>
      <c r="F4" s="4"/>
      <c r="G4" s="4"/>
      <c r="H4" s="4"/>
      <c r="I4" s="4"/>
    </row>
    <row r="5" customFormat="false" ht="15" hidden="false" customHeight="true" outlineLevel="0" collapsed="false">
      <c r="A5" s="3" t="s">
        <v>505</v>
      </c>
      <c r="C5" s="8" t="s">
        <v>506</v>
      </c>
      <c r="D5" s="4" t="s">
        <v>507</v>
      </c>
      <c r="E5" s="4"/>
      <c r="F5" s="4"/>
      <c r="G5" s="4"/>
      <c r="H5" s="4"/>
      <c r="I5" s="4"/>
    </row>
    <row r="6" customFormat="false" ht="15" hidden="false" customHeight="true" outlineLevel="0" collapsed="false">
      <c r="A6" s="3" t="s">
        <v>508</v>
      </c>
      <c r="C6" s="11" t="n">
        <v>2</v>
      </c>
      <c r="D6" s="4" t="s">
        <v>509</v>
      </c>
      <c r="E6" s="4"/>
      <c r="F6" s="4"/>
      <c r="G6" s="4"/>
      <c r="H6" s="4"/>
      <c r="I6" s="4"/>
    </row>
    <row r="7" customFormat="false" ht="23.85" hidden="false" customHeight="true" outlineLevel="0" collapsed="false">
      <c r="A7" s="3" t="s">
        <v>510</v>
      </c>
      <c r="C7" s="11" t="n">
        <v>3</v>
      </c>
      <c r="D7" s="4" t="s">
        <v>511</v>
      </c>
      <c r="E7" s="4"/>
      <c r="F7" s="4"/>
      <c r="G7" s="4"/>
      <c r="H7" s="4"/>
      <c r="I7" s="4"/>
    </row>
    <row r="8" customFormat="false" ht="23.85" hidden="false" customHeight="true" outlineLevel="0" collapsed="false">
      <c r="A8" s="3" t="s">
        <v>512</v>
      </c>
      <c r="C8" s="8" t="s">
        <v>112</v>
      </c>
      <c r="D8" s="4" t="s">
        <v>513</v>
      </c>
      <c r="E8" s="4"/>
      <c r="F8" s="4"/>
      <c r="G8" s="4"/>
      <c r="H8" s="4"/>
      <c r="I8" s="4"/>
    </row>
    <row r="9" customFormat="false" ht="15" hidden="false" customHeight="false" outlineLevel="0" collapsed="false">
      <c r="A9" s="6" t="s">
        <v>514</v>
      </c>
      <c r="K9" s="3" t="s">
        <v>515</v>
      </c>
      <c r="L9" s="12" t="s">
        <v>516</v>
      </c>
    </row>
    <row r="10" customFormat="false" ht="23.85" hidden="false" customHeight="false" outlineLevel="0" collapsed="false">
      <c r="A10" s="5" t="s">
        <v>517</v>
      </c>
      <c r="B10" s="5" t="s">
        <v>82</v>
      </c>
      <c r="C10" s="5" t="s">
        <v>518</v>
      </c>
      <c r="D10" s="5" t="s">
        <v>519</v>
      </c>
      <c r="E10" s="5" t="s">
        <v>520</v>
      </c>
      <c r="L10" s="12" t="s">
        <v>521</v>
      </c>
    </row>
    <row r="11" customFormat="false" ht="23.85" hidden="false" customHeight="false" outlineLevel="0" collapsed="false">
      <c r="A11" s="45" t="n">
        <v>1</v>
      </c>
      <c r="B11" s="8" t="s">
        <v>522</v>
      </c>
      <c r="C11" s="4" t="s">
        <v>523</v>
      </c>
      <c r="D11" s="20" t="n">
        <v>0.6</v>
      </c>
      <c r="E11" s="46" t="n">
        <v>1</v>
      </c>
      <c r="L11" s="12" t="s">
        <v>524</v>
      </c>
    </row>
    <row r="12" customFormat="false" ht="23.85" hidden="false" customHeight="false" outlineLevel="0" collapsed="false">
      <c r="A12" s="47" t="n">
        <v>2</v>
      </c>
      <c r="B12" s="8" t="s">
        <v>525</v>
      </c>
      <c r="C12" s="4" t="s">
        <v>526</v>
      </c>
      <c r="D12" s="20" t="n">
        <v>0.4</v>
      </c>
      <c r="E12" s="46" t="n">
        <v>1.5</v>
      </c>
      <c r="L12" s="12" t="s">
        <v>527</v>
      </c>
    </row>
    <row r="13" customFormat="false" ht="23.85" hidden="false" customHeight="false" outlineLevel="0" collapsed="false">
      <c r="A13" s="48" t="n">
        <v>3</v>
      </c>
      <c r="B13" s="8" t="s">
        <v>528</v>
      </c>
      <c r="C13" s="4" t="s">
        <v>529</v>
      </c>
      <c r="D13" s="20" t="n">
        <v>0.2</v>
      </c>
      <c r="E13" s="46" t="n">
        <v>2.5</v>
      </c>
    </row>
    <row r="14" customFormat="false" ht="23.85" hidden="false" customHeight="false" outlineLevel="0" collapsed="false">
      <c r="A14" s="49" t="n">
        <v>4</v>
      </c>
      <c r="B14" s="8" t="s">
        <v>530</v>
      </c>
      <c r="C14" s="4" t="s">
        <v>531</v>
      </c>
      <c r="D14" s="20" t="n">
        <v>0</v>
      </c>
      <c r="E14" s="46" t="n">
        <v>3.5</v>
      </c>
      <c r="K14" s="3" t="s">
        <v>532</v>
      </c>
      <c r="L14" s="12" t="s">
        <v>533</v>
      </c>
    </row>
    <row r="15" customFormat="false" ht="15" hidden="false" customHeight="false" outlineLevel="0" collapsed="false">
      <c r="A15" s="12" t="s">
        <v>534</v>
      </c>
      <c r="B15" s="12"/>
      <c r="C15" s="12"/>
      <c r="D15" s="12"/>
      <c r="E15" s="12"/>
      <c r="L15" s="12" t="s">
        <v>535</v>
      </c>
    </row>
    <row r="16" customFormat="false" ht="15" hidden="false" customHeight="false" outlineLevel="0" collapsed="false">
      <c r="L16" s="12" t="s">
        <v>536</v>
      </c>
    </row>
    <row r="17" customFormat="false" ht="15" hidden="false" customHeight="false" outlineLevel="0" collapsed="false">
      <c r="A17" s="6" t="s">
        <v>537</v>
      </c>
    </row>
    <row r="18" customFormat="false" ht="15" hidden="false" customHeight="false" outlineLevel="0" collapsed="false">
      <c r="A18" s="5" t="s">
        <v>538</v>
      </c>
      <c r="B18" s="5" t="s">
        <v>522</v>
      </c>
      <c r="C18" s="5" t="s">
        <v>525</v>
      </c>
      <c r="D18" s="5" t="s">
        <v>528</v>
      </c>
      <c r="E18" s="5" t="s">
        <v>530</v>
      </c>
      <c r="F18" s="12"/>
      <c r="G18" s="5" t="s">
        <v>522</v>
      </c>
      <c r="H18" s="5" t="s">
        <v>539</v>
      </c>
      <c r="I18" s="5" t="s">
        <v>540</v>
      </c>
      <c r="J18" s="5" t="s">
        <v>530</v>
      </c>
      <c r="K18" s="3" t="s">
        <v>541</v>
      </c>
      <c r="L18" s="12" t="s">
        <v>506</v>
      </c>
    </row>
    <row r="19" customFormat="false" ht="15" hidden="false" customHeight="false" outlineLevel="0" collapsed="false">
      <c r="A19" s="3" t="s">
        <v>499</v>
      </c>
      <c r="B19" s="24" t="n">
        <v>3</v>
      </c>
      <c r="C19" s="24" t="n">
        <v>4</v>
      </c>
      <c r="D19" s="24" t="n">
        <v>5</v>
      </c>
      <c r="E19" s="24" t="n">
        <v>5</v>
      </c>
      <c r="G19" s="7" t="str">
        <f aca="false">INDEX(Config!$B$5:$B$9,B19)</f>
        <v>Medium</v>
      </c>
      <c r="H19" s="7" t="str">
        <f aca="false">INDEX(Config!$B$5:$B$9,C19)</f>
        <v>Medium-High</v>
      </c>
      <c r="I19" s="7" t="str">
        <f aca="false">INDEX(Config!$B$5:$B$9,D19)</f>
        <v>High</v>
      </c>
      <c r="J19" s="7" t="str">
        <f aca="false">INDEX(Config!$B$5:$B$9,E19)</f>
        <v>High</v>
      </c>
      <c r="L19" s="12" t="s">
        <v>542</v>
      </c>
    </row>
    <row r="20" customFormat="false" ht="15" hidden="false" customHeight="false" outlineLevel="0" collapsed="false">
      <c r="A20" s="3" t="s">
        <v>498</v>
      </c>
      <c r="B20" s="24" t="n">
        <v>2</v>
      </c>
      <c r="C20" s="24" t="n">
        <v>3</v>
      </c>
      <c r="D20" s="24" t="n">
        <v>4</v>
      </c>
      <c r="E20" s="24" t="n">
        <v>4</v>
      </c>
      <c r="G20" s="7" t="str">
        <f aca="false">INDEX(Config!$B$5:$B$9,B20)</f>
        <v>Medium-Low</v>
      </c>
      <c r="H20" s="7" t="str">
        <f aca="false">INDEX(Config!$B$5:$B$9,C20)</f>
        <v>Medium</v>
      </c>
      <c r="I20" s="7" t="str">
        <f aca="false">INDEX(Config!$B$5:$B$9,D20)</f>
        <v>Medium-High</v>
      </c>
      <c r="J20" s="7" t="str">
        <f aca="false">INDEX(Config!$B$5:$B$9,E20)</f>
        <v>Medium-High</v>
      </c>
    </row>
    <row r="21" customFormat="false" ht="15" hidden="false" customHeight="false" outlineLevel="0" collapsed="false">
      <c r="A21" s="3" t="s">
        <v>497</v>
      </c>
      <c r="B21" s="24" t="n">
        <v>1</v>
      </c>
      <c r="C21" s="24" t="n">
        <v>2</v>
      </c>
      <c r="D21" s="24" t="n">
        <v>3</v>
      </c>
      <c r="E21" s="24" t="n">
        <v>3</v>
      </c>
      <c r="G21" s="7" t="str">
        <f aca="false">INDEX(Config!$B$5:$B$9,B21)</f>
        <v>Low</v>
      </c>
      <c r="H21" s="7" t="str">
        <f aca="false">INDEX(Config!$B$5:$B$9,C21)</f>
        <v>Medium-Low</v>
      </c>
      <c r="I21" s="7" t="str">
        <f aca="false">INDEX(Config!$B$5:$B$9,D21)</f>
        <v>Medium</v>
      </c>
      <c r="J21" s="7" t="str">
        <f aca="false">INDEX(Config!$B$5:$B$9,E21)</f>
        <v>Medium</v>
      </c>
      <c r="K21" s="3" t="s">
        <v>543</v>
      </c>
      <c r="L21" s="12" t="s">
        <v>544</v>
      </c>
    </row>
    <row r="22" customFormat="false" ht="15" hidden="false" customHeight="false" outlineLevel="0" collapsed="false">
      <c r="A22" s="3" t="s">
        <v>496</v>
      </c>
      <c r="B22" s="24" t="n">
        <v>1</v>
      </c>
      <c r="C22" s="24" t="n">
        <v>1</v>
      </c>
      <c r="D22" s="24" t="n">
        <v>2</v>
      </c>
      <c r="E22" s="24" t="n">
        <v>2</v>
      </c>
      <c r="G22" s="7" t="str">
        <f aca="false">INDEX(Config!$B$5:$B$9,B22)</f>
        <v>Low</v>
      </c>
      <c r="H22" s="7" t="str">
        <f aca="false">INDEX(Config!$B$5:$B$9,C22)</f>
        <v>Low</v>
      </c>
      <c r="I22" s="7" t="str">
        <f aca="false">INDEX(Config!$B$5:$B$9,D22)</f>
        <v>Medium-Low</v>
      </c>
      <c r="J22" s="7" t="str">
        <f aca="false">INDEX(Config!$B$5:$B$9,E22)</f>
        <v>Medium-Low</v>
      </c>
      <c r="L22" s="12" t="s">
        <v>545</v>
      </c>
    </row>
    <row r="23" customFormat="false" ht="15" hidden="false" customHeight="false" outlineLevel="0" collapsed="false">
      <c r="A23" s="3" t="s">
        <v>495</v>
      </c>
      <c r="B23" s="24" t="n">
        <v>1</v>
      </c>
      <c r="C23" s="24" t="n">
        <v>1</v>
      </c>
      <c r="D23" s="24" t="n">
        <v>1</v>
      </c>
      <c r="E23" s="24" t="n">
        <v>1</v>
      </c>
      <c r="G23" s="7" t="str">
        <f aca="false">INDEX(Config!$B$5:$B$9,B23)</f>
        <v>Low</v>
      </c>
      <c r="H23" s="7" t="str">
        <f aca="false">INDEX(Config!$B$5:$B$9,C23)</f>
        <v>Low</v>
      </c>
      <c r="I23" s="7" t="str">
        <f aca="false">INDEX(Config!$B$5:$B$9,D23)</f>
        <v>Low</v>
      </c>
      <c r="J23" s="7" t="str">
        <f aca="false">INDEX(Config!$B$5:$B$9,E23)</f>
        <v>Low</v>
      </c>
      <c r="L23" s="12" t="s">
        <v>546</v>
      </c>
    </row>
    <row r="24" customFormat="false" ht="15" hidden="false" customHeight="false" outlineLevel="0" collapsed="false">
      <c r="L24" s="12" t="s">
        <v>547</v>
      </c>
    </row>
    <row r="25" customFormat="false" ht="15" hidden="false" customHeight="false" outlineLevel="0" collapsed="false">
      <c r="L25" s="12" t="s">
        <v>548</v>
      </c>
    </row>
    <row r="26" customFormat="false" ht="15" hidden="false" customHeight="false" outlineLevel="0" collapsed="false">
      <c r="A26" s="6" t="s">
        <v>549</v>
      </c>
      <c r="L26" s="12" t="s">
        <v>550</v>
      </c>
    </row>
    <row r="27" customFormat="false" ht="15" hidden="false" customHeight="false" outlineLevel="0" collapsed="false">
      <c r="A27" s="5" t="s">
        <v>551</v>
      </c>
      <c r="B27" s="5" t="s">
        <v>148</v>
      </c>
      <c r="C27" s="5" t="s">
        <v>173</v>
      </c>
      <c r="D27" s="5" t="s">
        <v>155</v>
      </c>
    </row>
    <row r="28" customFormat="false" ht="15" hidden="false" customHeight="false" outlineLevel="0" collapsed="false">
      <c r="A28" s="12" t="s">
        <v>552</v>
      </c>
      <c r="B28" s="24" t="n">
        <v>6</v>
      </c>
      <c r="C28" s="24" t="n">
        <v>12</v>
      </c>
      <c r="D28" s="24" t="n">
        <v>12</v>
      </c>
      <c r="K28" s="3" t="s">
        <v>553</v>
      </c>
      <c r="L28" s="12" t="s">
        <v>154</v>
      </c>
    </row>
    <row r="29" customFormat="false" ht="15" hidden="false" customHeight="false" outlineLevel="0" collapsed="false">
      <c r="A29" s="12" t="s">
        <v>554</v>
      </c>
      <c r="B29" s="24" t="n">
        <v>3</v>
      </c>
      <c r="C29" s="24" t="n">
        <v>6</v>
      </c>
      <c r="D29" s="24" t="n">
        <v>6</v>
      </c>
      <c r="L29" s="12" t="s">
        <v>158</v>
      </c>
    </row>
    <row r="30" customFormat="false" ht="15" hidden="false" customHeight="false" outlineLevel="0" collapsed="false">
      <c r="A30" s="12" t="s">
        <v>555</v>
      </c>
      <c r="B30" s="24" t="n">
        <v>3</v>
      </c>
      <c r="C30" s="24" t="n">
        <v>3</v>
      </c>
      <c r="D30" s="24" t="n">
        <v>4</v>
      </c>
      <c r="L30" s="12" t="s">
        <v>161</v>
      </c>
    </row>
    <row r="31" customFormat="false" ht="15" hidden="false" customHeight="false" outlineLevel="0" collapsed="false">
      <c r="A31" s="12" t="s">
        <v>556</v>
      </c>
      <c r="B31" s="24" t="n">
        <v>12</v>
      </c>
      <c r="C31" s="24" t="n">
        <v>12</v>
      </c>
      <c r="D31" s="24" t="n">
        <v>24</v>
      </c>
    </row>
    <row r="33" customFormat="false" ht="15" hidden="false" customHeight="false" outlineLevel="0" collapsed="false">
      <c r="A33" s="6" t="s">
        <v>557</v>
      </c>
    </row>
    <row r="34" customFormat="false" ht="15" hidden="false" customHeight="false" outlineLevel="0" collapsed="false">
      <c r="A34" s="5" t="s">
        <v>558</v>
      </c>
      <c r="B34" s="5" t="s">
        <v>559</v>
      </c>
      <c r="C34" s="5" t="s">
        <v>560</v>
      </c>
    </row>
    <row r="35" customFormat="false" ht="15" hidden="false" customHeight="false" outlineLevel="0" collapsed="false">
      <c r="A35" s="12" t="s">
        <v>561</v>
      </c>
      <c r="B35" s="24" t="n">
        <v>1</v>
      </c>
      <c r="C35" s="24" t="n">
        <v>0</v>
      </c>
    </row>
    <row r="36" customFormat="false" ht="15" hidden="false" customHeight="false" outlineLevel="0" collapsed="false">
      <c r="A36" s="12" t="s">
        <v>562</v>
      </c>
      <c r="B36" s="24" t="n">
        <v>2</v>
      </c>
      <c r="C36" s="24" t="n">
        <v>0</v>
      </c>
    </row>
    <row r="37" customFormat="false" ht="15" hidden="false" customHeight="false" outlineLevel="0" collapsed="false">
      <c r="A37" s="12" t="s">
        <v>563</v>
      </c>
      <c r="B37" s="24" t="n">
        <v>3</v>
      </c>
      <c r="C37" s="24" t="n">
        <v>0</v>
      </c>
    </row>
    <row r="38" customFormat="false" ht="15" hidden="false" customHeight="false" outlineLevel="0" collapsed="false">
      <c r="A38" s="12" t="s">
        <v>564</v>
      </c>
      <c r="B38" s="24" t="n">
        <v>10</v>
      </c>
      <c r="C38" s="24" t="n">
        <v>0</v>
      </c>
    </row>
    <row r="39" customFormat="false" ht="15" hidden="false" customHeight="false" outlineLevel="0" collapsed="false">
      <c r="A39" s="12" t="s">
        <v>565</v>
      </c>
      <c r="B39" s="24" t="n">
        <v>25</v>
      </c>
      <c r="C39" s="24" t="n">
        <v>1</v>
      </c>
    </row>
    <row r="40" customFormat="false" ht="15" hidden="false" customHeight="false" outlineLevel="0" collapsed="false">
      <c r="A40" s="12" t="s">
        <v>566</v>
      </c>
      <c r="B40" s="24" t="n">
        <v>40</v>
      </c>
      <c r="C40" s="24" t="n">
        <v>1</v>
      </c>
    </row>
    <row r="41" customFormat="false" ht="15" hidden="false" customHeight="false" outlineLevel="0" collapsed="false">
      <c r="A41" s="12" t="s">
        <v>567</v>
      </c>
      <c r="B41" s="24" t="n">
        <v>1</v>
      </c>
      <c r="C41" s="24" t="n">
        <v>0</v>
      </c>
    </row>
    <row r="42" customFormat="false" ht="15" hidden="false" customHeight="false" outlineLevel="0" collapsed="false">
      <c r="A42" s="12" t="s">
        <v>568</v>
      </c>
      <c r="B42" s="24" t="n">
        <v>25</v>
      </c>
      <c r="C42" s="24" t="n">
        <v>1</v>
      </c>
    </row>
  </sheetData>
  <mergeCells count="6">
    <mergeCell ref="D4:I4"/>
    <mergeCell ref="D5:I5"/>
    <mergeCell ref="D6:I6"/>
    <mergeCell ref="D7:I7"/>
    <mergeCell ref="D8:I8"/>
    <mergeCell ref="A15:E15"/>
  </mergeCells>
  <conditionalFormatting sqref="B19:E23">
    <cfRule type="expression" priority="2" aboveAverage="0" equalAverage="0" bottom="0" percent="0" rank="0" text="" dxfId="0">
      <formula>B19=1</formula>
    </cfRule>
    <cfRule type="expression" priority="3" aboveAverage="0" equalAverage="0" bottom="0" percent="0" rank="0" text="" dxfId="1">
      <formula>B19=2</formula>
    </cfRule>
    <cfRule type="expression" priority="4" aboveAverage="0" equalAverage="0" bottom="0" percent="0" rank="0" text="" dxfId="2">
      <formula>B19=3</formula>
    </cfRule>
    <cfRule type="expression" priority="5" aboveAverage="0" equalAverage="0" bottom="0" percent="0" rank="0" text="" dxfId="3">
      <formula>B19=4</formula>
    </cfRule>
    <cfRule type="expression" priority="6" aboveAverage="0" equalAverage="0" bottom="0" percent="0" rank="0" text="" dxfId="4">
      <formula>B19=5</formula>
    </cfRule>
  </conditionalFormatting>
  <conditionalFormatting sqref="G19:J23">
    <cfRule type="expression" priority="7" aboveAverage="0" equalAverage="0" bottom="0" percent="0" rank="0" text="" dxfId="0">
      <formula>B19=1</formula>
    </cfRule>
    <cfRule type="expression" priority="8" aboveAverage="0" equalAverage="0" bottom="0" percent="0" rank="0" text="" dxfId="1">
      <formula>B19=2</formula>
    </cfRule>
    <cfRule type="expression" priority="9" aboveAverage="0" equalAverage="0" bottom="0" percent="0" rank="0" text="" dxfId="2">
      <formula>B19=3</formula>
    </cfRule>
    <cfRule type="expression" priority="10" aboveAverage="0" equalAverage="0" bottom="0" percent="0" rank="0" text="" dxfId="3">
      <formula>B19=4</formula>
    </cfRule>
    <cfRule type="expression" priority="11" aboveAverage="0" equalAverage="0" bottom="0" percent="0" rank="0" text="" dxfId="4">
      <formula>B19=5</formula>
    </cfRule>
  </conditionalFormatting>
  <dataValidations count="2">
    <dataValidation allowBlank="false" errorStyle="stop" operator="between" showDropDown="false" showErrorMessage="false" showInputMessage="false" sqref="C8" type="list">
      <formula1>Config!$H$15:$H$16</formula1>
      <formula2>0</formula2>
    </dataValidation>
    <dataValidation allowBlank="false" errorStyle="stop" operator="between" showDropDown="false" showErrorMessage="false" showInputMessage="false" sqref="C5" type="list">
      <formula1>'Residual Config'!$L$18:$L$19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28"/>
    <col collapsed="false" customWidth="true" hidden="false" outlineLevel="0" max="9" min="9" style="0" width="13"/>
    <col collapsed="false" customWidth="true" hidden="false" outlineLevel="0" max="10" min="10" style="0" width="26"/>
    <col collapsed="false" customWidth="true" hidden="false" outlineLevel="0" max="11" min="11" style="0" width="44"/>
  </cols>
  <sheetData>
    <row r="1" customFormat="false" ht="17.35" hidden="false" customHeight="false" outlineLevel="0" collapsed="false">
      <c r="A1" s="1" t="s">
        <v>569</v>
      </c>
    </row>
    <row r="2" customFormat="false" ht="15" hidden="false" customHeight="false" outlineLevel="0" collapsed="false">
      <c r="A2" s="2" t="s">
        <v>570</v>
      </c>
    </row>
    <row r="4" customFormat="false" ht="30" hidden="false" customHeight="true" outlineLevel="0" collapsed="false">
      <c r="A4" s="5" t="s">
        <v>571</v>
      </c>
      <c r="B4" s="5" t="s">
        <v>572</v>
      </c>
      <c r="C4" s="5" t="s">
        <v>573</v>
      </c>
      <c r="D4" s="5" t="s">
        <v>574</v>
      </c>
      <c r="E4" s="5" t="s">
        <v>575</v>
      </c>
      <c r="F4" s="5" t="s">
        <v>576</v>
      </c>
      <c r="G4" s="5" t="s">
        <v>577</v>
      </c>
      <c r="H4" s="5" t="s">
        <v>578</v>
      </c>
      <c r="I4" s="5" t="s">
        <v>257</v>
      </c>
      <c r="J4" s="5" t="s">
        <v>579</v>
      </c>
      <c r="K4" s="5" t="s">
        <v>580</v>
      </c>
    </row>
    <row r="5" customFormat="false" ht="15" hidden="false" customHeight="false" outlineLevel="0" collapsed="false">
      <c r="A5" s="12" t="s">
        <v>581</v>
      </c>
      <c r="B5" s="4" t="s">
        <v>582</v>
      </c>
      <c r="C5" s="8" t="s">
        <v>583</v>
      </c>
      <c r="D5" s="8" t="s">
        <v>584</v>
      </c>
      <c r="E5" s="8" t="s">
        <v>568</v>
      </c>
      <c r="F5" s="33" t="s">
        <v>111</v>
      </c>
      <c r="G5" s="8" t="s">
        <v>585</v>
      </c>
      <c r="H5" s="8" t="s">
        <v>586</v>
      </c>
      <c r="I5" s="8" t="s">
        <v>587</v>
      </c>
      <c r="J5" s="12" t="s">
        <v>588</v>
      </c>
      <c r="K5" s="4" t="s">
        <v>589</v>
      </c>
    </row>
    <row r="6" customFormat="false" ht="23.85" hidden="false" customHeight="false" outlineLevel="0" collapsed="false">
      <c r="A6" s="12" t="s">
        <v>590</v>
      </c>
      <c r="B6" s="4" t="s">
        <v>591</v>
      </c>
      <c r="C6" s="8" t="s">
        <v>583</v>
      </c>
      <c r="D6" s="8" t="s">
        <v>592</v>
      </c>
      <c r="E6" s="8" t="s">
        <v>568</v>
      </c>
      <c r="F6" s="33" t="s">
        <v>111</v>
      </c>
      <c r="G6" s="8" t="s">
        <v>585</v>
      </c>
      <c r="H6" s="8" t="s">
        <v>593</v>
      </c>
      <c r="I6" s="8" t="s">
        <v>587</v>
      </c>
      <c r="J6" s="12" t="s">
        <v>594</v>
      </c>
      <c r="K6" s="4" t="s">
        <v>595</v>
      </c>
    </row>
    <row r="7" customFormat="false" ht="23.85" hidden="false" customHeight="false" outlineLevel="0" collapsed="false">
      <c r="A7" s="12" t="s">
        <v>596</v>
      </c>
      <c r="B7" s="4" t="s">
        <v>597</v>
      </c>
      <c r="C7" s="8" t="s">
        <v>583</v>
      </c>
      <c r="D7" s="8" t="s">
        <v>592</v>
      </c>
      <c r="E7" s="8" t="s">
        <v>568</v>
      </c>
      <c r="F7" s="33" t="s">
        <v>111</v>
      </c>
      <c r="G7" s="8" t="s">
        <v>585</v>
      </c>
      <c r="H7" s="8" t="s">
        <v>586</v>
      </c>
      <c r="I7" s="8" t="s">
        <v>587</v>
      </c>
      <c r="J7" s="12" t="s">
        <v>598</v>
      </c>
      <c r="K7" s="4" t="s">
        <v>595</v>
      </c>
    </row>
    <row r="8" customFormat="false" ht="15" hidden="false" customHeight="false" outlineLevel="0" collapsed="false">
      <c r="A8" s="12" t="s">
        <v>599</v>
      </c>
      <c r="B8" s="4" t="s">
        <v>600</v>
      </c>
      <c r="C8" s="8" t="s">
        <v>601</v>
      </c>
      <c r="D8" s="8" t="s">
        <v>584</v>
      </c>
      <c r="E8" s="8" t="s">
        <v>563</v>
      </c>
      <c r="F8" s="33" t="s">
        <v>111</v>
      </c>
      <c r="G8" s="8" t="s">
        <v>585</v>
      </c>
      <c r="H8" s="8" t="s">
        <v>586</v>
      </c>
      <c r="I8" s="8" t="s">
        <v>587</v>
      </c>
      <c r="J8" s="12" t="s">
        <v>602</v>
      </c>
      <c r="K8" s="4" t="s">
        <v>589</v>
      </c>
    </row>
    <row r="9" customFormat="false" ht="23.85" hidden="false" customHeight="false" outlineLevel="0" collapsed="false">
      <c r="A9" s="12" t="s">
        <v>603</v>
      </c>
      <c r="B9" s="4" t="s">
        <v>604</v>
      </c>
      <c r="C9" s="8" t="s">
        <v>605</v>
      </c>
      <c r="D9" s="8" t="s">
        <v>606</v>
      </c>
      <c r="E9" s="8" t="s">
        <v>561</v>
      </c>
      <c r="F9" s="33" t="s">
        <v>112</v>
      </c>
      <c r="G9" s="8" t="s">
        <v>607</v>
      </c>
      <c r="H9" s="8" t="s">
        <v>593</v>
      </c>
      <c r="I9" s="8" t="s">
        <v>587</v>
      </c>
      <c r="J9" s="12" t="s">
        <v>608</v>
      </c>
      <c r="K9" s="4" t="s">
        <v>609</v>
      </c>
    </row>
    <row r="10" customFormat="false" ht="23.85" hidden="false" customHeight="false" outlineLevel="0" collapsed="false">
      <c r="A10" s="12" t="s">
        <v>610</v>
      </c>
      <c r="B10" s="4" t="s">
        <v>611</v>
      </c>
      <c r="C10" s="8" t="s">
        <v>601</v>
      </c>
      <c r="D10" s="8" t="s">
        <v>606</v>
      </c>
      <c r="E10" s="8" t="s">
        <v>567</v>
      </c>
      <c r="F10" s="33" t="s">
        <v>111</v>
      </c>
      <c r="G10" s="8" t="s">
        <v>607</v>
      </c>
      <c r="H10" s="8" t="s">
        <v>612</v>
      </c>
      <c r="I10" s="8" t="s">
        <v>613</v>
      </c>
      <c r="J10" s="12" t="s">
        <v>614</v>
      </c>
      <c r="K10" s="4" t="s">
        <v>609</v>
      </c>
    </row>
    <row r="11" customFormat="false" ht="23.85" hidden="false" customHeight="false" outlineLevel="0" collapsed="false">
      <c r="A11" s="12" t="s">
        <v>615</v>
      </c>
      <c r="B11" s="4" t="s">
        <v>616</v>
      </c>
      <c r="C11" s="8" t="s">
        <v>601</v>
      </c>
      <c r="D11" s="8" t="s">
        <v>592</v>
      </c>
      <c r="E11" s="8" t="s">
        <v>565</v>
      </c>
      <c r="F11" s="33" t="s">
        <v>111</v>
      </c>
      <c r="G11" s="8" t="s">
        <v>607</v>
      </c>
      <c r="H11" s="8" t="s">
        <v>612</v>
      </c>
      <c r="I11" s="8" t="s">
        <v>587</v>
      </c>
      <c r="J11" s="12" t="s">
        <v>608</v>
      </c>
      <c r="K11" s="4" t="s">
        <v>595</v>
      </c>
    </row>
    <row r="12" customFormat="false" ht="23.85" hidden="false" customHeight="false" outlineLevel="0" collapsed="false">
      <c r="A12" s="12" t="s">
        <v>617</v>
      </c>
      <c r="B12" s="4" t="s">
        <v>618</v>
      </c>
      <c r="C12" s="8" t="s">
        <v>619</v>
      </c>
      <c r="D12" s="8" t="s">
        <v>592</v>
      </c>
      <c r="E12" s="8" t="s">
        <v>568</v>
      </c>
      <c r="F12" s="33" t="s">
        <v>111</v>
      </c>
      <c r="G12" s="8" t="s">
        <v>607</v>
      </c>
      <c r="H12" s="8" t="s">
        <v>612</v>
      </c>
      <c r="I12" s="8" t="s">
        <v>587</v>
      </c>
      <c r="J12" s="12" t="s">
        <v>620</v>
      </c>
      <c r="K12" s="4" t="s">
        <v>595</v>
      </c>
    </row>
    <row r="13" customFormat="false" ht="23.85" hidden="false" customHeight="false" outlineLevel="0" collapsed="false">
      <c r="A13" s="12" t="s">
        <v>621</v>
      </c>
      <c r="B13" s="4" t="s">
        <v>622</v>
      </c>
      <c r="C13" s="8" t="s">
        <v>583</v>
      </c>
      <c r="D13" s="8" t="s">
        <v>606</v>
      </c>
      <c r="E13" s="8" t="s">
        <v>567</v>
      </c>
      <c r="F13" s="33" t="s">
        <v>111</v>
      </c>
      <c r="G13" s="8" t="s">
        <v>607</v>
      </c>
      <c r="H13" s="8" t="s">
        <v>623</v>
      </c>
      <c r="I13" s="8" t="s">
        <v>587</v>
      </c>
      <c r="J13" s="12" t="s">
        <v>624</v>
      </c>
      <c r="K13" s="4" t="s">
        <v>609</v>
      </c>
    </row>
    <row r="14" customFormat="false" ht="23.85" hidden="false" customHeight="false" outlineLevel="0" collapsed="false">
      <c r="A14" s="12" t="s">
        <v>625</v>
      </c>
      <c r="B14" s="4" t="s">
        <v>626</v>
      </c>
      <c r="C14" s="8" t="s">
        <v>583</v>
      </c>
      <c r="D14" s="8" t="s">
        <v>606</v>
      </c>
      <c r="E14" s="8" t="s">
        <v>567</v>
      </c>
      <c r="F14" s="33" t="s">
        <v>111</v>
      </c>
      <c r="G14" s="8" t="s">
        <v>607</v>
      </c>
      <c r="H14" s="8" t="s">
        <v>623</v>
      </c>
      <c r="I14" s="8" t="s">
        <v>587</v>
      </c>
      <c r="J14" s="12" t="s">
        <v>624</v>
      </c>
      <c r="K14" s="4" t="s">
        <v>609</v>
      </c>
    </row>
    <row r="15" customFormat="false" ht="15" hidden="false" customHeight="false" outlineLevel="0" collapsed="false">
      <c r="A15" s="12" t="s">
        <v>627</v>
      </c>
      <c r="B15" s="4" t="s">
        <v>628</v>
      </c>
      <c r="C15" s="8" t="s">
        <v>583</v>
      </c>
      <c r="D15" s="8" t="s">
        <v>584</v>
      </c>
      <c r="E15" s="8" t="s">
        <v>565</v>
      </c>
      <c r="F15" s="33" t="s">
        <v>112</v>
      </c>
      <c r="G15" s="8" t="s">
        <v>607</v>
      </c>
      <c r="H15" s="8" t="s">
        <v>629</v>
      </c>
      <c r="I15" s="8" t="s">
        <v>587</v>
      </c>
      <c r="J15" s="12" t="s">
        <v>272</v>
      </c>
      <c r="K15" s="4" t="s">
        <v>589</v>
      </c>
    </row>
    <row r="16" customFormat="false" ht="23.85" hidden="false" customHeight="false" outlineLevel="0" collapsed="false">
      <c r="A16" s="12" t="s">
        <v>630</v>
      </c>
      <c r="B16" s="4" t="s">
        <v>631</v>
      </c>
      <c r="C16" s="8" t="s">
        <v>583</v>
      </c>
      <c r="D16" s="8" t="s">
        <v>592</v>
      </c>
      <c r="E16" s="8" t="s">
        <v>568</v>
      </c>
      <c r="F16" s="33" t="s">
        <v>112</v>
      </c>
      <c r="G16" s="8" t="s">
        <v>585</v>
      </c>
      <c r="H16" s="8" t="s">
        <v>632</v>
      </c>
      <c r="I16" s="8" t="s">
        <v>587</v>
      </c>
      <c r="J16" s="12" t="s">
        <v>267</v>
      </c>
      <c r="K16" s="4" t="s">
        <v>595</v>
      </c>
    </row>
    <row r="17" customFormat="false" ht="23.85" hidden="false" customHeight="false" outlineLevel="0" collapsed="false">
      <c r="A17" s="12" t="s">
        <v>633</v>
      </c>
      <c r="B17" s="4" t="s">
        <v>634</v>
      </c>
      <c r="C17" s="8" t="s">
        <v>601</v>
      </c>
      <c r="D17" s="8" t="s">
        <v>592</v>
      </c>
      <c r="E17" s="8" t="s">
        <v>568</v>
      </c>
      <c r="F17" s="33" t="s">
        <v>111</v>
      </c>
      <c r="G17" s="8" t="s">
        <v>585</v>
      </c>
      <c r="H17" s="8" t="s">
        <v>635</v>
      </c>
      <c r="I17" s="8" t="s">
        <v>613</v>
      </c>
      <c r="J17" s="12" t="s">
        <v>636</v>
      </c>
      <c r="K17" s="4" t="s">
        <v>595</v>
      </c>
    </row>
    <row r="18" customFormat="false" ht="15" hidden="false" customHeight="false" outlineLevel="0" collapsed="false">
      <c r="A18" s="12" t="s">
        <v>637</v>
      </c>
      <c r="B18" s="4" t="s">
        <v>638</v>
      </c>
      <c r="C18" s="8" t="s">
        <v>583</v>
      </c>
      <c r="D18" s="8" t="s">
        <v>584</v>
      </c>
      <c r="E18" s="8" t="s">
        <v>568</v>
      </c>
      <c r="F18" s="33" t="s">
        <v>111</v>
      </c>
      <c r="G18" s="8" t="s">
        <v>585</v>
      </c>
      <c r="H18" s="8" t="s">
        <v>635</v>
      </c>
      <c r="I18" s="8" t="s">
        <v>613</v>
      </c>
      <c r="J18" s="12" t="s">
        <v>639</v>
      </c>
      <c r="K18" s="4" t="s">
        <v>589</v>
      </c>
    </row>
    <row r="19" customFormat="false" ht="23.85" hidden="false" customHeight="false" outlineLevel="0" collapsed="false">
      <c r="A19" s="12" t="s">
        <v>640</v>
      </c>
      <c r="B19" s="4" t="s">
        <v>641</v>
      </c>
      <c r="C19" s="8" t="s">
        <v>583</v>
      </c>
      <c r="D19" s="8" t="s">
        <v>592</v>
      </c>
      <c r="E19" s="8" t="s">
        <v>561</v>
      </c>
      <c r="F19" s="33" t="s">
        <v>111</v>
      </c>
      <c r="G19" s="8" t="s">
        <v>585</v>
      </c>
      <c r="H19" s="8" t="s">
        <v>642</v>
      </c>
      <c r="I19" s="8" t="s">
        <v>613</v>
      </c>
      <c r="J19" s="12" t="s">
        <v>643</v>
      </c>
      <c r="K19" s="4" t="s">
        <v>595</v>
      </c>
    </row>
    <row r="20" customFormat="false" ht="23.85" hidden="false" customHeight="false" outlineLevel="0" collapsed="false">
      <c r="A20" s="12" t="s">
        <v>644</v>
      </c>
      <c r="B20" s="4" t="s">
        <v>645</v>
      </c>
      <c r="C20" s="8" t="s">
        <v>601</v>
      </c>
      <c r="D20" s="8" t="s">
        <v>606</v>
      </c>
      <c r="E20" s="8" t="s">
        <v>567</v>
      </c>
      <c r="F20" s="33" t="s">
        <v>112</v>
      </c>
      <c r="G20" s="8" t="s">
        <v>585</v>
      </c>
      <c r="H20" s="8" t="s">
        <v>646</v>
      </c>
      <c r="I20" s="8" t="s">
        <v>613</v>
      </c>
      <c r="J20" s="12" t="s">
        <v>647</v>
      </c>
      <c r="K20" s="4" t="s">
        <v>609</v>
      </c>
    </row>
    <row r="21" customFormat="false" ht="23.85" hidden="false" customHeight="false" outlineLevel="0" collapsed="false">
      <c r="A21" s="12" t="s">
        <v>648</v>
      </c>
      <c r="B21" s="4" t="s">
        <v>649</v>
      </c>
      <c r="C21" s="8" t="s">
        <v>583</v>
      </c>
      <c r="D21" s="8" t="s">
        <v>592</v>
      </c>
      <c r="E21" s="8" t="s">
        <v>568</v>
      </c>
      <c r="F21" s="33" t="s">
        <v>111</v>
      </c>
      <c r="G21" s="8" t="s">
        <v>585</v>
      </c>
      <c r="H21" s="8" t="s">
        <v>650</v>
      </c>
      <c r="I21" s="8" t="s">
        <v>587</v>
      </c>
      <c r="J21" s="12" t="s">
        <v>651</v>
      </c>
      <c r="K21" s="4" t="s">
        <v>595</v>
      </c>
    </row>
    <row r="22" customFormat="false" ht="23.85" hidden="false" customHeight="false" outlineLevel="0" collapsed="false">
      <c r="A22" s="12" t="s">
        <v>652</v>
      </c>
      <c r="B22" s="4" t="s">
        <v>653</v>
      </c>
      <c r="C22" s="8" t="s">
        <v>583</v>
      </c>
      <c r="D22" s="8" t="s">
        <v>592</v>
      </c>
      <c r="E22" s="8" t="s">
        <v>568</v>
      </c>
      <c r="F22" s="33" t="s">
        <v>112</v>
      </c>
      <c r="G22" s="8" t="s">
        <v>607</v>
      </c>
      <c r="H22" s="8" t="s">
        <v>593</v>
      </c>
      <c r="I22" s="8" t="s">
        <v>587</v>
      </c>
      <c r="J22" s="12" t="s">
        <v>275</v>
      </c>
      <c r="K22" s="4" t="s">
        <v>595</v>
      </c>
    </row>
    <row r="23" customFormat="false" ht="23.85" hidden="false" customHeight="false" outlineLevel="0" collapsed="false">
      <c r="A23" s="12" t="s">
        <v>654</v>
      </c>
      <c r="B23" s="4" t="s">
        <v>655</v>
      </c>
      <c r="C23" s="8" t="s">
        <v>601</v>
      </c>
      <c r="D23" s="8" t="s">
        <v>606</v>
      </c>
      <c r="E23" s="8" t="s">
        <v>567</v>
      </c>
      <c r="F23" s="33" t="s">
        <v>111</v>
      </c>
      <c r="G23" s="8" t="s">
        <v>585</v>
      </c>
      <c r="H23" s="8" t="s">
        <v>280</v>
      </c>
      <c r="I23" s="8" t="s">
        <v>613</v>
      </c>
      <c r="J23" s="12" t="s">
        <v>278</v>
      </c>
      <c r="K23" s="4" t="s">
        <v>609</v>
      </c>
    </row>
    <row r="24" customFormat="false" ht="15" hidden="false" customHeight="false" outlineLevel="0" collapsed="false">
      <c r="A24" s="12" t="s">
        <v>656</v>
      </c>
      <c r="B24" s="4" t="s">
        <v>657</v>
      </c>
      <c r="C24" s="8" t="s">
        <v>583</v>
      </c>
      <c r="D24" s="8" t="s">
        <v>584</v>
      </c>
      <c r="E24" s="8" t="s">
        <v>565</v>
      </c>
      <c r="F24" s="33" t="s">
        <v>111</v>
      </c>
      <c r="G24" s="8" t="s">
        <v>585</v>
      </c>
      <c r="H24" s="8" t="s">
        <v>586</v>
      </c>
      <c r="I24" s="8" t="s">
        <v>587</v>
      </c>
      <c r="J24" s="12" t="s">
        <v>658</v>
      </c>
      <c r="K24" s="4" t="s">
        <v>589</v>
      </c>
    </row>
    <row r="25" customFormat="false" ht="23.85" hidden="false" customHeight="false" outlineLevel="0" collapsed="false">
      <c r="A25" s="12" t="s">
        <v>659</v>
      </c>
      <c r="B25" s="4" t="s">
        <v>660</v>
      </c>
      <c r="C25" s="8" t="s">
        <v>601</v>
      </c>
      <c r="D25" s="8" t="s">
        <v>592</v>
      </c>
      <c r="E25" s="8" t="s">
        <v>561</v>
      </c>
      <c r="F25" s="33" t="s">
        <v>112</v>
      </c>
      <c r="G25" s="8" t="s">
        <v>585</v>
      </c>
      <c r="H25" s="8" t="s">
        <v>661</v>
      </c>
      <c r="I25" s="8" t="s">
        <v>587</v>
      </c>
      <c r="J25" s="12" t="s">
        <v>662</v>
      </c>
      <c r="K25" s="4" t="s">
        <v>595</v>
      </c>
    </row>
    <row r="26" customFormat="false" ht="15" hidden="false" customHeight="false" outlineLevel="0" collapsed="false">
      <c r="A26" s="12" t="s">
        <v>663</v>
      </c>
      <c r="B26" s="4" t="s">
        <v>664</v>
      </c>
      <c r="C26" s="8" t="s">
        <v>583</v>
      </c>
      <c r="D26" s="8" t="s">
        <v>584</v>
      </c>
      <c r="E26" s="8" t="s">
        <v>568</v>
      </c>
      <c r="F26" s="33" t="s">
        <v>111</v>
      </c>
      <c r="G26" s="8" t="s">
        <v>585</v>
      </c>
      <c r="H26" s="8" t="s">
        <v>586</v>
      </c>
      <c r="I26" s="8" t="s">
        <v>587</v>
      </c>
      <c r="J26" s="12" t="s">
        <v>281</v>
      </c>
      <c r="K26" s="4" t="s">
        <v>589</v>
      </c>
    </row>
    <row r="27" customFormat="false" ht="23.85" hidden="false" customHeight="false" outlineLevel="0" collapsed="false">
      <c r="A27" s="12" t="s">
        <v>665</v>
      </c>
      <c r="B27" s="4" t="s">
        <v>666</v>
      </c>
      <c r="C27" s="8" t="s">
        <v>601</v>
      </c>
      <c r="D27" s="8" t="s">
        <v>592</v>
      </c>
      <c r="E27" s="8" t="s">
        <v>561</v>
      </c>
      <c r="F27" s="33" t="s">
        <v>112</v>
      </c>
      <c r="G27" s="8" t="s">
        <v>607</v>
      </c>
      <c r="H27" s="8" t="s">
        <v>667</v>
      </c>
      <c r="I27" s="8" t="s">
        <v>587</v>
      </c>
      <c r="J27" s="12" t="s">
        <v>668</v>
      </c>
      <c r="K27" s="4" t="s">
        <v>595</v>
      </c>
    </row>
    <row r="28" customFormat="false" ht="23.85" hidden="false" customHeight="false" outlineLevel="0" collapsed="false">
      <c r="A28" s="12" t="s">
        <v>669</v>
      </c>
      <c r="B28" s="4" t="s">
        <v>670</v>
      </c>
      <c r="C28" s="8" t="s">
        <v>605</v>
      </c>
      <c r="D28" s="8" t="s">
        <v>592</v>
      </c>
      <c r="E28" s="8" t="s">
        <v>561</v>
      </c>
      <c r="F28" s="33" t="s">
        <v>112</v>
      </c>
      <c r="G28" s="8" t="s">
        <v>607</v>
      </c>
      <c r="H28" s="8" t="s">
        <v>593</v>
      </c>
      <c r="I28" s="8" t="s">
        <v>587</v>
      </c>
      <c r="J28" s="12" t="s">
        <v>671</v>
      </c>
      <c r="K28" s="4" t="s">
        <v>595</v>
      </c>
    </row>
    <row r="29" customFormat="false" ht="23.85" hidden="false" customHeight="false" outlineLevel="0" collapsed="false">
      <c r="A29" s="12" t="s">
        <v>672</v>
      </c>
      <c r="B29" s="4" t="s">
        <v>673</v>
      </c>
      <c r="C29" s="8" t="s">
        <v>605</v>
      </c>
      <c r="D29" s="8" t="s">
        <v>592</v>
      </c>
      <c r="E29" s="8" t="s">
        <v>563</v>
      </c>
      <c r="F29" s="33" t="s">
        <v>111</v>
      </c>
      <c r="G29" s="8" t="s">
        <v>607</v>
      </c>
      <c r="H29" s="8" t="s">
        <v>593</v>
      </c>
      <c r="I29" s="8" t="s">
        <v>587</v>
      </c>
      <c r="J29" s="12" t="s">
        <v>284</v>
      </c>
      <c r="K29" s="4" t="s">
        <v>595</v>
      </c>
    </row>
    <row r="30" customFormat="false" ht="23.85" hidden="false" customHeight="false" outlineLevel="0" collapsed="false">
      <c r="A30" s="12" t="s">
        <v>674</v>
      </c>
      <c r="B30" s="4" t="s">
        <v>675</v>
      </c>
      <c r="C30" s="8" t="s">
        <v>601</v>
      </c>
      <c r="D30" s="8" t="s">
        <v>592</v>
      </c>
      <c r="E30" s="8" t="s">
        <v>563</v>
      </c>
      <c r="F30" s="33" t="s">
        <v>111</v>
      </c>
      <c r="G30" s="8" t="s">
        <v>585</v>
      </c>
      <c r="H30" s="8" t="s">
        <v>667</v>
      </c>
      <c r="I30" s="8" t="s">
        <v>587</v>
      </c>
      <c r="J30" s="12" t="s">
        <v>284</v>
      </c>
      <c r="K30" s="4" t="s">
        <v>595</v>
      </c>
    </row>
    <row r="31" customFormat="false" ht="23.85" hidden="false" customHeight="false" outlineLevel="0" collapsed="false">
      <c r="A31" s="12" t="s">
        <v>676</v>
      </c>
      <c r="B31" s="4" t="s">
        <v>677</v>
      </c>
      <c r="C31" s="8" t="s">
        <v>583</v>
      </c>
      <c r="D31" s="8" t="s">
        <v>592</v>
      </c>
      <c r="E31" s="8" t="s">
        <v>568</v>
      </c>
      <c r="F31" s="33" t="s">
        <v>111</v>
      </c>
      <c r="G31" s="8" t="s">
        <v>607</v>
      </c>
      <c r="H31" s="8" t="s">
        <v>593</v>
      </c>
      <c r="I31" s="8" t="s">
        <v>587</v>
      </c>
      <c r="J31" s="12" t="s">
        <v>288</v>
      </c>
      <c r="K31" s="4" t="s">
        <v>595</v>
      </c>
    </row>
    <row r="32" customFormat="false" ht="23.85" hidden="false" customHeight="false" outlineLevel="0" collapsed="false">
      <c r="A32" s="12" t="s">
        <v>678</v>
      </c>
      <c r="B32" s="4" t="s">
        <v>679</v>
      </c>
      <c r="C32" s="8" t="s">
        <v>619</v>
      </c>
      <c r="D32" s="8" t="s">
        <v>592</v>
      </c>
      <c r="E32" s="8" t="s">
        <v>563</v>
      </c>
      <c r="F32" s="33" t="s">
        <v>112</v>
      </c>
      <c r="G32" s="8" t="s">
        <v>585</v>
      </c>
      <c r="H32" s="8" t="s">
        <v>680</v>
      </c>
      <c r="I32" s="8" t="s">
        <v>587</v>
      </c>
      <c r="J32" s="12" t="s">
        <v>681</v>
      </c>
      <c r="K32" s="4" t="s">
        <v>595</v>
      </c>
    </row>
    <row r="33" customFormat="false" ht="23.85" hidden="false" customHeight="false" outlineLevel="0" collapsed="false">
      <c r="A33" s="12" t="s">
        <v>682</v>
      </c>
      <c r="B33" s="4" t="s">
        <v>683</v>
      </c>
      <c r="C33" s="8" t="s">
        <v>605</v>
      </c>
      <c r="D33" s="8" t="s">
        <v>592</v>
      </c>
      <c r="E33" s="8" t="s">
        <v>568</v>
      </c>
      <c r="F33" s="33" t="s">
        <v>111</v>
      </c>
      <c r="G33" s="8" t="s">
        <v>607</v>
      </c>
      <c r="H33" s="8" t="s">
        <v>684</v>
      </c>
      <c r="I33" s="8" t="s">
        <v>587</v>
      </c>
      <c r="J33" s="12" t="s">
        <v>290</v>
      </c>
      <c r="K33" s="4" t="s">
        <v>595</v>
      </c>
    </row>
    <row r="34" customFormat="false" ht="15" hidden="false" customHeight="false" outlineLevel="0" collapsed="false">
      <c r="A34" s="12" t="s">
        <v>685</v>
      </c>
      <c r="B34" s="4" t="s">
        <v>686</v>
      </c>
      <c r="C34" s="8" t="s">
        <v>583</v>
      </c>
      <c r="D34" s="8" t="s">
        <v>584</v>
      </c>
      <c r="E34" s="8" t="s">
        <v>562</v>
      </c>
      <c r="F34" s="33" t="s">
        <v>111</v>
      </c>
      <c r="G34" s="8" t="s">
        <v>585</v>
      </c>
      <c r="H34" s="8" t="s">
        <v>687</v>
      </c>
      <c r="I34" s="8" t="s">
        <v>587</v>
      </c>
      <c r="J34" s="12" t="s">
        <v>688</v>
      </c>
      <c r="K34" s="4" t="s">
        <v>589</v>
      </c>
    </row>
    <row r="35" customFormat="false" ht="23.85" hidden="false" customHeight="false" outlineLevel="0" collapsed="false">
      <c r="A35" s="12" t="s">
        <v>689</v>
      </c>
      <c r="B35" s="4" t="s">
        <v>690</v>
      </c>
      <c r="C35" s="8" t="s">
        <v>583</v>
      </c>
      <c r="D35" s="8" t="s">
        <v>592</v>
      </c>
      <c r="E35" s="8" t="s">
        <v>562</v>
      </c>
      <c r="F35" s="33" t="s">
        <v>111</v>
      </c>
      <c r="G35" s="8" t="s">
        <v>607</v>
      </c>
      <c r="H35" s="8" t="s">
        <v>691</v>
      </c>
      <c r="I35" s="8" t="s">
        <v>692</v>
      </c>
      <c r="J35" s="12" t="s">
        <v>293</v>
      </c>
      <c r="K35" s="4" t="s">
        <v>595</v>
      </c>
    </row>
    <row r="36" customFormat="false" ht="23.85" hidden="false" customHeight="false" outlineLevel="0" collapsed="false">
      <c r="A36" s="12" t="s">
        <v>693</v>
      </c>
      <c r="B36" s="4" t="s">
        <v>694</v>
      </c>
      <c r="C36" s="8" t="s">
        <v>583</v>
      </c>
      <c r="D36" s="8" t="s">
        <v>592</v>
      </c>
      <c r="E36" s="8" t="s">
        <v>568</v>
      </c>
      <c r="F36" s="33" t="s">
        <v>111</v>
      </c>
      <c r="G36" s="8" t="s">
        <v>585</v>
      </c>
      <c r="H36" s="8" t="s">
        <v>695</v>
      </c>
      <c r="I36" s="8" t="s">
        <v>587</v>
      </c>
      <c r="J36" s="12" t="s">
        <v>297</v>
      </c>
      <c r="K36" s="4" t="s">
        <v>595</v>
      </c>
    </row>
    <row r="37" customFormat="false" ht="15" hidden="false" customHeight="false" outlineLevel="0" collapsed="false">
      <c r="A37" s="12" t="s">
        <v>696</v>
      </c>
      <c r="B37" s="4" t="s">
        <v>697</v>
      </c>
      <c r="C37" s="8" t="s">
        <v>601</v>
      </c>
      <c r="D37" s="8" t="s">
        <v>584</v>
      </c>
      <c r="E37" s="8" t="s">
        <v>563</v>
      </c>
      <c r="F37" s="33" t="s">
        <v>112</v>
      </c>
      <c r="G37" s="8" t="s">
        <v>607</v>
      </c>
      <c r="H37" s="8" t="s">
        <v>698</v>
      </c>
      <c r="I37" s="8" t="s">
        <v>587</v>
      </c>
      <c r="J37" s="12" t="s">
        <v>297</v>
      </c>
      <c r="K37" s="4" t="s">
        <v>589</v>
      </c>
    </row>
    <row r="38" customFormat="false" ht="23.85" hidden="false" customHeight="false" outlineLevel="0" collapsed="false">
      <c r="A38" s="12" t="s">
        <v>699</v>
      </c>
      <c r="B38" s="4" t="s">
        <v>700</v>
      </c>
      <c r="C38" s="8" t="s">
        <v>601</v>
      </c>
      <c r="D38" s="8" t="s">
        <v>606</v>
      </c>
      <c r="E38" s="8" t="s">
        <v>565</v>
      </c>
      <c r="F38" s="33" t="s">
        <v>111</v>
      </c>
      <c r="G38" s="8" t="s">
        <v>607</v>
      </c>
      <c r="H38" s="8" t="s">
        <v>698</v>
      </c>
      <c r="I38" s="8" t="s">
        <v>587</v>
      </c>
      <c r="J38" s="12" t="s">
        <v>302</v>
      </c>
      <c r="K38" s="4" t="s">
        <v>609</v>
      </c>
    </row>
    <row r="39" customFormat="false" ht="23.85" hidden="false" customHeight="false" outlineLevel="0" collapsed="false">
      <c r="A39" s="12" t="s">
        <v>701</v>
      </c>
      <c r="B39" s="4" t="s">
        <v>702</v>
      </c>
      <c r="C39" s="8" t="s">
        <v>601</v>
      </c>
      <c r="D39" s="8" t="s">
        <v>584</v>
      </c>
      <c r="E39" s="8" t="s">
        <v>565</v>
      </c>
      <c r="F39" s="33" t="s">
        <v>111</v>
      </c>
      <c r="G39" s="8" t="s">
        <v>607</v>
      </c>
      <c r="H39" s="8" t="s">
        <v>703</v>
      </c>
      <c r="I39" s="8" t="s">
        <v>587</v>
      </c>
      <c r="J39" s="12" t="s">
        <v>304</v>
      </c>
      <c r="K39" s="4" t="s">
        <v>589</v>
      </c>
    </row>
    <row r="40" customFormat="false" ht="23.85" hidden="false" customHeight="false" outlineLevel="0" collapsed="false">
      <c r="A40" s="12" t="s">
        <v>704</v>
      </c>
      <c r="B40" s="4" t="s">
        <v>705</v>
      </c>
      <c r="C40" s="8" t="s">
        <v>619</v>
      </c>
      <c r="D40" s="8" t="s">
        <v>592</v>
      </c>
      <c r="E40" s="8" t="s">
        <v>561</v>
      </c>
      <c r="F40" s="33" t="s">
        <v>111</v>
      </c>
      <c r="G40" s="8" t="s">
        <v>585</v>
      </c>
      <c r="H40" s="8" t="s">
        <v>706</v>
      </c>
      <c r="I40" s="8" t="s">
        <v>587</v>
      </c>
      <c r="J40" s="12" t="s">
        <v>707</v>
      </c>
      <c r="K40" s="4" t="s">
        <v>595</v>
      </c>
    </row>
    <row r="41" customFormat="false" ht="23.85" hidden="false" customHeight="false" outlineLevel="0" collapsed="false">
      <c r="A41" s="12" t="s">
        <v>708</v>
      </c>
      <c r="B41" s="4" t="s">
        <v>709</v>
      </c>
      <c r="C41" s="8" t="s">
        <v>601</v>
      </c>
      <c r="D41" s="8" t="s">
        <v>592</v>
      </c>
      <c r="E41" s="8" t="s">
        <v>562</v>
      </c>
      <c r="F41" s="33" t="s">
        <v>112</v>
      </c>
      <c r="G41" s="8" t="s">
        <v>607</v>
      </c>
      <c r="H41" s="8" t="s">
        <v>698</v>
      </c>
      <c r="I41" s="8" t="s">
        <v>587</v>
      </c>
      <c r="J41" s="12" t="s">
        <v>307</v>
      </c>
      <c r="K41" s="4" t="s">
        <v>595</v>
      </c>
    </row>
    <row r="42" customFormat="false" ht="15" hidden="false" customHeight="false" outlineLevel="0" collapsed="false">
      <c r="A42" s="12" t="s">
        <v>710</v>
      </c>
      <c r="B42" s="4" t="s">
        <v>711</v>
      </c>
      <c r="C42" s="8" t="s">
        <v>583</v>
      </c>
      <c r="D42" s="8" t="s">
        <v>584</v>
      </c>
      <c r="E42" s="8" t="s">
        <v>563</v>
      </c>
      <c r="F42" s="33" t="s">
        <v>111</v>
      </c>
      <c r="G42" s="8" t="s">
        <v>585</v>
      </c>
      <c r="H42" s="8" t="s">
        <v>629</v>
      </c>
      <c r="I42" s="8" t="s">
        <v>587</v>
      </c>
      <c r="J42" s="12" t="s">
        <v>310</v>
      </c>
      <c r="K42" s="4" t="s">
        <v>589</v>
      </c>
    </row>
    <row r="43" customFormat="false" ht="23.85" hidden="false" customHeight="false" outlineLevel="0" collapsed="false">
      <c r="A43" s="12" t="s">
        <v>712</v>
      </c>
      <c r="B43" s="4" t="s">
        <v>713</v>
      </c>
      <c r="C43" s="8" t="s">
        <v>601</v>
      </c>
      <c r="D43" s="8" t="s">
        <v>606</v>
      </c>
      <c r="E43" s="8" t="s">
        <v>567</v>
      </c>
      <c r="F43" s="33" t="s">
        <v>111</v>
      </c>
      <c r="G43" s="8" t="s">
        <v>585</v>
      </c>
      <c r="H43" s="8" t="s">
        <v>687</v>
      </c>
      <c r="I43" s="8" t="s">
        <v>587</v>
      </c>
      <c r="J43" s="12" t="s">
        <v>714</v>
      </c>
      <c r="K43" s="4" t="s">
        <v>609</v>
      </c>
    </row>
    <row r="44" customFormat="false" ht="23.85" hidden="false" customHeight="false" outlineLevel="0" collapsed="false">
      <c r="A44" s="12" t="s">
        <v>715</v>
      </c>
      <c r="B44" s="4" t="s">
        <v>716</v>
      </c>
      <c r="C44" s="8" t="s">
        <v>583</v>
      </c>
      <c r="D44" s="8" t="s">
        <v>592</v>
      </c>
      <c r="E44" s="8" t="s">
        <v>561</v>
      </c>
      <c r="F44" s="33" t="s">
        <v>111</v>
      </c>
      <c r="G44" s="8" t="s">
        <v>585</v>
      </c>
      <c r="H44" s="8" t="s">
        <v>650</v>
      </c>
      <c r="I44" s="8" t="s">
        <v>587</v>
      </c>
      <c r="J44" s="12" t="s">
        <v>313</v>
      </c>
      <c r="K44" s="4" t="s">
        <v>595</v>
      </c>
    </row>
    <row r="45" customFormat="false" ht="23.85" hidden="false" customHeight="false" outlineLevel="0" collapsed="false">
      <c r="A45" s="12" t="s">
        <v>717</v>
      </c>
      <c r="B45" s="4" t="s">
        <v>718</v>
      </c>
      <c r="C45" s="8" t="s">
        <v>583</v>
      </c>
      <c r="D45" s="8" t="s">
        <v>592</v>
      </c>
      <c r="E45" s="8" t="s">
        <v>568</v>
      </c>
      <c r="F45" s="33" t="s">
        <v>111</v>
      </c>
      <c r="G45" s="8" t="s">
        <v>585</v>
      </c>
      <c r="H45" s="8" t="s">
        <v>719</v>
      </c>
      <c r="I45" s="8" t="s">
        <v>587</v>
      </c>
      <c r="J45" s="12" t="s">
        <v>316</v>
      </c>
      <c r="K45" s="4" t="s">
        <v>595</v>
      </c>
    </row>
    <row r="46" customFormat="false" ht="23.85" hidden="false" customHeight="false" outlineLevel="0" collapsed="false">
      <c r="A46" s="12" t="s">
        <v>720</v>
      </c>
      <c r="B46" s="4" t="s">
        <v>721</v>
      </c>
      <c r="C46" s="8" t="s">
        <v>601</v>
      </c>
      <c r="D46" s="8" t="s">
        <v>592</v>
      </c>
      <c r="E46" s="8" t="s">
        <v>565</v>
      </c>
      <c r="F46" s="33" t="s">
        <v>111</v>
      </c>
      <c r="G46" s="8" t="s">
        <v>607</v>
      </c>
      <c r="H46" s="8" t="s">
        <v>722</v>
      </c>
      <c r="I46" s="8" t="s">
        <v>587</v>
      </c>
      <c r="J46" s="12" t="s">
        <v>319</v>
      </c>
      <c r="K46" s="4" t="s">
        <v>595</v>
      </c>
    </row>
    <row r="47" customFormat="false" ht="23.85" hidden="false" customHeight="false" outlineLevel="0" collapsed="false">
      <c r="A47" s="12" t="s">
        <v>723</v>
      </c>
      <c r="B47" s="4" t="s">
        <v>724</v>
      </c>
      <c r="C47" s="8" t="s">
        <v>605</v>
      </c>
      <c r="D47" s="8" t="s">
        <v>592</v>
      </c>
      <c r="E47" s="8" t="s">
        <v>562</v>
      </c>
      <c r="F47" s="33" t="s">
        <v>111</v>
      </c>
      <c r="G47" s="8" t="s">
        <v>607</v>
      </c>
      <c r="H47" s="8" t="s">
        <v>725</v>
      </c>
      <c r="I47" s="8" t="s">
        <v>587</v>
      </c>
      <c r="J47" s="12" t="s">
        <v>322</v>
      </c>
      <c r="K47" s="4" t="s">
        <v>595</v>
      </c>
    </row>
  </sheetData>
  <dataValidations count="3">
    <dataValidation allowBlank="false" errorStyle="stop" operator="between" showDropDown="false" showErrorMessage="false" showInputMessage="false" sqref="F5:F47" type="list">
      <formula1>Config!$H$15:$H$16</formula1>
      <formula2>0</formula2>
    </dataValidation>
    <dataValidation allowBlank="false" errorStyle="stop" operator="between" showDropDown="false" showErrorMessage="false" showInputMessage="false" sqref="I5:I47" type="list">
      <formula1>"All,Banks only,Islamic only"</formula1>
      <formula2>0</formula2>
    </dataValidation>
    <dataValidation allowBlank="false" errorStyle="stop" operator="between" showDropDown="false" showErrorMessage="false" showInputMessage="false" sqref="E5:E47" type="list">
      <formula1>'Residual Config'!$A$35:$A$42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2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44"/>
    <col collapsed="false" customWidth="true" hidden="false" outlineLevel="0" max="7" min="7" style="0" width="5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32"/>
    <col collapsed="false" customWidth="true" hidden="false" outlineLevel="0" max="11" min="11" style="0" width="34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16" min="16" style="0" width="8"/>
    <col collapsed="false" customWidth="true" hidden="false" outlineLevel="0" max="18" min="17" style="0" width="9"/>
    <col collapsed="false" customWidth="true" hidden="false" outlineLevel="0" max="19" min="19" style="0" width="22"/>
    <col collapsed="false" customWidth="true" hidden="false" outlineLevel="0" max="20" min="20" style="0" width="11"/>
    <col collapsed="false" customWidth="true" hidden="false" outlineLevel="0" max="21" min="21" style="0" width="32"/>
    <col collapsed="false" customWidth="true" hidden="false" outlineLevel="0" max="22" min="22" style="0" width="8"/>
    <col collapsed="false" customWidth="true" hidden="false" outlineLevel="0" max="23" min="23" style="0" width="11"/>
    <col collapsed="false" customWidth="true" hidden="false" outlineLevel="0" max="24" min="24" style="0" width="26"/>
    <col collapsed="false" customWidth="true" hidden="false" outlineLevel="0" max="25" min="25" style="0" width="12"/>
    <col collapsed="false" customWidth="true" hidden="false" outlineLevel="0" max="26" min="26" style="0" width="16"/>
    <col collapsed="false" customWidth="true" hidden="false" outlineLevel="0" max="27" min="27" style="0" width="10"/>
    <col collapsed="false" customWidth="true" hidden="false" outlineLevel="0" max="28" min="28" style="0" width="20"/>
    <col collapsed="false" customWidth="true" hidden="false" outlineLevel="0" max="30" min="29" style="0" width="9"/>
    <col collapsed="false" customWidth="true" hidden="false" outlineLevel="0" max="31" min="31" style="0" width="30"/>
  </cols>
  <sheetData>
    <row r="1" customFormat="false" ht="17.35" hidden="false" customHeight="false" outlineLevel="0" collapsed="false">
      <c r="A1" s="1" t="s">
        <v>726</v>
      </c>
    </row>
    <row r="2" customFormat="false" ht="15" hidden="false" customHeight="false" outlineLevel="0" collapsed="false">
      <c r="A2" s="2" t="s">
        <v>727</v>
      </c>
    </row>
    <row r="4" customFormat="false" ht="42" hidden="false" customHeight="true" outlineLevel="0" collapsed="false">
      <c r="A4" s="5" t="s">
        <v>728</v>
      </c>
      <c r="B4" s="5" t="s">
        <v>134</v>
      </c>
      <c r="C4" s="5" t="s">
        <v>135</v>
      </c>
      <c r="D4" s="5" t="s">
        <v>139</v>
      </c>
      <c r="E4" s="5" t="s">
        <v>571</v>
      </c>
      <c r="F4" s="5" t="s">
        <v>572</v>
      </c>
      <c r="G4" s="5" t="s">
        <v>729</v>
      </c>
      <c r="H4" s="5" t="s">
        <v>575</v>
      </c>
      <c r="I4" s="5" t="s">
        <v>462</v>
      </c>
      <c r="J4" s="5" t="s">
        <v>730</v>
      </c>
      <c r="K4" s="5" t="s">
        <v>731</v>
      </c>
      <c r="L4" s="5" t="s">
        <v>732</v>
      </c>
      <c r="M4" s="5" t="s">
        <v>733</v>
      </c>
      <c r="N4" s="5" t="s">
        <v>734</v>
      </c>
      <c r="O4" s="5" t="s">
        <v>735</v>
      </c>
      <c r="P4" s="5" t="s">
        <v>736</v>
      </c>
      <c r="Q4" s="5" t="s">
        <v>559</v>
      </c>
      <c r="R4" s="5" t="s">
        <v>737</v>
      </c>
      <c r="S4" s="5" t="s">
        <v>738</v>
      </c>
      <c r="T4" s="5" t="s">
        <v>739</v>
      </c>
      <c r="U4" s="5" t="s">
        <v>740</v>
      </c>
      <c r="V4" s="5" t="s">
        <v>741</v>
      </c>
      <c r="W4" s="5" t="s">
        <v>742</v>
      </c>
      <c r="X4" s="5" t="s">
        <v>743</v>
      </c>
      <c r="Y4" s="5" t="s">
        <v>744</v>
      </c>
      <c r="Z4" s="5" t="s">
        <v>745</v>
      </c>
      <c r="AA4" s="5" t="s">
        <v>746</v>
      </c>
      <c r="AB4" s="5" t="s">
        <v>747</v>
      </c>
      <c r="AC4" s="5" t="s">
        <v>519</v>
      </c>
      <c r="AD4" s="5" t="s">
        <v>748</v>
      </c>
      <c r="AE4" s="5" t="s">
        <v>749</v>
      </c>
    </row>
    <row r="5" customFormat="false" ht="15" hidden="false" customHeight="false" outlineLevel="0" collapsed="false">
      <c r="A5" s="12" t="s">
        <v>750</v>
      </c>
      <c r="B5" s="26" t="str">
        <f aca="false">Entities!$A$5</f>
        <v>JO-HO</v>
      </c>
      <c r="C5" s="12" t="str">
        <f aca="false">INDEX(Entities!$B$5:$B$34,MATCH(B5,Entities!$A$5:$A$34,0))</f>
        <v>Arab Bank plc – Jordan (HO and domestic network)</v>
      </c>
      <c r="D5" s="7" t="str">
        <f aca="false">INDEX(Entities!$F$5:$F$34,MATCH(B5,Entities!$A$5:$A$34,0))</f>
        <v>Tier 1</v>
      </c>
      <c r="E5" s="26" t="str">
        <f aca="false">'Control Library'!$A$5</f>
        <v>CTL-KYC-01</v>
      </c>
      <c r="F5" s="12" t="str">
        <f aca="false">INDEX('Control Library'!$B$5:$B$47,MATCH(E5,'Control Library'!$A$5:$A$47,0))</f>
        <v>Customer due diligence and ID verification at onboarding</v>
      </c>
      <c r="G5" s="7" t="str">
        <f aca="false">INDEX('Control Library'!$F$5:$F$47,MATCH(E5,'Control Library'!$A$5:$A$47,0))</f>
        <v>Y</v>
      </c>
      <c r="H5" s="12" t="str">
        <f aca="false">INDEX('Control Library'!$E$5:$E$47,MATCH(E5,'Control Library'!$A$5:$A$47,0))</f>
        <v>Event-driven</v>
      </c>
      <c r="I5" s="7" t="str">
        <f aca="false">IF(INDEX('Control Library'!$I$5:$I$47,MATCH(E5,'Control Library'!$A$5:$A$47,0))="All","Y",IF(INDEX('Control Library'!$I$5:$I$47,MATCH(E5,'Control Library'!$A$5:$A$47,0))="Banks only",IF(COUNTIF('Residual Config'!$L$28:$L$30,INDEX(Entities!$E$5:$E$34,MATCH(B5,Entities!$A$5:$A$34,0)))&gt;0,"N/A","Y"),IF(INDEX(Entities!$G$5:$G$34,MATCH(B5,Entities!$A$5:$A$34,0))="Y","Y","N/A")))</f>
        <v>Y</v>
      </c>
      <c r="J5" s="8" t="s">
        <v>751</v>
      </c>
      <c r="K5" s="8" t="s">
        <v>752</v>
      </c>
      <c r="L5" s="7" t="str">
        <f aca="false">IF(OR(J5="",K5=""),"",IF(J5=K5,"Breach","OK"))</f>
        <v>OK</v>
      </c>
      <c r="M5" s="24" t="n">
        <v>1</v>
      </c>
      <c r="N5" s="50" t="n">
        <v>46263</v>
      </c>
      <c r="O5" s="8" t="s">
        <v>546</v>
      </c>
      <c r="P5" s="24" t="n">
        <v>25</v>
      </c>
      <c r="Q5" s="31" t="n">
        <f aca="false">IF(I5="N/A","",IFERROR(INDEX('Residual Config'!$B$35:$B$42,MATCH(H5,'Residual Config'!$A$35:$A$42,0)),""))</f>
        <v>25</v>
      </c>
      <c r="R5" s="24" t="n">
        <v>1</v>
      </c>
      <c r="S5" s="8" t="s">
        <v>521</v>
      </c>
      <c r="T5" s="31" t="n">
        <f aca="false">IF(S5="","",MATCH(S5,'Residual Config'!$L$9:$L$12,0))</f>
        <v>2</v>
      </c>
      <c r="U5" s="8" t="s">
        <v>753</v>
      </c>
      <c r="V5" s="24" t="n">
        <v>4</v>
      </c>
      <c r="W5" s="33" t="s">
        <v>533</v>
      </c>
      <c r="X5" s="8" t="s">
        <v>754</v>
      </c>
      <c r="Y5" s="51" t="n">
        <f aca="false">IF(N5="","",EDATE(N5,IF(G5="N",INDEX('Residual Config'!$B$31:$D$31,1,MATCH(D5,'Residual Config'!$B$27:$D$27,0)),INDEX('Residual Config'!$B$28:$D$30,IF(T5=1,1,IF(T5=4,3,2)),MATCH(D5,'Residual Config'!$B$27:$D$27,0)))))</f>
        <v>46355</v>
      </c>
      <c r="Z5" s="7" t="str">
        <f aca="false">IF(I5="N/A","N/A",IF(N5="","Not tested",IF(W5="Rejected","Evidence rejected",IF(W5&lt;&gt;"Accepted","Evidence pending",IF(Y5&lt;'Residual Config'!$C$4,"Overdue","Current")))))</f>
        <v>Current</v>
      </c>
      <c r="AA5" s="34" t="n">
        <f aca="false">IF(I5="N/A","",IF(Z5&lt;&gt;"Current",4,IF(MAX(M5,T5)=0,4,MAX(M5,T5))))</f>
        <v>2</v>
      </c>
      <c r="AB5" s="7" t="str">
        <f aca="false">IF(AA5="","N/A",IF(Z5&lt;&gt;"Current","Not tested / overdue",INDEX('Residual Config'!$B$11:$B$14,AA5)))</f>
        <v>Largely effective</v>
      </c>
      <c r="AC5" s="36" t="n">
        <f aca="false">IF(AA5="","",INDEX('Residual Config'!$D$11:$D$14,AA5))</f>
        <v>0.4</v>
      </c>
      <c r="AD5" s="7" t="str">
        <f aca="false">IF(OR(I5="N/A",P5="",Q5=""),"",IF(P5&gt;=Q5,"Yes","No"))</f>
        <v>Yes</v>
      </c>
      <c r="AE5" s="8"/>
    </row>
    <row r="6" customFormat="false" ht="15" hidden="false" customHeight="false" outlineLevel="0" collapsed="false">
      <c r="A6" s="12" t="s">
        <v>755</v>
      </c>
      <c r="B6" s="26" t="str">
        <f aca="false">Entities!$A$5</f>
        <v>JO-HO</v>
      </c>
      <c r="C6" s="12" t="str">
        <f aca="false">INDEX(Entities!$B$5:$B$34,MATCH(B6,Entities!$A$5:$A$34,0))</f>
        <v>Arab Bank plc – Jordan (HO and domestic network)</v>
      </c>
      <c r="D6" s="7" t="str">
        <f aca="false">INDEX(Entities!$F$5:$F$34,MATCH(B6,Entities!$A$5:$A$34,0))</f>
        <v>Tier 1</v>
      </c>
      <c r="E6" s="26" t="str">
        <f aca="false">'Control Library'!$A$6</f>
        <v>CTL-KYC-02</v>
      </c>
      <c r="F6" s="12" t="str">
        <f aca="false">INDEX('Control Library'!$B$5:$B$47,MATCH(E6,'Control Library'!$A$5:$A$47,0))</f>
        <v>Enhanced due diligence for high-risk customers and PEPs, senior approval</v>
      </c>
      <c r="G6" s="7" t="str">
        <f aca="false">INDEX('Control Library'!$F$5:$F$47,MATCH(E6,'Control Library'!$A$5:$A$47,0))</f>
        <v>Y</v>
      </c>
      <c r="H6" s="12" t="str">
        <f aca="false">INDEX('Control Library'!$E$5:$E$47,MATCH(E6,'Control Library'!$A$5:$A$47,0))</f>
        <v>Event-driven</v>
      </c>
      <c r="I6" s="7" t="str">
        <f aca="false">IF(INDEX('Control Library'!$I$5:$I$47,MATCH(E6,'Control Library'!$A$5:$A$47,0))="All","Y",IF(INDEX('Control Library'!$I$5:$I$47,MATCH(E6,'Control Library'!$A$5:$A$47,0))="Banks only",IF(COUNTIF('Residual Config'!$L$28:$L$30,INDEX(Entities!$E$5:$E$34,MATCH(B6,Entities!$A$5:$A$34,0)))&gt;0,"N/A","Y"),IF(INDEX(Entities!$G$5:$G$34,MATCH(B6,Entities!$A$5:$A$34,0))="Y","Y","N/A")))</f>
        <v>Y</v>
      </c>
      <c r="J6" s="8" t="s">
        <v>756</v>
      </c>
      <c r="K6" s="8" t="s">
        <v>752</v>
      </c>
      <c r="L6" s="7" t="str">
        <f aca="false">IF(OR(J6="",K6=""),"",IF(J6=K6,"Breach","OK"))</f>
        <v>OK</v>
      </c>
      <c r="M6" s="24" t="n">
        <v>1</v>
      </c>
      <c r="N6" s="50" t="n">
        <v>46269</v>
      </c>
      <c r="O6" s="8" t="s">
        <v>546</v>
      </c>
      <c r="P6" s="24" t="n">
        <v>30</v>
      </c>
      <c r="Q6" s="31" t="n">
        <f aca="false">IF(I6="N/A","",IFERROR(INDEX('Residual Config'!$B$35:$B$42,MATCH(H6,'Residual Config'!$A$35:$A$42,0)),""))</f>
        <v>25</v>
      </c>
      <c r="R6" s="24" t="n">
        <v>1</v>
      </c>
      <c r="S6" s="8" t="s">
        <v>521</v>
      </c>
      <c r="T6" s="31" t="n">
        <f aca="false">IF(S6="","",MATCH(S6,'Residual Config'!$L$9:$L$12,0))</f>
        <v>2</v>
      </c>
      <c r="U6" s="8" t="s">
        <v>757</v>
      </c>
      <c r="V6" s="24" t="n">
        <v>3</v>
      </c>
      <c r="W6" s="33" t="s">
        <v>533</v>
      </c>
      <c r="X6" s="8" t="s">
        <v>754</v>
      </c>
      <c r="Y6" s="51" t="n">
        <f aca="false">IF(N6="","",EDATE(N6,IF(G6="N",INDEX('Residual Config'!$B$31:$D$31,1,MATCH(D6,'Residual Config'!$B$27:$D$27,0)),INDEX('Residual Config'!$B$28:$D$30,IF(T6=1,1,IF(T6=4,3,2)),MATCH(D6,'Residual Config'!$B$27:$D$27,0)))))</f>
        <v>46360</v>
      </c>
      <c r="Z6" s="7" t="str">
        <f aca="false">IF(I6="N/A","N/A",IF(N6="","Not tested",IF(W6="Rejected","Evidence rejected",IF(W6&lt;&gt;"Accepted","Evidence pending",IF(Y6&lt;'Residual Config'!$C$4,"Overdue","Current")))))</f>
        <v>Current</v>
      </c>
      <c r="AA6" s="34" t="n">
        <f aca="false">IF(I6="N/A","",IF(Z6&lt;&gt;"Current",4,IF(MAX(M6,T6)=0,4,MAX(M6,T6))))</f>
        <v>2</v>
      </c>
      <c r="AB6" s="7" t="str">
        <f aca="false">IF(AA6="","N/A",IF(Z6&lt;&gt;"Current","Not tested / overdue",INDEX('Residual Config'!$B$11:$B$14,AA6)))</f>
        <v>Largely effective</v>
      </c>
      <c r="AC6" s="36" t="n">
        <f aca="false">IF(AA6="","",INDEX('Residual Config'!$D$11:$D$14,AA6))</f>
        <v>0.4</v>
      </c>
      <c r="AD6" s="7" t="str">
        <f aca="false">IF(OR(I6="N/A",P6="",Q6=""),"",IF(P6&gt;=Q6,"Yes","No"))</f>
        <v>Yes</v>
      </c>
      <c r="AE6" s="8"/>
    </row>
    <row r="7" customFormat="false" ht="15" hidden="false" customHeight="false" outlineLevel="0" collapsed="false">
      <c r="A7" s="12" t="s">
        <v>758</v>
      </c>
      <c r="B7" s="26" t="str">
        <f aca="false">Entities!$A$5</f>
        <v>JO-HO</v>
      </c>
      <c r="C7" s="12" t="str">
        <f aca="false">INDEX(Entities!$B$5:$B$34,MATCH(B7,Entities!$A$5:$A$34,0))</f>
        <v>Arab Bank plc – Jordan (HO and domestic network)</v>
      </c>
      <c r="D7" s="7" t="str">
        <f aca="false">INDEX(Entities!$F$5:$F$34,MATCH(B7,Entities!$A$5:$A$34,0))</f>
        <v>Tier 1</v>
      </c>
      <c r="E7" s="26" t="str">
        <f aca="false">'Control Library'!$A$7</f>
        <v>CTL-KYC-03</v>
      </c>
      <c r="F7" s="12" t="str">
        <f aca="false">INDEX('Control Library'!$B$5:$B$47,MATCH(E7,'Control Library'!$A$5:$A$47,0))</f>
        <v>Ultimate beneficial owner identification and verification</v>
      </c>
      <c r="G7" s="7" t="str">
        <f aca="false">INDEX('Control Library'!$F$5:$F$47,MATCH(E7,'Control Library'!$A$5:$A$47,0))</f>
        <v>Y</v>
      </c>
      <c r="H7" s="12" t="str">
        <f aca="false">INDEX('Control Library'!$E$5:$E$47,MATCH(E7,'Control Library'!$A$5:$A$47,0))</f>
        <v>Event-driven</v>
      </c>
      <c r="I7" s="7" t="str">
        <f aca="false">IF(INDEX('Control Library'!$I$5:$I$47,MATCH(E7,'Control Library'!$A$5:$A$47,0))="All","Y",IF(INDEX('Control Library'!$I$5:$I$47,MATCH(E7,'Control Library'!$A$5:$A$47,0))="Banks only",IF(COUNTIF('Residual Config'!$L$28:$L$30,INDEX(Entities!$E$5:$E$34,MATCH(B7,Entities!$A$5:$A$34,0)))&gt;0,"N/A","Y"),IF(INDEX(Entities!$G$5:$G$34,MATCH(B7,Entities!$A$5:$A$34,0))="Y","Y","N/A")))</f>
        <v>Y</v>
      </c>
      <c r="J7" s="8" t="s">
        <v>751</v>
      </c>
      <c r="K7" s="8" t="s">
        <v>752</v>
      </c>
      <c r="L7" s="7" t="str">
        <f aca="false">IF(OR(J7="",K7=""),"",IF(J7=K7,"Breach","OK"))</f>
        <v>OK</v>
      </c>
      <c r="M7" s="24" t="n">
        <v>1</v>
      </c>
      <c r="N7" s="50" t="n">
        <v>46154</v>
      </c>
      <c r="O7" s="8" t="s">
        <v>546</v>
      </c>
      <c r="P7" s="24" t="n">
        <v>30</v>
      </c>
      <c r="Q7" s="31" t="n">
        <f aca="false">IF(I7="N/A","",IFERROR(INDEX('Residual Config'!$B$35:$B$42,MATCH(H7,'Residual Config'!$A$35:$A$42,0)),""))</f>
        <v>25</v>
      </c>
      <c r="R7" s="24" t="n">
        <v>0</v>
      </c>
      <c r="S7" s="8" t="s">
        <v>516</v>
      </c>
      <c r="T7" s="31" t="n">
        <f aca="false">IF(S7="","",MATCH(S7,'Residual Config'!$L$9:$L$12,0))</f>
        <v>1</v>
      </c>
      <c r="U7" s="8" t="s">
        <v>759</v>
      </c>
      <c r="V7" s="24" t="n">
        <v>2</v>
      </c>
      <c r="W7" s="33" t="s">
        <v>533</v>
      </c>
      <c r="X7" s="8" t="s">
        <v>760</v>
      </c>
      <c r="Y7" s="51" t="n">
        <f aca="false">IF(N7="","",EDATE(N7,IF(G7="N",INDEX('Residual Config'!$B$31:$D$31,1,MATCH(D7,'Residual Config'!$B$27:$D$27,0)),INDEX('Residual Config'!$B$28:$D$30,IF(T7=1,1,IF(T7=4,3,2)),MATCH(D7,'Residual Config'!$B$27:$D$27,0)))))</f>
        <v>46338</v>
      </c>
      <c r="Z7" s="7" t="str">
        <f aca="false">IF(I7="N/A","N/A",IF(N7="","Not tested",IF(W7="Rejected","Evidence rejected",IF(W7&lt;&gt;"Accepted","Evidence pending",IF(Y7&lt;'Residual Config'!$C$4,"Overdue","Current")))))</f>
        <v>Current</v>
      </c>
      <c r="AA7" s="34" t="n">
        <f aca="false">IF(I7="N/A","",IF(Z7&lt;&gt;"Current",4,IF(MAX(M7,T7)=0,4,MAX(M7,T7))))</f>
        <v>1</v>
      </c>
      <c r="AB7" s="7" t="str">
        <f aca="false">IF(AA7="","N/A",IF(Z7&lt;&gt;"Current","Not tested / overdue",INDEX('Residual Config'!$B$11:$B$14,AA7)))</f>
        <v>Effective</v>
      </c>
      <c r="AC7" s="36" t="n">
        <f aca="false">IF(AA7="","",INDEX('Residual Config'!$D$11:$D$14,AA7))</f>
        <v>0.6</v>
      </c>
      <c r="AD7" s="7" t="str">
        <f aca="false">IF(OR(I7="N/A",P7="",Q7=""),"",IF(P7&gt;=Q7,"Yes","No"))</f>
        <v>Yes</v>
      </c>
      <c r="AE7" s="8"/>
    </row>
    <row r="8" customFormat="false" ht="15" hidden="false" customHeight="false" outlineLevel="0" collapsed="false">
      <c r="A8" s="12" t="s">
        <v>761</v>
      </c>
      <c r="B8" s="26" t="str">
        <f aca="false">Entities!$A$5</f>
        <v>JO-HO</v>
      </c>
      <c r="C8" s="12" t="str">
        <f aca="false">INDEX(Entities!$B$5:$B$34,MATCH(B8,Entities!$A$5:$A$34,0))</f>
        <v>Arab Bank plc – Jordan (HO and domestic network)</v>
      </c>
      <c r="D8" s="7" t="str">
        <f aca="false">INDEX(Entities!$F$5:$F$34,MATCH(B8,Entities!$A$5:$A$34,0))</f>
        <v>Tier 1</v>
      </c>
      <c r="E8" s="26" t="str">
        <f aca="false">'Control Library'!$A$8</f>
        <v>CTL-KYC-04</v>
      </c>
      <c r="F8" s="12" t="str">
        <f aca="false">INDEX('Control Library'!$B$5:$B$47,MATCH(E8,'Control Library'!$A$5:$A$47,0))</f>
        <v>Periodic KYC review by customer risk rating</v>
      </c>
      <c r="G8" s="7" t="str">
        <f aca="false">INDEX('Control Library'!$F$5:$F$47,MATCH(E8,'Control Library'!$A$5:$A$47,0))</f>
        <v>Y</v>
      </c>
      <c r="H8" s="12" t="str">
        <f aca="false">INDEX('Control Library'!$E$5:$E$47,MATCH(E8,'Control Library'!$A$5:$A$47,0))</f>
        <v>Monthly</v>
      </c>
      <c r="I8" s="7" t="str">
        <f aca="false">IF(INDEX('Control Library'!$I$5:$I$47,MATCH(E8,'Control Library'!$A$5:$A$47,0))="All","Y",IF(INDEX('Control Library'!$I$5:$I$47,MATCH(E8,'Control Library'!$A$5:$A$47,0))="Banks only",IF(COUNTIF('Residual Config'!$L$28:$L$30,INDEX(Entities!$E$5:$E$34,MATCH(B8,Entities!$A$5:$A$34,0)))&gt;0,"N/A","Y"),IF(INDEX(Entities!$G$5:$G$34,MATCH(B8,Entities!$A$5:$A$34,0))="Y","Y","N/A")))</f>
        <v>Y</v>
      </c>
      <c r="J8" s="8" t="s">
        <v>751</v>
      </c>
      <c r="K8" s="8" t="s">
        <v>752</v>
      </c>
      <c r="L8" s="7" t="str">
        <f aca="false">IF(OR(J8="",K8=""),"",IF(J8=K8,"Breach","OK"))</f>
        <v>OK</v>
      </c>
      <c r="M8" s="24" t="n">
        <v>2</v>
      </c>
      <c r="N8" s="50" t="n">
        <v>46140</v>
      </c>
      <c r="O8" s="8" t="s">
        <v>545</v>
      </c>
      <c r="P8" s="24" t="n">
        <v>3</v>
      </c>
      <c r="Q8" s="31" t="n">
        <f aca="false">IF(I8="N/A","",IFERROR(INDEX('Residual Config'!$B$35:$B$42,MATCH(H8,'Residual Config'!$A$35:$A$42,0)),""))</f>
        <v>3</v>
      </c>
      <c r="R8" s="24" t="n">
        <v>0</v>
      </c>
      <c r="S8" s="8" t="s">
        <v>516</v>
      </c>
      <c r="T8" s="31" t="n">
        <f aca="false">IF(S8="","",MATCH(S8,'Residual Config'!$L$9:$L$12,0))</f>
        <v>1</v>
      </c>
      <c r="U8" s="8" t="s">
        <v>762</v>
      </c>
      <c r="V8" s="24" t="n">
        <v>5</v>
      </c>
      <c r="W8" s="33" t="s">
        <v>533</v>
      </c>
      <c r="X8" s="8" t="s">
        <v>760</v>
      </c>
      <c r="Y8" s="51" t="n">
        <f aca="false">IF(N8="","",EDATE(N8,IF(G8="N",INDEX('Residual Config'!$B$31:$D$31,1,MATCH(D8,'Residual Config'!$B$27:$D$27,0)),INDEX('Residual Config'!$B$28:$D$30,IF(T8=1,1,IF(T8=4,3,2)),MATCH(D8,'Residual Config'!$B$27:$D$27,0)))))</f>
        <v>46323</v>
      </c>
      <c r="Z8" s="7" t="str">
        <f aca="false">IF(I8="N/A","N/A",IF(N8="","Not tested",IF(W8="Rejected","Evidence rejected",IF(W8&lt;&gt;"Accepted","Evidence pending",IF(Y8&lt;'Residual Config'!$C$4,"Overdue","Current")))))</f>
        <v>Current</v>
      </c>
      <c r="AA8" s="34" t="n">
        <f aca="false">IF(I8="N/A","",IF(Z8&lt;&gt;"Current",4,IF(MAX(M8,T8)=0,4,MAX(M8,T8))))</f>
        <v>2</v>
      </c>
      <c r="AB8" s="7" t="str">
        <f aca="false">IF(AA8="","N/A",IF(Z8&lt;&gt;"Current","Not tested / overdue",INDEX('Residual Config'!$B$11:$B$14,AA8)))</f>
        <v>Largely effective</v>
      </c>
      <c r="AC8" s="36" t="n">
        <f aca="false">IF(AA8="","",INDEX('Residual Config'!$D$11:$D$14,AA8))</f>
        <v>0.4</v>
      </c>
      <c r="AD8" s="7" t="str">
        <f aca="false">IF(OR(I8="N/A",P8="",Q8=""),"",IF(P8&gt;=Q8,"Yes","No"))</f>
        <v>Yes</v>
      </c>
      <c r="AE8" s="8"/>
    </row>
    <row r="9" customFormat="false" ht="15" hidden="false" customHeight="false" outlineLevel="0" collapsed="false">
      <c r="A9" s="12" t="s">
        <v>763</v>
      </c>
      <c r="B9" s="26" t="str">
        <f aca="false">Entities!$A$5</f>
        <v>JO-HO</v>
      </c>
      <c r="C9" s="12" t="str">
        <f aca="false">INDEX(Entities!$B$5:$B$34,MATCH(B9,Entities!$A$5:$A$34,0))</f>
        <v>Arab Bank plc – Jordan (HO and domestic network)</v>
      </c>
      <c r="D9" s="7" t="str">
        <f aca="false">INDEX(Entities!$F$5:$F$34,MATCH(B9,Entities!$A$5:$A$34,0))</f>
        <v>Tier 1</v>
      </c>
      <c r="E9" s="26" t="str">
        <f aca="false">'Control Library'!$A$9</f>
        <v>CTL-CRR-01</v>
      </c>
      <c r="F9" s="12" t="str">
        <f aca="false">INDEX('Control Library'!$B$5:$B$47,MATCH(E9,'Control Library'!$A$5:$A$47,0))</f>
        <v>Customer risk rating model and annual validation</v>
      </c>
      <c r="G9" s="7" t="str">
        <f aca="false">INDEX('Control Library'!$F$5:$F$47,MATCH(E9,'Control Library'!$A$5:$A$47,0))</f>
        <v>N</v>
      </c>
      <c r="H9" s="12" t="str">
        <f aca="false">INDEX('Control Library'!$E$5:$E$47,MATCH(E9,'Control Library'!$A$5:$A$47,0))</f>
        <v>Annual</v>
      </c>
      <c r="I9" s="7" t="str">
        <f aca="false">IF(INDEX('Control Library'!$I$5:$I$47,MATCH(E9,'Control Library'!$A$5:$A$47,0))="All","Y",IF(INDEX('Control Library'!$I$5:$I$47,MATCH(E9,'Control Library'!$A$5:$A$47,0))="Banks only",IF(COUNTIF('Residual Config'!$L$28:$L$30,INDEX(Entities!$E$5:$E$34,MATCH(B9,Entities!$A$5:$A$34,0)))&gt;0,"N/A","Y"),IF(INDEX(Entities!$G$5:$G$34,MATCH(B9,Entities!$A$5:$A$34,0))="Y","Y","N/A")))</f>
        <v>Y</v>
      </c>
      <c r="J9" s="8" t="s">
        <v>756</v>
      </c>
      <c r="K9" s="8" t="s">
        <v>764</v>
      </c>
      <c r="L9" s="7" t="str">
        <f aca="false">IF(OR(J9="",K9=""),"",IF(J9=K9,"Breach","OK"))</f>
        <v>OK</v>
      </c>
      <c r="M9" s="24" t="n">
        <v>1</v>
      </c>
      <c r="N9" s="50" t="n">
        <v>45994</v>
      </c>
      <c r="O9" s="8" t="s">
        <v>547</v>
      </c>
      <c r="P9" s="24" t="n">
        <v>1</v>
      </c>
      <c r="Q9" s="31" t="n">
        <f aca="false">IF(I9="N/A","",IFERROR(INDEX('Residual Config'!$B$35:$B$42,MATCH(H9,'Residual Config'!$A$35:$A$42,0)),""))</f>
        <v>1</v>
      </c>
      <c r="R9" s="24" t="n">
        <v>1</v>
      </c>
      <c r="S9" s="8" t="s">
        <v>524</v>
      </c>
      <c r="T9" s="31" t="n">
        <f aca="false">IF(S9="","",MATCH(S9,'Residual Config'!$L$9:$L$12,0))</f>
        <v>3</v>
      </c>
      <c r="U9" s="8" t="s">
        <v>765</v>
      </c>
      <c r="V9" s="24" t="n">
        <v>2</v>
      </c>
      <c r="W9" s="33" t="s">
        <v>533</v>
      </c>
      <c r="X9" s="8" t="s">
        <v>760</v>
      </c>
      <c r="Y9" s="51" t="n">
        <f aca="false">IF(N9="","",EDATE(N9,IF(G9="N",INDEX('Residual Config'!$B$31:$D$31,1,MATCH(D9,'Residual Config'!$B$27:$D$27,0)),INDEX('Residual Config'!$B$28:$D$30,IF(T9=1,1,IF(T9=4,3,2)),MATCH(D9,'Residual Config'!$B$27:$D$27,0)))))</f>
        <v>46359</v>
      </c>
      <c r="Z9" s="7" t="str">
        <f aca="false">IF(I9="N/A","N/A",IF(N9="","Not tested",IF(W9="Rejected","Evidence rejected",IF(W9&lt;&gt;"Accepted","Evidence pending",IF(Y9&lt;'Residual Config'!$C$4,"Overdue","Current")))))</f>
        <v>Current</v>
      </c>
      <c r="AA9" s="34" t="n">
        <f aca="false">IF(I9="N/A","",IF(Z9&lt;&gt;"Current",4,IF(MAX(M9,T9)=0,4,MAX(M9,T9))))</f>
        <v>3</v>
      </c>
      <c r="AB9" s="7" t="str">
        <f aca="false">IF(AA9="","N/A",IF(Z9&lt;&gt;"Current","Not tested / overdue",INDEX('Residual Config'!$B$11:$B$14,AA9)))</f>
        <v>Partially effective</v>
      </c>
      <c r="AC9" s="36" t="n">
        <f aca="false">IF(AA9="","",INDEX('Residual Config'!$D$11:$D$14,AA9))</f>
        <v>0.2</v>
      </c>
      <c r="AD9" s="7" t="str">
        <f aca="false">IF(OR(I9="N/A",P9="",Q9=""),"",IF(P9&gt;=Q9,"Yes","No"))</f>
        <v>Yes</v>
      </c>
      <c r="AE9" s="8"/>
    </row>
    <row r="10" customFormat="false" ht="15" hidden="false" customHeight="false" outlineLevel="0" collapsed="false">
      <c r="A10" s="12" t="s">
        <v>766</v>
      </c>
      <c r="B10" s="26" t="str">
        <f aca="false">Entities!$A$5</f>
        <v>JO-HO</v>
      </c>
      <c r="C10" s="12" t="str">
        <f aca="false">INDEX(Entities!$B$5:$B$34,MATCH(B10,Entities!$A$5:$A$34,0))</f>
        <v>Arab Bank plc – Jordan (HO and domestic network)</v>
      </c>
      <c r="D10" s="7" t="str">
        <f aca="false">INDEX(Entities!$F$5:$F$34,MATCH(B10,Entities!$A$5:$A$34,0))</f>
        <v>Tier 1</v>
      </c>
      <c r="E10" s="26" t="str">
        <f aca="false">'Control Library'!$A$10</f>
        <v>CTL-TM-01</v>
      </c>
      <c r="F10" s="12" t="str">
        <f aca="false">INDEX('Control Library'!$B$5:$B$47,MATCH(E10,'Control Library'!$A$5:$A$47,0))</f>
        <v>Automated transaction monitoring scenarios and annual tuning</v>
      </c>
      <c r="G10" s="7" t="str">
        <f aca="false">INDEX('Control Library'!$F$5:$F$47,MATCH(E10,'Control Library'!$A$5:$A$47,0))</f>
        <v>Y</v>
      </c>
      <c r="H10" s="12" t="str">
        <f aca="false">INDEX('Control Library'!$E$5:$E$47,MATCH(E10,'Control Library'!$A$5:$A$47,0))</f>
        <v>Continuous</v>
      </c>
      <c r="I10" s="7" t="str">
        <f aca="false">IF(INDEX('Control Library'!$I$5:$I$47,MATCH(E10,'Control Library'!$A$5:$A$47,0))="All","Y",IF(INDEX('Control Library'!$I$5:$I$47,MATCH(E10,'Control Library'!$A$5:$A$47,0))="Banks only",IF(COUNTIF('Residual Config'!$L$28:$L$30,INDEX(Entities!$E$5:$E$34,MATCH(B10,Entities!$A$5:$A$34,0)))&gt;0,"N/A","Y"),IF(INDEX(Entities!$G$5:$G$34,MATCH(B10,Entities!$A$5:$A$34,0))="Y","Y","N/A")))</f>
        <v>Y</v>
      </c>
      <c r="J10" s="8" t="s">
        <v>767</v>
      </c>
      <c r="K10" s="8" t="s">
        <v>752</v>
      </c>
      <c r="L10" s="7" t="str">
        <f aca="false">IF(OR(J10="",K10=""),"",IF(J10=K10,"Breach","OK"))</f>
        <v>OK</v>
      </c>
      <c r="M10" s="24" t="n">
        <v>1</v>
      </c>
      <c r="N10" s="50" t="n">
        <v>46248</v>
      </c>
      <c r="O10" s="8" t="s">
        <v>547</v>
      </c>
      <c r="P10" s="24" t="n">
        <v>1</v>
      </c>
      <c r="Q10" s="31" t="n">
        <f aca="false">IF(I10="N/A","",IFERROR(INDEX('Residual Config'!$B$35:$B$42,MATCH(H10,'Residual Config'!$A$35:$A$42,0)),""))</f>
        <v>1</v>
      </c>
      <c r="R10" s="24" t="n">
        <v>1</v>
      </c>
      <c r="S10" s="8" t="s">
        <v>521</v>
      </c>
      <c r="T10" s="31" t="n">
        <f aca="false">IF(S10="","",MATCH(S10,'Residual Config'!$L$9:$L$12,0))</f>
        <v>2</v>
      </c>
      <c r="U10" s="8" t="s">
        <v>768</v>
      </c>
      <c r="V10" s="24" t="n">
        <v>6</v>
      </c>
      <c r="W10" s="33" t="s">
        <v>533</v>
      </c>
      <c r="X10" s="8" t="s">
        <v>760</v>
      </c>
      <c r="Y10" s="51" t="n">
        <f aca="false">IF(N10="","",EDATE(N10,IF(G10="N",INDEX('Residual Config'!$B$31:$D$31,1,MATCH(D10,'Residual Config'!$B$27:$D$27,0)),INDEX('Residual Config'!$B$28:$D$30,IF(T10=1,1,IF(T10=4,3,2)),MATCH(D10,'Residual Config'!$B$27:$D$27,0)))))</f>
        <v>46340</v>
      </c>
      <c r="Z10" s="7" t="str">
        <f aca="false">IF(I10="N/A","N/A",IF(N10="","Not tested",IF(W10="Rejected","Evidence rejected",IF(W10&lt;&gt;"Accepted","Evidence pending",IF(Y10&lt;'Residual Config'!$C$4,"Overdue","Current")))))</f>
        <v>Current</v>
      </c>
      <c r="AA10" s="34" t="n">
        <f aca="false">IF(I10="N/A","",IF(Z10&lt;&gt;"Current",4,IF(MAX(M10,T10)=0,4,MAX(M10,T10))))</f>
        <v>2</v>
      </c>
      <c r="AB10" s="7" t="str">
        <f aca="false">IF(AA10="","N/A",IF(Z10&lt;&gt;"Current","Not tested / overdue",INDEX('Residual Config'!$B$11:$B$14,AA10)))</f>
        <v>Largely effective</v>
      </c>
      <c r="AC10" s="36" t="n">
        <f aca="false">IF(AA10="","",INDEX('Residual Config'!$D$11:$D$14,AA10))</f>
        <v>0.4</v>
      </c>
      <c r="AD10" s="7" t="str">
        <f aca="false">IF(OR(I10="N/A",P10="",Q10=""),"",IF(P10&gt;=Q10,"Yes","No"))</f>
        <v>Yes</v>
      </c>
      <c r="AE10" s="8"/>
    </row>
    <row r="11" customFormat="false" ht="15" hidden="false" customHeight="false" outlineLevel="0" collapsed="false">
      <c r="A11" s="12" t="s">
        <v>769</v>
      </c>
      <c r="B11" s="26" t="str">
        <f aca="false">Entities!$A$5</f>
        <v>JO-HO</v>
      </c>
      <c r="C11" s="12" t="str">
        <f aca="false">INDEX(Entities!$B$5:$B$34,MATCH(B11,Entities!$A$5:$A$34,0))</f>
        <v>Arab Bank plc – Jordan (HO and domestic network)</v>
      </c>
      <c r="D11" s="7" t="str">
        <f aca="false">INDEX(Entities!$F$5:$F$34,MATCH(B11,Entities!$A$5:$A$34,0))</f>
        <v>Tier 1</v>
      </c>
      <c r="E11" s="26" t="str">
        <f aca="false">'Control Library'!$A$11</f>
        <v>CTL-TM-02</v>
      </c>
      <c r="F11" s="12" t="str">
        <f aca="false">INDEX('Control Library'!$B$5:$B$47,MATCH(E11,'Control Library'!$A$5:$A$47,0))</f>
        <v>Alert investigation and quality assurance within SLA</v>
      </c>
      <c r="G11" s="7" t="str">
        <f aca="false">INDEX('Control Library'!$F$5:$F$47,MATCH(E11,'Control Library'!$A$5:$A$47,0))</f>
        <v>Y</v>
      </c>
      <c r="H11" s="12" t="str">
        <f aca="false">INDEX('Control Library'!$E$5:$E$47,MATCH(E11,'Control Library'!$A$5:$A$47,0))</f>
        <v>Daily</v>
      </c>
      <c r="I11" s="7" t="str">
        <f aca="false">IF(INDEX('Control Library'!$I$5:$I$47,MATCH(E11,'Control Library'!$A$5:$A$47,0))="All","Y",IF(INDEX('Control Library'!$I$5:$I$47,MATCH(E11,'Control Library'!$A$5:$A$47,0))="Banks only",IF(COUNTIF('Residual Config'!$L$28:$L$30,INDEX(Entities!$E$5:$E$34,MATCH(B11,Entities!$A$5:$A$34,0)))&gt;0,"N/A","Y"),IF(INDEX(Entities!$G$5:$G$34,MATCH(B11,Entities!$A$5:$A$34,0))="Y","Y","N/A")))</f>
        <v>Y</v>
      </c>
      <c r="J11" s="8" t="s">
        <v>767</v>
      </c>
      <c r="K11" s="8" t="s">
        <v>752</v>
      </c>
      <c r="L11" s="7" t="str">
        <f aca="false">IF(OR(J11="",K11=""),"",IF(J11=K11,"Breach","OK"))</f>
        <v>OK</v>
      </c>
      <c r="M11" s="24" t="n">
        <v>1</v>
      </c>
      <c r="N11" s="50" t="n">
        <v>46274</v>
      </c>
      <c r="O11" s="8" t="s">
        <v>545</v>
      </c>
      <c r="P11" s="24" t="n">
        <v>35</v>
      </c>
      <c r="Q11" s="31" t="n">
        <f aca="false">IF(I11="N/A","",IFERROR(INDEX('Residual Config'!$B$35:$B$42,MATCH(H11,'Residual Config'!$A$35:$A$42,0)),""))</f>
        <v>25</v>
      </c>
      <c r="R11" s="24" t="n">
        <v>1</v>
      </c>
      <c r="S11" s="8" t="s">
        <v>521</v>
      </c>
      <c r="T11" s="31" t="n">
        <f aca="false">IF(S11="","",MATCH(S11,'Residual Config'!$L$9:$L$12,0))</f>
        <v>2</v>
      </c>
      <c r="U11" s="8" t="s">
        <v>770</v>
      </c>
      <c r="V11" s="24" t="n">
        <v>6</v>
      </c>
      <c r="W11" s="33" t="s">
        <v>533</v>
      </c>
      <c r="X11" s="8" t="s">
        <v>760</v>
      </c>
      <c r="Y11" s="51" t="n">
        <f aca="false">IF(N11="","",EDATE(N11,IF(G11="N",INDEX('Residual Config'!$B$31:$D$31,1,MATCH(D11,'Residual Config'!$B$27:$D$27,0)),INDEX('Residual Config'!$B$28:$D$30,IF(T11=1,1,IF(T11=4,3,2)),MATCH(D11,'Residual Config'!$B$27:$D$27,0)))))</f>
        <v>46365</v>
      </c>
      <c r="Z11" s="7" t="str">
        <f aca="false">IF(I11="N/A","N/A",IF(N11="","Not tested",IF(W11="Rejected","Evidence rejected",IF(W11&lt;&gt;"Accepted","Evidence pending",IF(Y11&lt;'Residual Config'!$C$4,"Overdue","Current")))))</f>
        <v>Current</v>
      </c>
      <c r="AA11" s="34" t="n">
        <f aca="false">IF(I11="N/A","",IF(Z11&lt;&gt;"Current",4,IF(MAX(M11,T11)=0,4,MAX(M11,T11))))</f>
        <v>2</v>
      </c>
      <c r="AB11" s="7" t="str">
        <f aca="false">IF(AA11="","N/A",IF(Z11&lt;&gt;"Current","Not tested / overdue",INDEX('Residual Config'!$B$11:$B$14,AA11)))</f>
        <v>Largely effective</v>
      </c>
      <c r="AC11" s="36" t="n">
        <f aca="false">IF(AA11="","",INDEX('Residual Config'!$D$11:$D$14,AA11))</f>
        <v>0.4</v>
      </c>
      <c r="AD11" s="7" t="str">
        <f aca="false">IF(OR(I11="N/A",P11="",Q11=""),"",IF(P11&gt;=Q11,"Yes","No"))</f>
        <v>Yes</v>
      </c>
      <c r="AE11" s="8"/>
    </row>
    <row r="12" customFormat="false" ht="15" hidden="false" customHeight="false" outlineLevel="0" collapsed="false">
      <c r="A12" s="12" t="s">
        <v>771</v>
      </c>
      <c r="B12" s="26" t="str">
        <f aca="false">Entities!$A$5</f>
        <v>JO-HO</v>
      </c>
      <c r="C12" s="12" t="str">
        <f aca="false">INDEX(Entities!$B$5:$B$34,MATCH(B12,Entities!$A$5:$A$34,0))</f>
        <v>Arab Bank plc – Jordan (HO and domestic network)</v>
      </c>
      <c r="D12" s="7" t="str">
        <f aca="false">INDEX(Entities!$F$5:$F$34,MATCH(B12,Entities!$A$5:$A$34,0))</f>
        <v>Tier 1</v>
      </c>
      <c r="E12" s="26" t="str">
        <f aca="false">'Control Library'!$A$12</f>
        <v>CTL-STR-01</v>
      </c>
      <c r="F12" s="12" t="str">
        <f aca="false">INDEX('Control Library'!$B$5:$B$47,MATCH(E12,'Control Library'!$A$5:$A$47,0))</f>
        <v>STR decision and filing within regulatory deadline</v>
      </c>
      <c r="G12" s="7" t="str">
        <f aca="false">INDEX('Control Library'!$F$5:$F$47,MATCH(E12,'Control Library'!$A$5:$A$47,0))</f>
        <v>Y</v>
      </c>
      <c r="H12" s="12" t="str">
        <f aca="false">INDEX('Control Library'!$E$5:$E$47,MATCH(E12,'Control Library'!$A$5:$A$47,0))</f>
        <v>Event-driven</v>
      </c>
      <c r="I12" s="7" t="str">
        <f aca="false">IF(INDEX('Control Library'!$I$5:$I$47,MATCH(E12,'Control Library'!$A$5:$A$47,0))="All","Y",IF(INDEX('Control Library'!$I$5:$I$47,MATCH(E12,'Control Library'!$A$5:$A$47,0))="Banks only",IF(COUNTIF('Residual Config'!$L$28:$L$30,INDEX(Entities!$E$5:$E$34,MATCH(B12,Entities!$A$5:$A$34,0)))&gt;0,"N/A","Y"),IF(INDEX(Entities!$G$5:$G$34,MATCH(B12,Entities!$A$5:$A$34,0))="Y","Y","N/A")))</f>
        <v>Y</v>
      </c>
      <c r="J12" s="8" t="s">
        <v>767</v>
      </c>
      <c r="K12" s="8" t="s">
        <v>752</v>
      </c>
      <c r="L12" s="7" t="str">
        <f aca="false">IF(OR(J12="",K12=""),"",IF(J12=K12,"Breach","OK"))</f>
        <v>OK</v>
      </c>
      <c r="M12" s="24" t="n">
        <v>3</v>
      </c>
      <c r="N12" s="50" t="n">
        <v>46227</v>
      </c>
      <c r="O12" s="8" t="s">
        <v>545</v>
      </c>
      <c r="P12" s="24" t="n">
        <v>25</v>
      </c>
      <c r="Q12" s="31" t="n">
        <f aca="false">IF(I12="N/A","",IFERROR(INDEX('Residual Config'!$B$35:$B$42,MATCH(H12,'Residual Config'!$A$35:$A$42,0)),""))</f>
        <v>25</v>
      </c>
      <c r="R12" s="24" t="n">
        <v>1</v>
      </c>
      <c r="S12" s="8" t="s">
        <v>521</v>
      </c>
      <c r="T12" s="31" t="n">
        <f aca="false">IF(S12="","",MATCH(S12,'Residual Config'!$L$9:$L$12,0))</f>
        <v>2</v>
      </c>
      <c r="U12" s="8" t="s">
        <v>772</v>
      </c>
      <c r="V12" s="24" t="n">
        <v>4</v>
      </c>
      <c r="W12" s="33" t="s">
        <v>533</v>
      </c>
      <c r="X12" s="8" t="s">
        <v>754</v>
      </c>
      <c r="Y12" s="51" t="n">
        <f aca="false">IF(N12="","",EDATE(N12,IF(G12="N",INDEX('Residual Config'!$B$31:$D$31,1,MATCH(D12,'Residual Config'!$B$27:$D$27,0)),INDEX('Residual Config'!$B$28:$D$30,IF(T12=1,1,IF(T12=4,3,2)),MATCH(D12,'Residual Config'!$B$27:$D$27,0)))))</f>
        <v>46319</v>
      </c>
      <c r="Z12" s="7" t="str">
        <f aca="false">IF(I12="N/A","N/A",IF(N12="","Not tested",IF(W12="Rejected","Evidence rejected",IF(W12&lt;&gt;"Accepted","Evidence pending",IF(Y12&lt;'Residual Config'!$C$4,"Overdue","Current")))))</f>
        <v>Current</v>
      </c>
      <c r="AA12" s="34" t="n">
        <f aca="false">IF(I12="N/A","",IF(Z12&lt;&gt;"Current",4,IF(MAX(M12,T12)=0,4,MAX(M12,T12))))</f>
        <v>3</v>
      </c>
      <c r="AB12" s="7" t="str">
        <f aca="false">IF(AA12="","N/A",IF(Z12&lt;&gt;"Current","Not tested / overdue",INDEX('Residual Config'!$B$11:$B$14,AA12)))</f>
        <v>Partially effective</v>
      </c>
      <c r="AC12" s="36" t="n">
        <f aca="false">IF(AA12="","",INDEX('Residual Config'!$D$11:$D$14,AA12))</f>
        <v>0.2</v>
      </c>
      <c r="AD12" s="7" t="str">
        <f aca="false">IF(OR(I12="N/A",P12="",Q12=""),"",IF(P12&gt;=Q12,"Yes","No"))</f>
        <v>Yes</v>
      </c>
      <c r="AE12" s="8"/>
    </row>
    <row r="13" customFormat="false" ht="15" hidden="false" customHeight="false" outlineLevel="0" collapsed="false">
      <c r="A13" s="12" t="s">
        <v>773</v>
      </c>
      <c r="B13" s="26" t="str">
        <f aca="false">Entities!$A$5</f>
        <v>JO-HO</v>
      </c>
      <c r="C13" s="12" t="str">
        <f aca="false">INDEX(Entities!$B$5:$B$34,MATCH(B13,Entities!$A$5:$A$34,0))</f>
        <v>Arab Bank plc – Jordan (HO and domestic network)</v>
      </c>
      <c r="D13" s="7" t="str">
        <f aca="false">INDEX(Entities!$F$5:$F$34,MATCH(B13,Entities!$A$5:$A$34,0))</f>
        <v>Tier 1</v>
      </c>
      <c r="E13" s="26" t="str">
        <f aca="false">'Control Library'!$A$13</f>
        <v>CTL-SAN-01</v>
      </c>
      <c r="F13" s="12" t="str">
        <f aca="false">INDEX('Control Library'!$B$5:$B$47,MATCH(E13,'Control Library'!$A$5:$A$47,0))</f>
        <v>Real-time payment and transaction sanctions screening</v>
      </c>
      <c r="G13" s="7" t="str">
        <f aca="false">INDEX('Control Library'!$F$5:$F$47,MATCH(E13,'Control Library'!$A$5:$A$47,0))</f>
        <v>Y</v>
      </c>
      <c r="H13" s="12" t="str">
        <f aca="false">INDEX('Control Library'!$E$5:$E$47,MATCH(E13,'Control Library'!$A$5:$A$47,0))</f>
        <v>Continuous</v>
      </c>
      <c r="I13" s="7" t="str">
        <f aca="false">IF(INDEX('Control Library'!$I$5:$I$47,MATCH(E13,'Control Library'!$A$5:$A$47,0))="All","Y",IF(INDEX('Control Library'!$I$5:$I$47,MATCH(E13,'Control Library'!$A$5:$A$47,0))="Banks only",IF(COUNTIF('Residual Config'!$L$28:$L$30,INDEX(Entities!$E$5:$E$34,MATCH(B13,Entities!$A$5:$A$34,0)))&gt;0,"N/A","Y"),IF(INDEX(Entities!$G$5:$G$34,MATCH(B13,Entities!$A$5:$A$34,0))="Y","Y","N/A")))</f>
        <v>Y</v>
      </c>
      <c r="J13" s="8" t="s">
        <v>774</v>
      </c>
      <c r="K13" s="8" t="s">
        <v>752</v>
      </c>
      <c r="L13" s="7" t="str">
        <f aca="false">IF(OR(J13="",K13=""),"",IF(J13=K13,"Breach","OK"))</f>
        <v>OK</v>
      </c>
      <c r="M13" s="24" t="n">
        <v>2</v>
      </c>
      <c r="N13" s="50" t="n">
        <v>46268</v>
      </c>
      <c r="O13" s="8" t="s">
        <v>546</v>
      </c>
      <c r="P13" s="24" t="n">
        <v>1</v>
      </c>
      <c r="Q13" s="31" t="n">
        <f aca="false">IF(I13="N/A","",IFERROR(INDEX('Residual Config'!$B$35:$B$42,MATCH(H13,'Residual Config'!$A$35:$A$42,0)),""))</f>
        <v>1</v>
      </c>
      <c r="R13" s="24" t="n">
        <v>0</v>
      </c>
      <c r="S13" s="8" t="s">
        <v>516</v>
      </c>
      <c r="T13" s="31" t="n">
        <f aca="false">IF(S13="","",MATCH(S13,'Residual Config'!$L$9:$L$12,0))</f>
        <v>1</v>
      </c>
      <c r="U13" s="8" t="s">
        <v>775</v>
      </c>
      <c r="V13" s="24" t="n">
        <v>3</v>
      </c>
      <c r="W13" s="33" t="s">
        <v>533</v>
      </c>
      <c r="X13" s="8" t="s">
        <v>754</v>
      </c>
      <c r="Y13" s="51" t="n">
        <f aca="false">IF(N13="","",EDATE(N13,IF(G13="N",INDEX('Residual Config'!$B$31:$D$31,1,MATCH(D13,'Residual Config'!$B$27:$D$27,0)),INDEX('Residual Config'!$B$28:$D$30,IF(T13=1,1,IF(T13=4,3,2)),MATCH(D13,'Residual Config'!$B$27:$D$27,0)))))</f>
        <v>46449</v>
      </c>
      <c r="Z13" s="7" t="str">
        <f aca="false">IF(I13="N/A","N/A",IF(N13="","Not tested",IF(W13="Rejected","Evidence rejected",IF(W13&lt;&gt;"Accepted","Evidence pending",IF(Y13&lt;'Residual Config'!$C$4,"Overdue","Current")))))</f>
        <v>Current</v>
      </c>
      <c r="AA13" s="34" t="n">
        <f aca="false">IF(I13="N/A","",IF(Z13&lt;&gt;"Current",4,IF(MAX(M13,T13)=0,4,MAX(M13,T13))))</f>
        <v>2</v>
      </c>
      <c r="AB13" s="7" t="str">
        <f aca="false">IF(AA13="","N/A",IF(Z13&lt;&gt;"Current","Not tested / overdue",INDEX('Residual Config'!$B$11:$B$14,AA13)))</f>
        <v>Largely effective</v>
      </c>
      <c r="AC13" s="36" t="n">
        <f aca="false">IF(AA13="","",INDEX('Residual Config'!$D$11:$D$14,AA13))</f>
        <v>0.4</v>
      </c>
      <c r="AD13" s="7" t="str">
        <f aca="false">IF(OR(I13="N/A",P13="",Q13=""),"",IF(P13&gt;=Q13,"Yes","No"))</f>
        <v>Yes</v>
      </c>
      <c r="AE13" s="8"/>
    </row>
    <row r="14" customFormat="false" ht="15" hidden="false" customHeight="false" outlineLevel="0" collapsed="false">
      <c r="A14" s="12" t="s">
        <v>776</v>
      </c>
      <c r="B14" s="26" t="str">
        <f aca="false">Entities!$A$5</f>
        <v>JO-HO</v>
      </c>
      <c r="C14" s="12" t="str">
        <f aca="false">INDEX(Entities!$B$5:$B$34,MATCH(B14,Entities!$A$5:$A$34,0))</f>
        <v>Arab Bank plc – Jordan (HO and domestic network)</v>
      </c>
      <c r="D14" s="7" t="str">
        <f aca="false">INDEX(Entities!$F$5:$F$34,MATCH(B14,Entities!$A$5:$A$34,0))</f>
        <v>Tier 1</v>
      </c>
      <c r="E14" s="26" t="str">
        <f aca="false">'Control Library'!$A$14</f>
        <v>CTL-SAN-02</v>
      </c>
      <c r="F14" s="12" t="str">
        <f aca="false">INDEX('Control Library'!$B$5:$B$47,MATCH(E14,'Control Library'!$A$5:$A$47,0))</f>
        <v>Customer and counterparty screening at onboarding and on list change</v>
      </c>
      <c r="G14" s="7" t="str">
        <f aca="false">INDEX('Control Library'!$F$5:$F$47,MATCH(E14,'Control Library'!$A$5:$A$47,0))</f>
        <v>Y</v>
      </c>
      <c r="H14" s="12" t="str">
        <f aca="false">INDEX('Control Library'!$E$5:$E$47,MATCH(E14,'Control Library'!$A$5:$A$47,0))</f>
        <v>Continuous</v>
      </c>
      <c r="I14" s="7" t="str">
        <f aca="false">IF(INDEX('Control Library'!$I$5:$I$47,MATCH(E14,'Control Library'!$A$5:$A$47,0))="All","Y",IF(INDEX('Control Library'!$I$5:$I$47,MATCH(E14,'Control Library'!$A$5:$A$47,0))="Banks only",IF(COUNTIF('Residual Config'!$L$28:$L$30,INDEX(Entities!$E$5:$E$34,MATCH(B14,Entities!$A$5:$A$34,0)))&gt;0,"N/A","Y"),IF(INDEX(Entities!$G$5:$G$34,MATCH(B14,Entities!$A$5:$A$34,0))="Y","Y","N/A")))</f>
        <v>Y</v>
      </c>
      <c r="J14" s="8" t="s">
        <v>774</v>
      </c>
      <c r="K14" s="8" t="s">
        <v>752</v>
      </c>
      <c r="L14" s="7" t="str">
        <f aca="false">IF(OR(J14="",K14=""),"",IF(J14=K14,"Breach","OK"))</f>
        <v>OK</v>
      </c>
      <c r="M14" s="24" t="n">
        <v>1</v>
      </c>
      <c r="N14" s="50" t="n">
        <v>46262</v>
      </c>
      <c r="O14" s="8" t="s">
        <v>547</v>
      </c>
      <c r="P14" s="24" t="n">
        <v>1</v>
      </c>
      <c r="Q14" s="31" t="n">
        <f aca="false">IF(I14="N/A","",IFERROR(INDEX('Residual Config'!$B$35:$B$42,MATCH(H14,'Residual Config'!$A$35:$A$42,0)),""))</f>
        <v>1</v>
      </c>
      <c r="R14" s="24" t="n">
        <v>1</v>
      </c>
      <c r="S14" s="8" t="s">
        <v>521</v>
      </c>
      <c r="T14" s="31" t="n">
        <f aca="false">IF(S14="","",MATCH(S14,'Residual Config'!$L$9:$L$12,0))</f>
        <v>2</v>
      </c>
      <c r="U14" s="8" t="s">
        <v>777</v>
      </c>
      <c r="V14" s="24" t="n">
        <v>2</v>
      </c>
      <c r="W14" s="33" t="s">
        <v>533</v>
      </c>
      <c r="X14" s="8" t="s">
        <v>760</v>
      </c>
      <c r="Y14" s="51" t="n">
        <f aca="false">IF(N14="","",EDATE(N14,IF(G14="N",INDEX('Residual Config'!$B$31:$D$31,1,MATCH(D14,'Residual Config'!$B$27:$D$27,0)),INDEX('Residual Config'!$B$28:$D$30,IF(T14=1,1,IF(T14=4,3,2)),MATCH(D14,'Residual Config'!$B$27:$D$27,0)))))</f>
        <v>46354</v>
      </c>
      <c r="Z14" s="7" t="str">
        <f aca="false">IF(I14="N/A","N/A",IF(N14="","Not tested",IF(W14="Rejected","Evidence rejected",IF(W14&lt;&gt;"Accepted","Evidence pending",IF(Y14&lt;'Residual Config'!$C$4,"Overdue","Current")))))</f>
        <v>Current</v>
      </c>
      <c r="AA14" s="34" t="n">
        <f aca="false">IF(I14="N/A","",IF(Z14&lt;&gt;"Current",4,IF(MAX(M14,T14)=0,4,MAX(M14,T14))))</f>
        <v>2</v>
      </c>
      <c r="AB14" s="7" t="str">
        <f aca="false">IF(AA14="","N/A",IF(Z14&lt;&gt;"Current","Not tested / overdue",INDEX('Residual Config'!$B$11:$B$14,AA14)))</f>
        <v>Largely effective</v>
      </c>
      <c r="AC14" s="36" t="n">
        <f aca="false">IF(AA14="","",INDEX('Residual Config'!$D$11:$D$14,AA14))</f>
        <v>0.4</v>
      </c>
      <c r="AD14" s="7" t="str">
        <f aca="false">IF(OR(I14="N/A",P14="",Q14=""),"",IF(P14&gt;=Q14,"Yes","No"))</f>
        <v>Yes</v>
      </c>
      <c r="AE14" s="8"/>
    </row>
    <row r="15" customFormat="false" ht="15" hidden="false" customHeight="false" outlineLevel="0" collapsed="false">
      <c r="A15" s="12" t="s">
        <v>778</v>
      </c>
      <c r="B15" s="26" t="str">
        <f aca="false">Entities!$A$5</f>
        <v>JO-HO</v>
      </c>
      <c r="C15" s="12" t="str">
        <f aca="false">INDEX(Entities!$B$5:$B$34,MATCH(B15,Entities!$A$5:$A$34,0))</f>
        <v>Arab Bank plc – Jordan (HO and domestic network)</v>
      </c>
      <c r="D15" s="7" t="str">
        <f aca="false">INDEX(Entities!$F$5:$F$34,MATCH(B15,Entities!$A$5:$A$34,0))</f>
        <v>Tier 1</v>
      </c>
      <c r="E15" s="26" t="str">
        <f aca="false">'Control Library'!$A$15</f>
        <v>CTL-SAN-03</v>
      </c>
      <c r="F15" s="12" t="str">
        <f aca="false">INDEX('Control Library'!$B$5:$B$47,MATCH(E15,'Control Library'!$A$5:$A$47,0))</f>
        <v>Sanctions list updates applied within 24 hours</v>
      </c>
      <c r="G15" s="7" t="str">
        <f aca="false">INDEX('Control Library'!$F$5:$F$47,MATCH(E15,'Control Library'!$A$5:$A$47,0))</f>
        <v>N</v>
      </c>
      <c r="H15" s="12" t="str">
        <f aca="false">INDEX('Control Library'!$E$5:$E$47,MATCH(E15,'Control Library'!$A$5:$A$47,0))</f>
        <v>Daily</v>
      </c>
      <c r="I15" s="7" t="str">
        <f aca="false">IF(INDEX('Control Library'!$I$5:$I$47,MATCH(E15,'Control Library'!$A$5:$A$47,0))="All","Y",IF(INDEX('Control Library'!$I$5:$I$47,MATCH(E15,'Control Library'!$A$5:$A$47,0))="Banks only",IF(COUNTIF('Residual Config'!$L$28:$L$30,INDEX(Entities!$E$5:$E$34,MATCH(B15,Entities!$A$5:$A$34,0)))&gt;0,"N/A","Y"),IF(INDEX(Entities!$G$5:$G$34,MATCH(B15,Entities!$A$5:$A$34,0))="Y","Y","N/A")))</f>
        <v>Y</v>
      </c>
      <c r="J15" s="8" t="s">
        <v>779</v>
      </c>
      <c r="K15" s="8" t="s">
        <v>764</v>
      </c>
      <c r="L15" s="7" t="str">
        <f aca="false">IF(OR(J15="",K15=""),"",IF(J15=K15,"Breach","OK"))</f>
        <v>OK</v>
      </c>
      <c r="M15" s="24" t="n">
        <v>3</v>
      </c>
      <c r="N15" s="50" t="n">
        <v>46243</v>
      </c>
      <c r="O15" s="8" t="s">
        <v>545</v>
      </c>
      <c r="P15" s="24" t="n">
        <v>25</v>
      </c>
      <c r="Q15" s="31" t="n">
        <f aca="false">IF(I15="N/A","",IFERROR(INDEX('Residual Config'!$B$35:$B$42,MATCH(H15,'Residual Config'!$A$35:$A$42,0)),""))</f>
        <v>25</v>
      </c>
      <c r="R15" s="24" t="n">
        <v>1</v>
      </c>
      <c r="S15" s="8" t="s">
        <v>521</v>
      </c>
      <c r="T15" s="31" t="n">
        <f aca="false">IF(S15="","",MATCH(S15,'Residual Config'!$L$9:$L$12,0))</f>
        <v>2</v>
      </c>
      <c r="U15" s="8" t="s">
        <v>780</v>
      </c>
      <c r="V15" s="24" t="n">
        <v>3</v>
      </c>
      <c r="W15" s="33" t="s">
        <v>533</v>
      </c>
      <c r="X15" s="8" t="s">
        <v>754</v>
      </c>
      <c r="Y15" s="51" t="n">
        <f aca="false">IF(N15="","",EDATE(N15,IF(G15="N",INDEX('Residual Config'!$B$31:$D$31,1,MATCH(D15,'Residual Config'!$B$27:$D$27,0)),INDEX('Residual Config'!$B$28:$D$30,IF(T15=1,1,IF(T15=4,3,2)),MATCH(D15,'Residual Config'!$B$27:$D$27,0)))))</f>
        <v>46608</v>
      </c>
      <c r="Z15" s="7" t="str">
        <f aca="false">IF(I15="N/A","N/A",IF(N15="","Not tested",IF(W15="Rejected","Evidence rejected",IF(W15&lt;&gt;"Accepted","Evidence pending",IF(Y15&lt;'Residual Config'!$C$4,"Overdue","Current")))))</f>
        <v>Current</v>
      </c>
      <c r="AA15" s="34" t="n">
        <f aca="false">IF(I15="N/A","",IF(Z15&lt;&gt;"Current",4,IF(MAX(M15,T15)=0,4,MAX(M15,T15))))</f>
        <v>3</v>
      </c>
      <c r="AB15" s="7" t="str">
        <f aca="false">IF(AA15="","N/A",IF(Z15&lt;&gt;"Current","Not tested / overdue",INDEX('Residual Config'!$B$11:$B$14,AA15)))</f>
        <v>Partially effective</v>
      </c>
      <c r="AC15" s="36" t="n">
        <f aca="false">IF(AA15="","",INDEX('Residual Config'!$D$11:$D$14,AA15))</f>
        <v>0.2</v>
      </c>
      <c r="AD15" s="7" t="str">
        <f aca="false">IF(OR(I15="N/A",P15="",Q15=""),"",IF(P15&gt;=Q15,"Yes","No"))</f>
        <v>Yes</v>
      </c>
      <c r="AE15" s="8"/>
    </row>
    <row r="16" customFormat="false" ht="15" hidden="false" customHeight="false" outlineLevel="0" collapsed="false">
      <c r="A16" s="12" t="s">
        <v>781</v>
      </c>
      <c r="B16" s="26" t="str">
        <f aca="false">Entities!$A$5</f>
        <v>JO-HO</v>
      </c>
      <c r="C16" s="12" t="str">
        <f aca="false">INDEX(Entities!$B$5:$B$34,MATCH(B16,Entities!$A$5:$A$34,0))</f>
        <v>Arab Bank plc – Jordan (HO and domestic network)</v>
      </c>
      <c r="D16" s="7" t="str">
        <f aca="false">INDEX(Entities!$F$5:$F$34,MATCH(B16,Entities!$A$5:$A$34,0))</f>
        <v>Tier 1</v>
      </c>
      <c r="E16" s="26" t="str">
        <f aca="false">'Control Library'!$A$16</f>
        <v>CTL-TF-01</v>
      </c>
      <c r="F16" s="12" t="str">
        <f aca="false">INDEX('Control Library'!$B$5:$B$47,MATCH(E16,'Control Library'!$A$5:$A$47,0))</f>
        <v>NPO and charity enhanced due diligence</v>
      </c>
      <c r="G16" s="7" t="str">
        <f aca="false">INDEX('Control Library'!$F$5:$F$47,MATCH(E16,'Control Library'!$A$5:$A$47,0))</f>
        <v>N</v>
      </c>
      <c r="H16" s="12" t="str">
        <f aca="false">INDEX('Control Library'!$E$5:$E$47,MATCH(E16,'Control Library'!$A$5:$A$47,0))</f>
        <v>Event-driven</v>
      </c>
      <c r="I16" s="7" t="str">
        <f aca="false">IF(INDEX('Control Library'!$I$5:$I$47,MATCH(E16,'Control Library'!$A$5:$A$47,0))="All","Y",IF(INDEX('Control Library'!$I$5:$I$47,MATCH(E16,'Control Library'!$A$5:$A$47,0))="Banks only",IF(COUNTIF('Residual Config'!$L$28:$L$30,INDEX(Entities!$E$5:$E$34,MATCH(B16,Entities!$A$5:$A$34,0)))&gt;0,"N/A","Y"),IF(INDEX(Entities!$G$5:$G$34,MATCH(B16,Entities!$A$5:$A$34,0))="Y","Y","N/A")))</f>
        <v>Y</v>
      </c>
      <c r="J16" s="8" t="s">
        <v>782</v>
      </c>
      <c r="K16" s="8" t="s">
        <v>764</v>
      </c>
      <c r="L16" s="7" t="str">
        <f aca="false">IF(OR(J16="",K16=""),"",IF(J16=K16,"Breach","OK"))</f>
        <v>OK</v>
      </c>
      <c r="M16" s="24" t="n">
        <v>2</v>
      </c>
      <c r="N16" s="50" t="n">
        <v>46243</v>
      </c>
      <c r="O16" s="8" t="s">
        <v>545</v>
      </c>
      <c r="P16" s="24" t="n">
        <v>35</v>
      </c>
      <c r="Q16" s="31" t="n">
        <f aca="false">IF(I16="N/A","",IFERROR(INDEX('Residual Config'!$B$35:$B$42,MATCH(H16,'Residual Config'!$A$35:$A$42,0)),""))</f>
        <v>25</v>
      </c>
      <c r="R16" s="24" t="n">
        <v>1</v>
      </c>
      <c r="S16" s="8" t="s">
        <v>521</v>
      </c>
      <c r="T16" s="31" t="n">
        <f aca="false">IF(S16="","",MATCH(S16,'Residual Config'!$L$9:$L$12,0))</f>
        <v>2</v>
      </c>
      <c r="U16" s="8" t="s">
        <v>783</v>
      </c>
      <c r="V16" s="24" t="n">
        <v>5</v>
      </c>
      <c r="W16" s="33" t="s">
        <v>533</v>
      </c>
      <c r="X16" s="8" t="s">
        <v>760</v>
      </c>
      <c r="Y16" s="51" t="n">
        <f aca="false">IF(N16="","",EDATE(N16,IF(G16="N",INDEX('Residual Config'!$B$31:$D$31,1,MATCH(D16,'Residual Config'!$B$27:$D$27,0)),INDEX('Residual Config'!$B$28:$D$30,IF(T16=1,1,IF(T16=4,3,2)),MATCH(D16,'Residual Config'!$B$27:$D$27,0)))))</f>
        <v>46608</v>
      </c>
      <c r="Z16" s="7" t="str">
        <f aca="false">IF(I16="N/A","N/A",IF(N16="","Not tested",IF(W16="Rejected","Evidence rejected",IF(W16&lt;&gt;"Accepted","Evidence pending",IF(Y16&lt;'Residual Config'!$C$4,"Overdue","Current")))))</f>
        <v>Current</v>
      </c>
      <c r="AA16" s="34" t="n">
        <f aca="false">IF(I16="N/A","",IF(Z16&lt;&gt;"Current",4,IF(MAX(M16,T16)=0,4,MAX(M16,T16))))</f>
        <v>2</v>
      </c>
      <c r="AB16" s="7" t="str">
        <f aca="false">IF(AA16="","N/A",IF(Z16&lt;&gt;"Current","Not tested / overdue",INDEX('Residual Config'!$B$11:$B$14,AA16)))</f>
        <v>Largely effective</v>
      </c>
      <c r="AC16" s="36" t="n">
        <f aca="false">IF(AA16="","",INDEX('Residual Config'!$D$11:$D$14,AA16))</f>
        <v>0.4</v>
      </c>
      <c r="AD16" s="7" t="str">
        <f aca="false">IF(OR(I16="N/A",P16="",Q16=""),"",IF(P16&gt;=Q16,"Yes","No"))</f>
        <v>Yes</v>
      </c>
      <c r="AE16" s="8"/>
    </row>
    <row r="17" customFormat="false" ht="15" hidden="false" customHeight="false" outlineLevel="0" collapsed="false">
      <c r="A17" s="12" t="s">
        <v>784</v>
      </c>
      <c r="B17" s="26" t="str">
        <f aca="false">Entities!$A$5</f>
        <v>JO-HO</v>
      </c>
      <c r="C17" s="12" t="str">
        <f aca="false">INDEX(Entities!$B$5:$B$34,MATCH(B17,Entities!$A$5:$A$34,0))</f>
        <v>Arab Bank plc – Jordan (HO and domestic network)</v>
      </c>
      <c r="D17" s="7" t="str">
        <f aca="false">INDEX(Entities!$F$5:$F$34,MATCH(B17,Entities!$A$5:$A$34,0))</f>
        <v>Tier 1</v>
      </c>
      <c r="E17" s="26" t="str">
        <f aca="false">'Control Library'!$A$17</f>
        <v>CTL-TBML-01</v>
      </c>
      <c r="F17" s="12" t="str">
        <f aca="false">INDEX('Control Library'!$B$5:$B$47,MATCH(E17,'Control Library'!$A$5:$A$47,0))</f>
        <v>Trade-based ML red-flag review and pricing checks</v>
      </c>
      <c r="G17" s="7" t="str">
        <f aca="false">INDEX('Control Library'!$F$5:$F$47,MATCH(E17,'Control Library'!$A$5:$A$47,0))</f>
        <v>Y</v>
      </c>
      <c r="H17" s="12" t="str">
        <f aca="false">INDEX('Control Library'!$E$5:$E$47,MATCH(E17,'Control Library'!$A$5:$A$47,0))</f>
        <v>Event-driven</v>
      </c>
      <c r="I17" s="7" t="str">
        <f aca="false">IF(INDEX('Control Library'!$I$5:$I$47,MATCH(E17,'Control Library'!$A$5:$A$47,0))="All","Y",IF(INDEX('Control Library'!$I$5:$I$47,MATCH(E17,'Control Library'!$A$5:$A$47,0))="Banks only",IF(COUNTIF('Residual Config'!$L$28:$L$30,INDEX(Entities!$E$5:$E$34,MATCH(B17,Entities!$A$5:$A$34,0)))&gt;0,"N/A","Y"),IF(INDEX(Entities!$G$5:$G$34,MATCH(B17,Entities!$A$5:$A$34,0))="Y","Y","N/A")))</f>
        <v>Y</v>
      </c>
      <c r="J17" s="8" t="s">
        <v>785</v>
      </c>
      <c r="K17" s="8" t="s">
        <v>752</v>
      </c>
      <c r="L17" s="7" t="str">
        <f aca="false">IF(OR(J17="",K17=""),"",IF(J17=K17,"Breach","OK"))</f>
        <v>OK</v>
      </c>
      <c r="M17" s="24" t="n">
        <v>1</v>
      </c>
      <c r="N17" s="50" t="n">
        <v>46237</v>
      </c>
      <c r="O17" s="8" t="s">
        <v>545</v>
      </c>
      <c r="P17" s="24" t="n">
        <v>25</v>
      </c>
      <c r="Q17" s="31" t="n">
        <f aca="false">IF(I17="N/A","",IFERROR(INDEX('Residual Config'!$B$35:$B$42,MATCH(H17,'Residual Config'!$A$35:$A$42,0)),""))</f>
        <v>25</v>
      </c>
      <c r="R17" s="24" t="n">
        <v>1</v>
      </c>
      <c r="S17" s="8" t="s">
        <v>521</v>
      </c>
      <c r="T17" s="31" t="n">
        <f aca="false">IF(S17="","",MATCH(S17,'Residual Config'!$L$9:$L$12,0))</f>
        <v>2</v>
      </c>
      <c r="U17" s="8" t="s">
        <v>786</v>
      </c>
      <c r="V17" s="24" t="n">
        <v>6</v>
      </c>
      <c r="W17" s="33" t="s">
        <v>533</v>
      </c>
      <c r="X17" s="8" t="s">
        <v>754</v>
      </c>
      <c r="Y17" s="51" t="n">
        <f aca="false">IF(N17="","",EDATE(N17,IF(G17="N",INDEX('Residual Config'!$B$31:$D$31,1,MATCH(D17,'Residual Config'!$B$27:$D$27,0)),INDEX('Residual Config'!$B$28:$D$30,IF(T17=1,1,IF(T17=4,3,2)),MATCH(D17,'Residual Config'!$B$27:$D$27,0)))))</f>
        <v>46329</v>
      </c>
      <c r="Z17" s="7" t="str">
        <f aca="false">IF(I17="N/A","N/A",IF(N17="","Not tested",IF(W17="Rejected","Evidence rejected",IF(W17&lt;&gt;"Accepted","Evidence pending",IF(Y17&lt;'Residual Config'!$C$4,"Overdue","Current")))))</f>
        <v>Current</v>
      </c>
      <c r="AA17" s="34" t="n">
        <f aca="false">IF(I17="N/A","",IF(Z17&lt;&gt;"Current",4,IF(MAX(M17,T17)=0,4,MAX(M17,T17))))</f>
        <v>2</v>
      </c>
      <c r="AB17" s="7" t="str">
        <f aca="false">IF(AA17="","N/A",IF(Z17&lt;&gt;"Current","Not tested / overdue",INDEX('Residual Config'!$B$11:$B$14,AA17)))</f>
        <v>Largely effective</v>
      </c>
      <c r="AC17" s="36" t="n">
        <f aca="false">IF(AA17="","",INDEX('Residual Config'!$D$11:$D$14,AA17))</f>
        <v>0.4</v>
      </c>
      <c r="AD17" s="7" t="str">
        <f aca="false">IF(OR(I17="N/A",P17="",Q17=""),"",IF(P17&gt;=Q17,"Yes","No"))</f>
        <v>Yes</v>
      </c>
      <c r="AE17" s="8"/>
    </row>
    <row r="18" customFormat="false" ht="15" hidden="false" customHeight="false" outlineLevel="0" collapsed="false">
      <c r="A18" s="12" t="s">
        <v>787</v>
      </c>
      <c r="B18" s="26" t="str">
        <f aca="false">Entities!$A$5</f>
        <v>JO-HO</v>
      </c>
      <c r="C18" s="12" t="str">
        <f aca="false">INDEX(Entities!$B$5:$B$34,MATCH(B18,Entities!$A$5:$A$34,0))</f>
        <v>Arab Bank plc – Jordan (HO and domestic network)</v>
      </c>
      <c r="D18" s="7" t="str">
        <f aca="false">INDEX(Entities!$F$5:$F$34,MATCH(B18,Entities!$A$5:$A$34,0))</f>
        <v>Tier 1</v>
      </c>
      <c r="E18" s="26" t="str">
        <f aca="false">'Control Library'!$A$18</f>
        <v>CTL-PF-01</v>
      </c>
      <c r="F18" s="12" t="str">
        <f aca="false">INDEX('Control Library'!$B$5:$B$47,MATCH(E18,'Control Library'!$A$5:$A$47,0))</f>
        <v>Dual-use goods, vessel and port screening</v>
      </c>
      <c r="G18" s="7" t="str">
        <f aca="false">INDEX('Control Library'!$F$5:$F$47,MATCH(E18,'Control Library'!$A$5:$A$47,0))</f>
        <v>Y</v>
      </c>
      <c r="H18" s="12" t="str">
        <f aca="false">INDEX('Control Library'!$E$5:$E$47,MATCH(E18,'Control Library'!$A$5:$A$47,0))</f>
        <v>Event-driven</v>
      </c>
      <c r="I18" s="7" t="str">
        <f aca="false">IF(INDEX('Control Library'!$I$5:$I$47,MATCH(E18,'Control Library'!$A$5:$A$47,0))="All","Y",IF(INDEX('Control Library'!$I$5:$I$47,MATCH(E18,'Control Library'!$A$5:$A$47,0))="Banks only",IF(COUNTIF('Residual Config'!$L$28:$L$30,INDEX(Entities!$E$5:$E$34,MATCH(B18,Entities!$A$5:$A$34,0)))&gt;0,"N/A","Y"),IF(INDEX(Entities!$G$5:$G$34,MATCH(B18,Entities!$A$5:$A$34,0))="Y","Y","N/A")))</f>
        <v>Y</v>
      </c>
      <c r="J18" s="8" t="s">
        <v>785</v>
      </c>
      <c r="K18" s="8" t="s">
        <v>752</v>
      </c>
      <c r="L18" s="7" t="str">
        <f aca="false">IF(OR(J18="",K18=""),"",IF(J18=K18,"Breach","OK"))</f>
        <v>OK</v>
      </c>
      <c r="M18" s="24" t="n">
        <v>3</v>
      </c>
      <c r="N18" s="50" t="n">
        <v>46287</v>
      </c>
      <c r="O18" s="8" t="s">
        <v>545</v>
      </c>
      <c r="P18" s="24" t="n">
        <v>25</v>
      </c>
      <c r="Q18" s="31" t="n">
        <f aca="false">IF(I18="N/A","",IFERROR(INDEX('Residual Config'!$B$35:$B$42,MATCH(H18,'Residual Config'!$A$35:$A$42,0)),""))</f>
        <v>25</v>
      </c>
      <c r="R18" s="24" t="n">
        <v>1</v>
      </c>
      <c r="S18" s="8" t="s">
        <v>521</v>
      </c>
      <c r="T18" s="31" t="n">
        <f aca="false">IF(S18="","",MATCH(S18,'Residual Config'!$L$9:$L$12,0))</f>
        <v>2</v>
      </c>
      <c r="U18" s="8" t="s">
        <v>788</v>
      </c>
      <c r="V18" s="24" t="n">
        <v>4</v>
      </c>
      <c r="W18" s="33" t="s">
        <v>533</v>
      </c>
      <c r="X18" s="8" t="s">
        <v>760</v>
      </c>
      <c r="Y18" s="51" t="n">
        <f aca="false">IF(N18="","",EDATE(N18,IF(G18="N",INDEX('Residual Config'!$B$31:$D$31,1,MATCH(D18,'Residual Config'!$B$27:$D$27,0)),INDEX('Residual Config'!$B$28:$D$30,IF(T18=1,1,IF(T18=4,3,2)),MATCH(D18,'Residual Config'!$B$27:$D$27,0)))))</f>
        <v>46378</v>
      </c>
      <c r="Z18" s="7" t="str">
        <f aca="false">IF(I18="N/A","N/A",IF(N18="","Not tested",IF(W18="Rejected","Evidence rejected",IF(W18&lt;&gt;"Accepted","Evidence pending",IF(Y18&lt;'Residual Config'!$C$4,"Overdue","Current")))))</f>
        <v>Current</v>
      </c>
      <c r="AA18" s="34" t="n">
        <f aca="false">IF(I18="N/A","",IF(Z18&lt;&gt;"Current",4,IF(MAX(M18,T18)=0,4,MAX(M18,T18))))</f>
        <v>3</v>
      </c>
      <c r="AB18" s="7" t="str">
        <f aca="false">IF(AA18="","N/A",IF(Z18&lt;&gt;"Current","Not tested / overdue",INDEX('Residual Config'!$B$11:$B$14,AA18)))</f>
        <v>Partially effective</v>
      </c>
      <c r="AC18" s="36" t="n">
        <f aca="false">IF(AA18="","",INDEX('Residual Config'!$D$11:$D$14,AA18))</f>
        <v>0.2</v>
      </c>
      <c r="AD18" s="7" t="str">
        <f aca="false">IF(OR(I18="N/A",P18="",Q18=""),"",IF(P18&gt;=Q18,"Yes","No"))</f>
        <v>Yes</v>
      </c>
      <c r="AE18" s="8"/>
    </row>
    <row r="19" customFormat="false" ht="15" hidden="false" customHeight="false" outlineLevel="0" collapsed="false">
      <c r="A19" s="12" t="s">
        <v>789</v>
      </c>
      <c r="B19" s="26" t="str">
        <f aca="false">Entities!$A$5</f>
        <v>JO-HO</v>
      </c>
      <c r="C19" s="12" t="str">
        <f aca="false">INDEX(Entities!$B$5:$B$34,MATCH(B19,Entities!$A$5:$A$34,0))</f>
        <v>Arab Bank plc – Jordan (HO and domestic network)</v>
      </c>
      <c r="D19" s="7" t="str">
        <f aca="false">INDEX(Entities!$F$5:$F$34,MATCH(B19,Entities!$A$5:$A$34,0))</f>
        <v>Tier 1</v>
      </c>
      <c r="E19" s="26" t="str">
        <f aca="false">'Control Library'!$A$19</f>
        <v>CTL-CB-01</v>
      </c>
      <c r="F19" s="12" t="str">
        <f aca="false">INDEX('Control Library'!$B$5:$B$47,MATCH(E19,'Control Library'!$A$5:$A$47,0))</f>
        <v>Correspondent bank due diligence (CBDDQ) and nesting detection</v>
      </c>
      <c r="G19" s="7" t="str">
        <f aca="false">INDEX('Control Library'!$F$5:$F$47,MATCH(E19,'Control Library'!$A$5:$A$47,0))</f>
        <v>Y</v>
      </c>
      <c r="H19" s="12" t="str">
        <f aca="false">INDEX('Control Library'!$E$5:$E$47,MATCH(E19,'Control Library'!$A$5:$A$47,0))</f>
        <v>Annual</v>
      </c>
      <c r="I19" s="7" t="str">
        <f aca="false">IF(INDEX('Control Library'!$I$5:$I$47,MATCH(E19,'Control Library'!$A$5:$A$47,0))="All","Y",IF(INDEX('Control Library'!$I$5:$I$47,MATCH(E19,'Control Library'!$A$5:$A$47,0))="Banks only",IF(COUNTIF('Residual Config'!$L$28:$L$30,INDEX(Entities!$E$5:$E$34,MATCH(B19,Entities!$A$5:$A$34,0)))&gt;0,"N/A","Y"),IF(INDEX(Entities!$G$5:$G$34,MATCH(B19,Entities!$A$5:$A$34,0))="Y","Y","N/A")))</f>
        <v>Y</v>
      </c>
      <c r="J19" s="8" t="s">
        <v>790</v>
      </c>
      <c r="K19" s="8" t="s">
        <v>752</v>
      </c>
      <c r="L19" s="7" t="str">
        <f aca="false">IF(OR(J19="",K19=""),"",IF(J19=K19,"Breach","OK"))</f>
        <v>OK</v>
      </c>
      <c r="M19" s="24" t="n">
        <v>1</v>
      </c>
      <c r="N19" s="50" t="n">
        <v>46174</v>
      </c>
      <c r="O19" s="8" t="s">
        <v>546</v>
      </c>
      <c r="P19" s="24" t="n">
        <v>1</v>
      </c>
      <c r="Q19" s="31" t="n">
        <f aca="false">IF(I19="N/A","",IFERROR(INDEX('Residual Config'!$B$35:$B$42,MATCH(H19,'Residual Config'!$A$35:$A$42,0)),""))</f>
        <v>1</v>
      </c>
      <c r="R19" s="24" t="n">
        <v>1</v>
      </c>
      <c r="S19" s="8" t="s">
        <v>521</v>
      </c>
      <c r="T19" s="31" t="n">
        <f aca="false">IF(S19="","",MATCH(S19,'Residual Config'!$L$9:$L$12,0))</f>
        <v>2</v>
      </c>
      <c r="U19" s="8" t="s">
        <v>791</v>
      </c>
      <c r="V19" s="24" t="n">
        <v>4</v>
      </c>
      <c r="W19" s="33" t="s">
        <v>533</v>
      </c>
      <c r="X19" s="8" t="s">
        <v>754</v>
      </c>
      <c r="Y19" s="51" t="n">
        <f aca="false">IF(N19="","",EDATE(N19,IF(G19="N",INDEX('Residual Config'!$B$31:$D$31,1,MATCH(D19,'Residual Config'!$B$27:$D$27,0)),INDEX('Residual Config'!$B$28:$D$30,IF(T19=1,1,IF(T19=4,3,2)),MATCH(D19,'Residual Config'!$B$27:$D$27,0)))))</f>
        <v>46266</v>
      </c>
      <c r="Z19" s="7" t="str">
        <f aca="false">IF(I19="N/A","N/A",IF(N19="","Not tested",IF(W19="Rejected","Evidence rejected",IF(W19&lt;&gt;"Accepted","Evidence pending",IF(Y19&lt;'Residual Config'!$C$4,"Overdue","Current")))))</f>
        <v>Overdue</v>
      </c>
      <c r="AA19" s="34" t="n">
        <f aca="false">IF(I19="N/A","",IF(Z19&lt;&gt;"Current",4,IF(MAX(M19,T19)=0,4,MAX(M19,T19))))</f>
        <v>4</v>
      </c>
      <c r="AB19" s="7" t="str">
        <f aca="false">IF(AA19="","N/A",IF(Z19&lt;&gt;"Current","Not tested / overdue",INDEX('Residual Config'!$B$11:$B$14,AA19)))</f>
        <v>Not tested / overdue</v>
      </c>
      <c r="AC19" s="36" t="n">
        <f aca="false">IF(AA19="","",INDEX('Residual Config'!$D$11:$D$14,AA19))</f>
        <v>0</v>
      </c>
      <c r="AD19" s="7" t="str">
        <f aca="false">IF(OR(I19="N/A",P19="",Q19=""),"",IF(P19&gt;=Q19,"Yes","No"))</f>
        <v>Yes</v>
      </c>
      <c r="AE19" s="8"/>
    </row>
    <row r="20" customFormat="false" ht="15" hidden="false" customHeight="false" outlineLevel="0" collapsed="false">
      <c r="A20" s="12" t="s">
        <v>792</v>
      </c>
      <c r="B20" s="26" t="str">
        <f aca="false">Entities!$A$5</f>
        <v>JO-HO</v>
      </c>
      <c r="C20" s="12" t="str">
        <f aca="false">INDEX(Entities!$B$5:$B$34,MATCH(B20,Entities!$A$5:$A$34,0))</f>
        <v>Arab Bank plc – Jordan (HO and domestic network)</v>
      </c>
      <c r="D20" s="7" t="str">
        <f aca="false">INDEX(Entities!$F$5:$F$34,MATCH(B20,Entities!$A$5:$A$34,0))</f>
        <v>Tier 1</v>
      </c>
      <c r="E20" s="26" t="str">
        <f aca="false">'Control Library'!$A$20</f>
        <v>CTL-PAY-01</v>
      </c>
      <c r="F20" s="12" t="str">
        <f aca="false">INDEX('Control Library'!$B$5:$B$47,MATCH(E20,'Control Library'!$A$5:$A$47,0))</f>
        <v>Payment transparency checks (FATF R.16)</v>
      </c>
      <c r="G20" s="7" t="str">
        <f aca="false">INDEX('Control Library'!$F$5:$F$47,MATCH(E20,'Control Library'!$A$5:$A$47,0))</f>
        <v>N</v>
      </c>
      <c r="H20" s="12" t="str">
        <f aca="false">INDEX('Control Library'!$E$5:$E$47,MATCH(E20,'Control Library'!$A$5:$A$47,0))</f>
        <v>Continuous</v>
      </c>
      <c r="I20" s="7" t="str">
        <f aca="false">IF(INDEX('Control Library'!$I$5:$I$47,MATCH(E20,'Control Library'!$A$5:$A$47,0))="All","Y",IF(INDEX('Control Library'!$I$5:$I$47,MATCH(E20,'Control Library'!$A$5:$A$47,0))="Banks only",IF(COUNTIF('Residual Config'!$L$28:$L$30,INDEX(Entities!$E$5:$E$34,MATCH(B20,Entities!$A$5:$A$34,0)))&gt;0,"N/A","Y"),IF(INDEX(Entities!$G$5:$G$34,MATCH(B20,Entities!$A$5:$A$34,0))="Y","Y","N/A")))</f>
        <v>Y</v>
      </c>
      <c r="J20" s="8" t="s">
        <v>793</v>
      </c>
      <c r="K20" s="8" t="s">
        <v>764</v>
      </c>
      <c r="L20" s="7" t="str">
        <f aca="false">IF(OR(J20="",K20=""),"",IF(J20=K20,"Breach","OK"))</f>
        <v>OK</v>
      </c>
      <c r="M20" s="24" t="n">
        <v>2</v>
      </c>
      <c r="N20" s="50" t="n">
        <v>46281</v>
      </c>
      <c r="O20" s="8" t="s">
        <v>546</v>
      </c>
      <c r="P20" s="24" t="n">
        <v>1</v>
      </c>
      <c r="Q20" s="31" t="n">
        <f aca="false">IF(I20="N/A","",IFERROR(INDEX('Residual Config'!$B$35:$B$42,MATCH(H20,'Residual Config'!$A$35:$A$42,0)),""))</f>
        <v>1</v>
      </c>
      <c r="R20" s="24" t="n">
        <v>0</v>
      </c>
      <c r="S20" s="8" t="s">
        <v>516</v>
      </c>
      <c r="T20" s="31" t="n">
        <f aca="false">IF(S20="","",MATCH(S20,'Residual Config'!$L$9:$L$12,0))</f>
        <v>1</v>
      </c>
      <c r="U20" s="8" t="s">
        <v>794</v>
      </c>
      <c r="V20" s="24" t="n">
        <v>3</v>
      </c>
      <c r="W20" s="33" t="s">
        <v>533</v>
      </c>
      <c r="X20" s="8" t="s">
        <v>760</v>
      </c>
      <c r="Y20" s="51" t="n">
        <f aca="false">IF(N20="","",EDATE(N20,IF(G20="N",INDEX('Residual Config'!$B$31:$D$31,1,MATCH(D20,'Residual Config'!$B$27:$D$27,0)),INDEX('Residual Config'!$B$28:$D$30,IF(T20=1,1,IF(T20=4,3,2)),MATCH(D20,'Residual Config'!$B$27:$D$27,0)))))</f>
        <v>46646</v>
      </c>
      <c r="Z20" s="7" t="str">
        <f aca="false">IF(I20="N/A","N/A",IF(N20="","Not tested",IF(W20="Rejected","Evidence rejected",IF(W20&lt;&gt;"Accepted","Evidence pending",IF(Y20&lt;'Residual Config'!$C$4,"Overdue","Current")))))</f>
        <v>Current</v>
      </c>
      <c r="AA20" s="34" t="n">
        <f aca="false">IF(I20="N/A","",IF(Z20&lt;&gt;"Current",4,IF(MAX(M20,T20)=0,4,MAX(M20,T20))))</f>
        <v>2</v>
      </c>
      <c r="AB20" s="7" t="str">
        <f aca="false">IF(AA20="","N/A",IF(Z20&lt;&gt;"Current","Not tested / overdue",INDEX('Residual Config'!$B$11:$B$14,AA20)))</f>
        <v>Largely effective</v>
      </c>
      <c r="AC20" s="36" t="n">
        <f aca="false">IF(AA20="","",INDEX('Residual Config'!$D$11:$D$14,AA20))</f>
        <v>0.4</v>
      </c>
      <c r="AD20" s="7" t="str">
        <f aca="false">IF(OR(I20="N/A",P20="",Q20=""),"",IF(P20&gt;=Q20,"Yes","No"))</f>
        <v>Yes</v>
      </c>
      <c r="AE20" s="8"/>
    </row>
    <row r="21" customFormat="false" ht="15" hidden="false" customHeight="false" outlineLevel="0" collapsed="false">
      <c r="A21" s="12" t="s">
        <v>795</v>
      </c>
      <c r="B21" s="26" t="str">
        <f aca="false">Entities!$A$5</f>
        <v>JO-HO</v>
      </c>
      <c r="C21" s="12" t="str">
        <f aca="false">INDEX(Entities!$B$5:$B$34,MATCH(B21,Entities!$A$5:$A$34,0))</f>
        <v>Arab Bank plc – Jordan (HO and domestic network)</v>
      </c>
      <c r="D21" s="7" t="str">
        <f aca="false">INDEX(Entities!$F$5:$F$34,MATCH(B21,Entities!$A$5:$A$34,0))</f>
        <v>Tier 1</v>
      </c>
      <c r="E21" s="26" t="str">
        <f aca="false">'Control Library'!$A$21</f>
        <v>CTL-ABC-01</v>
      </c>
      <c r="F21" s="12" t="str">
        <f aca="false">INDEX('Control Library'!$B$5:$B$47,MATCH(E21,'Control Library'!$A$5:$A$47,0))</f>
        <v>Third-party and intermediary anti-bribery due diligence</v>
      </c>
      <c r="G21" s="7" t="str">
        <f aca="false">INDEX('Control Library'!$F$5:$F$47,MATCH(E21,'Control Library'!$A$5:$A$47,0))</f>
        <v>Y</v>
      </c>
      <c r="H21" s="12" t="str">
        <f aca="false">INDEX('Control Library'!$E$5:$E$47,MATCH(E21,'Control Library'!$A$5:$A$47,0))</f>
        <v>Event-driven</v>
      </c>
      <c r="I21" s="7" t="str">
        <f aca="false">IF(INDEX('Control Library'!$I$5:$I$47,MATCH(E21,'Control Library'!$A$5:$A$47,0))="All","Y",IF(INDEX('Control Library'!$I$5:$I$47,MATCH(E21,'Control Library'!$A$5:$A$47,0))="Banks only",IF(COUNTIF('Residual Config'!$L$28:$L$30,INDEX(Entities!$E$5:$E$34,MATCH(B21,Entities!$A$5:$A$34,0)))&gt;0,"N/A","Y"),IF(INDEX(Entities!$G$5:$G$34,MATCH(B21,Entities!$A$5:$A$34,0))="Y","Y","N/A")))</f>
        <v>Y</v>
      </c>
      <c r="J21" s="8" t="s">
        <v>796</v>
      </c>
      <c r="K21" s="8" t="s">
        <v>752</v>
      </c>
      <c r="L21" s="7" t="str">
        <f aca="false">IF(OR(J21="",K21=""),"",IF(J21=K21,"Breach","OK"))</f>
        <v>OK</v>
      </c>
      <c r="M21" s="24" t="n">
        <v>1</v>
      </c>
      <c r="N21" s="50" t="n">
        <v>46146</v>
      </c>
      <c r="O21" s="8" t="s">
        <v>546</v>
      </c>
      <c r="P21" s="24" t="n">
        <v>25</v>
      </c>
      <c r="Q21" s="31" t="n">
        <f aca="false">IF(I21="N/A","",IFERROR(INDEX('Residual Config'!$B$35:$B$42,MATCH(H21,'Residual Config'!$A$35:$A$42,0)),""))</f>
        <v>25</v>
      </c>
      <c r="R21" s="24" t="n">
        <v>0</v>
      </c>
      <c r="S21" s="8" t="s">
        <v>516</v>
      </c>
      <c r="T21" s="31" t="n">
        <f aca="false">IF(S21="","",MATCH(S21,'Residual Config'!$L$9:$L$12,0))</f>
        <v>1</v>
      </c>
      <c r="U21" s="8" t="s">
        <v>797</v>
      </c>
      <c r="V21" s="24" t="n">
        <v>3</v>
      </c>
      <c r="W21" s="33" t="s">
        <v>533</v>
      </c>
      <c r="X21" s="8" t="s">
        <v>754</v>
      </c>
      <c r="Y21" s="51" t="n">
        <f aca="false">IF(N21="","",EDATE(N21,IF(G21="N",INDEX('Residual Config'!$B$31:$D$31,1,MATCH(D21,'Residual Config'!$B$27:$D$27,0)),INDEX('Residual Config'!$B$28:$D$30,IF(T21=1,1,IF(T21=4,3,2)),MATCH(D21,'Residual Config'!$B$27:$D$27,0)))))</f>
        <v>46330</v>
      </c>
      <c r="Z21" s="7" t="str">
        <f aca="false">IF(I21="N/A","N/A",IF(N21="","Not tested",IF(W21="Rejected","Evidence rejected",IF(W21&lt;&gt;"Accepted","Evidence pending",IF(Y21&lt;'Residual Config'!$C$4,"Overdue","Current")))))</f>
        <v>Current</v>
      </c>
      <c r="AA21" s="34" t="n">
        <f aca="false">IF(I21="N/A","",IF(Z21&lt;&gt;"Current",4,IF(MAX(M21,T21)=0,4,MAX(M21,T21))))</f>
        <v>1</v>
      </c>
      <c r="AB21" s="7" t="str">
        <f aca="false">IF(AA21="","N/A",IF(Z21&lt;&gt;"Current","Not tested / overdue",INDEX('Residual Config'!$B$11:$B$14,AA21)))</f>
        <v>Effective</v>
      </c>
      <c r="AC21" s="36" t="n">
        <f aca="false">IF(AA21="","",INDEX('Residual Config'!$D$11:$D$14,AA21))</f>
        <v>0.6</v>
      </c>
      <c r="AD21" s="7" t="str">
        <f aca="false">IF(OR(I21="N/A",P21="",Q21=""),"",IF(P21&gt;=Q21,"Yes","No"))</f>
        <v>Yes</v>
      </c>
      <c r="AE21" s="8"/>
    </row>
    <row r="22" customFormat="false" ht="15" hidden="false" customHeight="false" outlineLevel="0" collapsed="false">
      <c r="A22" s="12" t="s">
        <v>798</v>
      </c>
      <c r="B22" s="26" t="str">
        <f aca="false">Entities!$A$5</f>
        <v>JO-HO</v>
      </c>
      <c r="C22" s="12" t="str">
        <f aca="false">INDEX(Entities!$B$5:$B$34,MATCH(B22,Entities!$A$5:$A$34,0))</f>
        <v>Arab Bank plc – Jordan (HO and domestic network)</v>
      </c>
      <c r="D22" s="7" t="str">
        <f aca="false">INDEX(Entities!$F$5:$F$34,MATCH(B22,Entities!$A$5:$A$34,0))</f>
        <v>Tier 1</v>
      </c>
      <c r="E22" s="26" t="str">
        <f aca="false">'Control Library'!$A$22</f>
        <v>CTL-ABC-02</v>
      </c>
      <c r="F22" s="12" t="str">
        <f aca="false">INDEX('Control Library'!$B$5:$B$47,MATCH(E22,'Control Library'!$A$5:$A$47,0))</f>
        <v>Gifts, hospitality and donations register with pre-approval</v>
      </c>
      <c r="G22" s="7" t="str">
        <f aca="false">INDEX('Control Library'!$F$5:$F$47,MATCH(E22,'Control Library'!$A$5:$A$47,0))</f>
        <v>N</v>
      </c>
      <c r="H22" s="12" t="str">
        <f aca="false">INDEX('Control Library'!$E$5:$E$47,MATCH(E22,'Control Library'!$A$5:$A$47,0))</f>
        <v>Event-driven</v>
      </c>
      <c r="I22" s="7" t="str">
        <f aca="false">IF(INDEX('Control Library'!$I$5:$I$47,MATCH(E22,'Control Library'!$A$5:$A$47,0))="All","Y",IF(INDEX('Control Library'!$I$5:$I$47,MATCH(E22,'Control Library'!$A$5:$A$47,0))="Banks only",IF(COUNTIF('Residual Config'!$L$28:$L$30,INDEX(Entities!$E$5:$E$34,MATCH(B22,Entities!$A$5:$A$34,0)))&gt;0,"N/A","Y"),IF(INDEX(Entities!$G$5:$G$34,MATCH(B22,Entities!$A$5:$A$34,0))="Y","Y","N/A")))</f>
        <v>Y</v>
      </c>
      <c r="J22" s="8" t="s">
        <v>756</v>
      </c>
      <c r="K22" s="8" t="s">
        <v>764</v>
      </c>
      <c r="L22" s="7" t="str">
        <f aca="false">IF(OR(J22="",K22=""),"",IF(J22=K22,"Breach","OK"))</f>
        <v>OK</v>
      </c>
      <c r="M22" s="24" t="n">
        <v>1</v>
      </c>
      <c r="N22" s="50" t="n">
        <v>46287</v>
      </c>
      <c r="O22" s="8" t="s">
        <v>545</v>
      </c>
      <c r="P22" s="24" t="n">
        <v>35</v>
      </c>
      <c r="Q22" s="31" t="n">
        <f aca="false">IF(I22="N/A","",IFERROR(INDEX('Residual Config'!$B$35:$B$42,MATCH(H22,'Residual Config'!$A$35:$A$42,0)),""))</f>
        <v>25</v>
      </c>
      <c r="R22" s="24" t="n">
        <v>1</v>
      </c>
      <c r="S22" s="8" t="s">
        <v>521</v>
      </c>
      <c r="T22" s="31" t="n">
        <f aca="false">IF(S22="","",MATCH(S22,'Residual Config'!$L$9:$L$12,0))</f>
        <v>2</v>
      </c>
      <c r="U22" s="8" t="s">
        <v>799</v>
      </c>
      <c r="V22" s="24" t="n">
        <v>1</v>
      </c>
      <c r="W22" s="33" t="s">
        <v>533</v>
      </c>
      <c r="X22" s="8" t="s">
        <v>760</v>
      </c>
      <c r="Y22" s="51" t="n">
        <f aca="false">IF(N22="","",EDATE(N22,IF(G22="N",INDEX('Residual Config'!$B$31:$D$31,1,MATCH(D22,'Residual Config'!$B$27:$D$27,0)),INDEX('Residual Config'!$B$28:$D$30,IF(T22=1,1,IF(T22=4,3,2)),MATCH(D22,'Residual Config'!$B$27:$D$27,0)))))</f>
        <v>46652</v>
      </c>
      <c r="Z22" s="7" t="str">
        <f aca="false">IF(I22="N/A","N/A",IF(N22="","Not tested",IF(W22="Rejected","Evidence rejected",IF(W22&lt;&gt;"Accepted","Evidence pending",IF(Y22&lt;'Residual Config'!$C$4,"Overdue","Current")))))</f>
        <v>Current</v>
      </c>
      <c r="AA22" s="34" t="n">
        <f aca="false">IF(I22="N/A","",IF(Z22&lt;&gt;"Current",4,IF(MAX(M22,T22)=0,4,MAX(M22,T22))))</f>
        <v>2</v>
      </c>
      <c r="AB22" s="7" t="str">
        <f aca="false">IF(AA22="","N/A",IF(Z22&lt;&gt;"Current","Not tested / overdue",INDEX('Residual Config'!$B$11:$B$14,AA22)))</f>
        <v>Largely effective</v>
      </c>
      <c r="AC22" s="36" t="n">
        <f aca="false">IF(AA22="","",INDEX('Residual Config'!$D$11:$D$14,AA22))</f>
        <v>0.4</v>
      </c>
      <c r="AD22" s="7" t="str">
        <f aca="false">IF(OR(I22="N/A",P22="",Q22=""),"",IF(P22&gt;=Q22,"Yes","No"))</f>
        <v>Yes</v>
      </c>
      <c r="AE22" s="8"/>
    </row>
    <row r="23" customFormat="false" ht="15" hidden="false" customHeight="false" outlineLevel="0" collapsed="false">
      <c r="A23" s="12" t="s">
        <v>800</v>
      </c>
      <c r="B23" s="26" t="str">
        <f aca="false">Entities!$A$5</f>
        <v>JO-HO</v>
      </c>
      <c r="C23" s="12" t="str">
        <f aca="false">INDEX(Entities!$B$5:$B$34,MATCH(B23,Entities!$A$5:$A$34,0))</f>
        <v>Arab Bank plc – Jordan (HO and domestic network)</v>
      </c>
      <c r="D23" s="7" t="str">
        <f aca="false">INDEX(Entities!$F$5:$F$34,MATCH(B23,Entities!$A$5:$A$34,0))</f>
        <v>Tier 1</v>
      </c>
      <c r="E23" s="26" t="str">
        <f aca="false">'Control Library'!$A$23</f>
        <v>CTL-FRD-01</v>
      </c>
      <c r="F23" s="12" t="str">
        <f aca="false">INDEX('Control Library'!$B$5:$B$47,MATCH(E23,'Control Library'!$A$5:$A$47,0))</f>
        <v>Real-time fraud monitoring for cards and digital channels</v>
      </c>
      <c r="G23" s="7" t="str">
        <f aca="false">INDEX('Control Library'!$F$5:$F$47,MATCH(E23,'Control Library'!$A$5:$A$47,0))</f>
        <v>Y</v>
      </c>
      <c r="H23" s="12" t="str">
        <f aca="false">INDEX('Control Library'!$E$5:$E$47,MATCH(E23,'Control Library'!$A$5:$A$47,0))</f>
        <v>Continuous</v>
      </c>
      <c r="I23" s="7" t="str">
        <f aca="false">IF(INDEX('Control Library'!$I$5:$I$47,MATCH(E23,'Control Library'!$A$5:$A$47,0))="All","Y",IF(INDEX('Control Library'!$I$5:$I$47,MATCH(E23,'Control Library'!$A$5:$A$47,0))="Banks only",IF(COUNTIF('Residual Config'!$L$28:$L$30,INDEX(Entities!$E$5:$E$34,MATCH(B23,Entities!$A$5:$A$34,0)))&gt;0,"N/A","Y"),IF(INDEX(Entities!$G$5:$G$34,MATCH(B23,Entities!$A$5:$A$34,0))="Y","Y","N/A")))</f>
        <v>Y</v>
      </c>
      <c r="J23" s="8" t="s">
        <v>801</v>
      </c>
      <c r="K23" s="8" t="s">
        <v>752</v>
      </c>
      <c r="L23" s="7" t="str">
        <f aca="false">IF(OR(J23="",K23=""),"",IF(J23=K23,"Breach","OK"))</f>
        <v>OK</v>
      </c>
      <c r="M23" s="24" t="n">
        <v>2</v>
      </c>
      <c r="N23" s="50" t="n">
        <v>46282</v>
      </c>
      <c r="O23" s="8" t="s">
        <v>546</v>
      </c>
      <c r="P23" s="24" t="n">
        <v>1</v>
      </c>
      <c r="Q23" s="31" t="n">
        <f aca="false">IF(I23="N/A","",IFERROR(INDEX('Residual Config'!$B$35:$B$42,MATCH(H23,'Residual Config'!$A$35:$A$42,0)),""))</f>
        <v>1</v>
      </c>
      <c r="R23" s="24" t="n">
        <v>0</v>
      </c>
      <c r="S23" s="8" t="s">
        <v>516</v>
      </c>
      <c r="T23" s="31" t="n">
        <f aca="false">IF(S23="","",MATCH(S23,'Residual Config'!$L$9:$L$12,0))</f>
        <v>1</v>
      </c>
      <c r="U23" s="8" t="s">
        <v>802</v>
      </c>
      <c r="V23" s="24" t="n">
        <v>2</v>
      </c>
      <c r="W23" s="33" t="s">
        <v>533</v>
      </c>
      <c r="X23" s="8" t="s">
        <v>760</v>
      </c>
      <c r="Y23" s="51" t="n">
        <f aca="false">IF(N23="","",EDATE(N23,IF(G23="N",INDEX('Residual Config'!$B$31:$D$31,1,MATCH(D23,'Residual Config'!$B$27:$D$27,0)),INDEX('Residual Config'!$B$28:$D$30,IF(T23=1,1,IF(T23=4,3,2)),MATCH(D23,'Residual Config'!$B$27:$D$27,0)))))</f>
        <v>46463</v>
      </c>
      <c r="Z23" s="7" t="str">
        <f aca="false">IF(I23="N/A","N/A",IF(N23="","Not tested",IF(W23="Rejected","Evidence rejected",IF(W23&lt;&gt;"Accepted","Evidence pending",IF(Y23&lt;'Residual Config'!$C$4,"Overdue","Current")))))</f>
        <v>Current</v>
      </c>
      <c r="AA23" s="34" t="n">
        <f aca="false">IF(I23="N/A","",IF(Z23&lt;&gt;"Current",4,IF(MAX(M23,T23)=0,4,MAX(M23,T23))))</f>
        <v>2</v>
      </c>
      <c r="AB23" s="7" t="str">
        <f aca="false">IF(AA23="","N/A",IF(Z23&lt;&gt;"Current","Not tested / overdue",INDEX('Residual Config'!$B$11:$B$14,AA23)))</f>
        <v>Largely effective</v>
      </c>
      <c r="AC23" s="36" t="n">
        <f aca="false">IF(AA23="","",INDEX('Residual Config'!$D$11:$D$14,AA23))</f>
        <v>0.4</v>
      </c>
      <c r="AD23" s="7" t="str">
        <f aca="false">IF(OR(I23="N/A",P23="",Q23=""),"",IF(P23&gt;=Q23,"Yes","No"))</f>
        <v>Yes</v>
      </c>
      <c r="AE23" s="8"/>
    </row>
    <row r="24" customFormat="false" ht="15" hidden="false" customHeight="false" outlineLevel="0" collapsed="false">
      <c r="A24" s="12" t="s">
        <v>803</v>
      </c>
      <c r="B24" s="26" t="str">
        <f aca="false">Entities!$A$5</f>
        <v>JO-HO</v>
      </c>
      <c r="C24" s="12" t="str">
        <f aca="false">INDEX(Entities!$B$5:$B$34,MATCH(B24,Entities!$A$5:$A$34,0))</f>
        <v>Arab Bank plc – Jordan (HO and domestic network)</v>
      </c>
      <c r="D24" s="7" t="str">
        <f aca="false">INDEX(Entities!$F$5:$F$34,MATCH(B24,Entities!$A$5:$A$34,0))</f>
        <v>Tier 1</v>
      </c>
      <c r="E24" s="26" t="str">
        <f aca="false">'Control Library'!$A$24</f>
        <v>CTL-FRD-02</v>
      </c>
      <c r="F24" s="12" t="str">
        <f aca="false">INDEX('Control Library'!$B$5:$B$47,MATCH(E24,'Control Library'!$A$5:$A$47,0))</f>
        <v>Maker-checker and dual control on payments and static data</v>
      </c>
      <c r="G24" s="7" t="str">
        <f aca="false">INDEX('Control Library'!$F$5:$F$47,MATCH(E24,'Control Library'!$A$5:$A$47,0))</f>
        <v>Y</v>
      </c>
      <c r="H24" s="12" t="str">
        <f aca="false">INDEX('Control Library'!$E$5:$E$47,MATCH(E24,'Control Library'!$A$5:$A$47,0))</f>
        <v>Daily</v>
      </c>
      <c r="I24" s="7" t="str">
        <f aca="false">IF(INDEX('Control Library'!$I$5:$I$47,MATCH(E24,'Control Library'!$A$5:$A$47,0))="All","Y",IF(INDEX('Control Library'!$I$5:$I$47,MATCH(E24,'Control Library'!$A$5:$A$47,0))="Banks only",IF(COUNTIF('Residual Config'!$L$28:$L$30,INDEX(Entities!$E$5:$E$34,MATCH(B24,Entities!$A$5:$A$34,0)))&gt;0,"N/A","Y"),IF(INDEX(Entities!$G$5:$G$34,MATCH(B24,Entities!$A$5:$A$34,0))="Y","Y","N/A")))</f>
        <v>Y</v>
      </c>
      <c r="J24" s="8" t="s">
        <v>751</v>
      </c>
      <c r="K24" s="8" t="s">
        <v>752</v>
      </c>
      <c r="L24" s="7" t="str">
        <f aca="false">IF(OR(J24="",K24=""),"",IF(J24=K24,"Breach","OK"))</f>
        <v>OK</v>
      </c>
      <c r="M24" s="24" t="n">
        <v>1</v>
      </c>
      <c r="N24" s="50" t="n">
        <v>46168</v>
      </c>
      <c r="O24" s="8" t="s">
        <v>545</v>
      </c>
      <c r="P24" s="24" t="n">
        <v>25</v>
      </c>
      <c r="Q24" s="31" t="n">
        <f aca="false">IF(I24="N/A","",IFERROR(INDEX('Residual Config'!$B$35:$B$42,MATCH(H24,'Residual Config'!$A$35:$A$42,0)),""))</f>
        <v>25</v>
      </c>
      <c r="R24" s="24" t="n">
        <v>0</v>
      </c>
      <c r="S24" s="8" t="s">
        <v>516</v>
      </c>
      <c r="T24" s="31" t="n">
        <f aca="false">IF(S24="","",MATCH(S24,'Residual Config'!$L$9:$L$12,0))</f>
        <v>1</v>
      </c>
      <c r="U24" s="8" t="s">
        <v>804</v>
      </c>
      <c r="V24" s="24" t="n">
        <v>2</v>
      </c>
      <c r="W24" s="33" t="s">
        <v>533</v>
      </c>
      <c r="X24" s="8" t="s">
        <v>754</v>
      </c>
      <c r="Y24" s="51" t="n">
        <f aca="false">IF(N24="","",EDATE(N24,IF(G24="N",INDEX('Residual Config'!$B$31:$D$31,1,MATCH(D24,'Residual Config'!$B$27:$D$27,0)),INDEX('Residual Config'!$B$28:$D$30,IF(T24=1,1,IF(T24=4,3,2)),MATCH(D24,'Residual Config'!$B$27:$D$27,0)))))</f>
        <v>46352</v>
      </c>
      <c r="Z24" s="7" t="str">
        <f aca="false">IF(I24="N/A","N/A",IF(N24="","Not tested",IF(W24="Rejected","Evidence rejected",IF(W24&lt;&gt;"Accepted","Evidence pending",IF(Y24&lt;'Residual Config'!$C$4,"Overdue","Current")))))</f>
        <v>Current</v>
      </c>
      <c r="AA24" s="34" t="n">
        <f aca="false">IF(I24="N/A","",IF(Z24&lt;&gt;"Current",4,IF(MAX(M24,T24)=0,4,MAX(M24,T24))))</f>
        <v>1</v>
      </c>
      <c r="AB24" s="7" t="str">
        <f aca="false">IF(AA24="","N/A",IF(Z24&lt;&gt;"Current","Not tested / overdue",INDEX('Residual Config'!$B$11:$B$14,AA24)))</f>
        <v>Effective</v>
      </c>
      <c r="AC24" s="36" t="n">
        <f aca="false">IF(AA24="","",INDEX('Residual Config'!$D$11:$D$14,AA24))</f>
        <v>0.6</v>
      </c>
      <c r="AD24" s="7" t="str">
        <f aca="false">IF(OR(I24="N/A",P24="",Q24=""),"",IF(P24&gt;=Q24,"Yes","No"))</f>
        <v>Yes</v>
      </c>
      <c r="AE24" s="8"/>
    </row>
    <row r="25" customFormat="false" ht="15" hidden="false" customHeight="false" outlineLevel="0" collapsed="false">
      <c r="A25" s="12" t="s">
        <v>805</v>
      </c>
      <c r="B25" s="26" t="str">
        <f aca="false">Entities!$A$5</f>
        <v>JO-HO</v>
      </c>
      <c r="C25" s="12" t="str">
        <f aca="false">INDEX(Entities!$B$5:$B$34,MATCH(B25,Entities!$A$5:$A$34,0))</f>
        <v>Arab Bank plc – Jordan (HO and domestic network)</v>
      </c>
      <c r="D25" s="7" t="str">
        <f aca="false">INDEX(Entities!$F$5:$F$34,MATCH(B25,Entities!$A$5:$A$34,0))</f>
        <v>Tier 1</v>
      </c>
      <c r="E25" s="26" t="str">
        <f aca="false">'Control Library'!$A$25</f>
        <v>CTL-FRD-03</v>
      </c>
      <c r="F25" s="12" t="str">
        <f aca="false">INDEX('Control Library'!$B$5:$B$47,MATCH(E25,'Control Library'!$A$5:$A$47,0))</f>
        <v>Mandatory consecutive leave and rotation for sensitive roles</v>
      </c>
      <c r="G25" s="7" t="str">
        <f aca="false">INDEX('Control Library'!$F$5:$F$47,MATCH(E25,'Control Library'!$A$5:$A$47,0))</f>
        <v>N</v>
      </c>
      <c r="H25" s="12" t="str">
        <f aca="false">INDEX('Control Library'!$E$5:$E$47,MATCH(E25,'Control Library'!$A$5:$A$47,0))</f>
        <v>Annual</v>
      </c>
      <c r="I25" s="7" t="str">
        <f aca="false">IF(INDEX('Control Library'!$I$5:$I$47,MATCH(E25,'Control Library'!$A$5:$A$47,0))="All","Y",IF(INDEX('Control Library'!$I$5:$I$47,MATCH(E25,'Control Library'!$A$5:$A$47,0))="Banks only",IF(COUNTIF('Residual Config'!$L$28:$L$30,INDEX(Entities!$E$5:$E$34,MATCH(B25,Entities!$A$5:$A$34,0)))&gt;0,"N/A","Y"),IF(INDEX(Entities!$G$5:$G$34,MATCH(B25,Entities!$A$5:$A$34,0))="Y","Y","N/A")))</f>
        <v>Y</v>
      </c>
      <c r="J25" s="8" t="s">
        <v>806</v>
      </c>
      <c r="K25" s="8" t="s">
        <v>764</v>
      </c>
      <c r="L25" s="7" t="str">
        <f aca="false">IF(OR(J25="",K25=""),"",IF(J25=K25,"Breach","OK"))</f>
        <v>OK</v>
      </c>
      <c r="M25" s="24" t="n">
        <v>1</v>
      </c>
      <c r="N25" s="50" t="n">
        <v>45999</v>
      </c>
      <c r="O25" s="8" t="s">
        <v>545</v>
      </c>
      <c r="P25" s="24" t="n">
        <v>1</v>
      </c>
      <c r="Q25" s="31" t="n">
        <f aca="false">IF(I25="N/A","",IFERROR(INDEX('Residual Config'!$B$35:$B$42,MATCH(H25,'Residual Config'!$A$35:$A$42,0)),""))</f>
        <v>1</v>
      </c>
      <c r="R25" s="24" t="n">
        <v>1</v>
      </c>
      <c r="S25" s="8" t="s">
        <v>521</v>
      </c>
      <c r="T25" s="31" t="n">
        <f aca="false">IF(S25="","",MATCH(S25,'Residual Config'!$L$9:$L$12,0))</f>
        <v>2</v>
      </c>
      <c r="U25" s="8" t="s">
        <v>807</v>
      </c>
      <c r="V25" s="24" t="n">
        <v>6</v>
      </c>
      <c r="W25" s="33" t="s">
        <v>533</v>
      </c>
      <c r="X25" s="8" t="s">
        <v>754</v>
      </c>
      <c r="Y25" s="51" t="n">
        <f aca="false">IF(N25="","",EDATE(N25,IF(G25="N",INDEX('Residual Config'!$B$31:$D$31,1,MATCH(D25,'Residual Config'!$B$27:$D$27,0)),INDEX('Residual Config'!$B$28:$D$30,IF(T25=1,1,IF(T25=4,3,2)),MATCH(D25,'Residual Config'!$B$27:$D$27,0)))))</f>
        <v>46364</v>
      </c>
      <c r="Z25" s="7" t="str">
        <f aca="false">IF(I25="N/A","N/A",IF(N25="","Not tested",IF(W25="Rejected","Evidence rejected",IF(W25&lt;&gt;"Accepted","Evidence pending",IF(Y25&lt;'Residual Config'!$C$4,"Overdue","Current")))))</f>
        <v>Current</v>
      </c>
      <c r="AA25" s="34" t="n">
        <f aca="false">IF(I25="N/A","",IF(Z25&lt;&gt;"Current",4,IF(MAX(M25,T25)=0,4,MAX(M25,T25))))</f>
        <v>2</v>
      </c>
      <c r="AB25" s="7" t="str">
        <f aca="false">IF(AA25="","N/A",IF(Z25&lt;&gt;"Current","Not tested / overdue",INDEX('Residual Config'!$B$11:$B$14,AA25)))</f>
        <v>Largely effective</v>
      </c>
      <c r="AC25" s="36" t="n">
        <f aca="false">IF(AA25="","",INDEX('Residual Config'!$D$11:$D$14,AA25))</f>
        <v>0.4</v>
      </c>
      <c r="AD25" s="7" t="str">
        <f aca="false">IF(OR(I25="N/A",P25="",Q25=""),"",IF(P25&gt;=Q25,"Yes","No"))</f>
        <v>Yes</v>
      </c>
      <c r="AE25" s="8"/>
    </row>
    <row r="26" customFormat="false" ht="15" hidden="false" customHeight="false" outlineLevel="0" collapsed="false">
      <c r="A26" s="12" t="s">
        <v>808</v>
      </c>
      <c r="B26" s="26" t="str">
        <f aca="false">Entities!$A$5</f>
        <v>JO-HO</v>
      </c>
      <c r="C26" s="12" t="str">
        <f aca="false">INDEX(Entities!$B$5:$B$34,MATCH(B26,Entities!$A$5:$A$34,0))</f>
        <v>Arab Bank plc – Jordan (HO and domestic network)</v>
      </c>
      <c r="D26" s="7" t="str">
        <f aca="false">INDEX(Entities!$F$5:$F$34,MATCH(B26,Entities!$A$5:$A$34,0))</f>
        <v>Tier 1</v>
      </c>
      <c r="E26" s="26" t="str">
        <f aca="false">'Control Library'!$A$26</f>
        <v>CTL-TAX-01</v>
      </c>
      <c r="F26" s="12" t="str">
        <f aca="false">INDEX('Control Library'!$B$5:$B$47,MATCH(E26,'Control Library'!$A$5:$A$47,0))</f>
        <v>FATCA/CRS self-certification and classification</v>
      </c>
      <c r="G26" s="7" t="str">
        <f aca="false">INDEX('Control Library'!$F$5:$F$47,MATCH(E26,'Control Library'!$A$5:$A$47,0))</f>
        <v>Y</v>
      </c>
      <c r="H26" s="12" t="str">
        <f aca="false">INDEX('Control Library'!$E$5:$E$47,MATCH(E26,'Control Library'!$A$5:$A$47,0))</f>
        <v>Event-driven</v>
      </c>
      <c r="I26" s="7" t="str">
        <f aca="false">IF(INDEX('Control Library'!$I$5:$I$47,MATCH(E26,'Control Library'!$A$5:$A$47,0))="All","Y",IF(INDEX('Control Library'!$I$5:$I$47,MATCH(E26,'Control Library'!$A$5:$A$47,0))="Banks only",IF(COUNTIF('Residual Config'!$L$28:$L$30,INDEX(Entities!$E$5:$E$34,MATCH(B26,Entities!$A$5:$A$34,0)))&gt;0,"N/A","Y"),IF(INDEX(Entities!$G$5:$G$34,MATCH(B26,Entities!$A$5:$A$34,0))="Y","Y","N/A")))</f>
        <v>Y</v>
      </c>
      <c r="J26" s="8" t="s">
        <v>751</v>
      </c>
      <c r="K26" s="8" t="s">
        <v>752</v>
      </c>
      <c r="L26" s="7" t="str">
        <f aca="false">IF(OR(J26="",K26=""),"",IF(J26=K26,"Breach","OK"))</f>
        <v>OK</v>
      </c>
      <c r="M26" s="24" t="n">
        <v>1</v>
      </c>
      <c r="N26" s="50" t="n">
        <v>46255</v>
      </c>
      <c r="O26" s="8" t="s">
        <v>545</v>
      </c>
      <c r="P26" s="24" t="n">
        <v>30</v>
      </c>
      <c r="Q26" s="31" t="n">
        <f aca="false">IF(I26="N/A","",IFERROR(INDEX('Residual Config'!$B$35:$B$42,MATCH(H26,'Residual Config'!$A$35:$A$42,0)),""))</f>
        <v>25</v>
      </c>
      <c r="R26" s="24" t="n">
        <v>1</v>
      </c>
      <c r="S26" s="8" t="s">
        <v>521</v>
      </c>
      <c r="T26" s="31" t="n">
        <f aca="false">IF(S26="","",MATCH(S26,'Residual Config'!$L$9:$L$12,0))</f>
        <v>2</v>
      </c>
      <c r="U26" s="8" t="s">
        <v>809</v>
      </c>
      <c r="V26" s="24" t="n">
        <v>2</v>
      </c>
      <c r="W26" s="33" t="s">
        <v>533</v>
      </c>
      <c r="X26" s="8" t="s">
        <v>760</v>
      </c>
      <c r="Y26" s="51" t="n">
        <f aca="false">IF(N26="","",EDATE(N26,IF(G26="N",INDEX('Residual Config'!$B$31:$D$31,1,MATCH(D26,'Residual Config'!$B$27:$D$27,0)),INDEX('Residual Config'!$B$28:$D$30,IF(T26=1,1,IF(T26=4,3,2)),MATCH(D26,'Residual Config'!$B$27:$D$27,0)))))</f>
        <v>46347</v>
      </c>
      <c r="Z26" s="7" t="str">
        <f aca="false">IF(I26="N/A","N/A",IF(N26="","Not tested",IF(W26="Rejected","Evidence rejected",IF(W26&lt;&gt;"Accepted","Evidence pending",IF(Y26&lt;'Residual Config'!$C$4,"Overdue","Current")))))</f>
        <v>Current</v>
      </c>
      <c r="AA26" s="34" t="n">
        <f aca="false">IF(I26="N/A","",IF(Z26&lt;&gt;"Current",4,IF(MAX(M26,T26)=0,4,MAX(M26,T26))))</f>
        <v>2</v>
      </c>
      <c r="AB26" s="7" t="str">
        <f aca="false">IF(AA26="","N/A",IF(Z26&lt;&gt;"Current","Not tested / overdue",INDEX('Residual Config'!$B$11:$B$14,AA26)))</f>
        <v>Largely effective</v>
      </c>
      <c r="AC26" s="36" t="n">
        <f aca="false">IF(AA26="","",INDEX('Residual Config'!$D$11:$D$14,AA26))</f>
        <v>0.4</v>
      </c>
      <c r="AD26" s="7" t="str">
        <f aca="false">IF(OR(I26="N/A",P26="",Q26=""),"",IF(P26&gt;=Q26,"Yes","No"))</f>
        <v>Yes</v>
      </c>
      <c r="AE26" s="8"/>
    </row>
    <row r="27" customFormat="false" ht="15" hidden="false" customHeight="false" outlineLevel="0" collapsed="false">
      <c r="A27" s="12" t="s">
        <v>810</v>
      </c>
      <c r="B27" s="26" t="str">
        <f aca="false">Entities!$A$5</f>
        <v>JO-HO</v>
      </c>
      <c r="C27" s="12" t="str">
        <f aca="false">INDEX(Entities!$B$5:$B$34,MATCH(B27,Entities!$A$5:$A$34,0))</f>
        <v>Arab Bank plc – Jordan (HO and domestic network)</v>
      </c>
      <c r="D27" s="7" t="str">
        <f aca="false">INDEX(Entities!$F$5:$F$34,MATCH(B27,Entities!$A$5:$A$34,0))</f>
        <v>Tier 1</v>
      </c>
      <c r="E27" s="26" t="str">
        <f aca="false">'Control Library'!$A$27</f>
        <v>CTL-TAX-02</v>
      </c>
      <c r="F27" s="12" t="str">
        <f aca="false">INDEX('Control Library'!$B$5:$B$47,MATCH(E27,'Control Library'!$A$5:$A$47,0))</f>
        <v>FATCA/CRS reporting reconciliation and timely filing</v>
      </c>
      <c r="G27" s="7" t="str">
        <f aca="false">INDEX('Control Library'!$F$5:$F$47,MATCH(E27,'Control Library'!$A$5:$A$47,0))</f>
        <v>N</v>
      </c>
      <c r="H27" s="12" t="str">
        <f aca="false">INDEX('Control Library'!$E$5:$E$47,MATCH(E27,'Control Library'!$A$5:$A$47,0))</f>
        <v>Annual</v>
      </c>
      <c r="I27" s="7" t="str">
        <f aca="false">IF(INDEX('Control Library'!$I$5:$I$47,MATCH(E27,'Control Library'!$A$5:$A$47,0))="All","Y",IF(INDEX('Control Library'!$I$5:$I$47,MATCH(E27,'Control Library'!$A$5:$A$47,0))="Banks only",IF(COUNTIF('Residual Config'!$L$28:$L$30,INDEX(Entities!$E$5:$E$34,MATCH(B27,Entities!$A$5:$A$34,0)))&gt;0,"N/A","Y"),IF(INDEX(Entities!$G$5:$G$34,MATCH(B27,Entities!$A$5:$A$34,0))="Y","Y","N/A")))</f>
        <v>Y</v>
      </c>
      <c r="J27" s="8" t="s">
        <v>811</v>
      </c>
      <c r="K27" s="8" t="s">
        <v>764</v>
      </c>
      <c r="L27" s="7" t="str">
        <f aca="false">IF(OR(J27="",K27=""),"",IF(J27=K27,"Breach","OK"))</f>
        <v>OK</v>
      </c>
      <c r="M27" s="24" t="n">
        <v>2</v>
      </c>
      <c r="N27" s="50" t="n">
        <v>46139</v>
      </c>
      <c r="O27" s="8" t="s">
        <v>545</v>
      </c>
      <c r="P27" s="24" t="n">
        <v>1</v>
      </c>
      <c r="Q27" s="31" t="n">
        <f aca="false">IF(I27="N/A","",IFERROR(INDEX('Residual Config'!$B$35:$B$42,MATCH(H27,'Residual Config'!$A$35:$A$42,0)),""))</f>
        <v>1</v>
      </c>
      <c r="R27" s="24" t="n">
        <v>1</v>
      </c>
      <c r="S27" s="8" t="s">
        <v>521</v>
      </c>
      <c r="T27" s="31" t="n">
        <f aca="false">IF(S27="","",MATCH(S27,'Residual Config'!$L$9:$L$12,0))</f>
        <v>2</v>
      </c>
      <c r="U27" s="8" t="s">
        <v>812</v>
      </c>
      <c r="V27" s="24" t="n">
        <v>3</v>
      </c>
      <c r="W27" s="33" t="s">
        <v>533</v>
      </c>
      <c r="X27" s="8" t="s">
        <v>754</v>
      </c>
      <c r="Y27" s="51" t="n">
        <f aca="false">IF(N27="","",EDATE(N27,IF(G27="N",INDEX('Residual Config'!$B$31:$D$31,1,MATCH(D27,'Residual Config'!$B$27:$D$27,0)),INDEX('Residual Config'!$B$28:$D$30,IF(T27=1,1,IF(T27=4,3,2)),MATCH(D27,'Residual Config'!$B$27:$D$27,0)))))</f>
        <v>46504</v>
      </c>
      <c r="Z27" s="7" t="str">
        <f aca="false">IF(I27="N/A","N/A",IF(N27="","Not tested",IF(W27="Rejected","Evidence rejected",IF(W27&lt;&gt;"Accepted","Evidence pending",IF(Y27&lt;'Residual Config'!$C$4,"Overdue","Current")))))</f>
        <v>Current</v>
      </c>
      <c r="AA27" s="34" t="n">
        <f aca="false">IF(I27="N/A","",IF(Z27&lt;&gt;"Current",4,IF(MAX(M27,T27)=0,4,MAX(M27,T27))))</f>
        <v>2</v>
      </c>
      <c r="AB27" s="7" t="str">
        <f aca="false">IF(AA27="","N/A",IF(Z27&lt;&gt;"Current","Not tested / overdue",INDEX('Residual Config'!$B$11:$B$14,AA27)))</f>
        <v>Largely effective</v>
      </c>
      <c r="AC27" s="36" t="n">
        <f aca="false">IF(AA27="","",INDEX('Residual Config'!$D$11:$D$14,AA27))</f>
        <v>0.4</v>
      </c>
      <c r="AD27" s="7" t="str">
        <f aca="false">IF(OR(I27="N/A",P27="",Q27=""),"",IF(P27&gt;=Q27,"Yes","No"))</f>
        <v>Yes</v>
      </c>
      <c r="AE27" s="8"/>
    </row>
    <row r="28" customFormat="false" ht="15" hidden="false" customHeight="false" outlineLevel="0" collapsed="false">
      <c r="A28" s="12" t="s">
        <v>813</v>
      </c>
      <c r="B28" s="26" t="str">
        <f aca="false">Entities!$A$5</f>
        <v>JO-HO</v>
      </c>
      <c r="C28" s="12" t="str">
        <f aca="false">INDEX(Entities!$B$5:$B$34,MATCH(B28,Entities!$A$5:$A$34,0))</f>
        <v>Arab Bank plc – Jordan (HO and domestic network)</v>
      </c>
      <c r="D28" s="7" t="str">
        <f aca="false">INDEX(Entities!$F$5:$F$34,MATCH(B28,Entities!$A$5:$A$34,0))</f>
        <v>Tier 1</v>
      </c>
      <c r="E28" s="26" t="str">
        <f aca="false">'Control Library'!$A$28</f>
        <v>CTL-TRN-01</v>
      </c>
      <c r="F28" s="12" t="str">
        <f aca="false">INDEX('Control Library'!$B$5:$B$47,MATCH(E28,'Control Library'!$A$5:$A$47,0))</f>
        <v>Annual AML, sanctions and anti-bribery training</v>
      </c>
      <c r="G28" s="7" t="str">
        <f aca="false">INDEX('Control Library'!$F$5:$F$47,MATCH(E28,'Control Library'!$A$5:$A$47,0))</f>
        <v>N</v>
      </c>
      <c r="H28" s="12" t="str">
        <f aca="false">INDEX('Control Library'!$E$5:$E$47,MATCH(E28,'Control Library'!$A$5:$A$47,0))</f>
        <v>Annual</v>
      </c>
      <c r="I28" s="7" t="str">
        <f aca="false">IF(INDEX('Control Library'!$I$5:$I$47,MATCH(E28,'Control Library'!$A$5:$A$47,0))="All","Y",IF(INDEX('Control Library'!$I$5:$I$47,MATCH(E28,'Control Library'!$A$5:$A$47,0))="Banks only",IF(COUNTIF('Residual Config'!$L$28:$L$30,INDEX(Entities!$E$5:$E$34,MATCH(B28,Entities!$A$5:$A$34,0)))&gt;0,"N/A","Y"),IF(INDEX(Entities!$G$5:$G$34,MATCH(B28,Entities!$A$5:$A$34,0))="Y","Y","N/A")))</f>
        <v>Y</v>
      </c>
      <c r="J28" s="8" t="s">
        <v>756</v>
      </c>
      <c r="K28" s="8" t="s">
        <v>764</v>
      </c>
      <c r="L28" s="7" t="str">
        <f aca="false">IF(OR(J28="",K28=""),"",IF(J28=K28,"Breach","OK"))</f>
        <v>OK</v>
      </c>
      <c r="M28" s="24" t="n">
        <v>2</v>
      </c>
      <c r="N28" s="50" t="n">
        <v>46283</v>
      </c>
      <c r="O28" s="8" t="s">
        <v>545</v>
      </c>
      <c r="P28" s="24" t="n">
        <v>1</v>
      </c>
      <c r="Q28" s="31" t="n">
        <f aca="false">IF(I28="N/A","",IFERROR(INDEX('Residual Config'!$B$35:$B$42,MATCH(H28,'Residual Config'!$A$35:$A$42,0)),""))</f>
        <v>1</v>
      </c>
      <c r="R28" s="24" t="n">
        <v>0</v>
      </c>
      <c r="S28" s="8" t="s">
        <v>516</v>
      </c>
      <c r="T28" s="31" t="n">
        <f aca="false">IF(S28="","",MATCH(S28,'Residual Config'!$L$9:$L$12,0))</f>
        <v>1</v>
      </c>
      <c r="U28" s="8" t="s">
        <v>814</v>
      </c>
      <c r="V28" s="24" t="n">
        <v>5</v>
      </c>
      <c r="W28" s="33" t="s">
        <v>536</v>
      </c>
      <c r="X28" s="8"/>
      <c r="Y28" s="51" t="n">
        <f aca="false">IF(N28="","",EDATE(N28,IF(G28="N",INDEX('Residual Config'!$B$31:$D$31,1,MATCH(D28,'Residual Config'!$B$27:$D$27,0)),INDEX('Residual Config'!$B$28:$D$30,IF(T28=1,1,IF(T28=4,3,2)),MATCH(D28,'Residual Config'!$B$27:$D$27,0)))))</f>
        <v>46648</v>
      </c>
      <c r="Z28" s="7" t="str">
        <f aca="false">IF(I28="N/A","N/A",IF(N28="","Not tested",IF(W28="Rejected","Evidence rejected",IF(W28&lt;&gt;"Accepted","Evidence pending",IF(Y28&lt;'Residual Config'!$C$4,"Overdue","Current")))))</f>
        <v>Evidence pending</v>
      </c>
      <c r="AA28" s="34" t="n">
        <f aca="false">IF(I28="N/A","",IF(Z28&lt;&gt;"Current",4,IF(MAX(M28,T28)=0,4,MAX(M28,T28))))</f>
        <v>4</v>
      </c>
      <c r="AB28" s="7" t="str">
        <f aca="false">IF(AA28="","N/A",IF(Z28&lt;&gt;"Current","Not tested / overdue",INDEX('Residual Config'!$B$11:$B$14,AA28)))</f>
        <v>Not tested / overdue</v>
      </c>
      <c r="AC28" s="36" t="n">
        <f aca="false">IF(AA28="","",INDEX('Residual Config'!$D$11:$D$14,AA28))</f>
        <v>0</v>
      </c>
      <c r="AD28" s="7" t="str">
        <f aca="false">IF(OR(I28="N/A",P28="",Q28=""),"",IF(P28&gt;=Q28,"Yes","No"))</f>
        <v>Yes</v>
      </c>
      <c r="AE28" s="8"/>
    </row>
    <row r="29" customFormat="false" ht="15" hidden="false" customHeight="false" outlineLevel="0" collapsed="false">
      <c r="A29" s="12" t="s">
        <v>815</v>
      </c>
      <c r="B29" s="26" t="str">
        <f aca="false">Entities!$A$5</f>
        <v>JO-HO</v>
      </c>
      <c r="C29" s="12" t="str">
        <f aca="false">INDEX(Entities!$B$5:$B$34,MATCH(B29,Entities!$A$5:$A$34,0))</f>
        <v>Arab Bank plc – Jordan (HO and domestic network)</v>
      </c>
      <c r="D29" s="7" t="str">
        <f aca="false">INDEX(Entities!$F$5:$F$34,MATCH(B29,Entities!$A$5:$A$34,0))</f>
        <v>Tier 1</v>
      </c>
      <c r="E29" s="26" t="str">
        <f aca="false">'Control Library'!$A$29</f>
        <v>CTL-REG-01</v>
      </c>
      <c r="F29" s="12" t="str">
        <f aca="false">INDEX('Control Library'!$B$5:$B$47,MATCH(E29,'Control Library'!$A$5:$A$47,0))</f>
        <v>Regulatory change management and obligations register</v>
      </c>
      <c r="G29" s="7" t="str">
        <f aca="false">INDEX('Control Library'!$F$5:$F$47,MATCH(E29,'Control Library'!$A$5:$A$47,0))</f>
        <v>Y</v>
      </c>
      <c r="H29" s="12" t="str">
        <f aca="false">INDEX('Control Library'!$E$5:$E$47,MATCH(E29,'Control Library'!$A$5:$A$47,0))</f>
        <v>Monthly</v>
      </c>
      <c r="I29" s="7" t="str">
        <f aca="false">IF(INDEX('Control Library'!$I$5:$I$47,MATCH(E29,'Control Library'!$A$5:$A$47,0))="All","Y",IF(INDEX('Control Library'!$I$5:$I$47,MATCH(E29,'Control Library'!$A$5:$A$47,0))="Banks only",IF(COUNTIF('Residual Config'!$L$28:$L$30,INDEX(Entities!$E$5:$E$34,MATCH(B29,Entities!$A$5:$A$34,0)))&gt;0,"N/A","Y"),IF(INDEX(Entities!$G$5:$G$34,MATCH(B29,Entities!$A$5:$A$34,0))="Y","Y","N/A")))</f>
        <v>Y</v>
      </c>
      <c r="J29" s="8" t="s">
        <v>756</v>
      </c>
      <c r="K29" s="8" t="s">
        <v>752</v>
      </c>
      <c r="L29" s="7" t="str">
        <f aca="false">IF(OR(J29="",K29=""),"",IF(J29=K29,"Breach","OK"))</f>
        <v>OK</v>
      </c>
      <c r="M29" s="24" t="n">
        <v>2</v>
      </c>
      <c r="N29" s="50" t="n">
        <v>46286</v>
      </c>
      <c r="O29" s="8" t="s">
        <v>545</v>
      </c>
      <c r="P29" s="24" t="n">
        <v>3</v>
      </c>
      <c r="Q29" s="31" t="n">
        <f aca="false">IF(I29="N/A","",IFERROR(INDEX('Residual Config'!$B$35:$B$42,MATCH(H29,'Residual Config'!$A$35:$A$42,0)),""))</f>
        <v>3</v>
      </c>
      <c r="R29" s="24" t="n">
        <v>1</v>
      </c>
      <c r="S29" s="8" t="s">
        <v>521</v>
      </c>
      <c r="T29" s="31" t="n">
        <f aca="false">IF(S29="","",MATCH(S29,'Residual Config'!$L$9:$L$12,0))</f>
        <v>2</v>
      </c>
      <c r="U29" s="8" t="s">
        <v>816</v>
      </c>
      <c r="V29" s="24" t="n">
        <v>5</v>
      </c>
      <c r="W29" s="33" t="s">
        <v>533</v>
      </c>
      <c r="X29" s="8" t="s">
        <v>760</v>
      </c>
      <c r="Y29" s="51" t="n">
        <f aca="false">IF(N29="","",EDATE(N29,IF(G29="N",INDEX('Residual Config'!$B$31:$D$31,1,MATCH(D29,'Residual Config'!$B$27:$D$27,0)),INDEX('Residual Config'!$B$28:$D$30,IF(T29=1,1,IF(T29=4,3,2)),MATCH(D29,'Residual Config'!$B$27:$D$27,0)))))</f>
        <v>46377</v>
      </c>
      <c r="Z29" s="7" t="str">
        <f aca="false">IF(I29="N/A","N/A",IF(N29="","Not tested",IF(W29="Rejected","Evidence rejected",IF(W29&lt;&gt;"Accepted","Evidence pending",IF(Y29&lt;'Residual Config'!$C$4,"Overdue","Current")))))</f>
        <v>Current</v>
      </c>
      <c r="AA29" s="34" t="n">
        <f aca="false">IF(I29="N/A","",IF(Z29&lt;&gt;"Current",4,IF(MAX(M29,T29)=0,4,MAX(M29,T29))))</f>
        <v>2</v>
      </c>
      <c r="AB29" s="7" t="str">
        <f aca="false">IF(AA29="","N/A",IF(Z29&lt;&gt;"Current","Not tested / overdue",INDEX('Residual Config'!$B$11:$B$14,AA29)))</f>
        <v>Largely effective</v>
      </c>
      <c r="AC29" s="36" t="n">
        <f aca="false">IF(AA29="","",INDEX('Residual Config'!$D$11:$D$14,AA29))</f>
        <v>0.4</v>
      </c>
      <c r="AD29" s="7" t="str">
        <f aca="false">IF(OR(I29="N/A",P29="",Q29=""),"",IF(P29&gt;=Q29,"Yes","No"))</f>
        <v>Yes</v>
      </c>
      <c r="AE29" s="8"/>
    </row>
    <row r="30" customFormat="false" ht="15" hidden="false" customHeight="false" outlineLevel="0" collapsed="false">
      <c r="A30" s="12" t="s">
        <v>817</v>
      </c>
      <c r="B30" s="26" t="str">
        <f aca="false">Entities!$A$5</f>
        <v>JO-HO</v>
      </c>
      <c r="C30" s="12" t="str">
        <f aca="false">INDEX(Entities!$B$5:$B$34,MATCH(B30,Entities!$A$5:$A$34,0))</f>
        <v>Arab Bank plc – Jordan (HO and domestic network)</v>
      </c>
      <c r="D30" s="7" t="str">
        <f aca="false">INDEX(Entities!$F$5:$F$34,MATCH(B30,Entities!$A$5:$A$34,0))</f>
        <v>Tier 1</v>
      </c>
      <c r="E30" s="26" t="str">
        <f aca="false">'Control Library'!$A$30</f>
        <v>CTL-REG-02</v>
      </c>
      <c r="F30" s="12" t="str">
        <f aca="false">INDEX('Control Library'!$B$5:$B$47,MATCH(E30,'Control Library'!$A$5:$A$47,0))</f>
        <v>Regulatory return review and senior sign-off</v>
      </c>
      <c r="G30" s="7" t="str">
        <f aca="false">INDEX('Control Library'!$F$5:$F$47,MATCH(E30,'Control Library'!$A$5:$A$47,0))</f>
        <v>Y</v>
      </c>
      <c r="H30" s="12" t="str">
        <f aca="false">INDEX('Control Library'!$E$5:$E$47,MATCH(E30,'Control Library'!$A$5:$A$47,0))</f>
        <v>Monthly</v>
      </c>
      <c r="I30" s="7" t="str">
        <f aca="false">IF(INDEX('Control Library'!$I$5:$I$47,MATCH(E30,'Control Library'!$A$5:$A$47,0))="All","Y",IF(INDEX('Control Library'!$I$5:$I$47,MATCH(E30,'Control Library'!$A$5:$A$47,0))="Banks only",IF(COUNTIF('Residual Config'!$L$28:$L$30,INDEX(Entities!$E$5:$E$34,MATCH(B30,Entities!$A$5:$A$34,0)))&gt;0,"N/A","Y"),IF(INDEX(Entities!$G$5:$G$34,MATCH(B30,Entities!$A$5:$A$34,0))="Y","Y","N/A")))</f>
        <v>Y</v>
      </c>
      <c r="J30" s="8" t="s">
        <v>811</v>
      </c>
      <c r="K30" s="8" t="s">
        <v>752</v>
      </c>
      <c r="L30" s="7" t="str">
        <f aca="false">IF(OR(J30="",K30=""),"",IF(J30=K30,"Breach","OK"))</f>
        <v>OK</v>
      </c>
      <c r="M30" s="24" t="n">
        <v>1</v>
      </c>
      <c r="N30" s="50" t="n">
        <v>46268</v>
      </c>
      <c r="O30" s="8" t="s">
        <v>545</v>
      </c>
      <c r="P30" s="24" t="n">
        <v>3</v>
      </c>
      <c r="Q30" s="31" t="n">
        <f aca="false">IF(I30="N/A","",IFERROR(INDEX('Residual Config'!$B$35:$B$42,MATCH(H30,'Residual Config'!$A$35:$A$42,0)),""))</f>
        <v>3</v>
      </c>
      <c r="R30" s="24" t="n">
        <v>1</v>
      </c>
      <c r="S30" s="8" t="s">
        <v>521</v>
      </c>
      <c r="T30" s="31" t="n">
        <f aca="false">IF(S30="","",MATCH(S30,'Residual Config'!$L$9:$L$12,0))</f>
        <v>2</v>
      </c>
      <c r="U30" s="8" t="s">
        <v>818</v>
      </c>
      <c r="V30" s="24" t="n">
        <v>3</v>
      </c>
      <c r="W30" s="33" t="s">
        <v>533</v>
      </c>
      <c r="X30" s="8" t="s">
        <v>754</v>
      </c>
      <c r="Y30" s="51" t="n">
        <f aca="false">IF(N30="","",EDATE(N30,IF(G30="N",INDEX('Residual Config'!$B$31:$D$31,1,MATCH(D30,'Residual Config'!$B$27:$D$27,0)),INDEX('Residual Config'!$B$28:$D$30,IF(T30=1,1,IF(T30=4,3,2)),MATCH(D30,'Residual Config'!$B$27:$D$27,0)))))</f>
        <v>46359</v>
      </c>
      <c r="Z30" s="7" t="str">
        <f aca="false">IF(I30="N/A","N/A",IF(N30="","Not tested",IF(W30="Rejected","Evidence rejected",IF(W30&lt;&gt;"Accepted","Evidence pending",IF(Y30&lt;'Residual Config'!$C$4,"Overdue","Current")))))</f>
        <v>Current</v>
      </c>
      <c r="AA30" s="34" t="n">
        <f aca="false">IF(I30="N/A","",IF(Z30&lt;&gt;"Current",4,IF(MAX(M30,T30)=0,4,MAX(M30,T30))))</f>
        <v>2</v>
      </c>
      <c r="AB30" s="7" t="str">
        <f aca="false">IF(AA30="","N/A",IF(Z30&lt;&gt;"Current","Not tested / overdue",INDEX('Residual Config'!$B$11:$B$14,AA30)))</f>
        <v>Largely effective</v>
      </c>
      <c r="AC30" s="36" t="n">
        <f aca="false">IF(AA30="","",INDEX('Residual Config'!$D$11:$D$14,AA30))</f>
        <v>0.4</v>
      </c>
      <c r="AD30" s="7" t="str">
        <f aca="false">IF(OR(I30="N/A",P30="",Q30=""),"",IF(P30&gt;=Q30,"Yes","No"))</f>
        <v>Yes</v>
      </c>
      <c r="AE30" s="8"/>
    </row>
    <row r="31" customFormat="false" ht="15" hidden="false" customHeight="false" outlineLevel="0" collapsed="false">
      <c r="A31" s="12" t="s">
        <v>819</v>
      </c>
      <c r="B31" s="26" t="str">
        <f aca="false">Entities!$A$5</f>
        <v>JO-HO</v>
      </c>
      <c r="C31" s="12" t="str">
        <f aca="false">INDEX(Entities!$B$5:$B$34,MATCH(B31,Entities!$A$5:$A$34,0))</f>
        <v>Arab Bank plc – Jordan (HO and domestic network)</v>
      </c>
      <c r="D31" s="7" t="str">
        <f aca="false">INDEX(Entities!$F$5:$F$34,MATCH(B31,Entities!$A$5:$A$34,0))</f>
        <v>Tier 1</v>
      </c>
      <c r="E31" s="26" t="str">
        <f aca="false">'Control Library'!$A$31</f>
        <v>CTL-CON-01</v>
      </c>
      <c r="F31" s="12" t="str">
        <f aca="false">INDEX('Control Library'!$B$5:$B$47,MATCH(E31,'Control Library'!$A$5:$A$47,0))</f>
        <v>New product approval and suitability assessment</v>
      </c>
      <c r="G31" s="7" t="str">
        <f aca="false">INDEX('Control Library'!$F$5:$F$47,MATCH(E31,'Control Library'!$A$5:$A$47,0))</f>
        <v>Y</v>
      </c>
      <c r="H31" s="12" t="str">
        <f aca="false">INDEX('Control Library'!$E$5:$E$47,MATCH(E31,'Control Library'!$A$5:$A$47,0))</f>
        <v>Event-driven</v>
      </c>
      <c r="I31" s="7" t="str">
        <f aca="false">IF(INDEX('Control Library'!$I$5:$I$47,MATCH(E31,'Control Library'!$A$5:$A$47,0))="All","Y",IF(INDEX('Control Library'!$I$5:$I$47,MATCH(E31,'Control Library'!$A$5:$A$47,0))="Banks only",IF(COUNTIF('Residual Config'!$L$28:$L$30,INDEX(Entities!$E$5:$E$34,MATCH(B31,Entities!$A$5:$A$34,0)))&gt;0,"N/A","Y"),IF(INDEX(Entities!$G$5:$G$34,MATCH(B31,Entities!$A$5:$A$34,0))="Y","Y","N/A")))</f>
        <v>Y</v>
      </c>
      <c r="J31" s="8" t="s">
        <v>756</v>
      </c>
      <c r="K31" s="8" t="s">
        <v>752</v>
      </c>
      <c r="L31" s="7" t="str">
        <f aca="false">IF(OR(J31="",K31=""),"",IF(J31=K31,"Breach","OK"))</f>
        <v>OK</v>
      </c>
      <c r="M31" s="24" t="n">
        <v>1</v>
      </c>
      <c r="N31" s="50" t="n">
        <v>46164</v>
      </c>
      <c r="O31" s="8" t="s">
        <v>546</v>
      </c>
      <c r="P31" s="24" t="n">
        <v>25</v>
      </c>
      <c r="Q31" s="31" t="n">
        <f aca="false">IF(I31="N/A","",IFERROR(INDEX('Residual Config'!$B$35:$B$42,MATCH(H31,'Residual Config'!$A$35:$A$42,0)),""))</f>
        <v>25</v>
      </c>
      <c r="R31" s="24" t="n">
        <v>0</v>
      </c>
      <c r="S31" s="8" t="s">
        <v>516</v>
      </c>
      <c r="T31" s="31" t="n">
        <f aca="false">IF(S31="","",MATCH(S31,'Residual Config'!$L$9:$L$12,0))</f>
        <v>1</v>
      </c>
      <c r="U31" s="8" t="s">
        <v>820</v>
      </c>
      <c r="V31" s="24" t="n">
        <v>3</v>
      </c>
      <c r="W31" s="33" t="s">
        <v>533</v>
      </c>
      <c r="X31" s="8" t="s">
        <v>760</v>
      </c>
      <c r="Y31" s="51" t="n">
        <f aca="false">IF(N31="","",EDATE(N31,IF(G31="N",INDEX('Residual Config'!$B$31:$D$31,1,MATCH(D31,'Residual Config'!$B$27:$D$27,0)),INDEX('Residual Config'!$B$28:$D$30,IF(T31=1,1,IF(T31=4,3,2)),MATCH(D31,'Residual Config'!$B$27:$D$27,0)))))</f>
        <v>46348</v>
      </c>
      <c r="Z31" s="7" t="str">
        <f aca="false">IF(I31="N/A","N/A",IF(N31="","Not tested",IF(W31="Rejected","Evidence rejected",IF(W31&lt;&gt;"Accepted","Evidence pending",IF(Y31&lt;'Residual Config'!$C$4,"Overdue","Current")))))</f>
        <v>Current</v>
      </c>
      <c r="AA31" s="34" t="n">
        <f aca="false">IF(I31="N/A","",IF(Z31&lt;&gt;"Current",4,IF(MAX(M31,T31)=0,4,MAX(M31,T31))))</f>
        <v>1</v>
      </c>
      <c r="AB31" s="7" t="str">
        <f aca="false">IF(AA31="","N/A",IF(Z31&lt;&gt;"Current","Not tested / overdue",INDEX('Residual Config'!$B$11:$B$14,AA31)))</f>
        <v>Effective</v>
      </c>
      <c r="AC31" s="36" t="n">
        <f aca="false">IF(AA31="","",INDEX('Residual Config'!$D$11:$D$14,AA31))</f>
        <v>0.6</v>
      </c>
      <c r="AD31" s="7" t="str">
        <f aca="false">IF(OR(I31="N/A",P31="",Q31=""),"",IF(P31&gt;=Q31,"Yes","No"))</f>
        <v>Yes</v>
      </c>
      <c r="AE31" s="8"/>
    </row>
    <row r="32" customFormat="false" ht="15" hidden="false" customHeight="false" outlineLevel="0" collapsed="false">
      <c r="A32" s="12" t="s">
        <v>821</v>
      </c>
      <c r="B32" s="26" t="str">
        <f aca="false">Entities!$A$5</f>
        <v>JO-HO</v>
      </c>
      <c r="C32" s="12" t="str">
        <f aca="false">INDEX(Entities!$B$5:$B$34,MATCH(B32,Entities!$A$5:$A$34,0))</f>
        <v>Arab Bank plc – Jordan (HO and domestic network)</v>
      </c>
      <c r="D32" s="7" t="str">
        <f aca="false">INDEX(Entities!$F$5:$F$34,MATCH(B32,Entities!$A$5:$A$34,0))</f>
        <v>Tier 1</v>
      </c>
      <c r="E32" s="26" t="str">
        <f aca="false">'Control Library'!$A$32</f>
        <v>CTL-CON-02</v>
      </c>
      <c r="F32" s="12" t="str">
        <f aca="false">INDEX('Control Library'!$B$5:$B$47,MATCH(E32,'Control Library'!$A$5:$A$47,0))</f>
        <v>Complaints handling and root-cause analysis</v>
      </c>
      <c r="G32" s="7" t="str">
        <f aca="false">INDEX('Control Library'!$F$5:$F$47,MATCH(E32,'Control Library'!$A$5:$A$47,0))</f>
        <v>N</v>
      </c>
      <c r="H32" s="12" t="str">
        <f aca="false">INDEX('Control Library'!$E$5:$E$47,MATCH(E32,'Control Library'!$A$5:$A$47,0))</f>
        <v>Monthly</v>
      </c>
      <c r="I32" s="7" t="str">
        <f aca="false">IF(INDEX('Control Library'!$I$5:$I$47,MATCH(E32,'Control Library'!$A$5:$A$47,0))="All","Y",IF(INDEX('Control Library'!$I$5:$I$47,MATCH(E32,'Control Library'!$A$5:$A$47,0))="Banks only",IF(COUNTIF('Residual Config'!$L$28:$L$30,INDEX(Entities!$E$5:$E$34,MATCH(B32,Entities!$A$5:$A$34,0)))&gt;0,"N/A","Y"),IF(INDEX(Entities!$G$5:$G$34,MATCH(B32,Entities!$A$5:$A$34,0))="Y","Y","N/A")))</f>
        <v>Y</v>
      </c>
      <c r="J32" s="8" t="s">
        <v>822</v>
      </c>
      <c r="K32" s="8" t="s">
        <v>764</v>
      </c>
      <c r="L32" s="7" t="str">
        <f aca="false">IF(OR(J32="",K32=""),"",IF(J32=K32,"Breach","OK"))</f>
        <v>OK</v>
      </c>
      <c r="M32" s="24" t="n">
        <v>1</v>
      </c>
      <c r="N32" s="50" t="n">
        <v>46201</v>
      </c>
      <c r="O32" s="8" t="s">
        <v>545</v>
      </c>
      <c r="P32" s="24" t="n">
        <v>3</v>
      </c>
      <c r="Q32" s="31" t="n">
        <f aca="false">IF(I32="N/A","",IFERROR(INDEX('Residual Config'!$B$35:$B$42,MATCH(H32,'Residual Config'!$A$35:$A$42,0)),""))</f>
        <v>3</v>
      </c>
      <c r="R32" s="24" t="n">
        <v>1</v>
      </c>
      <c r="S32" s="8" t="s">
        <v>521</v>
      </c>
      <c r="T32" s="31" t="n">
        <f aca="false">IF(S32="","",MATCH(S32,'Residual Config'!$L$9:$L$12,0))</f>
        <v>2</v>
      </c>
      <c r="U32" s="8" t="s">
        <v>823</v>
      </c>
      <c r="V32" s="24" t="n">
        <v>1</v>
      </c>
      <c r="W32" s="33" t="s">
        <v>533</v>
      </c>
      <c r="X32" s="8" t="s">
        <v>754</v>
      </c>
      <c r="Y32" s="51" t="n">
        <f aca="false">IF(N32="","",EDATE(N32,IF(G32="N",INDEX('Residual Config'!$B$31:$D$31,1,MATCH(D32,'Residual Config'!$B$27:$D$27,0)),INDEX('Residual Config'!$B$28:$D$30,IF(T32=1,1,IF(T32=4,3,2)),MATCH(D32,'Residual Config'!$B$27:$D$27,0)))))</f>
        <v>46566</v>
      </c>
      <c r="Z32" s="7" t="str">
        <f aca="false">IF(I32="N/A","N/A",IF(N32="","Not tested",IF(W32="Rejected","Evidence rejected",IF(W32&lt;&gt;"Accepted","Evidence pending",IF(Y32&lt;'Residual Config'!$C$4,"Overdue","Current")))))</f>
        <v>Current</v>
      </c>
      <c r="AA32" s="34" t="n">
        <f aca="false">IF(I32="N/A","",IF(Z32&lt;&gt;"Current",4,IF(MAX(M32,T32)=0,4,MAX(M32,T32))))</f>
        <v>2</v>
      </c>
      <c r="AB32" s="7" t="str">
        <f aca="false">IF(AA32="","N/A",IF(Z32&lt;&gt;"Current","Not tested / overdue",INDEX('Residual Config'!$B$11:$B$14,AA32)))</f>
        <v>Largely effective</v>
      </c>
      <c r="AC32" s="36" t="n">
        <f aca="false">IF(AA32="","",INDEX('Residual Config'!$D$11:$D$14,AA32))</f>
        <v>0.4</v>
      </c>
      <c r="AD32" s="7" t="str">
        <f aca="false">IF(OR(I32="N/A",P32="",Q32=""),"",IF(P32&gt;=Q32,"Yes","No"))</f>
        <v>Yes</v>
      </c>
      <c r="AE32" s="8"/>
    </row>
    <row r="33" customFormat="false" ht="15" hidden="false" customHeight="false" outlineLevel="0" collapsed="false">
      <c r="A33" s="12" t="s">
        <v>824</v>
      </c>
      <c r="B33" s="26" t="str">
        <f aca="false">Entities!$A$5</f>
        <v>JO-HO</v>
      </c>
      <c r="C33" s="12" t="str">
        <f aca="false">INDEX(Entities!$B$5:$B$34,MATCH(B33,Entities!$A$5:$A$34,0))</f>
        <v>Arab Bank plc – Jordan (HO and domestic network)</v>
      </c>
      <c r="D33" s="7" t="str">
        <f aca="false">INDEX(Entities!$F$5:$F$34,MATCH(B33,Entities!$A$5:$A$34,0))</f>
        <v>Tier 1</v>
      </c>
      <c r="E33" s="26" t="str">
        <f aca="false">'Control Library'!$A$33</f>
        <v>CTL-DP-01</v>
      </c>
      <c r="F33" s="12" t="str">
        <f aca="false">INDEX('Control Library'!$B$5:$B$47,MATCH(E33,'Control Library'!$A$5:$A$47,0))</f>
        <v>Data protection impact assessments and processing records</v>
      </c>
      <c r="G33" s="7" t="str">
        <f aca="false">INDEX('Control Library'!$F$5:$F$47,MATCH(E33,'Control Library'!$A$5:$A$47,0))</f>
        <v>Y</v>
      </c>
      <c r="H33" s="12" t="str">
        <f aca="false">INDEX('Control Library'!$E$5:$E$47,MATCH(E33,'Control Library'!$A$5:$A$47,0))</f>
        <v>Event-driven</v>
      </c>
      <c r="I33" s="7" t="str">
        <f aca="false">IF(INDEX('Control Library'!$I$5:$I$47,MATCH(E33,'Control Library'!$A$5:$A$47,0))="All","Y",IF(INDEX('Control Library'!$I$5:$I$47,MATCH(E33,'Control Library'!$A$5:$A$47,0))="Banks only",IF(COUNTIF('Residual Config'!$L$28:$L$30,INDEX(Entities!$E$5:$E$34,MATCH(B33,Entities!$A$5:$A$34,0)))&gt;0,"N/A","Y"),IF(INDEX(Entities!$G$5:$G$34,MATCH(B33,Entities!$A$5:$A$34,0))="Y","Y","N/A")))</f>
        <v>Y</v>
      </c>
      <c r="J33" s="8" t="s">
        <v>825</v>
      </c>
      <c r="K33" s="8" t="s">
        <v>752</v>
      </c>
      <c r="L33" s="7" t="str">
        <f aca="false">IF(OR(J33="",K33=""),"",IF(J33=K33,"Breach","OK"))</f>
        <v>OK</v>
      </c>
      <c r="M33" s="24" t="n">
        <v>2</v>
      </c>
      <c r="N33" s="50" t="n">
        <v>46157</v>
      </c>
      <c r="O33" s="8" t="s">
        <v>546</v>
      </c>
      <c r="P33" s="24" t="n">
        <v>25</v>
      </c>
      <c r="Q33" s="31" t="n">
        <f aca="false">IF(I33="N/A","",IFERROR(INDEX('Residual Config'!$B$35:$B$42,MATCH(H33,'Residual Config'!$A$35:$A$42,0)),""))</f>
        <v>25</v>
      </c>
      <c r="R33" s="24" t="n">
        <v>0</v>
      </c>
      <c r="S33" s="8" t="s">
        <v>516</v>
      </c>
      <c r="T33" s="31" t="n">
        <f aca="false">IF(S33="","",MATCH(S33,'Residual Config'!$L$9:$L$12,0))</f>
        <v>1</v>
      </c>
      <c r="U33" s="8" t="s">
        <v>826</v>
      </c>
      <c r="V33" s="24" t="n">
        <v>3</v>
      </c>
      <c r="W33" s="33" t="s">
        <v>533</v>
      </c>
      <c r="X33" s="8" t="s">
        <v>760</v>
      </c>
      <c r="Y33" s="51" t="n">
        <f aca="false">IF(N33="","",EDATE(N33,IF(G33="N",INDEX('Residual Config'!$B$31:$D$31,1,MATCH(D33,'Residual Config'!$B$27:$D$27,0)),INDEX('Residual Config'!$B$28:$D$30,IF(T33=1,1,IF(T33=4,3,2)),MATCH(D33,'Residual Config'!$B$27:$D$27,0)))))</f>
        <v>46341</v>
      </c>
      <c r="Z33" s="7" t="str">
        <f aca="false">IF(I33="N/A","N/A",IF(N33="","Not tested",IF(W33="Rejected","Evidence rejected",IF(W33&lt;&gt;"Accepted","Evidence pending",IF(Y33&lt;'Residual Config'!$C$4,"Overdue","Current")))))</f>
        <v>Current</v>
      </c>
      <c r="AA33" s="34" t="n">
        <f aca="false">IF(I33="N/A","",IF(Z33&lt;&gt;"Current",4,IF(MAX(M33,T33)=0,4,MAX(M33,T33))))</f>
        <v>2</v>
      </c>
      <c r="AB33" s="7" t="str">
        <f aca="false">IF(AA33="","N/A",IF(Z33&lt;&gt;"Current","Not tested / overdue",INDEX('Residual Config'!$B$11:$B$14,AA33)))</f>
        <v>Largely effective</v>
      </c>
      <c r="AC33" s="36" t="n">
        <f aca="false">IF(AA33="","",INDEX('Residual Config'!$D$11:$D$14,AA33))</f>
        <v>0.4</v>
      </c>
      <c r="AD33" s="7" t="str">
        <f aca="false">IF(OR(I33="N/A",P33="",Q33=""),"",IF(P33&gt;=Q33,"Yes","No"))</f>
        <v>Yes</v>
      </c>
      <c r="AE33" s="8"/>
    </row>
    <row r="34" customFormat="false" ht="15" hidden="false" customHeight="false" outlineLevel="0" collapsed="false">
      <c r="A34" s="12" t="s">
        <v>827</v>
      </c>
      <c r="B34" s="26" t="str">
        <f aca="false">Entities!$A$5</f>
        <v>JO-HO</v>
      </c>
      <c r="C34" s="12" t="str">
        <f aca="false">INDEX(Entities!$B$5:$B$34,MATCH(B34,Entities!$A$5:$A$34,0))</f>
        <v>Arab Bank plc – Jordan (HO and domestic network)</v>
      </c>
      <c r="D34" s="7" t="str">
        <f aca="false">INDEX(Entities!$F$5:$F$34,MATCH(B34,Entities!$A$5:$A$34,0))</f>
        <v>Tier 1</v>
      </c>
      <c r="E34" s="26" t="str">
        <f aca="false">'Control Library'!$A$34</f>
        <v>CTL-DP-02</v>
      </c>
      <c r="F34" s="12" t="str">
        <f aca="false">INDEX('Control Library'!$B$5:$B$47,MATCH(E34,'Control Library'!$A$5:$A$47,0))</f>
        <v>Data loss prevention and quarterly access recertification</v>
      </c>
      <c r="G34" s="7" t="str">
        <f aca="false">INDEX('Control Library'!$F$5:$F$47,MATCH(E34,'Control Library'!$A$5:$A$47,0))</f>
        <v>Y</v>
      </c>
      <c r="H34" s="12" t="str">
        <f aca="false">INDEX('Control Library'!$E$5:$E$47,MATCH(E34,'Control Library'!$A$5:$A$47,0))</f>
        <v>Quarterly</v>
      </c>
      <c r="I34" s="7" t="str">
        <f aca="false">IF(INDEX('Control Library'!$I$5:$I$47,MATCH(E34,'Control Library'!$A$5:$A$47,0))="All","Y",IF(INDEX('Control Library'!$I$5:$I$47,MATCH(E34,'Control Library'!$A$5:$A$47,0))="Banks only",IF(COUNTIF('Residual Config'!$L$28:$L$30,INDEX(Entities!$E$5:$E$34,MATCH(B34,Entities!$A$5:$A$34,0)))&gt;0,"N/A","Y"),IF(INDEX(Entities!$G$5:$G$34,MATCH(B34,Entities!$A$5:$A$34,0))="Y","Y","N/A")))</f>
        <v>Y</v>
      </c>
      <c r="J34" s="8" t="s">
        <v>828</v>
      </c>
      <c r="K34" s="8" t="s">
        <v>752</v>
      </c>
      <c r="L34" s="7" t="str">
        <f aca="false">IF(OR(J34="",K34=""),"",IF(J34=K34,"Breach","OK"))</f>
        <v>OK</v>
      </c>
      <c r="M34" s="24" t="n">
        <v>1</v>
      </c>
      <c r="N34" s="50" t="n">
        <v>46226</v>
      </c>
      <c r="O34" s="8" t="s">
        <v>545</v>
      </c>
      <c r="P34" s="24" t="n">
        <v>2</v>
      </c>
      <c r="Q34" s="31" t="n">
        <f aca="false">IF(I34="N/A","",IFERROR(INDEX('Residual Config'!$B$35:$B$42,MATCH(H34,'Residual Config'!$A$35:$A$42,0)),""))</f>
        <v>2</v>
      </c>
      <c r="R34" s="24" t="n">
        <v>1</v>
      </c>
      <c r="S34" s="8" t="s">
        <v>521</v>
      </c>
      <c r="T34" s="31" t="n">
        <f aca="false">IF(S34="","",MATCH(S34,'Residual Config'!$L$9:$L$12,0))</f>
        <v>2</v>
      </c>
      <c r="U34" s="8" t="s">
        <v>829</v>
      </c>
      <c r="V34" s="24" t="n">
        <v>2</v>
      </c>
      <c r="W34" s="33" t="s">
        <v>533</v>
      </c>
      <c r="X34" s="8" t="s">
        <v>760</v>
      </c>
      <c r="Y34" s="51" t="n">
        <f aca="false">IF(N34="","",EDATE(N34,IF(G34="N",INDEX('Residual Config'!$B$31:$D$31,1,MATCH(D34,'Residual Config'!$B$27:$D$27,0)),INDEX('Residual Config'!$B$28:$D$30,IF(T34=1,1,IF(T34=4,3,2)),MATCH(D34,'Residual Config'!$B$27:$D$27,0)))))</f>
        <v>46318</v>
      </c>
      <c r="Z34" s="7" t="str">
        <f aca="false">IF(I34="N/A","N/A",IF(N34="","Not tested",IF(W34="Rejected","Evidence rejected",IF(W34&lt;&gt;"Accepted","Evidence pending",IF(Y34&lt;'Residual Config'!$C$4,"Overdue","Current")))))</f>
        <v>Current</v>
      </c>
      <c r="AA34" s="34" t="n">
        <f aca="false">IF(I34="N/A","",IF(Z34&lt;&gt;"Current",4,IF(MAX(M34,T34)=0,4,MAX(M34,T34))))</f>
        <v>2</v>
      </c>
      <c r="AB34" s="7" t="str">
        <f aca="false">IF(AA34="","N/A",IF(Z34&lt;&gt;"Current","Not tested / overdue",INDEX('Residual Config'!$B$11:$B$14,AA34)))</f>
        <v>Largely effective</v>
      </c>
      <c r="AC34" s="36" t="n">
        <f aca="false">IF(AA34="","",INDEX('Residual Config'!$D$11:$D$14,AA34))</f>
        <v>0.4</v>
      </c>
      <c r="AD34" s="7" t="str">
        <f aca="false">IF(OR(I34="N/A",P34="",Q34=""),"",IF(P34&gt;=Q34,"Yes","No"))</f>
        <v>Yes</v>
      </c>
      <c r="AE34" s="8"/>
    </row>
    <row r="35" customFormat="false" ht="15" hidden="false" customHeight="false" outlineLevel="0" collapsed="false">
      <c r="A35" s="12" t="s">
        <v>830</v>
      </c>
      <c r="B35" s="26" t="str">
        <f aca="false">Entities!$A$5</f>
        <v>JO-HO</v>
      </c>
      <c r="C35" s="12" t="str">
        <f aca="false">INDEX(Entities!$B$5:$B$34,MATCH(B35,Entities!$A$5:$A$34,0))</f>
        <v>Arab Bank plc – Jordan (HO and domestic network)</v>
      </c>
      <c r="D35" s="7" t="str">
        <f aca="false">INDEX(Entities!$F$5:$F$34,MATCH(B35,Entities!$A$5:$A$34,0))</f>
        <v>Tier 1</v>
      </c>
      <c r="E35" s="26" t="str">
        <f aca="false">'Control Library'!$A$35</f>
        <v>CTL-SH-01</v>
      </c>
      <c r="F35" s="12" t="str">
        <f aca="false">INDEX('Control Library'!$B$5:$B$47,MATCH(E35,'Control Library'!$A$5:$A$47,0))</f>
        <v>Shariah review of products and income purification</v>
      </c>
      <c r="G35" s="7" t="str">
        <f aca="false">INDEX('Control Library'!$F$5:$F$47,MATCH(E35,'Control Library'!$A$5:$A$47,0))</f>
        <v>Y</v>
      </c>
      <c r="H35" s="12" t="str">
        <f aca="false">INDEX('Control Library'!$E$5:$E$47,MATCH(E35,'Control Library'!$A$5:$A$47,0))</f>
        <v>Quarterly</v>
      </c>
      <c r="I35" s="7" t="str">
        <f aca="false">IF(INDEX('Control Library'!$I$5:$I$47,MATCH(E35,'Control Library'!$A$5:$A$47,0))="All","Y",IF(INDEX('Control Library'!$I$5:$I$47,MATCH(E35,'Control Library'!$A$5:$A$47,0))="Banks only",IF(COUNTIF('Residual Config'!$L$28:$L$30,INDEX(Entities!$E$5:$E$34,MATCH(B35,Entities!$A$5:$A$34,0)))&gt;0,"N/A","Y"),IF(INDEX(Entities!$G$5:$G$34,MATCH(B35,Entities!$A$5:$A$34,0))="Y","Y","N/A")))</f>
        <v>N/A</v>
      </c>
      <c r="J35" s="8"/>
      <c r="K35" s="8"/>
      <c r="L35" s="7" t="str">
        <f aca="false">IF(OR(J35="",K35=""),"",IF(J35=K35,"Breach","OK"))</f>
        <v/>
      </c>
      <c r="M35" s="24"/>
      <c r="N35" s="50"/>
      <c r="O35" s="8"/>
      <c r="P35" s="24"/>
      <c r="Q35" s="31" t="str">
        <f aca="false">IF(I35="N/A","",IFERROR(INDEX('Residual Config'!$B$35:$B$42,MATCH(H35,'Residual Config'!$A$35:$A$42,0)),""))</f>
        <v/>
      </c>
      <c r="R35" s="24"/>
      <c r="S35" s="8"/>
      <c r="T35" s="31" t="str">
        <f aca="false">IF(S35="","",MATCH(S35,'Residual Config'!$L$9:$L$12,0))</f>
        <v/>
      </c>
      <c r="U35" s="8"/>
      <c r="V35" s="24"/>
      <c r="W35" s="33"/>
      <c r="X35" s="8"/>
      <c r="Y35" s="51" t="str">
        <f aca="false">IF(N35="","",EDATE(N35,IF(G35="N",INDEX('Residual Config'!$B$31:$D$31,1,MATCH(D35,'Residual Config'!$B$27:$D$27,0)),INDEX('Residual Config'!$B$28:$D$30,IF(T35=1,1,IF(T35=4,3,2)),MATCH(D35,'Residual Config'!$B$27:$D$27,0)))))</f>
        <v/>
      </c>
      <c r="Z35" s="7" t="str">
        <f aca="false">IF(I35="N/A","N/A",IF(N35="","Not tested",IF(W35="Rejected","Evidence rejected",IF(W35&lt;&gt;"Accepted","Evidence pending",IF(Y35&lt;'Residual Config'!$C$4,"Overdue","Current")))))</f>
        <v>N/A</v>
      </c>
      <c r="AA35" s="34" t="str">
        <f aca="false">IF(I35="N/A","",IF(Z35&lt;&gt;"Current",4,IF(MAX(M35,T35)=0,4,MAX(M35,T35))))</f>
        <v/>
      </c>
      <c r="AB35" s="7" t="str">
        <f aca="false">IF(AA35="","N/A",IF(Z35&lt;&gt;"Current","Not tested / overdue",INDEX('Residual Config'!$B$11:$B$14,AA35)))</f>
        <v>N/A</v>
      </c>
      <c r="AC35" s="36" t="str">
        <f aca="false">IF(AA35="","",INDEX('Residual Config'!$D$11:$D$14,AA35))</f>
        <v/>
      </c>
      <c r="AD35" s="7" t="str">
        <f aca="false">IF(OR(I35="N/A",P35="",Q35=""),"",IF(P35&gt;=Q35,"Yes","No"))</f>
        <v/>
      </c>
      <c r="AE35" s="8"/>
    </row>
    <row r="36" customFormat="false" ht="15" hidden="false" customHeight="false" outlineLevel="0" collapsed="false">
      <c r="A36" s="12" t="s">
        <v>831</v>
      </c>
      <c r="B36" s="26" t="str">
        <f aca="false">Entities!$A$5</f>
        <v>JO-HO</v>
      </c>
      <c r="C36" s="12" t="str">
        <f aca="false">INDEX(Entities!$B$5:$B$34,MATCH(B36,Entities!$A$5:$A$34,0))</f>
        <v>Arab Bank plc – Jordan (HO and domestic network)</v>
      </c>
      <c r="D36" s="7" t="str">
        <f aca="false">INDEX(Entities!$F$5:$F$34,MATCH(B36,Entities!$A$5:$A$34,0))</f>
        <v>Tier 1</v>
      </c>
      <c r="E36" s="26" t="str">
        <f aca="false">'Control Library'!$A$36</f>
        <v>CTL-CR-01</v>
      </c>
      <c r="F36" s="12" t="str">
        <f aca="false">INDEX('Control Library'!$B$5:$B$47,MATCH(E36,'Control Library'!$A$5:$A$47,0))</f>
        <v>Credit approval authorities and committee review</v>
      </c>
      <c r="G36" s="7" t="str">
        <f aca="false">INDEX('Control Library'!$F$5:$F$47,MATCH(E36,'Control Library'!$A$5:$A$47,0))</f>
        <v>Y</v>
      </c>
      <c r="H36" s="12" t="str">
        <f aca="false">INDEX('Control Library'!$E$5:$E$47,MATCH(E36,'Control Library'!$A$5:$A$47,0))</f>
        <v>Event-driven</v>
      </c>
      <c r="I36" s="7" t="str">
        <f aca="false">IF(INDEX('Control Library'!$I$5:$I$47,MATCH(E36,'Control Library'!$A$5:$A$47,0))="All","Y",IF(INDEX('Control Library'!$I$5:$I$47,MATCH(E36,'Control Library'!$A$5:$A$47,0))="Banks only",IF(COUNTIF('Residual Config'!$L$28:$L$30,INDEX(Entities!$E$5:$E$34,MATCH(B36,Entities!$A$5:$A$34,0)))&gt;0,"N/A","Y"),IF(INDEX(Entities!$G$5:$G$34,MATCH(B36,Entities!$A$5:$A$34,0))="Y","Y","N/A")))</f>
        <v>Y</v>
      </c>
      <c r="J36" s="8" t="s">
        <v>832</v>
      </c>
      <c r="K36" s="8" t="s">
        <v>752</v>
      </c>
      <c r="L36" s="7" t="str">
        <f aca="false">IF(OR(J36="",K36=""),"",IF(J36=K36,"Breach","OK"))</f>
        <v>OK</v>
      </c>
      <c r="M36" s="24" t="n">
        <v>1</v>
      </c>
      <c r="N36" s="50" t="n">
        <v>46280</v>
      </c>
      <c r="O36" s="8" t="s">
        <v>545</v>
      </c>
      <c r="P36" s="24" t="n">
        <v>35</v>
      </c>
      <c r="Q36" s="31" t="n">
        <f aca="false">IF(I36="N/A","",IFERROR(INDEX('Residual Config'!$B$35:$B$42,MATCH(H36,'Residual Config'!$A$35:$A$42,0)),""))</f>
        <v>25</v>
      </c>
      <c r="R36" s="24" t="n">
        <v>0</v>
      </c>
      <c r="S36" s="8" t="s">
        <v>516</v>
      </c>
      <c r="T36" s="31" t="n">
        <f aca="false">IF(S36="","",MATCH(S36,'Residual Config'!$L$9:$L$12,0))</f>
        <v>1</v>
      </c>
      <c r="U36" s="8" t="s">
        <v>833</v>
      </c>
      <c r="V36" s="24" t="n">
        <v>6</v>
      </c>
      <c r="W36" s="33" t="s">
        <v>533</v>
      </c>
      <c r="X36" s="8" t="s">
        <v>760</v>
      </c>
      <c r="Y36" s="51" t="n">
        <f aca="false">IF(N36="","",EDATE(N36,IF(G36="N",INDEX('Residual Config'!$B$31:$D$31,1,MATCH(D36,'Residual Config'!$B$27:$D$27,0)),INDEX('Residual Config'!$B$28:$D$30,IF(T36=1,1,IF(T36=4,3,2)),MATCH(D36,'Residual Config'!$B$27:$D$27,0)))))</f>
        <v>46461</v>
      </c>
      <c r="Z36" s="7" t="str">
        <f aca="false">IF(I36="N/A","N/A",IF(N36="","Not tested",IF(W36="Rejected","Evidence rejected",IF(W36&lt;&gt;"Accepted","Evidence pending",IF(Y36&lt;'Residual Config'!$C$4,"Overdue","Current")))))</f>
        <v>Current</v>
      </c>
      <c r="AA36" s="34" t="n">
        <f aca="false">IF(I36="N/A","",IF(Z36&lt;&gt;"Current",4,IF(MAX(M36,T36)=0,4,MAX(M36,T36))))</f>
        <v>1</v>
      </c>
      <c r="AB36" s="7" t="str">
        <f aca="false">IF(AA36="","N/A",IF(Z36&lt;&gt;"Current","Not tested / overdue",INDEX('Residual Config'!$B$11:$B$14,AA36)))</f>
        <v>Effective</v>
      </c>
      <c r="AC36" s="36" t="n">
        <f aca="false">IF(AA36="","",INDEX('Residual Config'!$D$11:$D$14,AA36))</f>
        <v>0.6</v>
      </c>
      <c r="AD36" s="7" t="str">
        <f aca="false">IF(OR(I36="N/A",P36="",Q36=""),"",IF(P36&gt;=Q36,"Yes","No"))</f>
        <v>Yes</v>
      </c>
      <c r="AE36" s="8"/>
    </row>
    <row r="37" customFormat="false" ht="15" hidden="false" customHeight="false" outlineLevel="0" collapsed="false">
      <c r="A37" s="12" t="s">
        <v>834</v>
      </c>
      <c r="B37" s="26" t="str">
        <f aca="false">Entities!$A$5</f>
        <v>JO-HO</v>
      </c>
      <c r="C37" s="12" t="str">
        <f aca="false">INDEX(Entities!$B$5:$B$34,MATCH(B37,Entities!$A$5:$A$34,0))</f>
        <v>Arab Bank plc – Jordan (HO and domestic network)</v>
      </c>
      <c r="D37" s="7" t="str">
        <f aca="false">INDEX(Entities!$F$5:$F$34,MATCH(B37,Entities!$A$5:$A$34,0))</f>
        <v>Tier 1</v>
      </c>
      <c r="E37" s="26" t="str">
        <f aca="false">'Control Library'!$A$37</f>
        <v>CTL-CR-02</v>
      </c>
      <c r="F37" s="12" t="str">
        <f aca="false">INDEX('Control Library'!$B$5:$B$47,MATCH(E37,'Control Library'!$A$5:$A$47,0))</f>
        <v>Collateral valuation and exposure limit monitoring</v>
      </c>
      <c r="G37" s="7" t="str">
        <f aca="false">INDEX('Control Library'!$F$5:$F$47,MATCH(E37,'Control Library'!$A$5:$A$47,0))</f>
        <v>N</v>
      </c>
      <c r="H37" s="12" t="str">
        <f aca="false">INDEX('Control Library'!$E$5:$E$47,MATCH(E37,'Control Library'!$A$5:$A$47,0))</f>
        <v>Monthly</v>
      </c>
      <c r="I37" s="7" t="str">
        <f aca="false">IF(INDEX('Control Library'!$I$5:$I$47,MATCH(E37,'Control Library'!$A$5:$A$47,0))="All","Y",IF(INDEX('Control Library'!$I$5:$I$47,MATCH(E37,'Control Library'!$A$5:$A$47,0))="Banks only",IF(COUNTIF('Residual Config'!$L$28:$L$30,INDEX(Entities!$E$5:$E$34,MATCH(B37,Entities!$A$5:$A$34,0)))&gt;0,"N/A","Y"),IF(INDEX(Entities!$G$5:$G$34,MATCH(B37,Entities!$A$5:$A$34,0))="Y","Y","N/A")))</f>
        <v>Y</v>
      </c>
      <c r="J37" s="8" t="s">
        <v>835</v>
      </c>
      <c r="K37" s="8" t="s">
        <v>764</v>
      </c>
      <c r="L37" s="7" t="str">
        <f aca="false">IF(OR(J37="",K37=""),"",IF(J37=K37,"Breach","OK"))</f>
        <v>OK</v>
      </c>
      <c r="M37" s="24" t="n">
        <v>2</v>
      </c>
      <c r="N37" s="50" t="n">
        <v>46197</v>
      </c>
      <c r="O37" s="8" t="s">
        <v>545</v>
      </c>
      <c r="P37" s="24" t="n">
        <v>3</v>
      </c>
      <c r="Q37" s="31" t="n">
        <f aca="false">IF(I37="N/A","",IFERROR(INDEX('Residual Config'!$B$35:$B$42,MATCH(H37,'Residual Config'!$A$35:$A$42,0)),""))</f>
        <v>3</v>
      </c>
      <c r="R37" s="24" t="n">
        <v>1</v>
      </c>
      <c r="S37" s="8" t="s">
        <v>521</v>
      </c>
      <c r="T37" s="31" t="n">
        <f aca="false">IF(S37="","",MATCH(S37,'Residual Config'!$L$9:$L$12,0))</f>
        <v>2</v>
      </c>
      <c r="U37" s="8" t="s">
        <v>836</v>
      </c>
      <c r="V37" s="24" t="n">
        <v>6</v>
      </c>
      <c r="W37" s="33" t="s">
        <v>533</v>
      </c>
      <c r="X37" s="8" t="s">
        <v>754</v>
      </c>
      <c r="Y37" s="51" t="n">
        <f aca="false">IF(N37="","",EDATE(N37,IF(G37="N",INDEX('Residual Config'!$B$31:$D$31,1,MATCH(D37,'Residual Config'!$B$27:$D$27,0)),INDEX('Residual Config'!$B$28:$D$30,IF(T37=1,1,IF(T37=4,3,2)),MATCH(D37,'Residual Config'!$B$27:$D$27,0)))))</f>
        <v>46562</v>
      </c>
      <c r="Z37" s="7" t="str">
        <f aca="false">IF(I37="N/A","N/A",IF(N37="","Not tested",IF(W37="Rejected","Evidence rejected",IF(W37&lt;&gt;"Accepted","Evidence pending",IF(Y37&lt;'Residual Config'!$C$4,"Overdue","Current")))))</f>
        <v>Current</v>
      </c>
      <c r="AA37" s="34" t="n">
        <f aca="false">IF(I37="N/A","",IF(Z37&lt;&gt;"Current",4,IF(MAX(M37,T37)=0,4,MAX(M37,T37))))</f>
        <v>2</v>
      </c>
      <c r="AB37" s="7" t="str">
        <f aca="false">IF(AA37="","N/A",IF(Z37&lt;&gt;"Current","Not tested / overdue",INDEX('Residual Config'!$B$11:$B$14,AA37)))</f>
        <v>Largely effective</v>
      </c>
      <c r="AC37" s="36" t="n">
        <f aca="false">IF(AA37="","",INDEX('Residual Config'!$D$11:$D$14,AA37))</f>
        <v>0.4</v>
      </c>
      <c r="AD37" s="7" t="str">
        <f aca="false">IF(OR(I37="N/A",P37="",Q37=""),"",IF(P37&gt;=Q37,"Yes","No"))</f>
        <v>Yes</v>
      </c>
      <c r="AE37" s="8"/>
    </row>
    <row r="38" customFormat="false" ht="15" hidden="false" customHeight="false" outlineLevel="0" collapsed="false">
      <c r="A38" s="12" t="s">
        <v>837</v>
      </c>
      <c r="B38" s="26" t="str">
        <f aca="false">Entities!$A$5</f>
        <v>JO-HO</v>
      </c>
      <c r="C38" s="12" t="str">
        <f aca="false">INDEX(Entities!$B$5:$B$34,MATCH(B38,Entities!$A$5:$A$34,0))</f>
        <v>Arab Bank plc – Jordan (HO and domestic network)</v>
      </c>
      <c r="D38" s="7" t="str">
        <f aca="false">INDEX(Entities!$F$5:$F$34,MATCH(B38,Entities!$A$5:$A$34,0))</f>
        <v>Tier 1</v>
      </c>
      <c r="E38" s="26" t="str">
        <f aca="false">'Control Library'!$A$38</f>
        <v>CTL-MR-01</v>
      </c>
      <c r="F38" s="12" t="str">
        <f aca="false">INDEX('Control Library'!$B$5:$B$47,MATCH(E38,'Control Library'!$A$5:$A$47,0))</f>
        <v>Market risk limits and daily VaR monitoring</v>
      </c>
      <c r="G38" s="7" t="str">
        <f aca="false">INDEX('Control Library'!$F$5:$F$47,MATCH(E38,'Control Library'!$A$5:$A$47,0))</f>
        <v>Y</v>
      </c>
      <c r="H38" s="12" t="str">
        <f aca="false">INDEX('Control Library'!$E$5:$E$47,MATCH(E38,'Control Library'!$A$5:$A$47,0))</f>
        <v>Daily</v>
      </c>
      <c r="I38" s="7" t="str">
        <f aca="false">IF(INDEX('Control Library'!$I$5:$I$47,MATCH(E38,'Control Library'!$A$5:$A$47,0))="All","Y",IF(INDEX('Control Library'!$I$5:$I$47,MATCH(E38,'Control Library'!$A$5:$A$47,0))="Banks only",IF(COUNTIF('Residual Config'!$L$28:$L$30,INDEX(Entities!$E$5:$E$34,MATCH(B38,Entities!$A$5:$A$34,0)))&gt;0,"N/A","Y"),IF(INDEX(Entities!$G$5:$G$34,MATCH(B38,Entities!$A$5:$A$34,0))="Y","Y","N/A")))</f>
        <v>Y</v>
      </c>
      <c r="J38" s="8" t="s">
        <v>835</v>
      </c>
      <c r="K38" s="8" t="s">
        <v>752</v>
      </c>
      <c r="L38" s="7" t="str">
        <f aca="false">IF(OR(J38="",K38=""),"",IF(J38=K38,"Breach","OK"))</f>
        <v>OK</v>
      </c>
      <c r="M38" s="24" t="n">
        <v>2</v>
      </c>
      <c r="N38" s="50" t="n">
        <v>46282</v>
      </c>
      <c r="O38" s="8" t="s">
        <v>547</v>
      </c>
      <c r="P38" s="24" t="n">
        <v>25</v>
      </c>
      <c r="Q38" s="31" t="n">
        <f aca="false">IF(I38="N/A","",IFERROR(INDEX('Residual Config'!$B$35:$B$42,MATCH(H38,'Residual Config'!$A$35:$A$42,0)),""))</f>
        <v>25</v>
      </c>
      <c r="R38" s="24" t="n">
        <v>1</v>
      </c>
      <c r="S38" s="8" t="s">
        <v>521</v>
      </c>
      <c r="T38" s="31" t="n">
        <f aca="false">IF(S38="","",MATCH(S38,'Residual Config'!$L$9:$L$12,0))</f>
        <v>2</v>
      </c>
      <c r="U38" s="8" t="s">
        <v>838</v>
      </c>
      <c r="V38" s="24" t="n">
        <v>5</v>
      </c>
      <c r="W38" s="33" t="s">
        <v>533</v>
      </c>
      <c r="X38" s="8" t="s">
        <v>760</v>
      </c>
      <c r="Y38" s="51" t="n">
        <f aca="false">IF(N38="","",EDATE(N38,IF(G38="N",INDEX('Residual Config'!$B$31:$D$31,1,MATCH(D38,'Residual Config'!$B$27:$D$27,0)),INDEX('Residual Config'!$B$28:$D$30,IF(T38=1,1,IF(T38=4,3,2)),MATCH(D38,'Residual Config'!$B$27:$D$27,0)))))</f>
        <v>46373</v>
      </c>
      <c r="Z38" s="7" t="str">
        <f aca="false">IF(I38="N/A","N/A",IF(N38="","Not tested",IF(W38="Rejected","Evidence rejected",IF(W38&lt;&gt;"Accepted","Evidence pending",IF(Y38&lt;'Residual Config'!$C$4,"Overdue","Current")))))</f>
        <v>Current</v>
      </c>
      <c r="AA38" s="34" t="n">
        <f aca="false">IF(I38="N/A","",IF(Z38&lt;&gt;"Current",4,IF(MAX(M38,T38)=0,4,MAX(M38,T38))))</f>
        <v>2</v>
      </c>
      <c r="AB38" s="7" t="str">
        <f aca="false">IF(AA38="","N/A",IF(Z38&lt;&gt;"Current","Not tested / overdue",INDEX('Residual Config'!$B$11:$B$14,AA38)))</f>
        <v>Largely effective</v>
      </c>
      <c r="AC38" s="36" t="n">
        <f aca="false">IF(AA38="","",INDEX('Residual Config'!$D$11:$D$14,AA38))</f>
        <v>0.4</v>
      </c>
      <c r="AD38" s="7" t="str">
        <f aca="false">IF(OR(I38="N/A",P38="",Q38=""),"",IF(P38&gt;=Q38,"Yes","No"))</f>
        <v>Yes</v>
      </c>
      <c r="AE38" s="8"/>
    </row>
    <row r="39" customFormat="false" ht="15" hidden="false" customHeight="false" outlineLevel="0" collapsed="false">
      <c r="A39" s="12" t="s">
        <v>839</v>
      </c>
      <c r="B39" s="26" t="str">
        <f aca="false">Entities!$A$5</f>
        <v>JO-HO</v>
      </c>
      <c r="C39" s="12" t="str">
        <f aca="false">INDEX(Entities!$B$5:$B$34,MATCH(B39,Entities!$A$5:$A$34,0))</f>
        <v>Arab Bank plc – Jordan (HO and domestic network)</v>
      </c>
      <c r="D39" s="7" t="str">
        <f aca="false">INDEX(Entities!$F$5:$F$34,MATCH(B39,Entities!$A$5:$A$34,0))</f>
        <v>Tier 1</v>
      </c>
      <c r="E39" s="26" t="str">
        <f aca="false">'Control Library'!$A$39</f>
        <v>CTL-LQ-01</v>
      </c>
      <c r="F39" s="12" t="str">
        <f aca="false">INDEX('Control Library'!$B$5:$B$47,MATCH(E39,'Control Library'!$A$5:$A$47,0))</f>
        <v>Liquidity buffers, LCR/NSFR monitoring and contingency funding plan</v>
      </c>
      <c r="G39" s="7" t="str">
        <f aca="false">INDEX('Control Library'!$F$5:$F$47,MATCH(E39,'Control Library'!$A$5:$A$47,0))</f>
        <v>Y</v>
      </c>
      <c r="H39" s="12" t="str">
        <f aca="false">INDEX('Control Library'!$E$5:$E$47,MATCH(E39,'Control Library'!$A$5:$A$47,0))</f>
        <v>Daily</v>
      </c>
      <c r="I39" s="7" t="str">
        <f aca="false">IF(INDEX('Control Library'!$I$5:$I$47,MATCH(E39,'Control Library'!$A$5:$A$47,0))="All","Y",IF(INDEX('Control Library'!$I$5:$I$47,MATCH(E39,'Control Library'!$A$5:$A$47,0))="Banks only",IF(COUNTIF('Residual Config'!$L$28:$L$30,INDEX(Entities!$E$5:$E$34,MATCH(B39,Entities!$A$5:$A$34,0)))&gt;0,"N/A","Y"),IF(INDEX(Entities!$G$5:$G$34,MATCH(B39,Entities!$A$5:$A$34,0))="Y","Y","N/A")))</f>
        <v>Y</v>
      </c>
      <c r="J39" s="8" t="s">
        <v>840</v>
      </c>
      <c r="K39" s="8" t="s">
        <v>752</v>
      </c>
      <c r="L39" s="7" t="str">
        <f aca="false">IF(OR(J39="",K39=""),"",IF(J39=K39,"Breach","OK"))</f>
        <v>OK</v>
      </c>
      <c r="M39" s="24" t="n">
        <v>2</v>
      </c>
      <c r="N39" s="50" t="n">
        <v>46265</v>
      </c>
      <c r="O39" s="8" t="s">
        <v>546</v>
      </c>
      <c r="P39" s="24" t="n">
        <v>25</v>
      </c>
      <c r="Q39" s="31" t="n">
        <f aca="false">IF(I39="N/A","",IFERROR(INDEX('Residual Config'!$B$35:$B$42,MATCH(H39,'Residual Config'!$A$35:$A$42,0)),""))</f>
        <v>25</v>
      </c>
      <c r="R39" s="24" t="n">
        <v>1</v>
      </c>
      <c r="S39" s="8" t="s">
        <v>521</v>
      </c>
      <c r="T39" s="31" t="n">
        <f aca="false">IF(S39="","",MATCH(S39,'Residual Config'!$L$9:$L$12,0))</f>
        <v>2</v>
      </c>
      <c r="U39" s="8" t="s">
        <v>841</v>
      </c>
      <c r="V39" s="24" t="n">
        <v>3</v>
      </c>
      <c r="W39" s="33" t="s">
        <v>533</v>
      </c>
      <c r="X39" s="8" t="s">
        <v>754</v>
      </c>
      <c r="Y39" s="51" t="n">
        <f aca="false">IF(N39="","",EDATE(N39,IF(G39="N",INDEX('Residual Config'!$B$31:$D$31,1,MATCH(D39,'Residual Config'!$B$27:$D$27,0)),INDEX('Residual Config'!$B$28:$D$30,IF(T39=1,1,IF(T39=4,3,2)),MATCH(D39,'Residual Config'!$B$27:$D$27,0)))))</f>
        <v>46356</v>
      </c>
      <c r="Z39" s="7" t="str">
        <f aca="false">IF(I39="N/A","N/A",IF(N39="","Not tested",IF(W39="Rejected","Evidence rejected",IF(W39&lt;&gt;"Accepted","Evidence pending",IF(Y39&lt;'Residual Config'!$C$4,"Overdue","Current")))))</f>
        <v>Current</v>
      </c>
      <c r="AA39" s="34" t="n">
        <f aca="false">IF(I39="N/A","",IF(Z39&lt;&gt;"Current",4,IF(MAX(M39,T39)=0,4,MAX(M39,T39))))</f>
        <v>2</v>
      </c>
      <c r="AB39" s="7" t="str">
        <f aca="false">IF(AA39="","N/A",IF(Z39&lt;&gt;"Current","Not tested / overdue",INDEX('Residual Config'!$B$11:$B$14,AA39)))</f>
        <v>Largely effective</v>
      </c>
      <c r="AC39" s="36" t="n">
        <f aca="false">IF(AA39="","",INDEX('Residual Config'!$D$11:$D$14,AA39))</f>
        <v>0.4</v>
      </c>
      <c r="AD39" s="7" t="str">
        <f aca="false">IF(OR(I39="N/A",P39="",Q39=""),"",IF(P39&gt;=Q39,"Yes","No"))</f>
        <v>Yes</v>
      </c>
      <c r="AE39" s="8"/>
    </row>
    <row r="40" customFormat="false" ht="15" hidden="false" customHeight="false" outlineLevel="0" collapsed="false">
      <c r="A40" s="12" t="s">
        <v>842</v>
      </c>
      <c r="B40" s="26" t="str">
        <f aca="false">Entities!$A$5</f>
        <v>JO-HO</v>
      </c>
      <c r="C40" s="12" t="str">
        <f aca="false">INDEX(Entities!$B$5:$B$34,MATCH(B40,Entities!$A$5:$A$34,0))</f>
        <v>Arab Bank plc – Jordan (HO and domestic network)</v>
      </c>
      <c r="D40" s="7" t="str">
        <f aca="false">INDEX(Entities!$F$5:$F$34,MATCH(B40,Entities!$A$5:$A$34,0))</f>
        <v>Tier 1</v>
      </c>
      <c r="E40" s="26" t="str">
        <f aca="false">'Control Library'!$A$40</f>
        <v>CTL-OR-01</v>
      </c>
      <c r="F40" s="12" t="str">
        <f aca="false">INDEX('Control Library'!$B$5:$B$47,MATCH(E40,'Control Library'!$A$5:$A$47,0))</f>
        <v>Business continuity plans and annual testing</v>
      </c>
      <c r="G40" s="7" t="str">
        <f aca="false">INDEX('Control Library'!$F$5:$F$47,MATCH(E40,'Control Library'!$A$5:$A$47,0))</f>
        <v>Y</v>
      </c>
      <c r="H40" s="12" t="str">
        <f aca="false">INDEX('Control Library'!$E$5:$E$47,MATCH(E40,'Control Library'!$A$5:$A$47,0))</f>
        <v>Annual</v>
      </c>
      <c r="I40" s="7" t="str">
        <f aca="false">IF(INDEX('Control Library'!$I$5:$I$47,MATCH(E40,'Control Library'!$A$5:$A$47,0))="All","Y",IF(INDEX('Control Library'!$I$5:$I$47,MATCH(E40,'Control Library'!$A$5:$A$47,0))="Banks only",IF(COUNTIF('Residual Config'!$L$28:$L$30,INDEX(Entities!$E$5:$E$34,MATCH(B40,Entities!$A$5:$A$34,0)))&gt;0,"N/A","Y"),IF(INDEX(Entities!$G$5:$G$34,MATCH(B40,Entities!$A$5:$A$34,0))="Y","Y","N/A")))</f>
        <v>Y</v>
      </c>
      <c r="J40" s="8" t="s">
        <v>843</v>
      </c>
      <c r="K40" s="8" t="s">
        <v>752</v>
      </c>
      <c r="L40" s="7" t="str">
        <f aca="false">IF(OR(J40="",K40=""),"",IF(J40=K40,"Breach","OK"))</f>
        <v>OK</v>
      </c>
      <c r="M40" s="24" t="n">
        <v>2</v>
      </c>
      <c r="N40" s="50" t="n">
        <v>46245</v>
      </c>
      <c r="O40" s="8" t="s">
        <v>545</v>
      </c>
      <c r="P40" s="24" t="n">
        <v>1</v>
      </c>
      <c r="Q40" s="31" t="n">
        <f aca="false">IF(I40="N/A","",IFERROR(INDEX('Residual Config'!$B$35:$B$42,MATCH(H40,'Residual Config'!$A$35:$A$42,0)),""))</f>
        <v>1</v>
      </c>
      <c r="R40" s="24" t="n">
        <v>1</v>
      </c>
      <c r="S40" s="8" t="s">
        <v>521</v>
      </c>
      <c r="T40" s="31" t="n">
        <f aca="false">IF(S40="","",MATCH(S40,'Residual Config'!$L$9:$L$12,0))</f>
        <v>2</v>
      </c>
      <c r="U40" s="8" t="s">
        <v>844</v>
      </c>
      <c r="V40" s="24" t="n">
        <v>4</v>
      </c>
      <c r="W40" s="33" t="s">
        <v>533</v>
      </c>
      <c r="X40" s="8" t="s">
        <v>760</v>
      </c>
      <c r="Y40" s="51" t="n">
        <f aca="false">IF(N40="","",EDATE(N40,IF(G40="N",INDEX('Residual Config'!$B$31:$D$31,1,MATCH(D40,'Residual Config'!$B$27:$D$27,0)),INDEX('Residual Config'!$B$28:$D$30,IF(T40=1,1,IF(T40=4,3,2)),MATCH(D40,'Residual Config'!$B$27:$D$27,0)))))</f>
        <v>46337</v>
      </c>
      <c r="Z40" s="7" t="str">
        <f aca="false">IF(I40="N/A","N/A",IF(N40="","Not tested",IF(W40="Rejected","Evidence rejected",IF(W40&lt;&gt;"Accepted","Evidence pending",IF(Y40&lt;'Residual Config'!$C$4,"Overdue","Current")))))</f>
        <v>Current</v>
      </c>
      <c r="AA40" s="34" t="n">
        <f aca="false">IF(I40="N/A","",IF(Z40&lt;&gt;"Current",4,IF(MAX(M40,T40)=0,4,MAX(M40,T40))))</f>
        <v>2</v>
      </c>
      <c r="AB40" s="7" t="str">
        <f aca="false">IF(AA40="","N/A",IF(Z40&lt;&gt;"Current","Not tested / overdue",INDEX('Residual Config'!$B$11:$B$14,AA40)))</f>
        <v>Largely effective</v>
      </c>
      <c r="AC40" s="36" t="n">
        <f aca="false">IF(AA40="","",INDEX('Residual Config'!$D$11:$D$14,AA40))</f>
        <v>0.4</v>
      </c>
      <c r="AD40" s="7" t="str">
        <f aca="false">IF(OR(I40="N/A",P40="",Q40=""),"",IF(P40&gt;=Q40,"Yes","No"))</f>
        <v>Yes</v>
      </c>
      <c r="AE40" s="8"/>
    </row>
    <row r="41" customFormat="false" ht="15" hidden="false" customHeight="false" outlineLevel="0" collapsed="false">
      <c r="A41" s="12" t="s">
        <v>845</v>
      </c>
      <c r="B41" s="26" t="str">
        <f aca="false">Entities!$A$5</f>
        <v>JO-HO</v>
      </c>
      <c r="C41" s="12" t="str">
        <f aca="false">INDEX(Entities!$B$5:$B$34,MATCH(B41,Entities!$A$5:$A$34,0))</f>
        <v>Arab Bank plc – Jordan (HO and domestic network)</v>
      </c>
      <c r="D41" s="7" t="str">
        <f aca="false">INDEX(Entities!$F$5:$F$34,MATCH(B41,Entities!$A$5:$A$34,0))</f>
        <v>Tier 1</v>
      </c>
      <c r="E41" s="26" t="str">
        <f aca="false">'Control Library'!$A$41</f>
        <v>CTL-OR-02</v>
      </c>
      <c r="F41" s="12" t="str">
        <f aca="false">INDEX('Control Library'!$B$5:$B$47,MATCH(E41,'Control Library'!$A$5:$A$47,0))</f>
        <v>Operational loss event capture and RCSA</v>
      </c>
      <c r="G41" s="7" t="str">
        <f aca="false">INDEX('Control Library'!$F$5:$F$47,MATCH(E41,'Control Library'!$A$5:$A$47,0))</f>
        <v>N</v>
      </c>
      <c r="H41" s="12" t="str">
        <f aca="false">INDEX('Control Library'!$E$5:$E$47,MATCH(E41,'Control Library'!$A$5:$A$47,0))</f>
        <v>Quarterly</v>
      </c>
      <c r="I41" s="7" t="str">
        <f aca="false">IF(INDEX('Control Library'!$I$5:$I$47,MATCH(E41,'Control Library'!$A$5:$A$47,0))="All","Y",IF(INDEX('Control Library'!$I$5:$I$47,MATCH(E41,'Control Library'!$A$5:$A$47,0))="Banks only",IF(COUNTIF('Residual Config'!$L$28:$L$30,INDEX(Entities!$E$5:$E$34,MATCH(B41,Entities!$A$5:$A$34,0)))&gt;0,"N/A","Y"),IF(INDEX(Entities!$G$5:$G$34,MATCH(B41,Entities!$A$5:$A$34,0))="Y","Y","N/A")))</f>
        <v>Y</v>
      </c>
      <c r="J41" s="8" t="s">
        <v>835</v>
      </c>
      <c r="K41" s="8" t="s">
        <v>764</v>
      </c>
      <c r="L41" s="7" t="str">
        <f aca="false">IF(OR(J41="",K41=""),"",IF(J41=K41,"Breach","OK"))</f>
        <v>OK</v>
      </c>
      <c r="M41" s="24" t="n">
        <v>2</v>
      </c>
      <c r="N41" s="50" t="n">
        <v>46024</v>
      </c>
      <c r="O41" s="8" t="s">
        <v>545</v>
      </c>
      <c r="P41" s="24" t="n">
        <v>2</v>
      </c>
      <c r="Q41" s="31" t="n">
        <f aca="false">IF(I41="N/A","",IFERROR(INDEX('Residual Config'!$B$35:$B$42,MATCH(H41,'Residual Config'!$A$35:$A$42,0)),""))</f>
        <v>2</v>
      </c>
      <c r="R41" s="24" t="n">
        <v>0</v>
      </c>
      <c r="S41" s="8" t="s">
        <v>516</v>
      </c>
      <c r="T41" s="31" t="n">
        <f aca="false">IF(S41="","",MATCH(S41,'Residual Config'!$L$9:$L$12,0))</f>
        <v>1</v>
      </c>
      <c r="U41" s="8" t="s">
        <v>846</v>
      </c>
      <c r="V41" s="24" t="n">
        <v>4</v>
      </c>
      <c r="W41" s="33" t="s">
        <v>533</v>
      </c>
      <c r="X41" s="8" t="s">
        <v>760</v>
      </c>
      <c r="Y41" s="51" t="n">
        <f aca="false">IF(N41="","",EDATE(N41,IF(G41="N",INDEX('Residual Config'!$B$31:$D$31,1,MATCH(D41,'Residual Config'!$B$27:$D$27,0)),INDEX('Residual Config'!$B$28:$D$30,IF(T41=1,1,IF(T41=4,3,2)),MATCH(D41,'Residual Config'!$B$27:$D$27,0)))))</f>
        <v>46389</v>
      </c>
      <c r="Z41" s="7" t="str">
        <f aca="false">IF(I41="N/A","N/A",IF(N41="","Not tested",IF(W41="Rejected","Evidence rejected",IF(W41&lt;&gt;"Accepted","Evidence pending",IF(Y41&lt;'Residual Config'!$C$4,"Overdue","Current")))))</f>
        <v>Current</v>
      </c>
      <c r="AA41" s="34" t="n">
        <f aca="false">IF(I41="N/A","",IF(Z41&lt;&gt;"Current",4,IF(MAX(M41,T41)=0,4,MAX(M41,T41))))</f>
        <v>2</v>
      </c>
      <c r="AB41" s="7" t="str">
        <f aca="false">IF(AA41="","N/A",IF(Z41&lt;&gt;"Current","Not tested / overdue",INDEX('Residual Config'!$B$11:$B$14,AA41)))</f>
        <v>Largely effective</v>
      </c>
      <c r="AC41" s="36" t="n">
        <f aca="false">IF(AA41="","",INDEX('Residual Config'!$D$11:$D$14,AA41))</f>
        <v>0.4</v>
      </c>
      <c r="AD41" s="7" t="str">
        <f aca="false">IF(OR(I41="N/A",P41="",Q41=""),"",IF(P41&gt;=Q41,"Yes","No"))</f>
        <v>Yes</v>
      </c>
      <c r="AE41" s="8"/>
    </row>
    <row r="42" customFormat="false" ht="15" hidden="false" customHeight="false" outlineLevel="0" collapsed="false">
      <c r="A42" s="12" t="s">
        <v>847</v>
      </c>
      <c r="B42" s="26" t="str">
        <f aca="false">Entities!$A$5</f>
        <v>JO-HO</v>
      </c>
      <c r="C42" s="12" t="str">
        <f aca="false">INDEX(Entities!$B$5:$B$34,MATCH(B42,Entities!$A$5:$A$34,0))</f>
        <v>Arab Bank plc – Jordan (HO and domestic network)</v>
      </c>
      <c r="D42" s="7" t="str">
        <f aca="false">INDEX(Entities!$F$5:$F$34,MATCH(B42,Entities!$A$5:$A$34,0))</f>
        <v>Tier 1</v>
      </c>
      <c r="E42" s="26" t="str">
        <f aca="false">'Control Library'!$A$42</f>
        <v>CTL-CY-01</v>
      </c>
      <c r="F42" s="12" t="str">
        <f aca="false">INDEX('Control Library'!$B$5:$B$47,MATCH(E42,'Control Library'!$A$5:$A$47,0))</f>
        <v>Vulnerability and patch management</v>
      </c>
      <c r="G42" s="7" t="str">
        <f aca="false">INDEX('Control Library'!$F$5:$F$47,MATCH(E42,'Control Library'!$A$5:$A$47,0))</f>
        <v>Y</v>
      </c>
      <c r="H42" s="12" t="str">
        <f aca="false">INDEX('Control Library'!$E$5:$E$47,MATCH(E42,'Control Library'!$A$5:$A$47,0))</f>
        <v>Monthly</v>
      </c>
      <c r="I42" s="7" t="str">
        <f aca="false">IF(INDEX('Control Library'!$I$5:$I$47,MATCH(E42,'Control Library'!$A$5:$A$47,0))="All","Y",IF(INDEX('Control Library'!$I$5:$I$47,MATCH(E42,'Control Library'!$A$5:$A$47,0))="Banks only",IF(COUNTIF('Residual Config'!$L$28:$L$30,INDEX(Entities!$E$5:$E$34,MATCH(B42,Entities!$A$5:$A$34,0)))&gt;0,"N/A","Y"),IF(INDEX(Entities!$G$5:$G$34,MATCH(B42,Entities!$A$5:$A$34,0))="Y","Y","N/A")))</f>
        <v>Y</v>
      </c>
      <c r="J42" s="8" t="s">
        <v>779</v>
      </c>
      <c r="K42" s="8" t="s">
        <v>752</v>
      </c>
      <c r="L42" s="7" t="str">
        <f aca="false">IF(OR(J42="",K42=""),"",IF(J42=K42,"Breach","OK"))</f>
        <v>OK</v>
      </c>
      <c r="M42" s="24" t="n">
        <v>1</v>
      </c>
      <c r="N42" s="50" t="n">
        <v>46285</v>
      </c>
      <c r="O42" s="8" t="s">
        <v>546</v>
      </c>
      <c r="P42" s="24" t="n">
        <v>3</v>
      </c>
      <c r="Q42" s="31" t="n">
        <f aca="false">IF(I42="N/A","",IFERROR(INDEX('Residual Config'!$B$35:$B$42,MATCH(H42,'Residual Config'!$A$35:$A$42,0)),""))</f>
        <v>3</v>
      </c>
      <c r="R42" s="24" t="n">
        <v>1</v>
      </c>
      <c r="S42" s="8" t="s">
        <v>521</v>
      </c>
      <c r="T42" s="31" t="n">
        <f aca="false">IF(S42="","",MATCH(S42,'Residual Config'!$L$9:$L$12,0))</f>
        <v>2</v>
      </c>
      <c r="U42" s="8" t="s">
        <v>848</v>
      </c>
      <c r="V42" s="24" t="n">
        <v>6</v>
      </c>
      <c r="W42" s="33" t="s">
        <v>533</v>
      </c>
      <c r="X42" s="8" t="s">
        <v>754</v>
      </c>
      <c r="Y42" s="51" t="n">
        <f aca="false">IF(N42="","",EDATE(N42,IF(G42="N",INDEX('Residual Config'!$B$31:$D$31,1,MATCH(D42,'Residual Config'!$B$27:$D$27,0)),INDEX('Residual Config'!$B$28:$D$30,IF(T42=1,1,IF(T42=4,3,2)),MATCH(D42,'Residual Config'!$B$27:$D$27,0)))))</f>
        <v>46376</v>
      </c>
      <c r="Z42" s="7" t="str">
        <f aca="false">IF(I42="N/A","N/A",IF(N42="","Not tested",IF(W42="Rejected","Evidence rejected",IF(W42&lt;&gt;"Accepted","Evidence pending",IF(Y42&lt;'Residual Config'!$C$4,"Overdue","Current")))))</f>
        <v>Current</v>
      </c>
      <c r="AA42" s="34" t="n">
        <f aca="false">IF(I42="N/A","",IF(Z42&lt;&gt;"Current",4,IF(MAX(M42,T42)=0,4,MAX(M42,T42))))</f>
        <v>2</v>
      </c>
      <c r="AB42" s="7" t="str">
        <f aca="false">IF(AA42="","N/A",IF(Z42&lt;&gt;"Current","Not tested / overdue",INDEX('Residual Config'!$B$11:$B$14,AA42)))</f>
        <v>Largely effective</v>
      </c>
      <c r="AC42" s="36" t="n">
        <f aca="false">IF(AA42="","",INDEX('Residual Config'!$D$11:$D$14,AA42))</f>
        <v>0.4</v>
      </c>
      <c r="AD42" s="7" t="str">
        <f aca="false">IF(OR(I42="N/A",P42="",Q42=""),"",IF(P42&gt;=Q42,"Yes","No"))</f>
        <v>Yes</v>
      </c>
      <c r="AE42" s="8"/>
    </row>
    <row r="43" customFormat="false" ht="15" hidden="false" customHeight="false" outlineLevel="0" collapsed="false">
      <c r="A43" s="12" t="s">
        <v>849</v>
      </c>
      <c r="B43" s="26" t="str">
        <f aca="false">Entities!$A$5</f>
        <v>JO-HO</v>
      </c>
      <c r="C43" s="12" t="str">
        <f aca="false">INDEX(Entities!$B$5:$B$34,MATCH(B43,Entities!$A$5:$A$34,0))</f>
        <v>Arab Bank plc – Jordan (HO and domestic network)</v>
      </c>
      <c r="D43" s="7" t="str">
        <f aca="false">INDEX(Entities!$F$5:$F$34,MATCH(B43,Entities!$A$5:$A$34,0))</f>
        <v>Tier 1</v>
      </c>
      <c r="E43" s="26" t="str">
        <f aca="false">'Control Library'!$A$43</f>
        <v>CTL-CY-02</v>
      </c>
      <c r="F43" s="12" t="str">
        <f aca="false">INDEX('Control Library'!$B$5:$B$47,MATCH(E43,'Control Library'!$A$5:$A$47,0))</f>
        <v>Privileged access management and SOC monitoring</v>
      </c>
      <c r="G43" s="7" t="str">
        <f aca="false">INDEX('Control Library'!$F$5:$F$47,MATCH(E43,'Control Library'!$A$5:$A$47,0))</f>
        <v>Y</v>
      </c>
      <c r="H43" s="12" t="str">
        <f aca="false">INDEX('Control Library'!$E$5:$E$47,MATCH(E43,'Control Library'!$A$5:$A$47,0))</f>
        <v>Continuous</v>
      </c>
      <c r="I43" s="7" t="str">
        <f aca="false">IF(INDEX('Control Library'!$I$5:$I$47,MATCH(E43,'Control Library'!$A$5:$A$47,0))="All","Y",IF(INDEX('Control Library'!$I$5:$I$47,MATCH(E43,'Control Library'!$A$5:$A$47,0))="Banks only",IF(COUNTIF('Residual Config'!$L$28:$L$30,INDEX(Entities!$E$5:$E$34,MATCH(B43,Entities!$A$5:$A$34,0)))&gt;0,"N/A","Y"),IF(INDEX(Entities!$G$5:$G$34,MATCH(B43,Entities!$A$5:$A$34,0))="Y","Y","N/A")))</f>
        <v>Y</v>
      </c>
      <c r="J43" s="8" t="s">
        <v>828</v>
      </c>
      <c r="K43" s="8" t="s">
        <v>752</v>
      </c>
      <c r="L43" s="7" t="str">
        <f aca="false">IF(OR(J43="",K43=""),"",IF(J43=K43,"Breach","OK"))</f>
        <v>OK</v>
      </c>
      <c r="M43" s="24" t="n">
        <v>1</v>
      </c>
      <c r="N43" s="50" t="n">
        <v>46260</v>
      </c>
      <c r="O43" s="8" t="s">
        <v>546</v>
      </c>
      <c r="P43" s="24" t="n">
        <v>1</v>
      </c>
      <c r="Q43" s="31" t="n">
        <f aca="false">IF(I43="N/A","",IFERROR(INDEX('Residual Config'!$B$35:$B$42,MATCH(H43,'Residual Config'!$A$35:$A$42,0)),""))</f>
        <v>1</v>
      </c>
      <c r="R43" s="24" t="n">
        <v>1</v>
      </c>
      <c r="S43" s="8" t="s">
        <v>521</v>
      </c>
      <c r="T43" s="31" t="n">
        <f aca="false">IF(S43="","",MATCH(S43,'Residual Config'!$L$9:$L$12,0))</f>
        <v>2</v>
      </c>
      <c r="U43" s="8" t="s">
        <v>850</v>
      </c>
      <c r="V43" s="24" t="n">
        <v>1</v>
      </c>
      <c r="W43" s="33" t="s">
        <v>533</v>
      </c>
      <c r="X43" s="8" t="s">
        <v>754</v>
      </c>
      <c r="Y43" s="51" t="n">
        <f aca="false">IF(N43="","",EDATE(N43,IF(G43="N",INDEX('Residual Config'!$B$31:$D$31,1,MATCH(D43,'Residual Config'!$B$27:$D$27,0)),INDEX('Residual Config'!$B$28:$D$30,IF(T43=1,1,IF(T43=4,3,2)),MATCH(D43,'Residual Config'!$B$27:$D$27,0)))))</f>
        <v>46352</v>
      </c>
      <c r="Z43" s="7" t="str">
        <f aca="false">IF(I43="N/A","N/A",IF(N43="","Not tested",IF(W43="Rejected","Evidence rejected",IF(W43&lt;&gt;"Accepted","Evidence pending",IF(Y43&lt;'Residual Config'!$C$4,"Overdue","Current")))))</f>
        <v>Current</v>
      </c>
      <c r="AA43" s="34" t="n">
        <f aca="false">IF(I43="N/A","",IF(Z43&lt;&gt;"Current",4,IF(MAX(M43,T43)=0,4,MAX(M43,T43))))</f>
        <v>2</v>
      </c>
      <c r="AB43" s="7" t="str">
        <f aca="false">IF(AA43="","N/A",IF(Z43&lt;&gt;"Current","Not tested / overdue",INDEX('Residual Config'!$B$11:$B$14,AA43)))</f>
        <v>Largely effective</v>
      </c>
      <c r="AC43" s="36" t="n">
        <f aca="false">IF(AA43="","",INDEX('Residual Config'!$D$11:$D$14,AA43))</f>
        <v>0.4</v>
      </c>
      <c r="AD43" s="7" t="str">
        <f aca="false">IF(OR(I43="N/A",P43="",Q43=""),"",IF(P43&gt;=Q43,"Yes","No"))</f>
        <v>Yes</v>
      </c>
      <c r="AE43" s="8"/>
    </row>
    <row r="44" customFormat="false" ht="15" hidden="false" customHeight="false" outlineLevel="0" collapsed="false">
      <c r="A44" s="12" t="s">
        <v>851</v>
      </c>
      <c r="B44" s="26" t="str">
        <f aca="false">Entities!$A$5</f>
        <v>JO-HO</v>
      </c>
      <c r="C44" s="12" t="str">
        <f aca="false">INDEX(Entities!$B$5:$B$34,MATCH(B44,Entities!$A$5:$A$34,0))</f>
        <v>Arab Bank plc – Jordan (HO and domestic network)</v>
      </c>
      <c r="D44" s="7" t="str">
        <f aca="false">INDEX(Entities!$F$5:$F$34,MATCH(B44,Entities!$A$5:$A$34,0))</f>
        <v>Tier 1</v>
      </c>
      <c r="E44" s="26" t="str">
        <f aca="false">'Control Library'!$A$44</f>
        <v>CTL-TP-01</v>
      </c>
      <c r="F44" s="12" t="str">
        <f aca="false">INDEX('Control Library'!$B$5:$B$47,MATCH(E44,'Control Library'!$A$5:$A$47,0))</f>
        <v>Critical vendor due diligence and tested exit plans</v>
      </c>
      <c r="G44" s="7" t="str">
        <f aca="false">INDEX('Control Library'!$F$5:$F$47,MATCH(E44,'Control Library'!$A$5:$A$47,0))</f>
        <v>Y</v>
      </c>
      <c r="H44" s="12" t="str">
        <f aca="false">INDEX('Control Library'!$E$5:$E$47,MATCH(E44,'Control Library'!$A$5:$A$47,0))</f>
        <v>Annual</v>
      </c>
      <c r="I44" s="7" t="str">
        <f aca="false">IF(INDEX('Control Library'!$I$5:$I$47,MATCH(E44,'Control Library'!$A$5:$A$47,0))="All","Y",IF(INDEX('Control Library'!$I$5:$I$47,MATCH(E44,'Control Library'!$A$5:$A$47,0))="Banks only",IF(COUNTIF('Residual Config'!$L$28:$L$30,INDEX(Entities!$E$5:$E$34,MATCH(B44,Entities!$A$5:$A$34,0)))&gt;0,"N/A","Y"),IF(INDEX(Entities!$G$5:$G$34,MATCH(B44,Entities!$A$5:$A$34,0))="Y","Y","N/A")))</f>
        <v>Y</v>
      </c>
      <c r="J44" s="8" t="s">
        <v>796</v>
      </c>
      <c r="K44" s="8" t="s">
        <v>752</v>
      </c>
      <c r="L44" s="7" t="str">
        <f aca="false">IF(OR(J44="",K44=""),"",IF(J44=K44,"Breach","OK"))</f>
        <v>OK</v>
      </c>
      <c r="M44" s="24" t="n">
        <v>2</v>
      </c>
      <c r="N44" s="50" t="n">
        <v>46240</v>
      </c>
      <c r="O44" s="8" t="s">
        <v>546</v>
      </c>
      <c r="P44" s="24" t="n">
        <v>1</v>
      </c>
      <c r="Q44" s="31" t="n">
        <f aca="false">IF(I44="N/A","",IFERROR(INDEX('Residual Config'!$B$35:$B$42,MATCH(H44,'Residual Config'!$A$35:$A$42,0)),""))</f>
        <v>1</v>
      </c>
      <c r="R44" s="24" t="n">
        <v>1</v>
      </c>
      <c r="S44" s="8" t="s">
        <v>521</v>
      </c>
      <c r="T44" s="31" t="n">
        <f aca="false">IF(S44="","",MATCH(S44,'Residual Config'!$L$9:$L$12,0))</f>
        <v>2</v>
      </c>
      <c r="U44" s="8" t="s">
        <v>852</v>
      </c>
      <c r="V44" s="24" t="n">
        <v>1</v>
      </c>
      <c r="W44" s="33" t="s">
        <v>533</v>
      </c>
      <c r="X44" s="8" t="s">
        <v>754</v>
      </c>
      <c r="Y44" s="51" t="n">
        <f aca="false">IF(N44="","",EDATE(N44,IF(G44="N",INDEX('Residual Config'!$B$31:$D$31,1,MATCH(D44,'Residual Config'!$B$27:$D$27,0)),INDEX('Residual Config'!$B$28:$D$30,IF(T44=1,1,IF(T44=4,3,2)),MATCH(D44,'Residual Config'!$B$27:$D$27,0)))))</f>
        <v>46332</v>
      </c>
      <c r="Z44" s="7" t="str">
        <f aca="false">IF(I44="N/A","N/A",IF(N44="","Not tested",IF(W44="Rejected","Evidence rejected",IF(W44&lt;&gt;"Accepted","Evidence pending",IF(Y44&lt;'Residual Config'!$C$4,"Overdue","Current")))))</f>
        <v>Current</v>
      </c>
      <c r="AA44" s="34" t="n">
        <f aca="false">IF(I44="N/A","",IF(Z44&lt;&gt;"Current",4,IF(MAX(M44,T44)=0,4,MAX(M44,T44))))</f>
        <v>2</v>
      </c>
      <c r="AB44" s="7" t="str">
        <f aca="false">IF(AA44="","N/A",IF(Z44&lt;&gt;"Current","Not tested / overdue",INDEX('Residual Config'!$B$11:$B$14,AA44)))</f>
        <v>Largely effective</v>
      </c>
      <c r="AC44" s="36" t="n">
        <f aca="false">IF(AA44="","",INDEX('Residual Config'!$D$11:$D$14,AA44))</f>
        <v>0.4</v>
      </c>
      <c r="AD44" s="7" t="str">
        <f aca="false">IF(OR(I44="N/A",P44="",Q44=""),"",IF(P44&gt;=Q44,"Yes","No"))</f>
        <v>Yes</v>
      </c>
      <c r="AE44" s="8"/>
    </row>
    <row r="45" customFormat="false" ht="15" hidden="false" customHeight="false" outlineLevel="0" collapsed="false">
      <c r="A45" s="12" t="s">
        <v>853</v>
      </c>
      <c r="B45" s="26" t="str">
        <f aca="false">Entities!$A$5</f>
        <v>JO-HO</v>
      </c>
      <c r="C45" s="12" t="str">
        <f aca="false">INDEX(Entities!$B$5:$B$34,MATCH(B45,Entities!$A$5:$A$34,0))</f>
        <v>Arab Bank plc – Jordan (HO and domestic network)</v>
      </c>
      <c r="D45" s="7" t="str">
        <f aca="false">INDEX(Entities!$F$5:$F$34,MATCH(B45,Entities!$A$5:$A$34,0))</f>
        <v>Tier 1</v>
      </c>
      <c r="E45" s="26" t="str">
        <f aca="false">'Control Library'!$A$45</f>
        <v>CTL-LG-01</v>
      </c>
      <c r="F45" s="12" t="str">
        <f aca="false">INDEX('Control Library'!$B$5:$B$47,MATCH(E45,'Control Library'!$A$5:$A$47,0))</f>
        <v>Legal review of contracts and litigation register</v>
      </c>
      <c r="G45" s="7" t="str">
        <f aca="false">INDEX('Control Library'!$F$5:$F$47,MATCH(E45,'Control Library'!$A$5:$A$47,0))</f>
        <v>Y</v>
      </c>
      <c r="H45" s="12" t="str">
        <f aca="false">INDEX('Control Library'!$E$5:$E$47,MATCH(E45,'Control Library'!$A$5:$A$47,0))</f>
        <v>Event-driven</v>
      </c>
      <c r="I45" s="7" t="str">
        <f aca="false">IF(INDEX('Control Library'!$I$5:$I$47,MATCH(E45,'Control Library'!$A$5:$A$47,0))="All","Y",IF(INDEX('Control Library'!$I$5:$I$47,MATCH(E45,'Control Library'!$A$5:$A$47,0))="Banks only",IF(COUNTIF('Residual Config'!$L$28:$L$30,INDEX(Entities!$E$5:$E$34,MATCH(B45,Entities!$A$5:$A$34,0)))&gt;0,"N/A","Y"),IF(INDEX(Entities!$G$5:$G$34,MATCH(B45,Entities!$A$5:$A$34,0))="Y","Y","N/A")))</f>
        <v>Y</v>
      </c>
      <c r="J45" s="8" t="s">
        <v>854</v>
      </c>
      <c r="K45" s="8" t="s">
        <v>752</v>
      </c>
      <c r="L45" s="7" t="str">
        <f aca="false">IF(OR(J45="",K45=""),"",IF(J45=K45,"Breach","OK"))</f>
        <v>OK</v>
      </c>
      <c r="M45" s="24" t="n">
        <v>2</v>
      </c>
      <c r="N45" s="50" t="n">
        <v>46274</v>
      </c>
      <c r="O45" s="8" t="s">
        <v>545</v>
      </c>
      <c r="P45" s="24" t="n">
        <v>25</v>
      </c>
      <c r="Q45" s="31" t="n">
        <f aca="false">IF(I45="N/A","",IFERROR(INDEX('Residual Config'!$B$35:$B$42,MATCH(H45,'Residual Config'!$A$35:$A$42,0)),""))</f>
        <v>25</v>
      </c>
      <c r="R45" s="24" t="n">
        <v>0</v>
      </c>
      <c r="S45" s="8" t="s">
        <v>516</v>
      </c>
      <c r="T45" s="31" t="n">
        <f aca="false">IF(S45="","",MATCH(S45,'Residual Config'!$L$9:$L$12,0))</f>
        <v>1</v>
      </c>
      <c r="U45" s="8" t="s">
        <v>855</v>
      </c>
      <c r="V45" s="24" t="n">
        <v>4</v>
      </c>
      <c r="W45" s="33" t="s">
        <v>533</v>
      </c>
      <c r="X45" s="8" t="s">
        <v>760</v>
      </c>
      <c r="Y45" s="51" t="n">
        <f aca="false">IF(N45="","",EDATE(N45,IF(G45="N",INDEX('Residual Config'!$B$31:$D$31,1,MATCH(D45,'Residual Config'!$B$27:$D$27,0)),INDEX('Residual Config'!$B$28:$D$30,IF(T45=1,1,IF(T45=4,3,2)),MATCH(D45,'Residual Config'!$B$27:$D$27,0)))))</f>
        <v>46455</v>
      </c>
      <c r="Z45" s="7" t="str">
        <f aca="false">IF(I45="N/A","N/A",IF(N45="","Not tested",IF(W45="Rejected","Evidence rejected",IF(W45&lt;&gt;"Accepted","Evidence pending",IF(Y45&lt;'Residual Config'!$C$4,"Overdue","Current")))))</f>
        <v>Current</v>
      </c>
      <c r="AA45" s="34" t="n">
        <f aca="false">IF(I45="N/A","",IF(Z45&lt;&gt;"Current",4,IF(MAX(M45,T45)=0,4,MAX(M45,T45))))</f>
        <v>2</v>
      </c>
      <c r="AB45" s="7" t="str">
        <f aca="false">IF(AA45="","N/A",IF(Z45&lt;&gt;"Current","Not tested / overdue",INDEX('Residual Config'!$B$11:$B$14,AA45)))</f>
        <v>Largely effective</v>
      </c>
      <c r="AC45" s="36" t="n">
        <f aca="false">IF(AA45="","",INDEX('Residual Config'!$D$11:$D$14,AA45))</f>
        <v>0.4</v>
      </c>
      <c r="AD45" s="7" t="str">
        <f aca="false">IF(OR(I45="N/A",P45="",Q45=""),"",IF(P45&gt;=Q45,"Yes","No"))</f>
        <v>Yes</v>
      </c>
      <c r="AE45" s="8"/>
    </row>
    <row r="46" customFormat="false" ht="15" hidden="false" customHeight="false" outlineLevel="0" collapsed="false">
      <c r="A46" s="12" t="s">
        <v>856</v>
      </c>
      <c r="B46" s="26" t="str">
        <f aca="false">Entities!$A$5</f>
        <v>JO-HO</v>
      </c>
      <c r="C46" s="12" t="str">
        <f aca="false">INDEX(Entities!$B$5:$B$34,MATCH(B46,Entities!$A$5:$A$34,0))</f>
        <v>Arab Bank plc – Jordan (HO and domestic network)</v>
      </c>
      <c r="D46" s="7" t="str">
        <f aca="false">INDEX(Entities!$F$5:$F$34,MATCH(B46,Entities!$A$5:$A$34,0))</f>
        <v>Tier 1</v>
      </c>
      <c r="E46" s="26" t="str">
        <f aca="false">'Control Library'!$A$46</f>
        <v>CTL-RP-01</v>
      </c>
      <c r="F46" s="12" t="str">
        <f aca="false">INDEX('Control Library'!$B$5:$B$47,MATCH(E46,'Control Library'!$A$5:$A$47,0))</f>
        <v>Media monitoring and reputational-risk escalation</v>
      </c>
      <c r="G46" s="7" t="str">
        <f aca="false">INDEX('Control Library'!$F$5:$F$47,MATCH(E46,'Control Library'!$A$5:$A$47,0))</f>
        <v>Y</v>
      </c>
      <c r="H46" s="12" t="str">
        <f aca="false">INDEX('Control Library'!$E$5:$E$47,MATCH(E46,'Control Library'!$A$5:$A$47,0))</f>
        <v>Daily</v>
      </c>
      <c r="I46" s="7" t="str">
        <f aca="false">IF(INDEX('Control Library'!$I$5:$I$47,MATCH(E46,'Control Library'!$A$5:$A$47,0))="All","Y",IF(INDEX('Control Library'!$I$5:$I$47,MATCH(E46,'Control Library'!$A$5:$A$47,0))="Banks only",IF(COUNTIF('Residual Config'!$L$28:$L$30,INDEX(Entities!$E$5:$E$34,MATCH(B46,Entities!$A$5:$A$34,0)))&gt;0,"N/A","Y"),IF(INDEX(Entities!$G$5:$G$34,MATCH(B46,Entities!$A$5:$A$34,0))="Y","Y","N/A")))</f>
        <v>Y</v>
      </c>
      <c r="J46" s="8" t="s">
        <v>857</v>
      </c>
      <c r="K46" s="8" t="s">
        <v>752</v>
      </c>
      <c r="L46" s="7" t="str">
        <f aca="false">IF(OR(J46="",K46=""),"",IF(J46=K46,"Breach","OK"))</f>
        <v>OK</v>
      </c>
      <c r="M46" s="24" t="n">
        <v>2</v>
      </c>
      <c r="N46" s="50" t="n">
        <v>46228</v>
      </c>
      <c r="O46" s="8" t="s">
        <v>545</v>
      </c>
      <c r="P46" s="24" t="n">
        <v>25</v>
      </c>
      <c r="Q46" s="31" t="n">
        <f aca="false">IF(I46="N/A","",IFERROR(INDEX('Residual Config'!$B$35:$B$42,MATCH(H46,'Residual Config'!$A$35:$A$42,0)),""))</f>
        <v>25</v>
      </c>
      <c r="R46" s="24" t="n">
        <v>0</v>
      </c>
      <c r="S46" s="8" t="s">
        <v>516</v>
      </c>
      <c r="T46" s="31" t="n">
        <f aca="false">IF(S46="","",MATCH(S46,'Residual Config'!$L$9:$L$12,0))</f>
        <v>1</v>
      </c>
      <c r="U46" s="8" t="s">
        <v>858</v>
      </c>
      <c r="V46" s="24" t="n">
        <v>1</v>
      </c>
      <c r="W46" s="33" t="s">
        <v>533</v>
      </c>
      <c r="X46" s="8" t="s">
        <v>754</v>
      </c>
      <c r="Y46" s="51" t="n">
        <f aca="false">IF(N46="","",EDATE(N46,IF(G46="N",INDEX('Residual Config'!$B$31:$D$31,1,MATCH(D46,'Residual Config'!$B$27:$D$27,0)),INDEX('Residual Config'!$B$28:$D$30,IF(T46=1,1,IF(T46=4,3,2)),MATCH(D46,'Residual Config'!$B$27:$D$27,0)))))</f>
        <v>46412</v>
      </c>
      <c r="Z46" s="7" t="str">
        <f aca="false">IF(I46="N/A","N/A",IF(N46="","Not tested",IF(W46="Rejected","Evidence rejected",IF(W46&lt;&gt;"Accepted","Evidence pending",IF(Y46&lt;'Residual Config'!$C$4,"Overdue","Current")))))</f>
        <v>Current</v>
      </c>
      <c r="AA46" s="34" t="n">
        <f aca="false">IF(I46="N/A","",IF(Z46&lt;&gt;"Current",4,IF(MAX(M46,T46)=0,4,MAX(M46,T46))))</f>
        <v>2</v>
      </c>
      <c r="AB46" s="7" t="str">
        <f aca="false">IF(AA46="","N/A",IF(Z46&lt;&gt;"Current","Not tested / overdue",INDEX('Residual Config'!$B$11:$B$14,AA46)))</f>
        <v>Largely effective</v>
      </c>
      <c r="AC46" s="36" t="n">
        <f aca="false">IF(AA46="","",INDEX('Residual Config'!$D$11:$D$14,AA46))</f>
        <v>0.4</v>
      </c>
      <c r="AD46" s="7" t="str">
        <f aca="false">IF(OR(I46="N/A",P46="",Q46=""),"",IF(P46&gt;=Q46,"Yes","No"))</f>
        <v>Yes</v>
      </c>
      <c r="AE46" s="8"/>
    </row>
    <row r="47" customFormat="false" ht="15" hidden="false" customHeight="false" outlineLevel="0" collapsed="false">
      <c r="A47" s="12" t="s">
        <v>859</v>
      </c>
      <c r="B47" s="26" t="str">
        <f aca="false">Entities!$A$5</f>
        <v>JO-HO</v>
      </c>
      <c r="C47" s="12" t="str">
        <f aca="false">INDEX(Entities!$B$5:$B$34,MATCH(B47,Entities!$A$5:$A$34,0))</f>
        <v>Arab Bank plc – Jordan (HO and domestic network)</v>
      </c>
      <c r="D47" s="7" t="str">
        <f aca="false">INDEX(Entities!$F$5:$F$34,MATCH(B47,Entities!$A$5:$A$34,0))</f>
        <v>Tier 1</v>
      </c>
      <c r="E47" s="26" t="str">
        <f aca="false">'Control Library'!$A$47</f>
        <v>CTL-ST-01</v>
      </c>
      <c r="F47" s="12" t="str">
        <f aca="false">INDEX('Control Library'!$B$5:$B$47,MATCH(E47,'Control Library'!$A$5:$A$47,0))</f>
        <v>Strategy execution monitoring and E&amp;S screening of lending</v>
      </c>
      <c r="G47" s="7" t="str">
        <f aca="false">INDEX('Control Library'!$F$5:$F$47,MATCH(E47,'Control Library'!$A$5:$A$47,0))</f>
        <v>Y</v>
      </c>
      <c r="H47" s="12" t="str">
        <f aca="false">INDEX('Control Library'!$E$5:$E$47,MATCH(E47,'Control Library'!$A$5:$A$47,0))</f>
        <v>Quarterly</v>
      </c>
      <c r="I47" s="7" t="str">
        <f aca="false">IF(INDEX('Control Library'!$I$5:$I$47,MATCH(E47,'Control Library'!$A$5:$A$47,0))="All","Y",IF(INDEX('Control Library'!$I$5:$I$47,MATCH(E47,'Control Library'!$A$5:$A$47,0))="Banks only",IF(COUNTIF('Residual Config'!$L$28:$L$30,INDEX(Entities!$E$5:$E$34,MATCH(B47,Entities!$A$5:$A$34,0)))&gt;0,"N/A","Y"),IF(INDEX(Entities!$G$5:$G$34,MATCH(B47,Entities!$A$5:$A$34,0))="Y","Y","N/A")))</f>
        <v>Y</v>
      </c>
      <c r="J47" s="8" t="s">
        <v>860</v>
      </c>
      <c r="K47" s="8" t="s">
        <v>752</v>
      </c>
      <c r="L47" s="7" t="str">
        <f aca="false">IF(OR(J47="",K47=""),"",IF(J47=K47,"Breach","OK"))</f>
        <v>OK</v>
      </c>
      <c r="M47" s="24" t="n">
        <v>1</v>
      </c>
      <c r="N47" s="50" t="n">
        <v>46269</v>
      </c>
      <c r="O47" s="8" t="s">
        <v>545</v>
      </c>
      <c r="P47" s="24" t="n">
        <v>2</v>
      </c>
      <c r="Q47" s="31" t="n">
        <f aca="false">IF(I47="N/A","",IFERROR(INDEX('Residual Config'!$B$35:$B$42,MATCH(H47,'Residual Config'!$A$35:$A$42,0)),""))</f>
        <v>2</v>
      </c>
      <c r="R47" s="24" t="n">
        <v>0</v>
      </c>
      <c r="S47" s="8" t="s">
        <v>516</v>
      </c>
      <c r="T47" s="31" t="n">
        <f aca="false">IF(S47="","",MATCH(S47,'Residual Config'!$L$9:$L$12,0))</f>
        <v>1</v>
      </c>
      <c r="U47" s="8" t="s">
        <v>861</v>
      </c>
      <c r="V47" s="24" t="n">
        <v>4</v>
      </c>
      <c r="W47" s="33" t="s">
        <v>536</v>
      </c>
      <c r="X47" s="8"/>
      <c r="Y47" s="51" t="n">
        <f aca="false">IF(N47="","",EDATE(N47,IF(G47="N",INDEX('Residual Config'!$B$31:$D$31,1,MATCH(D47,'Residual Config'!$B$27:$D$27,0)),INDEX('Residual Config'!$B$28:$D$30,IF(T47=1,1,IF(T47=4,3,2)),MATCH(D47,'Residual Config'!$B$27:$D$27,0)))))</f>
        <v>46450</v>
      </c>
      <c r="Z47" s="7" t="str">
        <f aca="false">IF(I47="N/A","N/A",IF(N47="","Not tested",IF(W47="Rejected","Evidence rejected",IF(W47&lt;&gt;"Accepted","Evidence pending",IF(Y47&lt;'Residual Config'!$C$4,"Overdue","Current")))))</f>
        <v>Evidence pending</v>
      </c>
      <c r="AA47" s="34" t="n">
        <f aca="false">IF(I47="N/A","",IF(Z47&lt;&gt;"Current",4,IF(MAX(M47,T47)=0,4,MAX(M47,T47))))</f>
        <v>4</v>
      </c>
      <c r="AB47" s="7" t="str">
        <f aca="false">IF(AA47="","N/A",IF(Z47&lt;&gt;"Current","Not tested / overdue",INDEX('Residual Config'!$B$11:$B$14,AA47)))</f>
        <v>Not tested / overdue</v>
      </c>
      <c r="AC47" s="36" t="n">
        <f aca="false">IF(AA47="","",INDEX('Residual Config'!$D$11:$D$14,AA47))</f>
        <v>0</v>
      </c>
      <c r="AD47" s="7" t="str">
        <f aca="false">IF(OR(I47="N/A",P47="",Q47=""),"",IF(P47&gt;=Q47,"Yes","No"))</f>
        <v>Yes</v>
      </c>
      <c r="AE47" s="8"/>
    </row>
    <row r="48" customFormat="false" ht="15" hidden="false" customHeight="false" outlineLevel="0" collapsed="false">
      <c r="A48" s="12" t="s">
        <v>862</v>
      </c>
      <c r="B48" s="26" t="str">
        <f aca="false">Entities!$A$6</f>
        <v>JO-IIAB</v>
      </c>
      <c r="C48" s="12" t="str">
        <f aca="false">INDEX(Entities!$B$5:$B$34,MATCH(B48,Entities!$A$5:$A$34,0))</f>
        <v>Islamic International Arab Bank</v>
      </c>
      <c r="D48" s="7" t="str">
        <f aca="false">INDEX(Entities!$F$5:$F$34,MATCH(B48,Entities!$A$5:$A$34,0))</f>
        <v>Tier 1</v>
      </c>
      <c r="E48" s="26" t="str">
        <f aca="false">'Control Library'!$A$5</f>
        <v>CTL-KYC-01</v>
      </c>
      <c r="F48" s="12" t="str">
        <f aca="false">INDEX('Control Library'!$B$5:$B$47,MATCH(E48,'Control Library'!$A$5:$A$47,0))</f>
        <v>Customer due diligence and ID verification at onboarding</v>
      </c>
      <c r="G48" s="7" t="str">
        <f aca="false">INDEX('Control Library'!$F$5:$F$47,MATCH(E48,'Control Library'!$A$5:$A$47,0))</f>
        <v>Y</v>
      </c>
      <c r="H48" s="12" t="str">
        <f aca="false">INDEX('Control Library'!$E$5:$E$47,MATCH(E48,'Control Library'!$A$5:$A$47,0))</f>
        <v>Event-driven</v>
      </c>
      <c r="I48" s="7" t="str">
        <f aca="false">IF(INDEX('Control Library'!$I$5:$I$47,MATCH(E48,'Control Library'!$A$5:$A$47,0))="All","Y",IF(INDEX('Control Library'!$I$5:$I$47,MATCH(E48,'Control Library'!$A$5:$A$47,0))="Banks only",IF(COUNTIF('Residual Config'!$L$28:$L$30,INDEX(Entities!$E$5:$E$34,MATCH(B48,Entities!$A$5:$A$34,0)))&gt;0,"N/A","Y"),IF(INDEX(Entities!$G$5:$G$34,MATCH(B48,Entities!$A$5:$A$34,0))="Y","Y","N/A")))</f>
        <v>Y</v>
      </c>
      <c r="J48" s="8" t="s">
        <v>863</v>
      </c>
      <c r="K48" s="8" t="s">
        <v>752</v>
      </c>
      <c r="L48" s="7" t="str">
        <f aca="false">IF(OR(J48="",K48=""),"",IF(J48=K48,"Breach","OK"))</f>
        <v>OK</v>
      </c>
      <c r="M48" s="24" t="n">
        <v>1</v>
      </c>
      <c r="N48" s="50" t="n">
        <v>46242</v>
      </c>
      <c r="O48" s="8" t="s">
        <v>545</v>
      </c>
      <c r="P48" s="24" t="n">
        <v>35</v>
      </c>
      <c r="Q48" s="31" t="n">
        <f aca="false">IF(I48="N/A","",IFERROR(INDEX('Residual Config'!$B$35:$B$42,MATCH(H48,'Residual Config'!$A$35:$A$42,0)),""))</f>
        <v>25</v>
      </c>
      <c r="R48" s="24" t="n">
        <v>1</v>
      </c>
      <c r="S48" s="8" t="s">
        <v>521</v>
      </c>
      <c r="T48" s="31" t="n">
        <f aca="false">IF(S48="","",MATCH(S48,'Residual Config'!$L$9:$L$12,0))</f>
        <v>2</v>
      </c>
      <c r="U48" s="8" t="s">
        <v>864</v>
      </c>
      <c r="V48" s="24" t="n">
        <v>2</v>
      </c>
      <c r="W48" s="33" t="s">
        <v>533</v>
      </c>
      <c r="X48" s="8" t="s">
        <v>754</v>
      </c>
      <c r="Y48" s="51" t="n">
        <f aca="false">IF(N48="","",EDATE(N48,IF(G48="N",INDEX('Residual Config'!$B$31:$D$31,1,MATCH(D48,'Residual Config'!$B$27:$D$27,0)),INDEX('Residual Config'!$B$28:$D$30,IF(T48=1,1,IF(T48=4,3,2)),MATCH(D48,'Residual Config'!$B$27:$D$27,0)))))</f>
        <v>46334</v>
      </c>
      <c r="Z48" s="7" t="str">
        <f aca="false">IF(I48="N/A","N/A",IF(N48="","Not tested",IF(W48="Rejected","Evidence rejected",IF(W48&lt;&gt;"Accepted","Evidence pending",IF(Y48&lt;'Residual Config'!$C$4,"Overdue","Current")))))</f>
        <v>Current</v>
      </c>
      <c r="AA48" s="34" t="n">
        <f aca="false">IF(I48="N/A","",IF(Z48&lt;&gt;"Current",4,IF(MAX(M48,T48)=0,4,MAX(M48,T48))))</f>
        <v>2</v>
      </c>
      <c r="AB48" s="7" t="str">
        <f aca="false">IF(AA48="","N/A",IF(Z48&lt;&gt;"Current","Not tested / overdue",INDEX('Residual Config'!$B$11:$B$14,AA48)))</f>
        <v>Largely effective</v>
      </c>
      <c r="AC48" s="36" t="n">
        <f aca="false">IF(AA48="","",INDEX('Residual Config'!$D$11:$D$14,AA48))</f>
        <v>0.4</v>
      </c>
      <c r="AD48" s="7" t="str">
        <f aca="false">IF(OR(I48="N/A",P48="",Q48=""),"",IF(P48&gt;=Q48,"Yes","No"))</f>
        <v>Yes</v>
      </c>
      <c r="AE48" s="8"/>
    </row>
    <row r="49" customFormat="false" ht="15" hidden="false" customHeight="false" outlineLevel="0" collapsed="false">
      <c r="A49" s="12" t="s">
        <v>865</v>
      </c>
      <c r="B49" s="26" t="str">
        <f aca="false">Entities!$A$6</f>
        <v>JO-IIAB</v>
      </c>
      <c r="C49" s="12" t="str">
        <f aca="false">INDEX(Entities!$B$5:$B$34,MATCH(B49,Entities!$A$5:$A$34,0))</f>
        <v>Islamic International Arab Bank</v>
      </c>
      <c r="D49" s="7" t="str">
        <f aca="false">INDEX(Entities!$F$5:$F$34,MATCH(B49,Entities!$A$5:$A$34,0))</f>
        <v>Tier 1</v>
      </c>
      <c r="E49" s="26" t="str">
        <f aca="false">'Control Library'!$A$6</f>
        <v>CTL-KYC-02</v>
      </c>
      <c r="F49" s="12" t="str">
        <f aca="false">INDEX('Control Library'!$B$5:$B$47,MATCH(E49,'Control Library'!$A$5:$A$47,0))</f>
        <v>Enhanced due diligence for high-risk customers and PEPs, senior approval</v>
      </c>
      <c r="G49" s="7" t="str">
        <f aca="false">INDEX('Control Library'!$F$5:$F$47,MATCH(E49,'Control Library'!$A$5:$A$47,0))</f>
        <v>Y</v>
      </c>
      <c r="H49" s="12" t="str">
        <f aca="false">INDEX('Control Library'!$E$5:$E$47,MATCH(E49,'Control Library'!$A$5:$A$47,0))</f>
        <v>Event-driven</v>
      </c>
      <c r="I49" s="7" t="str">
        <f aca="false">IF(INDEX('Control Library'!$I$5:$I$47,MATCH(E49,'Control Library'!$A$5:$A$47,0))="All","Y",IF(INDEX('Control Library'!$I$5:$I$47,MATCH(E49,'Control Library'!$A$5:$A$47,0))="Banks only",IF(COUNTIF('Residual Config'!$L$28:$L$30,INDEX(Entities!$E$5:$E$34,MATCH(B49,Entities!$A$5:$A$34,0)))&gt;0,"N/A","Y"),IF(INDEX(Entities!$G$5:$G$34,MATCH(B49,Entities!$A$5:$A$34,0))="Y","Y","N/A")))</f>
        <v>Y</v>
      </c>
      <c r="J49" s="8" t="s">
        <v>866</v>
      </c>
      <c r="K49" s="8" t="s">
        <v>752</v>
      </c>
      <c r="L49" s="7" t="str">
        <f aca="false">IF(OR(J49="",K49=""),"",IF(J49=K49,"Breach","OK"))</f>
        <v>OK</v>
      </c>
      <c r="M49" s="24" t="n">
        <v>1</v>
      </c>
      <c r="N49" s="50" t="n">
        <v>46227</v>
      </c>
      <c r="O49" s="8" t="s">
        <v>545</v>
      </c>
      <c r="P49" s="24" t="n">
        <v>25</v>
      </c>
      <c r="Q49" s="31" t="n">
        <f aca="false">IF(I49="N/A","",IFERROR(INDEX('Residual Config'!$B$35:$B$42,MATCH(H49,'Residual Config'!$A$35:$A$42,0)),""))</f>
        <v>25</v>
      </c>
      <c r="R49" s="24" t="n">
        <v>0</v>
      </c>
      <c r="S49" s="8" t="s">
        <v>516</v>
      </c>
      <c r="T49" s="31" t="n">
        <f aca="false">IF(S49="","",MATCH(S49,'Residual Config'!$L$9:$L$12,0))</f>
        <v>1</v>
      </c>
      <c r="U49" s="8" t="s">
        <v>867</v>
      </c>
      <c r="V49" s="24" t="n">
        <v>3</v>
      </c>
      <c r="W49" s="33" t="s">
        <v>533</v>
      </c>
      <c r="X49" s="8" t="s">
        <v>760</v>
      </c>
      <c r="Y49" s="51" t="n">
        <f aca="false">IF(N49="","",EDATE(N49,IF(G49="N",INDEX('Residual Config'!$B$31:$D$31,1,MATCH(D49,'Residual Config'!$B$27:$D$27,0)),INDEX('Residual Config'!$B$28:$D$30,IF(T49=1,1,IF(T49=4,3,2)),MATCH(D49,'Residual Config'!$B$27:$D$27,0)))))</f>
        <v>46411</v>
      </c>
      <c r="Z49" s="7" t="str">
        <f aca="false">IF(I49="N/A","N/A",IF(N49="","Not tested",IF(W49="Rejected","Evidence rejected",IF(W49&lt;&gt;"Accepted","Evidence pending",IF(Y49&lt;'Residual Config'!$C$4,"Overdue","Current")))))</f>
        <v>Current</v>
      </c>
      <c r="AA49" s="34" t="n">
        <f aca="false">IF(I49="N/A","",IF(Z49&lt;&gt;"Current",4,IF(MAX(M49,T49)=0,4,MAX(M49,T49))))</f>
        <v>1</v>
      </c>
      <c r="AB49" s="7" t="str">
        <f aca="false">IF(AA49="","N/A",IF(Z49&lt;&gt;"Current","Not tested / overdue",INDEX('Residual Config'!$B$11:$B$14,AA49)))</f>
        <v>Effective</v>
      </c>
      <c r="AC49" s="36" t="n">
        <f aca="false">IF(AA49="","",INDEX('Residual Config'!$D$11:$D$14,AA49))</f>
        <v>0.6</v>
      </c>
      <c r="AD49" s="7" t="str">
        <f aca="false">IF(OR(I49="N/A",P49="",Q49=""),"",IF(P49&gt;=Q49,"Yes","No"))</f>
        <v>Yes</v>
      </c>
      <c r="AE49" s="8"/>
    </row>
    <row r="50" customFormat="false" ht="15" hidden="false" customHeight="false" outlineLevel="0" collapsed="false">
      <c r="A50" s="12" t="s">
        <v>868</v>
      </c>
      <c r="B50" s="26" t="str">
        <f aca="false">Entities!$A$6</f>
        <v>JO-IIAB</v>
      </c>
      <c r="C50" s="12" t="str">
        <f aca="false">INDEX(Entities!$B$5:$B$34,MATCH(B50,Entities!$A$5:$A$34,0))</f>
        <v>Islamic International Arab Bank</v>
      </c>
      <c r="D50" s="7" t="str">
        <f aca="false">INDEX(Entities!$F$5:$F$34,MATCH(B50,Entities!$A$5:$A$34,0))</f>
        <v>Tier 1</v>
      </c>
      <c r="E50" s="26" t="str">
        <f aca="false">'Control Library'!$A$7</f>
        <v>CTL-KYC-03</v>
      </c>
      <c r="F50" s="12" t="str">
        <f aca="false">INDEX('Control Library'!$B$5:$B$47,MATCH(E50,'Control Library'!$A$5:$A$47,0))</f>
        <v>Ultimate beneficial owner identification and verification</v>
      </c>
      <c r="G50" s="7" t="str">
        <f aca="false">INDEX('Control Library'!$F$5:$F$47,MATCH(E50,'Control Library'!$A$5:$A$47,0))</f>
        <v>Y</v>
      </c>
      <c r="H50" s="12" t="str">
        <f aca="false">INDEX('Control Library'!$E$5:$E$47,MATCH(E50,'Control Library'!$A$5:$A$47,0))</f>
        <v>Event-driven</v>
      </c>
      <c r="I50" s="7" t="str">
        <f aca="false">IF(INDEX('Control Library'!$I$5:$I$47,MATCH(E50,'Control Library'!$A$5:$A$47,0))="All","Y",IF(INDEX('Control Library'!$I$5:$I$47,MATCH(E50,'Control Library'!$A$5:$A$47,0))="Banks only",IF(COUNTIF('Residual Config'!$L$28:$L$30,INDEX(Entities!$E$5:$E$34,MATCH(B50,Entities!$A$5:$A$34,0)))&gt;0,"N/A","Y"),IF(INDEX(Entities!$G$5:$G$34,MATCH(B50,Entities!$A$5:$A$34,0))="Y","Y","N/A")))</f>
        <v>Y</v>
      </c>
      <c r="J50" s="8" t="s">
        <v>863</v>
      </c>
      <c r="K50" s="8" t="s">
        <v>752</v>
      </c>
      <c r="L50" s="7" t="str">
        <f aca="false">IF(OR(J50="",K50=""),"",IF(J50=K50,"Breach","OK"))</f>
        <v>OK</v>
      </c>
      <c r="M50" s="24" t="n">
        <v>1</v>
      </c>
      <c r="N50" s="50" t="n">
        <v>46173</v>
      </c>
      <c r="O50" s="8" t="s">
        <v>546</v>
      </c>
      <c r="P50" s="24" t="n">
        <v>25</v>
      </c>
      <c r="Q50" s="31" t="n">
        <f aca="false">IF(I50="N/A","",IFERROR(INDEX('Residual Config'!$B$35:$B$42,MATCH(H50,'Residual Config'!$A$35:$A$42,0)),""))</f>
        <v>25</v>
      </c>
      <c r="R50" s="24" t="n">
        <v>0</v>
      </c>
      <c r="S50" s="8" t="s">
        <v>516</v>
      </c>
      <c r="T50" s="31" t="n">
        <f aca="false">IF(S50="","",MATCH(S50,'Residual Config'!$L$9:$L$12,0))</f>
        <v>1</v>
      </c>
      <c r="U50" s="8" t="s">
        <v>869</v>
      </c>
      <c r="V50" s="24" t="n">
        <v>4</v>
      </c>
      <c r="W50" s="33" t="s">
        <v>536</v>
      </c>
      <c r="X50" s="8"/>
      <c r="Y50" s="51" t="n">
        <f aca="false">IF(N50="","",EDATE(N50,IF(G50="N",INDEX('Residual Config'!$B$31:$D$31,1,MATCH(D50,'Residual Config'!$B$27:$D$27,0)),INDEX('Residual Config'!$B$28:$D$30,IF(T50=1,1,IF(T50=4,3,2)),MATCH(D50,'Residual Config'!$B$27:$D$27,0)))))</f>
        <v>46356</v>
      </c>
      <c r="Z50" s="7" t="str">
        <f aca="false">IF(I50="N/A","N/A",IF(N50="","Not tested",IF(W50="Rejected","Evidence rejected",IF(W50&lt;&gt;"Accepted","Evidence pending",IF(Y50&lt;'Residual Config'!$C$4,"Overdue","Current")))))</f>
        <v>Evidence pending</v>
      </c>
      <c r="AA50" s="34" t="n">
        <f aca="false">IF(I50="N/A","",IF(Z50&lt;&gt;"Current",4,IF(MAX(M50,T50)=0,4,MAX(M50,T50))))</f>
        <v>4</v>
      </c>
      <c r="AB50" s="7" t="str">
        <f aca="false">IF(AA50="","N/A",IF(Z50&lt;&gt;"Current","Not tested / overdue",INDEX('Residual Config'!$B$11:$B$14,AA50)))</f>
        <v>Not tested / overdue</v>
      </c>
      <c r="AC50" s="36" t="n">
        <f aca="false">IF(AA50="","",INDEX('Residual Config'!$D$11:$D$14,AA50))</f>
        <v>0</v>
      </c>
      <c r="AD50" s="7" t="str">
        <f aca="false">IF(OR(I50="N/A",P50="",Q50=""),"",IF(P50&gt;=Q50,"Yes","No"))</f>
        <v>Yes</v>
      </c>
      <c r="AE50" s="8"/>
    </row>
    <row r="51" customFormat="false" ht="15" hidden="false" customHeight="false" outlineLevel="0" collapsed="false">
      <c r="A51" s="12" t="s">
        <v>870</v>
      </c>
      <c r="B51" s="26" t="str">
        <f aca="false">Entities!$A$6</f>
        <v>JO-IIAB</v>
      </c>
      <c r="C51" s="12" t="str">
        <f aca="false">INDEX(Entities!$B$5:$B$34,MATCH(B51,Entities!$A$5:$A$34,0))</f>
        <v>Islamic International Arab Bank</v>
      </c>
      <c r="D51" s="7" t="str">
        <f aca="false">INDEX(Entities!$F$5:$F$34,MATCH(B51,Entities!$A$5:$A$34,0))</f>
        <v>Tier 1</v>
      </c>
      <c r="E51" s="26" t="str">
        <f aca="false">'Control Library'!$A$8</f>
        <v>CTL-KYC-04</v>
      </c>
      <c r="F51" s="12" t="str">
        <f aca="false">INDEX('Control Library'!$B$5:$B$47,MATCH(E51,'Control Library'!$A$5:$A$47,0))</f>
        <v>Periodic KYC review by customer risk rating</v>
      </c>
      <c r="G51" s="7" t="str">
        <f aca="false">INDEX('Control Library'!$F$5:$F$47,MATCH(E51,'Control Library'!$A$5:$A$47,0))</f>
        <v>Y</v>
      </c>
      <c r="H51" s="12" t="str">
        <f aca="false">INDEX('Control Library'!$E$5:$E$47,MATCH(E51,'Control Library'!$A$5:$A$47,0))</f>
        <v>Monthly</v>
      </c>
      <c r="I51" s="7" t="str">
        <f aca="false">IF(INDEX('Control Library'!$I$5:$I$47,MATCH(E51,'Control Library'!$A$5:$A$47,0))="All","Y",IF(INDEX('Control Library'!$I$5:$I$47,MATCH(E51,'Control Library'!$A$5:$A$47,0))="Banks only",IF(COUNTIF('Residual Config'!$L$28:$L$30,INDEX(Entities!$E$5:$E$34,MATCH(B51,Entities!$A$5:$A$34,0)))&gt;0,"N/A","Y"),IF(INDEX(Entities!$G$5:$G$34,MATCH(B51,Entities!$A$5:$A$34,0))="Y","Y","N/A")))</f>
        <v>Y</v>
      </c>
      <c r="J51" s="8" t="s">
        <v>863</v>
      </c>
      <c r="K51" s="8" t="s">
        <v>752</v>
      </c>
      <c r="L51" s="7" t="str">
        <f aca="false">IF(OR(J51="",K51=""),"",IF(J51=K51,"Breach","OK"))</f>
        <v>OK</v>
      </c>
      <c r="M51" s="24" t="n">
        <v>2</v>
      </c>
      <c r="N51" s="50" t="n">
        <v>46282</v>
      </c>
      <c r="O51" s="8" t="s">
        <v>546</v>
      </c>
      <c r="P51" s="24" t="n">
        <v>3</v>
      </c>
      <c r="Q51" s="31" t="n">
        <f aca="false">IF(I51="N/A","",IFERROR(INDEX('Residual Config'!$B$35:$B$42,MATCH(H51,'Residual Config'!$A$35:$A$42,0)),""))</f>
        <v>3</v>
      </c>
      <c r="R51" s="24" t="n">
        <v>0</v>
      </c>
      <c r="S51" s="8" t="s">
        <v>516</v>
      </c>
      <c r="T51" s="31" t="n">
        <f aca="false">IF(S51="","",MATCH(S51,'Residual Config'!$L$9:$L$12,0))</f>
        <v>1</v>
      </c>
      <c r="U51" s="8" t="s">
        <v>871</v>
      </c>
      <c r="V51" s="24" t="n">
        <v>4</v>
      </c>
      <c r="W51" s="33" t="s">
        <v>533</v>
      </c>
      <c r="X51" s="8" t="s">
        <v>754</v>
      </c>
      <c r="Y51" s="51" t="n">
        <f aca="false">IF(N51="","",EDATE(N51,IF(G51="N",INDEX('Residual Config'!$B$31:$D$31,1,MATCH(D51,'Residual Config'!$B$27:$D$27,0)),INDEX('Residual Config'!$B$28:$D$30,IF(T51=1,1,IF(T51=4,3,2)),MATCH(D51,'Residual Config'!$B$27:$D$27,0)))))</f>
        <v>46463</v>
      </c>
      <c r="Z51" s="7" t="str">
        <f aca="false">IF(I51="N/A","N/A",IF(N51="","Not tested",IF(W51="Rejected","Evidence rejected",IF(W51&lt;&gt;"Accepted","Evidence pending",IF(Y51&lt;'Residual Config'!$C$4,"Overdue","Current")))))</f>
        <v>Current</v>
      </c>
      <c r="AA51" s="34" t="n">
        <f aca="false">IF(I51="N/A","",IF(Z51&lt;&gt;"Current",4,IF(MAX(M51,T51)=0,4,MAX(M51,T51))))</f>
        <v>2</v>
      </c>
      <c r="AB51" s="7" t="str">
        <f aca="false">IF(AA51="","N/A",IF(Z51&lt;&gt;"Current","Not tested / overdue",INDEX('Residual Config'!$B$11:$B$14,AA51)))</f>
        <v>Largely effective</v>
      </c>
      <c r="AC51" s="36" t="n">
        <f aca="false">IF(AA51="","",INDEX('Residual Config'!$D$11:$D$14,AA51))</f>
        <v>0.4</v>
      </c>
      <c r="AD51" s="7" t="str">
        <f aca="false">IF(OR(I51="N/A",P51="",Q51=""),"",IF(P51&gt;=Q51,"Yes","No"))</f>
        <v>Yes</v>
      </c>
      <c r="AE51" s="8"/>
    </row>
    <row r="52" customFormat="false" ht="15" hidden="false" customHeight="false" outlineLevel="0" collapsed="false">
      <c r="A52" s="12" t="s">
        <v>872</v>
      </c>
      <c r="B52" s="26" t="str">
        <f aca="false">Entities!$A$6</f>
        <v>JO-IIAB</v>
      </c>
      <c r="C52" s="12" t="str">
        <f aca="false">INDEX(Entities!$B$5:$B$34,MATCH(B52,Entities!$A$5:$A$34,0))</f>
        <v>Islamic International Arab Bank</v>
      </c>
      <c r="D52" s="7" t="str">
        <f aca="false">INDEX(Entities!$F$5:$F$34,MATCH(B52,Entities!$A$5:$A$34,0))</f>
        <v>Tier 1</v>
      </c>
      <c r="E52" s="26" t="str">
        <f aca="false">'Control Library'!$A$9</f>
        <v>CTL-CRR-01</v>
      </c>
      <c r="F52" s="12" t="str">
        <f aca="false">INDEX('Control Library'!$B$5:$B$47,MATCH(E52,'Control Library'!$A$5:$A$47,0))</f>
        <v>Customer risk rating model and annual validation</v>
      </c>
      <c r="G52" s="7" t="str">
        <f aca="false">INDEX('Control Library'!$F$5:$F$47,MATCH(E52,'Control Library'!$A$5:$A$47,0))</f>
        <v>N</v>
      </c>
      <c r="H52" s="12" t="str">
        <f aca="false">INDEX('Control Library'!$E$5:$E$47,MATCH(E52,'Control Library'!$A$5:$A$47,0))</f>
        <v>Annual</v>
      </c>
      <c r="I52" s="7" t="str">
        <f aca="false">IF(INDEX('Control Library'!$I$5:$I$47,MATCH(E52,'Control Library'!$A$5:$A$47,0))="All","Y",IF(INDEX('Control Library'!$I$5:$I$47,MATCH(E52,'Control Library'!$A$5:$A$47,0))="Banks only",IF(COUNTIF('Residual Config'!$L$28:$L$30,INDEX(Entities!$E$5:$E$34,MATCH(B52,Entities!$A$5:$A$34,0)))&gt;0,"N/A","Y"),IF(INDEX(Entities!$G$5:$G$34,MATCH(B52,Entities!$A$5:$A$34,0))="Y","Y","N/A")))</f>
        <v>Y</v>
      </c>
      <c r="J52" s="8" t="s">
        <v>866</v>
      </c>
      <c r="K52" s="8" t="s">
        <v>873</v>
      </c>
      <c r="L52" s="7" t="str">
        <f aca="false">IF(OR(J52="",K52=""),"",IF(J52=K52,"Breach","OK"))</f>
        <v>OK</v>
      </c>
      <c r="M52" s="24" t="n">
        <v>2</v>
      </c>
      <c r="N52" s="50" t="n">
        <v>46172</v>
      </c>
      <c r="O52" s="8" t="s">
        <v>547</v>
      </c>
      <c r="P52" s="24" t="n">
        <v>1</v>
      </c>
      <c r="Q52" s="31" t="n">
        <f aca="false">IF(I52="N/A","",IFERROR(INDEX('Residual Config'!$B$35:$B$42,MATCH(H52,'Residual Config'!$A$35:$A$42,0)),""))</f>
        <v>1</v>
      </c>
      <c r="R52" s="24" t="n">
        <v>0</v>
      </c>
      <c r="S52" s="8" t="s">
        <v>516</v>
      </c>
      <c r="T52" s="31" t="n">
        <f aca="false">IF(S52="","",MATCH(S52,'Residual Config'!$L$9:$L$12,0))</f>
        <v>1</v>
      </c>
      <c r="U52" s="8" t="s">
        <v>874</v>
      </c>
      <c r="V52" s="24" t="n">
        <v>3</v>
      </c>
      <c r="W52" s="33" t="s">
        <v>533</v>
      </c>
      <c r="X52" s="8" t="s">
        <v>760</v>
      </c>
      <c r="Y52" s="51" t="n">
        <f aca="false">IF(N52="","",EDATE(N52,IF(G52="N",INDEX('Residual Config'!$B$31:$D$31,1,MATCH(D52,'Residual Config'!$B$27:$D$27,0)),INDEX('Residual Config'!$B$28:$D$30,IF(T52=1,1,IF(T52=4,3,2)),MATCH(D52,'Residual Config'!$B$27:$D$27,0)))))</f>
        <v>46537</v>
      </c>
      <c r="Z52" s="7" t="str">
        <f aca="false">IF(I52="N/A","N/A",IF(N52="","Not tested",IF(W52="Rejected","Evidence rejected",IF(W52&lt;&gt;"Accepted","Evidence pending",IF(Y52&lt;'Residual Config'!$C$4,"Overdue","Current")))))</f>
        <v>Current</v>
      </c>
      <c r="AA52" s="34" t="n">
        <f aca="false">IF(I52="N/A","",IF(Z52&lt;&gt;"Current",4,IF(MAX(M52,T52)=0,4,MAX(M52,T52))))</f>
        <v>2</v>
      </c>
      <c r="AB52" s="7" t="str">
        <f aca="false">IF(AA52="","N/A",IF(Z52&lt;&gt;"Current","Not tested / overdue",INDEX('Residual Config'!$B$11:$B$14,AA52)))</f>
        <v>Largely effective</v>
      </c>
      <c r="AC52" s="36" t="n">
        <f aca="false">IF(AA52="","",INDEX('Residual Config'!$D$11:$D$14,AA52))</f>
        <v>0.4</v>
      </c>
      <c r="AD52" s="7" t="str">
        <f aca="false">IF(OR(I52="N/A",P52="",Q52=""),"",IF(P52&gt;=Q52,"Yes","No"))</f>
        <v>Yes</v>
      </c>
      <c r="AE52" s="8"/>
    </row>
    <row r="53" customFormat="false" ht="15" hidden="false" customHeight="false" outlineLevel="0" collapsed="false">
      <c r="A53" s="12" t="s">
        <v>875</v>
      </c>
      <c r="B53" s="26" t="str">
        <f aca="false">Entities!$A$6</f>
        <v>JO-IIAB</v>
      </c>
      <c r="C53" s="12" t="str">
        <f aca="false">INDEX(Entities!$B$5:$B$34,MATCH(B53,Entities!$A$5:$A$34,0))</f>
        <v>Islamic International Arab Bank</v>
      </c>
      <c r="D53" s="7" t="str">
        <f aca="false">INDEX(Entities!$F$5:$F$34,MATCH(B53,Entities!$A$5:$A$34,0))</f>
        <v>Tier 1</v>
      </c>
      <c r="E53" s="26" t="str">
        <f aca="false">'Control Library'!$A$10</f>
        <v>CTL-TM-01</v>
      </c>
      <c r="F53" s="12" t="str">
        <f aca="false">INDEX('Control Library'!$B$5:$B$47,MATCH(E53,'Control Library'!$A$5:$A$47,0))</f>
        <v>Automated transaction monitoring scenarios and annual tuning</v>
      </c>
      <c r="G53" s="7" t="str">
        <f aca="false">INDEX('Control Library'!$F$5:$F$47,MATCH(E53,'Control Library'!$A$5:$A$47,0))</f>
        <v>Y</v>
      </c>
      <c r="H53" s="12" t="str">
        <f aca="false">INDEX('Control Library'!$E$5:$E$47,MATCH(E53,'Control Library'!$A$5:$A$47,0))</f>
        <v>Continuous</v>
      </c>
      <c r="I53" s="7" t="str">
        <f aca="false">IF(INDEX('Control Library'!$I$5:$I$47,MATCH(E53,'Control Library'!$A$5:$A$47,0))="All","Y",IF(INDEX('Control Library'!$I$5:$I$47,MATCH(E53,'Control Library'!$A$5:$A$47,0))="Banks only",IF(COUNTIF('Residual Config'!$L$28:$L$30,INDEX(Entities!$E$5:$E$34,MATCH(B53,Entities!$A$5:$A$34,0)))&gt;0,"N/A","Y"),IF(INDEX(Entities!$G$5:$G$34,MATCH(B53,Entities!$A$5:$A$34,0))="Y","Y","N/A")))</f>
        <v>Y</v>
      </c>
      <c r="J53" s="8" t="s">
        <v>876</v>
      </c>
      <c r="K53" s="8" t="s">
        <v>752</v>
      </c>
      <c r="L53" s="7" t="str">
        <f aca="false">IF(OR(J53="",K53=""),"",IF(J53=K53,"Breach","OK"))</f>
        <v>OK</v>
      </c>
      <c r="M53" s="24" t="n">
        <v>1</v>
      </c>
      <c r="N53" s="50" t="n">
        <v>46239</v>
      </c>
      <c r="O53" s="8" t="s">
        <v>546</v>
      </c>
      <c r="P53" s="24" t="n">
        <v>1</v>
      </c>
      <c r="Q53" s="31" t="n">
        <f aca="false">IF(I53="N/A","",IFERROR(INDEX('Residual Config'!$B$35:$B$42,MATCH(H53,'Residual Config'!$A$35:$A$42,0)),""))</f>
        <v>1</v>
      </c>
      <c r="R53" s="24" t="n">
        <v>1</v>
      </c>
      <c r="S53" s="8" t="s">
        <v>521</v>
      </c>
      <c r="T53" s="31" t="n">
        <f aca="false">IF(S53="","",MATCH(S53,'Residual Config'!$L$9:$L$12,0))</f>
        <v>2</v>
      </c>
      <c r="U53" s="8" t="s">
        <v>877</v>
      </c>
      <c r="V53" s="24" t="n">
        <v>4</v>
      </c>
      <c r="W53" s="33" t="s">
        <v>533</v>
      </c>
      <c r="X53" s="8" t="s">
        <v>754</v>
      </c>
      <c r="Y53" s="51" t="n">
        <f aca="false">IF(N53="","",EDATE(N53,IF(G53="N",INDEX('Residual Config'!$B$31:$D$31,1,MATCH(D53,'Residual Config'!$B$27:$D$27,0)),INDEX('Residual Config'!$B$28:$D$30,IF(T53=1,1,IF(T53=4,3,2)),MATCH(D53,'Residual Config'!$B$27:$D$27,0)))))</f>
        <v>46331</v>
      </c>
      <c r="Z53" s="7" t="str">
        <f aca="false">IF(I53="N/A","N/A",IF(N53="","Not tested",IF(W53="Rejected","Evidence rejected",IF(W53&lt;&gt;"Accepted","Evidence pending",IF(Y53&lt;'Residual Config'!$C$4,"Overdue","Current")))))</f>
        <v>Current</v>
      </c>
      <c r="AA53" s="34" t="n">
        <f aca="false">IF(I53="N/A","",IF(Z53&lt;&gt;"Current",4,IF(MAX(M53,T53)=0,4,MAX(M53,T53))))</f>
        <v>2</v>
      </c>
      <c r="AB53" s="7" t="str">
        <f aca="false">IF(AA53="","N/A",IF(Z53&lt;&gt;"Current","Not tested / overdue",INDEX('Residual Config'!$B$11:$B$14,AA53)))</f>
        <v>Largely effective</v>
      </c>
      <c r="AC53" s="36" t="n">
        <f aca="false">IF(AA53="","",INDEX('Residual Config'!$D$11:$D$14,AA53))</f>
        <v>0.4</v>
      </c>
      <c r="AD53" s="7" t="str">
        <f aca="false">IF(OR(I53="N/A",P53="",Q53=""),"",IF(P53&gt;=Q53,"Yes","No"))</f>
        <v>Yes</v>
      </c>
      <c r="AE53" s="8"/>
    </row>
    <row r="54" customFormat="false" ht="15" hidden="false" customHeight="false" outlineLevel="0" collapsed="false">
      <c r="A54" s="12" t="s">
        <v>878</v>
      </c>
      <c r="B54" s="26" t="str">
        <f aca="false">Entities!$A$6</f>
        <v>JO-IIAB</v>
      </c>
      <c r="C54" s="12" t="str">
        <f aca="false">INDEX(Entities!$B$5:$B$34,MATCH(B54,Entities!$A$5:$A$34,0))</f>
        <v>Islamic International Arab Bank</v>
      </c>
      <c r="D54" s="7" t="str">
        <f aca="false">INDEX(Entities!$F$5:$F$34,MATCH(B54,Entities!$A$5:$A$34,0))</f>
        <v>Tier 1</v>
      </c>
      <c r="E54" s="26" t="str">
        <f aca="false">'Control Library'!$A$11</f>
        <v>CTL-TM-02</v>
      </c>
      <c r="F54" s="12" t="str">
        <f aca="false">INDEX('Control Library'!$B$5:$B$47,MATCH(E54,'Control Library'!$A$5:$A$47,0))</f>
        <v>Alert investigation and quality assurance within SLA</v>
      </c>
      <c r="G54" s="7" t="str">
        <f aca="false">INDEX('Control Library'!$F$5:$F$47,MATCH(E54,'Control Library'!$A$5:$A$47,0))</f>
        <v>Y</v>
      </c>
      <c r="H54" s="12" t="str">
        <f aca="false">INDEX('Control Library'!$E$5:$E$47,MATCH(E54,'Control Library'!$A$5:$A$47,0))</f>
        <v>Daily</v>
      </c>
      <c r="I54" s="7" t="str">
        <f aca="false">IF(INDEX('Control Library'!$I$5:$I$47,MATCH(E54,'Control Library'!$A$5:$A$47,0))="All","Y",IF(INDEX('Control Library'!$I$5:$I$47,MATCH(E54,'Control Library'!$A$5:$A$47,0))="Banks only",IF(COUNTIF('Residual Config'!$L$28:$L$30,INDEX(Entities!$E$5:$E$34,MATCH(B54,Entities!$A$5:$A$34,0)))&gt;0,"N/A","Y"),IF(INDEX(Entities!$G$5:$G$34,MATCH(B54,Entities!$A$5:$A$34,0))="Y","Y","N/A")))</f>
        <v>Y</v>
      </c>
      <c r="J54" s="8" t="s">
        <v>876</v>
      </c>
      <c r="K54" s="8" t="s">
        <v>752</v>
      </c>
      <c r="L54" s="7" t="str">
        <f aca="false">IF(OR(J54="",K54=""),"",IF(J54=K54,"Breach","OK"))</f>
        <v>OK</v>
      </c>
      <c r="M54" s="24" t="n">
        <v>2</v>
      </c>
      <c r="N54" s="50" t="n">
        <v>46240</v>
      </c>
      <c r="O54" s="8" t="s">
        <v>545</v>
      </c>
      <c r="P54" s="24" t="n">
        <v>25</v>
      </c>
      <c r="Q54" s="31" t="n">
        <f aca="false">IF(I54="N/A","",IFERROR(INDEX('Residual Config'!$B$35:$B$42,MATCH(H54,'Residual Config'!$A$35:$A$42,0)),""))</f>
        <v>25</v>
      </c>
      <c r="R54" s="24" t="n">
        <v>0</v>
      </c>
      <c r="S54" s="8" t="s">
        <v>516</v>
      </c>
      <c r="T54" s="31" t="n">
        <f aca="false">IF(S54="","",MATCH(S54,'Residual Config'!$L$9:$L$12,0))</f>
        <v>1</v>
      </c>
      <c r="U54" s="8" t="s">
        <v>879</v>
      </c>
      <c r="V54" s="24" t="n">
        <v>2</v>
      </c>
      <c r="W54" s="33" t="s">
        <v>533</v>
      </c>
      <c r="X54" s="8" t="s">
        <v>760</v>
      </c>
      <c r="Y54" s="51" t="n">
        <f aca="false">IF(N54="","",EDATE(N54,IF(G54="N",INDEX('Residual Config'!$B$31:$D$31,1,MATCH(D54,'Residual Config'!$B$27:$D$27,0)),INDEX('Residual Config'!$B$28:$D$30,IF(T54=1,1,IF(T54=4,3,2)),MATCH(D54,'Residual Config'!$B$27:$D$27,0)))))</f>
        <v>46424</v>
      </c>
      <c r="Z54" s="7" t="str">
        <f aca="false">IF(I54="N/A","N/A",IF(N54="","Not tested",IF(W54="Rejected","Evidence rejected",IF(W54&lt;&gt;"Accepted","Evidence pending",IF(Y54&lt;'Residual Config'!$C$4,"Overdue","Current")))))</f>
        <v>Current</v>
      </c>
      <c r="AA54" s="34" t="n">
        <f aca="false">IF(I54="N/A","",IF(Z54&lt;&gt;"Current",4,IF(MAX(M54,T54)=0,4,MAX(M54,T54))))</f>
        <v>2</v>
      </c>
      <c r="AB54" s="7" t="str">
        <f aca="false">IF(AA54="","N/A",IF(Z54&lt;&gt;"Current","Not tested / overdue",INDEX('Residual Config'!$B$11:$B$14,AA54)))</f>
        <v>Largely effective</v>
      </c>
      <c r="AC54" s="36" t="n">
        <f aca="false">IF(AA54="","",INDEX('Residual Config'!$D$11:$D$14,AA54))</f>
        <v>0.4</v>
      </c>
      <c r="AD54" s="7" t="str">
        <f aca="false">IF(OR(I54="N/A",P54="",Q54=""),"",IF(P54&gt;=Q54,"Yes","No"))</f>
        <v>Yes</v>
      </c>
      <c r="AE54" s="8"/>
    </row>
    <row r="55" customFormat="false" ht="15" hidden="false" customHeight="false" outlineLevel="0" collapsed="false">
      <c r="A55" s="12" t="s">
        <v>880</v>
      </c>
      <c r="B55" s="26" t="str">
        <f aca="false">Entities!$A$6</f>
        <v>JO-IIAB</v>
      </c>
      <c r="C55" s="12" t="str">
        <f aca="false">INDEX(Entities!$B$5:$B$34,MATCH(B55,Entities!$A$5:$A$34,0))</f>
        <v>Islamic International Arab Bank</v>
      </c>
      <c r="D55" s="7" t="str">
        <f aca="false">INDEX(Entities!$F$5:$F$34,MATCH(B55,Entities!$A$5:$A$34,0))</f>
        <v>Tier 1</v>
      </c>
      <c r="E55" s="26" t="str">
        <f aca="false">'Control Library'!$A$12</f>
        <v>CTL-STR-01</v>
      </c>
      <c r="F55" s="12" t="str">
        <f aca="false">INDEX('Control Library'!$B$5:$B$47,MATCH(E55,'Control Library'!$A$5:$A$47,0))</f>
        <v>STR decision and filing within regulatory deadline</v>
      </c>
      <c r="G55" s="7" t="str">
        <f aca="false">INDEX('Control Library'!$F$5:$F$47,MATCH(E55,'Control Library'!$A$5:$A$47,0))</f>
        <v>Y</v>
      </c>
      <c r="H55" s="12" t="str">
        <f aca="false">INDEX('Control Library'!$E$5:$E$47,MATCH(E55,'Control Library'!$A$5:$A$47,0))</f>
        <v>Event-driven</v>
      </c>
      <c r="I55" s="7" t="str">
        <f aca="false">IF(INDEX('Control Library'!$I$5:$I$47,MATCH(E55,'Control Library'!$A$5:$A$47,0))="All","Y",IF(INDEX('Control Library'!$I$5:$I$47,MATCH(E55,'Control Library'!$A$5:$A$47,0))="Banks only",IF(COUNTIF('Residual Config'!$L$28:$L$30,INDEX(Entities!$E$5:$E$34,MATCH(B55,Entities!$A$5:$A$34,0)))&gt;0,"N/A","Y"),IF(INDEX(Entities!$G$5:$G$34,MATCH(B55,Entities!$A$5:$A$34,0))="Y","Y","N/A")))</f>
        <v>Y</v>
      </c>
      <c r="J55" s="8" t="s">
        <v>876</v>
      </c>
      <c r="K55" s="8" t="s">
        <v>752</v>
      </c>
      <c r="L55" s="7" t="str">
        <f aca="false">IF(OR(J55="",K55=""),"",IF(J55=K55,"Breach","OK"))</f>
        <v>OK</v>
      </c>
      <c r="M55" s="24" t="n">
        <v>1</v>
      </c>
      <c r="N55" s="50" t="n">
        <v>46260</v>
      </c>
      <c r="O55" s="8" t="s">
        <v>545</v>
      </c>
      <c r="P55" s="24" t="n">
        <v>35</v>
      </c>
      <c r="Q55" s="31" t="n">
        <f aca="false">IF(I55="N/A","",IFERROR(INDEX('Residual Config'!$B$35:$B$42,MATCH(H55,'Residual Config'!$A$35:$A$42,0)),""))</f>
        <v>25</v>
      </c>
      <c r="R55" s="24" t="n">
        <v>1</v>
      </c>
      <c r="S55" s="8" t="s">
        <v>521</v>
      </c>
      <c r="T55" s="31" t="n">
        <f aca="false">IF(S55="","",MATCH(S55,'Residual Config'!$L$9:$L$12,0))</f>
        <v>2</v>
      </c>
      <c r="U55" s="8" t="s">
        <v>881</v>
      </c>
      <c r="V55" s="24" t="n">
        <v>2</v>
      </c>
      <c r="W55" s="33" t="s">
        <v>533</v>
      </c>
      <c r="X55" s="8" t="s">
        <v>760</v>
      </c>
      <c r="Y55" s="51" t="n">
        <f aca="false">IF(N55="","",EDATE(N55,IF(G55="N",INDEX('Residual Config'!$B$31:$D$31,1,MATCH(D55,'Residual Config'!$B$27:$D$27,0)),INDEX('Residual Config'!$B$28:$D$30,IF(T55=1,1,IF(T55=4,3,2)),MATCH(D55,'Residual Config'!$B$27:$D$27,0)))))</f>
        <v>46352</v>
      </c>
      <c r="Z55" s="7" t="str">
        <f aca="false">IF(I55="N/A","N/A",IF(N55="","Not tested",IF(W55="Rejected","Evidence rejected",IF(W55&lt;&gt;"Accepted","Evidence pending",IF(Y55&lt;'Residual Config'!$C$4,"Overdue","Current")))))</f>
        <v>Current</v>
      </c>
      <c r="AA55" s="34" t="n">
        <f aca="false">IF(I55="N/A","",IF(Z55&lt;&gt;"Current",4,IF(MAX(M55,T55)=0,4,MAX(M55,T55))))</f>
        <v>2</v>
      </c>
      <c r="AB55" s="7" t="str">
        <f aca="false">IF(AA55="","N/A",IF(Z55&lt;&gt;"Current","Not tested / overdue",INDEX('Residual Config'!$B$11:$B$14,AA55)))</f>
        <v>Largely effective</v>
      </c>
      <c r="AC55" s="36" t="n">
        <f aca="false">IF(AA55="","",INDEX('Residual Config'!$D$11:$D$14,AA55))</f>
        <v>0.4</v>
      </c>
      <c r="AD55" s="7" t="str">
        <f aca="false">IF(OR(I55="N/A",P55="",Q55=""),"",IF(P55&gt;=Q55,"Yes","No"))</f>
        <v>Yes</v>
      </c>
      <c r="AE55" s="8"/>
    </row>
    <row r="56" customFormat="false" ht="15" hidden="false" customHeight="false" outlineLevel="0" collapsed="false">
      <c r="A56" s="12" t="s">
        <v>882</v>
      </c>
      <c r="B56" s="26" t="str">
        <f aca="false">Entities!$A$6</f>
        <v>JO-IIAB</v>
      </c>
      <c r="C56" s="12" t="str">
        <f aca="false">INDEX(Entities!$B$5:$B$34,MATCH(B56,Entities!$A$5:$A$34,0))</f>
        <v>Islamic International Arab Bank</v>
      </c>
      <c r="D56" s="7" t="str">
        <f aca="false">INDEX(Entities!$F$5:$F$34,MATCH(B56,Entities!$A$5:$A$34,0))</f>
        <v>Tier 1</v>
      </c>
      <c r="E56" s="26" t="str">
        <f aca="false">'Control Library'!$A$13</f>
        <v>CTL-SAN-01</v>
      </c>
      <c r="F56" s="12" t="str">
        <f aca="false">INDEX('Control Library'!$B$5:$B$47,MATCH(E56,'Control Library'!$A$5:$A$47,0))</f>
        <v>Real-time payment and transaction sanctions screening</v>
      </c>
      <c r="G56" s="7" t="str">
        <f aca="false">INDEX('Control Library'!$F$5:$F$47,MATCH(E56,'Control Library'!$A$5:$A$47,0))</f>
        <v>Y</v>
      </c>
      <c r="H56" s="12" t="str">
        <f aca="false">INDEX('Control Library'!$E$5:$E$47,MATCH(E56,'Control Library'!$A$5:$A$47,0))</f>
        <v>Continuous</v>
      </c>
      <c r="I56" s="7" t="str">
        <f aca="false">IF(INDEX('Control Library'!$I$5:$I$47,MATCH(E56,'Control Library'!$A$5:$A$47,0))="All","Y",IF(INDEX('Control Library'!$I$5:$I$47,MATCH(E56,'Control Library'!$A$5:$A$47,0))="Banks only",IF(COUNTIF('Residual Config'!$L$28:$L$30,INDEX(Entities!$E$5:$E$34,MATCH(B56,Entities!$A$5:$A$34,0)))&gt;0,"N/A","Y"),IF(INDEX(Entities!$G$5:$G$34,MATCH(B56,Entities!$A$5:$A$34,0))="Y","Y","N/A")))</f>
        <v>Y</v>
      </c>
      <c r="J56" s="8" t="s">
        <v>883</v>
      </c>
      <c r="K56" s="8" t="s">
        <v>752</v>
      </c>
      <c r="L56" s="7" t="str">
        <f aca="false">IF(OR(J56="",K56=""),"",IF(J56=K56,"Breach","OK"))</f>
        <v>OK</v>
      </c>
      <c r="M56" s="24" t="n">
        <v>2</v>
      </c>
      <c r="N56" s="50" t="n">
        <v>46268</v>
      </c>
      <c r="O56" s="8" t="s">
        <v>547</v>
      </c>
      <c r="P56" s="24" t="n">
        <v>1</v>
      </c>
      <c r="Q56" s="31" t="n">
        <f aca="false">IF(I56="N/A","",IFERROR(INDEX('Residual Config'!$B$35:$B$42,MATCH(H56,'Residual Config'!$A$35:$A$42,0)),""))</f>
        <v>1</v>
      </c>
      <c r="R56" s="24" t="n">
        <v>0</v>
      </c>
      <c r="S56" s="8" t="s">
        <v>516</v>
      </c>
      <c r="T56" s="31" t="n">
        <f aca="false">IF(S56="","",MATCH(S56,'Residual Config'!$L$9:$L$12,0))</f>
        <v>1</v>
      </c>
      <c r="U56" s="8" t="s">
        <v>884</v>
      </c>
      <c r="V56" s="24" t="n">
        <v>2</v>
      </c>
      <c r="W56" s="33" t="s">
        <v>533</v>
      </c>
      <c r="X56" s="8" t="s">
        <v>760</v>
      </c>
      <c r="Y56" s="51" t="n">
        <f aca="false">IF(N56="","",EDATE(N56,IF(G56="N",INDEX('Residual Config'!$B$31:$D$31,1,MATCH(D56,'Residual Config'!$B$27:$D$27,0)),INDEX('Residual Config'!$B$28:$D$30,IF(T56=1,1,IF(T56=4,3,2)),MATCH(D56,'Residual Config'!$B$27:$D$27,0)))))</f>
        <v>46449</v>
      </c>
      <c r="Z56" s="7" t="str">
        <f aca="false">IF(I56="N/A","N/A",IF(N56="","Not tested",IF(W56="Rejected","Evidence rejected",IF(W56&lt;&gt;"Accepted","Evidence pending",IF(Y56&lt;'Residual Config'!$C$4,"Overdue","Current")))))</f>
        <v>Current</v>
      </c>
      <c r="AA56" s="34" t="n">
        <f aca="false">IF(I56="N/A","",IF(Z56&lt;&gt;"Current",4,IF(MAX(M56,T56)=0,4,MAX(M56,T56))))</f>
        <v>2</v>
      </c>
      <c r="AB56" s="7" t="str">
        <f aca="false">IF(AA56="","N/A",IF(Z56&lt;&gt;"Current","Not tested / overdue",INDEX('Residual Config'!$B$11:$B$14,AA56)))</f>
        <v>Largely effective</v>
      </c>
      <c r="AC56" s="36" t="n">
        <f aca="false">IF(AA56="","",INDEX('Residual Config'!$D$11:$D$14,AA56))</f>
        <v>0.4</v>
      </c>
      <c r="AD56" s="7" t="str">
        <f aca="false">IF(OR(I56="N/A",P56="",Q56=""),"",IF(P56&gt;=Q56,"Yes","No"))</f>
        <v>Yes</v>
      </c>
      <c r="AE56" s="8"/>
    </row>
    <row r="57" customFormat="false" ht="15" hidden="false" customHeight="false" outlineLevel="0" collapsed="false">
      <c r="A57" s="12" t="s">
        <v>885</v>
      </c>
      <c r="B57" s="26" t="str">
        <f aca="false">Entities!$A$6</f>
        <v>JO-IIAB</v>
      </c>
      <c r="C57" s="12" t="str">
        <f aca="false">INDEX(Entities!$B$5:$B$34,MATCH(B57,Entities!$A$5:$A$34,0))</f>
        <v>Islamic International Arab Bank</v>
      </c>
      <c r="D57" s="7" t="str">
        <f aca="false">INDEX(Entities!$F$5:$F$34,MATCH(B57,Entities!$A$5:$A$34,0))</f>
        <v>Tier 1</v>
      </c>
      <c r="E57" s="26" t="str">
        <f aca="false">'Control Library'!$A$14</f>
        <v>CTL-SAN-02</v>
      </c>
      <c r="F57" s="12" t="str">
        <f aca="false">INDEX('Control Library'!$B$5:$B$47,MATCH(E57,'Control Library'!$A$5:$A$47,0))</f>
        <v>Customer and counterparty screening at onboarding and on list change</v>
      </c>
      <c r="G57" s="7" t="str">
        <f aca="false">INDEX('Control Library'!$F$5:$F$47,MATCH(E57,'Control Library'!$A$5:$A$47,0))</f>
        <v>Y</v>
      </c>
      <c r="H57" s="12" t="str">
        <f aca="false">INDEX('Control Library'!$E$5:$E$47,MATCH(E57,'Control Library'!$A$5:$A$47,0))</f>
        <v>Continuous</v>
      </c>
      <c r="I57" s="7" t="str">
        <f aca="false">IF(INDEX('Control Library'!$I$5:$I$47,MATCH(E57,'Control Library'!$A$5:$A$47,0))="All","Y",IF(INDEX('Control Library'!$I$5:$I$47,MATCH(E57,'Control Library'!$A$5:$A$47,0))="Banks only",IF(COUNTIF('Residual Config'!$L$28:$L$30,INDEX(Entities!$E$5:$E$34,MATCH(B57,Entities!$A$5:$A$34,0)))&gt;0,"N/A","Y"),IF(INDEX(Entities!$G$5:$G$34,MATCH(B57,Entities!$A$5:$A$34,0))="Y","Y","N/A")))</f>
        <v>Y</v>
      </c>
      <c r="J57" s="8" t="s">
        <v>883</v>
      </c>
      <c r="K57" s="8" t="s">
        <v>752</v>
      </c>
      <c r="L57" s="7" t="str">
        <f aca="false">IF(OR(J57="",K57=""),"",IF(J57=K57,"Breach","OK"))</f>
        <v>OK</v>
      </c>
      <c r="M57" s="24" t="n">
        <v>2</v>
      </c>
      <c r="N57" s="50" t="n">
        <v>46263</v>
      </c>
      <c r="O57" s="8" t="s">
        <v>547</v>
      </c>
      <c r="P57" s="24" t="n">
        <v>1</v>
      </c>
      <c r="Q57" s="31" t="n">
        <f aca="false">IF(I57="N/A","",IFERROR(INDEX('Residual Config'!$B$35:$B$42,MATCH(H57,'Residual Config'!$A$35:$A$42,0)),""))</f>
        <v>1</v>
      </c>
      <c r="R57" s="24" t="n">
        <v>1</v>
      </c>
      <c r="S57" s="8" t="s">
        <v>521</v>
      </c>
      <c r="T57" s="31" t="n">
        <f aca="false">IF(S57="","",MATCH(S57,'Residual Config'!$L$9:$L$12,0))</f>
        <v>2</v>
      </c>
      <c r="U57" s="8" t="s">
        <v>886</v>
      </c>
      <c r="V57" s="24" t="n">
        <v>1</v>
      </c>
      <c r="W57" s="33" t="s">
        <v>536</v>
      </c>
      <c r="X57" s="8"/>
      <c r="Y57" s="51" t="n">
        <f aca="false">IF(N57="","",EDATE(N57,IF(G57="N",INDEX('Residual Config'!$B$31:$D$31,1,MATCH(D57,'Residual Config'!$B$27:$D$27,0)),INDEX('Residual Config'!$B$28:$D$30,IF(T57=1,1,IF(T57=4,3,2)),MATCH(D57,'Residual Config'!$B$27:$D$27,0)))))</f>
        <v>46355</v>
      </c>
      <c r="Z57" s="7" t="str">
        <f aca="false">IF(I57="N/A","N/A",IF(N57="","Not tested",IF(W57="Rejected","Evidence rejected",IF(W57&lt;&gt;"Accepted","Evidence pending",IF(Y57&lt;'Residual Config'!$C$4,"Overdue","Current")))))</f>
        <v>Evidence pending</v>
      </c>
      <c r="AA57" s="34" t="n">
        <f aca="false">IF(I57="N/A","",IF(Z57&lt;&gt;"Current",4,IF(MAX(M57,T57)=0,4,MAX(M57,T57))))</f>
        <v>4</v>
      </c>
      <c r="AB57" s="7" t="str">
        <f aca="false">IF(AA57="","N/A",IF(Z57&lt;&gt;"Current","Not tested / overdue",INDEX('Residual Config'!$B$11:$B$14,AA57)))</f>
        <v>Not tested / overdue</v>
      </c>
      <c r="AC57" s="36" t="n">
        <f aca="false">IF(AA57="","",INDEX('Residual Config'!$D$11:$D$14,AA57))</f>
        <v>0</v>
      </c>
      <c r="AD57" s="7" t="str">
        <f aca="false">IF(OR(I57="N/A",P57="",Q57=""),"",IF(P57&gt;=Q57,"Yes","No"))</f>
        <v>Yes</v>
      </c>
      <c r="AE57" s="8"/>
    </row>
    <row r="58" customFormat="false" ht="15" hidden="false" customHeight="false" outlineLevel="0" collapsed="false">
      <c r="A58" s="12" t="s">
        <v>887</v>
      </c>
      <c r="B58" s="26" t="str">
        <f aca="false">Entities!$A$6</f>
        <v>JO-IIAB</v>
      </c>
      <c r="C58" s="12" t="str">
        <f aca="false">INDEX(Entities!$B$5:$B$34,MATCH(B58,Entities!$A$5:$A$34,0))</f>
        <v>Islamic International Arab Bank</v>
      </c>
      <c r="D58" s="7" t="str">
        <f aca="false">INDEX(Entities!$F$5:$F$34,MATCH(B58,Entities!$A$5:$A$34,0))</f>
        <v>Tier 1</v>
      </c>
      <c r="E58" s="26" t="str">
        <f aca="false">'Control Library'!$A$15</f>
        <v>CTL-SAN-03</v>
      </c>
      <c r="F58" s="12" t="str">
        <f aca="false">INDEX('Control Library'!$B$5:$B$47,MATCH(E58,'Control Library'!$A$5:$A$47,0))</f>
        <v>Sanctions list updates applied within 24 hours</v>
      </c>
      <c r="G58" s="7" t="str">
        <f aca="false">INDEX('Control Library'!$F$5:$F$47,MATCH(E58,'Control Library'!$A$5:$A$47,0))</f>
        <v>N</v>
      </c>
      <c r="H58" s="12" t="str">
        <f aca="false">INDEX('Control Library'!$E$5:$E$47,MATCH(E58,'Control Library'!$A$5:$A$47,0))</f>
        <v>Daily</v>
      </c>
      <c r="I58" s="7" t="str">
        <f aca="false">IF(INDEX('Control Library'!$I$5:$I$47,MATCH(E58,'Control Library'!$A$5:$A$47,0))="All","Y",IF(INDEX('Control Library'!$I$5:$I$47,MATCH(E58,'Control Library'!$A$5:$A$47,0))="Banks only",IF(COUNTIF('Residual Config'!$L$28:$L$30,INDEX(Entities!$E$5:$E$34,MATCH(B58,Entities!$A$5:$A$34,0)))&gt;0,"N/A","Y"),IF(INDEX(Entities!$G$5:$G$34,MATCH(B58,Entities!$A$5:$A$34,0))="Y","Y","N/A")))</f>
        <v>Y</v>
      </c>
      <c r="J58" s="8" t="s">
        <v>888</v>
      </c>
      <c r="K58" s="8" t="s">
        <v>873</v>
      </c>
      <c r="L58" s="7" t="str">
        <f aca="false">IF(OR(J58="",K58=""),"",IF(J58=K58,"Breach","OK"))</f>
        <v>OK</v>
      </c>
      <c r="M58" s="24" t="n">
        <v>2</v>
      </c>
      <c r="N58" s="50" t="n">
        <v>46164</v>
      </c>
      <c r="O58" s="8" t="s">
        <v>545</v>
      </c>
      <c r="P58" s="24" t="n">
        <v>25</v>
      </c>
      <c r="Q58" s="31" t="n">
        <f aca="false">IF(I58="N/A","",IFERROR(INDEX('Residual Config'!$B$35:$B$42,MATCH(H58,'Residual Config'!$A$35:$A$42,0)),""))</f>
        <v>25</v>
      </c>
      <c r="R58" s="24" t="n">
        <v>1</v>
      </c>
      <c r="S58" s="8" t="s">
        <v>521</v>
      </c>
      <c r="T58" s="31" t="n">
        <f aca="false">IF(S58="","",MATCH(S58,'Residual Config'!$L$9:$L$12,0))</f>
        <v>2</v>
      </c>
      <c r="U58" s="8" t="s">
        <v>889</v>
      </c>
      <c r="V58" s="24" t="n">
        <v>5</v>
      </c>
      <c r="W58" s="33" t="s">
        <v>533</v>
      </c>
      <c r="X58" s="8" t="s">
        <v>754</v>
      </c>
      <c r="Y58" s="51" t="n">
        <f aca="false">IF(N58="","",EDATE(N58,IF(G58="N",INDEX('Residual Config'!$B$31:$D$31,1,MATCH(D58,'Residual Config'!$B$27:$D$27,0)),INDEX('Residual Config'!$B$28:$D$30,IF(T58=1,1,IF(T58=4,3,2)),MATCH(D58,'Residual Config'!$B$27:$D$27,0)))))</f>
        <v>46529</v>
      </c>
      <c r="Z58" s="7" t="str">
        <f aca="false">IF(I58="N/A","N/A",IF(N58="","Not tested",IF(W58="Rejected","Evidence rejected",IF(W58&lt;&gt;"Accepted","Evidence pending",IF(Y58&lt;'Residual Config'!$C$4,"Overdue","Current")))))</f>
        <v>Current</v>
      </c>
      <c r="AA58" s="34" t="n">
        <f aca="false">IF(I58="N/A","",IF(Z58&lt;&gt;"Current",4,IF(MAX(M58,T58)=0,4,MAX(M58,T58))))</f>
        <v>2</v>
      </c>
      <c r="AB58" s="7" t="str">
        <f aca="false">IF(AA58="","N/A",IF(Z58&lt;&gt;"Current","Not tested / overdue",INDEX('Residual Config'!$B$11:$B$14,AA58)))</f>
        <v>Largely effective</v>
      </c>
      <c r="AC58" s="36" t="n">
        <f aca="false">IF(AA58="","",INDEX('Residual Config'!$D$11:$D$14,AA58))</f>
        <v>0.4</v>
      </c>
      <c r="AD58" s="7" t="str">
        <f aca="false">IF(OR(I58="N/A",P58="",Q58=""),"",IF(P58&gt;=Q58,"Yes","No"))</f>
        <v>Yes</v>
      </c>
      <c r="AE58" s="8"/>
    </row>
    <row r="59" customFormat="false" ht="15" hidden="false" customHeight="false" outlineLevel="0" collapsed="false">
      <c r="A59" s="12" t="s">
        <v>890</v>
      </c>
      <c r="B59" s="26" t="str">
        <f aca="false">Entities!$A$6</f>
        <v>JO-IIAB</v>
      </c>
      <c r="C59" s="12" t="str">
        <f aca="false">INDEX(Entities!$B$5:$B$34,MATCH(B59,Entities!$A$5:$A$34,0))</f>
        <v>Islamic International Arab Bank</v>
      </c>
      <c r="D59" s="7" t="str">
        <f aca="false">INDEX(Entities!$F$5:$F$34,MATCH(B59,Entities!$A$5:$A$34,0))</f>
        <v>Tier 1</v>
      </c>
      <c r="E59" s="26" t="str">
        <f aca="false">'Control Library'!$A$16</f>
        <v>CTL-TF-01</v>
      </c>
      <c r="F59" s="12" t="str">
        <f aca="false">INDEX('Control Library'!$B$5:$B$47,MATCH(E59,'Control Library'!$A$5:$A$47,0))</f>
        <v>NPO and charity enhanced due diligence</v>
      </c>
      <c r="G59" s="7" t="str">
        <f aca="false">INDEX('Control Library'!$F$5:$F$47,MATCH(E59,'Control Library'!$A$5:$A$47,0))</f>
        <v>N</v>
      </c>
      <c r="H59" s="12" t="str">
        <f aca="false">INDEX('Control Library'!$E$5:$E$47,MATCH(E59,'Control Library'!$A$5:$A$47,0))</f>
        <v>Event-driven</v>
      </c>
      <c r="I59" s="7" t="str">
        <f aca="false">IF(INDEX('Control Library'!$I$5:$I$47,MATCH(E59,'Control Library'!$A$5:$A$47,0))="All","Y",IF(INDEX('Control Library'!$I$5:$I$47,MATCH(E59,'Control Library'!$A$5:$A$47,0))="Banks only",IF(COUNTIF('Residual Config'!$L$28:$L$30,INDEX(Entities!$E$5:$E$34,MATCH(B59,Entities!$A$5:$A$34,0)))&gt;0,"N/A","Y"),IF(INDEX(Entities!$G$5:$G$34,MATCH(B59,Entities!$A$5:$A$34,0))="Y","Y","N/A")))</f>
        <v>Y</v>
      </c>
      <c r="J59" s="8" t="s">
        <v>891</v>
      </c>
      <c r="K59" s="8" t="s">
        <v>873</v>
      </c>
      <c r="L59" s="7" t="str">
        <f aca="false">IF(OR(J59="",K59=""),"",IF(J59=K59,"Breach","OK"))</f>
        <v>OK</v>
      </c>
      <c r="M59" s="24" t="n">
        <v>2</v>
      </c>
      <c r="N59" s="50" t="n">
        <v>46256</v>
      </c>
      <c r="O59" s="8" t="s">
        <v>546</v>
      </c>
      <c r="P59" s="24" t="n">
        <v>30</v>
      </c>
      <c r="Q59" s="31" t="n">
        <f aca="false">IF(I59="N/A","",IFERROR(INDEX('Residual Config'!$B$35:$B$42,MATCH(H59,'Residual Config'!$A$35:$A$42,0)),""))</f>
        <v>25</v>
      </c>
      <c r="R59" s="24" t="n">
        <v>0</v>
      </c>
      <c r="S59" s="8" t="s">
        <v>516</v>
      </c>
      <c r="T59" s="31" t="n">
        <f aca="false">IF(S59="","",MATCH(S59,'Residual Config'!$L$9:$L$12,0))</f>
        <v>1</v>
      </c>
      <c r="U59" s="8" t="s">
        <v>892</v>
      </c>
      <c r="V59" s="24" t="n">
        <v>3</v>
      </c>
      <c r="W59" s="33" t="s">
        <v>533</v>
      </c>
      <c r="X59" s="8" t="s">
        <v>754</v>
      </c>
      <c r="Y59" s="51" t="n">
        <f aca="false">IF(N59="","",EDATE(N59,IF(G59="N",INDEX('Residual Config'!$B$31:$D$31,1,MATCH(D59,'Residual Config'!$B$27:$D$27,0)),INDEX('Residual Config'!$B$28:$D$30,IF(T59=1,1,IF(T59=4,3,2)),MATCH(D59,'Residual Config'!$B$27:$D$27,0)))))</f>
        <v>46621</v>
      </c>
      <c r="Z59" s="7" t="str">
        <f aca="false">IF(I59="N/A","N/A",IF(N59="","Not tested",IF(W59="Rejected","Evidence rejected",IF(W59&lt;&gt;"Accepted","Evidence pending",IF(Y59&lt;'Residual Config'!$C$4,"Overdue","Current")))))</f>
        <v>Current</v>
      </c>
      <c r="AA59" s="34" t="n">
        <f aca="false">IF(I59="N/A","",IF(Z59&lt;&gt;"Current",4,IF(MAX(M59,T59)=0,4,MAX(M59,T59))))</f>
        <v>2</v>
      </c>
      <c r="AB59" s="7" t="str">
        <f aca="false">IF(AA59="","N/A",IF(Z59&lt;&gt;"Current","Not tested / overdue",INDEX('Residual Config'!$B$11:$B$14,AA59)))</f>
        <v>Largely effective</v>
      </c>
      <c r="AC59" s="36" t="n">
        <f aca="false">IF(AA59="","",INDEX('Residual Config'!$D$11:$D$14,AA59))</f>
        <v>0.4</v>
      </c>
      <c r="AD59" s="7" t="str">
        <f aca="false">IF(OR(I59="N/A",P59="",Q59=""),"",IF(P59&gt;=Q59,"Yes","No"))</f>
        <v>Yes</v>
      </c>
      <c r="AE59" s="8"/>
    </row>
    <row r="60" customFormat="false" ht="15" hidden="false" customHeight="false" outlineLevel="0" collapsed="false">
      <c r="A60" s="12" t="s">
        <v>893</v>
      </c>
      <c r="B60" s="26" t="str">
        <f aca="false">Entities!$A$6</f>
        <v>JO-IIAB</v>
      </c>
      <c r="C60" s="12" t="str">
        <f aca="false">INDEX(Entities!$B$5:$B$34,MATCH(B60,Entities!$A$5:$A$34,0))</f>
        <v>Islamic International Arab Bank</v>
      </c>
      <c r="D60" s="7" t="str">
        <f aca="false">INDEX(Entities!$F$5:$F$34,MATCH(B60,Entities!$A$5:$A$34,0))</f>
        <v>Tier 1</v>
      </c>
      <c r="E60" s="26" t="str">
        <f aca="false">'Control Library'!$A$17</f>
        <v>CTL-TBML-01</v>
      </c>
      <c r="F60" s="12" t="str">
        <f aca="false">INDEX('Control Library'!$B$5:$B$47,MATCH(E60,'Control Library'!$A$5:$A$47,0))</f>
        <v>Trade-based ML red-flag review and pricing checks</v>
      </c>
      <c r="G60" s="7" t="str">
        <f aca="false">INDEX('Control Library'!$F$5:$F$47,MATCH(E60,'Control Library'!$A$5:$A$47,0))</f>
        <v>Y</v>
      </c>
      <c r="H60" s="12" t="str">
        <f aca="false">INDEX('Control Library'!$E$5:$E$47,MATCH(E60,'Control Library'!$A$5:$A$47,0))</f>
        <v>Event-driven</v>
      </c>
      <c r="I60" s="7" t="str">
        <f aca="false">IF(INDEX('Control Library'!$I$5:$I$47,MATCH(E60,'Control Library'!$A$5:$A$47,0))="All","Y",IF(INDEX('Control Library'!$I$5:$I$47,MATCH(E60,'Control Library'!$A$5:$A$47,0))="Banks only",IF(COUNTIF('Residual Config'!$L$28:$L$30,INDEX(Entities!$E$5:$E$34,MATCH(B60,Entities!$A$5:$A$34,0)))&gt;0,"N/A","Y"),IF(INDEX(Entities!$G$5:$G$34,MATCH(B60,Entities!$A$5:$A$34,0))="Y","Y","N/A")))</f>
        <v>Y</v>
      </c>
      <c r="J60" s="8" t="s">
        <v>894</v>
      </c>
      <c r="K60" s="8" t="s">
        <v>752</v>
      </c>
      <c r="L60" s="7" t="str">
        <f aca="false">IF(OR(J60="",K60=""),"",IF(J60=K60,"Breach","OK"))</f>
        <v>OK</v>
      </c>
      <c r="M60" s="24" t="n">
        <v>1</v>
      </c>
      <c r="N60" s="50" t="n">
        <v>46250</v>
      </c>
      <c r="O60" s="8" t="s">
        <v>545</v>
      </c>
      <c r="P60" s="24" t="n">
        <v>30</v>
      </c>
      <c r="Q60" s="31" t="n">
        <f aca="false">IF(I60="N/A","",IFERROR(INDEX('Residual Config'!$B$35:$B$42,MATCH(H60,'Residual Config'!$A$35:$A$42,0)),""))</f>
        <v>25</v>
      </c>
      <c r="R60" s="24" t="n">
        <v>1</v>
      </c>
      <c r="S60" s="8" t="s">
        <v>521</v>
      </c>
      <c r="T60" s="31" t="n">
        <f aca="false">IF(S60="","",MATCH(S60,'Residual Config'!$L$9:$L$12,0))</f>
        <v>2</v>
      </c>
      <c r="U60" s="8" t="s">
        <v>895</v>
      </c>
      <c r="V60" s="24" t="n">
        <v>1</v>
      </c>
      <c r="W60" s="33" t="s">
        <v>533</v>
      </c>
      <c r="X60" s="8" t="s">
        <v>760</v>
      </c>
      <c r="Y60" s="51" t="n">
        <f aca="false">IF(N60="","",EDATE(N60,IF(G60="N",INDEX('Residual Config'!$B$31:$D$31,1,MATCH(D60,'Residual Config'!$B$27:$D$27,0)),INDEX('Residual Config'!$B$28:$D$30,IF(T60=1,1,IF(T60=4,3,2)),MATCH(D60,'Residual Config'!$B$27:$D$27,0)))))</f>
        <v>46342</v>
      </c>
      <c r="Z60" s="7" t="str">
        <f aca="false">IF(I60="N/A","N/A",IF(N60="","Not tested",IF(W60="Rejected","Evidence rejected",IF(W60&lt;&gt;"Accepted","Evidence pending",IF(Y60&lt;'Residual Config'!$C$4,"Overdue","Current")))))</f>
        <v>Current</v>
      </c>
      <c r="AA60" s="34" t="n">
        <f aca="false">IF(I60="N/A","",IF(Z60&lt;&gt;"Current",4,IF(MAX(M60,T60)=0,4,MAX(M60,T60))))</f>
        <v>2</v>
      </c>
      <c r="AB60" s="7" t="str">
        <f aca="false">IF(AA60="","N/A",IF(Z60&lt;&gt;"Current","Not tested / overdue",INDEX('Residual Config'!$B$11:$B$14,AA60)))</f>
        <v>Largely effective</v>
      </c>
      <c r="AC60" s="36" t="n">
        <f aca="false">IF(AA60="","",INDEX('Residual Config'!$D$11:$D$14,AA60))</f>
        <v>0.4</v>
      </c>
      <c r="AD60" s="7" t="str">
        <f aca="false">IF(OR(I60="N/A",P60="",Q60=""),"",IF(P60&gt;=Q60,"Yes","No"))</f>
        <v>Yes</v>
      </c>
      <c r="AE60" s="8"/>
    </row>
    <row r="61" customFormat="false" ht="15" hidden="false" customHeight="false" outlineLevel="0" collapsed="false">
      <c r="A61" s="12" t="s">
        <v>896</v>
      </c>
      <c r="B61" s="26" t="str">
        <f aca="false">Entities!$A$6</f>
        <v>JO-IIAB</v>
      </c>
      <c r="C61" s="12" t="str">
        <f aca="false">INDEX(Entities!$B$5:$B$34,MATCH(B61,Entities!$A$5:$A$34,0))</f>
        <v>Islamic International Arab Bank</v>
      </c>
      <c r="D61" s="7" t="str">
        <f aca="false">INDEX(Entities!$F$5:$F$34,MATCH(B61,Entities!$A$5:$A$34,0))</f>
        <v>Tier 1</v>
      </c>
      <c r="E61" s="26" t="str">
        <f aca="false">'Control Library'!$A$18</f>
        <v>CTL-PF-01</v>
      </c>
      <c r="F61" s="12" t="str">
        <f aca="false">INDEX('Control Library'!$B$5:$B$47,MATCH(E61,'Control Library'!$A$5:$A$47,0))</f>
        <v>Dual-use goods, vessel and port screening</v>
      </c>
      <c r="G61" s="7" t="str">
        <f aca="false">INDEX('Control Library'!$F$5:$F$47,MATCH(E61,'Control Library'!$A$5:$A$47,0))</f>
        <v>Y</v>
      </c>
      <c r="H61" s="12" t="str">
        <f aca="false">INDEX('Control Library'!$E$5:$E$47,MATCH(E61,'Control Library'!$A$5:$A$47,0))</f>
        <v>Event-driven</v>
      </c>
      <c r="I61" s="7" t="str">
        <f aca="false">IF(INDEX('Control Library'!$I$5:$I$47,MATCH(E61,'Control Library'!$A$5:$A$47,0))="All","Y",IF(INDEX('Control Library'!$I$5:$I$47,MATCH(E61,'Control Library'!$A$5:$A$47,0))="Banks only",IF(COUNTIF('Residual Config'!$L$28:$L$30,INDEX(Entities!$E$5:$E$34,MATCH(B61,Entities!$A$5:$A$34,0)))&gt;0,"N/A","Y"),IF(INDEX(Entities!$G$5:$G$34,MATCH(B61,Entities!$A$5:$A$34,0))="Y","Y","N/A")))</f>
        <v>Y</v>
      </c>
      <c r="J61" s="8" t="s">
        <v>894</v>
      </c>
      <c r="K61" s="8" t="s">
        <v>752</v>
      </c>
      <c r="L61" s="7" t="str">
        <f aca="false">IF(OR(J61="",K61=""),"",IF(J61=K61,"Breach","OK"))</f>
        <v>OK</v>
      </c>
      <c r="M61" s="24" t="n">
        <v>1</v>
      </c>
      <c r="N61" s="50" t="n">
        <v>46236</v>
      </c>
      <c r="O61" s="8" t="s">
        <v>545</v>
      </c>
      <c r="P61" s="24" t="n">
        <v>30</v>
      </c>
      <c r="Q61" s="31" t="n">
        <f aca="false">IF(I61="N/A","",IFERROR(INDEX('Residual Config'!$B$35:$B$42,MATCH(H61,'Residual Config'!$A$35:$A$42,0)),""))</f>
        <v>25</v>
      </c>
      <c r="R61" s="24" t="n">
        <v>1</v>
      </c>
      <c r="S61" s="8" t="s">
        <v>521</v>
      </c>
      <c r="T61" s="31" t="n">
        <f aca="false">IF(S61="","",MATCH(S61,'Residual Config'!$L$9:$L$12,0))</f>
        <v>2</v>
      </c>
      <c r="U61" s="8" t="s">
        <v>897</v>
      </c>
      <c r="V61" s="24" t="n">
        <v>3</v>
      </c>
      <c r="W61" s="33" t="s">
        <v>533</v>
      </c>
      <c r="X61" s="8" t="s">
        <v>754</v>
      </c>
      <c r="Y61" s="51" t="n">
        <f aca="false">IF(N61="","",EDATE(N61,IF(G61="N",INDEX('Residual Config'!$B$31:$D$31,1,MATCH(D61,'Residual Config'!$B$27:$D$27,0)),INDEX('Residual Config'!$B$28:$D$30,IF(T61=1,1,IF(T61=4,3,2)),MATCH(D61,'Residual Config'!$B$27:$D$27,0)))))</f>
        <v>46328</v>
      </c>
      <c r="Z61" s="7" t="str">
        <f aca="false">IF(I61="N/A","N/A",IF(N61="","Not tested",IF(W61="Rejected","Evidence rejected",IF(W61&lt;&gt;"Accepted","Evidence pending",IF(Y61&lt;'Residual Config'!$C$4,"Overdue","Current")))))</f>
        <v>Current</v>
      </c>
      <c r="AA61" s="34" t="n">
        <f aca="false">IF(I61="N/A","",IF(Z61&lt;&gt;"Current",4,IF(MAX(M61,T61)=0,4,MAX(M61,T61))))</f>
        <v>2</v>
      </c>
      <c r="AB61" s="7" t="str">
        <f aca="false">IF(AA61="","N/A",IF(Z61&lt;&gt;"Current","Not tested / overdue",INDEX('Residual Config'!$B$11:$B$14,AA61)))</f>
        <v>Largely effective</v>
      </c>
      <c r="AC61" s="36" t="n">
        <f aca="false">IF(AA61="","",INDEX('Residual Config'!$D$11:$D$14,AA61))</f>
        <v>0.4</v>
      </c>
      <c r="AD61" s="7" t="str">
        <f aca="false">IF(OR(I61="N/A",P61="",Q61=""),"",IF(P61&gt;=Q61,"Yes","No"))</f>
        <v>Yes</v>
      </c>
      <c r="AE61" s="8"/>
    </row>
    <row r="62" customFormat="false" ht="15" hidden="false" customHeight="false" outlineLevel="0" collapsed="false">
      <c r="A62" s="12" t="s">
        <v>898</v>
      </c>
      <c r="B62" s="26" t="str">
        <f aca="false">Entities!$A$6</f>
        <v>JO-IIAB</v>
      </c>
      <c r="C62" s="12" t="str">
        <f aca="false">INDEX(Entities!$B$5:$B$34,MATCH(B62,Entities!$A$5:$A$34,0))</f>
        <v>Islamic International Arab Bank</v>
      </c>
      <c r="D62" s="7" t="str">
        <f aca="false">INDEX(Entities!$F$5:$F$34,MATCH(B62,Entities!$A$5:$A$34,0))</f>
        <v>Tier 1</v>
      </c>
      <c r="E62" s="26" t="str">
        <f aca="false">'Control Library'!$A$19</f>
        <v>CTL-CB-01</v>
      </c>
      <c r="F62" s="12" t="str">
        <f aca="false">INDEX('Control Library'!$B$5:$B$47,MATCH(E62,'Control Library'!$A$5:$A$47,0))</f>
        <v>Correspondent bank due diligence (CBDDQ) and nesting detection</v>
      </c>
      <c r="G62" s="7" t="str">
        <f aca="false">INDEX('Control Library'!$F$5:$F$47,MATCH(E62,'Control Library'!$A$5:$A$47,0))</f>
        <v>Y</v>
      </c>
      <c r="H62" s="12" t="str">
        <f aca="false">INDEX('Control Library'!$E$5:$E$47,MATCH(E62,'Control Library'!$A$5:$A$47,0))</f>
        <v>Annual</v>
      </c>
      <c r="I62" s="7" t="str">
        <f aca="false">IF(INDEX('Control Library'!$I$5:$I$47,MATCH(E62,'Control Library'!$A$5:$A$47,0))="All","Y",IF(INDEX('Control Library'!$I$5:$I$47,MATCH(E62,'Control Library'!$A$5:$A$47,0))="Banks only",IF(COUNTIF('Residual Config'!$L$28:$L$30,INDEX(Entities!$E$5:$E$34,MATCH(B62,Entities!$A$5:$A$34,0)))&gt;0,"N/A","Y"),IF(INDEX(Entities!$G$5:$G$34,MATCH(B62,Entities!$A$5:$A$34,0))="Y","Y","N/A")))</f>
        <v>Y</v>
      </c>
      <c r="J62" s="8" t="s">
        <v>899</v>
      </c>
      <c r="K62" s="8" t="s">
        <v>752</v>
      </c>
      <c r="L62" s="7" t="str">
        <f aca="false">IF(OR(J62="",K62=""),"",IF(J62=K62,"Breach","OK"))</f>
        <v>OK</v>
      </c>
      <c r="M62" s="24" t="n">
        <v>2</v>
      </c>
      <c r="N62" s="50" t="n">
        <v>46274</v>
      </c>
      <c r="O62" s="8" t="s">
        <v>545</v>
      </c>
      <c r="P62" s="24" t="n">
        <v>1</v>
      </c>
      <c r="Q62" s="31" t="n">
        <f aca="false">IF(I62="N/A","",IFERROR(INDEX('Residual Config'!$B$35:$B$42,MATCH(H62,'Residual Config'!$A$35:$A$42,0)),""))</f>
        <v>1</v>
      </c>
      <c r="R62" s="24" t="n">
        <v>1</v>
      </c>
      <c r="S62" s="8" t="s">
        <v>521</v>
      </c>
      <c r="T62" s="31" t="n">
        <f aca="false">IF(S62="","",MATCH(S62,'Residual Config'!$L$9:$L$12,0))</f>
        <v>2</v>
      </c>
      <c r="U62" s="8" t="s">
        <v>900</v>
      </c>
      <c r="V62" s="24" t="n">
        <v>1</v>
      </c>
      <c r="W62" s="33" t="s">
        <v>533</v>
      </c>
      <c r="X62" s="8" t="s">
        <v>754</v>
      </c>
      <c r="Y62" s="51" t="n">
        <f aca="false">IF(N62="","",EDATE(N62,IF(G62="N",INDEX('Residual Config'!$B$31:$D$31,1,MATCH(D62,'Residual Config'!$B$27:$D$27,0)),INDEX('Residual Config'!$B$28:$D$30,IF(T62=1,1,IF(T62=4,3,2)),MATCH(D62,'Residual Config'!$B$27:$D$27,0)))))</f>
        <v>46365</v>
      </c>
      <c r="Z62" s="7" t="str">
        <f aca="false">IF(I62="N/A","N/A",IF(N62="","Not tested",IF(W62="Rejected","Evidence rejected",IF(W62&lt;&gt;"Accepted","Evidence pending",IF(Y62&lt;'Residual Config'!$C$4,"Overdue","Current")))))</f>
        <v>Current</v>
      </c>
      <c r="AA62" s="34" t="n">
        <f aca="false">IF(I62="N/A","",IF(Z62&lt;&gt;"Current",4,IF(MAX(M62,T62)=0,4,MAX(M62,T62))))</f>
        <v>2</v>
      </c>
      <c r="AB62" s="7" t="str">
        <f aca="false">IF(AA62="","N/A",IF(Z62&lt;&gt;"Current","Not tested / overdue",INDEX('Residual Config'!$B$11:$B$14,AA62)))</f>
        <v>Largely effective</v>
      </c>
      <c r="AC62" s="36" t="n">
        <f aca="false">IF(AA62="","",INDEX('Residual Config'!$D$11:$D$14,AA62))</f>
        <v>0.4</v>
      </c>
      <c r="AD62" s="7" t="str">
        <f aca="false">IF(OR(I62="N/A",P62="",Q62=""),"",IF(P62&gt;=Q62,"Yes","No"))</f>
        <v>Yes</v>
      </c>
      <c r="AE62" s="8"/>
    </row>
    <row r="63" customFormat="false" ht="15" hidden="false" customHeight="false" outlineLevel="0" collapsed="false">
      <c r="A63" s="12" t="s">
        <v>901</v>
      </c>
      <c r="B63" s="26" t="str">
        <f aca="false">Entities!$A$6</f>
        <v>JO-IIAB</v>
      </c>
      <c r="C63" s="12" t="str">
        <f aca="false">INDEX(Entities!$B$5:$B$34,MATCH(B63,Entities!$A$5:$A$34,0))</f>
        <v>Islamic International Arab Bank</v>
      </c>
      <c r="D63" s="7" t="str">
        <f aca="false">INDEX(Entities!$F$5:$F$34,MATCH(B63,Entities!$A$5:$A$34,0))</f>
        <v>Tier 1</v>
      </c>
      <c r="E63" s="26" t="str">
        <f aca="false">'Control Library'!$A$20</f>
        <v>CTL-PAY-01</v>
      </c>
      <c r="F63" s="12" t="str">
        <f aca="false">INDEX('Control Library'!$B$5:$B$47,MATCH(E63,'Control Library'!$A$5:$A$47,0))</f>
        <v>Payment transparency checks (FATF R.16)</v>
      </c>
      <c r="G63" s="7" t="str">
        <f aca="false">INDEX('Control Library'!$F$5:$F$47,MATCH(E63,'Control Library'!$A$5:$A$47,0))</f>
        <v>N</v>
      </c>
      <c r="H63" s="12" t="str">
        <f aca="false">INDEX('Control Library'!$E$5:$E$47,MATCH(E63,'Control Library'!$A$5:$A$47,0))</f>
        <v>Continuous</v>
      </c>
      <c r="I63" s="7" t="str">
        <f aca="false">IF(INDEX('Control Library'!$I$5:$I$47,MATCH(E63,'Control Library'!$A$5:$A$47,0))="All","Y",IF(INDEX('Control Library'!$I$5:$I$47,MATCH(E63,'Control Library'!$A$5:$A$47,0))="Banks only",IF(COUNTIF('Residual Config'!$L$28:$L$30,INDEX(Entities!$E$5:$E$34,MATCH(B63,Entities!$A$5:$A$34,0)))&gt;0,"N/A","Y"),IF(INDEX(Entities!$G$5:$G$34,MATCH(B63,Entities!$A$5:$A$34,0))="Y","Y","N/A")))</f>
        <v>Y</v>
      </c>
      <c r="J63" s="8" t="s">
        <v>902</v>
      </c>
      <c r="K63" s="8" t="s">
        <v>873</v>
      </c>
      <c r="L63" s="7" t="str">
        <f aca="false">IF(OR(J63="",K63=""),"",IF(J63=K63,"Breach","OK"))</f>
        <v>OK</v>
      </c>
      <c r="M63" s="24" t="n">
        <v>2</v>
      </c>
      <c r="N63" s="50" t="n">
        <v>46151</v>
      </c>
      <c r="O63" s="8" t="s">
        <v>546</v>
      </c>
      <c r="P63" s="24" t="n">
        <v>1</v>
      </c>
      <c r="Q63" s="31" t="n">
        <f aca="false">IF(I63="N/A","",IFERROR(INDEX('Residual Config'!$B$35:$B$42,MATCH(H63,'Residual Config'!$A$35:$A$42,0)),""))</f>
        <v>1</v>
      </c>
      <c r="R63" s="24" t="n">
        <v>1</v>
      </c>
      <c r="S63" s="8" t="s">
        <v>521</v>
      </c>
      <c r="T63" s="31" t="n">
        <f aca="false">IF(S63="","",MATCH(S63,'Residual Config'!$L$9:$L$12,0))</f>
        <v>2</v>
      </c>
      <c r="U63" s="8" t="s">
        <v>903</v>
      </c>
      <c r="V63" s="24" t="n">
        <v>5</v>
      </c>
      <c r="W63" s="33" t="s">
        <v>533</v>
      </c>
      <c r="X63" s="8" t="s">
        <v>760</v>
      </c>
      <c r="Y63" s="51" t="n">
        <f aca="false">IF(N63="","",EDATE(N63,IF(G63="N",INDEX('Residual Config'!$B$31:$D$31,1,MATCH(D63,'Residual Config'!$B$27:$D$27,0)),INDEX('Residual Config'!$B$28:$D$30,IF(T63=1,1,IF(T63=4,3,2)),MATCH(D63,'Residual Config'!$B$27:$D$27,0)))))</f>
        <v>46516</v>
      </c>
      <c r="Z63" s="7" t="str">
        <f aca="false">IF(I63="N/A","N/A",IF(N63="","Not tested",IF(W63="Rejected","Evidence rejected",IF(W63&lt;&gt;"Accepted","Evidence pending",IF(Y63&lt;'Residual Config'!$C$4,"Overdue","Current")))))</f>
        <v>Current</v>
      </c>
      <c r="AA63" s="34" t="n">
        <f aca="false">IF(I63="N/A","",IF(Z63&lt;&gt;"Current",4,IF(MAX(M63,T63)=0,4,MAX(M63,T63))))</f>
        <v>2</v>
      </c>
      <c r="AB63" s="7" t="str">
        <f aca="false">IF(AA63="","N/A",IF(Z63&lt;&gt;"Current","Not tested / overdue",INDEX('Residual Config'!$B$11:$B$14,AA63)))</f>
        <v>Largely effective</v>
      </c>
      <c r="AC63" s="36" t="n">
        <f aca="false">IF(AA63="","",INDEX('Residual Config'!$D$11:$D$14,AA63))</f>
        <v>0.4</v>
      </c>
      <c r="AD63" s="7" t="str">
        <f aca="false">IF(OR(I63="N/A",P63="",Q63=""),"",IF(P63&gt;=Q63,"Yes","No"))</f>
        <v>Yes</v>
      </c>
      <c r="AE63" s="8"/>
    </row>
    <row r="64" customFormat="false" ht="15" hidden="false" customHeight="false" outlineLevel="0" collapsed="false">
      <c r="A64" s="12" t="s">
        <v>904</v>
      </c>
      <c r="B64" s="26" t="str">
        <f aca="false">Entities!$A$6</f>
        <v>JO-IIAB</v>
      </c>
      <c r="C64" s="12" t="str">
        <f aca="false">INDEX(Entities!$B$5:$B$34,MATCH(B64,Entities!$A$5:$A$34,0))</f>
        <v>Islamic International Arab Bank</v>
      </c>
      <c r="D64" s="7" t="str">
        <f aca="false">INDEX(Entities!$F$5:$F$34,MATCH(B64,Entities!$A$5:$A$34,0))</f>
        <v>Tier 1</v>
      </c>
      <c r="E64" s="26" t="str">
        <f aca="false">'Control Library'!$A$21</f>
        <v>CTL-ABC-01</v>
      </c>
      <c r="F64" s="12" t="str">
        <f aca="false">INDEX('Control Library'!$B$5:$B$47,MATCH(E64,'Control Library'!$A$5:$A$47,0))</f>
        <v>Third-party and intermediary anti-bribery due diligence</v>
      </c>
      <c r="G64" s="7" t="str">
        <f aca="false">INDEX('Control Library'!$F$5:$F$47,MATCH(E64,'Control Library'!$A$5:$A$47,0))</f>
        <v>Y</v>
      </c>
      <c r="H64" s="12" t="str">
        <f aca="false">INDEX('Control Library'!$E$5:$E$47,MATCH(E64,'Control Library'!$A$5:$A$47,0))</f>
        <v>Event-driven</v>
      </c>
      <c r="I64" s="7" t="str">
        <f aca="false">IF(INDEX('Control Library'!$I$5:$I$47,MATCH(E64,'Control Library'!$A$5:$A$47,0))="All","Y",IF(INDEX('Control Library'!$I$5:$I$47,MATCH(E64,'Control Library'!$A$5:$A$47,0))="Banks only",IF(COUNTIF('Residual Config'!$L$28:$L$30,INDEX(Entities!$E$5:$E$34,MATCH(B64,Entities!$A$5:$A$34,0)))&gt;0,"N/A","Y"),IF(INDEX(Entities!$G$5:$G$34,MATCH(B64,Entities!$A$5:$A$34,0))="Y","Y","N/A")))</f>
        <v>Y</v>
      </c>
      <c r="J64" s="8" t="s">
        <v>905</v>
      </c>
      <c r="K64" s="8" t="s">
        <v>752</v>
      </c>
      <c r="L64" s="7" t="str">
        <f aca="false">IF(OR(J64="",K64=""),"",IF(J64=K64,"Breach","OK"))</f>
        <v>OK</v>
      </c>
      <c r="M64" s="24" t="n">
        <v>1</v>
      </c>
      <c r="N64" s="50" t="n">
        <v>46260</v>
      </c>
      <c r="O64" s="8" t="s">
        <v>545</v>
      </c>
      <c r="P64" s="24" t="n">
        <v>35</v>
      </c>
      <c r="Q64" s="31" t="n">
        <f aca="false">IF(I64="N/A","",IFERROR(INDEX('Residual Config'!$B$35:$B$42,MATCH(H64,'Residual Config'!$A$35:$A$42,0)),""))</f>
        <v>25</v>
      </c>
      <c r="R64" s="24" t="n">
        <v>1</v>
      </c>
      <c r="S64" s="8" t="s">
        <v>521</v>
      </c>
      <c r="T64" s="31" t="n">
        <f aca="false">IF(S64="","",MATCH(S64,'Residual Config'!$L$9:$L$12,0))</f>
        <v>2</v>
      </c>
      <c r="U64" s="8" t="s">
        <v>906</v>
      </c>
      <c r="V64" s="24" t="n">
        <v>1</v>
      </c>
      <c r="W64" s="33" t="s">
        <v>533</v>
      </c>
      <c r="X64" s="8" t="s">
        <v>760</v>
      </c>
      <c r="Y64" s="51" t="n">
        <f aca="false">IF(N64="","",EDATE(N64,IF(G64="N",INDEX('Residual Config'!$B$31:$D$31,1,MATCH(D64,'Residual Config'!$B$27:$D$27,0)),INDEX('Residual Config'!$B$28:$D$30,IF(T64=1,1,IF(T64=4,3,2)),MATCH(D64,'Residual Config'!$B$27:$D$27,0)))))</f>
        <v>46352</v>
      </c>
      <c r="Z64" s="7" t="str">
        <f aca="false">IF(I64="N/A","N/A",IF(N64="","Not tested",IF(W64="Rejected","Evidence rejected",IF(W64&lt;&gt;"Accepted","Evidence pending",IF(Y64&lt;'Residual Config'!$C$4,"Overdue","Current")))))</f>
        <v>Current</v>
      </c>
      <c r="AA64" s="34" t="n">
        <f aca="false">IF(I64="N/A","",IF(Z64&lt;&gt;"Current",4,IF(MAX(M64,T64)=0,4,MAX(M64,T64))))</f>
        <v>2</v>
      </c>
      <c r="AB64" s="7" t="str">
        <f aca="false">IF(AA64="","N/A",IF(Z64&lt;&gt;"Current","Not tested / overdue",INDEX('Residual Config'!$B$11:$B$14,AA64)))</f>
        <v>Largely effective</v>
      </c>
      <c r="AC64" s="36" t="n">
        <f aca="false">IF(AA64="","",INDEX('Residual Config'!$D$11:$D$14,AA64))</f>
        <v>0.4</v>
      </c>
      <c r="AD64" s="7" t="str">
        <f aca="false">IF(OR(I64="N/A",P64="",Q64=""),"",IF(P64&gt;=Q64,"Yes","No"))</f>
        <v>Yes</v>
      </c>
      <c r="AE64" s="8"/>
    </row>
    <row r="65" customFormat="false" ht="15" hidden="false" customHeight="false" outlineLevel="0" collapsed="false">
      <c r="A65" s="12" t="s">
        <v>907</v>
      </c>
      <c r="B65" s="26" t="str">
        <f aca="false">Entities!$A$6</f>
        <v>JO-IIAB</v>
      </c>
      <c r="C65" s="12" t="str">
        <f aca="false">INDEX(Entities!$B$5:$B$34,MATCH(B65,Entities!$A$5:$A$34,0))</f>
        <v>Islamic International Arab Bank</v>
      </c>
      <c r="D65" s="7" t="str">
        <f aca="false">INDEX(Entities!$F$5:$F$34,MATCH(B65,Entities!$A$5:$A$34,0))</f>
        <v>Tier 1</v>
      </c>
      <c r="E65" s="26" t="str">
        <f aca="false">'Control Library'!$A$22</f>
        <v>CTL-ABC-02</v>
      </c>
      <c r="F65" s="12" t="str">
        <f aca="false">INDEX('Control Library'!$B$5:$B$47,MATCH(E65,'Control Library'!$A$5:$A$47,0))</f>
        <v>Gifts, hospitality and donations register with pre-approval</v>
      </c>
      <c r="G65" s="7" t="str">
        <f aca="false">INDEX('Control Library'!$F$5:$F$47,MATCH(E65,'Control Library'!$A$5:$A$47,0))</f>
        <v>N</v>
      </c>
      <c r="H65" s="12" t="str">
        <f aca="false">INDEX('Control Library'!$E$5:$E$47,MATCH(E65,'Control Library'!$A$5:$A$47,0))</f>
        <v>Event-driven</v>
      </c>
      <c r="I65" s="7" t="str">
        <f aca="false">IF(INDEX('Control Library'!$I$5:$I$47,MATCH(E65,'Control Library'!$A$5:$A$47,0))="All","Y",IF(INDEX('Control Library'!$I$5:$I$47,MATCH(E65,'Control Library'!$A$5:$A$47,0))="Banks only",IF(COUNTIF('Residual Config'!$L$28:$L$30,INDEX(Entities!$E$5:$E$34,MATCH(B65,Entities!$A$5:$A$34,0)))&gt;0,"N/A","Y"),IF(INDEX(Entities!$G$5:$G$34,MATCH(B65,Entities!$A$5:$A$34,0))="Y","Y","N/A")))</f>
        <v>Y</v>
      </c>
      <c r="J65" s="8" t="s">
        <v>866</v>
      </c>
      <c r="K65" s="8" t="s">
        <v>873</v>
      </c>
      <c r="L65" s="7" t="str">
        <f aca="false">IF(OR(J65="",K65=""),"",IF(J65=K65,"Breach","OK"))</f>
        <v>OK</v>
      </c>
      <c r="M65" s="24" t="n">
        <v>2</v>
      </c>
      <c r="N65" s="50" t="n">
        <v>46264</v>
      </c>
      <c r="O65" s="8" t="s">
        <v>545</v>
      </c>
      <c r="P65" s="24" t="n">
        <v>25</v>
      </c>
      <c r="Q65" s="31" t="n">
        <f aca="false">IF(I65="N/A","",IFERROR(INDEX('Residual Config'!$B$35:$B$42,MATCH(H65,'Residual Config'!$A$35:$A$42,0)),""))</f>
        <v>25</v>
      </c>
      <c r="R65" s="24" t="n">
        <v>1</v>
      </c>
      <c r="S65" s="8" t="s">
        <v>521</v>
      </c>
      <c r="T65" s="31" t="n">
        <f aca="false">IF(S65="","",MATCH(S65,'Residual Config'!$L$9:$L$12,0))</f>
        <v>2</v>
      </c>
      <c r="U65" s="8" t="s">
        <v>908</v>
      </c>
      <c r="V65" s="24" t="n">
        <v>6</v>
      </c>
      <c r="W65" s="33" t="s">
        <v>535</v>
      </c>
      <c r="X65" s="8" t="s">
        <v>754</v>
      </c>
      <c r="Y65" s="51" t="n">
        <f aca="false">IF(N65="","",EDATE(N65,IF(G65="N",INDEX('Residual Config'!$B$31:$D$31,1,MATCH(D65,'Residual Config'!$B$27:$D$27,0)),INDEX('Residual Config'!$B$28:$D$30,IF(T65=1,1,IF(T65=4,3,2)),MATCH(D65,'Residual Config'!$B$27:$D$27,0)))))</f>
        <v>46629</v>
      </c>
      <c r="Z65" s="7" t="str">
        <f aca="false">IF(I65="N/A","N/A",IF(N65="","Not tested",IF(W65="Rejected","Evidence rejected",IF(W65&lt;&gt;"Accepted","Evidence pending",IF(Y65&lt;'Residual Config'!$C$4,"Overdue","Current")))))</f>
        <v>Evidence rejected</v>
      </c>
      <c r="AA65" s="34" t="n">
        <f aca="false">IF(I65="N/A","",IF(Z65&lt;&gt;"Current",4,IF(MAX(M65,T65)=0,4,MAX(M65,T65))))</f>
        <v>4</v>
      </c>
      <c r="AB65" s="7" t="str">
        <f aca="false">IF(AA65="","N/A",IF(Z65&lt;&gt;"Current","Not tested / overdue",INDEX('Residual Config'!$B$11:$B$14,AA65)))</f>
        <v>Not tested / overdue</v>
      </c>
      <c r="AC65" s="36" t="n">
        <f aca="false">IF(AA65="","",INDEX('Residual Config'!$D$11:$D$14,AA65))</f>
        <v>0</v>
      </c>
      <c r="AD65" s="7" t="str">
        <f aca="false">IF(OR(I65="N/A",P65="",Q65=""),"",IF(P65&gt;=Q65,"Yes","No"))</f>
        <v>Yes</v>
      </c>
      <c r="AE65" s="8"/>
    </row>
    <row r="66" customFormat="false" ht="15" hidden="false" customHeight="false" outlineLevel="0" collapsed="false">
      <c r="A66" s="12" t="s">
        <v>909</v>
      </c>
      <c r="B66" s="26" t="str">
        <f aca="false">Entities!$A$6</f>
        <v>JO-IIAB</v>
      </c>
      <c r="C66" s="12" t="str">
        <f aca="false">INDEX(Entities!$B$5:$B$34,MATCH(B66,Entities!$A$5:$A$34,0))</f>
        <v>Islamic International Arab Bank</v>
      </c>
      <c r="D66" s="7" t="str">
        <f aca="false">INDEX(Entities!$F$5:$F$34,MATCH(B66,Entities!$A$5:$A$34,0))</f>
        <v>Tier 1</v>
      </c>
      <c r="E66" s="26" t="str">
        <f aca="false">'Control Library'!$A$23</f>
        <v>CTL-FRD-01</v>
      </c>
      <c r="F66" s="12" t="str">
        <f aca="false">INDEX('Control Library'!$B$5:$B$47,MATCH(E66,'Control Library'!$A$5:$A$47,0))</f>
        <v>Real-time fraud monitoring for cards and digital channels</v>
      </c>
      <c r="G66" s="7" t="str">
        <f aca="false">INDEX('Control Library'!$F$5:$F$47,MATCH(E66,'Control Library'!$A$5:$A$47,0))</f>
        <v>Y</v>
      </c>
      <c r="H66" s="12" t="str">
        <f aca="false">INDEX('Control Library'!$E$5:$E$47,MATCH(E66,'Control Library'!$A$5:$A$47,0))</f>
        <v>Continuous</v>
      </c>
      <c r="I66" s="7" t="str">
        <f aca="false">IF(INDEX('Control Library'!$I$5:$I$47,MATCH(E66,'Control Library'!$A$5:$A$47,0))="All","Y",IF(INDEX('Control Library'!$I$5:$I$47,MATCH(E66,'Control Library'!$A$5:$A$47,0))="Banks only",IF(COUNTIF('Residual Config'!$L$28:$L$30,INDEX(Entities!$E$5:$E$34,MATCH(B66,Entities!$A$5:$A$34,0)))&gt;0,"N/A","Y"),IF(INDEX(Entities!$G$5:$G$34,MATCH(B66,Entities!$A$5:$A$34,0))="Y","Y","N/A")))</f>
        <v>Y</v>
      </c>
      <c r="J66" s="8" t="s">
        <v>910</v>
      </c>
      <c r="K66" s="8" t="s">
        <v>752</v>
      </c>
      <c r="L66" s="7" t="str">
        <f aca="false">IF(OR(J66="",K66=""),"",IF(J66=K66,"Breach","OK"))</f>
        <v>OK</v>
      </c>
      <c r="M66" s="24" t="n">
        <v>2</v>
      </c>
      <c r="N66" s="50" t="n">
        <v>46280</v>
      </c>
      <c r="O66" s="8" t="s">
        <v>547</v>
      </c>
      <c r="P66" s="24" t="n">
        <v>1</v>
      </c>
      <c r="Q66" s="31" t="n">
        <f aca="false">IF(I66="N/A","",IFERROR(INDEX('Residual Config'!$B$35:$B$42,MATCH(H66,'Residual Config'!$A$35:$A$42,0)),""))</f>
        <v>1</v>
      </c>
      <c r="R66" s="24" t="n">
        <v>1</v>
      </c>
      <c r="S66" s="8" t="s">
        <v>521</v>
      </c>
      <c r="T66" s="31" t="n">
        <f aca="false">IF(S66="","",MATCH(S66,'Residual Config'!$L$9:$L$12,0))</f>
        <v>2</v>
      </c>
      <c r="U66" s="8" t="s">
        <v>911</v>
      </c>
      <c r="V66" s="24" t="n">
        <v>2</v>
      </c>
      <c r="W66" s="33" t="s">
        <v>533</v>
      </c>
      <c r="X66" s="8" t="s">
        <v>754</v>
      </c>
      <c r="Y66" s="51" t="n">
        <f aca="false">IF(N66="","",EDATE(N66,IF(G66="N",INDEX('Residual Config'!$B$31:$D$31,1,MATCH(D66,'Residual Config'!$B$27:$D$27,0)),INDEX('Residual Config'!$B$28:$D$30,IF(T66=1,1,IF(T66=4,3,2)),MATCH(D66,'Residual Config'!$B$27:$D$27,0)))))</f>
        <v>46371</v>
      </c>
      <c r="Z66" s="7" t="str">
        <f aca="false">IF(I66="N/A","N/A",IF(N66="","Not tested",IF(W66="Rejected","Evidence rejected",IF(W66&lt;&gt;"Accepted","Evidence pending",IF(Y66&lt;'Residual Config'!$C$4,"Overdue","Current")))))</f>
        <v>Current</v>
      </c>
      <c r="AA66" s="34" t="n">
        <f aca="false">IF(I66="N/A","",IF(Z66&lt;&gt;"Current",4,IF(MAX(M66,T66)=0,4,MAX(M66,T66))))</f>
        <v>2</v>
      </c>
      <c r="AB66" s="7" t="str">
        <f aca="false">IF(AA66="","N/A",IF(Z66&lt;&gt;"Current","Not tested / overdue",INDEX('Residual Config'!$B$11:$B$14,AA66)))</f>
        <v>Largely effective</v>
      </c>
      <c r="AC66" s="36" t="n">
        <f aca="false">IF(AA66="","",INDEX('Residual Config'!$D$11:$D$14,AA66))</f>
        <v>0.4</v>
      </c>
      <c r="AD66" s="7" t="str">
        <f aca="false">IF(OR(I66="N/A",P66="",Q66=""),"",IF(P66&gt;=Q66,"Yes","No"))</f>
        <v>Yes</v>
      </c>
      <c r="AE66" s="8"/>
    </row>
    <row r="67" customFormat="false" ht="15" hidden="false" customHeight="false" outlineLevel="0" collapsed="false">
      <c r="A67" s="12" t="s">
        <v>912</v>
      </c>
      <c r="B67" s="26" t="str">
        <f aca="false">Entities!$A$6</f>
        <v>JO-IIAB</v>
      </c>
      <c r="C67" s="12" t="str">
        <f aca="false">INDEX(Entities!$B$5:$B$34,MATCH(B67,Entities!$A$5:$A$34,0))</f>
        <v>Islamic International Arab Bank</v>
      </c>
      <c r="D67" s="7" t="str">
        <f aca="false">INDEX(Entities!$F$5:$F$34,MATCH(B67,Entities!$A$5:$A$34,0))</f>
        <v>Tier 1</v>
      </c>
      <c r="E67" s="26" t="str">
        <f aca="false">'Control Library'!$A$24</f>
        <v>CTL-FRD-02</v>
      </c>
      <c r="F67" s="12" t="str">
        <f aca="false">INDEX('Control Library'!$B$5:$B$47,MATCH(E67,'Control Library'!$A$5:$A$47,0))</f>
        <v>Maker-checker and dual control on payments and static data</v>
      </c>
      <c r="G67" s="7" t="str">
        <f aca="false">INDEX('Control Library'!$F$5:$F$47,MATCH(E67,'Control Library'!$A$5:$A$47,0))</f>
        <v>Y</v>
      </c>
      <c r="H67" s="12" t="str">
        <f aca="false">INDEX('Control Library'!$E$5:$E$47,MATCH(E67,'Control Library'!$A$5:$A$47,0))</f>
        <v>Daily</v>
      </c>
      <c r="I67" s="7" t="str">
        <f aca="false">IF(INDEX('Control Library'!$I$5:$I$47,MATCH(E67,'Control Library'!$A$5:$A$47,0))="All","Y",IF(INDEX('Control Library'!$I$5:$I$47,MATCH(E67,'Control Library'!$A$5:$A$47,0))="Banks only",IF(COUNTIF('Residual Config'!$L$28:$L$30,INDEX(Entities!$E$5:$E$34,MATCH(B67,Entities!$A$5:$A$34,0)))&gt;0,"N/A","Y"),IF(INDEX(Entities!$G$5:$G$34,MATCH(B67,Entities!$A$5:$A$34,0))="Y","Y","N/A")))</f>
        <v>Y</v>
      </c>
      <c r="J67" s="8" t="s">
        <v>863</v>
      </c>
      <c r="K67" s="8" t="s">
        <v>752</v>
      </c>
      <c r="L67" s="7" t="str">
        <f aca="false">IF(OR(J67="",K67=""),"",IF(J67=K67,"Breach","OK"))</f>
        <v>OK</v>
      </c>
      <c r="M67" s="24" t="n">
        <v>1</v>
      </c>
      <c r="N67" s="50" t="n">
        <v>46258</v>
      </c>
      <c r="O67" s="8" t="s">
        <v>545</v>
      </c>
      <c r="P67" s="24" t="n">
        <v>30</v>
      </c>
      <c r="Q67" s="31" t="n">
        <f aca="false">IF(I67="N/A","",IFERROR(INDEX('Residual Config'!$B$35:$B$42,MATCH(H67,'Residual Config'!$A$35:$A$42,0)),""))</f>
        <v>25</v>
      </c>
      <c r="R67" s="24" t="n">
        <v>1</v>
      </c>
      <c r="S67" s="8" t="s">
        <v>521</v>
      </c>
      <c r="T67" s="31" t="n">
        <f aca="false">IF(S67="","",MATCH(S67,'Residual Config'!$L$9:$L$12,0))</f>
        <v>2</v>
      </c>
      <c r="U67" s="8" t="s">
        <v>913</v>
      </c>
      <c r="V67" s="24" t="n">
        <v>5</v>
      </c>
      <c r="W67" s="33" t="s">
        <v>533</v>
      </c>
      <c r="X67" s="8" t="s">
        <v>760</v>
      </c>
      <c r="Y67" s="51" t="n">
        <f aca="false">IF(N67="","",EDATE(N67,IF(G67="N",INDEX('Residual Config'!$B$31:$D$31,1,MATCH(D67,'Residual Config'!$B$27:$D$27,0)),INDEX('Residual Config'!$B$28:$D$30,IF(T67=1,1,IF(T67=4,3,2)),MATCH(D67,'Residual Config'!$B$27:$D$27,0)))))</f>
        <v>46350</v>
      </c>
      <c r="Z67" s="7" t="str">
        <f aca="false">IF(I67="N/A","N/A",IF(N67="","Not tested",IF(W67="Rejected","Evidence rejected",IF(W67&lt;&gt;"Accepted","Evidence pending",IF(Y67&lt;'Residual Config'!$C$4,"Overdue","Current")))))</f>
        <v>Current</v>
      </c>
      <c r="AA67" s="34" t="n">
        <f aca="false">IF(I67="N/A","",IF(Z67&lt;&gt;"Current",4,IF(MAX(M67,T67)=0,4,MAX(M67,T67))))</f>
        <v>2</v>
      </c>
      <c r="AB67" s="7" t="str">
        <f aca="false">IF(AA67="","N/A",IF(Z67&lt;&gt;"Current","Not tested / overdue",INDEX('Residual Config'!$B$11:$B$14,AA67)))</f>
        <v>Largely effective</v>
      </c>
      <c r="AC67" s="36" t="n">
        <f aca="false">IF(AA67="","",INDEX('Residual Config'!$D$11:$D$14,AA67))</f>
        <v>0.4</v>
      </c>
      <c r="AD67" s="7" t="str">
        <f aca="false">IF(OR(I67="N/A",P67="",Q67=""),"",IF(P67&gt;=Q67,"Yes","No"))</f>
        <v>Yes</v>
      </c>
      <c r="AE67" s="8"/>
    </row>
    <row r="68" customFormat="false" ht="15" hidden="false" customHeight="false" outlineLevel="0" collapsed="false">
      <c r="A68" s="12" t="s">
        <v>914</v>
      </c>
      <c r="B68" s="26" t="str">
        <f aca="false">Entities!$A$6</f>
        <v>JO-IIAB</v>
      </c>
      <c r="C68" s="12" t="str">
        <f aca="false">INDEX(Entities!$B$5:$B$34,MATCH(B68,Entities!$A$5:$A$34,0))</f>
        <v>Islamic International Arab Bank</v>
      </c>
      <c r="D68" s="7" t="str">
        <f aca="false">INDEX(Entities!$F$5:$F$34,MATCH(B68,Entities!$A$5:$A$34,0))</f>
        <v>Tier 1</v>
      </c>
      <c r="E68" s="26" t="str">
        <f aca="false">'Control Library'!$A$25</f>
        <v>CTL-FRD-03</v>
      </c>
      <c r="F68" s="12" t="str">
        <f aca="false">INDEX('Control Library'!$B$5:$B$47,MATCH(E68,'Control Library'!$A$5:$A$47,0))</f>
        <v>Mandatory consecutive leave and rotation for sensitive roles</v>
      </c>
      <c r="G68" s="7" t="str">
        <f aca="false">INDEX('Control Library'!$F$5:$F$47,MATCH(E68,'Control Library'!$A$5:$A$47,0))</f>
        <v>N</v>
      </c>
      <c r="H68" s="12" t="str">
        <f aca="false">INDEX('Control Library'!$E$5:$E$47,MATCH(E68,'Control Library'!$A$5:$A$47,0))</f>
        <v>Annual</v>
      </c>
      <c r="I68" s="7" t="str">
        <f aca="false">IF(INDEX('Control Library'!$I$5:$I$47,MATCH(E68,'Control Library'!$A$5:$A$47,0))="All","Y",IF(INDEX('Control Library'!$I$5:$I$47,MATCH(E68,'Control Library'!$A$5:$A$47,0))="Banks only",IF(COUNTIF('Residual Config'!$L$28:$L$30,INDEX(Entities!$E$5:$E$34,MATCH(B68,Entities!$A$5:$A$34,0)))&gt;0,"N/A","Y"),IF(INDEX(Entities!$G$5:$G$34,MATCH(B68,Entities!$A$5:$A$34,0))="Y","Y","N/A")))</f>
        <v>Y</v>
      </c>
      <c r="J68" s="8" t="s">
        <v>915</v>
      </c>
      <c r="K68" s="8" t="s">
        <v>873</v>
      </c>
      <c r="L68" s="7" t="str">
        <f aca="false">IF(OR(J68="",K68=""),"",IF(J68=K68,"Breach","OK"))</f>
        <v>OK</v>
      </c>
      <c r="M68" s="24" t="n">
        <v>2</v>
      </c>
      <c r="N68" s="50" t="n">
        <v>46064</v>
      </c>
      <c r="O68" s="8" t="s">
        <v>545</v>
      </c>
      <c r="P68" s="24" t="n">
        <v>1</v>
      </c>
      <c r="Q68" s="31" t="n">
        <f aca="false">IF(I68="N/A","",IFERROR(INDEX('Residual Config'!$B$35:$B$42,MATCH(H68,'Residual Config'!$A$35:$A$42,0)),""))</f>
        <v>1</v>
      </c>
      <c r="R68" s="24" t="n">
        <v>0</v>
      </c>
      <c r="S68" s="8" t="s">
        <v>516</v>
      </c>
      <c r="T68" s="31" t="n">
        <f aca="false">IF(S68="","",MATCH(S68,'Residual Config'!$L$9:$L$12,0))</f>
        <v>1</v>
      </c>
      <c r="U68" s="8" t="s">
        <v>916</v>
      </c>
      <c r="V68" s="24" t="n">
        <v>3</v>
      </c>
      <c r="W68" s="33" t="s">
        <v>533</v>
      </c>
      <c r="X68" s="8" t="s">
        <v>754</v>
      </c>
      <c r="Y68" s="51" t="n">
        <f aca="false">IF(N68="","",EDATE(N68,IF(G68="N",INDEX('Residual Config'!$B$31:$D$31,1,MATCH(D68,'Residual Config'!$B$27:$D$27,0)),INDEX('Residual Config'!$B$28:$D$30,IF(T68=1,1,IF(T68=4,3,2)),MATCH(D68,'Residual Config'!$B$27:$D$27,0)))))</f>
        <v>46429</v>
      </c>
      <c r="Z68" s="7" t="str">
        <f aca="false">IF(I68="N/A","N/A",IF(N68="","Not tested",IF(W68="Rejected","Evidence rejected",IF(W68&lt;&gt;"Accepted","Evidence pending",IF(Y68&lt;'Residual Config'!$C$4,"Overdue","Current")))))</f>
        <v>Current</v>
      </c>
      <c r="AA68" s="34" t="n">
        <f aca="false">IF(I68="N/A","",IF(Z68&lt;&gt;"Current",4,IF(MAX(M68,T68)=0,4,MAX(M68,T68))))</f>
        <v>2</v>
      </c>
      <c r="AB68" s="7" t="str">
        <f aca="false">IF(AA68="","N/A",IF(Z68&lt;&gt;"Current","Not tested / overdue",INDEX('Residual Config'!$B$11:$B$14,AA68)))</f>
        <v>Largely effective</v>
      </c>
      <c r="AC68" s="36" t="n">
        <f aca="false">IF(AA68="","",INDEX('Residual Config'!$D$11:$D$14,AA68))</f>
        <v>0.4</v>
      </c>
      <c r="AD68" s="7" t="str">
        <f aca="false">IF(OR(I68="N/A",P68="",Q68=""),"",IF(P68&gt;=Q68,"Yes","No"))</f>
        <v>Yes</v>
      </c>
      <c r="AE68" s="8"/>
    </row>
    <row r="69" customFormat="false" ht="15" hidden="false" customHeight="false" outlineLevel="0" collapsed="false">
      <c r="A69" s="12" t="s">
        <v>917</v>
      </c>
      <c r="B69" s="26" t="str">
        <f aca="false">Entities!$A$6</f>
        <v>JO-IIAB</v>
      </c>
      <c r="C69" s="12" t="str">
        <f aca="false">INDEX(Entities!$B$5:$B$34,MATCH(B69,Entities!$A$5:$A$34,0))</f>
        <v>Islamic International Arab Bank</v>
      </c>
      <c r="D69" s="7" t="str">
        <f aca="false">INDEX(Entities!$F$5:$F$34,MATCH(B69,Entities!$A$5:$A$34,0))</f>
        <v>Tier 1</v>
      </c>
      <c r="E69" s="26" t="str">
        <f aca="false">'Control Library'!$A$26</f>
        <v>CTL-TAX-01</v>
      </c>
      <c r="F69" s="12" t="str">
        <f aca="false">INDEX('Control Library'!$B$5:$B$47,MATCH(E69,'Control Library'!$A$5:$A$47,0))</f>
        <v>FATCA/CRS self-certification and classification</v>
      </c>
      <c r="G69" s="7" t="str">
        <f aca="false">INDEX('Control Library'!$F$5:$F$47,MATCH(E69,'Control Library'!$A$5:$A$47,0))</f>
        <v>Y</v>
      </c>
      <c r="H69" s="12" t="str">
        <f aca="false">INDEX('Control Library'!$E$5:$E$47,MATCH(E69,'Control Library'!$A$5:$A$47,0))</f>
        <v>Event-driven</v>
      </c>
      <c r="I69" s="7" t="str">
        <f aca="false">IF(INDEX('Control Library'!$I$5:$I$47,MATCH(E69,'Control Library'!$A$5:$A$47,0))="All","Y",IF(INDEX('Control Library'!$I$5:$I$47,MATCH(E69,'Control Library'!$A$5:$A$47,0))="Banks only",IF(COUNTIF('Residual Config'!$L$28:$L$30,INDEX(Entities!$E$5:$E$34,MATCH(B69,Entities!$A$5:$A$34,0)))&gt;0,"N/A","Y"),IF(INDEX(Entities!$G$5:$G$34,MATCH(B69,Entities!$A$5:$A$34,0))="Y","Y","N/A")))</f>
        <v>Y</v>
      </c>
      <c r="J69" s="8" t="s">
        <v>863</v>
      </c>
      <c r="K69" s="8" t="s">
        <v>752</v>
      </c>
      <c r="L69" s="7" t="str">
        <f aca="false">IF(OR(J69="",K69=""),"",IF(J69=K69,"Breach","OK"))</f>
        <v>OK</v>
      </c>
      <c r="M69" s="24" t="n">
        <v>1</v>
      </c>
      <c r="N69" s="50" t="n">
        <v>46193</v>
      </c>
      <c r="O69" s="8" t="s">
        <v>545</v>
      </c>
      <c r="P69" s="24" t="n">
        <v>35</v>
      </c>
      <c r="Q69" s="31" t="n">
        <f aca="false">IF(I69="N/A","",IFERROR(INDEX('Residual Config'!$B$35:$B$42,MATCH(H69,'Residual Config'!$A$35:$A$42,0)),""))</f>
        <v>25</v>
      </c>
      <c r="R69" s="24" t="n">
        <v>0</v>
      </c>
      <c r="S69" s="8" t="s">
        <v>516</v>
      </c>
      <c r="T69" s="31" t="n">
        <f aca="false">IF(S69="","",MATCH(S69,'Residual Config'!$L$9:$L$12,0))</f>
        <v>1</v>
      </c>
      <c r="U69" s="8" t="s">
        <v>918</v>
      </c>
      <c r="V69" s="24" t="n">
        <v>1</v>
      </c>
      <c r="W69" s="33" t="s">
        <v>533</v>
      </c>
      <c r="X69" s="8" t="s">
        <v>760</v>
      </c>
      <c r="Y69" s="51" t="n">
        <f aca="false">IF(N69="","",EDATE(N69,IF(G69="N",INDEX('Residual Config'!$B$31:$D$31,1,MATCH(D69,'Residual Config'!$B$27:$D$27,0)),INDEX('Residual Config'!$B$28:$D$30,IF(T69=1,1,IF(T69=4,3,2)),MATCH(D69,'Residual Config'!$B$27:$D$27,0)))))</f>
        <v>46376</v>
      </c>
      <c r="Z69" s="7" t="str">
        <f aca="false">IF(I69="N/A","N/A",IF(N69="","Not tested",IF(W69="Rejected","Evidence rejected",IF(W69&lt;&gt;"Accepted","Evidence pending",IF(Y69&lt;'Residual Config'!$C$4,"Overdue","Current")))))</f>
        <v>Current</v>
      </c>
      <c r="AA69" s="34" t="n">
        <f aca="false">IF(I69="N/A","",IF(Z69&lt;&gt;"Current",4,IF(MAX(M69,T69)=0,4,MAX(M69,T69))))</f>
        <v>1</v>
      </c>
      <c r="AB69" s="7" t="str">
        <f aca="false">IF(AA69="","N/A",IF(Z69&lt;&gt;"Current","Not tested / overdue",INDEX('Residual Config'!$B$11:$B$14,AA69)))</f>
        <v>Effective</v>
      </c>
      <c r="AC69" s="36" t="n">
        <f aca="false">IF(AA69="","",INDEX('Residual Config'!$D$11:$D$14,AA69))</f>
        <v>0.6</v>
      </c>
      <c r="AD69" s="7" t="str">
        <f aca="false">IF(OR(I69="N/A",P69="",Q69=""),"",IF(P69&gt;=Q69,"Yes","No"))</f>
        <v>Yes</v>
      </c>
      <c r="AE69" s="8"/>
    </row>
    <row r="70" customFormat="false" ht="15" hidden="false" customHeight="false" outlineLevel="0" collapsed="false">
      <c r="A70" s="12" t="s">
        <v>919</v>
      </c>
      <c r="B70" s="26" t="str">
        <f aca="false">Entities!$A$6</f>
        <v>JO-IIAB</v>
      </c>
      <c r="C70" s="12" t="str">
        <f aca="false">INDEX(Entities!$B$5:$B$34,MATCH(B70,Entities!$A$5:$A$34,0))</f>
        <v>Islamic International Arab Bank</v>
      </c>
      <c r="D70" s="7" t="str">
        <f aca="false">INDEX(Entities!$F$5:$F$34,MATCH(B70,Entities!$A$5:$A$34,0))</f>
        <v>Tier 1</v>
      </c>
      <c r="E70" s="26" t="str">
        <f aca="false">'Control Library'!$A$27</f>
        <v>CTL-TAX-02</v>
      </c>
      <c r="F70" s="12" t="str">
        <f aca="false">INDEX('Control Library'!$B$5:$B$47,MATCH(E70,'Control Library'!$A$5:$A$47,0))</f>
        <v>FATCA/CRS reporting reconciliation and timely filing</v>
      </c>
      <c r="G70" s="7" t="str">
        <f aca="false">INDEX('Control Library'!$F$5:$F$47,MATCH(E70,'Control Library'!$A$5:$A$47,0))</f>
        <v>N</v>
      </c>
      <c r="H70" s="12" t="str">
        <f aca="false">INDEX('Control Library'!$E$5:$E$47,MATCH(E70,'Control Library'!$A$5:$A$47,0))</f>
        <v>Annual</v>
      </c>
      <c r="I70" s="7" t="str">
        <f aca="false">IF(INDEX('Control Library'!$I$5:$I$47,MATCH(E70,'Control Library'!$A$5:$A$47,0))="All","Y",IF(INDEX('Control Library'!$I$5:$I$47,MATCH(E70,'Control Library'!$A$5:$A$47,0))="Banks only",IF(COUNTIF('Residual Config'!$L$28:$L$30,INDEX(Entities!$E$5:$E$34,MATCH(B70,Entities!$A$5:$A$34,0)))&gt;0,"N/A","Y"),IF(INDEX(Entities!$G$5:$G$34,MATCH(B70,Entities!$A$5:$A$34,0))="Y","Y","N/A")))</f>
        <v>Y</v>
      </c>
      <c r="J70" s="8" t="s">
        <v>920</v>
      </c>
      <c r="K70" s="8" t="s">
        <v>873</v>
      </c>
      <c r="L70" s="7" t="str">
        <f aca="false">IF(OR(J70="",K70=""),"",IF(J70=K70,"Breach","OK"))</f>
        <v>OK</v>
      </c>
      <c r="M70" s="24" t="n">
        <v>1</v>
      </c>
      <c r="N70" s="50" t="n">
        <v>46131</v>
      </c>
      <c r="O70" s="8" t="s">
        <v>545</v>
      </c>
      <c r="P70" s="24" t="n">
        <v>1</v>
      </c>
      <c r="Q70" s="31" t="n">
        <f aca="false">IF(I70="N/A","",IFERROR(INDEX('Residual Config'!$B$35:$B$42,MATCH(H70,'Residual Config'!$A$35:$A$42,0)),""))</f>
        <v>1</v>
      </c>
      <c r="R70" s="24" t="n">
        <v>1</v>
      </c>
      <c r="S70" s="8" t="s">
        <v>521</v>
      </c>
      <c r="T70" s="31" t="n">
        <f aca="false">IF(S70="","",MATCH(S70,'Residual Config'!$L$9:$L$12,0))</f>
        <v>2</v>
      </c>
      <c r="U70" s="8" t="s">
        <v>921</v>
      </c>
      <c r="V70" s="24" t="n">
        <v>1</v>
      </c>
      <c r="W70" s="33" t="s">
        <v>533</v>
      </c>
      <c r="X70" s="8" t="s">
        <v>760</v>
      </c>
      <c r="Y70" s="51" t="n">
        <f aca="false">IF(N70="","",EDATE(N70,IF(G70="N",INDEX('Residual Config'!$B$31:$D$31,1,MATCH(D70,'Residual Config'!$B$27:$D$27,0)),INDEX('Residual Config'!$B$28:$D$30,IF(T70=1,1,IF(T70=4,3,2)),MATCH(D70,'Residual Config'!$B$27:$D$27,0)))))</f>
        <v>46496</v>
      </c>
      <c r="Z70" s="7" t="str">
        <f aca="false">IF(I70="N/A","N/A",IF(N70="","Not tested",IF(W70="Rejected","Evidence rejected",IF(W70&lt;&gt;"Accepted","Evidence pending",IF(Y70&lt;'Residual Config'!$C$4,"Overdue","Current")))))</f>
        <v>Current</v>
      </c>
      <c r="AA70" s="34" t="n">
        <f aca="false">IF(I70="N/A","",IF(Z70&lt;&gt;"Current",4,IF(MAX(M70,T70)=0,4,MAX(M70,T70))))</f>
        <v>2</v>
      </c>
      <c r="AB70" s="7" t="str">
        <f aca="false">IF(AA70="","N/A",IF(Z70&lt;&gt;"Current","Not tested / overdue",INDEX('Residual Config'!$B$11:$B$14,AA70)))</f>
        <v>Largely effective</v>
      </c>
      <c r="AC70" s="36" t="n">
        <f aca="false">IF(AA70="","",INDEX('Residual Config'!$D$11:$D$14,AA70))</f>
        <v>0.4</v>
      </c>
      <c r="AD70" s="7" t="str">
        <f aca="false">IF(OR(I70="N/A",P70="",Q70=""),"",IF(P70&gt;=Q70,"Yes","No"))</f>
        <v>Yes</v>
      </c>
      <c r="AE70" s="8"/>
    </row>
    <row r="71" customFormat="false" ht="15" hidden="false" customHeight="false" outlineLevel="0" collapsed="false">
      <c r="A71" s="12" t="s">
        <v>922</v>
      </c>
      <c r="B71" s="26" t="str">
        <f aca="false">Entities!$A$6</f>
        <v>JO-IIAB</v>
      </c>
      <c r="C71" s="12" t="str">
        <f aca="false">INDEX(Entities!$B$5:$B$34,MATCH(B71,Entities!$A$5:$A$34,0))</f>
        <v>Islamic International Arab Bank</v>
      </c>
      <c r="D71" s="7" t="str">
        <f aca="false">INDEX(Entities!$F$5:$F$34,MATCH(B71,Entities!$A$5:$A$34,0))</f>
        <v>Tier 1</v>
      </c>
      <c r="E71" s="26" t="str">
        <f aca="false">'Control Library'!$A$28</f>
        <v>CTL-TRN-01</v>
      </c>
      <c r="F71" s="12" t="str">
        <f aca="false">INDEX('Control Library'!$B$5:$B$47,MATCH(E71,'Control Library'!$A$5:$A$47,0))</f>
        <v>Annual AML, sanctions and anti-bribery training</v>
      </c>
      <c r="G71" s="7" t="str">
        <f aca="false">INDEX('Control Library'!$F$5:$F$47,MATCH(E71,'Control Library'!$A$5:$A$47,0))</f>
        <v>N</v>
      </c>
      <c r="H71" s="12" t="str">
        <f aca="false">INDEX('Control Library'!$E$5:$E$47,MATCH(E71,'Control Library'!$A$5:$A$47,0))</f>
        <v>Annual</v>
      </c>
      <c r="I71" s="7" t="str">
        <f aca="false">IF(INDEX('Control Library'!$I$5:$I$47,MATCH(E71,'Control Library'!$A$5:$A$47,0))="All","Y",IF(INDEX('Control Library'!$I$5:$I$47,MATCH(E71,'Control Library'!$A$5:$A$47,0))="Banks only",IF(COUNTIF('Residual Config'!$L$28:$L$30,INDEX(Entities!$E$5:$E$34,MATCH(B71,Entities!$A$5:$A$34,0)))&gt;0,"N/A","Y"),IF(INDEX(Entities!$G$5:$G$34,MATCH(B71,Entities!$A$5:$A$34,0))="Y","Y","N/A")))</f>
        <v>Y</v>
      </c>
      <c r="J71" s="8" t="s">
        <v>866</v>
      </c>
      <c r="K71" s="8" t="s">
        <v>873</v>
      </c>
      <c r="L71" s="7" t="str">
        <f aca="false">IF(OR(J71="",K71=""),"",IF(J71=K71,"Breach","OK"))</f>
        <v>OK</v>
      </c>
      <c r="M71" s="24" t="n">
        <v>2</v>
      </c>
      <c r="N71" s="50" t="n">
        <v>46119</v>
      </c>
      <c r="O71" s="8" t="s">
        <v>545</v>
      </c>
      <c r="P71" s="24" t="n">
        <v>1</v>
      </c>
      <c r="Q71" s="31" t="n">
        <f aca="false">IF(I71="N/A","",IFERROR(INDEX('Residual Config'!$B$35:$B$42,MATCH(H71,'Residual Config'!$A$35:$A$42,0)),""))</f>
        <v>1</v>
      </c>
      <c r="R71" s="24" t="n">
        <v>0</v>
      </c>
      <c r="S71" s="8" t="s">
        <v>516</v>
      </c>
      <c r="T71" s="31" t="n">
        <f aca="false">IF(S71="","",MATCH(S71,'Residual Config'!$L$9:$L$12,0))</f>
        <v>1</v>
      </c>
      <c r="U71" s="8" t="s">
        <v>923</v>
      </c>
      <c r="V71" s="24" t="n">
        <v>3</v>
      </c>
      <c r="W71" s="33" t="s">
        <v>533</v>
      </c>
      <c r="X71" s="8" t="s">
        <v>754</v>
      </c>
      <c r="Y71" s="51" t="n">
        <f aca="false">IF(N71="","",EDATE(N71,IF(G71="N",INDEX('Residual Config'!$B$31:$D$31,1,MATCH(D71,'Residual Config'!$B$27:$D$27,0)),INDEX('Residual Config'!$B$28:$D$30,IF(T71=1,1,IF(T71=4,3,2)),MATCH(D71,'Residual Config'!$B$27:$D$27,0)))))</f>
        <v>46484</v>
      </c>
      <c r="Z71" s="7" t="str">
        <f aca="false">IF(I71="N/A","N/A",IF(N71="","Not tested",IF(W71="Rejected","Evidence rejected",IF(W71&lt;&gt;"Accepted","Evidence pending",IF(Y71&lt;'Residual Config'!$C$4,"Overdue","Current")))))</f>
        <v>Current</v>
      </c>
      <c r="AA71" s="34" t="n">
        <f aca="false">IF(I71="N/A","",IF(Z71&lt;&gt;"Current",4,IF(MAX(M71,T71)=0,4,MAX(M71,T71))))</f>
        <v>2</v>
      </c>
      <c r="AB71" s="7" t="str">
        <f aca="false">IF(AA71="","N/A",IF(Z71&lt;&gt;"Current","Not tested / overdue",INDEX('Residual Config'!$B$11:$B$14,AA71)))</f>
        <v>Largely effective</v>
      </c>
      <c r="AC71" s="36" t="n">
        <f aca="false">IF(AA71="","",INDEX('Residual Config'!$D$11:$D$14,AA71))</f>
        <v>0.4</v>
      </c>
      <c r="AD71" s="7" t="str">
        <f aca="false">IF(OR(I71="N/A",P71="",Q71=""),"",IF(P71&gt;=Q71,"Yes","No"))</f>
        <v>Yes</v>
      </c>
      <c r="AE71" s="8"/>
    </row>
    <row r="72" customFormat="false" ht="15" hidden="false" customHeight="false" outlineLevel="0" collapsed="false">
      <c r="A72" s="12" t="s">
        <v>924</v>
      </c>
      <c r="B72" s="26" t="str">
        <f aca="false">Entities!$A$6</f>
        <v>JO-IIAB</v>
      </c>
      <c r="C72" s="12" t="str">
        <f aca="false">INDEX(Entities!$B$5:$B$34,MATCH(B72,Entities!$A$5:$A$34,0))</f>
        <v>Islamic International Arab Bank</v>
      </c>
      <c r="D72" s="7" t="str">
        <f aca="false">INDEX(Entities!$F$5:$F$34,MATCH(B72,Entities!$A$5:$A$34,0))</f>
        <v>Tier 1</v>
      </c>
      <c r="E72" s="26" t="str">
        <f aca="false">'Control Library'!$A$29</f>
        <v>CTL-REG-01</v>
      </c>
      <c r="F72" s="12" t="str">
        <f aca="false">INDEX('Control Library'!$B$5:$B$47,MATCH(E72,'Control Library'!$A$5:$A$47,0))</f>
        <v>Regulatory change management and obligations register</v>
      </c>
      <c r="G72" s="7" t="str">
        <f aca="false">INDEX('Control Library'!$F$5:$F$47,MATCH(E72,'Control Library'!$A$5:$A$47,0))</f>
        <v>Y</v>
      </c>
      <c r="H72" s="12" t="str">
        <f aca="false">INDEX('Control Library'!$E$5:$E$47,MATCH(E72,'Control Library'!$A$5:$A$47,0))</f>
        <v>Monthly</v>
      </c>
      <c r="I72" s="7" t="str">
        <f aca="false">IF(INDEX('Control Library'!$I$5:$I$47,MATCH(E72,'Control Library'!$A$5:$A$47,0))="All","Y",IF(INDEX('Control Library'!$I$5:$I$47,MATCH(E72,'Control Library'!$A$5:$A$47,0))="Banks only",IF(COUNTIF('Residual Config'!$L$28:$L$30,INDEX(Entities!$E$5:$E$34,MATCH(B72,Entities!$A$5:$A$34,0)))&gt;0,"N/A","Y"),IF(INDEX(Entities!$G$5:$G$34,MATCH(B72,Entities!$A$5:$A$34,0))="Y","Y","N/A")))</f>
        <v>Y</v>
      </c>
      <c r="J72" s="8" t="s">
        <v>866</v>
      </c>
      <c r="K72" s="8" t="s">
        <v>752</v>
      </c>
      <c r="L72" s="7" t="str">
        <f aca="false">IF(OR(J72="",K72=""),"",IF(J72=K72,"Breach","OK"))</f>
        <v>OK</v>
      </c>
      <c r="M72" s="24" t="n">
        <v>1</v>
      </c>
      <c r="N72" s="50" t="n">
        <v>46218</v>
      </c>
      <c r="O72" s="8" t="s">
        <v>546</v>
      </c>
      <c r="P72" s="24" t="n">
        <v>3</v>
      </c>
      <c r="Q72" s="31" t="n">
        <f aca="false">IF(I72="N/A","",IFERROR(INDEX('Residual Config'!$B$35:$B$42,MATCH(H72,'Residual Config'!$A$35:$A$42,0)),""))</f>
        <v>3</v>
      </c>
      <c r="R72" s="24" t="n">
        <v>0</v>
      </c>
      <c r="S72" s="8" t="s">
        <v>516</v>
      </c>
      <c r="T72" s="31" t="n">
        <f aca="false">IF(S72="","",MATCH(S72,'Residual Config'!$L$9:$L$12,0))</f>
        <v>1</v>
      </c>
      <c r="U72" s="8" t="s">
        <v>925</v>
      </c>
      <c r="V72" s="24" t="n">
        <v>4</v>
      </c>
      <c r="W72" s="33" t="s">
        <v>533</v>
      </c>
      <c r="X72" s="8" t="s">
        <v>754</v>
      </c>
      <c r="Y72" s="51" t="n">
        <f aca="false">IF(N72="","",EDATE(N72,IF(G72="N",INDEX('Residual Config'!$B$31:$D$31,1,MATCH(D72,'Residual Config'!$B$27:$D$27,0)),INDEX('Residual Config'!$B$28:$D$30,IF(T72=1,1,IF(T72=4,3,2)),MATCH(D72,'Residual Config'!$B$27:$D$27,0)))))</f>
        <v>46402</v>
      </c>
      <c r="Z72" s="7" t="str">
        <f aca="false">IF(I72="N/A","N/A",IF(N72="","Not tested",IF(W72="Rejected","Evidence rejected",IF(W72&lt;&gt;"Accepted","Evidence pending",IF(Y72&lt;'Residual Config'!$C$4,"Overdue","Current")))))</f>
        <v>Current</v>
      </c>
      <c r="AA72" s="34" t="n">
        <f aca="false">IF(I72="N/A","",IF(Z72&lt;&gt;"Current",4,IF(MAX(M72,T72)=0,4,MAX(M72,T72))))</f>
        <v>1</v>
      </c>
      <c r="AB72" s="7" t="str">
        <f aca="false">IF(AA72="","N/A",IF(Z72&lt;&gt;"Current","Not tested / overdue",INDEX('Residual Config'!$B$11:$B$14,AA72)))</f>
        <v>Effective</v>
      </c>
      <c r="AC72" s="36" t="n">
        <f aca="false">IF(AA72="","",INDEX('Residual Config'!$D$11:$D$14,AA72))</f>
        <v>0.6</v>
      </c>
      <c r="AD72" s="7" t="str">
        <f aca="false">IF(OR(I72="N/A",P72="",Q72=""),"",IF(P72&gt;=Q72,"Yes","No"))</f>
        <v>Yes</v>
      </c>
      <c r="AE72" s="8"/>
    </row>
    <row r="73" customFormat="false" ht="15" hidden="false" customHeight="false" outlineLevel="0" collapsed="false">
      <c r="A73" s="12" t="s">
        <v>926</v>
      </c>
      <c r="B73" s="26" t="str">
        <f aca="false">Entities!$A$6</f>
        <v>JO-IIAB</v>
      </c>
      <c r="C73" s="12" t="str">
        <f aca="false">INDEX(Entities!$B$5:$B$34,MATCH(B73,Entities!$A$5:$A$34,0))</f>
        <v>Islamic International Arab Bank</v>
      </c>
      <c r="D73" s="7" t="str">
        <f aca="false">INDEX(Entities!$F$5:$F$34,MATCH(B73,Entities!$A$5:$A$34,0))</f>
        <v>Tier 1</v>
      </c>
      <c r="E73" s="26" t="str">
        <f aca="false">'Control Library'!$A$30</f>
        <v>CTL-REG-02</v>
      </c>
      <c r="F73" s="12" t="str">
        <f aca="false">INDEX('Control Library'!$B$5:$B$47,MATCH(E73,'Control Library'!$A$5:$A$47,0))</f>
        <v>Regulatory return review and senior sign-off</v>
      </c>
      <c r="G73" s="7" t="str">
        <f aca="false">INDEX('Control Library'!$F$5:$F$47,MATCH(E73,'Control Library'!$A$5:$A$47,0))</f>
        <v>Y</v>
      </c>
      <c r="H73" s="12" t="str">
        <f aca="false">INDEX('Control Library'!$E$5:$E$47,MATCH(E73,'Control Library'!$A$5:$A$47,0))</f>
        <v>Monthly</v>
      </c>
      <c r="I73" s="7" t="str">
        <f aca="false">IF(INDEX('Control Library'!$I$5:$I$47,MATCH(E73,'Control Library'!$A$5:$A$47,0))="All","Y",IF(INDEX('Control Library'!$I$5:$I$47,MATCH(E73,'Control Library'!$A$5:$A$47,0))="Banks only",IF(COUNTIF('Residual Config'!$L$28:$L$30,INDEX(Entities!$E$5:$E$34,MATCH(B73,Entities!$A$5:$A$34,0)))&gt;0,"N/A","Y"),IF(INDEX(Entities!$G$5:$G$34,MATCH(B73,Entities!$A$5:$A$34,0))="Y","Y","N/A")))</f>
        <v>Y</v>
      </c>
      <c r="J73" s="8" t="s">
        <v>920</v>
      </c>
      <c r="K73" s="8" t="s">
        <v>752</v>
      </c>
      <c r="L73" s="7" t="str">
        <f aca="false">IF(OR(J73="",K73=""),"",IF(J73=K73,"Breach","OK"))</f>
        <v>OK</v>
      </c>
      <c r="M73" s="24" t="n">
        <v>1</v>
      </c>
      <c r="N73" s="50" t="n">
        <v>46274</v>
      </c>
      <c r="O73" s="8" t="s">
        <v>545</v>
      </c>
      <c r="P73" s="24" t="n">
        <v>3</v>
      </c>
      <c r="Q73" s="31" t="n">
        <f aca="false">IF(I73="N/A","",IFERROR(INDEX('Residual Config'!$B$35:$B$42,MATCH(H73,'Residual Config'!$A$35:$A$42,0)),""))</f>
        <v>3</v>
      </c>
      <c r="R73" s="24" t="n">
        <v>2</v>
      </c>
      <c r="S73" s="8" t="s">
        <v>524</v>
      </c>
      <c r="T73" s="31" t="n">
        <f aca="false">IF(S73="","",MATCH(S73,'Residual Config'!$L$9:$L$12,0))</f>
        <v>3</v>
      </c>
      <c r="U73" s="8" t="s">
        <v>927</v>
      </c>
      <c r="V73" s="24" t="n">
        <v>4</v>
      </c>
      <c r="W73" s="33" t="s">
        <v>533</v>
      </c>
      <c r="X73" s="8" t="s">
        <v>760</v>
      </c>
      <c r="Y73" s="51" t="n">
        <f aca="false">IF(N73="","",EDATE(N73,IF(G73="N",INDEX('Residual Config'!$B$31:$D$31,1,MATCH(D73,'Residual Config'!$B$27:$D$27,0)),INDEX('Residual Config'!$B$28:$D$30,IF(T73=1,1,IF(T73=4,3,2)),MATCH(D73,'Residual Config'!$B$27:$D$27,0)))))</f>
        <v>46365</v>
      </c>
      <c r="Z73" s="7" t="str">
        <f aca="false">IF(I73="N/A","N/A",IF(N73="","Not tested",IF(W73="Rejected","Evidence rejected",IF(W73&lt;&gt;"Accepted","Evidence pending",IF(Y73&lt;'Residual Config'!$C$4,"Overdue","Current")))))</f>
        <v>Current</v>
      </c>
      <c r="AA73" s="34" t="n">
        <f aca="false">IF(I73="N/A","",IF(Z73&lt;&gt;"Current",4,IF(MAX(M73,T73)=0,4,MAX(M73,T73))))</f>
        <v>3</v>
      </c>
      <c r="AB73" s="7" t="str">
        <f aca="false">IF(AA73="","N/A",IF(Z73&lt;&gt;"Current","Not tested / overdue",INDEX('Residual Config'!$B$11:$B$14,AA73)))</f>
        <v>Partially effective</v>
      </c>
      <c r="AC73" s="36" t="n">
        <f aca="false">IF(AA73="","",INDEX('Residual Config'!$D$11:$D$14,AA73))</f>
        <v>0.2</v>
      </c>
      <c r="AD73" s="7" t="str">
        <f aca="false">IF(OR(I73="N/A",P73="",Q73=""),"",IF(P73&gt;=Q73,"Yes","No"))</f>
        <v>Yes</v>
      </c>
      <c r="AE73" s="8"/>
    </row>
    <row r="74" customFormat="false" ht="15" hidden="false" customHeight="false" outlineLevel="0" collapsed="false">
      <c r="A74" s="12" t="s">
        <v>928</v>
      </c>
      <c r="B74" s="26" t="str">
        <f aca="false">Entities!$A$6</f>
        <v>JO-IIAB</v>
      </c>
      <c r="C74" s="12" t="str">
        <f aca="false">INDEX(Entities!$B$5:$B$34,MATCH(B74,Entities!$A$5:$A$34,0))</f>
        <v>Islamic International Arab Bank</v>
      </c>
      <c r="D74" s="7" t="str">
        <f aca="false">INDEX(Entities!$F$5:$F$34,MATCH(B74,Entities!$A$5:$A$34,0))</f>
        <v>Tier 1</v>
      </c>
      <c r="E74" s="26" t="str">
        <f aca="false">'Control Library'!$A$31</f>
        <v>CTL-CON-01</v>
      </c>
      <c r="F74" s="12" t="str">
        <f aca="false">INDEX('Control Library'!$B$5:$B$47,MATCH(E74,'Control Library'!$A$5:$A$47,0))</f>
        <v>New product approval and suitability assessment</v>
      </c>
      <c r="G74" s="7" t="str">
        <f aca="false">INDEX('Control Library'!$F$5:$F$47,MATCH(E74,'Control Library'!$A$5:$A$47,0))</f>
        <v>Y</v>
      </c>
      <c r="H74" s="12" t="str">
        <f aca="false">INDEX('Control Library'!$E$5:$E$47,MATCH(E74,'Control Library'!$A$5:$A$47,0))</f>
        <v>Event-driven</v>
      </c>
      <c r="I74" s="7" t="str">
        <f aca="false">IF(INDEX('Control Library'!$I$5:$I$47,MATCH(E74,'Control Library'!$A$5:$A$47,0))="All","Y",IF(INDEX('Control Library'!$I$5:$I$47,MATCH(E74,'Control Library'!$A$5:$A$47,0))="Banks only",IF(COUNTIF('Residual Config'!$L$28:$L$30,INDEX(Entities!$E$5:$E$34,MATCH(B74,Entities!$A$5:$A$34,0)))&gt;0,"N/A","Y"),IF(INDEX(Entities!$G$5:$G$34,MATCH(B74,Entities!$A$5:$A$34,0))="Y","Y","N/A")))</f>
        <v>Y</v>
      </c>
      <c r="J74" s="8" t="s">
        <v>866</v>
      </c>
      <c r="K74" s="8" t="s">
        <v>752</v>
      </c>
      <c r="L74" s="7" t="str">
        <f aca="false">IF(OR(J74="",K74=""),"",IF(J74=K74,"Breach","OK"))</f>
        <v>OK</v>
      </c>
      <c r="M74" s="24" t="n">
        <v>1</v>
      </c>
      <c r="N74" s="50" t="n">
        <v>46226</v>
      </c>
      <c r="O74" s="8" t="s">
        <v>546</v>
      </c>
      <c r="P74" s="24" t="n">
        <v>30</v>
      </c>
      <c r="Q74" s="31" t="n">
        <f aca="false">IF(I74="N/A","",IFERROR(INDEX('Residual Config'!$B$35:$B$42,MATCH(H74,'Residual Config'!$A$35:$A$42,0)),""))</f>
        <v>25</v>
      </c>
      <c r="R74" s="24" t="n">
        <v>1</v>
      </c>
      <c r="S74" s="8" t="s">
        <v>521</v>
      </c>
      <c r="T74" s="31" t="n">
        <f aca="false">IF(S74="","",MATCH(S74,'Residual Config'!$L$9:$L$12,0))</f>
        <v>2</v>
      </c>
      <c r="U74" s="8" t="s">
        <v>929</v>
      </c>
      <c r="V74" s="24" t="n">
        <v>3</v>
      </c>
      <c r="W74" s="33" t="s">
        <v>533</v>
      </c>
      <c r="X74" s="8" t="s">
        <v>754</v>
      </c>
      <c r="Y74" s="51" t="n">
        <f aca="false">IF(N74="","",EDATE(N74,IF(G74="N",INDEX('Residual Config'!$B$31:$D$31,1,MATCH(D74,'Residual Config'!$B$27:$D$27,0)),INDEX('Residual Config'!$B$28:$D$30,IF(T74=1,1,IF(T74=4,3,2)),MATCH(D74,'Residual Config'!$B$27:$D$27,0)))))</f>
        <v>46318</v>
      </c>
      <c r="Z74" s="7" t="str">
        <f aca="false">IF(I74="N/A","N/A",IF(N74="","Not tested",IF(W74="Rejected","Evidence rejected",IF(W74&lt;&gt;"Accepted","Evidence pending",IF(Y74&lt;'Residual Config'!$C$4,"Overdue","Current")))))</f>
        <v>Current</v>
      </c>
      <c r="AA74" s="34" t="n">
        <f aca="false">IF(I74="N/A","",IF(Z74&lt;&gt;"Current",4,IF(MAX(M74,T74)=0,4,MAX(M74,T74))))</f>
        <v>2</v>
      </c>
      <c r="AB74" s="7" t="str">
        <f aca="false">IF(AA74="","N/A",IF(Z74&lt;&gt;"Current","Not tested / overdue",INDEX('Residual Config'!$B$11:$B$14,AA74)))</f>
        <v>Largely effective</v>
      </c>
      <c r="AC74" s="36" t="n">
        <f aca="false">IF(AA74="","",INDEX('Residual Config'!$D$11:$D$14,AA74))</f>
        <v>0.4</v>
      </c>
      <c r="AD74" s="7" t="str">
        <f aca="false">IF(OR(I74="N/A",P74="",Q74=""),"",IF(P74&gt;=Q74,"Yes","No"))</f>
        <v>Yes</v>
      </c>
      <c r="AE74" s="8"/>
    </row>
    <row r="75" customFormat="false" ht="15" hidden="false" customHeight="false" outlineLevel="0" collapsed="false">
      <c r="A75" s="12" t="s">
        <v>930</v>
      </c>
      <c r="B75" s="26" t="str">
        <f aca="false">Entities!$A$6</f>
        <v>JO-IIAB</v>
      </c>
      <c r="C75" s="12" t="str">
        <f aca="false">INDEX(Entities!$B$5:$B$34,MATCH(B75,Entities!$A$5:$A$34,0))</f>
        <v>Islamic International Arab Bank</v>
      </c>
      <c r="D75" s="7" t="str">
        <f aca="false">INDEX(Entities!$F$5:$F$34,MATCH(B75,Entities!$A$5:$A$34,0))</f>
        <v>Tier 1</v>
      </c>
      <c r="E75" s="26" t="str">
        <f aca="false">'Control Library'!$A$32</f>
        <v>CTL-CON-02</v>
      </c>
      <c r="F75" s="12" t="str">
        <f aca="false">INDEX('Control Library'!$B$5:$B$47,MATCH(E75,'Control Library'!$A$5:$A$47,0))</f>
        <v>Complaints handling and root-cause analysis</v>
      </c>
      <c r="G75" s="7" t="str">
        <f aca="false">INDEX('Control Library'!$F$5:$F$47,MATCH(E75,'Control Library'!$A$5:$A$47,0))</f>
        <v>N</v>
      </c>
      <c r="H75" s="12" t="str">
        <f aca="false">INDEX('Control Library'!$E$5:$E$47,MATCH(E75,'Control Library'!$A$5:$A$47,0))</f>
        <v>Monthly</v>
      </c>
      <c r="I75" s="7" t="str">
        <f aca="false">IF(INDEX('Control Library'!$I$5:$I$47,MATCH(E75,'Control Library'!$A$5:$A$47,0))="All","Y",IF(INDEX('Control Library'!$I$5:$I$47,MATCH(E75,'Control Library'!$A$5:$A$47,0))="Banks only",IF(COUNTIF('Residual Config'!$L$28:$L$30,INDEX(Entities!$E$5:$E$34,MATCH(B75,Entities!$A$5:$A$34,0)))&gt;0,"N/A","Y"),IF(INDEX(Entities!$G$5:$G$34,MATCH(B75,Entities!$A$5:$A$34,0))="Y","Y","N/A")))</f>
        <v>Y</v>
      </c>
      <c r="J75" s="8" t="s">
        <v>931</v>
      </c>
      <c r="K75" s="8" t="s">
        <v>873</v>
      </c>
      <c r="L75" s="7" t="str">
        <f aca="false">IF(OR(J75="",K75=""),"",IF(J75=K75,"Breach","OK"))</f>
        <v>OK</v>
      </c>
      <c r="M75" s="24" t="n">
        <v>2</v>
      </c>
      <c r="N75" s="50" t="n">
        <v>46029</v>
      </c>
      <c r="O75" s="8" t="s">
        <v>545</v>
      </c>
      <c r="P75" s="24" t="n">
        <v>3</v>
      </c>
      <c r="Q75" s="31" t="n">
        <f aca="false">IF(I75="N/A","",IFERROR(INDEX('Residual Config'!$B$35:$B$42,MATCH(H75,'Residual Config'!$A$35:$A$42,0)),""))</f>
        <v>3</v>
      </c>
      <c r="R75" s="24" t="n">
        <v>1</v>
      </c>
      <c r="S75" s="8" t="s">
        <v>521</v>
      </c>
      <c r="T75" s="31" t="n">
        <f aca="false">IF(S75="","",MATCH(S75,'Residual Config'!$L$9:$L$12,0))</f>
        <v>2</v>
      </c>
      <c r="U75" s="8" t="s">
        <v>932</v>
      </c>
      <c r="V75" s="24" t="n">
        <v>1</v>
      </c>
      <c r="W75" s="33" t="s">
        <v>533</v>
      </c>
      <c r="X75" s="8" t="s">
        <v>760</v>
      </c>
      <c r="Y75" s="51" t="n">
        <f aca="false">IF(N75="","",EDATE(N75,IF(G75="N",INDEX('Residual Config'!$B$31:$D$31,1,MATCH(D75,'Residual Config'!$B$27:$D$27,0)),INDEX('Residual Config'!$B$28:$D$30,IF(T75=1,1,IF(T75=4,3,2)),MATCH(D75,'Residual Config'!$B$27:$D$27,0)))))</f>
        <v>46394</v>
      </c>
      <c r="Z75" s="7" t="str">
        <f aca="false">IF(I75="N/A","N/A",IF(N75="","Not tested",IF(W75="Rejected","Evidence rejected",IF(W75&lt;&gt;"Accepted","Evidence pending",IF(Y75&lt;'Residual Config'!$C$4,"Overdue","Current")))))</f>
        <v>Current</v>
      </c>
      <c r="AA75" s="34" t="n">
        <f aca="false">IF(I75="N/A","",IF(Z75&lt;&gt;"Current",4,IF(MAX(M75,T75)=0,4,MAX(M75,T75))))</f>
        <v>2</v>
      </c>
      <c r="AB75" s="7" t="str">
        <f aca="false">IF(AA75="","N/A",IF(Z75&lt;&gt;"Current","Not tested / overdue",INDEX('Residual Config'!$B$11:$B$14,AA75)))</f>
        <v>Largely effective</v>
      </c>
      <c r="AC75" s="36" t="n">
        <f aca="false">IF(AA75="","",INDEX('Residual Config'!$D$11:$D$14,AA75))</f>
        <v>0.4</v>
      </c>
      <c r="AD75" s="7" t="str">
        <f aca="false">IF(OR(I75="N/A",P75="",Q75=""),"",IF(P75&gt;=Q75,"Yes","No"))</f>
        <v>Yes</v>
      </c>
      <c r="AE75" s="8"/>
    </row>
    <row r="76" customFormat="false" ht="15" hidden="false" customHeight="false" outlineLevel="0" collapsed="false">
      <c r="A76" s="12" t="s">
        <v>933</v>
      </c>
      <c r="B76" s="26" t="str">
        <f aca="false">Entities!$A$6</f>
        <v>JO-IIAB</v>
      </c>
      <c r="C76" s="12" t="str">
        <f aca="false">INDEX(Entities!$B$5:$B$34,MATCH(B76,Entities!$A$5:$A$34,0))</f>
        <v>Islamic International Arab Bank</v>
      </c>
      <c r="D76" s="7" t="str">
        <f aca="false">INDEX(Entities!$F$5:$F$34,MATCH(B76,Entities!$A$5:$A$34,0))</f>
        <v>Tier 1</v>
      </c>
      <c r="E76" s="26" t="str">
        <f aca="false">'Control Library'!$A$33</f>
        <v>CTL-DP-01</v>
      </c>
      <c r="F76" s="12" t="str">
        <f aca="false">INDEX('Control Library'!$B$5:$B$47,MATCH(E76,'Control Library'!$A$5:$A$47,0))</f>
        <v>Data protection impact assessments and processing records</v>
      </c>
      <c r="G76" s="7" t="str">
        <f aca="false">INDEX('Control Library'!$F$5:$F$47,MATCH(E76,'Control Library'!$A$5:$A$47,0))</f>
        <v>Y</v>
      </c>
      <c r="H76" s="12" t="str">
        <f aca="false">INDEX('Control Library'!$E$5:$E$47,MATCH(E76,'Control Library'!$A$5:$A$47,0))</f>
        <v>Event-driven</v>
      </c>
      <c r="I76" s="7" t="str">
        <f aca="false">IF(INDEX('Control Library'!$I$5:$I$47,MATCH(E76,'Control Library'!$A$5:$A$47,0))="All","Y",IF(INDEX('Control Library'!$I$5:$I$47,MATCH(E76,'Control Library'!$A$5:$A$47,0))="Banks only",IF(COUNTIF('Residual Config'!$L$28:$L$30,INDEX(Entities!$E$5:$E$34,MATCH(B76,Entities!$A$5:$A$34,0)))&gt;0,"N/A","Y"),IF(INDEX(Entities!$G$5:$G$34,MATCH(B76,Entities!$A$5:$A$34,0))="Y","Y","N/A")))</f>
        <v>Y</v>
      </c>
      <c r="J76" s="8" t="s">
        <v>934</v>
      </c>
      <c r="K76" s="8" t="s">
        <v>752</v>
      </c>
      <c r="L76" s="7" t="str">
        <f aca="false">IF(OR(J76="",K76=""),"",IF(J76=K76,"Breach","OK"))</f>
        <v>OK</v>
      </c>
      <c r="M76" s="24" t="n">
        <v>1</v>
      </c>
      <c r="N76" s="50" t="n">
        <v>46155</v>
      </c>
      <c r="O76" s="8" t="s">
        <v>545</v>
      </c>
      <c r="P76" s="24" t="n">
        <v>30</v>
      </c>
      <c r="Q76" s="31" t="n">
        <f aca="false">IF(I76="N/A","",IFERROR(INDEX('Residual Config'!$B$35:$B$42,MATCH(H76,'Residual Config'!$A$35:$A$42,0)),""))</f>
        <v>25</v>
      </c>
      <c r="R76" s="24" t="n">
        <v>0</v>
      </c>
      <c r="S76" s="8" t="s">
        <v>516</v>
      </c>
      <c r="T76" s="31" t="n">
        <f aca="false">IF(S76="","",MATCH(S76,'Residual Config'!$L$9:$L$12,0))</f>
        <v>1</v>
      </c>
      <c r="U76" s="8" t="s">
        <v>935</v>
      </c>
      <c r="V76" s="24" t="n">
        <v>4</v>
      </c>
      <c r="W76" s="33" t="s">
        <v>533</v>
      </c>
      <c r="X76" s="8" t="s">
        <v>760</v>
      </c>
      <c r="Y76" s="51" t="n">
        <f aca="false">IF(N76="","",EDATE(N76,IF(G76="N",INDEX('Residual Config'!$B$31:$D$31,1,MATCH(D76,'Residual Config'!$B$27:$D$27,0)),INDEX('Residual Config'!$B$28:$D$30,IF(T76=1,1,IF(T76=4,3,2)),MATCH(D76,'Residual Config'!$B$27:$D$27,0)))))</f>
        <v>46339</v>
      </c>
      <c r="Z76" s="7" t="str">
        <f aca="false">IF(I76="N/A","N/A",IF(N76="","Not tested",IF(W76="Rejected","Evidence rejected",IF(W76&lt;&gt;"Accepted","Evidence pending",IF(Y76&lt;'Residual Config'!$C$4,"Overdue","Current")))))</f>
        <v>Current</v>
      </c>
      <c r="AA76" s="34" t="n">
        <f aca="false">IF(I76="N/A","",IF(Z76&lt;&gt;"Current",4,IF(MAX(M76,T76)=0,4,MAX(M76,T76))))</f>
        <v>1</v>
      </c>
      <c r="AB76" s="7" t="str">
        <f aca="false">IF(AA76="","N/A",IF(Z76&lt;&gt;"Current","Not tested / overdue",INDEX('Residual Config'!$B$11:$B$14,AA76)))</f>
        <v>Effective</v>
      </c>
      <c r="AC76" s="36" t="n">
        <f aca="false">IF(AA76="","",INDEX('Residual Config'!$D$11:$D$14,AA76))</f>
        <v>0.6</v>
      </c>
      <c r="AD76" s="7" t="str">
        <f aca="false">IF(OR(I76="N/A",P76="",Q76=""),"",IF(P76&gt;=Q76,"Yes","No"))</f>
        <v>Yes</v>
      </c>
      <c r="AE76" s="8"/>
    </row>
    <row r="77" customFormat="false" ht="15" hidden="false" customHeight="false" outlineLevel="0" collapsed="false">
      <c r="A77" s="12" t="s">
        <v>936</v>
      </c>
      <c r="B77" s="26" t="str">
        <f aca="false">Entities!$A$6</f>
        <v>JO-IIAB</v>
      </c>
      <c r="C77" s="12" t="str">
        <f aca="false">INDEX(Entities!$B$5:$B$34,MATCH(B77,Entities!$A$5:$A$34,0))</f>
        <v>Islamic International Arab Bank</v>
      </c>
      <c r="D77" s="7" t="str">
        <f aca="false">INDEX(Entities!$F$5:$F$34,MATCH(B77,Entities!$A$5:$A$34,0))</f>
        <v>Tier 1</v>
      </c>
      <c r="E77" s="26" t="str">
        <f aca="false">'Control Library'!$A$34</f>
        <v>CTL-DP-02</v>
      </c>
      <c r="F77" s="12" t="str">
        <f aca="false">INDEX('Control Library'!$B$5:$B$47,MATCH(E77,'Control Library'!$A$5:$A$47,0))</f>
        <v>Data loss prevention and quarterly access recertification</v>
      </c>
      <c r="G77" s="7" t="str">
        <f aca="false">INDEX('Control Library'!$F$5:$F$47,MATCH(E77,'Control Library'!$A$5:$A$47,0))</f>
        <v>Y</v>
      </c>
      <c r="H77" s="12" t="str">
        <f aca="false">INDEX('Control Library'!$E$5:$E$47,MATCH(E77,'Control Library'!$A$5:$A$47,0))</f>
        <v>Quarterly</v>
      </c>
      <c r="I77" s="7" t="str">
        <f aca="false">IF(INDEX('Control Library'!$I$5:$I$47,MATCH(E77,'Control Library'!$A$5:$A$47,0))="All","Y",IF(INDEX('Control Library'!$I$5:$I$47,MATCH(E77,'Control Library'!$A$5:$A$47,0))="Banks only",IF(COUNTIF('Residual Config'!$L$28:$L$30,INDEX(Entities!$E$5:$E$34,MATCH(B77,Entities!$A$5:$A$34,0)))&gt;0,"N/A","Y"),IF(INDEX(Entities!$G$5:$G$34,MATCH(B77,Entities!$A$5:$A$34,0))="Y","Y","N/A")))</f>
        <v>Y</v>
      </c>
      <c r="J77" s="8" t="s">
        <v>937</v>
      </c>
      <c r="K77" s="8" t="s">
        <v>752</v>
      </c>
      <c r="L77" s="7" t="str">
        <f aca="false">IF(OR(J77="",K77=""),"",IF(J77=K77,"Breach","OK"))</f>
        <v>OK</v>
      </c>
      <c r="M77" s="24" t="n">
        <v>2</v>
      </c>
      <c r="N77" s="50" t="n">
        <v>46174</v>
      </c>
      <c r="O77" s="8" t="s">
        <v>546</v>
      </c>
      <c r="P77" s="24" t="n">
        <v>2</v>
      </c>
      <c r="Q77" s="31" t="n">
        <f aca="false">IF(I77="N/A","",IFERROR(INDEX('Residual Config'!$B$35:$B$42,MATCH(H77,'Residual Config'!$A$35:$A$42,0)),""))</f>
        <v>2</v>
      </c>
      <c r="R77" s="24" t="n">
        <v>0</v>
      </c>
      <c r="S77" s="8" t="s">
        <v>516</v>
      </c>
      <c r="T77" s="31" t="n">
        <f aca="false">IF(S77="","",MATCH(S77,'Residual Config'!$L$9:$L$12,0))</f>
        <v>1</v>
      </c>
      <c r="U77" s="8" t="s">
        <v>938</v>
      </c>
      <c r="V77" s="24" t="n">
        <v>4</v>
      </c>
      <c r="W77" s="33" t="s">
        <v>533</v>
      </c>
      <c r="X77" s="8" t="s">
        <v>754</v>
      </c>
      <c r="Y77" s="51" t="n">
        <f aca="false">IF(N77="","",EDATE(N77,IF(G77="N",INDEX('Residual Config'!$B$31:$D$31,1,MATCH(D77,'Residual Config'!$B$27:$D$27,0)),INDEX('Residual Config'!$B$28:$D$30,IF(T77=1,1,IF(T77=4,3,2)),MATCH(D77,'Residual Config'!$B$27:$D$27,0)))))</f>
        <v>46357</v>
      </c>
      <c r="Z77" s="7" t="str">
        <f aca="false">IF(I77="N/A","N/A",IF(N77="","Not tested",IF(W77="Rejected","Evidence rejected",IF(W77&lt;&gt;"Accepted","Evidence pending",IF(Y77&lt;'Residual Config'!$C$4,"Overdue","Current")))))</f>
        <v>Current</v>
      </c>
      <c r="AA77" s="34" t="n">
        <f aca="false">IF(I77="N/A","",IF(Z77&lt;&gt;"Current",4,IF(MAX(M77,T77)=0,4,MAX(M77,T77))))</f>
        <v>2</v>
      </c>
      <c r="AB77" s="7" t="str">
        <f aca="false">IF(AA77="","N/A",IF(Z77&lt;&gt;"Current","Not tested / overdue",INDEX('Residual Config'!$B$11:$B$14,AA77)))</f>
        <v>Largely effective</v>
      </c>
      <c r="AC77" s="36" t="n">
        <f aca="false">IF(AA77="","",INDEX('Residual Config'!$D$11:$D$14,AA77))</f>
        <v>0.4</v>
      </c>
      <c r="AD77" s="7" t="str">
        <f aca="false">IF(OR(I77="N/A",P77="",Q77=""),"",IF(P77&gt;=Q77,"Yes","No"))</f>
        <v>Yes</v>
      </c>
      <c r="AE77" s="8"/>
    </row>
    <row r="78" customFormat="false" ht="15" hidden="false" customHeight="false" outlineLevel="0" collapsed="false">
      <c r="A78" s="12" t="s">
        <v>939</v>
      </c>
      <c r="B78" s="26" t="str">
        <f aca="false">Entities!$A$6</f>
        <v>JO-IIAB</v>
      </c>
      <c r="C78" s="12" t="str">
        <f aca="false">INDEX(Entities!$B$5:$B$34,MATCH(B78,Entities!$A$5:$A$34,0))</f>
        <v>Islamic International Arab Bank</v>
      </c>
      <c r="D78" s="7" t="str">
        <f aca="false">INDEX(Entities!$F$5:$F$34,MATCH(B78,Entities!$A$5:$A$34,0))</f>
        <v>Tier 1</v>
      </c>
      <c r="E78" s="26" t="str">
        <f aca="false">'Control Library'!$A$35</f>
        <v>CTL-SH-01</v>
      </c>
      <c r="F78" s="12" t="str">
        <f aca="false">INDEX('Control Library'!$B$5:$B$47,MATCH(E78,'Control Library'!$A$5:$A$47,0))</f>
        <v>Shariah review of products and income purification</v>
      </c>
      <c r="G78" s="7" t="str">
        <f aca="false">INDEX('Control Library'!$F$5:$F$47,MATCH(E78,'Control Library'!$A$5:$A$47,0))</f>
        <v>Y</v>
      </c>
      <c r="H78" s="12" t="str">
        <f aca="false">INDEX('Control Library'!$E$5:$E$47,MATCH(E78,'Control Library'!$A$5:$A$47,0))</f>
        <v>Quarterly</v>
      </c>
      <c r="I78" s="7" t="str">
        <f aca="false">IF(INDEX('Control Library'!$I$5:$I$47,MATCH(E78,'Control Library'!$A$5:$A$47,0))="All","Y",IF(INDEX('Control Library'!$I$5:$I$47,MATCH(E78,'Control Library'!$A$5:$A$47,0))="Banks only",IF(COUNTIF('Residual Config'!$L$28:$L$30,INDEX(Entities!$E$5:$E$34,MATCH(B78,Entities!$A$5:$A$34,0)))&gt;0,"N/A","Y"),IF(INDEX(Entities!$G$5:$G$34,MATCH(B78,Entities!$A$5:$A$34,0))="Y","Y","N/A")))</f>
        <v>Y</v>
      </c>
      <c r="J78" s="8" t="s">
        <v>940</v>
      </c>
      <c r="K78" s="8" t="s">
        <v>752</v>
      </c>
      <c r="L78" s="7" t="str">
        <f aca="false">IF(OR(J78="",K78=""),"",IF(J78=K78,"Breach","OK"))</f>
        <v>OK</v>
      </c>
      <c r="M78" s="24" t="n">
        <v>1</v>
      </c>
      <c r="N78" s="50" t="n">
        <v>46145</v>
      </c>
      <c r="O78" s="8" t="s">
        <v>545</v>
      </c>
      <c r="P78" s="24" t="n">
        <v>2</v>
      </c>
      <c r="Q78" s="31" t="n">
        <f aca="false">IF(I78="N/A","",IFERROR(INDEX('Residual Config'!$B$35:$B$42,MATCH(H78,'Residual Config'!$A$35:$A$42,0)),""))</f>
        <v>2</v>
      </c>
      <c r="R78" s="24" t="n">
        <v>0</v>
      </c>
      <c r="S78" s="8" t="s">
        <v>516</v>
      </c>
      <c r="T78" s="31" t="n">
        <f aca="false">IF(S78="","",MATCH(S78,'Residual Config'!$L$9:$L$12,0))</f>
        <v>1</v>
      </c>
      <c r="U78" s="8" t="s">
        <v>941</v>
      </c>
      <c r="V78" s="24" t="n">
        <v>1</v>
      </c>
      <c r="W78" s="33" t="s">
        <v>533</v>
      </c>
      <c r="X78" s="8" t="s">
        <v>754</v>
      </c>
      <c r="Y78" s="51" t="n">
        <f aca="false">IF(N78="","",EDATE(N78,IF(G78="N",INDEX('Residual Config'!$B$31:$D$31,1,MATCH(D78,'Residual Config'!$B$27:$D$27,0)),INDEX('Residual Config'!$B$28:$D$30,IF(T78=1,1,IF(T78=4,3,2)),MATCH(D78,'Residual Config'!$B$27:$D$27,0)))))</f>
        <v>46329</v>
      </c>
      <c r="Z78" s="7" t="str">
        <f aca="false">IF(I78="N/A","N/A",IF(N78="","Not tested",IF(W78="Rejected","Evidence rejected",IF(W78&lt;&gt;"Accepted","Evidence pending",IF(Y78&lt;'Residual Config'!$C$4,"Overdue","Current")))))</f>
        <v>Current</v>
      </c>
      <c r="AA78" s="34" t="n">
        <f aca="false">IF(I78="N/A","",IF(Z78&lt;&gt;"Current",4,IF(MAX(M78,T78)=0,4,MAX(M78,T78))))</f>
        <v>1</v>
      </c>
      <c r="AB78" s="7" t="str">
        <f aca="false">IF(AA78="","N/A",IF(Z78&lt;&gt;"Current","Not tested / overdue",INDEX('Residual Config'!$B$11:$B$14,AA78)))</f>
        <v>Effective</v>
      </c>
      <c r="AC78" s="36" t="n">
        <f aca="false">IF(AA78="","",INDEX('Residual Config'!$D$11:$D$14,AA78))</f>
        <v>0.6</v>
      </c>
      <c r="AD78" s="7" t="str">
        <f aca="false">IF(OR(I78="N/A",P78="",Q78=""),"",IF(P78&gt;=Q78,"Yes","No"))</f>
        <v>Yes</v>
      </c>
      <c r="AE78" s="8"/>
    </row>
    <row r="79" customFormat="false" ht="15" hidden="false" customHeight="false" outlineLevel="0" collapsed="false">
      <c r="A79" s="12" t="s">
        <v>942</v>
      </c>
      <c r="B79" s="26" t="str">
        <f aca="false">Entities!$A$6</f>
        <v>JO-IIAB</v>
      </c>
      <c r="C79" s="12" t="str">
        <f aca="false">INDEX(Entities!$B$5:$B$34,MATCH(B79,Entities!$A$5:$A$34,0))</f>
        <v>Islamic International Arab Bank</v>
      </c>
      <c r="D79" s="7" t="str">
        <f aca="false">INDEX(Entities!$F$5:$F$34,MATCH(B79,Entities!$A$5:$A$34,0))</f>
        <v>Tier 1</v>
      </c>
      <c r="E79" s="26" t="str">
        <f aca="false">'Control Library'!$A$36</f>
        <v>CTL-CR-01</v>
      </c>
      <c r="F79" s="12" t="str">
        <f aca="false">INDEX('Control Library'!$B$5:$B$47,MATCH(E79,'Control Library'!$A$5:$A$47,0))</f>
        <v>Credit approval authorities and committee review</v>
      </c>
      <c r="G79" s="7" t="str">
        <f aca="false">INDEX('Control Library'!$F$5:$F$47,MATCH(E79,'Control Library'!$A$5:$A$47,0))</f>
        <v>Y</v>
      </c>
      <c r="H79" s="12" t="str">
        <f aca="false">INDEX('Control Library'!$E$5:$E$47,MATCH(E79,'Control Library'!$A$5:$A$47,0))</f>
        <v>Event-driven</v>
      </c>
      <c r="I79" s="7" t="str">
        <f aca="false">IF(INDEX('Control Library'!$I$5:$I$47,MATCH(E79,'Control Library'!$A$5:$A$47,0))="All","Y",IF(INDEX('Control Library'!$I$5:$I$47,MATCH(E79,'Control Library'!$A$5:$A$47,0))="Banks only",IF(COUNTIF('Residual Config'!$L$28:$L$30,INDEX(Entities!$E$5:$E$34,MATCH(B79,Entities!$A$5:$A$34,0)))&gt;0,"N/A","Y"),IF(INDEX(Entities!$G$5:$G$34,MATCH(B79,Entities!$A$5:$A$34,0))="Y","Y","N/A")))</f>
        <v>Y</v>
      </c>
      <c r="J79" s="8" t="s">
        <v>943</v>
      </c>
      <c r="K79" s="8" t="s">
        <v>752</v>
      </c>
      <c r="L79" s="7" t="str">
        <f aca="false">IF(OR(J79="",K79=""),"",IF(J79=K79,"Breach","OK"))</f>
        <v>OK</v>
      </c>
      <c r="M79" s="24" t="n">
        <v>1</v>
      </c>
      <c r="N79" s="50" t="n">
        <v>46145</v>
      </c>
      <c r="O79" s="8" t="s">
        <v>545</v>
      </c>
      <c r="P79" s="24" t="n">
        <v>30</v>
      </c>
      <c r="Q79" s="31" t="n">
        <f aca="false">IF(I79="N/A","",IFERROR(INDEX('Residual Config'!$B$35:$B$42,MATCH(H79,'Residual Config'!$A$35:$A$42,0)),""))</f>
        <v>25</v>
      </c>
      <c r="R79" s="24" t="n">
        <v>0</v>
      </c>
      <c r="S79" s="8" t="s">
        <v>516</v>
      </c>
      <c r="T79" s="31" t="n">
        <f aca="false">IF(S79="","",MATCH(S79,'Residual Config'!$L$9:$L$12,0))</f>
        <v>1</v>
      </c>
      <c r="U79" s="8" t="s">
        <v>944</v>
      </c>
      <c r="V79" s="24" t="n">
        <v>6</v>
      </c>
      <c r="W79" s="33" t="s">
        <v>533</v>
      </c>
      <c r="X79" s="8" t="s">
        <v>760</v>
      </c>
      <c r="Y79" s="51" t="n">
        <f aca="false">IF(N79="","",EDATE(N79,IF(G79="N",INDEX('Residual Config'!$B$31:$D$31,1,MATCH(D79,'Residual Config'!$B$27:$D$27,0)),INDEX('Residual Config'!$B$28:$D$30,IF(T79=1,1,IF(T79=4,3,2)),MATCH(D79,'Residual Config'!$B$27:$D$27,0)))))</f>
        <v>46329</v>
      </c>
      <c r="Z79" s="7" t="str">
        <f aca="false">IF(I79="N/A","N/A",IF(N79="","Not tested",IF(W79="Rejected","Evidence rejected",IF(W79&lt;&gt;"Accepted","Evidence pending",IF(Y79&lt;'Residual Config'!$C$4,"Overdue","Current")))))</f>
        <v>Current</v>
      </c>
      <c r="AA79" s="34" t="n">
        <f aca="false">IF(I79="N/A","",IF(Z79&lt;&gt;"Current",4,IF(MAX(M79,T79)=0,4,MAX(M79,T79))))</f>
        <v>1</v>
      </c>
      <c r="AB79" s="7" t="str">
        <f aca="false">IF(AA79="","N/A",IF(Z79&lt;&gt;"Current","Not tested / overdue",INDEX('Residual Config'!$B$11:$B$14,AA79)))</f>
        <v>Effective</v>
      </c>
      <c r="AC79" s="36" t="n">
        <f aca="false">IF(AA79="","",INDEX('Residual Config'!$D$11:$D$14,AA79))</f>
        <v>0.6</v>
      </c>
      <c r="AD79" s="7" t="str">
        <f aca="false">IF(OR(I79="N/A",P79="",Q79=""),"",IF(P79&gt;=Q79,"Yes","No"))</f>
        <v>Yes</v>
      </c>
      <c r="AE79" s="8"/>
    </row>
    <row r="80" customFormat="false" ht="15" hidden="false" customHeight="false" outlineLevel="0" collapsed="false">
      <c r="A80" s="12" t="s">
        <v>945</v>
      </c>
      <c r="B80" s="26" t="str">
        <f aca="false">Entities!$A$6</f>
        <v>JO-IIAB</v>
      </c>
      <c r="C80" s="12" t="str">
        <f aca="false">INDEX(Entities!$B$5:$B$34,MATCH(B80,Entities!$A$5:$A$34,0))</f>
        <v>Islamic International Arab Bank</v>
      </c>
      <c r="D80" s="7" t="str">
        <f aca="false">INDEX(Entities!$F$5:$F$34,MATCH(B80,Entities!$A$5:$A$34,0))</f>
        <v>Tier 1</v>
      </c>
      <c r="E80" s="26" t="str">
        <f aca="false">'Control Library'!$A$37</f>
        <v>CTL-CR-02</v>
      </c>
      <c r="F80" s="12" t="str">
        <f aca="false">INDEX('Control Library'!$B$5:$B$47,MATCH(E80,'Control Library'!$A$5:$A$47,0))</f>
        <v>Collateral valuation and exposure limit monitoring</v>
      </c>
      <c r="G80" s="7" t="str">
        <f aca="false">INDEX('Control Library'!$F$5:$F$47,MATCH(E80,'Control Library'!$A$5:$A$47,0))</f>
        <v>N</v>
      </c>
      <c r="H80" s="12" t="str">
        <f aca="false">INDEX('Control Library'!$E$5:$E$47,MATCH(E80,'Control Library'!$A$5:$A$47,0))</f>
        <v>Monthly</v>
      </c>
      <c r="I80" s="7" t="str">
        <f aca="false">IF(INDEX('Control Library'!$I$5:$I$47,MATCH(E80,'Control Library'!$A$5:$A$47,0))="All","Y",IF(INDEX('Control Library'!$I$5:$I$47,MATCH(E80,'Control Library'!$A$5:$A$47,0))="Banks only",IF(COUNTIF('Residual Config'!$L$28:$L$30,INDEX(Entities!$E$5:$E$34,MATCH(B80,Entities!$A$5:$A$34,0)))&gt;0,"N/A","Y"),IF(INDEX(Entities!$G$5:$G$34,MATCH(B80,Entities!$A$5:$A$34,0))="Y","Y","N/A")))</f>
        <v>Y</v>
      </c>
      <c r="J80" s="8" t="s">
        <v>946</v>
      </c>
      <c r="K80" s="8" t="s">
        <v>873</v>
      </c>
      <c r="L80" s="7" t="str">
        <f aca="false">IF(OR(J80="",K80=""),"",IF(J80=K80,"Breach","OK"))</f>
        <v>OK</v>
      </c>
      <c r="M80" s="24" t="n">
        <v>2</v>
      </c>
      <c r="N80" s="50" t="n">
        <v>46187</v>
      </c>
      <c r="O80" s="8" t="s">
        <v>545</v>
      </c>
      <c r="P80" s="24" t="n">
        <v>3</v>
      </c>
      <c r="Q80" s="31" t="n">
        <f aca="false">IF(I80="N/A","",IFERROR(INDEX('Residual Config'!$B$35:$B$42,MATCH(H80,'Residual Config'!$A$35:$A$42,0)),""))</f>
        <v>3</v>
      </c>
      <c r="R80" s="24" t="n">
        <v>0</v>
      </c>
      <c r="S80" s="8" t="s">
        <v>516</v>
      </c>
      <c r="T80" s="31" t="n">
        <f aca="false">IF(S80="","",MATCH(S80,'Residual Config'!$L$9:$L$12,0))</f>
        <v>1</v>
      </c>
      <c r="U80" s="8" t="s">
        <v>947</v>
      </c>
      <c r="V80" s="24" t="n">
        <v>5</v>
      </c>
      <c r="W80" s="33" t="s">
        <v>533</v>
      </c>
      <c r="X80" s="8" t="s">
        <v>754</v>
      </c>
      <c r="Y80" s="51" t="n">
        <f aca="false">IF(N80="","",EDATE(N80,IF(G80="N",INDEX('Residual Config'!$B$31:$D$31,1,MATCH(D80,'Residual Config'!$B$27:$D$27,0)),INDEX('Residual Config'!$B$28:$D$30,IF(T80=1,1,IF(T80=4,3,2)),MATCH(D80,'Residual Config'!$B$27:$D$27,0)))))</f>
        <v>46552</v>
      </c>
      <c r="Z80" s="7" t="str">
        <f aca="false">IF(I80="N/A","N/A",IF(N80="","Not tested",IF(W80="Rejected","Evidence rejected",IF(W80&lt;&gt;"Accepted","Evidence pending",IF(Y80&lt;'Residual Config'!$C$4,"Overdue","Current")))))</f>
        <v>Current</v>
      </c>
      <c r="AA80" s="34" t="n">
        <f aca="false">IF(I80="N/A","",IF(Z80&lt;&gt;"Current",4,IF(MAX(M80,T80)=0,4,MAX(M80,T80))))</f>
        <v>2</v>
      </c>
      <c r="AB80" s="7" t="str">
        <f aca="false">IF(AA80="","N/A",IF(Z80&lt;&gt;"Current","Not tested / overdue",INDEX('Residual Config'!$B$11:$B$14,AA80)))</f>
        <v>Largely effective</v>
      </c>
      <c r="AC80" s="36" t="n">
        <f aca="false">IF(AA80="","",INDEX('Residual Config'!$D$11:$D$14,AA80))</f>
        <v>0.4</v>
      </c>
      <c r="AD80" s="7" t="str">
        <f aca="false">IF(OR(I80="N/A",P80="",Q80=""),"",IF(P80&gt;=Q80,"Yes","No"))</f>
        <v>Yes</v>
      </c>
      <c r="AE80" s="8"/>
    </row>
    <row r="81" customFormat="false" ht="15" hidden="false" customHeight="false" outlineLevel="0" collapsed="false">
      <c r="A81" s="12" t="s">
        <v>948</v>
      </c>
      <c r="B81" s="26" t="str">
        <f aca="false">Entities!$A$6</f>
        <v>JO-IIAB</v>
      </c>
      <c r="C81" s="12" t="str">
        <f aca="false">INDEX(Entities!$B$5:$B$34,MATCH(B81,Entities!$A$5:$A$34,0))</f>
        <v>Islamic International Arab Bank</v>
      </c>
      <c r="D81" s="7" t="str">
        <f aca="false">INDEX(Entities!$F$5:$F$34,MATCH(B81,Entities!$A$5:$A$34,0))</f>
        <v>Tier 1</v>
      </c>
      <c r="E81" s="26" t="str">
        <f aca="false">'Control Library'!$A$38</f>
        <v>CTL-MR-01</v>
      </c>
      <c r="F81" s="12" t="str">
        <f aca="false">INDEX('Control Library'!$B$5:$B$47,MATCH(E81,'Control Library'!$A$5:$A$47,0))</f>
        <v>Market risk limits and daily VaR monitoring</v>
      </c>
      <c r="G81" s="7" t="str">
        <f aca="false">INDEX('Control Library'!$F$5:$F$47,MATCH(E81,'Control Library'!$A$5:$A$47,0))</f>
        <v>Y</v>
      </c>
      <c r="H81" s="12" t="str">
        <f aca="false">INDEX('Control Library'!$E$5:$E$47,MATCH(E81,'Control Library'!$A$5:$A$47,0))</f>
        <v>Daily</v>
      </c>
      <c r="I81" s="7" t="str">
        <f aca="false">IF(INDEX('Control Library'!$I$5:$I$47,MATCH(E81,'Control Library'!$A$5:$A$47,0))="All","Y",IF(INDEX('Control Library'!$I$5:$I$47,MATCH(E81,'Control Library'!$A$5:$A$47,0))="Banks only",IF(COUNTIF('Residual Config'!$L$28:$L$30,INDEX(Entities!$E$5:$E$34,MATCH(B81,Entities!$A$5:$A$34,0)))&gt;0,"N/A","Y"),IF(INDEX(Entities!$G$5:$G$34,MATCH(B81,Entities!$A$5:$A$34,0))="Y","Y","N/A")))</f>
        <v>Y</v>
      </c>
      <c r="J81" s="8" t="s">
        <v>946</v>
      </c>
      <c r="K81" s="8" t="s">
        <v>752</v>
      </c>
      <c r="L81" s="7" t="str">
        <f aca="false">IF(OR(J81="",K81=""),"",IF(J81=K81,"Breach","OK"))</f>
        <v>OK</v>
      </c>
      <c r="M81" s="24" t="n">
        <v>3</v>
      </c>
      <c r="N81" s="50" t="n">
        <v>46245</v>
      </c>
      <c r="O81" s="8" t="s">
        <v>546</v>
      </c>
      <c r="P81" s="24" t="n">
        <v>25</v>
      </c>
      <c r="Q81" s="31" t="n">
        <f aca="false">IF(I81="N/A","",IFERROR(INDEX('Residual Config'!$B$35:$B$42,MATCH(H81,'Residual Config'!$A$35:$A$42,0)),""))</f>
        <v>25</v>
      </c>
      <c r="R81" s="24" t="n">
        <v>1</v>
      </c>
      <c r="S81" s="8" t="s">
        <v>521</v>
      </c>
      <c r="T81" s="31" t="n">
        <f aca="false">IF(S81="","",MATCH(S81,'Residual Config'!$L$9:$L$12,0))</f>
        <v>2</v>
      </c>
      <c r="U81" s="8" t="s">
        <v>949</v>
      </c>
      <c r="V81" s="24" t="n">
        <v>4</v>
      </c>
      <c r="W81" s="33" t="s">
        <v>533</v>
      </c>
      <c r="X81" s="8" t="s">
        <v>760</v>
      </c>
      <c r="Y81" s="51" t="n">
        <f aca="false">IF(N81="","",EDATE(N81,IF(G81="N",INDEX('Residual Config'!$B$31:$D$31,1,MATCH(D81,'Residual Config'!$B$27:$D$27,0)),INDEX('Residual Config'!$B$28:$D$30,IF(T81=1,1,IF(T81=4,3,2)),MATCH(D81,'Residual Config'!$B$27:$D$27,0)))))</f>
        <v>46337</v>
      </c>
      <c r="Z81" s="7" t="str">
        <f aca="false">IF(I81="N/A","N/A",IF(N81="","Not tested",IF(W81="Rejected","Evidence rejected",IF(W81&lt;&gt;"Accepted","Evidence pending",IF(Y81&lt;'Residual Config'!$C$4,"Overdue","Current")))))</f>
        <v>Current</v>
      </c>
      <c r="AA81" s="34" t="n">
        <f aca="false">IF(I81="N/A","",IF(Z81&lt;&gt;"Current",4,IF(MAX(M81,T81)=0,4,MAX(M81,T81))))</f>
        <v>3</v>
      </c>
      <c r="AB81" s="7" t="str">
        <f aca="false">IF(AA81="","N/A",IF(Z81&lt;&gt;"Current","Not tested / overdue",INDEX('Residual Config'!$B$11:$B$14,AA81)))</f>
        <v>Partially effective</v>
      </c>
      <c r="AC81" s="36" t="n">
        <f aca="false">IF(AA81="","",INDEX('Residual Config'!$D$11:$D$14,AA81))</f>
        <v>0.2</v>
      </c>
      <c r="AD81" s="7" t="str">
        <f aca="false">IF(OR(I81="N/A",P81="",Q81=""),"",IF(P81&gt;=Q81,"Yes","No"))</f>
        <v>Yes</v>
      </c>
      <c r="AE81" s="8"/>
    </row>
    <row r="82" customFormat="false" ht="15" hidden="false" customHeight="false" outlineLevel="0" collapsed="false">
      <c r="A82" s="12" t="s">
        <v>950</v>
      </c>
      <c r="B82" s="26" t="str">
        <f aca="false">Entities!$A$6</f>
        <v>JO-IIAB</v>
      </c>
      <c r="C82" s="12" t="str">
        <f aca="false">INDEX(Entities!$B$5:$B$34,MATCH(B82,Entities!$A$5:$A$34,0))</f>
        <v>Islamic International Arab Bank</v>
      </c>
      <c r="D82" s="7" t="str">
        <f aca="false">INDEX(Entities!$F$5:$F$34,MATCH(B82,Entities!$A$5:$A$34,0))</f>
        <v>Tier 1</v>
      </c>
      <c r="E82" s="26" t="str">
        <f aca="false">'Control Library'!$A$39</f>
        <v>CTL-LQ-01</v>
      </c>
      <c r="F82" s="12" t="str">
        <f aca="false">INDEX('Control Library'!$B$5:$B$47,MATCH(E82,'Control Library'!$A$5:$A$47,0))</f>
        <v>Liquidity buffers, LCR/NSFR monitoring and contingency funding plan</v>
      </c>
      <c r="G82" s="7" t="str">
        <f aca="false">INDEX('Control Library'!$F$5:$F$47,MATCH(E82,'Control Library'!$A$5:$A$47,0))</f>
        <v>Y</v>
      </c>
      <c r="H82" s="12" t="str">
        <f aca="false">INDEX('Control Library'!$E$5:$E$47,MATCH(E82,'Control Library'!$A$5:$A$47,0))</f>
        <v>Daily</v>
      </c>
      <c r="I82" s="7" t="str">
        <f aca="false">IF(INDEX('Control Library'!$I$5:$I$47,MATCH(E82,'Control Library'!$A$5:$A$47,0))="All","Y",IF(INDEX('Control Library'!$I$5:$I$47,MATCH(E82,'Control Library'!$A$5:$A$47,0))="Banks only",IF(COUNTIF('Residual Config'!$L$28:$L$30,INDEX(Entities!$E$5:$E$34,MATCH(B82,Entities!$A$5:$A$34,0)))&gt;0,"N/A","Y"),IF(INDEX(Entities!$G$5:$G$34,MATCH(B82,Entities!$A$5:$A$34,0))="Y","Y","N/A")))</f>
        <v>Y</v>
      </c>
      <c r="J82" s="8" t="s">
        <v>951</v>
      </c>
      <c r="K82" s="8" t="s">
        <v>752</v>
      </c>
      <c r="L82" s="7" t="str">
        <f aca="false">IF(OR(J82="",K82=""),"",IF(J82=K82,"Breach","OK"))</f>
        <v>OK</v>
      </c>
      <c r="M82" s="24" t="n">
        <v>2</v>
      </c>
      <c r="N82" s="50" t="n">
        <v>46249</v>
      </c>
      <c r="O82" s="8" t="s">
        <v>545</v>
      </c>
      <c r="P82" s="24" t="n">
        <v>25</v>
      </c>
      <c r="Q82" s="31" t="n">
        <f aca="false">IF(I82="N/A","",IFERROR(INDEX('Residual Config'!$B$35:$B$42,MATCH(H82,'Residual Config'!$A$35:$A$42,0)),""))</f>
        <v>25</v>
      </c>
      <c r="R82" s="24" t="n">
        <v>1</v>
      </c>
      <c r="S82" s="8" t="s">
        <v>521</v>
      </c>
      <c r="T82" s="31" t="n">
        <f aca="false">IF(S82="","",MATCH(S82,'Residual Config'!$L$9:$L$12,0))</f>
        <v>2</v>
      </c>
      <c r="U82" s="8" t="s">
        <v>952</v>
      </c>
      <c r="V82" s="24" t="n">
        <v>1</v>
      </c>
      <c r="W82" s="33" t="s">
        <v>533</v>
      </c>
      <c r="X82" s="8" t="s">
        <v>760</v>
      </c>
      <c r="Y82" s="51" t="n">
        <f aca="false">IF(N82="","",EDATE(N82,IF(G82="N",INDEX('Residual Config'!$B$31:$D$31,1,MATCH(D82,'Residual Config'!$B$27:$D$27,0)),INDEX('Residual Config'!$B$28:$D$30,IF(T82=1,1,IF(T82=4,3,2)),MATCH(D82,'Residual Config'!$B$27:$D$27,0)))))</f>
        <v>46341</v>
      </c>
      <c r="Z82" s="7" t="str">
        <f aca="false">IF(I82="N/A","N/A",IF(N82="","Not tested",IF(W82="Rejected","Evidence rejected",IF(W82&lt;&gt;"Accepted","Evidence pending",IF(Y82&lt;'Residual Config'!$C$4,"Overdue","Current")))))</f>
        <v>Current</v>
      </c>
      <c r="AA82" s="34" t="n">
        <f aca="false">IF(I82="N/A","",IF(Z82&lt;&gt;"Current",4,IF(MAX(M82,T82)=0,4,MAX(M82,T82))))</f>
        <v>2</v>
      </c>
      <c r="AB82" s="7" t="str">
        <f aca="false">IF(AA82="","N/A",IF(Z82&lt;&gt;"Current","Not tested / overdue",INDEX('Residual Config'!$B$11:$B$14,AA82)))</f>
        <v>Largely effective</v>
      </c>
      <c r="AC82" s="36" t="n">
        <f aca="false">IF(AA82="","",INDEX('Residual Config'!$D$11:$D$14,AA82))</f>
        <v>0.4</v>
      </c>
      <c r="AD82" s="7" t="str">
        <f aca="false">IF(OR(I82="N/A",P82="",Q82=""),"",IF(P82&gt;=Q82,"Yes","No"))</f>
        <v>Yes</v>
      </c>
      <c r="AE82" s="8"/>
    </row>
    <row r="83" customFormat="false" ht="15" hidden="false" customHeight="false" outlineLevel="0" collapsed="false">
      <c r="A83" s="12" t="s">
        <v>953</v>
      </c>
      <c r="B83" s="26" t="str">
        <f aca="false">Entities!$A$6</f>
        <v>JO-IIAB</v>
      </c>
      <c r="C83" s="12" t="str">
        <f aca="false">INDEX(Entities!$B$5:$B$34,MATCH(B83,Entities!$A$5:$A$34,0))</f>
        <v>Islamic International Arab Bank</v>
      </c>
      <c r="D83" s="7" t="str">
        <f aca="false">INDEX(Entities!$F$5:$F$34,MATCH(B83,Entities!$A$5:$A$34,0))</f>
        <v>Tier 1</v>
      </c>
      <c r="E83" s="26" t="str">
        <f aca="false">'Control Library'!$A$40</f>
        <v>CTL-OR-01</v>
      </c>
      <c r="F83" s="12" t="str">
        <f aca="false">INDEX('Control Library'!$B$5:$B$47,MATCH(E83,'Control Library'!$A$5:$A$47,0))</f>
        <v>Business continuity plans and annual testing</v>
      </c>
      <c r="G83" s="7" t="str">
        <f aca="false">INDEX('Control Library'!$F$5:$F$47,MATCH(E83,'Control Library'!$A$5:$A$47,0))</f>
        <v>Y</v>
      </c>
      <c r="H83" s="12" t="str">
        <f aca="false">INDEX('Control Library'!$E$5:$E$47,MATCH(E83,'Control Library'!$A$5:$A$47,0))</f>
        <v>Annual</v>
      </c>
      <c r="I83" s="7" t="str">
        <f aca="false">IF(INDEX('Control Library'!$I$5:$I$47,MATCH(E83,'Control Library'!$A$5:$A$47,0))="All","Y",IF(INDEX('Control Library'!$I$5:$I$47,MATCH(E83,'Control Library'!$A$5:$A$47,0))="Banks only",IF(COUNTIF('Residual Config'!$L$28:$L$30,INDEX(Entities!$E$5:$E$34,MATCH(B83,Entities!$A$5:$A$34,0)))&gt;0,"N/A","Y"),IF(INDEX(Entities!$G$5:$G$34,MATCH(B83,Entities!$A$5:$A$34,0))="Y","Y","N/A")))</f>
        <v>Y</v>
      </c>
      <c r="J83" s="8" t="s">
        <v>954</v>
      </c>
      <c r="K83" s="8" t="s">
        <v>752</v>
      </c>
      <c r="L83" s="7" t="str">
        <f aca="false">IF(OR(J83="",K83=""),"",IF(J83=K83,"Breach","OK"))</f>
        <v>OK</v>
      </c>
      <c r="M83" s="24" t="n">
        <v>1</v>
      </c>
      <c r="N83" s="50" t="n">
        <v>46250</v>
      </c>
      <c r="O83" s="8" t="s">
        <v>546</v>
      </c>
      <c r="P83" s="24" t="n">
        <v>1</v>
      </c>
      <c r="Q83" s="31" t="n">
        <f aca="false">IF(I83="N/A","",IFERROR(INDEX('Residual Config'!$B$35:$B$42,MATCH(H83,'Residual Config'!$A$35:$A$42,0)),""))</f>
        <v>1</v>
      </c>
      <c r="R83" s="24" t="n">
        <v>0</v>
      </c>
      <c r="S83" s="8" t="s">
        <v>516</v>
      </c>
      <c r="T83" s="31" t="n">
        <f aca="false">IF(S83="","",MATCH(S83,'Residual Config'!$L$9:$L$12,0))</f>
        <v>1</v>
      </c>
      <c r="U83" s="8" t="s">
        <v>955</v>
      </c>
      <c r="V83" s="24" t="n">
        <v>4</v>
      </c>
      <c r="W83" s="33" t="s">
        <v>533</v>
      </c>
      <c r="X83" s="8" t="s">
        <v>754</v>
      </c>
      <c r="Y83" s="51" t="n">
        <f aca="false">IF(N83="","",EDATE(N83,IF(G83="N",INDEX('Residual Config'!$B$31:$D$31,1,MATCH(D83,'Residual Config'!$B$27:$D$27,0)),INDEX('Residual Config'!$B$28:$D$30,IF(T83=1,1,IF(T83=4,3,2)),MATCH(D83,'Residual Config'!$B$27:$D$27,0)))))</f>
        <v>46434</v>
      </c>
      <c r="Z83" s="7" t="str">
        <f aca="false">IF(I83="N/A","N/A",IF(N83="","Not tested",IF(W83="Rejected","Evidence rejected",IF(W83&lt;&gt;"Accepted","Evidence pending",IF(Y83&lt;'Residual Config'!$C$4,"Overdue","Current")))))</f>
        <v>Current</v>
      </c>
      <c r="AA83" s="34" t="n">
        <f aca="false">IF(I83="N/A","",IF(Z83&lt;&gt;"Current",4,IF(MAX(M83,T83)=0,4,MAX(M83,T83))))</f>
        <v>1</v>
      </c>
      <c r="AB83" s="7" t="str">
        <f aca="false">IF(AA83="","N/A",IF(Z83&lt;&gt;"Current","Not tested / overdue",INDEX('Residual Config'!$B$11:$B$14,AA83)))</f>
        <v>Effective</v>
      </c>
      <c r="AC83" s="36" t="n">
        <f aca="false">IF(AA83="","",INDEX('Residual Config'!$D$11:$D$14,AA83))</f>
        <v>0.6</v>
      </c>
      <c r="AD83" s="7" t="str">
        <f aca="false">IF(OR(I83="N/A",P83="",Q83=""),"",IF(P83&gt;=Q83,"Yes","No"))</f>
        <v>Yes</v>
      </c>
      <c r="AE83" s="8"/>
    </row>
    <row r="84" customFormat="false" ht="15" hidden="false" customHeight="false" outlineLevel="0" collapsed="false">
      <c r="A84" s="12" t="s">
        <v>956</v>
      </c>
      <c r="B84" s="26" t="str">
        <f aca="false">Entities!$A$6</f>
        <v>JO-IIAB</v>
      </c>
      <c r="C84" s="12" t="str">
        <f aca="false">INDEX(Entities!$B$5:$B$34,MATCH(B84,Entities!$A$5:$A$34,0))</f>
        <v>Islamic International Arab Bank</v>
      </c>
      <c r="D84" s="7" t="str">
        <f aca="false">INDEX(Entities!$F$5:$F$34,MATCH(B84,Entities!$A$5:$A$34,0))</f>
        <v>Tier 1</v>
      </c>
      <c r="E84" s="26" t="str">
        <f aca="false">'Control Library'!$A$41</f>
        <v>CTL-OR-02</v>
      </c>
      <c r="F84" s="12" t="str">
        <f aca="false">INDEX('Control Library'!$B$5:$B$47,MATCH(E84,'Control Library'!$A$5:$A$47,0))</f>
        <v>Operational loss event capture and RCSA</v>
      </c>
      <c r="G84" s="7" t="str">
        <f aca="false">INDEX('Control Library'!$F$5:$F$47,MATCH(E84,'Control Library'!$A$5:$A$47,0))</f>
        <v>N</v>
      </c>
      <c r="H84" s="12" t="str">
        <f aca="false">INDEX('Control Library'!$E$5:$E$47,MATCH(E84,'Control Library'!$A$5:$A$47,0))</f>
        <v>Quarterly</v>
      </c>
      <c r="I84" s="7" t="str">
        <f aca="false">IF(INDEX('Control Library'!$I$5:$I$47,MATCH(E84,'Control Library'!$A$5:$A$47,0))="All","Y",IF(INDEX('Control Library'!$I$5:$I$47,MATCH(E84,'Control Library'!$A$5:$A$47,0))="Banks only",IF(COUNTIF('Residual Config'!$L$28:$L$30,INDEX(Entities!$E$5:$E$34,MATCH(B84,Entities!$A$5:$A$34,0)))&gt;0,"N/A","Y"),IF(INDEX(Entities!$G$5:$G$34,MATCH(B84,Entities!$A$5:$A$34,0))="Y","Y","N/A")))</f>
        <v>Y</v>
      </c>
      <c r="J84" s="8" t="s">
        <v>946</v>
      </c>
      <c r="K84" s="8" t="s">
        <v>873</v>
      </c>
      <c r="L84" s="7" t="str">
        <f aca="false">IF(OR(J84="",K84=""),"",IF(J84=K84,"Breach","OK"))</f>
        <v>OK</v>
      </c>
      <c r="M84" s="24" t="n">
        <v>2</v>
      </c>
      <c r="N84" s="50" t="n">
        <v>46174</v>
      </c>
      <c r="O84" s="8" t="s">
        <v>545</v>
      </c>
      <c r="P84" s="24" t="n">
        <v>2</v>
      </c>
      <c r="Q84" s="31" t="n">
        <f aca="false">IF(I84="N/A","",IFERROR(INDEX('Residual Config'!$B$35:$B$42,MATCH(H84,'Residual Config'!$A$35:$A$42,0)),""))</f>
        <v>2</v>
      </c>
      <c r="R84" s="24" t="n">
        <v>0</v>
      </c>
      <c r="S84" s="8" t="s">
        <v>516</v>
      </c>
      <c r="T84" s="31" t="n">
        <f aca="false">IF(S84="","",MATCH(S84,'Residual Config'!$L$9:$L$12,0))</f>
        <v>1</v>
      </c>
      <c r="U84" s="8" t="s">
        <v>957</v>
      </c>
      <c r="V84" s="24" t="n">
        <v>2</v>
      </c>
      <c r="W84" s="33" t="s">
        <v>533</v>
      </c>
      <c r="X84" s="8" t="s">
        <v>760</v>
      </c>
      <c r="Y84" s="51" t="n">
        <f aca="false">IF(N84="","",EDATE(N84,IF(G84="N",INDEX('Residual Config'!$B$31:$D$31,1,MATCH(D84,'Residual Config'!$B$27:$D$27,0)),INDEX('Residual Config'!$B$28:$D$30,IF(T84=1,1,IF(T84=4,3,2)),MATCH(D84,'Residual Config'!$B$27:$D$27,0)))))</f>
        <v>46539</v>
      </c>
      <c r="Z84" s="7" t="str">
        <f aca="false">IF(I84="N/A","N/A",IF(N84="","Not tested",IF(W84="Rejected","Evidence rejected",IF(W84&lt;&gt;"Accepted","Evidence pending",IF(Y84&lt;'Residual Config'!$C$4,"Overdue","Current")))))</f>
        <v>Current</v>
      </c>
      <c r="AA84" s="34" t="n">
        <f aca="false">IF(I84="N/A","",IF(Z84&lt;&gt;"Current",4,IF(MAX(M84,T84)=0,4,MAX(M84,T84))))</f>
        <v>2</v>
      </c>
      <c r="AB84" s="7" t="str">
        <f aca="false">IF(AA84="","N/A",IF(Z84&lt;&gt;"Current","Not tested / overdue",INDEX('Residual Config'!$B$11:$B$14,AA84)))</f>
        <v>Largely effective</v>
      </c>
      <c r="AC84" s="36" t="n">
        <f aca="false">IF(AA84="","",INDEX('Residual Config'!$D$11:$D$14,AA84))</f>
        <v>0.4</v>
      </c>
      <c r="AD84" s="7" t="str">
        <f aca="false">IF(OR(I84="N/A",P84="",Q84=""),"",IF(P84&gt;=Q84,"Yes","No"))</f>
        <v>Yes</v>
      </c>
      <c r="AE84" s="8"/>
    </row>
    <row r="85" customFormat="false" ht="15" hidden="false" customHeight="false" outlineLevel="0" collapsed="false">
      <c r="A85" s="12" t="s">
        <v>958</v>
      </c>
      <c r="B85" s="26" t="str">
        <f aca="false">Entities!$A$6</f>
        <v>JO-IIAB</v>
      </c>
      <c r="C85" s="12" t="str">
        <f aca="false">INDEX(Entities!$B$5:$B$34,MATCH(B85,Entities!$A$5:$A$34,0))</f>
        <v>Islamic International Arab Bank</v>
      </c>
      <c r="D85" s="7" t="str">
        <f aca="false">INDEX(Entities!$F$5:$F$34,MATCH(B85,Entities!$A$5:$A$34,0))</f>
        <v>Tier 1</v>
      </c>
      <c r="E85" s="26" t="str">
        <f aca="false">'Control Library'!$A$42</f>
        <v>CTL-CY-01</v>
      </c>
      <c r="F85" s="12" t="str">
        <f aca="false">INDEX('Control Library'!$B$5:$B$47,MATCH(E85,'Control Library'!$A$5:$A$47,0))</f>
        <v>Vulnerability and patch management</v>
      </c>
      <c r="G85" s="7" t="str">
        <f aca="false">INDEX('Control Library'!$F$5:$F$47,MATCH(E85,'Control Library'!$A$5:$A$47,0))</f>
        <v>Y</v>
      </c>
      <c r="H85" s="12" t="str">
        <f aca="false">INDEX('Control Library'!$E$5:$E$47,MATCH(E85,'Control Library'!$A$5:$A$47,0))</f>
        <v>Monthly</v>
      </c>
      <c r="I85" s="7" t="str">
        <f aca="false">IF(INDEX('Control Library'!$I$5:$I$47,MATCH(E85,'Control Library'!$A$5:$A$47,0))="All","Y",IF(INDEX('Control Library'!$I$5:$I$47,MATCH(E85,'Control Library'!$A$5:$A$47,0))="Banks only",IF(COUNTIF('Residual Config'!$L$28:$L$30,INDEX(Entities!$E$5:$E$34,MATCH(B85,Entities!$A$5:$A$34,0)))&gt;0,"N/A","Y"),IF(INDEX(Entities!$G$5:$G$34,MATCH(B85,Entities!$A$5:$A$34,0))="Y","Y","N/A")))</f>
        <v>Y</v>
      </c>
      <c r="J85" s="8" t="s">
        <v>888</v>
      </c>
      <c r="K85" s="8" t="s">
        <v>752</v>
      </c>
      <c r="L85" s="7" t="str">
        <f aca="false">IF(OR(J85="",K85=""),"",IF(J85=K85,"Breach","OK"))</f>
        <v>OK</v>
      </c>
      <c r="M85" s="24" t="n">
        <v>2</v>
      </c>
      <c r="N85" s="50" t="n">
        <v>46148</v>
      </c>
      <c r="O85" s="8" t="s">
        <v>545</v>
      </c>
      <c r="P85" s="24" t="n">
        <v>3</v>
      </c>
      <c r="Q85" s="31" t="n">
        <f aca="false">IF(I85="N/A","",IFERROR(INDEX('Residual Config'!$B$35:$B$42,MATCH(H85,'Residual Config'!$A$35:$A$42,0)),""))</f>
        <v>3</v>
      </c>
      <c r="R85" s="24" t="n">
        <v>0</v>
      </c>
      <c r="S85" s="8" t="s">
        <v>516</v>
      </c>
      <c r="T85" s="31" t="n">
        <f aca="false">IF(S85="","",MATCH(S85,'Residual Config'!$L$9:$L$12,0))</f>
        <v>1</v>
      </c>
      <c r="U85" s="8" t="s">
        <v>959</v>
      </c>
      <c r="V85" s="24" t="n">
        <v>2</v>
      </c>
      <c r="W85" s="33" t="s">
        <v>533</v>
      </c>
      <c r="X85" s="8" t="s">
        <v>754</v>
      </c>
      <c r="Y85" s="51" t="n">
        <f aca="false">IF(N85="","",EDATE(N85,IF(G85="N",INDEX('Residual Config'!$B$31:$D$31,1,MATCH(D85,'Residual Config'!$B$27:$D$27,0)),INDEX('Residual Config'!$B$28:$D$30,IF(T85=1,1,IF(T85=4,3,2)),MATCH(D85,'Residual Config'!$B$27:$D$27,0)))))</f>
        <v>46332</v>
      </c>
      <c r="Z85" s="7" t="str">
        <f aca="false">IF(I85="N/A","N/A",IF(N85="","Not tested",IF(W85="Rejected","Evidence rejected",IF(W85&lt;&gt;"Accepted","Evidence pending",IF(Y85&lt;'Residual Config'!$C$4,"Overdue","Current")))))</f>
        <v>Current</v>
      </c>
      <c r="AA85" s="34" t="n">
        <f aca="false">IF(I85="N/A","",IF(Z85&lt;&gt;"Current",4,IF(MAX(M85,T85)=0,4,MAX(M85,T85))))</f>
        <v>2</v>
      </c>
      <c r="AB85" s="7" t="str">
        <f aca="false">IF(AA85="","N/A",IF(Z85&lt;&gt;"Current","Not tested / overdue",INDEX('Residual Config'!$B$11:$B$14,AA85)))</f>
        <v>Largely effective</v>
      </c>
      <c r="AC85" s="36" t="n">
        <f aca="false">IF(AA85="","",INDEX('Residual Config'!$D$11:$D$14,AA85))</f>
        <v>0.4</v>
      </c>
      <c r="AD85" s="7" t="str">
        <f aca="false">IF(OR(I85="N/A",P85="",Q85=""),"",IF(P85&gt;=Q85,"Yes","No"))</f>
        <v>Yes</v>
      </c>
      <c r="AE85" s="8"/>
    </row>
    <row r="86" customFormat="false" ht="15" hidden="false" customHeight="false" outlineLevel="0" collapsed="false">
      <c r="A86" s="12" t="s">
        <v>960</v>
      </c>
      <c r="B86" s="26" t="str">
        <f aca="false">Entities!$A$6</f>
        <v>JO-IIAB</v>
      </c>
      <c r="C86" s="12" t="str">
        <f aca="false">INDEX(Entities!$B$5:$B$34,MATCH(B86,Entities!$A$5:$A$34,0))</f>
        <v>Islamic International Arab Bank</v>
      </c>
      <c r="D86" s="7" t="str">
        <f aca="false">INDEX(Entities!$F$5:$F$34,MATCH(B86,Entities!$A$5:$A$34,0))</f>
        <v>Tier 1</v>
      </c>
      <c r="E86" s="26" t="str">
        <f aca="false">'Control Library'!$A$43</f>
        <v>CTL-CY-02</v>
      </c>
      <c r="F86" s="12" t="str">
        <f aca="false">INDEX('Control Library'!$B$5:$B$47,MATCH(E86,'Control Library'!$A$5:$A$47,0))</f>
        <v>Privileged access management and SOC monitoring</v>
      </c>
      <c r="G86" s="7" t="str">
        <f aca="false">INDEX('Control Library'!$F$5:$F$47,MATCH(E86,'Control Library'!$A$5:$A$47,0))</f>
        <v>Y</v>
      </c>
      <c r="H86" s="12" t="str">
        <f aca="false">INDEX('Control Library'!$E$5:$E$47,MATCH(E86,'Control Library'!$A$5:$A$47,0))</f>
        <v>Continuous</v>
      </c>
      <c r="I86" s="7" t="str">
        <f aca="false">IF(INDEX('Control Library'!$I$5:$I$47,MATCH(E86,'Control Library'!$A$5:$A$47,0))="All","Y",IF(INDEX('Control Library'!$I$5:$I$47,MATCH(E86,'Control Library'!$A$5:$A$47,0))="Banks only",IF(COUNTIF('Residual Config'!$L$28:$L$30,INDEX(Entities!$E$5:$E$34,MATCH(B86,Entities!$A$5:$A$34,0)))&gt;0,"N/A","Y"),IF(INDEX(Entities!$G$5:$G$34,MATCH(B86,Entities!$A$5:$A$34,0))="Y","Y","N/A")))</f>
        <v>Y</v>
      </c>
      <c r="J86" s="8" t="s">
        <v>937</v>
      </c>
      <c r="K86" s="8" t="s">
        <v>752</v>
      </c>
      <c r="L86" s="7" t="str">
        <f aca="false">IF(OR(J86="",K86=""),"",IF(J86=K86,"Breach","OK"))</f>
        <v>OK</v>
      </c>
      <c r="M86" s="24" t="n">
        <v>1</v>
      </c>
      <c r="N86" s="50" t="n">
        <v>46280</v>
      </c>
      <c r="O86" s="8" t="s">
        <v>546</v>
      </c>
      <c r="P86" s="24" t="n">
        <v>1</v>
      </c>
      <c r="Q86" s="31" t="n">
        <f aca="false">IF(I86="N/A","",IFERROR(INDEX('Residual Config'!$B$35:$B$42,MATCH(H86,'Residual Config'!$A$35:$A$42,0)),""))</f>
        <v>1</v>
      </c>
      <c r="R86" s="24" t="n">
        <v>1</v>
      </c>
      <c r="S86" s="8" t="s">
        <v>521</v>
      </c>
      <c r="T86" s="31" t="n">
        <f aca="false">IF(S86="","",MATCH(S86,'Residual Config'!$L$9:$L$12,0))</f>
        <v>2</v>
      </c>
      <c r="U86" s="8" t="s">
        <v>961</v>
      </c>
      <c r="V86" s="24" t="n">
        <v>3</v>
      </c>
      <c r="W86" s="33" t="s">
        <v>533</v>
      </c>
      <c r="X86" s="8" t="s">
        <v>760</v>
      </c>
      <c r="Y86" s="51" t="n">
        <f aca="false">IF(N86="","",EDATE(N86,IF(G86="N",INDEX('Residual Config'!$B$31:$D$31,1,MATCH(D86,'Residual Config'!$B$27:$D$27,0)),INDEX('Residual Config'!$B$28:$D$30,IF(T86=1,1,IF(T86=4,3,2)),MATCH(D86,'Residual Config'!$B$27:$D$27,0)))))</f>
        <v>46371</v>
      </c>
      <c r="Z86" s="7" t="str">
        <f aca="false">IF(I86="N/A","N/A",IF(N86="","Not tested",IF(W86="Rejected","Evidence rejected",IF(W86&lt;&gt;"Accepted","Evidence pending",IF(Y86&lt;'Residual Config'!$C$4,"Overdue","Current")))))</f>
        <v>Current</v>
      </c>
      <c r="AA86" s="34" t="n">
        <f aca="false">IF(I86="N/A","",IF(Z86&lt;&gt;"Current",4,IF(MAX(M86,T86)=0,4,MAX(M86,T86))))</f>
        <v>2</v>
      </c>
      <c r="AB86" s="7" t="str">
        <f aca="false">IF(AA86="","N/A",IF(Z86&lt;&gt;"Current","Not tested / overdue",INDEX('Residual Config'!$B$11:$B$14,AA86)))</f>
        <v>Largely effective</v>
      </c>
      <c r="AC86" s="36" t="n">
        <f aca="false">IF(AA86="","",INDEX('Residual Config'!$D$11:$D$14,AA86))</f>
        <v>0.4</v>
      </c>
      <c r="AD86" s="7" t="str">
        <f aca="false">IF(OR(I86="N/A",P86="",Q86=""),"",IF(P86&gt;=Q86,"Yes","No"))</f>
        <v>Yes</v>
      </c>
      <c r="AE86" s="8"/>
    </row>
    <row r="87" customFormat="false" ht="15" hidden="false" customHeight="false" outlineLevel="0" collapsed="false">
      <c r="A87" s="12" t="s">
        <v>962</v>
      </c>
      <c r="B87" s="26" t="str">
        <f aca="false">Entities!$A$6</f>
        <v>JO-IIAB</v>
      </c>
      <c r="C87" s="12" t="str">
        <f aca="false">INDEX(Entities!$B$5:$B$34,MATCH(B87,Entities!$A$5:$A$34,0))</f>
        <v>Islamic International Arab Bank</v>
      </c>
      <c r="D87" s="7" t="str">
        <f aca="false">INDEX(Entities!$F$5:$F$34,MATCH(B87,Entities!$A$5:$A$34,0))</f>
        <v>Tier 1</v>
      </c>
      <c r="E87" s="26" t="str">
        <f aca="false">'Control Library'!$A$44</f>
        <v>CTL-TP-01</v>
      </c>
      <c r="F87" s="12" t="str">
        <f aca="false">INDEX('Control Library'!$B$5:$B$47,MATCH(E87,'Control Library'!$A$5:$A$47,0))</f>
        <v>Critical vendor due diligence and tested exit plans</v>
      </c>
      <c r="G87" s="7" t="str">
        <f aca="false">INDEX('Control Library'!$F$5:$F$47,MATCH(E87,'Control Library'!$A$5:$A$47,0))</f>
        <v>Y</v>
      </c>
      <c r="H87" s="12" t="str">
        <f aca="false">INDEX('Control Library'!$E$5:$E$47,MATCH(E87,'Control Library'!$A$5:$A$47,0))</f>
        <v>Annual</v>
      </c>
      <c r="I87" s="7" t="str">
        <f aca="false">IF(INDEX('Control Library'!$I$5:$I$47,MATCH(E87,'Control Library'!$A$5:$A$47,0))="All","Y",IF(INDEX('Control Library'!$I$5:$I$47,MATCH(E87,'Control Library'!$A$5:$A$47,0))="Banks only",IF(COUNTIF('Residual Config'!$L$28:$L$30,INDEX(Entities!$E$5:$E$34,MATCH(B87,Entities!$A$5:$A$34,0)))&gt;0,"N/A","Y"),IF(INDEX(Entities!$G$5:$G$34,MATCH(B87,Entities!$A$5:$A$34,0))="Y","Y","N/A")))</f>
        <v>Y</v>
      </c>
      <c r="J87" s="8" t="s">
        <v>905</v>
      </c>
      <c r="K87" s="8" t="s">
        <v>752</v>
      </c>
      <c r="L87" s="7" t="str">
        <f aca="false">IF(OR(J87="",K87=""),"",IF(J87=K87,"Breach","OK"))</f>
        <v>OK</v>
      </c>
      <c r="M87" s="24" t="n">
        <v>2</v>
      </c>
      <c r="N87" s="50" t="n">
        <v>46265</v>
      </c>
      <c r="O87" s="8" t="s">
        <v>545</v>
      </c>
      <c r="P87" s="24" t="n">
        <v>1</v>
      </c>
      <c r="Q87" s="31" t="n">
        <f aca="false">IF(I87="N/A","",IFERROR(INDEX('Residual Config'!$B$35:$B$42,MATCH(H87,'Residual Config'!$A$35:$A$42,0)),""))</f>
        <v>1</v>
      </c>
      <c r="R87" s="24" t="n">
        <v>0</v>
      </c>
      <c r="S87" s="8" t="s">
        <v>516</v>
      </c>
      <c r="T87" s="31" t="n">
        <f aca="false">IF(S87="","",MATCH(S87,'Residual Config'!$L$9:$L$12,0))</f>
        <v>1</v>
      </c>
      <c r="U87" s="8" t="s">
        <v>963</v>
      </c>
      <c r="V87" s="24" t="n">
        <v>4</v>
      </c>
      <c r="W87" s="33" t="s">
        <v>533</v>
      </c>
      <c r="X87" s="8" t="s">
        <v>760</v>
      </c>
      <c r="Y87" s="51" t="n">
        <f aca="false">IF(N87="","",EDATE(N87,IF(G87="N",INDEX('Residual Config'!$B$31:$D$31,1,MATCH(D87,'Residual Config'!$B$27:$D$27,0)),INDEX('Residual Config'!$B$28:$D$30,IF(T87=1,1,IF(T87=4,3,2)),MATCH(D87,'Residual Config'!$B$27:$D$27,0)))))</f>
        <v>46446</v>
      </c>
      <c r="Z87" s="7" t="str">
        <f aca="false">IF(I87="N/A","N/A",IF(N87="","Not tested",IF(W87="Rejected","Evidence rejected",IF(W87&lt;&gt;"Accepted","Evidence pending",IF(Y87&lt;'Residual Config'!$C$4,"Overdue","Current")))))</f>
        <v>Current</v>
      </c>
      <c r="AA87" s="34" t="n">
        <f aca="false">IF(I87="N/A","",IF(Z87&lt;&gt;"Current",4,IF(MAX(M87,T87)=0,4,MAX(M87,T87))))</f>
        <v>2</v>
      </c>
      <c r="AB87" s="7" t="str">
        <f aca="false">IF(AA87="","N/A",IF(Z87&lt;&gt;"Current","Not tested / overdue",INDEX('Residual Config'!$B$11:$B$14,AA87)))</f>
        <v>Largely effective</v>
      </c>
      <c r="AC87" s="36" t="n">
        <f aca="false">IF(AA87="","",INDEX('Residual Config'!$D$11:$D$14,AA87))</f>
        <v>0.4</v>
      </c>
      <c r="AD87" s="7" t="str">
        <f aca="false">IF(OR(I87="N/A",P87="",Q87=""),"",IF(P87&gt;=Q87,"Yes","No"))</f>
        <v>Yes</v>
      </c>
      <c r="AE87" s="8"/>
    </row>
    <row r="88" customFormat="false" ht="15" hidden="false" customHeight="false" outlineLevel="0" collapsed="false">
      <c r="A88" s="12" t="s">
        <v>964</v>
      </c>
      <c r="B88" s="26" t="str">
        <f aca="false">Entities!$A$6</f>
        <v>JO-IIAB</v>
      </c>
      <c r="C88" s="12" t="str">
        <f aca="false">INDEX(Entities!$B$5:$B$34,MATCH(B88,Entities!$A$5:$A$34,0))</f>
        <v>Islamic International Arab Bank</v>
      </c>
      <c r="D88" s="7" t="str">
        <f aca="false">INDEX(Entities!$F$5:$F$34,MATCH(B88,Entities!$A$5:$A$34,0))</f>
        <v>Tier 1</v>
      </c>
      <c r="E88" s="26" t="str">
        <f aca="false">'Control Library'!$A$45</f>
        <v>CTL-LG-01</v>
      </c>
      <c r="F88" s="12" t="str">
        <f aca="false">INDEX('Control Library'!$B$5:$B$47,MATCH(E88,'Control Library'!$A$5:$A$47,0))</f>
        <v>Legal review of contracts and litigation register</v>
      </c>
      <c r="G88" s="7" t="str">
        <f aca="false">INDEX('Control Library'!$F$5:$F$47,MATCH(E88,'Control Library'!$A$5:$A$47,0))</f>
        <v>Y</v>
      </c>
      <c r="H88" s="12" t="str">
        <f aca="false">INDEX('Control Library'!$E$5:$E$47,MATCH(E88,'Control Library'!$A$5:$A$47,0))</f>
        <v>Event-driven</v>
      </c>
      <c r="I88" s="7" t="str">
        <f aca="false">IF(INDEX('Control Library'!$I$5:$I$47,MATCH(E88,'Control Library'!$A$5:$A$47,0))="All","Y",IF(INDEX('Control Library'!$I$5:$I$47,MATCH(E88,'Control Library'!$A$5:$A$47,0))="Banks only",IF(COUNTIF('Residual Config'!$L$28:$L$30,INDEX(Entities!$E$5:$E$34,MATCH(B88,Entities!$A$5:$A$34,0)))&gt;0,"N/A","Y"),IF(INDEX(Entities!$G$5:$G$34,MATCH(B88,Entities!$A$5:$A$34,0))="Y","Y","N/A")))</f>
        <v>Y</v>
      </c>
      <c r="J88" s="8" t="s">
        <v>965</v>
      </c>
      <c r="K88" s="8" t="s">
        <v>752</v>
      </c>
      <c r="L88" s="7" t="str">
        <f aca="false">IF(OR(J88="",K88=""),"",IF(J88=K88,"Breach","OK"))</f>
        <v>OK</v>
      </c>
      <c r="M88" s="24" t="n">
        <v>1</v>
      </c>
      <c r="N88" s="50" t="n">
        <v>46264</v>
      </c>
      <c r="O88" s="8" t="s">
        <v>546</v>
      </c>
      <c r="P88" s="24" t="n">
        <v>35</v>
      </c>
      <c r="Q88" s="31" t="n">
        <f aca="false">IF(I88="N/A","",IFERROR(INDEX('Residual Config'!$B$35:$B$42,MATCH(H88,'Residual Config'!$A$35:$A$42,0)),""))</f>
        <v>25</v>
      </c>
      <c r="R88" s="24" t="n">
        <v>0</v>
      </c>
      <c r="S88" s="8" t="s">
        <v>516</v>
      </c>
      <c r="T88" s="31" t="n">
        <f aca="false">IF(S88="","",MATCH(S88,'Residual Config'!$L$9:$L$12,0))</f>
        <v>1</v>
      </c>
      <c r="U88" s="8" t="s">
        <v>966</v>
      </c>
      <c r="V88" s="24" t="n">
        <v>4</v>
      </c>
      <c r="W88" s="33" t="s">
        <v>533</v>
      </c>
      <c r="X88" s="8" t="s">
        <v>754</v>
      </c>
      <c r="Y88" s="51" t="n">
        <f aca="false">IF(N88="","",EDATE(N88,IF(G88="N",INDEX('Residual Config'!$B$31:$D$31,1,MATCH(D88,'Residual Config'!$B$27:$D$27,0)),INDEX('Residual Config'!$B$28:$D$30,IF(T88=1,1,IF(T88=4,3,2)),MATCH(D88,'Residual Config'!$B$27:$D$27,0)))))</f>
        <v>46446</v>
      </c>
      <c r="Z88" s="7" t="str">
        <f aca="false">IF(I88="N/A","N/A",IF(N88="","Not tested",IF(W88="Rejected","Evidence rejected",IF(W88&lt;&gt;"Accepted","Evidence pending",IF(Y88&lt;'Residual Config'!$C$4,"Overdue","Current")))))</f>
        <v>Current</v>
      </c>
      <c r="AA88" s="34" t="n">
        <f aca="false">IF(I88="N/A","",IF(Z88&lt;&gt;"Current",4,IF(MAX(M88,T88)=0,4,MAX(M88,T88))))</f>
        <v>1</v>
      </c>
      <c r="AB88" s="7" t="str">
        <f aca="false">IF(AA88="","N/A",IF(Z88&lt;&gt;"Current","Not tested / overdue",INDEX('Residual Config'!$B$11:$B$14,AA88)))</f>
        <v>Effective</v>
      </c>
      <c r="AC88" s="36" t="n">
        <f aca="false">IF(AA88="","",INDEX('Residual Config'!$D$11:$D$14,AA88))</f>
        <v>0.6</v>
      </c>
      <c r="AD88" s="7" t="str">
        <f aca="false">IF(OR(I88="N/A",P88="",Q88=""),"",IF(P88&gt;=Q88,"Yes","No"))</f>
        <v>Yes</v>
      </c>
      <c r="AE88" s="8"/>
    </row>
    <row r="89" customFormat="false" ht="15" hidden="false" customHeight="false" outlineLevel="0" collapsed="false">
      <c r="A89" s="12" t="s">
        <v>967</v>
      </c>
      <c r="B89" s="26" t="str">
        <f aca="false">Entities!$A$6</f>
        <v>JO-IIAB</v>
      </c>
      <c r="C89" s="12" t="str">
        <f aca="false">INDEX(Entities!$B$5:$B$34,MATCH(B89,Entities!$A$5:$A$34,0))</f>
        <v>Islamic International Arab Bank</v>
      </c>
      <c r="D89" s="7" t="str">
        <f aca="false">INDEX(Entities!$F$5:$F$34,MATCH(B89,Entities!$A$5:$A$34,0))</f>
        <v>Tier 1</v>
      </c>
      <c r="E89" s="26" t="str">
        <f aca="false">'Control Library'!$A$46</f>
        <v>CTL-RP-01</v>
      </c>
      <c r="F89" s="12" t="str">
        <f aca="false">INDEX('Control Library'!$B$5:$B$47,MATCH(E89,'Control Library'!$A$5:$A$47,0))</f>
        <v>Media monitoring and reputational-risk escalation</v>
      </c>
      <c r="G89" s="7" t="str">
        <f aca="false">INDEX('Control Library'!$F$5:$F$47,MATCH(E89,'Control Library'!$A$5:$A$47,0))</f>
        <v>Y</v>
      </c>
      <c r="H89" s="12" t="str">
        <f aca="false">INDEX('Control Library'!$E$5:$E$47,MATCH(E89,'Control Library'!$A$5:$A$47,0))</f>
        <v>Daily</v>
      </c>
      <c r="I89" s="7" t="str">
        <f aca="false">IF(INDEX('Control Library'!$I$5:$I$47,MATCH(E89,'Control Library'!$A$5:$A$47,0))="All","Y",IF(INDEX('Control Library'!$I$5:$I$47,MATCH(E89,'Control Library'!$A$5:$A$47,0))="Banks only",IF(COUNTIF('Residual Config'!$L$28:$L$30,INDEX(Entities!$E$5:$E$34,MATCH(B89,Entities!$A$5:$A$34,0)))&gt;0,"N/A","Y"),IF(INDEX(Entities!$G$5:$G$34,MATCH(B89,Entities!$A$5:$A$34,0))="Y","Y","N/A")))</f>
        <v>Y</v>
      </c>
      <c r="J89" s="8" t="s">
        <v>968</v>
      </c>
      <c r="K89" s="8" t="s">
        <v>752</v>
      </c>
      <c r="L89" s="7" t="str">
        <f aca="false">IF(OR(J89="",K89=""),"",IF(J89=K89,"Breach","OK"))</f>
        <v>OK</v>
      </c>
      <c r="M89" s="24" t="n">
        <v>1</v>
      </c>
      <c r="N89" s="50" t="n">
        <v>46271</v>
      </c>
      <c r="O89" s="8" t="s">
        <v>545</v>
      </c>
      <c r="P89" s="24" t="n">
        <v>35</v>
      </c>
      <c r="Q89" s="31" t="n">
        <f aca="false">IF(I89="N/A","",IFERROR(INDEX('Residual Config'!$B$35:$B$42,MATCH(H89,'Residual Config'!$A$35:$A$42,0)),""))</f>
        <v>25</v>
      </c>
      <c r="R89" s="24" t="n">
        <v>0</v>
      </c>
      <c r="S89" s="8" t="s">
        <v>516</v>
      </c>
      <c r="T89" s="31" t="n">
        <f aca="false">IF(S89="","",MATCH(S89,'Residual Config'!$L$9:$L$12,0))</f>
        <v>1</v>
      </c>
      <c r="U89" s="8" t="s">
        <v>969</v>
      </c>
      <c r="V89" s="24" t="n">
        <v>4</v>
      </c>
      <c r="W89" s="33" t="s">
        <v>533</v>
      </c>
      <c r="X89" s="8" t="s">
        <v>754</v>
      </c>
      <c r="Y89" s="51" t="n">
        <f aca="false">IF(N89="","",EDATE(N89,IF(G89="N",INDEX('Residual Config'!$B$31:$D$31,1,MATCH(D89,'Residual Config'!$B$27:$D$27,0)),INDEX('Residual Config'!$B$28:$D$30,IF(T89=1,1,IF(T89=4,3,2)),MATCH(D89,'Residual Config'!$B$27:$D$27,0)))))</f>
        <v>46452</v>
      </c>
      <c r="Z89" s="7" t="str">
        <f aca="false">IF(I89="N/A","N/A",IF(N89="","Not tested",IF(W89="Rejected","Evidence rejected",IF(W89&lt;&gt;"Accepted","Evidence pending",IF(Y89&lt;'Residual Config'!$C$4,"Overdue","Current")))))</f>
        <v>Current</v>
      </c>
      <c r="AA89" s="34" t="n">
        <f aca="false">IF(I89="N/A","",IF(Z89&lt;&gt;"Current",4,IF(MAX(M89,T89)=0,4,MAX(M89,T89))))</f>
        <v>1</v>
      </c>
      <c r="AB89" s="7" t="str">
        <f aca="false">IF(AA89="","N/A",IF(Z89&lt;&gt;"Current","Not tested / overdue",INDEX('Residual Config'!$B$11:$B$14,AA89)))</f>
        <v>Effective</v>
      </c>
      <c r="AC89" s="36" t="n">
        <f aca="false">IF(AA89="","",INDEX('Residual Config'!$D$11:$D$14,AA89))</f>
        <v>0.6</v>
      </c>
      <c r="AD89" s="7" t="str">
        <f aca="false">IF(OR(I89="N/A",P89="",Q89=""),"",IF(P89&gt;=Q89,"Yes","No"))</f>
        <v>Yes</v>
      </c>
      <c r="AE89" s="8"/>
    </row>
    <row r="90" customFormat="false" ht="15" hidden="false" customHeight="false" outlineLevel="0" collapsed="false">
      <c r="A90" s="12" t="s">
        <v>970</v>
      </c>
      <c r="B90" s="26" t="str">
        <f aca="false">Entities!$A$6</f>
        <v>JO-IIAB</v>
      </c>
      <c r="C90" s="12" t="str">
        <f aca="false">INDEX(Entities!$B$5:$B$34,MATCH(B90,Entities!$A$5:$A$34,0))</f>
        <v>Islamic International Arab Bank</v>
      </c>
      <c r="D90" s="7" t="str">
        <f aca="false">INDEX(Entities!$F$5:$F$34,MATCH(B90,Entities!$A$5:$A$34,0))</f>
        <v>Tier 1</v>
      </c>
      <c r="E90" s="26" t="str">
        <f aca="false">'Control Library'!$A$47</f>
        <v>CTL-ST-01</v>
      </c>
      <c r="F90" s="12" t="str">
        <f aca="false">INDEX('Control Library'!$B$5:$B$47,MATCH(E90,'Control Library'!$A$5:$A$47,0))</f>
        <v>Strategy execution monitoring and E&amp;S screening of lending</v>
      </c>
      <c r="G90" s="7" t="str">
        <f aca="false">INDEX('Control Library'!$F$5:$F$47,MATCH(E90,'Control Library'!$A$5:$A$47,0))</f>
        <v>Y</v>
      </c>
      <c r="H90" s="12" t="str">
        <f aca="false">INDEX('Control Library'!$E$5:$E$47,MATCH(E90,'Control Library'!$A$5:$A$47,0))</f>
        <v>Quarterly</v>
      </c>
      <c r="I90" s="7" t="str">
        <f aca="false">IF(INDEX('Control Library'!$I$5:$I$47,MATCH(E90,'Control Library'!$A$5:$A$47,0))="All","Y",IF(INDEX('Control Library'!$I$5:$I$47,MATCH(E90,'Control Library'!$A$5:$A$47,0))="Banks only",IF(COUNTIF('Residual Config'!$L$28:$L$30,INDEX(Entities!$E$5:$E$34,MATCH(B90,Entities!$A$5:$A$34,0)))&gt;0,"N/A","Y"),IF(INDEX(Entities!$G$5:$G$34,MATCH(B90,Entities!$A$5:$A$34,0))="Y","Y","N/A")))</f>
        <v>Y</v>
      </c>
      <c r="J90" s="8" t="s">
        <v>971</v>
      </c>
      <c r="K90" s="8" t="s">
        <v>752</v>
      </c>
      <c r="L90" s="7" t="str">
        <f aca="false">IF(OR(J90="",K90=""),"",IF(J90=K90,"Breach","OK"))</f>
        <v>OK</v>
      </c>
      <c r="M90" s="24" t="n">
        <v>2</v>
      </c>
      <c r="N90" s="50" t="n">
        <v>46265</v>
      </c>
      <c r="O90" s="8" t="s">
        <v>546</v>
      </c>
      <c r="P90" s="24" t="n">
        <v>2</v>
      </c>
      <c r="Q90" s="31" t="n">
        <f aca="false">IF(I90="N/A","",IFERROR(INDEX('Residual Config'!$B$35:$B$42,MATCH(H90,'Residual Config'!$A$35:$A$42,0)),""))</f>
        <v>2</v>
      </c>
      <c r="R90" s="24" t="n">
        <v>1</v>
      </c>
      <c r="S90" s="8" t="s">
        <v>521</v>
      </c>
      <c r="T90" s="31" t="n">
        <f aca="false">IF(S90="","",MATCH(S90,'Residual Config'!$L$9:$L$12,0))</f>
        <v>2</v>
      </c>
      <c r="U90" s="8" t="s">
        <v>972</v>
      </c>
      <c r="V90" s="24" t="n">
        <v>1</v>
      </c>
      <c r="W90" s="33" t="s">
        <v>533</v>
      </c>
      <c r="X90" s="8" t="s">
        <v>754</v>
      </c>
      <c r="Y90" s="51" t="n">
        <f aca="false">IF(N90="","",EDATE(N90,IF(G90="N",INDEX('Residual Config'!$B$31:$D$31,1,MATCH(D90,'Residual Config'!$B$27:$D$27,0)),INDEX('Residual Config'!$B$28:$D$30,IF(T90=1,1,IF(T90=4,3,2)),MATCH(D90,'Residual Config'!$B$27:$D$27,0)))))</f>
        <v>46356</v>
      </c>
      <c r="Z90" s="7" t="str">
        <f aca="false">IF(I90="N/A","N/A",IF(N90="","Not tested",IF(W90="Rejected","Evidence rejected",IF(W90&lt;&gt;"Accepted","Evidence pending",IF(Y90&lt;'Residual Config'!$C$4,"Overdue","Current")))))</f>
        <v>Current</v>
      </c>
      <c r="AA90" s="34" t="n">
        <f aca="false">IF(I90="N/A","",IF(Z90&lt;&gt;"Current",4,IF(MAX(M90,T90)=0,4,MAX(M90,T90))))</f>
        <v>2</v>
      </c>
      <c r="AB90" s="7" t="str">
        <f aca="false">IF(AA90="","N/A",IF(Z90&lt;&gt;"Current","Not tested / overdue",INDEX('Residual Config'!$B$11:$B$14,AA90)))</f>
        <v>Largely effective</v>
      </c>
      <c r="AC90" s="36" t="n">
        <f aca="false">IF(AA90="","",INDEX('Residual Config'!$D$11:$D$14,AA90))</f>
        <v>0.4</v>
      </c>
      <c r="AD90" s="7" t="str">
        <f aca="false">IF(OR(I90="N/A",P90="",Q90=""),"",IF(P90&gt;=Q90,"Yes","No"))</f>
        <v>Yes</v>
      </c>
      <c r="AE90" s="8"/>
    </row>
    <row r="91" customFormat="false" ht="15" hidden="false" customHeight="false" outlineLevel="0" collapsed="false">
      <c r="A91" s="12" t="s">
        <v>973</v>
      </c>
      <c r="B91" s="26" t="str">
        <f aca="false">Entities!$A$7</f>
        <v>JO-INV</v>
      </c>
      <c r="C91" s="12" t="str">
        <f aca="false">INDEX(Entities!$B$5:$B$34,MATCH(B91,Entities!$A$5:$A$34,0))</f>
        <v>Al-Arabi Investment Group (AB Invest)</v>
      </c>
      <c r="D91" s="7" t="str">
        <f aca="false">INDEX(Entities!$F$5:$F$34,MATCH(B91,Entities!$A$5:$A$34,0))</f>
        <v>Tier 3</v>
      </c>
      <c r="E91" s="26" t="str">
        <f aca="false">'Control Library'!$A$5</f>
        <v>CTL-KYC-01</v>
      </c>
      <c r="F91" s="12" t="str">
        <f aca="false">INDEX('Control Library'!$B$5:$B$47,MATCH(E91,'Control Library'!$A$5:$A$47,0))</f>
        <v>Customer due diligence and ID verification at onboarding</v>
      </c>
      <c r="G91" s="7" t="str">
        <f aca="false">INDEX('Control Library'!$F$5:$F$47,MATCH(E91,'Control Library'!$A$5:$A$47,0))</f>
        <v>Y</v>
      </c>
      <c r="H91" s="12" t="str">
        <f aca="false">INDEX('Control Library'!$E$5:$E$47,MATCH(E91,'Control Library'!$A$5:$A$47,0))</f>
        <v>Event-driven</v>
      </c>
      <c r="I91" s="7" t="str">
        <f aca="false">IF(INDEX('Control Library'!$I$5:$I$47,MATCH(E91,'Control Library'!$A$5:$A$47,0))="All","Y",IF(INDEX('Control Library'!$I$5:$I$47,MATCH(E91,'Control Library'!$A$5:$A$47,0))="Banks only",IF(COUNTIF('Residual Config'!$L$28:$L$30,INDEX(Entities!$E$5:$E$34,MATCH(B91,Entities!$A$5:$A$34,0)))&gt;0,"N/A","Y"),IF(INDEX(Entities!$G$5:$G$34,MATCH(B91,Entities!$A$5:$A$34,0))="Y","Y","N/A")))</f>
        <v>Y</v>
      </c>
      <c r="J91" s="8" t="s">
        <v>974</v>
      </c>
      <c r="K91" s="8" t="s">
        <v>975</v>
      </c>
      <c r="L91" s="7" t="str">
        <f aca="false">IF(OR(J91="",K91=""),"",IF(J91=K91,"Breach","OK"))</f>
        <v>OK</v>
      </c>
      <c r="M91" s="24" t="n">
        <v>2</v>
      </c>
      <c r="N91" s="50" t="n">
        <v>46242</v>
      </c>
      <c r="O91" s="8" t="s">
        <v>545</v>
      </c>
      <c r="P91" s="24" t="n">
        <v>30</v>
      </c>
      <c r="Q91" s="31" t="n">
        <f aca="false">IF(I91="N/A","",IFERROR(INDEX('Residual Config'!$B$35:$B$42,MATCH(H91,'Residual Config'!$A$35:$A$42,0)),""))</f>
        <v>25</v>
      </c>
      <c r="R91" s="24" t="n">
        <v>1</v>
      </c>
      <c r="S91" s="8" t="s">
        <v>521</v>
      </c>
      <c r="T91" s="31" t="n">
        <f aca="false">IF(S91="","",MATCH(S91,'Residual Config'!$L$9:$L$12,0))</f>
        <v>2</v>
      </c>
      <c r="U91" s="8" t="s">
        <v>976</v>
      </c>
      <c r="V91" s="24" t="n">
        <v>2</v>
      </c>
      <c r="W91" s="33" t="s">
        <v>533</v>
      </c>
      <c r="X91" s="8" t="s">
        <v>760</v>
      </c>
      <c r="Y91" s="51" t="n">
        <f aca="false">IF(N91="","",EDATE(N91,IF(G91="N",INDEX('Residual Config'!$B$31:$D$31,1,MATCH(D91,'Residual Config'!$B$27:$D$27,0)),INDEX('Residual Config'!$B$28:$D$30,IF(T91=1,1,IF(T91=4,3,2)),MATCH(D91,'Residual Config'!$B$27:$D$27,0)))))</f>
        <v>46426</v>
      </c>
      <c r="Z91" s="7" t="str">
        <f aca="false">IF(I91="N/A","N/A",IF(N91="","Not tested",IF(W91="Rejected","Evidence rejected",IF(W91&lt;&gt;"Accepted","Evidence pending",IF(Y91&lt;'Residual Config'!$C$4,"Overdue","Current")))))</f>
        <v>Current</v>
      </c>
      <c r="AA91" s="34" t="n">
        <f aca="false">IF(I91="N/A","",IF(Z91&lt;&gt;"Current",4,IF(MAX(M91,T91)=0,4,MAX(M91,T91))))</f>
        <v>2</v>
      </c>
      <c r="AB91" s="7" t="str">
        <f aca="false">IF(AA91="","N/A",IF(Z91&lt;&gt;"Current","Not tested / overdue",INDEX('Residual Config'!$B$11:$B$14,AA91)))</f>
        <v>Largely effective</v>
      </c>
      <c r="AC91" s="36" t="n">
        <f aca="false">IF(AA91="","",INDEX('Residual Config'!$D$11:$D$14,AA91))</f>
        <v>0.4</v>
      </c>
      <c r="AD91" s="7" t="str">
        <f aca="false">IF(OR(I91="N/A",P91="",Q91=""),"",IF(P91&gt;=Q91,"Yes","No"))</f>
        <v>Yes</v>
      </c>
      <c r="AE91" s="8"/>
    </row>
    <row r="92" customFormat="false" ht="15" hidden="false" customHeight="false" outlineLevel="0" collapsed="false">
      <c r="A92" s="12" t="s">
        <v>977</v>
      </c>
      <c r="B92" s="26" t="str">
        <f aca="false">Entities!$A$7</f>
        <v>JO-INV</v>
      </c>
      <c r="C92" s="12" t="str">
        <f aca="false">INDEX(Entities!$B$5:$B$34,MATCH(B92,Entities!$A$5:$A$34,0))</f>
        <v>Al-Arabi Investment Group (AB Invest)</v>
      </c>
      <c r="D92" s="7" t="str">
        <f aca="false">INDEX(Entities!$F$5:$F$34,MATCH(B92,Entities!$A$5:$A$34,0))</f>
        <v>Tier 3</v>
      </c>
      <c r="E92" s="26" t="str">
        <f aca="false">'Control Library'!$A$6</f>
        <v>CTL-KYC-02</v>
      </c>
      <c r="F92" s="12" t="str">
        <f aca="false">INDEX('Control Library'!$B$5:$B$47,MATCH(E92,'Control Library'!$A$5:$A$47,0))</f>
        <v>Enhanced due diligence for high-risk customers and PEPs, senior approval</v>
      </c>
      <c r="G92" s="7" t="str">
        <f aca="false">INDEX('Control Library'!$F$5:$F$47,MATCH(E92,'Control Library'!$A$5:$A$47,0))</f>
        <v>Y</v>
      </c>
      <c r="H92" s="12" t="str">
        <f aca="false">INDEX('Control Library'!$E$5:$E$47,MATCH(E92,'Control Library'!$A$5:$A$47,0))</f>
        <v>Event-driven</v>
      </c>
      <c r="I92" s="7" t="str">
        <f aca="false">IF(INDEX('Control Library'!$I$5:$I$47,MATCH(E92,'Control Library'!$A$5:$A$47,0))="All","Y",IF(INDEX('Control Library'!$I$5:$I$47,MATCH(E92,'Control Library'!$A$5:$A$47,0))="Banks only",IF(COUNTIF('Residual Config'!$L$28:$L$30,INDEX(Entities!$E$5:$E$34,MATCH(B92,Entities!$A$5:$A$34,0)))&gt;0,"N/A","Y"),IF(INDEX(Entities!$G$5:$G$34,MATCH(B92,Entities!$A$5:$A$34,0))="Y","Y","N/A")))</f>
        <v>Y</v>
      </c>
      <c r="J92" s="8" t="s">
        <v>978</v>
      </c>
      <c r="K92" s="8" t="s">
        <v>975</v>
      </c>
      <c r="L92" s="7" t="str">
        <f aca="false">IF(OR(J92="",K92=""),"",IF(J92=K92,"Breach","OK"))</f>
        <v>OK</v>
      </c>
      <c r="M92" s="24" t="n">
        <v>2</v>
      </c>
      <c r="N92" s="50" t="n">
        <v>45993</v>
      </c>
      <c r="O92" s="8" t="s">
        <v>545</v>
      </c>
      <c r="P92" s="24" t="n">
        <v>25</v>
      </c>
      <c r="Q92" s="31" t="n">
        <f aca="false">IF(I92="N/A","",IFERROR(INDEX('Residual Config'!$B$35:$B$42,MATCH(H92,'Residual Config'!$A$35:$A$42,0)),""))</f>
        <v>25</v>
      </c>
      <c r="R92" s="24" t="n">
        <v>0</v>
      </c>
      <c r="S92" s="8" t="s">
        <v>516</v>
      </c>
      <c r="T92" s="31" t="n">
        <f aca="false">IF(S92="","",MATCH(S92,'Residual Config'!$L$9:$L$12,0))</f>
        <v>1</v>
      </c>
      <c r="U92" s="8" t="s">
        <v>979</v>
      </c>
      <c r="V92" s="24" t="n">
        <v>6</v>
      </c>
      <c r="W92" s="33" t="s">
        <v>533</v>
      </c>
      <c r="X92" s="8" t="s">
        <v>760</v>
      </c>
      <c r="Y92" s="51" t="n">
        <f aca="false">IF(N92="","",EDATE(N92,IF(G92="N",INDEX('Residual Config'!$B$31:$D$31,1,MATCH(D92,'Residual Config'!$B$27:$D$27,0)),INDEX('Residual Config'!$B$28:$D$30,IF(T92=1,1,IF(T92=4,3,2)),MATCH(D92,'Residual Config'!$B$27:$D$27,0)))))</f>
        <v>46358</v>
      </c>
      <c r="Z92" s="7" t="str">
        <f aca="false">IF(I92="N/A","N/A",IF(N92="","Not tested",IF(W92="Rejected","Evidence rejected",IF(W92&lt;&gt;"Accepted","Evidence pending",IF(Y92&lt;'Residual Config'!$C$4,"Overdue","Current")))))</f>
        <v>Current</v>
      </c>
      <c r="AA92" s="34" t="n">
        <f aca="false">IF(I92="N/A","",IF(Z92&lt;&gt;"Current",4,IF(MAX(M92,T92)=0,4,MAX(M92,T92))))</f>
        <v>2</v>
      </c>
      <c r="AB92" s="7" t="str">
        <f aca="false">IF(AA92="","N/A",IF(Z92&lt;&gt;"Current","Not tested / overdue",INDEX('Residual Config'!$B$11:$B$14,AA92)))</f>
        <v>Largely effective</v>
      </c>
      <c r="AC92" s="36" t="n">
        <f aca="false">IF(AA92="","",INDEX('Residual Config'!$D$11:$D$14,AA92))</f>
        <v>0.4</v>
      </c>
      <c r="AD92" s="7" t="str">
        <f aca="false">IF(OR(I92="N/A",P92="",Q92=""),"",IF(P92&gt;=Q92,"Yes","No"))</f>
        <v>Yes</v>
      </c>
      <c r="AE92" s="8"/>
    </row>
    <row r="93" customFormat="false" ht="15" hidden="false" customHeight="false" outlineLevel="0" collapsed="false">
      <c r="A93" s="12" t="s">
        <v>980</v>
      </c>
      <c r="B93" s="26" t="str">
        <f aca="false">Entities!$A$7</f>
        <v>JO-INV</v>
      </c>
      <c r="C93" s="12" t="str">
        <f aca="false">INDEX(Entities!$B$5:$B$34,MATCH(B93,Entities!$A$5:$A$34,0))</f>
        <v>Al-Arabi Investment Group (AB Invest)</v>
      </c>
      <c r="D93" s="7" t="str">
        <f aca="false">INDEX(Entities!$F$5:$F$34,MATCH(B93,Entities!$A$5:$A$34,0))</f>
        <v>Tier 3</v>
      </c>
      <c r="E93" s="26" t="str">
        <f aca="false">'Control Library'!$A$7</f>
        <v>CTL-KYC-03</v>
      </c>
      <c r="F93" s="12" t="str">
        <f aca="false">INDEX('Control Library'!$B$5:$B$47,MATCH(E93,'Control Library'!$A$5:$A$47,0))</f>
        <v>Ultimate beneficial owner identification and verification</v>
      </c>
      <c r="G93" s="7" t="str">
        <f aca="false">INDEX('Control Library'!$F$5:$F$47,MATCH(E93,'Control Library'!$A$5:$A$47,0))</f>
        <v>Y</v>
      </c>
      <c r="H93" s="12" t="str">
        <f aca="false">INDEX('Control Library'!$E$5:$E$47,MATCH(E93,'Control Library'!$A$5:$A$47,0))</f>
        <v>Event-driven</v>
      </c>
      <c r="I93" s="7" t="str">
        <f aca="false">IF(INDEX('Control Library'!$I$5:$I$47,MATCH(E93,'Control Library'!$A$5:$A$47,0))="All","Y",IF(INDEX('Control Library'!$I$5:$I$47,MATCH(E93,'Control Library'!$A$5:$A$47,0))="Banks only",IF(COUNTIF('Residual Config'!$L$28:$L$30,INDEX(Entities!$E$5:$E$34,MATCH(B93,Entities!$A$5:$A$34,0)))&gt;0,"N/A","Y"),IF(INDEX(Entities!$G$5:$G$34,MATCH(B93,Entities!$A$5:$A$34,0))="Y","Y","N/A")))</f>
        <v>Y</v>
      </c>
      <c r="J93" s="8" t="s">
        <v>974</v>
      </c>
      <c r="K93" s="8" t="s">
        <v>975</v>
      </c>
      <c r="L93" s="7" t="str">
        <f aca="false">IF(OR(J93="",K93=""),"",IF(J93=K93,"Breach","OK"))</f>
        <v>OK</v>
      </c>
      <c r="M93" s="24" t="n">
        <v>1</v>
      </c>
      <c r="N93" s="50" t="n">
        <v>46002</v>
      </c>
      <c r="O93" s="8" t="s">
        <v>545</v>
      </c>
      <c r="P93" s="24" t="n">
        <v>30</v>
      </c>
      <c r="Q93" s="31" t="n">
        <f aca="false">IF(I93="N/A","",IFERROR(INDEX('Residual Config'!$B$35:$B$42,MATCH(H93,'Residual Config'!$A$35:$A$42,0)),""))</f>
        <v>25</v>
      </c>
      <c r="R93" s="24" t="n">
        <v>0</v>
      </c>
      <c r="S93" s="8" t="s">
        <v>516</v>
      </c>
      <c r="T93" s="31" t="n">
        <f aca="false">IF(S93="","",MATCH(S93,'Residual Config'!$L$9:$L$12,0))</f>
        <v>1</v>
      </c>
      <c r="U93" s="8" t="s">
        <v>981</v>
      </c>
      <c r="V93" s="24" t="n">
        <v>3</v>
      </c>
      <c r="W93" s="33" t="s">
        <v>533</v>
      </c>
      <c r="X93" s="8" t="s">
        <v>754</v>
      </c>
      <c r="Y93" s="51" t="n">
        <f aca="false">IF(N93="","",EDATE(N93,IF(G93="N",INDEX('Residual Config'!$B$31:$D$31,1,MATCH(D93,'Residual Config'!$B$27:$D$27,0)),INDEX('Residual Config'!$B$28:$D$30,IF(T93=1,1,IF(T93=4,3,2)),MATCH(D93,'Residual Config'!$B$27:$D$27,0)))))</f>
        <v>46367</v>
      </c>
      <c r="Z93" s="7" t="str">
        <f aca="false">IF(I93="N/A","N/A",IF(N93="","Not tested",IF(W93="Rejected","Evidence rejected",IF(W93&lt;&gt;"Accepted","Evidence pending",IF(Y93&lt;'Residual Config'!$C$4,"Overdue","Current")))))</f>
        <v>Current</v>
      </c>
      <c r="AA93" s="34" t="n">
        <f aca="false">IF(I93="N/A","",IF(Z93&lt;&gt;"Current",4,IF(MAX(M93,T93)=0,4,MAX(M93,T93))))</f>
        <v>1</v>
      </c>
      <c r="AB93" s="7" t="str">
        <f aca="false">IF(AA93="","N/A",IF(Z93&lt;&gt;"Current","Not tested / overdue",INDEX('Residual Config'!$B$11:$B$14,AA93)))</f>
        <v>Effective</v>
      </c>
      <c r="AC93" s="36" t="n">
        <f aca="false">IF(AA93="","",INDEX('Residual Config'!$D$11:$D$14,AA93))</f>
        <v>0.6</v>
      </c>
      <c r="AD93" s="7" t="str">
        <f aca="false">IF(OR(I93="N/A",P93="",Q93=""),"",IF(P93&gt;=Q93,"Yes","No"))</f>
        <v>Yes</v>
      </c>
      <c r="AE93" s="8"/>
    </row>
    <row r="94" customFormat="false" ht="15" hidden="false" customHeight="false" outlineLevel="0" collapsed="false">
      <c r="A94" s="12" t="s">
        <v>982</v>
      </c>
      <c r="B94" s="26" t="str">
        <f aca="false">Entities!$A$7</f>
        <v>JO-INV</v>
      </c>
      <c r="C94" s="12" t="str">
        <f aca="false">INDEX(Entities!$B$5:$B$34,MATCH(B94,Entities!$A$5:$A$34,0))</f>
        <v>Al-Arabi Investment Group (AB Invest)</v>
      </c>
      <c r="D94" s="7" t="str">
        <f aca="false">INDEX(Entities!$F$5:$F$34,MATCH(B94,Entities!$A$5:$A$34,0))</f>
        <v>Tier 3</v>
      </c>
      <c r="E94" s="26" t="str">
        <f aca="false">'Control Library'!$A$8</f>
        <v>CTL-KYC-04</v>
      </c>
      <c r="F94" s="12" t="str">
        <f aca="false">INDEX('Control Library'!$B$5:$B$47,MATCH(E94,'Control Library'!$A$5:$A$47,0))</f>
        <v>Periodic KYC review by customer risk rating</v>
      </c>
      <c r="G94" s="7" t="str">
        <f aca="false">INDEX('Control Library'!$F$5:$F$47,MATCH(E94,'Control Library'!$A$5:$A$47,0))</f>
        <v>Y</v>
      </c>
      <c r="H94" s="12" t="str">
        <f aca="false">INDEX('Control Library'!$E$5:$E$47,MATCH(E94,'Control Library'!$A$5:$A$47,0))</f>
        <v>Monthly</v>
      </c>
      <c r="I94" s="7" t="str">
        <f aca="false">IF(INDEX('Control Library'!$I$5:$I$47,MATCH(E94,'Control Library'!$A$5:$A$47,0))="All","Y",IF(INDEX('Control Library'!$I$5:$I$47,MATCH(E94,'Control Library'!$A$5:$A$47,0))="Banks only",IF(COUNTIF('Residual Config'!$L$28:$L$30,INDEX(Entities!$E$5:$E$34,MATCH(B94,Entities!$A$5:$A$34,0)))&gt;0,"N/A","Y"),IF(INDEX(Entities!$G$5:$G$34,MATCH(B94,Entities!$A$5:$A$34,0))="Y","Y","N/A")))</f>
        <v>Y</v>
      </c>
      <c r="J94" s="8" t="s">
        <v>974</v>
      </c>
      <c r="K94" s="8" t="s">
        <v>975</v>
      </c>
      <c r="L94" s="7" t="str">
        <f aca="false">IF(OR(J94="",K94=""),"",IF(J94=K94,"Breach","OK"))</f>
        <v>OK</v>
      </c>
      <c r="M94" s="24" t="n">
        <v>1</v>
      </c>
      <c r="N94" s="50" t="n">
        <v>46153</v>
      </c>
      <c r="O94" s="8" t="s">
        <v>545</v>
      </c>
      <c r="P94" s="24" t="n">
        <v>3</v>
      </c>
      <c r="Q94" s="31" t="n">
        <f aca="false">IF(I94="N/A","",IFERROR(INDEX('Residual Config'!$B$35:$B$42,MATCH(H94,'Residual Config'!$A$35:$A$42,0)),""))</f>
        <v>3</v>
      </c>
      <c r="R94" s="24" t="n">
        <v>3</v>
      </c>
      <c r="S94" s="8" t="s">
        <v>524</v>
      </c>
      <c r="T94" s="31" t="n">
        <f aca="false">IF(S94="","",MATCH(S94,'Residual Config'!$L$9:$L$12,0))</f>
        <v>3</v>
      </c>
      <c r="U94" s="8" t="s">
        <v>983</v>
      </c>
      <c r="V94" s="24" t="n">
        <v>2</v>
      </c>
      <c r="W94" s="33" t="s">
        <v>533</v>
      </c>
      <c r="X94" s="8" t="s">
        <v>760</v>
      </c>
      <c r="Y94" s="51" t="n">
        <f aca="false">IF(N94="","",EDATE(N94,IF(G94="N",INDEX('Residual Config'!$B$31:$D$31,1,MATCH(D94,'Residual Config'!$B$27:$D$27,0)),INDEX('Residual Config'!$B$28:$D$30,IF(T94=1,1,IF(T94=4,3,2)),MATCH(D94,'Residual Config'!$B$27:$D$27,0)))))</f>
        <v>46337</v>
      </c>
      <c r="Z94" s="7" t="str">
        <f aca="false">IF(I94="N/A","N/A",IF(N94="","Not tested",IF(W94="Rejected","Evidence rejected",IF(W94&lt;&gt;"Accepted","Evidence pending",IF(Y94&lt;'Residual Config'!$C$4,"Overdue","Current")))))</f>
        <v>Current</v>
      </c>
      <c r="AA94" s="34" t="n">
        <f aca="false">IF(I94="N/A","",IF(Z94&lt;&gt;"Current",4,IF(MAX(M94,T94)=0,4,MAX(M94,T94))))</f>
        <v>3</v>
      </c>
      <c r="AB94" s="7" t="str">
        <f aca="false">IF(AA94="","N/A",IF(Z94&lt;&gt;"Current","Not tested / overdue",INDEX('Residual Config'!$B$11:$B$14,AA94)))</f>
        <v>Partially effective</v>
      </c>
      <c r="AC94" s="36" t="n">
        <f aca="false">IF(AA94="","",INDEX('Residual Config'!$D$11:$D$14,AA94))</f>
        <v>0.2</v>
      </c>
      <c r="AD94" s="7" t="str">
        <f aca="false">IF(OR(I94="N/A",P94="",Q94=""),"",IF(P94&gt;=Q94,"Yes","No"))</f>
        <v>Yes</v>
      </c>
      <c r="AE94" s="8"/>
    </row>
    <row r="95" customFormat="false" ht="15" hidden="false" customHeight="false" outlineLevel="0" collapsed="false">
      <c r="A95" s="12" t="s">
        <v>984</v>
      </c>
      <c r="B95" s="26" t="str">
        <f aca="false">Entities!$A$7</f>
        <v>JO-INV</v>
      </c>
      <c r="C95" s="12" t="str">
        <f aca="false">INDEX(Entities!$B$5:$B$34,MATCH(B95,Entities!$A$5:$A$34,0))</f>
        <v>Al-Arabi Investment Group (AB Invest)</v>
      </c>
      <c r="D95" s="7" t="str">
        <f aca="false">INDEX(Entities!$F$5:$F$34,MATCH(B95,Entities!$A$5:$A$34,0))</f>
        <v>Tier 3</v>
      </c>
      <c r="E95" s="26" t="str">
        <f aca="false">'Control Library'!$A$9</f>
        <v>CTL-CRR-01</v>
      </c>
      <c r="F95" s="12" t="str">
        <f aca="false">INDEX('Control Library'!$B$5:$B$47,MATCH(E95,'Control Library'!$A$5:$A$47,0))</f>
        <v>Customer risk rating model and annual validation</v>
      </c>
      <c r="G95" s="7" t="str">
        <f aca="false">INDEX('Control Library'!$F$5:$F$47,MATCH(E95,'Control Library'!$A$5:$A$47,0))</f>
        <v>N</v>
      </c>
      <c r="H95" s="12" t="str">
        <f aca="false">INDEX('Control Library'!$E$5:$E$47,MATCH(E95,'Control Library'!$A$5:$A$47,0))</f>
        <v>Annual</v>
      </c>
      <c r="I95" s="7" t="str">
        <f aca="false">IF(INDEX('Control Library'!$I$5:$I$47,MATCH(E95,'Control Library'!$A$5:$A$47,0))="All","Y",IF(INDEX('Control Library'!$I$5:$I$47,MATCH(E95,'Control Library'!$A$5:$A$47,0))="Banks only",IF(COUNTIF('Residual Config'!$L$28:$L$30,INDEX(Entities!$E$5:$E$34,MATCH(B95,Entities!$A$5:$A$34,0)))&gt;0,"N/A","Y"),IF(INDEX(Entities!$G$5:$G$34,MATCH(B95,Entities!$A$5:$A$34,0))="Y","Y","N/A")))</f>
        <v>Y</v>
      </c>
      <c r="J95" s="8" t="s">
        <v>978</v>
      </c>
      <c r="K95" s="8" t="s">
        <v>975</v>
      </c>
      <c r="L95" s="7" t="str">
        <f aca="false">IF(OR(J95="",K95=""),"",IF(J95=K95,"Breach","OK"))</f>
        <v>OK</v>
      </c>
      <c r="M95" s="24" t="n">
        <v>1</v>
      </c>
      <c r="N95" s="50" t="n">
        <v>45653</v>
      </c>
      <c r="O95" s="8" t="s">
        <v>547</v>
      </c>
      <c r="P95" s="24" t="n">
        <v>1</v>
      </c>
      <c r="Q95" s="31" t="n">
        <f aca="false">IF(I95="N/A","",IFERROR(INDEX('Residual Config'!$B$35:$B$42,MATCH(H95,'Residual Config'!$A$35:$A$42,0)),""))</f>
        <v>1</v>
      </c>
      <c r="R95" s="24" t="n">
        <v>0</v>
      </c>
      <c r="S95" s="8" t="s">
        <v>516</v>
      </c>
      <c r="T95" s="31" t="n">
        <f aca="false">IF(S95="","",MATCH(S95,'Residual Config'!$L$9:$L$12,0))</f>
        <v>1</v>
      </c>
      <c r="U95" s="8" t="s">
        <v>985</v>
      </c>
      <c r="V95" s="24" t="n">
        <v>5</v>
      </c>
      <c r="W95" s="33" t="s">
        <v>533</v>
      </c>
      <c r="X95" s="8" t="s">
        <v>760</v>
      </c>
      <c r="Y95" s="51" t="n">
        <f aca="false">IF(N95="","",EDATE(N95,IF(G95="N",INDEX('Residual Config'!$B$31:$D$31,1,MATCH(D95,'Residual Config'!$B$27:$D$27,0)),INDEX('Residual Config'!$B$28:$D$30,IF(T95=1,1,IF(T95=4,3,2)),MATCH(D95,'Residual Config'!$B$27:$D$27,0)))))</f>
        <v>46383</v>
      </c>
      <c r="Z95" s="7" t="str">
        <f aca="false">IF(I95="N/A","N/A",IF(N95="","Not tested",IF(W95="Rejected","Evidence rejected",IF(W95&lt;&gt;"Accepted","Evidence pending",IF(Y95&lt;'Residual Config'!$C$4,"Overdue","Current")))))</f>
        <v>Current</v>
      </c>
      <c r="AA95" s="34" t="n">
        <f aca="false">IF(I95="N/A","",IF(Z95&lt;&gt;"Current",4,IF(MAX(M95,T95)=0,4,MAX(M95,T95))))</f>
        <v>1</v>
      </c>
      <c r="AB95" s="7" t="str">
        <f aca="false">IF(AA95="","N/A",IF(Z95&lt;&gt;"Current","Not tested / overdue",INDEX('Residual Config'!$B$11:$B$14,AA95)))</f>
        <v>Effective</v>
      </c>
      <c r="AC95" s="36" t="n">
        <f aca="false">IF(AA95="","",INDEX('Residual Config'!$D$11:$D$14,AA95))</f>
        <v>0.6</v>
      </c>
      <c r="AD95" s="7" t="str">
        <f aca="false">IF(OR(I95="N/A",P95="",Q95=""),"",IF(P95&gt;=Q95,"Yes","No"))</f>
        <v>Yes</v>
      </c>
      <c r="AE95" s="8"/>
    </row>
    <row r="96" customFormat="false" ht="15" hidden="false" customHeight="false" outlineLevel="0" collapsed="false">
      <c r="A96" s="12" t="s">
        <v>986</v>
      </c>
      <c r="B96" s="26" t="str">
        <f aca="false">Entities!$A$7</f>
        <v>JO-INV</v>
      </c>
      <c r="C96" s="12" t="str">
        <f aca="false">INDEX(Entities!$B$5:$B$34,MATCH(B96,Entities!$A$5:$A$34,0))</f>
        <v>Al-Arabi Investment Group (AB Invest)</v>
      </c>
      <c r="D96" s="7" t="str">
        <f aca="false">INDEX(Entities!$F$5:$F$34,MATCH(B96,Entities!$A$5:$A$34,0))</f>
        <v>Tier 3</v>
      </c>
      <c r="E96" s="26" t="str">
        <f aca="false">'Control Library'!$A$10</f>
        <v>CTL-TM-01</v>
      </c>
      <c r="F96" s="12" t="str">
        <f aca="false">INDEX('Control Library'!$B$5:$B$47,MATCH(E96,'Control Library'!$A$5:$A$47,0))</f>
        <v>Automated transaction monitoring scenarios and annual tuning</v>
      </c>
      <c r="G96" s="7" t="str">
        <f aca="false">INDEX('Control Library'!$F$5:$F$47,MATCH(E96,'Control Library'!$A$5:$A$47,0))</f>
        <v>Y</v>
      </c>
      <c r="H96" s="12" t="str">
        <f aca="false">INDEX('Control Library'!$E$5:$E$47,MATCH(E96,'Control Library'!$A$5:$A$47,0))</f>
        <v>Continuous</v>
      </c>
      <c r="I96" s="7" t="str">
        <f aca="false">IF(INDEX('Control Library'!$I$5:$I$47,MATCH(E96,'Control Library'!$A$5:$A$47,0))="All","Y",IF(INDEX('Control Library'!$I$5:$I$47,MATCH(E96,'Control Library'!$A$5:$A$47,0))="Banks only",IF(COUNTIF('Residual Config'!$L$28:$L$30,INDEX(Entities!$E$5:$E$34,MATCH(B96,Entities!$A$5:$A$34,0)))&gt;0,"N/A","Y"),IF(INDEX(Entities!$G$5:$G$34,MATCH(B96,Entities!$A$5:$A$34,0))="Y","Y","N/A")))</f>
        <v>N/A</v>
      </c>
      <c r="J96" s="8"/>
      <c r="K96" s="8"/>
      <c r="L96" s="7" t="str">
        <f aca="false">IF(OR(J96="",K96=""),"",IF(J96=K96,"Breach","OK"))</f>
        <v/>
      </c>
      <c r="M96" s="24"/>
      <c r="N96" s="50"/>
      <c r="O96" s="8"/>
      <c r="P96" s="24"/>
      <c r="Q96" s="31" t="str">
        <f aca="false">IF(I96="N/A","",IFERROR(INDEX('Residual Config'!$B$35:$B$42,MATCH(H96,'Residual Config'!$A$35:$A$42,0)),""))</f>
        <v/>
      </c>
      <c r="R96" s="24"/>
      <c r="S96" s="8"/>
      <c r="T96" s="31" t="str">
        <f aca="false">IF(S96="","",MATCH(S96,'Residual Config'!$L$9:$L$12,0))</f>
        <v/>
      </c>
      <c r="U96" s="8"/>
      <c r="V96" s="24"/>
      <c r="W96" s="33"/>
      <c r="X96" s="8"/>
      <c r="Y96" s="51" t="str">
        <f aca="false">IF(N96="","",EDATE(N96,IF(G96="N",INDEX('Residual Config'!$B$31:$D$31,1,MATCH(D96,'Residual Config'!$B$27:$D$27,0)),INDEX('Residual Config'!$B$28:$D$30,IF(T96=1,1,IF(T96=4,3,2)),MATCH(D96,'Residual Config'!$B$27:$D$27,0)))))</f>
        <v/>
      </c>
      <c r="Z96" s="7" t="str">
        <f aca="false">IF(I96="N/A","N/A",IF(N96="","Not tested",IF(W96="Rejected","Evidence rejected",IF(W96&lt;&gt;"Accepted","Evidence pending",IF(Y96&lt;'Residual Config'!$C$4,"Overdue","Current")))))</f>
        <v>N/A</v>
      </c>
      <c r="AA96" s="34" t="str">
        <f aca="false">IF(I96="N/A","",IF(Z96&lt;&gt;"Current",4,IF(MAX(M96,T96)=0,4,MAX(M96,T96))))</f>
        <v/>
      </c>
      <c r="AB96" s="7" t="str">
        <f aca="false">IF(AA96="","N/A",IF(Z96&lt;&gt;"Current","Not tested / overdue",INDEX('Residual Config'!$B$11:$B$14,AA96)))</f>
        <v>N/A</v>
      </c>
      <c r="AC96" s="36" t="str">
        <f aca="false">IF(AA96="","",INDEX('Residual Config'!$D$11:$D$14,AA96))</f>
        <v/>
      </c>
      <c r="AD96" s="7" t="str">
        <f aca="false">IF(OR(I96="N/A",P96="",Q96=""),"",IF(P96&gt;=Q96,"Yes","No"))</f>
        <v/>
      </c>
      <c r="AE96" s="8"/>
    </row>
    <row r="97" customFormat="false" ht="15" hidden="false" customHeight="false" outlineLevel="0" collapsed="false">
      <c r="A97" s="12" t="s">
        <v>987</v>
      </c>
      <c r="B97" s="26" t="str">
        <f aca="false">Entities!$A$7</f>
        <v>JO-INV</v>
      </c>
      <c r="C97" s="12" t="str">
        <f aca="false">INDEX(Entities!$B$5:$B$34,MATCH(B97,Entities!$A$5:$A$34,0))</f>
        <v>Al-Arabi Investment Group (AB Invest)</v>
      </c>
      <c r="D97" s="7" t="str">
        <f aca="false">INDEX(Entities!$F$5:$F$34,MATCH(B97,Entities!$A$5:$A$34,0))</f>
        <v>Tier 3</v>
      </c>
      <c r="E97" s="26" t="str">
        <f aca="false">'Control Library'!$A$11</f>
        <v>CTL-TM-02</v>
      </c>
      <c r="F97" s="12" t="str">
        <f aca="false">INDEX('Control Library'!$B$5:$B$47,MATCH(E97,'Control Library'!$A$5:$A$47,0))</f>
        <v>Alert investigation and quality assurance within SLA</v>
      </c>
      <c r="G97" s="7" t="str">
        <f aca="false">INDEX('Control Library'!$F$5:$F$47,MATCH(E97,'Control Library'!$A$5:$A$47,0))</f>
        <v>Y</v>
      </c>
      <c r="H97" s="12" t="str">
        <f aca="false">INDEX('Control Library'!$E$5:$E$47,MATCH(E97,'Control Library'!$A$5:$A$47,0))</f>
        <v>Daily</v>
      </c>
      <c r="I97" s="7" t="str">
        <f aca="false">IF(INDEX('Control Library'!$I$5:$I$47,MATCH(E97,'Control Library'!$A$5:$A$47,0))="All","Y",IF(INDEX('Control Library'!$I$5:$I$47,MATCH(E97,'Control Library'!$A$5:$A$47,0))="Banks only",IF(COUNTIF('Residual Config'!$L$28:$L$30,INDEX(Entities!$E$5:$E$34,MATCH(B97,Entities!$A$5:$A$34,0)))&gt;0,"N/A","Y"),IF(INDEX(Entities!$G$5:$G$34,MATCH(B97,Entities!$A$5:$A$34,0))="Y","Y","N/A")))</f>
        <v>Y</v>
      </c>
      <c r="J97" s="8" t="s">
        <v>988</v>
      </c>
      <c r="K97" s="8" t="s">
        <v>975</v>
      </c>
      <c r="L97" s="7" t="str">
        <f aca="false">IF(OR(J97="",K97=""),"",IF(J97=K97,"Breach","OK"))</f>
        <v>OK</v>
      </c>
      <c r="M97" s="24" t="n">
        <v>2</v>
      </c>
      <c r="N97" s="50" t="n">
        <v>46272</v>
      </c>
      <c r="O97" s="8" t="s">
        <v>546</v>
      </c>
      <c r="P97" s="24" t="n">
        <v>35</v>
      </c>
      <c r="Q97" s="31" t="n">
        <f aca="false">IF(I97="N/A","",IFERROR(INDEX('Residual Config'!$B$35:$B$42,MATCH(H97,'Residual Config'!$A$35:$A$42,0)),""))</f>
        <v>25</v>
      </c>
      <c r="R97" s="24" t="n">
        <v>1</v>
      </c>
      <c r="S97" s="8" t="s">
        <v>521</v>
      </c>
      <c r="T97" s="31" t="n">
        <f aca="false">IF(S97="","",MATCH(S97,'Residual Config'!$L$9:$L$12,0))</f>
        <v>2</v>
      </c>
      <c r="U97" s="8" t="s">
        <v>989</v>
      </c>
      <c r="V97" s="24" t="n">
        <v>6</v>
      </c>
      <c r="W97" s="33" t="s">
        <v>533</v>
      </c>
      <c r="X97" s="8" t="s">
        <v>754</v>
      </c>
      <c r="Y97" s="51" t="n">
        <f aca="false">IF(N97="","",EDATE(N97,IF(G97="N",INDEX('Residual Config'!$B$31:$D$31,1,MATCH(D97,'Residual Config'!$B$27:$D$27,0)),INDEX('Residual Config'!$B$28:$D$30,IF(T97=1,1,IF(T97=4,3,2)),MATCH(D97,'Residual Config'!$B$27:$D$27,0)))))</f>
        <v>46453</v>
      </c>
      <c r="Z97" s="7" t="str">
        <f aca="false">IF(I97="N/A","N/A",IF(N97="","Not tested",IF(W97="Rejected","Evidence rejected",IF(W97&lt;&gt;"Accepted","Evidence pending",IF(Y97&lt;'Residual Config'!$C$4,"Overdue","Current")))))</f>
        <v>Current</v>
      </c>
      <c r="AA97" s="34" t="n">
        <f aca="false">IF(I97="N/A","",IF(Z97&lt;&gt;"Current",4,IF(MAX(M97,T97)=0,4,MAX(M97,T97))))</f>
        <v>2</v>
      </c>
      <c r="AB97" s="7" t="str">
        <f aca="false">IF(AA97="","N/A",IF(Z97&lt;&gt;"Current","Not tested / overdue",INDEX('Residual Config'!$B$11:$B$14,AA97)))</f>
        <v>Largely effective</v>
      </c>
      <c r="AC97" s="36" t="n">
        <f aca="false">IF(AA97="","",INDEX('Residual Config'!$D$11:$D$14,AA97))</f>
        <v>0.4</v>
      </c>
      <c r="AD97" s="7" t="str">
        <f aca="false">IF(OR(I97="N/A",P97="",Q97=""),"",IF(P97&gt;=Q97,"Yes","No"))</f>
        <v>Yes</v>
      </c>
      <c r="AE97" s="8"/>
    </row>
    <row r="98" customFormat="false" ht="15" hidden="false" customHeight="false" outlineLevel="0" collapsed="false">
      <c r="A98" s="12" t="s">
        <v>990</v>
      </c>
      <c r="B98" s="26" t="str">
        <f aca="false">Entities!$A$7</f>
        <v>JO-INV</v>
      </c>
      <c r="C98" s="12" t="str">
        <f aca="false">INDEX(Entities!$B$5:$B$34,MATCH(B98,Entities!$A$5:$A$34,0))</f>
        <v>Al-Arabi Investment Group (AB Invest)</v>
      </c>
      <c r="D98" s="7" t="str">
        <f aca="false">INDEX(Entities!$F$5:$F$34,MATCH(B98,Entities!$A$5:$A$34,0))</f>
        <v>Tier 3</v>
      </c>
      <c r="E98" s="26" t="str">
        <f aca="false">'Control Library'!$A$12</f>
        <v>CTL-STR-01</v>
      </c>
      <c r="F98" s="12" t="str">
        <f aca="false">INDEX('Control Library'!$B$5:$B$47,MATCH(E98,'Control Library'!$A$5:$A$47,0))</f>
        <v>STR decision and filing within regulatory deadline</v>
      </c>
      <c r="G98" s="7" t="str">
        <f aca="false">INDEX('Control Library'!$F$5:$F$47,MATCH(E98,'Control Library'!$A$5:$A$47,0))</f>
        <v>Y</v>
      </c>
      <c r="H98" s="12" t="str">
        <f aca="false">INDEX('Control Library'!$E$5:$E$47,MATCH(E98,'Control Library'!$A$5:$A$47,0))</f>
        <v>Event-driven</v>
      </c>
      <c r="I98" s="7" t="str">
        <f aca="false">IF(INDEX('Control Library'!$I$5:$I$47,MATCH(E98,'Control Library'!$A$5:$A$47,0))="All","Y",IF(INDEX('Control Library'!$I$5:$I$47,MATCH(E98,'Control Library'!$A$5:$A$47,0))="Banks only",IF(COUNTIF('Residual Config'!$L$28:$L$30,INDEX(Entities!$E$5:$E$34,MATCH(B98,Entities!$A$5:$A$34,0)))&gt;0,"N/A","Y"),IF(INDEX(Entities!$G$5:$G$34,MATCH(B98,Entities!$A$5:$A$34,0))="Y","Y","N/A")))</f>
        <v>Y</v>
      </c>
      <c r="J98" s="8" t="s">
        <v>988</v>
      </c>
      <c r="K98" s="8" t="s">
        <v>975</v>
      </c>
      <c r="L98" s="7" t="str">
        <f aca="false">IF(OR(J98="",K98=""),"",IF(J98=K98,"Breach","OK"))</f>
        <v>OK</v>
      </c>
      <c r="M98" s="24" t="n">
        <v>2</v>
      </c>
      <c r="N98" s="50" t="n">
        <v>46270</v>
      </c>
      <c r="O98" s="8" t="s">
        <v>546</v>
      </c>
      <c r="P98" s="24" t="n">
        <v>30</v>
      </c>
      <c r="Q98" s="31" t="n">
        <f aca="false">IF(I98="N/A","",IFERROR(INDEX('Residual Config'!$B$35:$B$42,MATCH(H98,'Residual Config'!$A$35:$A$42,0)),""))</f>
        <v>25</v>
      </c>
      <c r="R98" s="24" t="n">
        <v>1</v>
      </c>
      <c r="S98" s="8" t="s">
        <v>521</v>
      </c>
      <c r="T98" s="31" t="n">
        <f aca="false">IF(S98="","",MATCH(S98,'Residual Config'!$L$9:$L$12,0))</f>
        <v>2</v>
      </c>
      <c r="U98" s="8" t="s">
        <v>991</v>
      </c>
      <c r="V98" s="24" t="n">
        <v>1</v>
      </c>
      <c r="W98" s="33" t="s">
        <v>533</v>
      </c>
      <c r="X98" s="8" t="s">
        <v>760</v>
      </c>
      <c r="Y98" s="51" t="n">
        <f aca="false">IF(N98="","",EDATE(N98,IF(G98="N",INDEX('Residual Config'!$B$31:$D$31,1,MATCH(D98,'Residual Config'!$B$27:$D$27,0)),INDEX('Residual Config'!$B$28:$D$30,IF(T98=1,1,IF(T98=4,3,2)),MATCH(D98,'Residual Config'!$B$27:$D$27,0)))))</f>
        <v>46451</v>
      </c>
      <c r="Z98" s="7" t="str">
        <f aca="false">IF(I98="N/A","N/A",IF(N98="","Not tested",IF(W98="Rejected","Evidence rejected",IF(W98&lt;&gt;"Accepted","Evidence pending",IF(Y98&lt;'Residual Config'!$C$4,"Overdue","Current")))))</f>
        <v>Current</v>
      </c>
      <c r="AA98" s="34" t="n">
        <f aca="false">IF(I98="N/A","",IF(Z98&lt;&gt;"Current",4,IF(MAX(M98,T98)=0,4,MAX(M98,T98))))</f>
        <v>2</v>
      </c>
      <c r="AB98" s="7" t="str">
        <f aca="false">IF(AA98="","N/A",IF(Z98&lt;&gt;"Current","Not tested / overdue",INDEX('Residual Config'!$B$11:$B$14,AA98)))</f>
        <v>Largely effective</v>
      </c>
      <c r="AC98" s="36" t="n">
        <f aca="false">IF(AA98="","",INDEX('Residual Config'!$D$11:$D$14,AA98))</f>
        <v>0.4</v>
      </c>
      <c r="AD98" s="7" t="str">
        <f aca="false">IF(OR(I98="N/A",P98="",Q98=""),"",IF(P98&gt;=Q98,"Yes","No"))</f>
        <v>Yes</v>
      </c>
      <c r="AE98" s="8"/>
    </row>
    <row r="99" customFormat="false" ht="15" hidden="false" customHeight="false" outlineLevel="0" collapsed="false">
      <c r="A99" s="12" t="s">
        <v>992</v>
      </c>
      <c r="B99" s="26" t="str">
        <f aca="false">Entities!$A$7</f>
        <v>JO-INV</v>
      </c>
      <c r="C99" s="12" t="str">
        <f aca="false">INDEX(Entities!$B$5:$B$34,MATCH(B99,Entities!$A$5:$A$34,0))</f>
        <v>Al-Arabi Investment Group (AB Invest)</v>
      </c>
      <c r="D99" s="7" t="str">
        <f aca="false">INDEX(Entities!$F$5:$F$34,MATCH(B99,Entities!$A$5:$A$34,0))</f>
        <v>Tier 3</v>
      </c>
      <c r="E99" s="26" t="str">
        <f aca="false">'Control Library'!$A$13</f>
        <v>CTL-SAN-01</v>
      </c>
      <c r="F99" s="12" t="str">
        <f aca="false">INDEX('Control Library'!$B$5:$B$47,MATCH(E99,'Control Library'!$A$5:$A$47,0))</f>
        <v>Real-time payment and transaction sanctions screening</v>
      </c>
      <c r="G99" s="7" t="str">
        <f aca="false">INDEX('Control Library'!$F$5:$F$47,MATCH(E99,'Control Library'!$A$5:$A$47,0))</f>
        <v>Y</v>
      </c>
      <c r="H99" s="12" t="str">
        <f aca="false">INDEX('Control Library'!$E$5:$E$47,MATCH(E99,'Control Library'!$A$5:$A$47,0))</f>
        <v>Continuous</v>
      </c>
      <c r="I99" s="7" t="str">
        <f aca="false">IF(INDEX('Control Library'!$I$5:$I$47,MATCH(E99,'Control Library'!$A$5:$A$47,0))="All","Y",IF(INDEX('Control Library'!$I$5:$I$47,MATCH(E99,'Control Library'!$A$5:$A$47,0))="Banks only",IF(COUNTIF('Residual Config'!$L$28:$L$30,INDEX(Entities!$E$5:$E$34,MATCH(B99,Entities!$A$5:$A$34,0)))&gt;0,"N/A","Y"),IF(INDEX(Entities!$G$5:$G$34,MATCH(B99,Entities!$A$5:$A$34,0))="Y","Y","N/A")))</f>
        <v>Y</v>
      </c>
      <c r="J99" s="8" t="s">
        <v>993</v>
      </c>
      <c r="K99" s="8" t="s">
        <v>975</v>
      </c>
      <c r="L99" s="7" t="str">
        <f aca="false">IF(OR(J99="",K99=""),"",IF(J99=K99,"Breach","OK"))</f>
        <v>OK</v>
      </c>
      <c r="M99" s="24" t="n">
        <v>2</v>
      </c>
      <c r="N99" s="50" t="n">
        <v>46200</v>
      </c>
      <c r="O99" s="8" t="s">
        <v>546</v>
      </c>
      <c r="P99" s="24" t="n">
        <v>1</v>
      </c>
      <c r="Q99" s="31" t="n">
        <f aca="false">IF(I99="N/A","",IFERROR(INDEX('Residual Config'!$B$35:$B$42,MATCH(H99,'Residual Config'!$A$35:$A$42,0)),""))</f>
        <v>1</v>
      </c>
      <c r="R99" s="24" t="n">
        <v>1</v>
      </c>
      <c r="S99" s="8" t="s">
        <v>524</v>
      </c>
      <c r="T99" s="31" t="n">
        <f aca="false">IF(S99="","",MATCH(S99,'Residual Config'!$L$9:$L$12,0))</f>
        <v>3</v>
      </c>
      <c r="U99" s="8" t="s">
        <v>994</v>
      </c>
      <c r="V99" s="24" t="n">
        <v>5</v>
      </c>
      <c r="W99" s="33" t="s">
        <v>535</v>
      </c>
      <c r="X99" s="8" t="s">
        <v>760</v>
      </c>
      <c r="Y99" s="51" t="n">
        <f aca="false">IF(N99="","",EDATE(N99,IF(G99="N",INDEX('Residual Config'!$B$31:$D$31,1,MATCH(D99,'Residual Config'!$B$27:$D$27,0)),INDEX('Residual Config'!$B$28:$D$30,IF(T99=1,1,IF(T99=4,3,2)),MATCH(D99,'Residual Config'!$B$27:$D$27,0)))))</f>
        <v>46383</v>
      </c>
      <c r="Z99" s="7" t="str">
        <f aca="false">IF(I99="N/A","N/A",IF(N99="","Not tested",IF(W99="Rejected","Evidence rejected",IF(W99&lt;&gt;"Accepted","Evidence pending",IF(Y99&lt;'Residual Config'!$C$4,"Overdue","Current")))))</f>
        <v>Evidence rejected</v>
      </c>
      <c r="AA99" s="34" t="n">
        <f aca="false">IF(I99="N/A","",IF(Z99&lt;&gt;"Current",4,IF(MAX(M99,T99)=0,4,MAX(M99,T99))))</f>
        <v>4</v>
      </c>
      <c r="AB99" s="7" t="str">
        <f aca="false">IF(AA99="","N/A",IF(Z99&lt;&gt;"Current","Not tested / overdue",INDEX('Residual Config'!$B$11:$B$14,AA99)))</f>
        <v>Not tested / overdue</v>
      </c>
      <c r="AC99" s="36" t="n">
        <f aca="false">IF(AA99="","",INDEX('Residual Config'!$D$11:$D$14,AA99))</f>
        <v>0</v>
      </c>
      <c r="AD99" s="7" t="str">
        <f aca="false">IF(OR(I99="N/A",P99="",Q99=""),"",IF(P99&gt;=Q99,"Yes","No"))</f>
        <v>Yes</v>
      </c>
      <c r="AE99" s="8"/>
    </row>
    <row r="100" customFormat="false" ht="15" hidden="false" customHeight="false" outlineLevel="0" collapsed="false">
      <c r="A100" s="12" t="s">
        <v>995</v>
      </c>
      <c r="B100" s="26" t="str">
        <f aca="false">Entities!$A$7</f>
        <v>JO-INV</v>
      </c>
      <c r="C100" s="12" t="str">
        <f aca="false">INDEX(Entities!$B$5:$B$34,MATCH(B100,Entities!$A$5:$A$34,0))</f>
        <v>Al-Arabi Investment Group (AB Invest)</v>
      </c>
      <c r="D100" s="7" t="str">
        <f aca="false">INDEX(Entities!$F$5:$F$34,MATCH(B100,Entities!$A$5:$A$34,0))</f>
        <v>Tier 3</v>
      </c>
      <c r="E100" s="26" t="str">
        <f aca="false">'Control Library'!$A$14</f>
        <v>CTL-SAN-02</v>
      </c>
      <c r="F100" s="12" t="str">
        <f aca="false">INDEX('Control Library'!$B$5:$B$47,MATCH(E100,'Control Library'!$A$5:$A$47,0))</f>
        <v>Customer and counterparty screening at onboarding and on list change</v>
      </c>
      <c r="G100" s="7" t="str">
        <f aca="false">INDEX('Control Library'!$F$5:$F$47,MATCH(E100,'Control Library'!$A$5:$A$47,0))</f>
        <v>Y</v>
      </c>
      <c r="H100" s="12" t="str">
        <f aca="false">INDEX('Control Library'!$E$5:$E$47,MATCH(E100,'Control Library'!$A$5:$A$47,0))</f>
        <v>Continuous</v>
      </c>
      <c r="I100" s="7" t="str">
        <f aca="false">IF(INDEX('Control Library'!$I$5:$I$47,MATCH(E100,'Control Library'!$A$5:$A$47,0))="All","Y",IF(INDEX('Control Library'!$I$5:$I$47,MATCH(E100,'Control Library'!$A$5:$A$47,0))="Banks only",IF(COUNTIF('Residual Config'!$L$28:$L$30,INDEX(Entities!$E$5:$E$34,MATCH(B100,Entities!$A$5:$A$34,0)))&gt;0,"N/A","Y"),IF(INDEX(Entities!$G$5:$G$34,MATCH(B100,Entities!$A$5:$A$34,0))="Y","Y","N/A")))</f>
        <v>Y</v>
      </c>
      <c r="J100" s="8" t="s">
        <v>993</v>
      </c>
      <c r="K100" s="8" t="s">
        <v>975</v>
      </c>
      <c r="L100" s="7" t="str">
        <f aca="false">IF(OR(J100="",K100=""),"",IF(J100=K100,"Breach","OK"))</f>
        <v>OK</v>
      </c>
      <c r="M100" s="24" t="n">
        <v>2</v>
      </c>
      <c r="N100" s="50" t="n">
        <v>46161</v>
      </c>
      <c r="O100" s="8" t="s">
        <v>547</v>
      </c>
      <c r="P100" s="24" t="n">
        <v>1</v>
      </c>
      <c r="Q100" s="31" t="n">
        <f aca="false">IF(I100="N/A","",IFERROR(INDEX('Residual Config'!$B$35:$B$42,MATCH(H100,'Residual Config'!$A$35:$A$42,0)),""))</f>
        <v>1</v>
      </c>
      <c r="R100" s="24" t="n">
        <v>1</v>
      </c>
      <c r="S100" s="8" t="s">
        <v>521</v>
      </c>
      <c r="T100" s="31" t="n">
        <f aca="false">IF(S100="","",MATCH(S100,'Residual Config'!$L$9:$L$12,0))</f>
        <v>2</v>
      </c>
      <c r="U100" s="8" t="s">
        <v>996</v>
      </c>
      <c r="V100" s="24" t="n">
        <v>3</v>
      </c>
      <c r="W100" s="33" t="s">
        <v>533</v>
      </c>
      <c r="X100" s="8" t="s">
        <v>760</v>
      </c>
      <c r="Y100" s="51" t="n">
        <f aca="false">IF(N100="","",EDATE(N100,IF(G100="N",INDEX('Residual Config'!$B$31:$D$31,1,MATCH(D100,'Residual Config'!$B$27:$D$27,0)),INDEX('Residual Config'!$B$28:$D$30,IF(T100=1,1,IF(T100=4,3,2)),MATCH(D100,'Residual Config'!$B$27:$D$27,0)))))</f>
        <v>46345</v>
      </c>
      <c r="Z100" s="7" t="str">
        <f aca="false">IF(I100="N/A","N/A",IF(N100="","Not tested",IF(W100="Rejected","Evidence rejected",IF(W100&lt;&gt;"Accepted","Evidence pending",IF(Y100&lt;'Residual Config'!$C$4,"Overdue","Current")))))</f>
        <v>Current</v>
      </c>
      <c r="AA100" s="34" t="n">
        <f aca="false">IF(I100="N/A","",IF(Z100&lt;&gt;"Current",4,IF(MAX(M100,T100)=0,4,MAX(M100,T100))))</f>
        <v>2</v>
      </c>
      <c r="AB100" s="7" t="str">
        <f aca="false">IF(AA100="","N/A",IF(Z100&lt;&gt;"Current","Not tested / overdue",INDEX('Residual Config'!$B$11:$B$14,AA100)))</f>
        <v>Largely effective</v>
      </c>
      <c r="AC100" s="36" t="n">
        <f aca="false">IF(AA100="","",INDEX('Residual Config'!$D$11:$D$14,AA100))</f>
        <v>0.4</v>
      </c>
      <c r="AD100" s="7" t="str">
        <f aca="false">IF(OR(I100="N/A",P100="",Q100=""),"",IF(P100&gt;=Q100,"Yes","No"))</f>
        <v>Yes</v>
      </c>
      <c r="AE100" s="8"/>
    </row>
    <row r="101" customFormat="false" ht="15" hidden="false" customHeight="false" outlineLevel="0" collapsed="false">
      <c r="A101" s="12" t="s">
        <v>997</v>
      </c>
      <c r="B101" s="26" t="str">
        <f aca="false">Entities!$A$7</f>
        <v>JO-INV</v>
      </c>
      <c r="C101" s="12" t="str">
        <f aca="false">INDEX(Entities!$B$5:$B$34,MATCH(B101,Entities!$A$5:$A$34,0))</f>
        <v>Al-Arabi Investment Group (AB Invest)</v>
      </c>
      <c r="D101" s="7" t="str">
        <f aca="false">INDEX(Entities!$F$5:$F$34,MATCH(B101,Entities!$A$5:$A$34,0))</f>
        <v>Tier 3</v>
      </c>
      <c r="E101" s="26" t="str">
        <f aca="false">'Control Library'!$A$15</f>
        <v>CTL-SAN-03</v>
      </c>
      <c r="F101" s="12" t="str">
        <f aca="false">INDEX('Control Library'!$B$5:$B$47,MATCH(E101,'Control Library'!$A$5:$A$47,0))</f>
        <v>Sanctions list updates applied within 24 hours</v>
      </c>
      <c r="G101" s="7" t="str">
        <f aca="false">INDEX('Control Library'!$F$5:$F$47,MATCH(E101,'Control Library'!$A$5:$A$47,0))</f>
        <v>N</v>
      </c>
      <c r="H101" s="12" t="str">
        <f aca="false">INDEX('Control Library'!$E$5:$E$47,MATCH(E101,'Control Library'!$A$5:$A$47,0))</f>
        <v>Daily</v>
      </c>
      <c r="I101" s="7" t="str">
        <f aca="false">IF(INDEX('Control Library'!$I$5:$I$47,MATCH(E101,'Control Library'!$A$5:$A$47,0))="All","Y",IF(INDEX('Control Library'!$I$5:$I$47,MATCH(E101,'Control Library'!$A$5:$A$47,0))="Banks only",IF(COUNTIF('Residual Config'!$L$28:$L$30,INDEX(Entities!$E$5:$E$34,MATCH(B101,Entities!$A$5:$A$34,0)))&gt;0,"N/A","Y"),IF(INDEX(Entities!$G$5:$G$34,MATCH(B101,Entities!$A$5:$A$34,0))="Y","Y","N/A")))</f>
        <v>Y</v>
      </c>
      <c r="J101" s="8" t="s">
        <v>998</v>
      </c>
      <c r="K101" s="8" t="s">
        <v>975</v>
      </c>
      <c r="L101" s="7" t="str">
        <f aca="false">IF(OR(J101="",K101=""),"",IF(J101=K101,"Breach","OK"))</f>
        <v>OK</v>
      </c>
      <c r="M101" s="24" t="n">
        <v>2</v>
      </c>
      <c r="N101" s="50" t="n">
        <v>46038</v>
      </c>
      <c r="O101" s="8" t="s">
        <v>545</v>
      </c>
      <c r="P101" s="24" t="n">
        <v>25</v>
      </c>
      <c r="Q101" s="31" t="n">
        <f aca="false">IF(I101="N/A","",IFERROR(INDEX('Residual Config'!$B$35:$B$42,MATCH(H101,'Residual Config'!$A$35:$A$42,0)),""))</f>
        <v>25</v>
      </c>
      <c r="R101" s="24" t="n">
        <v>0</v>
      </c>
      <c r="S101" s="8" t="s">
        <v>516</v>
      </c>
      <c r="T101" s="31" t="n">
        <f aca="false">IF(S101="","",MATCH(S101,'Residual Config'!$L$9:$L$12,0))</f>
        <v>1</v>
      </c>
      <c r="U101" s="8" t="s">
        <v>999</v>
      </c>
      <c r="V101" s="24" t="n">
        <v>3</v>
      </c>
      <c r="W101" s="33" t="s">
        <v>533</v>
      </c>
      <c r="X101" s="8" t="s">
        <v>760</v>
      </c>
      <c r="Y101" s="51" t="n">
        <f aca="false">IF(N101="","",EDATE(N101,IF(G101="N",INDEX('Residual Config'!$B$31:$D$31,1,MATCH(D101,'Residual Config'!$B$27:$D$27,0)),INDEX('Residual Config'!$B$28:$D$30,IF(T101=1,1,IF(T101=4,3,2)),MATCH(D101,'Residual Config'!$B$27:$D$27,0)))))</f>
        <v>46768</v>
      </c>
      <c r="Z101" s="7" t="str">
        <f aca="false">IF(I101="N/A","N/A",IF(N101="","Not tested",IF(W101="Rejected","Evidence rejected",IF(W101&lt;&gt;"Accepted","Evidence pending",IF(Y101&lt;'Residual Config'!$C$4,"Overdue","Current")))))</f>
        <v>Current</v>
      </c>
      <c r="AA101" s="34" t="n">
        <f aca="false">IF(I101="N/A","",IF(Z101&lt;&gt;"Current",4,IF(MAX(M101,T101)=0,4,MAX(M101,T101))))</f>
        <v>2</v>
      </c>
      <c r="AB101" s="7" t="str">
        <f aca="false">IF(AA101="","N/A",IF(Z101&lt;&gt;"Current","Not tested / overdue",INDEX('Residual Config'!$B$11:$B$14,AA101)))</f>
        <v>Largely effective</v>
      </c>
      <c r="AC101" s="36" t="n">
        <f aca="false">IF(AA101="","",INDEX('Residual Config'!$D$11:$D$14,AA101))</f>
        <v>0.4</v>
      </c>
      <c r="AD101" s="7" t="str">
        <f aca="false">IF(OR(I101="N/A",P101="",Q101=""),"",IF(P101&gt;=Q101,"Yes","No"))</f>
        <v>Yes</v>
      </c>
      <c r="AE101" s="8"/>
    </row>
    <row r="102" customFormat="false" ht="15" hidden="false" customHeight="false" outlineLevel="0" collapsed="false">
      <c r="A102" s="12" t="s">
        <v>1000</v>
      </c>
      <c r="B102" s="26" t="str">
        <f aca="false">Entities!$A$7</f>
        <v>JO-INV</v>
      </c>
      <c r="C102" s="12" t="str">
        <f aca="false">INDEX(Entities!$B$5:$B$34,MATCH(B102,Entities!$A$5:$A$34,0))</f>
        <v>Al-Arabi Investment Group (AB Invest)</v>
      </c>
      <c r="D102" s="7" t="str">
        <f aca="false">INDEX(Entities!$F$5:$F$34,MATCH(B102,Entities!$A$5:$A$34,0))</f>
        <v>Tier 3</v>
      </c>
      <c r="E102" s="26" t="str">
        <f aca="false">'Control Library'!$A$16</f>
        <v>CTL-TF-01</v>
      </c>
      <c r="F102" s="12" t="str">
        <f aca="false">INDEX('Control Library'!$B$5:$B$47,MATCH(E102,'Control Library'!$A$5:$A$47,0))</f>
        <v>NPO and charity enhanced due diligence</v>
      </c>
      <c r="G102" s="7" t="str">
        <f aca="false">INDEX('Control Library'!$F$5:$F$47,MATCH(E102,'Control Library'!$A$5:$A$47,0))</f>
        <v>N</v>
      </c>
      <c r="H102" s="12" t="str">
        <f aca="false">INDEX('Control Library'!$E$5:$E$47,MATCH(E102,'Control Library'!$A$5:$A$47,0))</f>
        <v>Event-driven</v>
      </c>
      <c r="I102" s="7" t="str">
        <f aca="false">IF(INDEX('Control Library'!$I$5:$I$47,MATCH(E102,'Control Library'!$A$5:$A$47,0))="All","Y",IF(INDEX('Control Library'!$I$5:$I$47,MATCH(E102,'Control Library'!$A$5:$A$47,0))="Banks only",IF(COUNTIF('Residual Config'!$L$28:$L$30,INDEX(Entities!$E$5:$E$34,MATCH(B102,Entities!$A$5:$A$34,0)))&gt;0,"N/A","Y"),IF(INDEX(Entities!$G$5:$G$34,MATCH(B102,Entities!$A$5:$A$34,0))="Y","Y","N/A")))</f>
        <v>Y</v>
      </c>
      <c r="J102" s="8" t="s">
        <v>1001</v>
      </c>
      <c r="K102" s="8" t="s">
        <v>975</v>
      </c>
      <c r="L102" s="7" t="str">
        <f aca="false">IF(OR(J102="",K102=""),"",IF(J102=K102,"Breach","OK"))</f>
        <v>OK</v>
      </c>
      <c r="M102" s="24" t="n">
        <v>2</v>
      </c>
      <c r="N102" s="50" t="n">
        <v>46045</v>
      </c>
      <c r="O102" s="8" t="s">
        <v>546</v>
      </c>
      <c r="P102" s="24" t="n">
        <v>35</v>
      </c>
      <c r="Q102" s="31" t="n">
        <f aca="false">IF(I102="N/A","",IFERROR(INDEX('Residual Config'!$B$35:$B$42,MATCH(H102,'Residual Config'!$A$35:$A$42,0)),""))</f>
        <v>25</v>
      </c>
      <c r="R102" s="24" t="n">
        <v>1</v>
      </c>
      <c r="S102" s="8" t="s">
        <v>521</v>
      </c>
      <c r="T102" s="31" t="n">
        <f aca="false">IF(S102="","",MATCH(S102,'Residual Config'!$L$9:$L$12,0))</f>
        <v>2</v>
      </c>
      <c r="U102" s="8" t="s">
        <v>1002</v>
      </c>
      <c r="V102" s="24" t="n">
        <v>5</v>
      </c>
      <c r="W102" s="33" t="s">
        <v>533</v>
      </c>
      <c r="X102" s="8" t="s">
        <v>754</v>
      </c>
      <c r="Y102" s="51" t="n">
        <f aca="false">IF(N102="","",EDATE(N102,IF(G102="N",INDEX('Residual Config'!$B$31:$D$31,1,MATCH(D102,'Residual Config'!$B$27:$D$27,0)),INDEX('Residual Config'!$B$28:$D$30,IF(T102=1,1,IF(T102=4,3,2)),MATCH(D102,'Residual Config'!$B$27:$D$27,0)))))</f>
        <v>46775</v>
      </c>
      <c r="Z102" s="7" t="str">
        <f aca="false">IF(I102="N/A","N/A",IF(N102="","Not tested",IF(W102="Rejected","Evidence rejected",IF(W102&lt;&gt;"Accepted","Evidence pending",IF(Y102&lt;'Residual Config'!$C$4,"Overdue","Current")))))</f>
        <v>Current</v>
      </c>
      <c r="AA102" s="34" t="n">
        <f aca="false">IF(I102="N/A","",IF(Z102&lt;&gt;"Current",4,IF(MAX(M102,T102)=0,4,MAX(M102,T102))))</f>
        <v>2</v>
      </c>
      <c r="AB102" s="7" t="str">
        <f aca="false">IF(AA102="","N/A",IF(Z102&lt;&gt;"Current","Not tested / overdue",INDEX('Residual Config'!$B$11:$B$14,AA102)))</f>
        <v>Largely effective</v>
      </c>
      <c r="AC102" s="36" t="n">
        <f aca="false">IF(AA102="","",INDEX('Residual Config'!$D$11:$D$14,AA102))</f>
        <v>0.4</v>
      </c>
      <c r="AD102" s="7" t="str">
        <f aca="false">IF(OR(I102="N/A",P102="",Q102=""),"",IF(P102&gt;=Q102,"Yes","No"))</f>
        <v>Yes</v>
      </c>
      <c r="AE102" s="8"/>
    </row>
    <row r="103" customFormat="false" ht="15" hidden="false" customHeight="false" outlineLevel="0" collapsed="false">
      <c r="A103" s="12" t="s">
        <v>1003</v>
      </c>
      <c r="B103" s="26" t="str">
        <f aca="false">Entities!$A$7</f>
        <v>JO-INV</v>
      </c>
      <c r="C103" s="12" t="str">
        <f aca="false">INDEX(Entities!$B$5:$B$34,MATCH(B103,Entities!$A$5:$A$34,0))</f>
        <v>Al-Arabi Investment Group (AB Invest)</v>
      </c>
      <c r="D103" s="7" t="str">
        <f aca="false">INDEX(Entities!$F$5:$F$34,MATCH(B103,Entities!$A$5:$A$34,0))</f>
        <v>Tier 3</v>
      </c>
      <c r="E103" s="26" t="str">
        <f aca="false">'Control Library'!$A$17</f>
        <v>CTL-TBML-01</v>
      </c>
      <c r="F103" s="12" t="str">
        <f aca="false">INDEX('Control Library'!$B$5:$B$47,MATCH(E103,'Control Library'!$A$5:$A$47,0))</f>
        <v>Trade-based ML red-flag review and pricing checks</v>
      </c>
      <c r="G103" s="7" t="str">
        <f aca="false">INDEX('Control Library'!$F$5:$F$47,MATCH(E103,'Control Library'!$A$5:$A$47,0))</f>
        <v>Y</v>
      </c>
      <c r="H103" s="12" t="str">
        <f aca="false">INDEX('Control Library'!$E$5:$E$47,MATCH(E103,'Control Library'!$A$5:$A$47,0))</f>
        <v>Event-driven</v>
      </c>
      <c r="I103" s="7" t="str">
        <f aca="false">IF(INDEX('Control Library'!$I$5:$I$47,MATCH(E103,'Control Library'!$A$5:$A$47,0))="All","Y",IF(INDEX('Control Library'!$I$5:$I$47,MATCH(E103,'Control Library'!$A$5:$A$47,0))="Banks only",IF(COUNTIF('Residual Config'!$L$28:$L$30,INDEX(Entities!$E$5:$E$34,MATCH(B103,Entities!$A$5:$A$34,0)))&gt;0,"N/A","Y"),IF(INDEX(Entities!$G$5:$G$34,MATCH(B103,Entities!$A$5:$A$34,0))="Y","Y","N/A")))</f>
        <v>N/A</v>
      </c>
      <c r="J103" s="8"/>
      <c r="K103" s="8"/>
      <c r="L103" s="7" t="str">
        <f aca="false">IF(OR(J103="",K103=""),"",IF(J103=K103,"Breach","OK"))</f>
        <v/>
      </c>
      <c r="M103" s="24"/>
      <c r="N103" s="50"/>
      <c r="O103" s="8"/>
      <c r="P103" s="24"/>
      <c r="Q103" s="31" t="str">
        <f aca="false">IF(I103="N/A","",IFERROR(INDEX('Residual Config'!$B$35:$B$42,MATCH(H103,'Residual Config'!$A$35:$A$42,0)),""))</f>
        <v/>
      </c>
      <c r="R103" s="24"/>
      <c r="S103" s="8"/>
      <c r="T103" s="31" t="str">
        <f aca="false">IF(S103="","",MATCH(S103,'Residual Config'!$L$9:$L$12,0))</f>
        <v/>
      </c>
      <c r="U103" s="8"/>
      <c r="V103" s="24"/>
      <c r="W103" s="33"/>
      <c r="X103" s="8"/>
      <c r="Y103" s="51" t="str">
        <f aca="false">IF(N103="","",EDATE(N103,IF(G103="N",INDEX('Residual Config'!$B$31:$D$31,1,MATCH(D103,'Residual Config'!$B$27:$D$27,0)),INDEX('Residual Config'!$B$28:$D$30,IF(T103=1,1,IF(T103=4,3,2)),MATCH(D103,'Residual Config'!$B$27:$D$27,0)))))</f>
        <v/>
      </c>
      <c r="Z103" s="7" t="str">
        <f aca="false">IF(I103="N/A","N/A",IF(N103="","Not tested",IF(W103="Rejected","Evidence rejected",IF(W103&lt;&gt;"Accepted","Evidence pending",IF(Y103&lt;'Residual Config'!$C$4,"Overdue","Current")))))</f>
        <v>N/A</v>
      </c>
      <c r="AA103" s="34" t="str">
        <f aca="false">IF(I103="N/A","",IF(Z103&lt;&gt;"Current",4,IF(MAX(M103,T103)=0,4,MAX(M103,T103))))</f>
        <v/>
      </c>
      <c r="AB103" s="7" t="str">
        <f aca="false">IF(AA103="","N/A",IF(Z103&lt;&gt;"Current","Not tested / overdue",INDEX('Residual Config'!$B$11:$B$14,AA103)))</f>
        <v>N/A</v>
      </c>
      <c r="AC103" s="36" t="str">
        <f aca="false">IF(AA103="","",INDEX('Residual Config'!$D$11:$D$14,AA103))</f>
        <v/>
      </c>
      <c r="AD103" s="7" t="str">
        <f aca="false">IF(OR(I103="N/A",P103="",Q103=""),"",IF(P103&gt;=Q103,"Yes","No"))</f>
        <v/>
      </c>
      <c r="AE103" s="8"/>
    </row>
    <row r="104" customFormat="false" ht="15" hidden="false" customHeight="false" outlineLevel="0" collapsed="false">
      <c r="A104" s="12" t="s">
        <v>1004</v>
      </c>
      <c r="B104" s="26" t="str">
        <f aca="false">Entities!$A$7</f>
        <v>JO-INV</v>
      </c>
      <c r="C104" s="12" t="str">
        <f aca="false">INDEX(Entities!$B$5:$B$34,MATCH(B104,Entities!$A$5:$A$34,0))</f>
        <v>Al-Arabi Investment Group (AB Invest)</v>
      </c>
      <c r="D104" s="7" t="str">
        <f aca="false">INDEX(Entities!$F$5:$F$34,MATCH(B104,Entities!$A$5:$A$34,0))</f>
        <v>Tier 3</v>
      </c>
      <c r="E104" s="26" t="str">
        <f aca="false">'Control Library'!$A$18</f>
        <v>CTL-PF-01</v>
      </c>
      <c r="F104" s="12" t="str">
        <f aca="false">INDEX('Control Library'!$B$5:$B$47,MATCH(E104,'Control Library'!$A$5:$A$47,0))</f>
        <v>Dual-use goods, vessel and port screening</v>
      </c>
      <c r="G104" s="7" t="str">
        <f aca="false">INDEX('Control Library'!$F$5:$F$47,MATCH(E104,'Control Library'!$A$5:$A$47,0))</f>
        <v>Y</v>
      </c>
      <c r="H104" s="12" t="str">
        <f aca="false">INDEX('Control Library'!$E$5:$E$47,MATCH(E104,'Control Library'!$A$5:$A$47,0))</f>
        <v>Event-driven</v>
      </c>
      <c r="I104" s="7" t="str">
        <f aca="false">IF(INDEX('Control Library'!$I$5:$I$47,MATCH(E104,'Control Library'!$A$5:$A$47,0))="All","Y",IF(INDEX('Control Library'!$I$5:$I$47,MATCH(E104,'Control Library'!$A$5:$A$47,0))="Banks only",IF(COUNTIF('Residual Config'!$L$28:$L$30,INDEX(Entities!$E$5:$E$34,MATCH(B104,Entities!$A$5:$A$34,0)))&gt;0,"N/A","Y"),IF(INDEX(Entities!$G$5:$G$34,MATCH(B104,Entities!$A$5:$A$34,0))="Y","Y","N/A")))</f>
        <v>N/A</v>
      </c>
      <c r="J104" s="8"/>
      <c r="K104" s="8"/>
      <c r="L104" s="7" t="str">
        <f aca="false">IF(OR(J104="",K104=""),"",IF(J104=K104,"Breach","OK"))</f>
        <v/>
      </c>
      <c r="M104" s="24"/>
      <c r="N104" s="50"/>
      <c r="O104" s="8"/>
      <c r="P104" s="24"/>
      <c r="Q104" s="31" t="str">
        <f aca="false">IF(I104="N/A","",IFERROR(INDEX('Residual Config'!$B$35:$B$42,MATCH(H104,'Residual Config'!$A$35:$A$42,0)),""))</f>
        <v/>
      </c>
      <c r="R104" s="24"/>
      <c r="S104" s="8"/>
      <c r="T104" s="31" t="str">
        <f aca="false">IF(S104="","",MATCH(S104,'Residual Config'!$L$9:$L$12,0))</f>
        <v/>
      </c>
      <c r="U104" s="8"/>
      <c r="V104" s="24"/>
      <c r="W104" s="33"/>
      <c r="X104" s="8"/>
      <c r="Y104" s="51" t="str">
        <f aca="false">IF(N104="","",EDATE(N104,IF(G104="N",INDEX('Residual Config'!$B$31:$D$31,1,MATCH(D104,'Residual Config'!$B$27:$D$27,0)),INDEX('Residual Config'!$B$28:$D$30,IF(T104=1,1,IF(T104=4,3,2)),MATCH(D104,'Residual Config'!$B$27:$D$27,0)))))</f>
        <v/>
      </c>
      <c r="Z104" s="7" t="str">
        <f aca="false">IF(I104="N/A","N/A",IF(N104="","Not tested",IF(W104="Rejected","Evidence rejected",IF(W104&lt;&gt;"Accepted","Evidence pending",IF(Y104&lt;'Residual Config'!$C$4,"Overdue","Current")))))</f>
        <v>N/A</v>
      </c>
      <c r="AA104" s="34" t="str">
        <f aca="false">IF(I104="N/A","",IF(Z104&lt;&gt;"Current",4,IF(MAX(M104,T104)=0,4,MAX(M104,T104))))</f>
        <v/>
      </c>
      <c r="AB104" s="7" t="str">
        <f aca="false">IF(AA104="","N/A",IF(Z104&lt;&gt;"Current","Not tested / overdue",INDEX('Residual Config'!$B$11:$B$14,AA104)))</f>
        <v>N/A</v>
      </c>
      <c r="AC104" s="36" t="str">
        <f aca="false">IF(AA104="","",INDEX('Residual Config'!$D$11:$D$14,AA104))</f>
        <v/>
      </c>
      <c r="AD104" s="7" t="str">
        <f aca="false">IF(OR(I104="N/A",P104="",Q104=""),"",IF(P104&gt;=Q104,"Yes","No"))</f>
        <v/>
      </c>
      <c r="AE104" s="8"/>
    </row>
    <row r="105" customFormat="false" ht="15" hidden="false" customHeight="false" outlineLevel="0" collapsed="false">
      <c r="A105" s="12" t="s">
        <v>1005</v>
      </c>
      <c r="B105" s="26" t="str">
        <f aca="false">Entities!$A$7</f>
        <v>JO-INV</v>
      </c>
      <c r="C105" s="12" t="str">
        <f aca="false">INDEX(Entities!$B$5:$B$34,MATCH(B105,Entities!$A$5:$A$34,0))</f>
        <v>Al-Arabi Investment Group (AB Invest)</v>
      </c>
      <c r="D105" s="7" t="str">
        <f aca="false">INDEX(Entities!$F$5:$F$34,MATCH(B105,Entities!$A$5:$A$34,0))</f>
        <v>Tier 3</v>
      </c>
      <c r="E105" s="26" t="str">
        <f aca="false">'Control Library'!$A$19</f>
        <v>CTL-CB-01</v>
      </c>
      <c r="F105" s="12" t="str">
        <f aca="false">INDEX('Control Library'!$B$5:$B$47,MATCH(E105,'Control Library'!$A$5:$A$47,0))</f>
        <v>Correspondent bank due diligence (CBDDQ) and nesting detection</v>
      </c>
      <c r="G105" s="7" t="str">
        <f aca="false">INDEX('Control Library'!$F$5:$F$47,MATCH(E105,'Control Library'!$A$5:$A$47,0))</f>
        <v>Y</v>
      </c>
      <c r="H105" s="12" t="str">
        <f aca="false">INDEX('Control Library'!$E$5:$E$47,MATCH(E105,'Control Library'!$A$5:$A$47,0))</f>
        <v>Annual</v>
      </c>
      <c r="I105" s="7" t="str">
        <f aca="false">IF(INDEX('Control Library'!$I$5:$I$47,MATCH(E105,'Control Library'!$A$5:$A$47,0))="All","Y",IF(INDEX('Control Library'!$I$5:$I$47,MATCH(E105,'Control Library'!$A$5:$A$47,0))="Banks only",IF(COUNTIF('Residual Config'!$L$28:$L$30,INDEX(Entities!$E$5:$E$34,MATCH(B105,Entities!$A$5:$A$34,0)))&gt;0,"N/A","Y"),IF(INDEX(Entities!$G$5:$G$34,MATCH(B105,Entities!$A$5:$A$34,0))="Y","Y","N/A")))</f>
        <v>N/A</v>
      </c>
      <c r="J105" s="8"/>
      <c r="K105" s="8"/>
      <c r="L105" s="7" t="str">
        <f aca="false">IF(OR(J105="",K105=""),"",IF(J105=K105,"Breach","OK"))</f>
        <v/>
      </c>
      <c r="M105" s="24"/>
      <c r="N105" s="50"/>
      <c r="O105" s="8"/>
      <c r="P105" s="24"/>
      <c r="Q105" s="31" t="str">
        <f aca="false">IF(I105="N/A","",IFERROR(INDEX('Residual Config'!$B$35:$B$42,MATCH(H105,'Residual Config'!$A$35:$A$42,0)),""))</f>
        <v/>
      </c>
      <c r="R105" s="24"/>
      <c r="S105" s="8"/>
      <c r="T105" s="31" t="str">
        <f aca="false">IF(S105="","",MATCH(S105,'Residual Config'!$L$9:$L$12,0))</f>
        <v/>
      </c>
      <c r="U105" s="8"/>
      <c r="V105" s="24"/>
      <c r="W105" s="33"/>
      <c r="X105" s="8"/>
      <c r="Y105" s="51" t="str">
        <f aca="false">IF(N105="","",EDATE(N105,IF(G105="N",INDEX('Residual Config'!$B$31:$D$31,1,MATCH(D105,'Residual Config'!$B$27:$D$27,0)),INDEX('Residual Config'!$B$28:$D$30,IF(T105=1,1,IF(T105=4,3,2)),MATCH(D105,'Residual Config'!$B$27:$D$27,0)))))</f>
        <v/>
      </c>
      <c r="Z105" s="7" t="str">
        <f aca="false">IF(I105="N/A","N/A",IF(N105="","Not tested",IF(W105="Rejected","Evidence rejected",IF(W105&lt;&gt;"Accepted","Evidence pending",IF(Y105&lt;'Residual Config'!$C$4,"Overdue","Current")))))</f>
        <v>N/A</v>
      </c>
      <c r="AA105" s="34" t="str">
        <f aca="false">IF(I105="N/A","",IF(Z105&lt;&gt;"Current",4,IF(MAX(M105,T105)=0,4,MAX(M105,T105))))</f>
        <v/>
      </c>
      <c r="AB105" s="7" t="str">
        <f aca="false">IF(AA105="","N/A",IF(Z105&lt;&gt;"Current","Not tested / overdue",INDEX('Residual Config'!$B$11:$B$14,AA105)))</f>
        <v>N/A</v>
      </c>
      <c r="AC105" s="36" t="str">
        <f aca="false">IF(AA105="","",INDEX('Residual Config'!$D$11:$D$14,AA105))</f>
        <v/>
      </c>
      <c r="AD105" s="7" t="str">
        <f aca="false">IF(OR(I105="N/A",P105="",Q105=""),"",IF(P105&gt;=Q105,"Yes","No"))</f>
        <v/>
      </c>
      <c r="AE105" s="8"/>
    </row>
    <row r="106" customFormat="false" ht="15" hidden="false" customHeight="false" outlineLevel="0" collapsed="false">
      <c r="A106" s="12" t="s">
        <v>1006</v>
      </c>
      <c r="B106" s="26" t="str">
        <f aca="false">Entities!$A$7</f>
        <v>JO-INV</v>
      </c>
      <c r="C106" s="12" t="str">
        <f aca="false">INDEX(Entities!$B$5:$B$34,MATCH(B106,Entities!$A$5:$A$34,0))</f>
        <v>Al-Arabi Investment Group (AB Invest)</v>
      </c>
      <c r="D106" s="7" t="str">
        <f aca="false">INDEX(Entities!$F$5:$F$34,MATCH(B106,Entities!$A$5:$A$34,0))</f>
        <v>Tier 3</v>
      </c>
      <c r="E106" s="26" t="str">
        <f aca="false">'Control Library'!$A$20</f>
        <v>CTL-PAY-01</v>
      </c>
      <c r="F106" s="12" t="str">
        <f aca="false">INDEX('Control Library'!$B$5:$B$47,MATCH(E106,'Control Library'!$A$5:$A$47,0))</f>
        <v>Payment transparency checks (FATF R.16)</v>
      </c>
      <c r="G106" s="7" t="str">
        <f aca="false">INDEX('Control Library'!$F$5:$F$47,MATCH(E106,'Control Library'!$A$5:$A$47,0))</f>
        <v>N</v>
      </c>
      <c r="H106" s="12" t="str">
        <f aca="false">INDEX('Control Library'!$E$5:$E$47,MATCH(E106,'Control Library'!$A$5:$A$47,0))</f>
        <v>Continuous</v>
      </c>
      <c r="I106" s="7" t="str">
        <f aca="false">IF(INDEX('Control Library'!$I$5:$I$47,MATCH(E106,'Control Library'!$A$5:$A$47,0))="All","Y",IF(INDEX('Control Library'!$I$5:$I$47,MATCH(E106,'Control Library'!$A$5:$A$47,0))="Banks only",IF(COUNTIF('Residual Config'!$L$28:$L$30,INDEX(Entities!$E$5:$E$34,MATCH(B106,Entities!$A$5:$A$34,0)))&gt;0,"N/A","Y"),IF(INDEX(Entities!$G$5:$G$34,MATCH(B106,Entities!$A$5:$A$34,0))="Y","Y","N/A")))</f>
        <v>N/A</v>
      </c>
      <c r="J106" s="8"/>
      <c r="K106" s="8"/>
      <c r="L106" s="7" t="str">
        <f aca="false">IF(OR(J106="",K106=""),"",IF(J106=K106,"Breach","OK"))</f>
        <v/>
      </c>
      <c r="M106" s="24"/>
      <c r="N106" s="50"/>
      <c r="O106" s="8"/>
      <c r="P106" s="24"/>
      <c r="Q106" s="31" t="str">
        <f aca="false">IF(I106="N/A","",IFERROR(INDEX('Residual Config'!$B$35:$B$42,MATCH(H106,'Residual Config'!$A$35:$A$42,0)),""))</f>
        <v/>
      </c>
      <c r="R106" s="24"/>
      <c r="S106" s="8"/>
      <c r="T106" s="31" t="str">
        <f aca="false">IF(S106="","",MATCH(S106,'Residual Config'!$L$9:$L$12,0))</f>
        <v/>
      </c>
      <c r="U106" s="8"/>
      <c r="V106" s="24"/>
      <c r="W106" s="33"/>
      <c r="X106" s="8"/>
      <c r="Y106" s="51" t="str">
        <f aca="false">IF(N106="","",EDATE(N106,IF(G106="N",INDEX('Residual Config'!$B$31:$D$31,1,MATCH(D106,'Residual Config'!$B$27:$D$27,0)),INDEX('Residual Config'!$B$28:$D$30,IF(T106=1,1,IF(T106=4,3,2)),MATCH(D106,'Residual Config'!$B$27:$D$27,0)))))</f>
        <v/>
      </c>
      <c r="Z106" s="7" t="str">
        <f aca="false">IF(I106="N/A","N/A",IF(N106="","Not tested",IF(W106="Rejected","Evidence rejected",IF(W106&lt;&gt;"Accepted","Evidence pending",IF(Y106&lt;'Residual Config'!$C$4,"Overdue","Current")))))</f>
        <v>N/A</v>
      </c>
      <c r="AA106" s="34" t="str">
        <f aca="false">IF(I106="N/A","",IF(Z106&lt;&gt;"Current",4,IF(MAX(M106,T106)=0,4,MAX(M106,T106))))</f>
        <v/>
      </c>
      <c r="AB106" s="7" t="str">
        <f aca="false">IF(AA106="","N/A",IF(Z106&lt;&gt;"Current","Not tested / overdue",INDEX('Residual Config'!$B$11:$B$14,AA106)))</f>
        <v>N/A</v>
      </c>
      <c r="AC106" s="36" t="str">
        <f aca="false">IF(AA106="","",INDEX('Residual Config'!$D$11:$D$14,AA106))</f>
        <v/>
      </c>
      <c r="AD106" s="7" t="str">
        <f aca="false">IF(OR(I106="N/A",P106="",Q106=""),"",IF(P106&gt;=Q106,"Yes","No"))</f>
        <v/>
      </c>
      <c r="AE106" s="8"/>
    </row>
    <row r="107" customFormat="false" ht="15" hidden="false" customHeight="false" outlineLevel="0" collapsed="false">
      <c r="A107" s="12" t="s">
        <v>1007</v>
      </c>
      <c r="B107" s="26" t="str">
        <f aca="false">Entities!$A$7</f>
        <v>JO-INV</v>
      </c>
      <c r="C107" s="12" t="str">
        <f aca="false">INDEX(Entities!$B$5:$B$34,MATCH(B107,Entities!$A$5:$A$34,0))</f>
        <v>Al-Arabi Investment Group (AB Invest)</v>
      </c>
      <c r="D107" s="7" t="str">
        <f aca="false">INDEX(Entities!$F$5:$F$34,MATCH(B107,Entities!$A$5:$A$34,0))</f>
        <v>Tier 3</v>
      </c>
      <c r="E107" s="26" t="str">
        <f aca="false">'Control Library'!$A$21</f>
        <v>CTL-ABC-01</v>
      </c>
      <c r="F107" s="12" t="str">
        <f aca="false">INDEX('Control Library'!$B$5:$B$47,MATCH(E107,'Control Library'!$A$5:$A$47,0))</f>
        <v>Third-party and intermediary anti-bribery due diligence</v>
      </c>
      <c r="G107" s="7" t="str">
        <f aca="false">INDEX('Control Library'!$F$5:$F$47,MATCH(E107,'Control Library'!$A$5:$A$47,0))</f>
        <v>Y</v>
      </c>
      <c r="H107" s="12" t="str">
        <f aca="false">INDEX('Control Library'!$E$5:$E$47,MATCH(E107,'Control Library'!$A$5:$A$47,0))</f>
        <v>Event-driven</v>
      </c>
      <c r="I107" s="7" t="str">
        <f aca="false">IF(INDEX('Control Library'!$I$5:$I$47,MATCH(E107,'Control Library'!$A$5:$A$47,0))="All","Y",IF(INDEX('Control Library'!$I$5:$I$47,MATCH(E107,'Control Library'!$A$5:$A$47,0))="Banks only",IF(COUNTIF('Residual Config'!$L$28:$L$30,INDEX(Entities!$E$5:$E$34,MATCH(B107,Entities!$A$5:$A$34,0)))&gt;0,"N/A","Y"),IF(INDEX(Entities!$G$5:$G$34,MATCH(B107,Entities!$A$5:$A$34,0))="Y","Y","N/A")))</f>
        <v>Y</v>
      </c>
      <c r="J107" s="8" t="s">
        <v>1008</v>
      </c>
      <c r="K107" s="8" t="s">
        <v>975</v>
      </c>
      <c r="L107" s="7" t="str">
        <f aca="false">IF(OR(J107="",K107=""),"",IF(J107=K107,"Breach","OK"))</f>
        <v>OK</v>
      </c>
      <c r="M107" s="24" t="n">
        <v>2</v>
      </c>
      <c r="N107" s="50" t="n">
        <v>46200</v>
      </c>
      <c r="O107" s="8" t="s">
        <v>546</v>
      </c>
      <c r="P107" s="24" t="n">
        <v>25</v>
      </c>
      <c r="Q107" s="31" t="n">
        <f aca="false">IF(I107="N/A","",IFERROR(INDEX('Residual Config'!$B$35:$B$42,MATCH(H107,'Residual Config'!$A$35:$A$42,0)),""))</f>
        <v>25</v>
      </c>
      <c r="R107" s="24" t="n">
        <v>0</v>
      </c>
      <c r="S107" s="8" t="s">
        <v>516</v>
      </c>
      <c r="T107" s="31" t="n">
        <f aca="false">IF(S107="","",MATCH(S107,'Residual Config'!$L$9:$L$12,0))</f>
        <v>1</v>
      </c>
      <c r="U107" s="8" t="s">
        <v>1009</v>
      </c>
      <c r="V107" s="24" t="n">
        <v>3</v>
      </c>
      <c r="W107" s="33" t="s">
        <v>533</v>
      </c>
      <c r="X107" s="8" t="s">
        <v>760</v>
      </c>
      <c r="Y107" s="51" t="n">
        <f aca="false">IF(N107="","",EDATE(N107,IF(G107="N",INDEX('Residual Config'!$B$31:$D$31,1,MATCH(D107,'Residual Config'!$B$27:$D$27,0)),INDEX('Residual Config'!$B$28:$D$30,IF(T107=1,1,IF(T107=4,3,2)),MATCH(D107,'Residual Config'!$B$27:$D$27,0)))))</f>
        <v>46565</v>
      </c>
      <c r="Z107" s="7" t="str">
        <f aca="false">IF(I107="N/A","N/A",IF(N107="","Not tested",IF(W107="Rejected","Evidence rejected",IF(W107&lt;&gt;"Accepted","Evidence pending",IF(Y107&lt;'Residual Config'!$C$4,"Overdue","Current")))))</f>
        <v>Current</v>
      </c>
      <c r="AA107" s="34" t="n">
        <f aca="false">IF(I107="N/A","",IF(Z107&lt;&gt;"Current",4,IF(MAX(M107,T107)=0,4,MAX(M107,T107))))</f>
        <v>2</v>
      </c>
      <c r="AB107" s="7" t="str">
        <f aca="false">IF(AA107="","N/A",IF(Z107&lt;&gt;"Current","Not tested / overdue",INDEX('Residual Config'!$B$11:$B$14,AA107)))</f>
        <v>Largely effective</v>
      </c>
      <c r="AC107" s="36" t="n">
        <f aca="false">IF(AA107="","",INDEX('Residual Config'!$D$11:$D$14,AA107))</f>
        <v>0.4</v>
      </c>
      <c r="AD107" s="7" t="str">
        <f aca="false">IF(OR(I107="N/A",P107="",Q107=""),"",IF(P107&gt;=Q107,"Yes","No"))</f>
        <v>Yes</v>
      </c>
      <c r="AE107" s="8"/>
    </row>
    <row r="108" customFormat="false" ht="15" hidden="false" customHeight="false" outlineLevel="0" collapsed="false">
      <c r="A108" s="12" t="s">
        <v>1010</v>
      </c>
      <c r="B108" s="26" t="str">
        <f aca="false">Entities!$A$7</f>
        <v>JO-INV</v>
      </c>
      <c r="C108" s="12" t="str">
        <f aca="false">INDEX(Entities!$B$5:$B$34,MATCH(B108,Entities!$A$5:$A$34,0))</f>
        <v>Al-Arabi Investment Group (AB Invest)</v>
      </c>
      <c r="D108" s="7" t="str">
        <f aca="false">INDEX(Entities!$F$5:$F$34,MATCH(B108,Entities!$A$5:$A$34,0))</f>
        <v>Tier 3</v>
      </c>
      <c r="E108" s="26" t="str">
        <f aca="false">'Control Library'!$A$22</f>
        <v>CTL-ABC-02</v>
      </c>
      <c r="F108" s="12" t="str">
        <f aca="false">INDEX('Control Library'!$B$5:$B$47,MATCH(E108,'Control Library'!$A$5:$A$47,0))</f>
        <v>Gifts, hospitality and donations register with pre-approval</v>
      </c>
      <c r="G108" s="7" t="str">
        <f aca="false">INDEX('Control Library'!$F$5:$F$47,MATCH(E108,'Control Library'!$A$5:$A$47,0))</f>
        <v>N</v>
      </c>
      <c r="H108" s="12" t="str">
        <f aca="false">INDEX('Control Library'!$E$5:$E$47,MATCH(E108,'Control Library'!$A$5:$A$47,0))</f>
        <v>Event-driven</v>
      </c>
      <c r="I108" s="7" t="str">
        <f aca="false">IF(INDEX('Control Library'!$I$5:$I$47,MATCH(E108,'Control Library'!$A$5:$A$47,0))="All","Y",IF(INDEX('Control Library'!$I$5:$I$47,MATCH(E108,'Control Library'!$A$5:$A$47,0))="Banks only",IF(COUNTIF('Residual Config'!$L$28:$L$30,INDEX(Entities!$E$5:$E$34,MATCH(B108,Entities!$A$5:$A$34,0)))&gt;0,"N/A","Y"),IF(INDEX(Entities!$G$5:$G$34,MATCH(B108,Entities!$A$5:$A$34,0))="Y","Y","N/A")))</f>
        <v>Y</v>
      </c>
      <c r="J108" s="8" t="s">
        <v>978</v>
      </c>
      <c r="K108" s="8" t="s">
        <v>975</v>
      </c>
      <c r="L108" s="7" t="str">
        <f aca="false">IF(OR(J108="",K108=""),"",IF(J108=K108,"Breach","OK"))</f>
        <v>OK</v>
      </c>
      <c r="M108" s="24" t="n">
        <v>2</v>
      </c>
      <c r="N108" s="50" t="n">
        <v>45952</v>
      </c>
      <c r="O108" s="8" t="s">
        <v>545</v>
      </c>
      <c r="P108" s="24" t="n">
        <v>25</v>
      </c>
      <c r="Q108" s="31" t="n">
        <f aca="false">IF(I108="N/A","",IFERROR(INDEX('Residual Config'!$B$35:$B$42,MATCH(H108,'Residual Config'!$A$35:$A$42,0)),""))</f>
        <v>25</v>
      </c>
      <c r="R108" s="24" t="n">
        <v>0</v>
      </c>
      <c r="S108" s="8" t="s">
        <v>516</v>
      </c>
      <c r="T108" s="31" t="n">
        <f aca="false">IF(S108="","",MATCH(S108,'Residual Config'!$L$9:$L$12,0))</f>
        <v>1</v>
      </c>
      <c r="U108" s="8" t="s">
        <v>1011</v>
      </c>
      <c r="V108" s="24" t="n">
        <v>5</v>
      </c>
      <c r="W108" s="33" t="s">
        <v>533</v>
      </c>
      <c r="X108" s="8" t="s">
        <v>760</v>
      </c>
      <c r="Y108" s="51" t="n">
        <f aca="false">IF(N108="","",EDATE(N108,IF(G108="N",INDEX('Residual Config'!$B$31:$D$31,1,MATCH(D108,'Residual Config'!$B$27:$D$27,0)),INDEX('Residual Config'!$B$28:$D$30,IF(T108=1,1,IF(T108=4,3,2)),MATCH(D108,'Residual Config'!$B$27:$D$27,0)))))</f>
        <v>46682</v>
      </c>
      <c r="Z108" s="7" t="str">
        <f aca="false">IF(I108="N/A","N/A",IF(N108="","Not tested",IF(W108="Rejected","Evidence rejected",IF(W108&lt;&gt;"Accepted","Evidence pending",IF(Y108&lt;'Residual Config'!$C$4,"Overdue","Current")))))</f>
        <v>Current</v>
      </c>
      <c r="AA108" s="34" t="n">
        <f aca="false">IF(I108="N/A","",IF(Z108&lt;&gt;"Current",4,IF(MAX(M108,T108)=0,4,MAX(M108,T108))))</f>
        <v>2</v>
      </c>
      <c r="AB108" s="7" t="str">
        <f aca="false">IF(AA108="","N/A",IF(Z108&lt;&gt;"Current","Not tested / overdue",INDEX('Residual Config'!$B$11:$B$14,AA108)))</f>
        <v>Largely effective</v>
      </c>
      <c r="AC108" s="36" t="n">
        <f aca="false">IF(AA108="","",INDEX('Residual Config'!$D$11:$D$14,AA108))</f>
        <v>0.4</v>
      </c>
      <c r="AD108" s="7" t="str">
        <f aca="false">IF(OR(I108="N/A",P108="",Q108=""),"",IF(P108&gt;=Q108,"Yes","No"))</f>
        <v>Yes</v>
      </c>
      <c r="AE108" s="8"/>
    </row>
    <row r="109" customFormat="false" ht="15" hidden="false" customHeight="false" outlineLevel="0" collapsed="false">
      <c r="A109" s="12" t="s">
        <v>1012</v>
      </c>
      <c r="B109" s="26" t="str">
        <f aca="false">Entities!$A$7</f>
        <v>JO-INV</v>
      </c>
      <c r="C109" s="12" t="str">
        <f aca="false">INDEX(Entities!$B$5:$B$34,MATCH(B109,Entities!$A$5:$A$34,0))</f>
        <v>Al-Arabi Investment Group (AB Invest)</v>
      </c>
      <c r="D109" s="7" t="str">
        <f aca="false">INDEX(Entities!$F$5:$F$34,MATCH(B109,Entities!$A$5:$A$34,0))</f>
        <v>Tier 3</v>
      </c>
      <c r="E109" s="26" t="str">
        <f aca="false">'Control Library'!$A$23</f>
        <v>CTL-FRD-01</v>
      </c>
      <c r="F109" s="12" t="str">
        <f aca="false">INDEX('Control Library'!$B$5:$B$47,MATCH(E109,'Control Library'!$A$5:$A$47,0))</f>
        <v>Real-time fraud monitoring for cards and digital channels</v>
      </c>
      <c r="G109" s="7" t="str">
        <f aca="false">INDEX('Control Library'!$F$5:$F$47,MATCH(E109,'Control Library'!$A$5:$A$47,0))</f>
        <v>Y</v>
      </c>
      <c r="H109" s="12" t="str">
        <f aca="false">INDEX('Control Library'!$E$5:$E$47,MATCH(E109,'Control Library'!$A$5:$A$47,0))</f>
        <v>Continuous</v>
      </c>
      <c r="I109" s="7" t="str">
        <f aca="false">IF(INDEX('Control Library'!$I$5:$I$47,MATCH(E109,'Control Library'!$A$5:$A$47,0))="All","Y",IF(INDEX('Control Library'!$I$5:$I$47,MATCH(E109,'Control Library'!$A$5:$A$47,0))="Banks only",IF(COUNTIF('Residual Config'!$L$28:$L$30,INDEX(Entities!$E$5:$E$34,MATCH(B109,Entities!$A$5:$A$34,0)))&gt;0,"N/A","Y"),IF(INDEX(Entities!$G$5:$G$34,MATCH(B109,Entities!$A$5:$A$34,0))="Y","Y","N/A")))</f>
        <v>N/A</v>
      </c>
      <c r="J109" s="8"/>
      <c r="K109" s="8"/>
      <c r="L109" s="7" t="str">
        <f aca="false">IF(OR(J109="",K109=""),"",IF(J109=K109,"Breach","OK"))</f>
        <v/>
      </c>
      <c r="M109" s="24"/>
      <c r="N109" s="50"/>
      <c r="O109" s="8"/>
      <c r="P109" s="24"/>
      <c r="Q109" s="31" t="str">
        <f aca="false">IF(I109="N/A","",IFERROR(INDEX('Residual Config'!$B$35:$B$42,MATCH(H109,'Residual Config'!$A$35:$A$42,0)),""))</f>
        <v/>
      </c>
      <c r="R109" s="24"/>
      <c r="S109" s="8"/>
      <c r="T109" s="31" t="str">
        <f aca="false">IF(S109="","",MATCH(S109,'Residual Config'!$L$9:$L$12,0))</f>
        <v/>
      </c>
      <c r="U109" s="8"/>
      <c r="V109" s="24"/>
      <c r="W109" s="33"/>
      <c r="X109" s="8"/>
      <c r="Y109" s="51" t="str">
        <f aca="false">IF(N109="","",EDATE(N109,IF(G109="N",INDEX('Residual Config'!$B$31:$D$31,1,MATCH(D109,'Residual Config'!$B$27:$D$27,0)),INDEX('Residual Config'!$B$28:$D$30,IF(T109=1,1,IF(T109=4,3,2)),MATCH(D109,'Residual Config'!$B$27:$D$27,0)))))</f>
        <v/>
      </c>
      <c r="Z109" s="7" t="str">
        <f aca="false">IF(I109="N/A","N/A",IF(N109="","Not tested",IF(W109="Rejected","Evidence rejected",IF(W109&lt;&gt;"Accepted","Evidence pending",IF(Y109&lt;'Residual Config'!$C$4,"Overdue","Current")))))</f>
        <v>N/A</v>
      </c>
      <c r="AA109" s="34" t="str">
        <f aca="false">IF(I109="N/A","",IF(Z109&lt;&gt;"Current",4,IF(MAX(M109,T109)=0,4,MAX(M109,T109))))</f>
        <v/>
      </c>
      <c r="AB109" s="7" t="str">
        <f aca="false">IF(AA109="","N/A",IF(Z109&lt;&gt;"Current","Not tested / overdue",INDEX('Residual Config'!$B$11:$B$14,AA109)))</f>
        <v>N/A</v>
      </c>
      <c r="AC109" s="36" t="str">
        <f aca="false">IF(AA109="","",INDEX('Residual Config'!$D$11:$D$14,AA109))</f>
        <v/>
      </c>
      <c r="AD109" s="7" t="str">
        <f aca="false">IF(OR(I109="N/A",P109="",Q109=""),"",IF(P109&gt;=Q109,"Yes","No"))</f>
        <v/>
      </c>
      <c r="AE109" s="8"/>
    </row>
    <row r="110" customFormat="false" ht="15" hidden="false" customHeight="false" outlineLevel="0" collapsed="false">
      <c r="A110" s="12" t="s">
        <v>1013</v>
      </c>
      <c r="B110" s="26" t="str">
        <f aca="false">Entities!$A$7</f>
        <v>JO-INV</v>
      </c>
      <c r="C110" s="12" t="str">
        <f aca="false">INDEX(Entities!$B$5:$B$34,MATCH(B110,Entities!$A$5:$A$34,0))</f>
        <v>Al-Arabi Investment Group (AB Invest)</v>
      </c>
      <c r="D110" s="7" t="str">
        <f aca="false">INDEX(Entities!$F$5:$F$34,MATCH(B110,Entities!$A$5:$A$34,0))</f>
        <v>Tier 3</v>
      </c>
      <c r="E110" s="26" t="str">
        <f aca="false">'Control Library'!$A$24</f>
        <v>CTL-FRD-02</v>
      </c>
      <c r="F110" s="12" t="str">
        <f aca="false">INDEX('Control Library'!$B$5:$B$47,MATCH(E110,'Control Library'!$A$5:$A$47,0))</f>
        <v>Maker-checker and dual control on payments and static data</v>
      </c>
      <c r="G110" s="7" t="str">
        <f aca="false">INDEX('Control Library'!$F$5:$F$47,MATCH(E110,'Control Library'!$A$5:$A$47,0))</f>
        <v>Y</v>
      </c>
      <c r="H110" s="12" t="str">
        <f aca="false">INDEX('Control Library'!$E$5:$E$47,MATCH(E110,'Control Library'!$A$5:$A$47,0))</f>
        <v>Daily</v>
      </c>
      <c r="I110" s="7" t="str">
        <f aca="false">IF(INDEX('Control Library'!$I$5:$I$47,MATCH(E110,'Control Library'!$A$5:$A$47,0))="All","Y",IF(INDEX('Control Library'!$I$5:$I$47,MATCH(E110,'Control Library'!$A$5:$A$47,0))="Banks only",IF(COUNTIF('Residual Config'!$L$28:$L$30,INDEX(Entities!$E$5:$E$34,MATCH(B110,Entities!$A$5:$A$34,0)))&gt;0,"N/A","Y"),IF(INDEX(Entities!$G$5:$G$34,MATCH(B110,Entities!$A$5:$A$34,0))="Y","Y","N/A")))</f>
        <v>Y</v>
      </c>
      <c r="J110" s="8" t="s">
        <v>974</v>
      </c>
      <c r="K110" s="8" t="s">
        <v>975</v>
      </c>
      <c r="L110" s="7" t="str">
        <f aca="false">IF(OR(J110="",K110=""),"",IF(J110=K110,"Breach","OK"))</f>
        <v>OK</v>
      </c>
      <c r="M110" s="24" t="n">
        <v>2</v>
      </c>
      <c r="N110" s="50" t="n">
        <v>46183</v>
      </c>
      <c r="O110" s="8" t="s">
        <v>545</v>
      </c>
      <c r="P110" s="24" t="n">
        <v>35</v>
      </c>
      <c r="Q110" s="31" t="n">
        <f aca="false">IF(I110="N/A","",IFERROR(INDEX('Residual Config'!$B$35:$B$42,MATCH(H110,'Residual Config'!$A$35:$A$42,0)),""))</f>
        <v>25</v>
      </c>
      <c r="R110" s="24" t="n">
        <v>1</v>
      </c>
      <c r="S110" s="8" t="s">
        <v>521</v>
      </c>
      <c r="T110" s="31" t="n">
        <f aca="false">IF(S110="","",MATCH(S110,'Residual Config'!$L$9:$L$12,0))</f>
        <v>2</v>
      </c>
      <c r="U110" s="8" t="s">
        <v>1014</v>
      </c>
      <c r="V110" s="24" t="n">
        <v>3</v>
      </c>
      <c r="W110" s="33" t="s">
        <v>533</v>
      </c>
      <c r="X110" s="8" t="s">
        <v>760</v>
      </c>
      <c r="Y110" s="51" t="n">
        <f aca="false">IF(N110="","",EDATE(N110,IF(G110="N",INDEX('Residual Config'!$B$31:$D$31,1,MATCH(D110,'Residual Config'!$B$27:$D$27,0)),INDEX('Residual Config'!$B$28:$D$30,IF(T110=1,1,IF(T110=4,3,2)),MATCH(D110,'Residual Config'!$B$27:$D$27,0)))))</f>
        <v>46366</v>
      </c>
      <c r="Z110" s="7" t="str">
        <f aca="false">IF(I110="N/A","N/A",IF(N110="","Not tested",IF(W110="Rejected","Evidence rejected",IF(W110&lt;&gt;"Accepted","Evidence pending",IF(Y110&lt;'Residual Config'!$C$4,"Overdue","Current")))))</f>
        <v>Current</v>
      </c>
      <c r="AA110" s="34" t="n">
        <f aca="false">IF(I110="N/A","",IF(Z110&lt;&gt;"Current",4,IF(MAX(M110,T110)=0,4,MAX(M110,T110))))</f>
        <v>2</v>
      </c>
      <c r="AB110" s="7" t="str">
        <f aca="false">IF(AA110="","N/A",IF(Z110&lt;&gt;"Current","Not tested / overdue",INDEX('Residual Config'!$B$11:$B$14,AA110)))</f>
        <v>Largely effective</v>
      </c>
      <c r="AC110" s="36" t="n">
        <f aca="false">IF(AA110="","",INDEX('Residual Config'!$D$11:$D$14,AA110))</f>
        <v>0.4</v>
      </c>
      <c r="AD110" s="7" t="str">
        <f aca="false">IF(OR(I110="N/A",P110="",Q110=""),"",IF(P110&gt;=Q110,"Yes","No"))</f>
        <v>Yes</v>
      </c>
      <c r="AE110" s="8"/>
    </row>
    <row r="111" customFormat="false" ht="15" hidden="false" customHeight="false" outlineLevel="0" collapsed="false">
      <c r="A111" s="12" t="s">
        <v>1015</v>
      </c>
      <c r="B111" s="26" t="str">
        <f aca="false">Entities!$A$7</f>
        <v>JO-INV</v>
      </c>
      <c r="C111" s="12" t="str">
        <f aca="false">INDEX(Entities!$B$5:$B$34,MATCH(B111,Entities!$A$5:$A$34,0))</f>
        <v>Al-Arabi Investment Group (AB Invest)</v>
      </c>
      <c r="D111" s="7" t="str">
        <f aca="false">INDEX(Entities!$F$5:$F$34,MATCH(B111,Entities!$A$5:$A$34,0))</f>
        <v>Tier 3</v>
      </c>
      <c r="E111" s="26" t="str">
        <f aca="false">'Control Library'!$A$25</f>
        <v>CTL-FRD-03</v>
      </c>
      <c r="F111" s="12" t="str">
        <f aca="false">INDEX('Control Library'!$B$5:$B$47,MATCH(E111,'Control Library'!$A$5:$A$47,0))</f>
        <v>Mandatory consecutive leave and rotation for sensitive roles</v>
      </c>
      <c r="G111" s="7" t="str">
        <f aca="false">INDEX('Control Library'!$F$5:$F$47,MATCH(E111,'Control Library'!$A$5:$A$47,0))</f>
        <v>N</v>
      </c>
      <c r="H111" s="12" t="str">
        <f aca="false">INDEX('Control Library'!$E$5:$E$47,MATCH(E111,'Control Library'!$A$5:$A$47,0))</f>
        <v>Annual</v>
      </c>
      <c r="I111" s="7" t="str">
        <f aca="false">IF(INDEX('Control Library'!$I$5:$I$47,MATCH(E111,'Control Library'!$A$5:$A$47,0))="All","Y",IF(INDEX('Control Library'!$I$5:$I$47,MATCH(E111,'Control Library'!$A$5:$A$47,0))="Banks only",IF(COUNTIF('Residual Config'!$L$28:$L$30,INDEX(Entities!$E$5:$E$34,MATCH(B111,Entities!$A$5:$A$34,0)))&gt;0,"N/A","Y"),IF(INDEX(Entities!$G$5:$G$34,MATCH(B111,Entities!$A$5:$A$34,0))="Y","Y","N/A")))</f>
        <v>Y</v>
      </c>
      <c r="J111" s="8" t="s">
        <v>1016</v>
      </c>
      <c r="K111" s="8" t="s">
        <v>975</v>
      </c>
      <c r="L111" s="7" t="str">
        <f aca="false">IF(OR(J111="",K111=""),"",IF(J111=K111,"Breach","OK"))</f>
        <v>OK</v>
      </c>
      <c r="M111" s="24" t="n">
        <v>2</v>
      </c>
      <c r="N111" s="50" t="n">
        <v>46181</v>
      </c>
      <c r="O111" s="8" t="s">
        <v>546</v>
      </c>
      <c r="P111" s="24" t="n">
        <v>1</v>
      </c>
      <c r="Q111" s="31" t="n">
        <f aca="false">IF(I111="N/A","",IFERROR(INDEX('Residual Config'!$B$35:$B$42,MATCH(H111,'Residual Config'!$A$35:$A$42,0)),""))</f>
        <v>1</v>
      </c>
      <c r="R111" s="24" t="n">
        <v>0</v>
      </c>
      <c r="S111" s="8" t="s">
        <v>516</v>
      </c>
      <c r="T111" s="31" t="n">
        <f aca="false">IF(S111="","",MATCH(S111,'Residual Config'!$L$9:$L$12,0))</f>
        <v>1</v>
      </c>
      <c r="U111" s="8" t="s">
        <v>1017</v>
      </c>
      <c r="V111" s="24" t="n">
        <v>5</v>
      </c>
      <c r="W111" s="33" t="s">
        <v>533</v>
      </c>
      <c r="X111" s="8" t="s">
        <v>754</v>
      </c>
      <c r="Y111" s="51" t="n">
        <f aca="false">IF(N111="","",EDATE(N111,IF(G111="N",INDEX('Residual Config'!$B$31:$D$31,1,MATCH(D111,'Residual Config'!$B$27:$D$27,0)),INDEX('Residual Config'!$B$28:$D$30,IF(T111=1,1,IF(T111=4,3,2)),MATCH(D111,'Residual Config'!$B$27:$D$27,0)))))</f>
        <v>46912</v>
      </c>
      <c r="Z111" s="7" t="str">
        <f aca="false">IF(I111="N/A","N/A",IF(N111="","Not tested",IF(W111="Rejected","Evidence rejected",IF(W111&lt;&gt;"Accepted","Evidence pending",IF(Y111&lt;'Residual Config'!$C$4,"Overdue","Current")))))</f>
        <v>Current</v>
      </c>
      <c r="AA111" s="34" t="n">
        <f aca="false">IF(I111="N/A","",IF(Z111&lt;&gt;"Current",4,IF(MAX(M111,T111)=0,4,MAX(M111,T111))))</f>
        <v>2</v>
      </c>
      <c r="AB111" s="7" t="str">
        <f aca="false">IF(AA111="","N/A",IF(Z111&lt;&gt;"Current","Not tested / overdue",INDEX('Residual Config'!$B$11:$B$14,AA111)))</f>
        <v>Largely effective</v>
      </c>
      <c r="AC111" s="36" t="n">
        <f aca="false">IF(AA111="","",INDEX('Residual Config'!$D$11:$D$14,AA111))</f>
        <v>0.4</v>
      </c>
      <c r="AD111" s="7" t="str">
        <f aca="false">IF(OR(I111="N/A",P111="",Q111=""),"",IF(P111&gt;=Q111,"Yes","No"))</f>
        <v>Yes</v>
      </c>
      <c r="AE111" s="8"/>
    </row>
    <row r="112" customFormat="false" ht="15" hidden="false" customHeight="false" outlineLevel="0" collapsed="false">
      <c r="A112" s="12" t="s">
        <v>1018</v>
      </c>
      <c r="B112" s="26" t="str">
        <f aca="false">Entities!$A$7</f>
        <v>JO-INV</v>
      </c>
      <c r="C112" s="12" t="str">
        <f aca="false">INDEX(Entities!$B$5:$B$34,MATCH(B112,Entities!$A$5:$A$34,0))</f>
        <v>Al-Arabi Investment Group (AB Invest)</v>
      </c>
      <c r="D112" s="7" t="str">
        <f aca="false">INDEX(Entities!$F$5:$F$34,MATCH(B112,Entities!$A$5:$A$34,0))</f>
        <v>Tier 3</v>
      </c>
      <c r="E112" s="26" t="str">
        <f aca="false">'Control Library'!$A$26</f>
        <v>CTL-TAX-01</v>
      </c>
      <c r="F112" s="12" t="str">
        <f aca="false">INDEX('Control Library'!$B$5:$B$47,MATCH(E112,'Control Library'!$A$5:$A$47,0))</f>
        <v>FATCA/CRS self-certification and classification</v>
      </c>
      <c r="G112" s="7" t="str">
        <f aca="false">INDEX('Control Library'!$F$5:$F$47,MATCH(E112,'Control Library'!$A$5:$A$47,0))</f>
        <v>Y</v>
      </c>
      <c r="H112" s="12" t="str">
        <f aca="false">INDEX('Control Library'!$E$5:$E$47,MATCH(E112,'Control Library'!$A$5:$A$47,0))</f>
        <v>Event-driven</v>
      </c>
      <c r="I112" s="7" t="str">
        <f aca="false">IF(INDEX('Control Library'!$I$5:$I$47,MATCH(E112,'Control Library'!$A$5:$A$47,0))="All","Y",IF(INDEX('Control Library'!$I$5:$I$47,MATCH(E112,'Control Library'!$A$5:$A$47,0))="Banks only",IF(COUNTIF('Residual Config'!$L$28:$L$30,INDEX(Entities!$E$5:$E$34,MATCH(B112,Entities!$A$5:$A$34,0)))&gt;0,"N/A","Y"),IF(INDEX(Entities!$G$5:$G$34,MATCH(B112,Entities!$A$5:$A$34,0))="Y","Y","N/A")))</f>
        <v>Y</v>
      </c>
      <c r="J112" s="8" t="s">
        <v>974</v>
      </c>
      <c r="K112" s="8" t="s">
        <v>975</v>
      </c>
      <c r="L112" s="7" t="str">
        <f aca="false">IF(OR(J112="",K112=""),"",IF(J112=K112,"Breach","OK"))</f>
        <v>OK</v>
      </c>
      <c r="M112" s="24" t="n">
        <v>2</v>
      </c>
      <c r="N112" s="50" t="n">
        <v>46266</v>
      </c>
      <c r="O112" s="8" t="s">
        <v>545</v>
      </c>
      <c r="P112" s="24" t="n">
        <v>25</v>
      </c>
      <c r="Q112" s="31" t="n">
        <f aca="false">IF(I112="N/A","",IFERROR(INDEX('Residual Config'!$B$35:$B$42,MATCH(H112,'Residual Config'!$A$35:$A$42,0)),""))</f>
        <v>25</v>
      </c>
      <c r="R112" s="24" t="n">
        <v>0</v>
      </c>
      <c r="S112" s="8" t="s">
        <v>516</v>
      </c>
      <c r="T112" s="31" t="n">
        <f aca="false">IF(S112="","",MATCH(S112,'Residual Config'!$L$9:$L$12,0))</f>
        <v>1</v>
      </c>
      <c r="U112" s="8" t="s">
        <v>1019</v>
      </c>
      <c r="V112" s="24" t="n">
        <v>6</v>
      </c>
      <c r="W112" s="33" t="s">
        <v>533</v>
      </c>
      <c r="X112" s="8" t="s">
        <v>760</v>
      </c>
      <c r="Y112" s="51" t="n">
        <f aca="false">IF(N112="","",EDATE(N112,IF(G112="N",INDEX('Residual Config'!$B$31:$D$31,1,MATCH(D112,'Residual Config'!$B$27:$D$27,0)),INDEX('Residual Config'!$B$28:$D$30,IF(T112=1,1,IF(T112=4,3,2)),MATCH(D112,'Residual Config'!$B$27:$D$27,0)))))</f>
        <v>46631</v>
      </c>
      <c r="Z112" s="7" t="str">
        <f aca="false">IF(I112="N/A","N/A",IF(N112="","Not tested",IF(W112="Rejected","Evidence rejected",IF(W112&lt;&gt;"Accepted","Evidence pending",IF(Y112&lt;'Residual Config'!$C$4,"Overdue","Current")))))</f>
        <v>Current</v>
      </c>
      <c r="AA112" s="34" t="n">
        <f aca="false">IF(I112="N/A","",IF(Z112&lt;&gt;"Current",4,IF(MAX(M112,T112)=0,4,MAX(M112,T112))))</f>
        <v>2</v>
      </c>
      <c r="AB112" s="7" t="str">
        <f aca="false">IF(AA112="","N/A",IF(Z112&lt;&gt;"Current","Not tested / overdue",INDEX('Residual Config'!$B$11:$B$14,AA112)))</f>
        <v>Largely effective</v>
      </c>
      <c r="AC112" s="36" t="n">
        <f aca="false">IF(AA112="","",INDEX('Residual Config'!$D$11:$D$14,AA112))</f>
        <v>0.4</v>
      </c>
      <c r="AD112" s="7" t="str">
        <f aca="false">IF(OR(I112="N/A",P112="",Q112=""),"",IF(P112&gt;=Q112,"Yes","No"))</f>
        <v>Yes</v>
      </c>
      <c r="AE112" s="8"/>
    </row>
    <row r="113" customFormat="false" ht="15" hidden="false" customHeight="false" outlineLevel="0" collapsed="false">
      <c r="A113" s="12" t="s">
        <v>1020</v>
      </c>
      <c r="B113" s="26" t="str">
        <f aca="false">Entities!$A$7</f>
        <v>JO-INV</v>
      </c>
      <c r="C113" s="12" t="str">
        <f aca="false">INDEX(Entities!$B$5:$B$34,MATCH(B113,Entities!$A$5:$A$34,0))</f>
        <v>Al-Arabi Investment Group (AB Invest)</v>
      </c>
      <c r="D113" s="7" t="str">
        <f aca="false">INDEX(Entities!$F$5:$F$34,MATCH(B113,Entities!$A$5:$A$34,0))</f>
        <v>Tier 3</v>
      </c>
      <c r="E113" s="26" t="str">
        <f aca="false">'Control Library'!$A$27</f>
        <v>CTL-TAX-02</v>
      </c>
      <c r="F113" s="12" t="str">
        <f aca="false">INDEX('Control Library'!$B$5:$B$47,MATCH(E113,'Control Library'!$A$5:$A$47,0))</f>
        <v>FATCA/CRS reporting reconciliation and timely filing</v>
      </c>
      <c r="G113" s="7" t="str">
        <f aca="false">INDEX('Control Library'!$F$5:$F$47,MATCH(E113,'Control Library'!$A$5:$A$47,0))</f>
        <v>N</v>
      </c>
      <c r="H113" s="12" t="str">
        <f aca="false">INDEX('Control Library'!$E$5:$E$47,MATCH(E113,'Control Library'!$A$5:$A$47,0))</f>
        <v>Annual</v>
      </c>
      <c r="I113" s="7" t="str">
        <f aca="false">IF(INDEX('Control Library'!$I$5:$I$47,MATCH(E113,'Control Library'!$A$5:$A$47,0))="All","Y",IF(INDEX('Control Library'!$I$5:$I$47,MATCH(E113,'Control Library'!$A$5:$A$47,0))="Banks only",IF(COUNTIF('Residual Config'!$L$28:$L$30,INDEX(Entities!$E$5:$E$34,MATCH(B113,Entities!$A$5:$A$34,0)))&gt;0,"N/A","Y"),IF(INDEX(Entities!$G$5:$G$34,MATCH(B113,Entities!$A$5:$A$34,0))="Y","Y","N/A")))</f>
        <v>Y</v>
      </c>
      <c r="J113" s="8" t="s">
        <v>1021</v>
      </c>
      <c r="K113" s="8" t="s">
        <v>975</v>
      </c>
      <c r="L113" s="7" t="str">
        <f aca="false">IF(OR(J113="",K113=""),"",IF(J113=K113,"Breach","OK"))</f>
        <v>OK</v>
      </c>
      <c r="M113" s="24" t="n">
        <v>2</v>
      </c>
      <c r="N113" s="50" t="n">
        <v>46038</v>
      </c>
      <c r="O113" s="8" t="s">
        <v>545</v>
      </c>
      <c r="P113" s="24" t="n">
        <v>1</v>
      </c>
      <c r="Q113" s="31" t="n">
        <f aca="false">IF(I113="N/A","",IFERROR(INDEX('Residual Config'!$B$35:$B$42,MATCH(H113,'Residual Config'!$A$35:$A$42,0)),""))</f>
        <v>1</v>
      </c>
      <c r="R113" s="24" t="n">
        <v>0</v>
      </c>
      <c r="S113" s="8" t="s">
        <v>516</v>
      </c>
      <c r="T113" s="31" t="n">
        <f aca="false">IF(S113="","",MATCH(S113,'Residual Config'!$L$9:$L$12,0))</f>
        <v>1</v>
      </c>
      <c r="U113" s="8" t="s">
        <v>1022</v>
      </c>
      <c r="V113" s="24" t="n">
        <v>1</v>
      </c>
      <c r="W113" s="33" t="s">
        <v>533</v>
      </c>
      <c r="X113" s="8" t="s">
        <v>754</v>
      </c>
      <c r="Y113" s="51" t="n">
        <f aca="false">IF(N113="","",EDATE(N113,IF(G113="N",INDEX('Residual Config'!$B$31:$D$31,1,MATCH(D113,'Residual Config'!$B$27:$D$27,0)),INDEX('Residual Config'!$B$28:$D$30,IF(T113=1,1,IF(T113=4,3,2)),MATCH(D113,'Residual Config'!$B$27:$D$27,0)))))</f>
        <v>46768</v>
      </c>
      <c r="Z113" s="7" t="str">
        <f aca="false">IF(I113="N/A","N/A",IF(N113="","Not tested",IF(W113="Rejected","Evidence rejected",IF(W113&lt;&gt;"Accepted","Evidence pending",IF(Y113&lt;'Residual Config'!$C$4,"Overdue","Current")))))</f>
        <v>Current</v>
      </c>
      <c r="AA113" s="34" t="n">
        <f aca="false">IF(I113="N/A","",IF(Z113&lt;&gt;"Current",4,IF(MAX(M113,T113)=0,4,MAX(M113,T113))))</f>
        <v>2</v>
      </c>
      <c r="AB113" s="7" t="str">
        <f aca="false">IF(AA113="","N/A",IF(Z113&lt;&gt;"Current","Not tested / overdue",INDEX('Residual Config'!$B$11:$B$14,AA113)))</f>
        <v>Largely effective</v>
      </c>
      <c r="AC113" s="36" t="n">
        <f aca="false">IF(AA113="","",INDEX('Residual Config'!$D$11:$D$14,AA113))</f>
        <v>0.4</v>
      </c>
      <c r="AD113" s="7" t="str">
        <f aca="false">IF(OR(I113="N/A",P113="",Q113=""),"",IF(P113&gt;=Q113,"Yes","No"))</f>
        <v>Yes</v>
      </c>
      <c r="AE113" s="8"/>
    </row>
    <row r="114" customFormat="false" ht="15" hidden="false" customHeight="false" outlineLevel="0" collapsed="false">
      <c r="A114" s="12" t="s">
        <v>1023</v>
      </c>
      <c r="B114" s="26" t="str">
        <f aca="false">Entities!$A$7</f>
        <v>JO-INV</v>
      </c>
      <c r="C114" s="12" t="str">
        <f aca="false">INDEX(Entities!$B$5:$B$34,MATCH(B114,Entities!$A$5:$A$34,0))</f>
        <v>Al-Arabi Investment Group (AB Invest)</v>
      </c>
      <c r="D114" s="7" t="str">
        <f aca="false">INDEX(Entities!$F$5:$F$34,MATCH(B114,Entities!$A$5:$A$34,0))</f>
        <v>Tier 3</v>
      </c>
      <c r="E114" s="26" t="str">
        <f aca="false">'Control Library'!$A$28</f>
        <v>CTL-TRN-01</v>
      </c>
      <c r="F114" s="12" t="str">
        <f aca="false">INDEX('Control Library'!$B$5:$B$47,MATCH(E114,'Control Library'!$A$5:$A$47,0))</f>
        <v>Annual AML, sanctions and anti-bribery training</v>
      </c>
      <c r="G114" s="7" t="str">
        <f aca="false">INDEX('Control Library'!$F$5:$F$47,MATCH(E114,'Control Library'!$A$5:$A$47,0))</f>
        <v>N</v>
      </c>
      <c r="H114" s="12" t="str">
        <f aca="false">INDEX('Control Library'!$E$5:$E$47,MATCH(E114,'Control Library'!$A$5:$A$47,0))</f>
        <v>Annual</v>
      </c>
      <c r="I114" s="7" t="str">
        <f aca="false">IF(INDEX('Control Library'!$I$5:$I$47,MATCH(E114,'Control Library'!$A$5:$A$47,0))="All","Y",IF(INDEX('Control Library'!$I$5:$I$47,MATCH(E114,'Control Library'!$A$5:$A$47,0))="Banks only",IF(COUNTIF('Residual Config'!$L$28:$L$30,INDEX(Entities!$E$5:$E$34,MATCH(B114,Entities!$A$5:$A$34,0)))&gt;0,"N/A","Y"),IF(INDEX(Entities!$G$5:$G$34,MATCH(B114,Entities!$A$5:$A$34,0))="Y","Y","N/A")))</f>
        <v>Y</v>
      </c>
      <c r="J114" s="8" t="s">
        <v>978</v>
      </c>
      <c r="K114" s="8" t="s">
        <v>975</v>
      </c>
      <c r="L114" s="7" t="str">
        <f aca="false">IF(OR(J114="",K114=""),"",IF(J114=K114,"Breach","OK"))</f>
        <v>OK</v>
      </c>
      <c r="M114" s="24" t="n">
        <v>1</v>
      </c>
      <c r="N114" s="50" t="n">
        <v>46213</v>
      </c>
      <c r="O114" s="8" t="s">
        <v>545</v>
      </c>
      <c r="P114" s="24" t="n">
        <v>1</v>
      </c>
      <c r="Q114" s="31" t="n">
        <f aca="false">IF(I114="N/A","",IFERROR(INDEX('Residual Config'!$B$35:$B$42,MATCH(H114,'Residual Config'!$A$35:$A$42,0)),""))</f>
        <v>1</v>
      </c>
      <c r="R114" s="24" t="n">
        <v>1</v>
      </c>
      <c r="S114" s="8" t="s">
        <v>521</v>
      </c>
      <c r="T114" s="31" t="n">
        <f aca="false">IF(S114="","",MATCH(S114,'Residual Config'!$L$9:$L$12,0))</f>
        <v>2</v>
      </c>
      <c r="U114" s="8" t="s">
        <v>1024</v>
      </c>
      <c r="V114" s="24" t="n">
        <v>1</v>
      </c>
      <c r="W114" s="33" t="s">
        <v>533</v>
      </c>
      <c r="X114" s="8" t="s">
        <v>754</v>
      </c>
      <c r="Y114" s="51" t="n">
        <f aca="false">IF(N114="","",EDATE(N114,IF(G114="N",INDEX('Residual Config'!$B$31:$D$31,1,MATCH(D114,'Residual Config'!$B$27:$D$27,0)),INDEX('Residual Config'!$B$28:$D$30,IF(T114=1,1,IF(T114=4,3,2)),MATCH(D114,'Residual Config'!$B$27:$D$27,0)))))</f>
        <v>46944</v>
      </c>
      <c r="Z114" s="7" t="str">
        <f aca="false">IF(I114="N/A","N/A",IF(N114="","Not tested",IF(W114="Rejected","Evidence rejected",IF(W114&lt;&gt;"Accepted","Evidence pending",IF(Y114&lt;'Residual Config'!$C$4,"Overdue","Current")))))</f>
        <v>Current</v>
      </c>
      <c r="AA114" s="34" t="n">
        <f aca="false">IF(I114="N/A","",IF(Z114&lt;&gt;"Current",4,IF(MAX(M114,T114)=0,4,MAX(M114,T114))))</f>
        <v>2</v>
      </c>
      <c r="AB114" s="7" t="str">
        <f aca="false">IF(AA114="","N/A",IF(Z114&lt;&gt;"Current","Not tested / overdue",INDEX('Residual Config'!$B$11:$B$14,AA114)))</f>
        <v>Largely effective</v>
      </c>
      <c r="AC114" s="36" t="n">
        <f aca="false">IF(AA114="","",INDEX('Residual Config'!$D$11:$D$14,AA114))</f>
        <v>0.4</v>
      </c>
      <c r="AD114" s="7" t="str">
        <f aca="false">IF(OR(I114="N/A",P114="",Q114=""),"",IF(P114&gt;=Q114,"Yes","No"))</f>
        <v>Yes</v>
      </c>
      <c r="AE114" s="8"/>
    </row>
    <row r="115" customFormat="false" ht="15" hidden="false" customHeight="false" outlineLevel="0" collapsed="false">
      <c r="A115" s="12" t="s">
        <v>1025</v>
      </c>
      <c r="B115" s="26" t="str">
        <f aca="false">Entities!$A$7</f>
        <v>JO-INV</v>
      </c>
      <c r="C115" s="12" t="str">
        <f aca="false">INDEX(Entities!$B$5:$B$34,MATCH(B115,Entities!$A$5:$A$34,0))</f>
        <v>Al-Arabi Investment Group (AB Invest)</v>
      </c>
      <c r="D115" s="7" t="str">
        <f aca="false">INDEX(Entities!$F$5:$F$34,MATCH(B115,Entities!$A$5:$A$34,0))</f>
        <v>Tier 3</v>
      </c>
      <c r="E115" s="26" t="str">
        <f aca="false">'Control Library'!$A$29</f>
        <v>CTL-REG-01</v>
      </c>
      <c r="F115" s="12" t="str">
        <f aca="false">INDEX('Control Library'!$B$5:$B$47,MATCH(E115,'Control Library'!$A$5:$A$47,0))</f>
        <v>Regulatory change management and obligations register</v>
      </c>
      <c r="G115" s="7" t="str">
        <f aca="false">INDEX('Control Library'!$F$5:$F$47,MATCH(E115,'Control Library'!$A$5:$A$47,0))</f>
        <v>Y</v>
      </c>
      <c r="H115" s="12" t="str">
        <f aca="false">INDEX('Control Library'!$E$5:$E$47,MATCH(E115,'Control Library'!$A$5:$A$47,0))</f>
        <v>Monthly</v>
      </c>
      <c r="I115" s="7" t="str">
        <f aca="false">IF(INDEX('Control Library'!$I$5:$I$47,MATCH(E115,'Control Library'!$A$5:$A$47,0))="All","Y",IF(INDEX('Control Library'!$I$5:$I$47,MATCH(E115,'Control Library'!$A$5:$A$47,0))="Banks only",IF(COUNTIF('Residual Config'!$L$28:$L$30,INDEX(Entities!$E$5:$E$34,MATCH(B115,Entities!$A$5:$A$34,0)))&gt;0,"N/A","Y"),IF(INDEX(Entities!$G$5:$G$34,MATCH(B115,Entities!$A$5:$A$34,0))="Y","Y","N/A")))</f>
        <v>Y</v>
      </c>
      <c r="J115" s="8" t="s">
        <v>978</v>
      </c>
      <c r="K115" s="8" t="s">
        <v>975</v>
      </c>
      <c r="L115" s="7" t="str">
        <f aca="false">IF(OR(J115="",K115=""),"",IF(J115=K115,"Breach","OK"))</f>
        <v>OK</v>
      </c>
      <c r="M115" s="24" t="n">
        <v>1</v>
      </c>
      <c r="N115" s="50" t="n">
        <v>46286</v>
      </c>
      <c r="O115" s="8" t="s">
        <v>545</v>
      </c>
      <c r="P115" s="24" t="n">
        <v>3</v>
      </c>
      <c r="Q115" s="31" t="n">
        <f aca="false">IF(I115="N/A","",IFERROR(INDEX('Residual Config'!$B$35:$B$42,MATCH(H115,'Residual Config'!$A$35:$A$42,0)),""))</f>
        <v>3</v>
      </c>
      <c r="R115" s="24" t="n">
        <v>1</v>
      </c>
      <c r="S115" s="8" t="s">
        <v>521</v>
      </c>
      <c r="T115" s="31" t="n">
        <f aca="false">IF(S115="","",MATCH(S115,'Residual Config'!$L$9:$L$12,0))</f>
        <v>2</v>
      </c>
      <c r="U115" s="8" t="s">
        <v>1026</v>
      </c>
      <c r="V115" s="24" t="n">
        <v>2</v>
      </c>
      <c r="W115" s="33" t="s">
        <v>533</v>
      </c>
      <c r="X115" s="8" t="s">
        <v>754</v>
      </c>
      <c r="Y115" s="51" t="n">
        <f aca="false">IF(N115="","",EDATE(N115,IF(G115="N",INDEX('Residual Config'!$B$31:$D$31,1,MATCH(D115,'Residual Config'!$B$27:$D$27,0)),INDEX('Residual Config'!$B$28:$D$30,IF(T115=1,1,IF(T115=4,3,2)),MATCH(D115,'Residual Config'!$B$27:$D$27,0)))))</f>
        <v>46467</v>
      </c>
      <c r="Z115" s="7" t="str">
        <f aca="false">IF(I115="N/A","N/A",IF(N115="","Not tested",IF(W115="Rejected","Evidence rejected",IF(W115&lt;&gt;"Accepted","Evidence pending",IF(Y115&lt;'Residual Config'!$C$4,"Overdue","Current")))))</f>
        <v>Current</v>
      </c>
      <c r="AA115" s="34" t="n">
        <f aca="false">IF(I115="N/A","",IF(Z115&lt;&gt;"Current",4,IF(MAX(M115,T115)=0,4,MAX(M115,T115))))</f>
        <v>2</v>
      </c>
      <c r="AB115" s="7" t="str">
        <f aca="false">IF(AA115="","N/A",IF(Z115&lt;&gt;"Current","Not tested / overdue",INDEX('Residual Config'!$B$11:$B$14,AA115)))</f>
        <v>Largely effective</v>
      </c>
      <c r="AC115" s="36" t="n">
        <f aca="false">IF(AA115="","",INDEX('Residual Config'!$D$11:$D$14,AA115))</f>
        <v>0.4</v>
      </c>
      <c r="AD115" s="7" t="str">
        <f aca="false">IF(OR(I115="N/A",P115="",Q115=""),"",IF(P115&gt;=Q115,"Yes","No"))</f>
        <v>Yes</v>
      </c>
      <c r="AE115" s="8"/>
    </row>
    <row r="116" customFormat="false" ht="15" hidden="false" customHeight="false" outlineLevel="0" collapsed="false">
      <c r="A116" s="12" t="s">
        <v>1027</v>
      </c>
      <c r="B116" s="26" t="str">
        <f aca="false">Entities!$A$7</f>
        <v>JO-INV</v>
      </c>
      <c r="C116" s="12" t="str">
        <f aca="false">INDEX(Entities!$B$5:$B$34,MATCH(B116,Entities!$A$5:$A$34,0))</f>
        <v>Al-Arabi Investment Group (AB Invest)</v>
      </c>
      <c r="D116" s="7" t="str">
        <f aca="false">INDEX(Entities!$F$5:$F$34,MATCH(B116,Entities!$A$5:$A$34,0))</f>
        <v>Tier 3</v>
      </c>
      <c r="E116" s="26" t="str">
        <f aca="false">'Control Library'!$A$30</f>
        <v>CTL-REG-02</v>
      </c>
      <c r="F116" s="12" t="str">
        <f aca="false">INDEX('Control Library'!$B$5:$B$47,MATCH(E116,'Control Library'!$A$5:$A$47,0))</f>
        <v>Regulatory return review and senior sign-off</v>
      </c>
      <c r="G116" s="7" t="str">
        <f aca="false">INDEX('Control Library'!$F$5:$F$47,MATCH(E116,'Control Library'!$A$5:$A$47,0))</f>
        <v>Y</v>
      </c>
      <c r="H116" s="12" t="str">
        <f aca="false">INDEX('Control Library'!$E$5:$E$47,MATCH(E116,'Control Library'!$A$5:$A$47,0))</f>
        <v>Monthly</v>
      </c>
      <c r="I116" s="7" t="str">
        <f aca="false">IF(INDEX('Control Library'!$I$5:$I$47,MATCH(E116,'Control Library'!$A$5:$A$47,0))="All","Y",IF(INDEX('Control Library'!$I$5:$I$47,MATCH(E116,'Control Library'!$A$5:$A$47,0))="Banks only",IF(COUNTIF('Residual Config'!$L$28:$L$30,INDEX(Entities!$E$5:$E$34,MATCH(B116,Entities!$A$5:$A$34,0)))&gt;0,"N/A","Y"),IF(INDEX(Entities!$G$5:$G$34,MATCH(B116,Entities!$A$5:$A$34,0))="Y","Y","N/A")))</f>
        <v>Y</v>
      </c>
      <c r="J116" s="8" t="s">
        <v>1021</v>
      </c>
      <c r="K116" s="8" t="s">
        <v>975</v>
      </c>
      <c r="L116" s="7" t="str">
        <f aca="false">IF(OR(J116="",K116=""),"",IF(J116=K116,"Breach","OK"))</f>
        <v>OK</v>
      </c>
      <c r="M116" s="24" t="n">
        <v>1</v>
      </c>
      <c r="N116" s="50" t="n">
        <v>46263</v>
      </c>
      <c r="O116" s="8" t="s">
        <v>545</v>
      </c>
      <c r="P116" s="24" t="n">
        <v>3</v>
      </c>
      <c r="Q116" s="31" t="n">
        <f aca="false">IF(I116="N/A","",IFERROR(INDEX('Residual Config'!$B$35:$B$42,MATCH(H116,'Residual Config'!$A$35:$A$42,0)),""))</f>
        <v>3</v>
      </c>
      <c r="R116" s="24" t="n">
        <v>1</v>
      </c>
      <c r="S116" s="8" t="s">
        <v>521</v>
      </c>
      <c r="T116" s="31" t="n">
        <f aca="false">IF(S116="","",MATCH(S116,'Residual Config'!$L$9:$L$12,0))</f>
        <v>2</v>
      </c>
      <c r="U116" s="8" t="s">
        <v>1028</v>
      </c>
      <c r="V116" s="24" t="n">
        <v>1</v>
      </c>
      <c r="W116" s="33" t="s">
        <v>533</v>
      </c>
      <c r="X116" s="8" t="s">
        <v>760</v>
      </c>
      <c r="Y116" s="51" t="n">
        <f aca="false">IF(N116="","",EDATE(N116,IF(G116="N",INDEX('Residual Config'!$B$31:$D$31,1,MATCH(D116,'Residual Config'!$B$27:$D$27,0)),INDEX('Residual Config'!$B$28:$D$30,IF(T116=1,1,IF(T116=4,3,2)),MATCH(D116,'Residual Config'!$B$27:$D$27,0)))))</f>
        <v>46446</v>
      </c>
      <c r="Z116" s="7" t="str">
        <f aca="false">IF(I116="N/A","N/A",IF(N116="","Not tested",IF(W116="Rejected","Evidence rejected",IF(W116&lt;&gt;"Accepted","Evidence pending",IF(Y116&lt;'Residual Config'!$C$4,"Overdue","Current")))))</f>
        <v>Current</v>
      </c>
      <c r="AA116" s="34" t="n">
        <f aca="false">IF(I116="N/A","",IF(Z116&lt;&gt;"Current",4,IF(MAX(M116,T116)=0,4,MAX(M116,T116))))</f>
        <v>2</v>
      </c>
      <c r="AB116" s="7" t="str">
        <f aca="false">IF(AA116="","N/A",IF(Z116&lt;&gt;"Current","Not tested / overdue",INDEX('Residual Config'!$B$11:$B$14,AA116)))</f>
        <v>Largely effective</v>
      </c>
      <c r="AC116" s="36" t="n">
        <f aca="false">IF(AA116="","",INDEX('Residual Config'!$D$11:$D$14,AA116))</f>
        <v>0.4</v>
      </c>
      <c r="AD116" s="7" t="str">
        <f aca="false">IF(OR(I116="N/A",P116="",Q116=""),"",IF(P116&gt;=Q116,"Yes","No"))</f>
        <v>Yes</v>
      </c>
      <c r="AE116" s="8"/>
    </row>
    <row r="117" customFormat="false" ht="15" hidden="false" customHeight="false" outlineLevel="0" collapsed="false">
      <c r="A117" s="12" t="s">
        <v>1029</v>
      </c>
      <c r="B117" s="26" t="str">
        <f aca="false">Entities!$A$7</f>
        <v>JO-INV</v>
      </c>
      <c r="C117" s="12" t="str">
        <f aca="false">INDEX(Entities!$B$5:$B$34,MATCH(B117,Entities!$A$5:$A$34,0))</f>
        <v>Al-Arabi Investment Group (AB Invest)</v>
      </c>
      <c r="D117" s="7" t="str">
        <f aca="false">INDEX(Entities!$F$5:$F$34,MATCH(B117,Entities!$A$5:$A$34,0))</f>
        <v>Tier 3</v>
      </c>
      <c r="E117" s="26" t="str">
        <f aca="false">'Control Library'!$A$31</f>
        <v>CTL-CON-01</v>
      </c>
      <c r="F117" s="12" t="str">
        <f aca="false">INDEX('Control Library'!$B$5:$B$47,MATCH(E117,'Control Library'!$A$5:$A$47,0))</f>
        <v>New product approval and suitability assessment</v>
      </c>
      <c r="G117" s="7" t="str">
        <f aca="false">INDEX('Control Library'!$F$5:$F$47,MATCH(E117,'Control Library'!$A$5:$A$47,0))</f>
        <v>Y</v>
      </c>
      <c r="H117" s="12" t="str">
        <f aca="false">INDEX('Control Library'!$E$5:$E$47,MATCH(E117,'Control Library'!$A$5:$A$47,0))</f>
        <v>Event-driven</v>
      </c>
      <c r="I117" s="7" t="str">
        <f aca="false">IF(INDEX('Control Library'!$I$5:$I$47,MATCH(E117,'Control Library'!$A$5:$A$47,0))="All","Y",IF(INDEX('Control Library'!$I$5:$I$47,MATCH(E117,'Control Library'!$A$5:$A$47,0))="Banks only",IF(COUNTIF('Residual Config'!$L$28:$L$30,INDEX(Entities!$E$5:$E$34,MATCH(B117,Entities!$A$5:$A$34,0)))&gt;0,"N/A","Y"),IF(INDEX(Entities!$G$5:$G$34,MATCH(B117,Entities!$A$5:$A$34,0))="Y","Y","N/A")))</f>
        <v>Y</v>
      </c>
      <c r="J117" s="8" t="s">
        <v>978</v>
      </c>
      <c r="K117" s="8" t="s">
        <v>975</v>
      </c>
      <c r="L117" s="7" t="str">
        <f aca="false">IF(OR(J117="",K117=""),"",IF(J117=K117,"Breach","OK"))</f>
        <v>OK</v>
      </c>
      <c r="M117" s="24" t="n">
        <v>2</v>
      </c>
      <c r="N117" s="50" t="n">
        <v>46274</v>
      </c>
      <c r="O117" s="8" t="s">
        <v>546</v>
      </c>
      <c r="P117" s="24" t="n">
        <v>20</v>
      </c>
      <c r="Q117" s="31" t="n">
        <f aca="false">IF(I117="N/A","",IFERROR(INDEX('Residual Config'!$B$35:$B$42,MATCH(H117,'Residual Config'!$A$35:$A$42,0)),""))</f>
        <v>25</v>
      </c>
      <c r="R117" s="24" t="n">
        <v>1</v>
      </c>
      <c r="S117" s="8" t="s">
        <v>521</v>
      </c>
      <c r="T117" s="31" t="n">
        <f aca="false">IF(S117="","",MATCH(S117,'Residual Config'!$L$9:$L$12,0))</f>
        <v>2</v>
      </c>
      <c r="U117" s="8" t="s">
        <v>1030</v>
      </c>
      <c r="V117" s="24" t="n">
        <v>4</v>
      </c>
      <c r="W117" s="33" t="s">
        <v>533</v>
      </c>
      <c r="X117" s="8" t="s">
        <v>760</v>
      </c>
      <c r="Y117" s="51" t="n">
        <f aca="false">IF(N117="","",EDATE(N117,IF(G117="N",INDEX('Residual Config'!$B$31:$D$31,1,MATCH(D117,'Residual Config'!$B$27:$D$27,0)),INDEX('Residual Config'!$B$28:$D$30,IF(T117=1,1,IF(T117=4,3,2)),MATCH(D117,'Residual Config'!$B$27:$D$27,0)))))</f>
        <v>46455</v>
      </c>
      <c r="Z117" s="7" t="str">
        <f aca="false">IF(I117="N/A","N/A",IF(N117="","Not tested",IF(W117="Rejected","Evidence rejected",IF(W117&lt;&gt;"Accepted","Evidence pending",IF(Y117&lt;'Residual Config'!$C$4,"Overdue","Current")))))</f>
        <v>Current</v>
      </c>
      <c r="AA117" s="34" t="n">
        <f aca="false">IF(I117="N/A","",IF(Z117&lt;&gt;"Current",4,IF(MAX(M117,T117)=0,4,MAX(M117,T117))))</f>
        <v>2</v>
      </c>
      <c r="AB117" s="7" t="str">
        <f aca="false">IF(AA117="","N/A",IF(Z117&lt;&gt;"Current","Not tested / overdue",INDEX('Residual Config'!$B$11:$B$14,AA117)))</f>
        <v>Largely effective</v>
      </c>
      <c r="AC117" s="36" t="n">
        <f aca="false">IF(AA117="","",INDEX('Residual Config'!$D$11:$D$14,AA117))</f>
        <v>0.4</v>
      </c>
      <c r="AD117" s="7" t="str">
        <f aca="false">IF(OR(I117="N/A",P117="",Q117=""),"",IF(P117&gt;=Q117,"Yes","No"))</f>
        <v>No</v>
      </c>
      <c r="AE117" s="8"/>
    </row>
    <row r="118" customFormat="false" ht="15" hidden="false" customHeight="false" outlineLevel="0" collapsed="false">
      <c r="A118" s="12" t="s">
        <v>1031</v>
      </c>
      <c r="B118" s="26" t="str">
        <f aca="false">Entities!$A$7</f>
        <v>JO-INV</v>
      </c>
      <c r="C118" s="12" t="str">
        <f aca="false">INDEX(Entities!$B$5:$B$34,MATCH(B118,Entities!$A$5:$A$34,0))</f>
        <v>Al-Arabi Investment Group (AB Invest)</v>
      </c>
      <c r="D118" s="7" t="str">
        <f aca="false">INDEX(Entities!$F$5:$F$34,MATCH(B118,Entities!$A$5:$A$34,0))</f>
        <v>Tier 3</v>
      </c>
      <c r="E118" s="26" t="str">
        <f aca="false">'Control Library'!$A$32</f>
        <v>CTL-CON-02</v>
      </c>
      <c r="F118" s="12" t="str">
        <f aca="false">INDEX('Control Library'!$B$5:$B$47,MATCH(E118,'Control Library'!$A$5:$A$47,0))</f>
        <v>Complaints handling and root-cause analysis</v>
      </c>
      <c r="G118" s="7" t="str">
        <f aca="false">INDEX('Control Library'!$F$5:$F$47,MATCH(E118,'Control Library'!$A$5:$A$47,0))</f>
        <v>N</v>
      </c>
      <c r="H118" s="12" t="str">
        <f aca="false">INDEX('Control Library'!$E$5:$E$47,MATCH(E118,'Control Library'!$A$5:$A$47,0))</f>
        <v>Monthly</v>
      </c>
      <c r="I118" s="7" t="str">
        <f aca="false">IF(INDEX('Control Library'!$I$5:$I$47,MATCH(E118,'Control Library'!$A$5:$A$47,0))="All","Y",IF(INDEX('Control Library'!$I$5:$I$47,MATCH(E118,'Control Library'!$A$5:$A$47,0))="Banks only",IF(COUNTIF('Residual Config'!$L$28:$L$30,INDEX(Entities!$E$5:$E$34,MATCH(B118,Entities!$A$5:$A$34,0)))&gt;0,"N/A","Y"),IF(INDEX(Entities!$G$5:$G$34,MATCH(B118,Entities!$A$5:$A$34,0))="Y","Y","N/A")))</f>
        <v>Y</v>
      </c>
      <c r="J118" s="8" t="s">
        <v>1032</v>
      </c>
      <c r="K118" s="8" t="s">
        <v>975</v>
      </c>
      <c r="L118" s="7" t="str">
        <f aca="false">IF(OR(J118="",K118=""),"",IF(J118=K118,"Breach","OK"))</f>
        <v>OK</v>
      </c>
      <c r="M118" s="24" t="n">
        <v>1</v>
      </c>
      <c r="N118" s="50" t="n">
        <v>45643</v>
      </c>
      <c r="O118" s="8" t="s">
        <v>545</v>
      </c>
      <c r="P118" s="24" t="n">
        <v>3</v>
      </c>
      <c r="Q118" s="31" t="n">
        <f aca="false">IF(I118="N/A","",IFERROR(INDEX('Residual Config'!$B$35:$B$42,MATCH(H118,'Residual Config'!$A$35:$A$42,0)),""))</f>
        <v>3</v>
      </c>
      <c r="R118" s="24" t="n">
        <v>1</v>
      </c>
      <c r="S118" s="8" t="s">
        <v>521</v>
      </c>
      <c r="T118" s="31" t="n">
        <f aca="false">IF(S118="","",MATCH(S118,'Residual Config'!$L$9:$L$12,0))</f>
        <v>2</v>
      </c>
      <c r="U118" s="8" t="s">
        <v>1033</v>
      </c>
      <c r="V118" s="24" t="n">
        <v>1</v>
      </c>
      <c r="W118" s="33" t="s">
        <v>533</v>
      </c>
      <c r="X118" s="8" t="s">
        <v>760</v>
      </c>
      <c r="Y118" s="51" t="n">
        <f aca="false">IF(N118="","",EDATE(N118,IF(G118="N",INDEX('Residual Config'!$B$31:$D$31,1,MATCH(D118,'Residual Config'!$B$27:$D$27,0)),INDEX('Residual Config'!$B$28:$D$30,IF(T118=1,1,IF(T118=4,3,2)),MATCH(D118,'Residual Config'!$B$27:$D$27,0)))))</f>
        <v>46373</v>
      </c>
      <c r="Z118" s="7" t="str">
        <f aca="false">IF(I118="N/A","N/A",IF(N118="","Not tested",IF(W118="Rejected","Evidence rejected",IF(W118&lt;&gt;"Accepted","Evidence pending",IF(Y118&lt;'Residual Config'!$C$4,"Overdue","Current")))))</f>
        <v>Current</v>
      </c>
      <c r="AA118" s="34" t="n">
        <f aca="false">IF(I118="N/A","",IF(Z118&lt;&gt;"Current",4,IF(MAX(M118,T118)=0,4,MAX(M118,T118))))</f>
        <v>2</v>
      </c>
      <c r="AB118" s="7" t="str">
        <f aca="false">IF(AA118="","N/A",IF(Z118&lt;&gt;"Current","Not tested / overdue",INDEX('Residual Config'!$B$11:$B$14,AA118)))</f>
        <v>Largely effective</v>
      </c>
      <c r="AC118" s="36" t="n">
        <f aca="false">IF(AA118="","",INDEX('Residual Config'!$D$11:$D$14,AA118))</f>
        <v>0.4</v>
      </c>
      <c r="AD118" s="7" t="str">
        <f aca="false">IF(OR(I118="N/A",P118="",Q118=""),"",IF(P118&gt;=Q118,"Yes","No"))</f>
        <v>Yes</v>
      </c>
      <c r="AE118" s="8"/>
    </row>
    <row r="119" customFormat="false" ht="15" hidden="false" customHeight="false" outlineLevel="0" collapsed="false">
      <c r="A119" s="12" t="s">
        <v>1034</v>
      </c>
      <c r="B119" s="26" t="str">
        <f aca="false">Entities!$A$7</f>
        <v>JO-INV</v>
      </c>
      <c r="C119" s="12" t="str">
        <f aca="false">INDEX(Entities!$B$5:$B$34,MATCH(B119,Entities!$A$5:$A$34,0))</f>
        <v>Al-Arabi Investment Group (AB Invest)</v>
      </c>
      <c r="D119" s="7" t="str">
        <f aca="false">INDEX(Entities!$F$5:$F$34,MATCH(B119,Entities!$A$5:$A$34,0))</f>
        <v>Tier 3</v>
      </c>
      <c r="E119" s="26" t="str">
        <f aca="false">'Control Library'!$A$33</f>
        <v>CTL-DP-01</v>
      </c>
      <c r="F119" s="12" t="str">
        <f aca="false">INDEX('Control Library'!$B$5:$B$47,MATCH(E119,'Control Library'!$A$5:$A$47,0))</f>
        <v>Data protection impact assessments and processing records</v>
      </c>
      <c r="G119" s="7" t="str">
        <f aca="false">INDEX('Control Library'!$F$5:$F$47,MATCH(E119,'Control Library'!$A$5:$A$47,0))</f>
        <v>Y</v>
      </c>
      <c r="H119" s="12" t="str">
        <f aca="false">INDEX('Control Library'!$E$5:$E$47,MATCH(E119,'Control Library'!$A$5:$A$47,0))</f>
        <v>Event-driven</v>
      </c>
      <c r="I119" s="7" t="str">
        <f aca="false">IF(INDEX('Control Library'!$I$5:$I$47,MATCH(E119,'Control Library'!$A$5:$A$47,0))="All","Y",IF(INDEX('Control Library'!$I$5:$I$47,MATCH(E119,'Control Library'!$A$5:$A$47,0))="Banks only",IF(COUNTIF('Residual Config'!$L$28:$L$30,INDEX(Entities!$E$5:$E$34,MATCH(B119,Entities!$A$5:$A$34,0)))&gt;0,"N/A","Y"),IF(INDEX(Entities!$G$5:$G$34,MATCH(B119,Entities!$A$5:$A$34,0))="Y","Y","N/A")))</f>
        <v>Y</v>
      </c>
      <c r="J119" s="8" t="s">
        <v>1035</v>
      </c>
      <c r="K119" s="8" t="s">
        <v>975</v>
      </c>
      <c r="L119" s="7" t="str">
        <f aca="false">IF(OR(J119="",K119=""),"",IF(J119=K119,"Breach","OK"))</f>
        <v>OK</v>
      </c>
      <c r="M119" s="24" t="n">
        <v>1</v>
      </c>
      <c r="N119" s="50" t="n">
        <v>46184</v>
      </c>
      <c r="O119" s="8" t="s">
        <v>545</v>
      </c>
      <c r="P119" s="24" t="n">
        <v>25</v>
      </c>
      <c r="Q119" s="31" t="n">
        <f aca="false">IF(I119="N/A","",IFERROR(INDEX('Residual Config'!$B$35:$B$42,MATCH(H119,'Residual Config'!$A$35:$A$42,0)),""))</f>
        <v>25</v>
      </c>
      <c r="R119" s="24" t="n">
        <v>1</v>
      </c>
      <c r="S119" s="8" t="s">
        <v>521</v>
      </c>
      <c r="T119" s="31" t="n">
        <f aca="false">IF(S119="","",MATCH(S119,'Residual Config'!$L$9:$L$12,0))</f>
        <v>2</v>
      </c>
      <c r="U119" s="8" t="s">
        <v>1036</v>
      </c>
      <c r="V119" s="24" t="n">
        <v>5</v>
      </c>
      <c r="W119" s="33" t="s">
        <v>533</v>
      </c>
      <c r="X119" s="8" t="s">
        <v>760</v>
      </c>
      <c r="Y119" s="51" t="n">
        <f aca="false">IF(N119="","",EDATE(N119,IF(G119="N",INDEX('Residual Config'!$B$31:$D$31,1,MATCH(D119,'Residual Config'!$B$27:$D$27,0)),INDEX('Residual Config'!$B$28:$D$30,IF(T119=1,1,IF(T119=4,3,2)),MATCH(D119,'Residual Config'!$B$27:$D$27,0)))))</f>
        <v>46367</v>
      </c>
      <c r="Z119" s="7" t="str">
        <f aca="false">IF(I119="N/A","N/A",IF(N119="","Not tested",IF(W119="Rejected","Evidence rejected",IF(W119&lt;&gt;"Accepted","Evidence pending",IF(Y119&lt;'Residual Config'!$C$4,"Overdue","Current")))))</f>
        <v>Current</v>
      </c>
      <c r="AA119" s="34" t="n">
        <f aca="false">IF(I119="N/A","",IF(Z119&lt;&gt;"Current",4,IF(MAX(M119,T119)=0,4,MAX(M119,T119))))</f>
        <v>2</v>
      </c>
      <c r="AB119" s="7" t="str">
        <f aca="false">IF(AA119="","N/A",IF(Z119&lt;&gt;"Current","Not tested / overdue",INDEX('Residual Config'!$B$11:$B$14,AA119)))</f>
        <v>Largely effective</v>
      </c>
      <c r="AC119" s="36" t="n">
        <f aca="false">IF(AA119="","",INDEX('Residual Config'!$D$11:$D$14,AA119))</f>
        <v>0.4</v>
      </c>
      <c r="AD119" s="7" t="str">
        <f aca="false">IF(OR(I119="N/A",P119="",Q119=""),"",IF(P119&gt;=Q119,"Yes","No"))</f>
        <v>Yes</v>
      </c>
      <c r="AE119" s="8"/>
    </row>
    <row r="120" customFormat="false" ht="15" hidden="false" customHeight="false" outlineLevel="0" collapsed="false">
      <c r="A120" s="12" t="s">
        <v>1037</v>
      </c>
      <c r="B120" s="26" t="str">
        <f aca="false">Entities!$A$7</f>
        <v>JO-INV</v>
      </c>
      <c r="C120" s="12" t="str">
        <f aca="false">INDEX(Entities!$B$5:$B$34,MATCH(B120,Entities!$A$5:$A$34,0))</f>
        <v>Al-Arabi Investment Group (AB Invest)</v>
      </c>
      <c r="D120" s="7" t="str">
        <f aca="false">INDEX(Entities!$F$5:$F$34,MATCH(B120,Entities!$A$5:$A$34,0))</f>
        <v>Tier 3</v>
      </c>
      <c r="E120" s="26" t="str">
        <f aca="false">'Control Library'!$A$34</f>
        <v>CTL-DP-02</v>
      </c>
      <c r="F120" s="12" t="str">
        <f aca="false">INDEX('Control Library'!$B$5:$B$47,MATCH(E120,'Control Library'!$A$5:$A$47,0))</f>
        <v>Data loss prevention and quarterly access recertification</v>
      </c>
      <c r="G120" s="7" t="str">
        <f aca="false">INDEX('Control Library'!$F$5:$F$47,MATCH(E120,'Control Library'!$A$5:$A$47,0))</f>
        <v>Y</v>
      </c>
      <c r="H120" s="12" t="str">
        <f aca="false">INDEX('Control Library'!$E$5:$E$47,MATCH(E120,'Control Library'!$A$5:$A$47,0))</f>
        <v>Quarterly</v>
      </c>
      <c r="I120" s="7" t="str">
        <f aca="false">IF(INDEX('Control Library'!$I$5:$I$47,MATCH(E120,'Control Library'!$A$5:$A$47,0))="All","Y",IF(INDEX('Control Library'!$I$5:$I$47,MATCH(E120,'Control Library'!$A$5:$A$47,0))="Banks only",IF(COUNTIF('Residual Config'!$L$28:$L$30,INDEX(Entities!$E$5:$E$34,MATCH(B120,Entities!$A$5:$A$34,0)))&gt;0,"N/A","Y"),IF(INDEX(Entities!$G$5:$G$34,MATCH(B120,Entities!$A$5:$A$34,0))="Y","Y","N/A")))</f>
        <v>Y</v>
      </c>
      <c r="J120" s="8" t="s">
        <v>1038</v>
      </c>
      <c r="K120" s="8" t="s">
        <v>975</v>
      </c>
      <c r="L120" s="7" t="str">
        <f aca="false">IF(OR(J120="",K120=""),"",IF(J120=K120,"Breach","OK"))</f>
        <v>OK</v>
      </c>
      <c r="M120" s="24" t="n">
        <v>2</v>
      </c>
      <c r="N120" s="50" t="n">
        <v>46270</v>
      </c>
      <c r="O120" s="8" t="s">
        <v>545</v>
      </c>
      <c r="P120" s="24" t="n">
        <v>2</v>
      </c>
      <c r="Q120" s="31" t="n">
        <f aca="false">IF(I120="N/A","",IFERROR(INDEX('Residual Config'!$B$35:$B$42,MATCH(H120,'Residual Config'!$A$35:$A$42,0)),""))</f>
        <v>2</v>
      </c>
      <c r="R120" s="24" t="n">
        <v>1</v>
      </c>
      <c r="S120" s="8" t="s">
        <v>521</v>
      </c>
      <c r="T120" s="31" t="n">
        <f aca="false">IF(S120="","",MATCH(S120,'Residual Config'!$L$9:$L$12,0))</f>
        <v>2</v>
      </c>
      <c r="U120" s="8" t="s">
        <v>1039</v>
      </c>
      <c r="V120" s="24" t="n">
        <v>6</v>
      </c>
      <c r="W120" s="33" t="s">
        <v>533</v>
      </c>
      <c r="X120" s="8" t="s">
        <v>754</v>
      </c>
      <c r="Y120" s="51" t="n">
        <f aca="false">IF(N120="","",EDATE(N120,IF(G120="N",INDEX('Residual Config'!$B$31:$D$31,1,MATCH(D120,'Residual Config'!$B$27:$D$27,0)),INDEX('Residual Config'!$B$28:$D$30,IF(T120=1,1,IF(T120=4,3,2)),MATCH(D120,'Residual Config'!$B$27:$D$27,0)))))</f>
        <v>46451</v>
      </c>
      <c r="Z120" s="7" t="str">
        <f aca="false">IF(I120="N/A","N/A",IF(N120="","Not tested",IF(W120="Rejected","Evidence rejected",IF(W120&lt;&gt;"Accepted","Evidence pending",IF(Y120&lt;'Residual Config'!$C$4,"Overdue","Current")))))</f>
        <v>Current</v>
      </c>
      <c r="AA120" s="34" t="n">
        <f aca="false">IF(I120="N/A","",IF(Z120&lt;&gt;"Current",4,IF(MAX(M120,T120)=0,4,MAX(M120,T120))))</f>
        <v>2</v>
      </c>
      <c r="AB120" s="7" t="str">
        <f aca="false">IF(AA120="","N/A",IF(Z120&lt;&gt;"Current","Not tested / overdue",INDEX('Residual Config'!$B$11:$B$14,AA120)))</f>
        <v>Largely effective</v>
      </c>
      <c r="AC120" s="36" t="n">
        <f aca="false">IF(AA120="","",INDEX('Residual Config'!$D$11:$D$14,AA120))</f>
        <v>0.4</v>
      </c>
      <c r="AD120" s="7" t="str">
        <f aca="false">IF(OR(I120="N/A",P120="",Q120=""),"",IF(P120&gt;=Q120,"Yes","No"))</f>
        <v>Yes</v>
      </c>
      <c r="AE120" s="8"/>
    </row>
    <row r="121" customFormat="false" ht="15" hidden="false" customHeight="false" outlineLevel="0" collapsed="false">
      <c r="A121" s="12" t="s">
        <v>1040</v>
      </c>
      <c r="B121" s="26" t="str">
        <f aca="false">Entities!$A$7</f>
        <v>JO-INV</v>
      </c>
      <c r="C121" s="12" t="str">
        <f aca="false">INDEX(Entities!$B$5:$B$34,MATCH(B121,Entities!$A$5:$A$34,0))</f>
        <v>Al-Arabi Investment Group (AB Invest)</v>
      </c>
      <c r="D121" s="7" t="str">
        <f aca="false">INDEX(Entities!$F$5:$F$34,MATCH(B121,Entities!$A$5:$A$34,0))</f>
        <v>Tier 3</v>
      </c>
      <c r="E121" s="26" t="str">
        <f aca="false">'Control Library'!$A$35</f>
        <v>CTL-SH-01</v>
      </c>
      <c r="F121" s="12" t="str">
        <f aca="false">INDEX('Control Library'!$B$5:$B$47,MATCH(E121,'Control Library'!$A$5:$A$47,0))</f>
        <v>Shariah review of products and income purification</v>
      </c>
      <c r="G121" s="7" t="str">
        <f aca="false">INDEX('Control Library'!$F$5:$F$47,MATCH(E121,'Control Library'!$A$5:$A$47,0))</f>
        <v>Y</v>
      </c>
      <c r="H121" s="12" t="str">
        <f aca="false">INDEX('Control Library'!$E$5:$E$47,MATCH(E121,'Control Library'!$A$5:$A$47,0))</f>
        <v>Quarterly</v>
      </c>
      <c r="I121" s="7" t="str">
        <f aca="false">IF(INDEX('Control Library'!$I$5:$I$47,MATCH(E121,'Control Library'!$A$5:$A$47,0))="All","Y",IF(INDEX('Control Library'!$I$5:$I$47,MATCH(E121,'Control Library'!$A$5:$A$47,0))="Banks only",IF(COUNTIF('Residual Config'!$L$28:$L$30,INDEX(Entities!$E$5:$E$34,MATCH(B121,Entities!$A$5:$A$34,0)))&gt;0,"N/A","Y"),IF(INDEX(Entities!$G$5:$G$34,MATCH(B121,Entities!$A$5:$A$34,0))="Y","Y","N/A")))</f>
        <v>N/A</v>
      </c>
      <c r="J121" s="8"/>
      <c r="K121" s="8"/>
      <c r="L121" s="7" t="str">
        <f aca="false">IF(OR(J121="",K121=""),"",IF(J121=K121,"Breach","OK"))</f>
        <v/>
      </c>
      <c r="M121" s="24"/>
      <c r="N121" s="50"/>
      <c r="O121" s="8"/>
      <c r="P121" s="24"/>
      <c r="Q121" s="31" t="str">
        <f aca="false">IF(I121="N/A","",IFERROR(INDEX('Residual Config'!$B$35:$B$42,MATCH(H121,'Residual Config'!$A$35:$A$42,0)),""))</f>
        <v/>
      </c>
      <c r="R121" s="24"/>
      <c r="S121" s="8"/>
      <c r="T121" s="31" t="str">
        <f aca="false">IF(S121="","",MATCH(S121,'Residual Config'!$L$9:$L$12,0))</f>
        <v/>
      </c>
      <c r="U121" s="8"/>
      <c r="V121" s="24"/>
      <c r="W121" s="33"/>
      <c r="X121" s="8"/>
      <c r="Y121" s="51" t="str">
        <f aca="false">IF(N121="","",EDATE(N121,IF(G121="N",INDEX('Residual Config'!$B$31:$D$31,1,MATCH(D121,'Residual Config'!$B$27:$D$27,0)),INDEX('Residual Config'!$B$28:$D$30,IF(T121=1,1,IF(T121=4,3,2)),MATCH(D121,'Residual Config'!$B$27:$D$27,0)))))</f>
        <v/>
      </c>
      <c r="Z121" s="7" t="str">
        <f aca="false">IF(I121="N/A","N/A",IF(N121="","Not tested",IF(W121="Rejected","Evidence rejected",IF(W121&lt;&gt;"Accepted","Evidence pending",IF(Y121&lt;'Residual Config'!$C$4,"Overdue","Current")))))</f>
        <v>N/A</v>
      </c>
      <c r="AA121" s="34" t="str">
        <f aca="false">IF(I121="N/A","",IF(Z121&lt;&gt;"Current",4,IF(MAX(M121,T121)=0,4,MAX(M121,T121))))</f>
        <v/>
      </c>
      <c r="AB121" s="7" t="str">
        <f aca="false">IF(AA121="","N/A",IF(Z121&lt;&gt;"Current","Not tested / overdue",INDEX('Residual Config'!$B$11:$B$14,AA121)))</f>
        <v>N/A</v>
      </c>
      <c r="AC121" s="36" t="str">
        <f aca="false">IF(AA121="","",INDEX('Residual Config'!$D$11:$D$14,AA121))</f>
        <v/>
      </c>
      <c r="AD121" s="7" t="str">
        <f aca="false">IF(OR(I121="N/A",P121="",Q121=""),"",IF(P121&gt;=Q121,"Yes","No"))</f>
        <v/>
      </c>
      <c r="AE121" s="8"/>
    </row>
    <row r="122" customFormat="false" ht="15" hidden="false" customHeight="false" outlineLevel="0" collapsed="false">
      <c r="A122" s="12" t="s">
        <v>1041</v>
      </c>
      <c r="B122" s="26" t="str">
        <f aca="false">Entities!$A$7</f>
        <v>JO-INV</v>
      </c>
      <c r="C122" s="12" t="str">
        <f aca="false">INDEX(Entities!$B$5:$B$34,MATCH(B122,Entities!$A$5:$A$34,0))</f>
        <v>Al-Arabi Investment Group (AB Invest)</v>
      </c>
      <c r="D122" s="7" t="str">
        <f aca="false">INDEX(Entities!$F$5:$F$34,MATCH(B122,Entities!$A$5:$A$34,0))</f>
        <v>Tier 3</v>
      </c>
      <c r="E122" s="26" t="str">
        <f aca="false">'Control Library'!$A$36</f>
        <v>CTL-CR-01</v>
      </c>
      <c r="F122" s="12" t="str">
        <f aca="false">INDEX('Control Library'!$B$5:$B$47,MATCH(E122,'Control Library'!$A$5:$A$47,0))</f>
        <v>Credit approval authorities and committee review</v>
      </c>
      <c r="G122" s="7" t="str">
        <f aca="false">INDEX('Control Library'!$F$5:$F$47,MATCH(E122,'Control Library'!$A$5:$A$47,0))</f>
        <v>Y</v>
      </c>
      <c r="H122" s="12" t="str">
        <f aca="false">INDEX('Control Library'!$E$5:$E$47,MATCH(E122,'Control Library'!$A$5:$A$47,0))</f>
        <v>Event-driven</v>
      </c>
      <c r="I122" s="7" t="str">
        <f aca="false">IF(INDEX('Control Library'!$I$5:$I$47,MATCH(E122,'Control Library'!$A$5:$A$47,0))="All","Y",IF(INDEX('Control Library'!$I$5:$I$47,MATCH(E122,'Control Library'!$A$5:$A$47,0))="Banks only",IF(COUNTIF('Residual Config'!$L$28:$L$30,INDEX(Entities!$E$5:$E$34,MATCH(B122,Entities!$A$5:$A$34,0)))&gt;0,"N/A","Y"),IF(INDEX(Entities!$G$5:$G$34,MATCH(B122,Entities!$A$5:$A$34,0))="Y","Y","N/A")))</f>
        <v>Y</v>
      </c>
      <c r="J122" s="8" t="s">
        <v>1042</v>
      </c>
      <c r="K122" s="8" t="s">
        <v>975</v>
      </c>
      <c r="L122" s="7" t="str">
        <f aca="false">IF(OR(J122="",K122=""),"",IF(J122=K122,"Breach","OK"))</f>
        <v>OK</v>
      </c>
      <c r="M122" s="24" t="n">
        <v>1</v>
      </c>
      <c r="N122" s="50" t="n">
        <v>46225</v>
      </c>
      <c r="O122" s="8" t="s">
        <v>545</v>
      </c>
      <c r="P122" s="24" t="n">
        <v>35</v>
      </c>
      <c r="Q122" s="31" t="n">
        <f aca="false">IF(I122="N/A","",IFERROR(INDEX('Residual Config'!$B$35:$B$42,MATCH(H122,'Residual Config'!$A$35:$A$42,0)),""))</f>
        <v>25</v>
      </c>
      <c r="R122" s="24" t="n">
        <v>1</v>
      </c>
      <c r="S122" s="8" t="s">
        <v>521</v>
      </c>
      <c r="T122" s="31" t="n">
        <f aca="false">IF(S122="","",MATCH(S122,'Residual Config'!$L$9:$L$12,0))</f>
        <v>2</v>
      </c>
      <c r="U122" s="8" t="s">
        <v>1043</v>
      </c>
      <c r="V122" s="24" t="n">
        <v>1</v>
      </c>
      <c r="W122" s="33" t="s">
        <v>533</v>
      </c>
      <c r="X122" s="8" t="s">
        <v>760</v>
      </c>
      <c r="Y122" s="51" t="n">
        <f aca="false">IF(N122="","",EDATE(N122,IF(G122="N",INDEX('Residual Config'!$B$31:$D$31,1,MATCH(D122,'Residual Config'!$B$27:$D$27,0)),INDEX('Residual Config'!$B$28:$D$30,IF(T122=1,1,IF(T122=4,3,2)),MATCH(D122,'Residual Config'!$B$27:$D$27,0)))))</f>
        <v>46409</v>
      </c>
      <c r="Z122" s="7" t="str">
        <f aca="false">IF(I122="N/A","N/A",IF(N122="","Not tested",IF(W122="Rejected","Evidence rejected",IF(W122&lt;&gt;"Accepted","Evidence pending",IF(Y122&lt;'Residual Config'!$C$4,"Overdue","Current")))))</f>
        <v>Current</v>
      </c>
      <c r="AA122" s="34" t="n">
        <f aca="false">IF(I122="N/A","",IF(Z122&lt;&gt;"Current",4,IF(MAX(M122,T122)=0,4,MAX(M122,T122))))</f>
        <v>2</v>
      </c>
      <c r="AB122" s="7" t="str">
        <f aca="false">IF(AA122="","N/A",IF(Z122&lt;&gt;"Current","Not tested / overdue",INDEX('Residual Config'!$B$11:$B$14,AA122)))</f>
        <v>Largely effective</v>
      </c>
      <c r="AC122" s="36" t="n">
        <f aca="false">IF(AA122="","",INDEX('Residual Config'!$D$11:$D$14,AA122))</f>
        <v>0.4</v>
      </c>
      <c r="AD122" s="7" t="str">
        <f aca="false">IF(OR(I122="N/A",P122="",Q122=""),"",IF(P122&gt;=Q122,"Yes","No"))</f>
        <v>Yes</v>
      </c>
      <c r="AE122" s="8"/>
    </row>
    <row r="123" customFormat="false" ht="15" hidden="false" customHeight="false" outlineLevel="0" collapsed="false">
      <c r="A123" s="12" t="s">
        <v>1044</v>
      </c>
      <c r="B123" s="26" t="str">
        <f aca="false">Entities!$A$7</f>
        <v>JO-INV</v>
      </c>
      <c r="C123" s="12" t="str">
        <f aca="false">INDEX(Entities!$B$5:$B$34,MATCH(B123,Entities!$A$5:$A$34,0))</f>
        <v>Al-Arabi Investment Group (AB Invest)</v>
      </c>
      <c r="D123" s="7" t="str">
        <f aca="false">INDEX(Entities!$F$5:$F$34,MATCH(B123,Entities!$A$5:$A$34,0))</f>
        <v>Tier 3</v>
      </c>
      <c r="E123" s="26" t="str">
        <f aca="false">'Control Library'!$A$37</f>
        <v>CTL-CR-02</v>
      </c>
      <c r="F123" s="12" t="str">
        <f aca="false">INDEX('Control Library'!$B$5:$B$47,MATCH(E123,'Control Library'!$A$5:$A$47,0))</f>
        <v>Collateral valuation and exposure limit monitoring</v>
      </c>
      <c r="G123" s="7" t="str">
        <f aca="false">INDEX('Control Library'!$F$5:$F$47,MATCH(E123,'Control Library'!$A$5:$A$47,0))</f>
        <v>N</v>
      </c>
      <c r="H123" s="12" t="str">
        <f aca="false">INDEX('Control Library'!$E$5:$E$47,MATCH(E123,'Control Library'!$A$5:$A$47,0))</f>
        <v>Monthly</v>
      </c>
      <c r="I123" s="7" t="str">
        <f aca="false">IF(INDEX('Control Library'!$I$5:$I$47,MATCH(E123,'Control Library'!$A$5:$A$47,0))="All","Y",IF(INDEX('Control Library'!$I$5:$I$47,MATCH(E123,'Control Library'!$A$5:$A$47,0))="Banks only",IF(COUNTIF('Residual Config'!$L$28:$L$30,INDEX(Entities!$E$5:$E$34,MATCH(B123,Entities!$A$5:$A$34,0)))&gt;0,"N/A","Y"),IF(INDEX(Entities!$G$5:$G$34,MATCH(B123,Entities!$A$5:$A$34,0))="Y","Y","N/A")))</f>
        <v>Y</v>
      </c>
      <c r="J123" s="8" t="s">
        <v>1045</v>
      </c>
      <c r="K123" s="8" t="s">
        <v>975</v>
      </c>
      <c r="L123" s="7" t="str">
        <f aca="false">IF(OR(J123="",K123=""),"",IF(J123=K123,"Breach","OK"))</f>
        <v>OK</v>
      </c>
      <c r="M123" s="24" t="n">
        <v>1</v>
      </c>
      <c r="N123" s="50" t="n">
        <v>46221</v>
      </c>
      <c r="O123" s="8" t="s">
        <v>546</v>
      </c>
      <c r="P123" s="24" t="n">
        <v>3</v>
      </c>
      <c r="Q123" s="31" t="n">
        <f aca="false">IF(I123="N/A","",IFERROR(INDEX('Residual Config'!$B$35:$B$42,MATCH(H123,'Residual Config'!$A$35:$A$42,0)),""))</f>
        <v>3</v>
      </c>
      <c r="R123" s="24" t="n">
        <v>1</v>
      </c>
      <c r="S123" s="8" t="s">
        <v>521</v>
      </c>
      <c r="T123" s="31" t="n">
        <f aca="false">IF(S123="","",MATCH(S123,'Residual Config'!$L$9:$L$12,0))</f>
        <v>2</v>
      </c>
      <c r="U123" s="8" t="s">
        <v>1046</v>
      </c>
      <c r="V123" s="24" t="n">
        <v>6</v>
      </c>
      <c r="W123" s="33" t="s">
        <v>533</v>
      </c>
      <c r="X123" s="8" t="s">
        <v>760</v>
      </c>
      <c r="Y123" s="51" t="n">
        <f aca="false">IF(N123="","",EDATE(N123,IF(G123="N",INDEX('Residual Config'!$B$31:$D$31,1,MATCH(D123,'Residual Config'!$B$27:$D$27,0)),INDEX('Residual Config'!$B$28:$D$30,IF(T123=1,1,IF(T123=4,3,2)),MATCH(D123,'Residual Config'!$B$27:$D$27,0)))))</f>
        <v>46952</v>
      </c>
      <c r="Z123" s="7" t="str">
        <f aca="false">IF(I123="N/A","N/A",IF(N123="","Not tested",IF(W123="Rejected","Evidence rejected",IF(W123&lt;&gt;"Accepted","Evidence pending",IF(Y123&lt;'Residual Config'!$C$4,"Overdue","Current")))))</f>
        <v>Current</v>
      </c>
      <c r="AA123" s="34" t="n">
        <f aca="false">IF(I123="N/A","",IF(Z123&lt;&gt;"Current",4,IF(MAX(M123,T123)=0,4,MAX(M123,T123))))</f>
        <v>2</v>
      </c>
      <c r="AB123" s="7" t="str">
        <f aca="false">IF(AA123="","N/A",IF(Z123&lt;&gt;"Current","Not tested / overdue",INDEX('Residual Config'!$B$11:$B$14,AA123)))</f>
        <v>Largely effective</v>
      </c>
      <c r="AC123" s="36" t="n">
        <f aca="false">IF(AA123="","",INDEX('Residual Config'!$D$11:$D$14,AA123))</f>
        <v>0.4</v>
      </c>
      <c r="AD123" s="7" t="str">
        <f aca="false">IF(OR(I123="N/A",P123="",Q123=""),"",IF(P123&gt;=Q123,"Yes","No"))</f>
        <v>Yes</v>
      </c>
      <c r="AE123" s="8"/>
    </row>
    <row r="124" customFormat="false" ht="15" hidden="false" customHeight="false" outlineLevel="0" collapsed="false">
      <c r="A124" s="12" t="s">
        <v>1047</v>
      </c>
      <c r="B124" s="26" t="str">
        <f aca="false">Entities!$A$7</f>
        <v>JO-INV</v>
      </c>
      <c r="C124" s="12" t="str">
        <f aca="false">INDEX(Entities!$B$5:$B$34,MATCH(B124,Entities!$A$5:$A$34,0))</f>
        <v>Al-Arabi Investment Group (AB Invest)</v>
      </c>
      <c r="D124" s="7" t="str">
        <f aca="false">INDEX(Entities!$F$5:$F$34,MATCH(B124,Entities!$A$5:$A$34,0))</f>
        <v>Tier 3</v>
      </c>
      <c r="E124" s="26" t="str">
        <f aca="false">'Control Library'!$A$38</f>
        <v>CTL-MR-01</v>
      </c>
      <c r="F124" s="12" t="str">
        <f aca="false">INDEX('Control Library'!$B$5:$B$47,MATCH(E124,'Control Library'!$A$5:$A$47,0))</f>
        <v>Market risk limits and daily VaR monitoring</v>
      </c>
      <c r="G124" s="7" t="str">
        <f aca="false">INDEX('Control Library'!$F$5:$F$47,MATCH(E124,'Control Library'!$A$5:$A$47,0))</f>
        <v>Y</v>
      </c>
      <c r="H124" s="12" t="str">
        <f aca="false">INDEX('Control Library'!$E$5:$E$47,MATCH(E124,'Control Library'!$A$5:$A$47,0))</f>
        <v>Daily</v>
      </c>
      <c r="I124" s="7" t="str">
        <f aca="false">IF(INDEX('Control Library'!$I$5:$I$47,MATCH(E124,'Control Library'!$A$5:$A$47,0))="All","Y",IF(INDEX('Control Library'!$I$5:$I$47,MATCH(E124,'Control Library'!$A$5:$A$47,0))="Banks only",IF(COUNTIF('Residual Config'!$L$28:$L$30,INDEX(Entities!$E$5:$E$34,MATCH(B124,Entities!$A$5:$A$34,0)))&gt;0,"N/A","Y"),IF(INDEX(Entities!$G$5:$G$34,MATCH(B124,Entities!$A$5:$A$34,0))="Y","Y","N/A")))</f>
        <v>Y</v>
      </c>
      <c r="J124" s="8" t="s">
        <v>1045</v>
      </c>
      <c r="K124" s="8" t="s">
        <v>975</v>
      </c>
      <c r="L124" s="7" t="str">
        <f aca="false">IF(OR(J124="",K124=""),"",IF(J124=K124,"Breach","OK"))</f>
        <v>OK</v>
      </c>
      <c r="M124" s="24" t="n">
        <v>2</v>
      </c>
      <c r="N124" s="50" t="n">
        <v>46171</v>
      </c>
      <c r="O124" s="8" t="s">
        <v>547</v>
      </c>
      <c r="P124" s="24" t="n">
        <v>30</v>
      </c>
      <c r="Q124" s="31" t="n">
        <f aca="false">IF(I124="N/A","",IFERROR(INDEX('Residual Config'!$B$35:$B$42,MATCH(H124,'Residual Config'!$A$35:$A$42,0)),""))</f>
        <v>25</v>
      </c>
      <c r="R124" s="24" t="n">
        <v>1</v>
      </c>
      <c r="S124" s="8" t="s">
        <v>521</v>
      </c>
      <c r="T124" s="31" t="n">
        <f aca="false">IF(S124="","",MATCH(S124,'Residual Config'!$L$9:$L$12,0))</f>
        <v>2</v>
      </c>
      <c r="U124" s="8" t="s">
        <v>1048</v>
      </c>
      <c r="V124" s="24" t="n">
        <v>2</v>
      </c>
      <c r="W124" s="33" t="s">
        <v>533</v>
      </c>
      <c r="X124" s="8" t="s">
        <v>760</v>
      </c>
      <c r="Y124" s="51" t="n">
        <f aca="false">IF(N124="","",EDATE(N124,IF(G124="N",INDEX('Residual Config'!$B$31:$D$31,1,MATCH(D124,'Residual Config'!$B$27:$D$27,0)),INDEX('Residual Config'!$B$28:$D$30,IF(T124=1,1,IF(T124=4,3,2)),MATCH(D124,'Residual Config'!$B$27:$D$27,0)))))</f>
        <v>46355</v>
      </c>
      <c r="Z124" s="7" t="str">
        <f aca="false">IF(I124="N/A","N/A",IF(N124="","Not tested",IF(W124="Rejected","Evidence rejected",IF(W124&lt;&gt;"Accepted","Evidence pending",IF(Y124&lt;'Residual Config'!$C$4,"Overdue","Current")))))</f>
        <v>Current</v>
      </c>
      <c r="AA124" s="34" t="n">
        <f aca="false">IF(I124="N/A","",IF(Z124&lt;&gt;"Current",4,IF(MAX(M124,T124)=0,4,MAX(M124,T124))))</f>
        <v>2</v>
      </c>
      <c r="AB124" s="7" t="str">
        <f aca="false">IF(AA124="","N/A",IF(Z124&lt;&gt;"Current","Not tested / overdue",INDEX('Residual Config'!$B$11:$B$14,AA124)))</f>
        <v>Largely effective</v>
      </c>
      <c r="AC124" s="36" t="n">
        <f aca="false">IF(AA124="","",INDEX('Residual Config'!$D$11:$D$14,AA124))</f>
        <v>0.4</v>
      </c>
      <c r="AD124" s="7" t="str">
        <f aca="false">IF(OR(I124="N/A",P124="",Q124=""),"",IF(P124&gt;=Q124,"Yes","No"))</f>
        <v>Yes</v>
      </c>
      <c r="AE124" s="8"/>
    </row>
    <row r="125" customFormat="false" ht="15" hidden="false" customHeight="false" outlineLevel="0" collapsed="false">
      <c r="A125" s="12" t="s">
        <v>1049</v>
      </c>
      <c r="B125" s="26" t="str">
        <f aca="false">Entities!$A$7</f>
        <v>JO-INV</v>
      </c>
      <c r="C125" s="12" t="str">
        <f aca="false">INDEX(Entities!$B$5:$B$34,MATCH(B125,Entities!$A$5:$A$34,0))</f>
        <v>Al-Arabi Investment Group (AB Invest)</v>
      </c>
      <c r="D125" s="7" t="str">
        <f aca="false">INDEX(Entities!$F$5:$F$34,MATCH(B125,Entities!$A$5:$A$34,0))</f>
        <v>Tier 3</v>
      </c>
      <c r="E125" s="26" t="str">
        <f aca="false">'Control Library'!$A$39</f>
        <v>CTL-LQ-01</v>
      </c>
      <c r="F125" s="12" t="str">
        <f aca="false">INDEX('Control Library'!$B$5:$B$47,MATCH(E125,'Control Library'!$A$5:$A$47,0))</f>
        <v>Liquidity buffers, LCR/NSFR monitoring and contingency funding plan</v>
      </c>
      <c r="G125" s="7" t="str">
        <f aca="false">INDEX('Control Library'!$F$5:$F$47,MATCH(E125,'Control Library'!$A$5:$A$47,0))</f>
        <v>Y</v>
      </c>
      <c r="H125" s="12" t="str">
        <f aca="false">INDEX('Control Library'!$E$5:$E$47,MATCH(E125,'Control Library'!$A$5:$A$47,0))</f>
        <v>Daily</v>
      </c>
      <c r="I125" s="7" t="str">
        <f aca="false">IF(INDEX('Control Library'!$I$5:$I$47,MATCH(E125,'Control Library'!$A$5:$A$47,0))="All","Y",IF(INDEX('Control Library'!$I$5:$I$47,MATCH(E125,'Control Library'!$A$5:$A$47,0))="Banks only",IF(COUNTIF('Residual Config'!$L$28:$L$30,INDEX(Entities!$E$5:$E$34,MATCH(B125,Entities!$A$5:$A$34,0)))&gt;0,"N/A","Y"),IF(INDEX(Entities!$G$5:$G$34,MATCH(B125,Entities!$A$5:$A$34,0))="Y","Y","N/A")))</f>
        <v>Y</v>
      </c>
      <c r="J125" s="8" t="s">
        <v>1050</v>
      </c>
      <c r="K125" s="8" t="s">
        <v>975</v>
      </c>
      <c r="L125" s="7" t="str">
        <f aca="false">IF(OR(J125="",K125=""),"",IF(J125=K125,"Breach","OK"))</f>
        <v>OK</v>
      </c>
      <c r="M125" s="24" t="n">
        <v>2</v>
      </c>
      <c r="N125" s="50" t="n">
        <v>46255</v>
      </c>
      <c r="O125" s="8" t="s">
        <v>545</v>
      </c>
      <c r="P125" s="24" t="n">
        <v>30</v>
      </c>
      <c r="Q125" s="31" t="n">
        <f aca="false">IF(I125="N/A","",IFERROR(INDEX('Residual Config'!$B$35:$B$42,MATCH(H125,'Residual Config'!$A$35:$A$42,0)),""))</f>
        <v>25</v>
      </c>
      <c r="R125" s="24" t="n">
        <v>1</v>
      </c>
      <c r="S125" s="8" t="s">
        <v>521</v>
      </c>
      <c r="T125" s="31" t="n">
        <f aca="false">IF(S125="","",MATCH(S125,'Residual Config'!$L$9:$L$12,0))</f>
        <v>2</v>
      </c>
      <c r="U125" s="8" t="s">
        <v>1051</v>
      </c>
      <c r="V125" s="24" t="n">
        <v>5</v>
      </c>
      <c r="W125" s="33" t="s">
        <v>533</v>
      </c>
      <c r="X125" s="8" t="s">
        <v>760</v>
      </c>
      <c r="Y125" s="51" t="n">
        <f aca="false">IF(N125="","",EDATE(N125,IF(G125="N",INDEX('Residual Config'!$B$31:$D$31,1,MATCH(D125,'Residual Config'!$B$27:$D$27,0)),INDEX('Residual Config'!$B$28:$D$30,IF(T125=1,1,IF(T125=4,3,2)),MATCH(D125,'Residual Config'!$B$27:$D$27,0)))))</f>
        <v>46439</v>
      </c>
      <c r="Z125" s="7" t="str">
        <f aca="false">IF(I125="N/A","N/A",IF(N125="","Not tested",IF(W125="Rejected","Evidence rejected",IF(W125&lt;&gt;"Accepted","Evidence pending",IF(Y125&lt;'Residual Config'!$C$4,"Overdue","Current")))))</f>
        <v>Current</v>
      </c>
      <c r="AA125" s="34" t="n">
        <f aca="false">IF(I125="N/A","",IF(Z125&lt;&gt;"Current",4,IF(MAX(M125,T125)=0,4,MAX(M125,T125))))</f>
        <v>2</v>
      </c>
      <c r="AB125" s="7" t="str">
        <f aca="false">IF(AA125="","N/A",IF(Z125&lt;&gt;"Current","Not tested / overdue",INDEX('Residual Config'!$B$11:$B$14,AA125)))</f>
        <v>Largely effective</v>
      </c>
      <c r="AC125" s="36" t="n">
        <f aca="false">IF(AA125="","",INDEX('Residual Config'!$D$11:$D$14,AA125))</f>
        <v>0.4</v>
      </c>
      <c r="AD125" s="7" t="str">
        <f aca="false">IF(OR(I125="N/A",P125="",Q125=""),"",IF(P125&gt;=Q125,"Yes","No"))</f>
        <v>Yes</v>
      </c>
      <c r="AE125" s="8"/>
    </row>
    <row r="126" customFormat="false" ht="15" hidden="false" customHeight="false" outlineLevel="0" collapsed="false">
      <c r="A126" s="12" t="s">
        <v>1052</v>
      </c>
      <c r="B126" s="26" t="str">
        <f aca="false">Entities!$A$7</f>
        <v>JO-INV</v>
      </c>
      <c r="C126" s="12" t="str">
        <f aca="false">INDEX(Entities!$B$5:$B$34,MATCH(B126,Entities!$A$5:$A$34,0))</f>
        <v>Al-Arabi Investment Group (AB Invest)</v>
      </c>
      <c r="D126" s="7" t="str">
        <f aca="false">INDEX(Entities!$F$5:$F$34,MATCH(B126,Entities!$A$5:$A$34,0))</f>
        <v>Tier 3</v>
      </c>
      <c r="E126" s="26" t="str">
        <f aca="false">'Control Library'!$A$40</f>
        <v>CTL-OR-01</v>
      </c>
      <c r="F126" s="12" t="str">
        <f aca="false">INDEX('Control Library'!$B$5:$B$47,MATCH(E126,'Control Library'!$A$5:$A$47,0))</f>
        <v>Business continuity plans and annual testing</v>
      </c>
      <c r="G126" s="7" t="str">
        <f aca="false">INDEX('Control Library'!$F$5:$F$47,MATCH(E126,'Control Library'!$A$5:$A$47,0))</f>
        <v>Y</v>
      </c>
      <c r="H126" s="12" t="str">
        <f aca="false">INDEX('Control Library'!$E$5:$E$47,MATCH(E126,'Control Library'!$A$5:$A$47,0))</f>
        <v>Annual</v>
      </c>
      <c r="I126" s="7" t="str">
        <f aca="false">IF(INDEX('Control Library'!$I$5:$I$47,MATCH(E126,'Control Library'!$A$5:$A$47,0))="All","Y",IF(INDEX('Control Library'!$I$5:$I$47,MATCH(E126,'Control Library'!$A$5:$A$47,0))="Banks only",IF(COUNTIF('Residual Config'!$L$28:$L$30,INDEX(Entities!$E$5:$E$34,MATCH(B126,Entities!$A$5:$A$34,0)))&gt;0,"N/A","Y"),IF(INDEX(Entities!$G$5:$G$34,MATCH(B126,Entities!$A$5:$A$34,0))="Y","Y","N/A")))</f>
        <v>Y</v>
      </c>
      <c r="J126" s="8" t="s">
        <v>1053</v>
      </c>
      <c r="K126" s="8" t="s">
        <v>975</v>
      </c>
      <c r="L126" s="7" t="str">
        <f aca="false">IF(OR(J126="",K126=""),"",IF(J126=K126,"Breach","OK"))</f>
        <v>OK</v>
      </c>
      <c r="M126" s="24" t="n">
        <v>2</v>
      </c>
      <c r="N126" s="50" t="n">
        <v>46012</v>
      </c>
      <c r="O126" s="8" t="s">
        <v>545</v>
      </c>
      <c r="P126" s="24" t="n">
        <v>1</v>
      </c>
      <c r="Q126" s="31" t="n">
        <f aca="false">IF(I126="N/A","",IFERROR(INDEX('Residual Config'!$B$35:$B$42,MATCH(H126,'Residual Config'!$A$35:$A$42,0)),""))</f>
        <v>1</v>
      </c>
      <c r="R126" s="24" t="n">
        <v>0</v>
      </c>
      <c r="S126" s="8" t="s">
        <v>516</v>
      </c>
      <c r="T126" s="31" t="n">
        <f aca="false">IF(S126="","",MATCH(S126,'Residual Config'!$L$9:$L$12,0))</f>
        <v>1</v>
      </c>
      <c r="U126" s="8" t="s">
        <v>1054</v>
      </c>
      <c r="V126" s="24" t="n">
        <v>6</v>
      </c>
      <c r="W126" s="33" t="s">
        <v>533</v>
      </c>
      <c r="X126" s="8" t="s">
        <v>754</v>
      </c>
      <c r="Y126" s="51" t="n">
        <f aca="false">IF(N126="","",EDATE(N126,IF(G126="N",INDEX('Residual Config'!$B$31:$D$31,1,MATCH(D126,'Residual Config'!$B$27:$D$27,0)),INDEX('Residual Config'!$B$28:$D$30,IF(T126=1,1,IF(T126=4,3,2)),MATCH(D126,'Residual Config'!$B$27:$D$27,0)))))</f>
        <v>46377</v>
      </c>
      <c r="Z126" s="7" t="str">
        <f aca="false">IF(I126="N/A","N/A",IF(N126="","Not tested",IF(W126="Rejected","Evidence rejected",IF(W126&lt;&gt;"Accepted","Evidence pending",IF(Y126&lt;'Residual Config'!$C$4,"Overdue","Current")))))</f>
        <v>Current</v>
      </c>
      <c r="AA126" s="34" t="n">
        <f aca="false">IF(I126="N/A","",IF(Z126&lt;&gt;"Current",4,IF(MAX(M126,T126)=0,4,MAX(M126,T126))))</f>
        <v>2</v>
      </c>
      <c r="AB126" s="7" t="str">
        <f aca="false">IF(AA126="","N/A",IF(Z126&lt;&gt;"Current","Not tested / overdue",INDEX('Residual Config'!$B$11:$B$14,AA126)))</f>
        <v>Largely effective</v>
      </c>
      <c r="AC126" s="36" t="n">
        <f aca="false">IF(AA126="","",INDEX('Residual Config'!$D$11:$D$14,AA126))</f>
        <v>0.4</v>
      </c>
      <c r="AD126" s="7" t="str">
        <f aca="false">IF(OR(I126="N/A",P126="",Q126=""),"",IF(P126&gt;=Q126,"Yes","No"))</f>
        <v>Yes</v>
      </c>
      <c r="AE126" s="8"/>
    </row>
    <row r="127" customFormat="false" ht="15" hidden="false" customHeight="false" outlineLevel="0" collapsed="false">
      <c r="A127" s="12" t="s">
        <v>1055</v>
      </c>
      <c r="B127" s="26" t="str">
        <f aca="false">Entities!$A$7</f>
        <v>JO-INV</v>
      </c>
      <c r="C127" s="12" t="str">
        <f aca="false">INDEX(Entities!$B$5:$B$34,MATCH(B127,Entities!$A$5:$A$34,0))</f>
        <v>Al-Arabi Investment Group (AB Invest)</v>
      </c>
      <c r="D127" s="7" t="str">
        <f aca="false">INDEX(Entities!$F$5:$F$34,MATCH(B127,Entities!$A$5:$A$34,0))</f>
        <v>Tier 3</v>
      </c>
      <c r="E127" s="26" t="str">
        <f aca="false">'Control Library'!$A$41</f>
        <v>CTL-OR-02</v>
      </c>
      <c r="F127" s="12" t="str">
        <f aca="false">INDEX('Control Library'!$B$5:$B$47,MATCH(E127,'Control Library'!$A$5:$A$47,0))</f>
        <v>Operational loss event capture and RCSA</v>
      </c>
      <c r="G127" s="7" t="str">
        <f aca="false">INDEX('Control Library'!$F$5:$F$47,MATCH(E127,'Control Library'!$A$5:$A$47,0))</f>
        <v>N</v>
      </c>
      <c r="H127" s="12" t="str">
        <f aca="false">INDEX('Control Library'!$E$5:$E$47,MATCH(E127,'Control Library'!$A$5:$A$47,0))</f>
        <v>Quarterly</v>
      </c>
      <c r="I127" s="7" t="str">
        <f aca="false">IF(INDEX('Control Library'!$I$5:$I$47,MATCH(E127,'Control Library'!$A$5:$A$47,0))="All","Y",IF(INDEX('Control Library'!$I$5:$I$47,MATCH(E127,'Control Library'!$A$5:$A$47,0))="Banks only",IF(COUNTIF('Residual Config'!$L$28:$L$30,INDEX(Entities!$E$5:$E$34,MATCH(B127,Entities!$A$5:$A$34,0)))&gt;0,"N/A","Y"),IF(INDEX(Entities!$G$5:$G$34,MATCH(B127,Entities!$A$5:$A$34,0))="Y","Y","N/A")))</f>
        <v>Y</v>
      </c>
      <c r="J127" s="8" t="s">
        <v>1045</v>
      </c>
      <c r="K127" s="8" t="s">
        <v>975</v>
      </c>
      <c r="L127" s="7" t="str">
        <f aca="false">IF(OR(J127="",K127=""),"",IF(J127=K127,"Breach","OK"))</f>
        <v>OK</v>
      </c>
      <c r="M127" s="24" t="n">
        <v>1</v>
      </c>
      <c r="N127" s="50" t="n">
        <v>45907</v>
      </c>
      <c r="O127" s="8" t="s">
        <v>545</v>
      </c>
      <c r="P127" s="24" t="n">
        <v>2</v>
      </c>
      <c r="Q127" s="31" t="n">
        <f aca="false">IF(I127="N/A","",IFERROR(INDEX('Residual Config'!$B$35:$B$42,MATCH(H127,'Residual Config'!$A$35:$A$42,0)),""))</f>
        <v>2</v>
      </c>
      <c r="R127" s="24" t="n">
        <v>2</v>
      </c>
      <c r="S127" s="8" t="s">
        <v>524</v>
      </c>
      <c r="T127" s="31" t="n">
        <f aca="false">IF(S127="","",MATCH(S127,'Residual Config'!$L$9:$L$12,0))</f>
        <v>3</v>
      </c>
      <c r="U127" s="8" t="s">
        <v>1056</v>
      </c>
      <c r="V127" s="24" t="n">
        <v>4</v>
      </c>
      <c r="W127" s="33" t="s">
        <v>533</v>
      </c>
      <c r="X127" s="8" t="s">
        <v>760</v>
      </c>
      <c r="Y127" s="51" t="n">
        <f aca="false">IF(N127="","",EDATE(N127,IF(G127="N",INDEX('Residual Config'!$B$31:$D$31,1,MATCH(D127,'Residual Config'!$B$27:$D$27,0)),INDEX('Residual Config'!$B$28:$D$30,IF(T127=1,1,IF(T127=4,3,2)),MATCH(D127,'Residual Config'!$B$27:$D$27,0)))))</f>
        <v>46637</v>
      </c>
      <c r="Z127" s="7" t="str">
        <f aca="false">IF(I127="N/A","N/A",IF(N127="","Not tested",IF(W127="Rejected","Evidence rejected",IF(W127&lt;&gt;"Accepted","Evidence pending",IF(Y127&lt;'Residual Config'!$C$4,"Overdue","Current")))))</f>
        <v>Current</v>
      </c>
      <c r="AA127" s="34" t="n">
        <f aca="false">IF(I127="N/A","",IF(Z127&lt;&gt;"Current",4,IF(MAX(M127,T127)=0,4,MAX(M127,T127))))</f>
        <v>3</v>
      </c>
      <c r="AB127" s="7" t="str">
        <f aca="false">IF(AA127="","N/A",IF(Z127&lt;&gt;"Current","Not tested / overdue",INDEX('Residual Config'!$B$11:$B$14,AA127)))</f>
        <v>Partially effective</v>
      </c>
      <c r="AC127" s="36" t="n">
        <f aca="false">IF(AA127="","",INDEX('Residual Config'!$D$11:$D$14,AA127))</f>
        <v>0.2</v>
      </c>
      <c r="AD127" s="7" t="str">
        <f aca="false">IF(OR(I127="N/A",P127="",Q127=""),"",IF(P127&gt;=Q127,"Yes","No"))</f>
        <v>Yes</v>
      </c>
      <c r="AE127" s="8"/>
    </row>
    <row r="128" customFormat="false" ht="15" hidden="false" customHeight="false" outlineLevel="0" collapsed="false">
      <c r="A128" s="12" t="s">
        <v>1057</v>
      </c>
      <c r="B128" s="26" t="str">
        <f aca="false">Entities!$A$7</f>
        <v>JO-INV</v>
      </c>
      <c r="C128" s="12" t="str">
        <f aca="false">INDEX(Entities!$B$5:$B$34,MATCH(B128,Entities!$A$5:$A$34,0))</f>
        <v>Al-Arabi Investment Group (AB Invest)</v>
      </c>
      <c r="D128" s="7" t="str">
        <f aca="false">INDEX(Entities!$F$5:$F$34,MATCH(B128,Entities!$A$5:$A$34,0))</f>
        <v>Tier 3</v>
      </c>
      <c r="E128" s="26" t="str">
        <f aca="false">'Control Library'!$A$42</f>
        <v>CTL-CY-01</v>
      </c>
      <c r="F128" s="12" t="str">
        <f aca="false">INDEX('Control Library'!$B$5:$B$47,MATCH(E128,'Control Library'!$A$5:$A$47,0))</f>
        <v>Vulnerability and patch management</v>
      </c>
      <c r="G128" s="7" t="str">
        <f aca="false">INDEX('Control Library'!$F$5:$F$47,MATCH(E128,'Control Library'!$A$5:$A$47,0))</f>
        <v>Y</v>
      </c>
      <c r="H128" s="12" t="str">
        <f aca="false">INDEX('Control Library'!$E$5:$E$47,MATCH(E128,'Control Library'!$A$5:$A$47,0))</f>
        <v>Monthly</v>
      </c>
      <c r="I128" s="7" t="str">
        <f aca="false">IF(INDEX('Control Library'!$I$5:$I$47,MATCH(E128,'Control Library'!$A$5:$A$47,0))="All","Y",IF(INDEX('Control Library'!$I$5:$I$47,MATCH(E128,'Control Library'!$A$5:$A$47,0))="Banks only",IF(COUNTIF('Residual Config'!$L$28:$L$30,INDEX(Entities!$E$5:$E$34,MATCH(B128,Entities!$A$5:$A$34,0)))&gt;0,"N/A","Y"),IF(INDEX(Entities!$G$5:$G$34,MATCH(B128,Entities!$A$5:$A$34,0))="Y","Y","N/A")))</f>
        <v>Y</v>
      </c>
      <c r="J128" s="8" t="s">
        <v>998</v>
      </c>
      <c r="K128" s="8" t="s">
        <v>975</v>
      </c>
      <c r="L128" s="7" t="str">
        <f aca="false">IF(OR(J128="",K128=""),"",IF(J128=K128,"Breach","OK"))</f>
        <v>OK</v>
      </c>
      <c r="M128" s="24" t="n">
        <v>1</v>
      </c>
      <c r="N128" s="50" t="n">
        <v>46204</v>
      </c>
      <c r="O128" s="8" t="s">
        <v>545</v>
      </c>
      <c r="P128" s="24" t="n">
        <v>3</v>
      </c>
      <c r="Q128" s="31" t="n">
        <f aca="false">IF(I128="N/A","",IFERROR(INDEX('Residual Config'!$B$35:$B$42,MATCH(H128,'Residual Config'!$A$35:$A$42,0)),""))</f>
        <v>3</v>
      </c>
      <c r="R128" s="24" t="n">
        <v>1</v>
      </c>
      <c r="S128" s="8" t="s">
        <v>521</v>
      </c>
      <c r="T128" s="31" t="n">
        <f aca="false">IF(S128="","",MATCH(S128,'Residual Config'!$L$9:$L$12,0))</f>
        <v>2</v>
      </c>
      <c r="U128" s="8" t="s">
        <v>1058</v>
      </c>
      <c r="V128" s="24" t="n">
        <v>1</v>
      </c>
      <c r="W128" s="33" t="s">
        <v>533</v>
      </c>
      <c r="X128" s="8" t="s">
        <v>754</v>
      </c>
      <c r="Y128" s="51" t="n">
        <f aca="false">IF(N128="","",EDATE(N128,IF(G128="N",INDEX('Residual Config'!$B$31:$D$31,1,MATCH(D128,'Residual Config'!$B$27:$D$27,0)),INDEX('Residual Config'!$B$28:$D$30,IF(T128=1,1,IF(T128=4,3,2)),MATCH(D128,'Residual Config'!$B$27:$D$27,0)))))</f>
        <v>46388</v>
      </c>
      <c r="Z128" s="7" t="str">
        <f aca="false">IF(I128="N/A","N/A",IF(N128="","Not tested",IF(W128="Rejected","Evidence rejected",IF(W128&lt;&gt;"Accepted","Evidence pending",IF(Y128&lt;'Residual Config'!$C$4,"Overdue","Current")))))</f>
        <v>Current</v>
      </c>
      <c r="AA128" s="34" t="n">
        <f aca="false">IF(I128="N/A","",IF(Z128&lt;&gt;"Current",4,IF(MAX(M128,T128)=0,4,MAX(M128,T128))))</f>
        <v>2</v>
      </c>
      <c r="AB128" s="7" t="str">
        <f aca="false">IF(AA128="","N/A",IF(Z128&lt;&gt;"Current","Not tested / overdue",INDEX('Residual Config'!$B$11:$B$14,AA128)))</f>
        <v>Largely effective</v>
      </c>
      <c r="AC128" s="36" t="n">
        <f aca="false">IF(AA128="","",INDEX('Residual Config'!$D$11:$D$14,AA128))</f>
        <v>0.4</v>
      </c>
      <c r="AD128" s="7" t="str">
        <f aca="false">IF(OR(I128="N/A",P128="",Q128=""),"",IF(P128&gt;=Q128,"Yes","No"))</f>
        <v>Yes</v>
      </c>
      <c r="AE128" s="8"/>
    </row>
    <row r="129" customFormat="false" ht="15" hidden="false" customHeight="false" outlineLevel="0" collapsed="false">
      <c r="A129" s="12" t="s">
        <v>1059</v>
      </c>
      <c r="B129" s="26" t="str">
        <f aca="false">Entities!$A$7</f>
        <v>JO-INV</v>
      </c>
      <c r="C129" s="12" t="str">
        <f aca="false">INDEX(Entities!$B$5:$B$34,MATCH(B129,Entities!$A$5:$A$34,0))</f>
        <v>Al-Arabi Investment Group (AB Invest)</v>
      </c>
      <c r="D129" s="7" t="str">
        <f aca="false">INDEX(Entities!$F$5:$F$34,MATCH(B129,Entities!$A$5:$A$34,0))</f>
        <v>Tier 3</v>
      </c>
      <c r="E129" s="26" t="str">
        <f aca="false">'Control Library'!$A$43</f>
        <v>CTL-CY-02</v>
      </c>
      <c r="F129" s="12" t="str">
        <f aca="false">INDEX('Control Library'!$B$5:$B$47,MATCH(E129,'Control Library'!$A$5:$A$47,0))</f>
        <v>Privileged access management and SOC monitoring</v>
      </c>
      <c r="G129" s="7" t="str">
        <f aca="false">INDEX('Control Library'!$F$5:$F$47,MATCH(E129,'Control Library'!$A$5:$A$47,0))</f>
        <v>Y</v>
      </c>
      <c r="H129" s="12" t="str">
        <f aca="false">INDEX('Control Library'!$E$5:$E$47,MATCH(E129,'Control Library'!$A$5:$A$47,0))</f>
        <v>Continuous</v>
      </c>
      <c r="I129" s="7" t="str">
        <f aca="false">IF(INDEX('Control Library'!$I$5:$I$47,MATCH(E129,'Control Library'!$A$5:$A$47,0))="All","Y",IF(INDEX('Control Library'!$I$5:$I$47,MATCH(E129,'Control Library'!$A$5:$A$47,0))="Banks only",IF(COUNTIF('Residual Config'!$L$28:$L$30,INDEX(Entities!$E$5:$E$34,MATCH(B129,Entities!$A$5:$A$34,0)))&gt;0,"N/A","Y"),IF(INDEX(Entities!$G$5:$G$34,MATCH(B129,Entities!$A$5:$A$34,0))="Y","Y","N/A")))</f>
        <v>Y</v>
      </c>
      <c r="J129" s="8" t="s">
        <v>1038</v>
      </c>
      <c r="K129" s="8" t="s">
        <v>975</v>
      </c>
      <c r="L129" s="7" t="str">
        <f aca="false">IF(OR(J129="",K129=""),"",IF(J129=K129,"Breach","OK"))</f>
        <v>OK</v>
      </c>
      <c r="M129" s="24" t="n">
        <v>2</v>
      </c>
      <c r="N129" s="50" t="n">
        <v>46272</v>
      </c>
      <c r="O129" s="8" t="s">
        <v>546</v>
      </c>
      <c r="P129" s="24" t="n">
        <v>1</v>
      </c>
      <c r="Q129" s="31" t="n">
        <f aca="false">IF(I129="N/A","",IFERROR(INDEX('Residual Config'!$B$35:$B$42,MATCH(H129,'Residual Config'!$A$35:$A$42,0)),""))</f>
        <v>1</v>
      </c>
      <c r="R129" s="24" t="n">
        <v>0</v>
      </c>
      <c r="S129" s="8" t="s">
        <v>516</v>
      </c>
      <c r="T129" s="31" t="n">
        <f aca="false">IF(S129="","",MATCH(S129,'Residual Config'!$L$9:$L$12,0))</f>
        <v>1</v>
      </c>
      <c r="U129" s="8" t="s">
        <v>1060</v>
      </c>
      <c r="V129" s="24" t="n">
        <v>6</v>
      </c>
      <c r="W129" s="33" t="s">
        <v>533</v>
      </c>
      <c r="X129" s="8" t="s">
        <v>760</v>
      </c>
      <c r="Y129" s="51" t="n">
        <f aca="false">IF(N129="","",EDATE(N129,IF(G129="N",INDEX('Residual Config'!$B$31:$D$31,1,MATCH(D129,'Residual Config'!$B$27:$D$27,0)),INDEX('Residual Config'!$B$28:$D$30,IF(T129=1,1,IF(T129=4,3,2)),MATCH(D129,'Residual Config'!$B$27:$D$27,0)))))</f>
        <v>46637</v>
      </c>
      <c r="Z129" s="7" t="str">
        <f aca="false">IF(I129="N/A","N/A",IF(N129="","Not tested",IF(W129="Rejected","Evidence rejected",IF(W129&lt;&gt;"Accepted","Evidence pending",IF(Y129&lt;'Residual Config'!$C$4,"Overdue","Current")))))</f>
        <v>Current</v>
      </c>
      <c r="AA129" s="34" t="n">
        <f aca="false">IF(I129="N/A","",IF(Z129&lt;&gt;"Current",4,IF(MAX(M129,T129)=0,4,MAX(M129,T129))))</f>
        <v>2</v>
      </c>
      <c r="AB129" s="7" t="str">
        <f aca="false">IF(AA129="","N/A",IF(Z129&lt;&gt;"Current","Not tested / overdue",INDEX('Residual Config'!$B$11:$B$14,AA129)))</f>
        <v>Largely effective</v>
      </c>
      <c r="AC129" s="36" t="n">
        <f aca="false">IF(AA129="","",INDEX('Residual Config'!$D$11:$D$14,AA129))</f>
        <v>0.4</v>
      </c>
      <c r="AD129" s="7" t="str">
        <f aca="false">IF(OR(I129="N/A",P129="",Q129=""),"",IF(P129&gt;=Q129,"Yes","No"))</f>
        <v>Yes</v>
      </c>
      <c r="AE129" s="8"/>
    </row>
    <row r="130" customFormat="false" ht="15" hidden="false" customHeight="false" outlineLevel="0" collapsed="false">
      <c r="A130" s="12" t="s">
        <v>1061</v>
      </c>
      <c r="B130" s="26" t="str">
        <f aca="false">Entities!$A$7</f>
        <v>JO-INV</v>
      </c>
      <c r="C130" s="12" t="str">
        <f aca="false">INDEX(Entities!$B$5:$B$34,MATCH(B130,Entities!$A$5:$A$34,0))</f>
        <v>Al-Arabi Investment Group (AB Invest)</v>
      </c>
      <c r="D130" s="7" t="str">
        <f aca="false">INDEX(Entities!$F$5:$F$34,MATCH(B130,Entities!$A$5:$A$34,0))</f>
        <v>Tier 3</v>
      </c>
      <c r="E130" s="26" t="str">
        <f aca="false">'Control Library'!$A$44</f>
        <v>CTL-TP-01</v>
      </c>
      <c r="F130" s="12" t="str">
        <f aca="false">INDEX('Control Library'!$B$5:$B$47,MATCH(E130,'Control Library'!$A$5:$A$47,0))</f>
        <v>Critical vendor due diligence and tested exit plans</v>
      </c>
      <c r="G130" s="7" t="str">
        <f aca="false">INDEX('Control Library'!$F$5:$F$47,MATCH(E130,'Control Library'!$A$5:$A$47,0))</f>
        <v>Y</v>
      </c>
      <c r="H130" s="12" t="str">
        <f aca="false">INDEX('Control Library'!$E$5:$E$47,MATCH(E130,'Control Library'!$A$5:$A$47,0))</f>
        <v>Annual</v>
      </c>
      <c r="I130" s="7" t="str">
        <f aca="false">IF(INDEX('Control Library'!$I$5:$I$47,MATCH(E130,'Control Library'!$A$5:$A$47,0))="All","Y",IF(INDEX('Control Library'!$I$5:$I$47,MATCH(E130,'Control Library'!$A$5:$A$47,0))="Banks only",IF(COUNTIF('Residual Config'!$L$28:$L$30,INDEX(Entities!$E$5:$E$34,MATCH(B130,Entities!$A$5:$A$34,0)))&gt;0,"N/A","Y"),IF(INDEX(Entities!$G$5:$G$34,MATCH(B130,Entities!$A$5:$A$34,0))="Y","Y","N/A")))</f>
        <v>Y</v>
      </c>
      <c r="J130" s="8" t="s">
        <v>1008</v>
      </c>
      <c r="K130" s="8" t="s">
        <v>975</v>
      </c>
      <c r="L130" s="7" t="str">
        <f aca="false">IF(OR(J130="",K130=""),"",IF(J130=K130,"Breach","OK"))</f>
        <v>OK</v>
      </c>
      <c r="M130" s="24" t="n">
        <v>2</v>
      </c>
      <c r="N130" s="50" t="n">
        <v>46285</v>
      </c>
      <c r="O130" s="8" t="s">
        <v>545</v>
      </c>
      <c r="P130" s="24" t="n">
        <v>1</v>
      </c>
      <c r="Q130" s="31" t="n">
        <f aca="false">IF(I130="N/A","",IFERROR(INDEX('Residual Config'!$B$35:$B$42,MATCH(H130,'Residual Config'!$A$35:$A$42,0)),""))</f>
        <v>1</v>
      </c>
      <c r="R130" s="24" t="n">
        <v>1</v>
      </c>
      <c r="S130" s="8" t="s">
        <v>521</v>
      </c>
      <c r="T130" s="31" t="n">
        <f aca="false">IF(S130="","",MATCH(S130,'Residual Config'!$L$9:$L$12,0))</f>
        <v>2</v>
      </c>
      <c r="U130" s="8" t="s">
        <v>1062</v>
      </c>
      <c r="V130" s="24" t="n">
        <v>1</v>
      </c>
      <c r="W130" s="33" t="s">
        <v>533</v>
      </c>
      <c r="X130" s="8" t="s">
        <v>754</v>
      </c>
      <c r="Y130" s="51" t="n">
        <f aca="false">IF(N130="","",EDATE(N130,IF(G130="N",INDEX('Residual Config'!$B$31:$D$31,1,MATCH(D130,'Residual Config'!$B$27:$D$27,0)),INDEX('Residual Config'!$B$28:$D$30,IF(T130=1,1,IF(T130=4,3,2)),MATCH(D130,'Residual Config'!$B$27:$D$27,0)))))</f>
        <v>46466</v>
      </c>
      <c r="Z130" s="7" t="str">
        <f aca="false">IF(I130="N/A","N/A",IF(N130="","Not tested",IF(W130="Rejected","Evidence rejected",IF(W130&lt;&gt;"Accepted","Evidence pending",IF(Y130&lt;'Residual Config'!$C$4,"Overdue","Current")))))</f>
        <v>Current</v>
      </c>
      <c r="AA130" s="34" t="n">
        <f aca="false">IF(I130="N/A","",IF(Z130&lt;&gt;"Current",4,IF(MAX(M130,T130)=0,4,MAX(M130,T130))))</f>
        <v>2</v>
      </c>
      <c r="AB130" s="7" t="str">
        <f aca="false">IF(AA130="","N/A",IF(Z130&lt;&gt;"Current","Not tested / overdue",INDEX('Residual Config'!$B$11:$B$14,AA130)))</f>
        <v>Largely effective</v>
      </c>
      <c r="AC130" s="36" t="n">
        <f aca="false">IF(AA130="","",INDEX('Residual Config'!$D$11:$D$14,AA130))</f>
        <v>0.4</v>
      </c>
      <c r="AD130" s="7" t="str">
        <f aca="false">IF(OR(I130="N/A",P130="",Q130=""),"",IF(P130&gt;=Q130,"Yes","No"))</f>
        <v>Yes</v>
      </c>
      <c r="AE130" s="8"/>
    </row>
    <row r="131" customFormat="false" ht="15" hidden="false" customHeight="false" outlineLevel="0" collapsed="false">
      <c r="A131" s="12" t="s">
        <v>1063</v>
      </c>
      <c r="B131" s="26" t="str">
        <f aca="false">Entities!$A$7</f>
        <v>JO-INV</v>
      </c>
      <c r="C131" s="12" t="str">
        <f aca="false">INDEX(Entities!$B$5:$B$34,MATCH(B131,Entities!$A$5:$A$34,0))</f>
        <v>Al-Arabi Investment Group (AB Invest)</v>
      </c>
      <c r="D131" s="7" t="str">
        <f aca="false">INDEX(Entities!$F$5:$F$34,MATCH(B131,Entities!$A$5:$A$34,0))</f>
        <v>Tier 3</v>
      </c>
      <c r="E131" s="26" t="str">
        <f aca="false">'Control Library'!$A$45</f>
        <v>CTL-LG-01</v>
      </c>
      <c r="F131" s="12" t="str">
        <f aca="false">INDEX('Control Library'!$B$5:$B$47,MATCH(E131,'Control Library'!$A$5:$A$47,0))</f>
        <v>Legal review of contracts and litigation register</v>
      </c>
      <c r="G131" s="7" t="str">
        <f aca="false">INDEX('Control Library'!$F$5:$F$47,MATCH(E131,'Control Library'!$A$5:$A$47,0))</f>
        <v>Y</v>
      </c>
      <c r="H131" s="12" t="str">
        <f aca="false">INDEX('Control Library'!$E$5:$E$47,MATCH(E131,'Control Library'!$A$5:$A$47,0))</f>
        <v>Event-driven</v>
      </c>
      <c r="I131" s="7" t="str">
        <f aca="false">IF(INDEX('Control Library'!$I$5:$I$47,MATCH(E131,'Control Library'!$A$5:$A$47,0))="All","Y",IF(INDEX('Control Library'!$I$5:$I$47,MATCH(E131,'Control Library'!$A$5:$A$47,0))="Banks only",IF(COUNTIF('Residual Config'!$L$28:$L$30,INDEX(Entities!$E$5:$E$34,MATCH(B131,Entities!$A$5:$A$34,0)))&gt;0,"N/A","Y"),IF(INDEX(Entities!$G$5:$G$34,MATCH(B131,Entities!$A$5:$A$34,0))="Y","Y","N/A")))</f>
        <v>Y</v>
      </c>
      <c r="J131" s="8" t="s">
        <v>1064</v>
      </c>
      <c r="K131" s="8" t="s">
        <v>975</v>
      </c>
      <c r="L131" s="7" t="str">
        <f aca="false">IF(OR(J131="",K131=""),"",IF(J131=K131,"Breach","OK"))</f>
        <v>OK</v>
      </c>
      <c r="M131" s="24" t="n">
        <v>1</v>
      </c>
      <c r="N131" s="50" t="n">
        <v>46242</v>
      </c>
      <c r="O131" s="8" t="s">
        <v>545</v>
      </c>
      <c r="P131" s="24" t="n">
        <v>30</v>
      </c>
      <c r="Q131" s="31" t="n">
        <f aca="false">IF(I131="N/A","",IFERROR(INDEX('Residual Config'!$B$35:$B$42,MATCH(H131,'Residual Config'!$A$35:$A$42,0)),""))</f>
        <v>25</v>
      </c>
      <c r="R131" s="24" t="n">
        <v>0</v>
      </c>
      <c r="S131" s="8" t="s">
        <v>516</v>
      </c>
      <c r="T131" s="31" t="n">
        <f aca="false">IF(S131="","",MATCH(S131,'Residual Config'!$L$9:$L$12,0))</f>
        <v>1</v>
      </c>
      <c r="U131" s="8" t="s">
        <v>1065</v>
      </c>
      <c r="V131" s="24" t="n">
        <v>4</v>
      </c>
      <c r="W131" s="33" t="s">
        <v>533</v>
      </c>
      <c r="X131" s="8" t="s">
        <v>760</v>
      </c>
      <c r="Y131" s="51" t="n">
        <f aca="false">IF(N131="","",EDATE(N131,IF(G131="N",INDEX('Residual Config'!$B$31:$D$31,1,MATCH(D131,'Residual Config'!$B$27:$D$27,0)),INDEX('Residual Config'!$B$28:$D$30,IF(T131=1,1,IF(T131=4,3,2)),MATCH(D131,'Residual Config'!$B$27:$D$27,0)))))</f>
        <v>46607</v>
      </c>
      <c r="Z131" s="7" t="str">
        <f aca="false">IF(I131="N/A","N/A",IF(N131="","Not tested",IF(W131="Rejected","Evidence rejected",IF(W131&lt;&gt;"Accepted","Evidence pending",IF(Y131&lt;'Residual Config'!$C$4,"Overdue","Current")))))</f>
        <v>Current</v>
      </c>
      <c r="AA131" s="34" t="n">
        <f aca="false">IF(I131="N/A","",IF(Z131&lt;&gt;"Current",4,IF(MAX(M131,T131)=0,4,MAX(M131,T131))))</f>
        <v>1</v>
      </c>
      <c r="AB131" s="7" t="str">
        <f aca="false">IF(AA131="","N/A",IF(Z131&lt;&gt;"Current","Not tested / overdue",INDEX('Residual Config'!$B$11:$B$14,AA131)))</f>
        <v>Effective</v>
      </c>
      <c r="AC131" s="36" t="n">
        <f aca="false">IF(AA131="","",INDEX('Residual Config'!$D$11:$D$14,AA131))</f>
        <v>0.6</v>
      </c>
      <c r="AD131" s="7" t="str">
        <f aca="false">IF(OR(I131="N/A",P131="",Q131=""),"",IF(P131&gt;=Q131,"Yes","No"))</f>
        <v>Yes</v>
      </c>
      <c r="AE131" s="8"/>
    </row>
    <row r="132" customFormat="false" ht="15" hidden="false" customHeight="false" outlineLevel="0" collapsed="false">
      <c r="A132" s="12" t="s">
        <v>1066</v>
      </c>
      <c r="B132" s="26" t="str">
        <f aca="false">Entities!$A$7</f>
        <v>JO-INV</v>
      </c>
      <c r="C132" s="12" t="str">
        <f aca="false">INDEX(Entities!$B$5:$B$34,MATCH(B132,Entities!$A$5:$A$34,0))</f>
        <v>Al-Arabi Investment Group (AB Invest)</v>
      </c>
      <c r="D132" s="7" t="str">
        <f aca="false">INDEX(Entities!$F$5:$F$34,MATCH(B132,Entities!$A$5:$A$34,0))</f>
        <v>Tier 3</v>
      </c>
      <c r="E132" s="26" t="str">
        <f aca="false">'Control Library'!$A$46</f>
        <v>CTL-RP-01</v>
      </c>
      <c r="F132" s="12" t="str">
        <f aca="false">INDEX('Control Library'!$B$5:$B$47,MATCH(E132,'Control Library'!$A$5:$A$47,0))</f>
        <v>Media monitoring and reputational-risk escalation</v>
      </c>
      <c r="G132" s="7" t="str">
        <f aca="false">INDEX('Control Library'!$F$5:$F$47,MATCH(E132,'Control Library'!$A$5:$A$47,0))</f>
        <v>Y</v>
      </c>
      <c r="H132" s="12" t="str">
        <f aca="false">INDEX('Control Library'!$E$5:$E$47,MATCH(E132,'Control Library'!$A$5:$A$47,0))</f>
        <v>Daily</v>
      </c>
      <c r="I132" s="7" t="str">
        <f aca="false">IF(INDEX('Control Library'!$I$5:$I$47,MATCH(E132,'Control Library'!$A$5:$A$47,0))="All","Y",IF(INDEX('Control Library'!$I$5:$I$47,MATCH(E132,'Control Library'!$A$5:$A$47,0))="Banks only",IF(COUNTIF('Residual Config'!$L$28:$L$30,INDEX(Entities!$E$5:$E$34,MATCH(B132,Entities!$A$5:$A$34,0)))&gt;0,"N/A","Y"),IF(INDEX(Entities!$G$5:$G$34,MATCH(B132,Entities!$A$5:$A$34,0))="Y","Y","N/A")))</f>
        <v>Y</v>
      </c>
      <c r="J132" s="8" t="s">
        <v>1067</v>
      </c>
      <c r="K132" s="8" t="s">
        <v>975</v>
      </c>
      <c r="L132" s="7" t="str">
        <f aca="false">IF(OR(J132="",K132=""),"",IF(J132=K132,"Breach","OK"))</f>
        <v>OK</v>
      </c>
      <c r="M132" s="24" t="n">
        <v>2</v>
      </c>
      <c r="N132" s="50" t="n">
        <v>45963</v>
      </c>
      <c r="O132" s="8" t="s">
        <v>546</v>
      </c>
      <c r="P132" s="24" t="n">
        <v>30</v>
      </c>
      <c r="Q132" s="31" t="n">
        <f aca="false">IF(I132="N/A","",IFERROR(INDEX('Residual Config'!$B$35:$B$42,MATCH(H132,'Residual Config'!$A$35:$A$42,0)),""))</f>
        <v>25</v>
      </c>
      <c r="R132" s="24" t="n">
        <v>0</v>
      </c>
      <c r="S132" s="8" t="s">
        <v>516</v>
      </c>
      <c r="T132" s="31" t="n">
        <f aca="false">IF(S132="","",MATCH(S132,'Residual Config'!$L$9:$L$12,0))</f>
        <v>1</v>
      </c>
      <c r="U132" s="8" t="s">
        <v>1068</v>
      </c>
      <c r="V132" s="24" t="n">
        <v>3</v>
      </c>
      <c r="W132" s="33" t="s">
        <v>533</v>
      </c>
      <c r="X132" s="8" t="s">
        <v>754</v>
      </c>
      <c r="Y132" s="51" t="n">
        <f aca="false">IF(N132="","",EDATE(N132,IF(G132="N",INDEX('Residual Config'!$B$31:$D$31,1,MATCH(D132,'Residual Config'!$B$27:$D$27,0)),INDEX('Residual Config'!$B$28:$D$30,IF(T132=1,1,IF(T132=4,3,2)),MATCH(D132,'Residual Config'!$B$27:$D$27,0)))))</f>
        <v>46328</v>
      </c>
      <c r="Z132" s="7" t="str">
        <f aca="false">IF(I132="N/A","N/A",IF(N132="","Not tested",IF(W132="Rejected","Evidence rejected",IF(W132&lt;&gt;"Accepted","Evidence pending",IF(Y132&lt;'Residual Config'!$C$4,"Overdue","Current")))))</f>
        <v>Current</v>
      </c>
      <c r="AA132" s="34" t="n">
        <f aca="false">IF(I132="N/A","",IF(Z132&lt;&gt;"Current",4,IF(MAX(M132,T132)=0,4,MAX(M132,T132))))</f>
        <v>2</v>
      </c>
      <c r="AB132" s="7" t="str">
        <f aca="false">IF(AA132="","N/A",IF(Z132&lt;&gt;"Current","Not tested / overdue",INDEX('Residual Config'!$B$11:$B$14,AA132)))</f>
        <v>Largely effective</v>
      </c>
      <c r="AC132" s="36" t="n">
        <f aca="false">IF(AA132="","",INDEX('Residual Config'!$D$11:$D$14,AA132))</f>
        <v>0.4</v>
      </c>
      <c r="AD132" s="7" t="str">
        <f aca="false">IF(OR(I132="N/A",P132="",Q132=""),"",IF(P132&gt;=Q132,"Yes","No"))</f>
        <v>Yes</v>
      </c>
      <c r="AE132" s="8"/>
    </row>
    <row r="133" customFormat="false" ht="15" hidden="false" customHeight="false" outlineLevel="0" collapsed="false">
      <c r="A133" s="12" t="s">
        <v>1069</v>
      </c>
      <c r="B133" s="26" t="str">
        <f aca="false">Entities!$A$7</f>
        <v>JO-INV</v>
      </c>
      <c r="C133" s="12" t="str">
        <f aca="false">INDEX(Entities!$B$5:$B$34,MATCH(B133,Entities!$A$5:$A$34,0))</f>
        <v>Al-Arabi Investment Group (AB Invest)</v>
      </c>
      <c r="D133" s="7" t="str">
        <f aca="false">INDEX(Entities!$F$5:$F$34,MATCH(B133,Entities!$A$5:$A$34,0))</f>
        <v>Tier 3</v>
      </c>
      <c r="E133" s="26" t="str">
        <f aca="false">'Control Library'!$A$47</f>
        <v>CTL-ST-01</v>
      </c>
      <c r="F133" s="12" t="str">
        <f aca="false">INDEX('Control Library'!$B$5:$B$47,MATCH(E133,'Control Library'!$A$5:$A$47,0))</f>
        <v>Strategy execution monitoring and E&amp;S screening of lending</v>
      </c>
      <c r="G133" s="7" t="str">
        <f aca="false">INDEX('Control Library'!$F$5:$F$47,MATCH(E133,'Control Library'!$A$5:$A$47,0))</f>
        <v>Y</v>
      </c>
      <c r="H133" s="12" t="str">
        <f aca="false">INDEX('Control Library'!$E$5:$E$47,MATCH(E133,'Control Library'!$A$5:$A$47,0))</f>
        <v>Quarterly</v>
      </c>
      <c r="I133" s="7" t="str">
        <f aca="false">IF(INDEX('Control Library'!$I$5:$I$47,MATCH(E133,'Control Library'!$A$5:$A$47,0))="All","Y",IF(INDEX('Control Library'!$I$5:$I$47,MATCH(E133,'Control Library'!$A$5:$A$47,0))="Banks only",IF(COUNTIF('Residual Config'!$L$28:$L$30,INDEX(Entities!$E$5:$E$34,MATCH(B133,Entities!$A$5:$A$34,0)))&gt;0,"N/A","Y"),IF(INDEX(Entities!$G$5:$G$34,MATCH(B133,Entities!$A$5:$A$34,0))="Y","Y","N/A")))</f>
        <v>Y</v>
      </c>
      <c r="J133" s="8" t="s">
        <v>1070</v>
      </c>
      <c r="K133" s="8" t="s">
        <v>975</v>
      </c>
      <c r="L133" s="7" t="str">
        <f aca="false">IF(OR(J133="",K133=""),"",IF(J133=K133,"Breach","OK"))</f>
        <v>OK</v>
      </c>
      <c r="M133" s="24" t="n">
        <v>2</v>
      </c>
      <c r="N133" s="50" t="n">
        <v>46191</v>
      </c>
      <c r="O133" s="8" t="s">
        <v>545</v>
      </c>
      <c r="P133" s="24" t="n">
        <v>2</v>
      </c>
      <c r="Q133" s="31" t="n">
        <f aca="false">IF(I133="N/A","",IFERROR(INDEX('Residual Config'!$B$35:$B$42,MATCH(H133,'Residual Config'!$A$35:$A$42,0)),""))</f>
        <v>2</v>
      </c>
      <c r="R133" s="24" t="n">
        <v>0</v>
      </c>
      <c r="S133" s="8" t="s">
        <v>516</v>
      </c>
      <c r="T133" s="31" t="n">
        <f aca="false">IF(S133="","",MATCH(S133,'Residual Config'!$L$9:$L$12,0))</f>
        <v>1</v>
      </c>
      <c r="U133" s="8" t="s">
        <v>1071</v>
      </c>
      <c r="V133" s="24" t="n">
        <v>5</v>
      </c>
      <c r="W133" s="33" t="s">
        <v>533</v>
      </c>
      <c r="X133" s="8" t="s">
        <v>760</v>
      </c>
      <c r="Y133" s="51" t="n">
        <f aca="false">IF(N133="","",EDATE(N133,IF(G133="N",INDEX('Residual Config'!$B$31:$D$31,1,MATCH(D133,'Residual Config'!$B$27:$D$27,0)),INDEX('Residual Config'!$B$28:$D$30,IF(T133=1,1,IF(T133=4,3,2)),MATCH(D133,'Residual Config'!$B$27:$D$27,0)))))</f>
        <v>46556</v>
      </c>
      <c r="Z133" s="7" t="str">
        <f aca="false">IF(I133="N/A","N/A",IF(N133="","Not tested",IF(W133="Rejected","Evidence rejected",IF(W133&lt;&gt;"Accepted","Evidence pending",IF(Y133&lt;'Residual Config'!$C$4,"Overdue","Current")))))</f>
        <v>Current</v>
      </c>
      <c r="AA133" s="34" t="n">
        <f aca="false">IF(I133="N/A","",IF(Z133&lt;&gt;"Current",4,IF(MAX(M133,T133)=0,4,MAX(M133,T133))))</f>
        <v>2</v>
      </c>
      <c r="AB133" s="7" t="str">
        <f aca="false">IF(AA133="","N/A",IF(Z133&lt;&gt;"Current","Not tested / overdue",INDEX('Residual Config'!$B$11:$B$14,AA133)))</f>
        <v>Largely effective</v>
      </c>
      <c r="AC133" s="36" t="n">
        <f aca="false">IF(AA133="","",INDEX('Residual Config'!$D$11:$D$14,AA133))</f>
        <v>0.4</v>
      </c>
      <c r="AD133" s="7" t="str">
        <f aca="false">IF(OR(I133="N/A",P133="",Q133=""),"",IF(P133&gt;=Q133,"Yes","No"))</f>
        <v>Yes</v>
      </c>
      <c r="AE133" s="8"/>
    </row>
    <row r="134" customFormat="false" ht="15" hidden="false" customHeight="false" outlineLevel="0" collapsed="false">
      <c r="A134" s="12" t="s">
        <v>1072</v>
      </c>
      <c r="B134" s="26" t="str">
        <f aca="false">Entities!$A$8</f>
        <v>JO-INS</v>
      </c>
      <c r="C134" s="12" t="str">
        <f aca="false">INDEX(Entities!$B$5:$B$34,MATCH(B134,Entities!$A$5:$A$34,0))</f>
        <v>Insurance subsidiary – Jordan</v>
      </c>
      <c r="D134" s="7" t="str">
        <f aca="false">INDEX(Entities!$F$5:$F$34,MATCH(B134,Entities!$A$5:$A$34,0))</f>
        <v>Tier 3</v>
      </c>
      <c r="E134" s="26" t="str">
        <f aca="false">'Control Library'!$A$5</f>
        <v>CTL-KYC-01</v>
      </c>
      <c r="F134" s="12" t="str">
        <f aca="false">INDEX('Control Library'!$B$5:$B$47,MATCH(E134,'Control Library'!$A$5:$A$47,0))</f>
        <v>Customer due diligence and ID verification at onboarding</v>
      </c>
      <c r="G134" s="7" t="str">
        <f aca="false">INDEX('Control Library'!$F$5:$F$47,MATCH(E134,'Control Library'!$A$5:$A$47,0))</f>
        <v>Y</v>
      </c>
      <c r="H134" s="12" t="str">
        <f aca="false">INDEX('Control Library'!$E$5:$E$47,MATCH(E134,'Control Library'!$A$5:$A$47,0))</f>
        <v>Event-driven</v>
      </c>
      <c r="I134" s="7" t="str">
        <f aca="false">IF(INDEX('Control Library'!$I$5:$I$47,MATCH(E134,'Control Library'!$A$5:$A$47,0))="All","Y",IF(INDEX('Control Library'!$I$5:$I$47,MATCH(E134,'Control Library'!$A$5:$A$47,0))="Banks only",IF(COUNTIF('Residual Config'!$L$28:$L$30,INDEX(Entities!$E$5:$E$34,MATCH(B134,Entities!$A$5:$A$34,0)))&gt;0,"N/A","Y"),IF(INDEX(Entities!$G$5:$G$34,MATCH(B134,Entities!$A$5:$A$34,0))="Y","Y","N/A")))</f>
        <v>Y</v>
      </c>
      <c r="J134" s="8" t="s">
        <v>1073</v>
      </c>
      <c r="K134" s="8" t="s">
        <v>1074</v>
      </c>
      <c r="L134" s="7" t="str">
        <f aca="false">IF(OR(J134="",K134=""),"",IF(J134=K134,"Breach","OK"))</f>
        <v>OK</v>
      </c>
      <c r="M134" s="24" t="n">
        <v>1</v>
      </c>
      <c r="N134" s="50" t="n">
        <v>46245</v>
      </c>
      <c r="O134" s="8" t="s">
        <v>546</v>
      </c>
      <c r="P134" s="24" t="n">
        <v>25</v>
      </c>
      <c r="Q134" s="31" t="n">
        <f aca="false">IF(I134="N/A","",IFERROR(INDEX('Residual Config'!$B$35:$B$42,MATCH(H134,'Residual Config'!$A$35:$A$42,0)),""))</f>
        <v>25</v>
      </c>
      <c r="R134" s="24" t="n">
        <v>1</v>
      </c>
      <c r="S134" s="8" t="s">
        <v>521</v>
      </c>
      <c r="T134" s="31" t="n">
        <f aca="false">IF(S134="","",MATCH(S134,'Residual Config'!$L$9:$L$12,0))</f>
        <v>2</v>
      </c>
      <c r="U134" s="8" t="s">
        <v>1075</v>
      </c>
      <c r="V134" s="24" t="n">
        <v>1</v>
      </c>
      <c r="W134" s="33" t="s">
        <v>533</v>
      </c>
      <c r="X134" s="8" t="s">
        <v>754</v>
      </c>
      <c r="Y134" s="51" t="n">
        <f aca="false">IF(N134="","",EDATE(N134,IF(G134="N",INDEX('Residual Config'!$B$31:$D$31,1,MATCH(D134,'Residual Config'!$B$27:$D$27,0)),INDEX('Residual Config'!$B$28:$D$30,IF(T134=1,1,IF(T134=4,3,2)),MATCH(D134,'Residual Config'!$B$27:$D$27,0)))))</f>
        <v>46429</v>
      </c>
      <c r="Z134" s="7" t="str">
        <f aca="false">IF(I134="N/A","N/A",IF(N134="","Not tested",IF(W134="Rejected","Evidence rejected",IF(W134&lt;&gt;"Accepted","Evidence pending",IF(Y134&lt;'Residual Config'!$C$4,"Overdue","Current")))))</f>
        <v>Current</v>
      </c>
      <c r="AA134" s="34" t="n">
        <f aca="false">IF(I134="N/A","",IF(Z134&lt;&gt;"Current",4,IF(MAX(M134,T134)=0,4,MAX(M134,T134))))</f>
        <v>2</v>
      </c>
      <c r="AB134" s="7" t="str">
        <f aca="false">IF(AA134="","N/A",IF(Z134&lt;&gt;"Current","Not tested / overdue",INDEX('Residual Config'!$B$11:$B$14,AA134)))</f>
        <v>Largely effective</v>
      </c>
      <c r="AC134" s="36" t="n">
        <f aca="false">IF(AA134="","",INDEX('Residual Config'!$D$11:$D$14,AA134))</f>
        <v>0.4</v>
      </c>
      <c r="AD134" s="7" t="str">
        <f aca="false">IF(OR(I134="N/A",P134="",Q134=""),"",IF(P134&gt;=Q134,"Yes","No"))</f>
        <v>Yes</v>
      </c>
      <c r="AE134" s="8"/>
    </row>
    <row r="135" customFormat="false" ht="15" hidden="false" customHeight="false" outlineLevel="0" collapsed="false">
      <c r="A135" s="12" t="s">
        <v>1076</v>
      </c>
      <c r="B135" s="26" t="str">
        <f aca="false">Entities!$A$8</f>
        <v>JO-INS</v>
      </c>
      <c r="C135" s="12" t="str">
        <f aca="false">INDEX(Entities!$B$5:$B$34,MATCH(B135,Entities!$A$5:$A$34,0))</f>
        <v>Insurance subsidiary – Jordan</v>
      </c>
      <c r="D135" s="7" t="str">
        <f aca="false">INDEX(Entities!$F$5:$F$34,MATCH(B135,Entities!$A$5:$A$34,0))</f>
        <v>Tier 3</v>
      </c>
      <c r="E135" s="26" t="str">
        <f aca="false">'Control Library'!$A$6</f>
        <v>CTL-KYC-02</v>
      </c>
      <c r="F135" s="12" t="str">
        <f aca="false">INDEX('Control Library'!$B$5:$B$47,MATCH(E135,'Control Library'!$A$5:$A$47,0))</f>
        <v>Enhanced due diligence for high-risk customers and PEPs, senior approval</v>
      </c>
      <c r="G135" s="7" t="str">
        <f aca="false">INDEX('Control Library'!$F$5:$F$47,MATCH(E135,'Control Library'!$A$5:$A$47,0))</f>
        <v>Y</v>
      </c>
      <c r="H135" s="12" t="str">
        <f aca="false">INDEX('Control Library'!$E$5:$E$47,MATCH(E135,'Control Library'!$A$5:$A$47,0))</f>
        <v>Event-driven</v>
      </c>
      <c r="I135" s="7" t="str">
        <f aca="false">IF(INDEX('Control Library'!$I$5:$I$47,MATCH(E135,'Control Library'!$A$5:$A$47,0))="All","Y",IF(INDEX('Control Library'!$I$5:$I$47,MATCH(E135,'Control Library'!$A$5:$A$47,0))="Banks only",IF(COUNTIF('Residual Config'!$L$28:$L$30,INDEX(Entities!$E$5:$E$34,MATCH(B135,Entities!$A$5:$A$34,0)))&gt;0,"N/A","Y"),IF(INDEX(Entities!$G$5:$G$34,MATCH(B135,Entities!$A$5:$A$34,0))="Y","Y","N/A")))</f>
        <v>Y</v>
      </c>
      <c r="J135" s="8" t="s">
        <v>1077</v>
      </c>
      <c r="K135" s="8" t="s">
        <v>1074</v>
      </c>
      <c r="L135" s="7" t="str">
        <f aca="false">IF(OR(J135="",K135=""),"",IF(J135=K135,"Breach","OK"))</f>
        <v>OK</v>
      </c>
      <c r="M135" s="24" t="n">
        <v>2</v>
      </c>
      <c r="N135" s="50" t="n">
        <v>46186</v>
      </c>
      <c r="O135" s="8" t="s">
        <v>545</v>
      </c>
      <c r="P135" s="24" t="n">
        <v>30</v>
      </c>
      <c r="Q135" s="31" t="n">
        <f aca="false">IF(I135="N/A","",IFERROR(INDEX('Residual Config'!$B$35:$B$42,MATCH(H135,'Residual Config'!$A$35:$A$42,0)),""))</f>
        <v>25</v>
      </c>
      <c r="R135" s="24" t="n">
        <v>2</v>
      </c>
      <c r="S135" s="8" t="s">
        <v>524</v>
      </c>
      <c r="T135" s="31" t="n">
        <f aca="false">IF(S135="","",MATCH(S135,'Residual Config'!$L$9:$L$12,0))</f>
        <v>3</v>
      </c>
      <c r="U135" s="8" t="s">
        <v>1078</v>
      </c>
      <c r="V135" s="24" t="n">
        <v>4</v>
      </c>
      <c r="W135" s="33" t="s">
        <v>533</v>
      </c>
      <c r="X135" s="8" t="s">
        <v>754</v>
      </c>
      <c r="Y135" s="51" t="n">
        <f aca="false">IF(N135="","",EDATE(N135,IF(G135="N",INDEX('Residual Config'!$B$31:$D$31,1,MATCH(D135,'Residual Config'!$B$27:$D$27,0)),INDEX('Residual Config'!$B$28:$D$30,IF(T135=1,1,IF(T135=4,3,2)),MATCH(D135,'Residual Config'!$B$27:$D$27,0)))))</f>
        <v>46369</v>
      </c>
      <c r="Z135" s="7" t="str">
        <f aca="false">IF(I135="N/A","N/A",IF(N135="","Not tested",IF(W135="Rejected","Evidence rejected",IF(W135&lt;&gt;"Accepted","Evidence pending",IF(Y135&lt;'Residual Config'!$C$4,"Overdue","Current")))))</f>
        <v>Current</v>
      </c>
      <c r="AA135" s="34" t="n">
        <f aca="false">IF(I135="N/A","",IF(Z135&lt;&gt;"Current",4,IF(MAX(M135,T135)=0,4,MAX(M135,T135))))</f>
        <v>3</v>
      </c>
      <c r="AB135" s="7" t="str">
        <f aca="false">IF(AA135="","N/A",IF(Z135&lt;&gt;"Current","Not tested / overdue",INDEX('Residual Config'!$B$11:$B$14,AA135)))</f>
        <v>Partially effective</v>
      </c>
      <c r="AC135" s="36" t="n">
        <f aca="false">IF(AA135="","",INDEX('Residual Config'!$D$11:$D$14,AA135))</f>
        <v>0.2</v>
      </c>
      <c r="AD135" s="7" t="str">
        <f aca="false">IF(OR(I135="N/A",P135="",Q135=""),"",IF(P135&gt;=Q135,"Yes","No"))</f>
        <v>Yes</v>
      </c>
      <c r="AE135" s="8"/>
    </row>
    <row r="136" customFormat="false" ht="15" hidden="false" customHeight="false" outlineLevel="0" collapsed="false">
      <c r="A136" s="12" t="s">
        <v>1079</v>
      </c>
      <c r="B136" s="26" t="str">
        <f aca="false">Entities!$A$8</f>
        <v>JO-INS</v>
      </c>
      <c r="C136" s="12" t="str">
        <f aca="false">INDEX(Entities!$B$5:$B$34,MATCH(B136,Entities!$A$5:$A$34,0))</f>
        <v>Insurance subsidiary – Jordan</v>
      </c>
      <c r="D136" s="7" t="str">
        <f aca="false">INDEX(Entities!$F$5:$F$34,MATCH(B136,Entities!$A$5:$A$34,0))</f>
        <v>Tier 3</v>
      </c>
      <c r="E136" s="26" t="str">
        <f aca="false">'Control Library'!$A$7</f>
        <v>CTL-KYC-03</v>
      </c>
      <c r="F136" s="12" t="str">
        <f aca="false">INDEX('Control Library'!$B$5:$B$47,MATCH(E136,'Control Library'!$A$5:$A$47,0))</f>
        <v>Ultimate beneficial owner identification and verification</v>
      </c>
      <c r="G136" s="7" t="str">
        <f aca="false">INDEX('Control Library'!$F$5:$F$47,MATCH(E136,'Control Library'!$A$5:$A$47,0))</f>
        <v>Y</v>
      </c>
      <c r="H136" s="12" t="str">
        <f aca="false">INDEX('Control Library'!$E$5:$E$47,MATCH(E136,'Control Library'!$A$5:$A$47,0))</f>
        <v>Event-driven</v>
      </c>
      <c r="I136" s="7" t="str">
        <f aca="false">IF(INDEX('Control Library'!$I$5:$I$47,MATCH(E136,'Control Library'!$A$5:$A$47,0))="All","Y",IF(INDEX('Control Library'!$I$5:$I$47,MATCH(E136,'Control Library'!$A$5:$A$47,0))="Banks only",IF(COUNTIF('Residual Config'!$L$28:$L$30,INDEX(Entities!$E$5:$E$34,MATCH(B136,Entities!$A$5:$A$34,0)))&gt;0,"N/A","Y"),IF(INDEX(Entities!$G$5:$G$34,MATCH(B136,Entities!$A$5:$A$34,0))="Y","Y","N/A")))</f>
        <v>Y</v>
      </c>
      <c r="J136" s="8" t="s">
        <v>1073</v>
      </c>
      <c r="K136" s="8" t="s">
        <v>1074</v>
      </c>
      <c r="L136" s="7" t="str">
        <f aca="false">IF(OR(J136="",K136=""),"",IF(J136=K136,"Breach","OK"))</f>
        <v>OK</v>
      </c>
      <c r="M136" s="24" t="n">
        <v>2</v>
      </c>
      <c r="N136" s="50" t="n">
        <v>46288</v>
      </c>
      <c r="O136" s="8" t="s">
        <v>545</v>
      </c>
      <c r="P136" s="24" t="n">
        <v>30</v>
      </c>
      <c r="Q136" s="31" t="n">
        <f aca="false">IF(I136="N/A","",IFERROR(INDEX('Residual Config'!$B$35:$B$42,MATCH(H136,'Residual Config'!$A$35:$A$42,0)),""))</f>
        <v>25</v>
      </c>
      <c r="R136" s="24" t="n">
        <v>0</v>
      </c>
      <c r="S136" s="8" t="s">
        <v>516</v>
      </c>
      <c r="T136" s="31" t="n">
        <f aca="false">IF(S136="","",MATCH(S136,'Residual Config'!$L$9:$L$12,0))</f>
        <v>1</v>
      </c>
      <c r="U136" s="8" t="s">
        <v>1080</v>
      </c>
      <c r="V136" s="24" t="n">
        <v>1</v>
      </c>
      <c r="W136" s="33" t="s">
        <v>533</v>
      </c>
      <c r="X136" s="8" t="s">
        <v>754</v>
      </c>
      <c r="Y136" s="51" t="n">
        <f aca="false">IF(N136="","",EDATE(N136,IF(G136="N",INDEX('Residual Config'!$B$31:$D$31,1,MATCH(D136,'Residual Config'!$B$27:$D$27,0)),INDEX('Residual Config'!$B$28:$D$30,IF(T136=1,1,IF(T136=4,3,2)),MATCH(D136,'Residual Config'!$B$27:$D$27,0)))))</f>
        <v>46653</v>
      </c>
      <c r="Z136" s="7" t="str">
        <f aca="false">IF(I136="N/A","N/A",IF(N136="","Not tested",IF(W136="Rejected","Evidence rejected",IF(W136&lt;&gt;"Accepted","Evidence pending",IF(Y136&lt;'Residual Config'!$C$4,"Overdue","Current")))))</f>
        <v>Current</v>
      </c>
      <c r="AA136" s="34" t="n">
        <f aca="false">IF(I136="N/A","",IF(Z136&lt;&gt;"Current",4,IF(MAX(M136,T136)=0,4,MAX(M136,T136))))</f>
        <v>2</v>
      </c>
      <c r="AB136" s="7" t="str">
        <f aca="false">IF(AA136="","N/A",IF(Z136&lt;&gt;"Current","Not tested / overdue",INDEX('Residual Config'!$B$11:$B$14,AA136)))</f>
        <v>Largely effective</v>
      </c>
      <c r="AC136" s="36" t="n">
        <f aca="false">IF(AA136="","",INDEX('Residual Config'!$D$11:$D$14,AA136))</f>
        <v>0.4</v>
      </c>
      <c r="AD136" s="7" t="str">
        <f aca="false">IF(OR(I136="N/A",P136="",Q136=""),"",IF(P136&gt;=Q136,"Yes","No"))</f>
        <v>Yes</v>
      </c>
      <c r="AE136" s="8"/>
    </row>
    <row r="137" customFormat="false" ht="15" hidden="false" customHeight="false" outlineLevel="0" collapsed="false">
      <c r="A137" s="12" t="s">
        <v>1081</v>
      </c>
      <c r="B137" s="26" t="str">
        <f aca="false">Entities!$A$8</f>
        <v>JO-INS</v>
      </c>
      <c r="C137" s="12" t="str">
        <f aca="false">INDEX(Entities!$B$5:$B$34,MATCH(B137,Entities!$A$5:$A$34,0))</f>
        <v>Insurance subsidiary – Jordan</v>
      </c>
      <c r="D137" s="7" t="str">
        <f aca="false">INDEX(Entities!$F$5:$F$34,MATCH(B137,Entities!$A$5:$A$34,0))</f>
        <v>Tier 3</v>
      </c>
      <c r="E137" s="26" t="str">
        <f aca="false">'Control Library'!$A$8</f>
        <v>CTL-KYC-04</v>
      </c>
      <c r="F137" s="12" t="str">
        <f aca="false">INDEX('Control Library'!$B$5:$B$47,MATCH(E137,'Control Library'!$A$5:$A$47,0))</f>
        <v>Periodic KYC review by customer risk rating</v>
      </c>
      <c r="G137" s="7" t="str">
        <f aca="false">INDEX('Control Library'!$F$5:$F$47,MATCH(E137,'Control Library'!$A$5:$A$47,0))</f>
        <v>Y</v>
      </c>
      <c r="H137" s="12" t="str">
        <f aca="false">INDEX('Control Library'!$E$5:$E$47,MATCH(E137,'Control Library'!$A$5:$A$47,0))</f>
        <v>Monthly</v>
      </c>
      <c r="I137" s="7" t="str">
        <f aca="false">IF(INDEX('Control Library'!$I$5:$I$47,MATCH(E137,'Control Library'!$A$5:$A$47,0))="All","Y",IF(INDEX('Control Library'!$I$5:$I$47,MATCH(E137,'Control Library'!$A$5:$A$47,0))="Banks only",IF(COUNTIF('Residual Config'!$L$28:$L$30,INDEX(Entities!$E$5:$E$34,MATCH(B137,Entities!$A$5:$A$34,0)))&gt;0,"N/A","Y"),IF(INDEX(Entities!$G$5:$G$34,MATCH(B137,Entities!$A$5:$A$34,0))="Y","Y","N/A")))</f>
        <v>Y</v>
      </c>
      <c r="J137" s="8" t="s">
        <v>1073</v>
      </c>
      <c r="K137" s="8" t="s">
        <v>1074</v>
      </c>
      <c r="L137" s="7" t="str">
        <f aca="false">IF(OR(J137="",K137=""),"",IF(J137=K137,"Breach","OK"))</f>
        <v>OK</v>
      </c>
      <c r="M137" s="24" t="n">
        <v>2</v>
      </c>
      <c r="N137" s="50" t="n">
        <v>46255</v>
      </c>
      <c r="O137" s="8" t="s">
        <v>546</v>
      </c>
      <c r="P137" s="24" t="n">
        <v>3</v>
      </c>
      <c r="Q137" s="31" t="n">
        <f aca="false">IF(I137="N/A","",IFERROR(INDEX('Residual Config'!$B$35:$B$42,MATCH(H137,'Residual Config'!$A$35:$A$42,0)),""))</f>
        <v>3</v>
      </c>
      <c r="R137" s="24" t="n">
        <v>1</v>
      </c>
      <c r="S137" s="8" t="s">
        <v>521</v>
      </c>
      <c r="T137" s="31" t="n">
        <f aca="false">IF(S137="","",MATCH(S137,'Residual Config'!$L$9:$L$12,0))</f>
        <v>2</v>
      </c>
      <c r="U137" s="8" t="s">
        <v>1082</v>
      </c>
      <c r="V137" s="24" t="n">
        <v>5</v>
      </c>
      <c r="W137" s="33" t="s">
        <v>533</v>
      </c>
      <c r="X137" s="8" t="s">
        <v>754</v>
      </c>
      <c r="Y137" s="51" t="n">
        <f aca="false">IF(N137="","",EDATE(N137,IF(G137="N",INDEX('Residual Config'!$B$31:$D$31,1,MATCH(D137,'Residual Config'!$B$27:$D$27,0)),INDEX('Residual Config'!$B$28:$D$30,IF(T137=1,1,IF(T137=4,3,2)),MATCH(D137,'Residual Config'!$B$27:$D$27,0)))))</f>
        <v>46439</v>
      </c>
      <c r="Z137" s="7" t="str">
        <f aca="false">IF(I137="N/A","N/A",IF(N137="","Not tested",IF(W137="Rejected","Evidence rejected",IF(W137&lt;&gt;"Accepted","Evidence pending",IF(Y137&lt;'Residual Config'!$C$4,"Overdue","Current")))))</f>
        <v>Current</v>
      </c>
      <c r="AA137" s="34" t="n">
        <f aca="false">IF(I137="N/A","",IF(Z137&lt;&gt;"Current",4,IF(MAX(M137,T137)=0,4,MAX(M137,T137))))</f>
        <v>2</v>
      </c>
      <c r="AB137" s="7" t="str">
        <f aca="false">IF(AA137="","N/A",IF(Z137&lt;&gt;"Current","Not tested / overdue",INDEX('Residual Config'!$B$11:$B$14,AA137)))</f>
        <v>Largely effective</v>
      </c>
      <c r="AC137" s="36" t="n">
        <f aca="false">IF(AA137="","",INDEX('Residual Config'!$D$11:$D$14,AA137))</f>
        <v>0.4</v>
      </c>
      <c r="AD137" s="7" t="str">
        <f aca="false">IF(OR(I137="N/A",P137="",Q137=""),"",IF(P137&gt;=Q137,"Yes","No"))</f>
        <v>Yes</v>
      </c>
      <c r="AE137" s="8"/>
    </row>
    <row r="138" customFormat="false" ht="15" hidden="false" customHeight="false" outlineLevel="0" collapsed="false">
      <c r="A138" s="12" t="s">
        <v>1083</v>
      </c>
      <c r="B138" s="26" t="str">
        <f aca="false">Entities!$A$8</f>
        <v>JO-INS</v>
      </c>
      <c r="C138" s="12" t="str">
        <f aca="false">INDEX(Entities!$B$5:$B$34,MATCH(B138,Entities!$A$5:$A$34,0))</f>
        <v>Insurance subsidiary – Jordan</v>
      </c>
      <c r="D138" s="7" t="str">
        <f aca="false">INDEX(Entities!$F$5:$F$34,MATCH(B138,Entities!$A$5:$A$34,0))</f>
        <v>Tier 3</v>
      </c>
      <c r="E138" s="26" t="str">
        <f aca="false">'Control Library'!$A$9</f>
        <v>CTL-CRR-01</v>
      </c>
      <c r="F138" s="12" t="str">
        <f aca="false">INDEX('Control Library'!$B$5:$B$47,MATCH(E138,'Control Library'!$A$5:$A$47,0))</f>
        <v>Customer risk rating model and annual validation</v>
      </c>
      <c r="G138" s="7" t="str">
        <f aca="false">INDEX('Control Library'!$F$5:$F$47,MATCH(E138,'Control Library'!$A$5:$A$47,0))</f>
        <v>N</v>
      </c>
      <c r="H138" s="12" t="str">
        <f aca="false">INDEX('Control Library'!$E$5:$E$47,MATCH(E138,'Control Library'!$A$5:$A$47,0))</f>
        <v>Annual</v>
      </c>
      <c r="I138" s="7" t="str">
        <f aca="false">IF(INDEX('Control Library'!$I$5:$I$47,MATCH(E138,'Control Library'!$A$5:$A$47,0))="All","Y",IF(INDEX('Control Library'!$I$5:$I$47,MATCH(E138,'Control Library'!$A$5:$A$47,0))="Banks only",IF(COUNTIF('Residual Config'!$L$28:$L$30,INDEX(Entities!$E$5:$E$34,MATCH(B138,Entities!$A$5:$A$34,0)))&gt;0,"N/A","Y"),IF(INDEX(Entities!$G$5:$G$34,MATCH(B138,Entities!$A$5:$A$34,0))="Y","Y","N/A")))</f>
        <v>Y</v>
      </c>
      <c r="J138" s="8" t="s">
        <v>1077</v>
      </c>
      <c r="K138" s="8" t="s">
        <v>1074</v>
      </c>
      <c r="L138" s="7" t="str">
        <f aca="false">IF(OR(J138="",K138=""),"",IF(J138=K138,"Breach","OK"))</f>
        <v>OK</v>
      </c>
      <c r="M138" s="24" t="n">
        <v>1</v>
      </c>
      <c r="N138" s="50" t="n">
        <v>45859</v>
      </c>
      <c r="O138" s="8" t="s">
        <v>547</v>
      </c>
      <c r="P138" s="24" t="n">
        <v>1</v>
      </c>
      <c r="Q138" s="31" t="n">
        <f aca="false">IF(I138="N/A","",IFERROR(INDEX('Residual Config'!$B$35:$B$42,MATCH(H138,'Residual Config'!$A$35:$A$42,0)),""))</f>
        <v>1</v>
      </c>
      <c r="R138" s="24" t="n">
        <v>1</v>
      </c>
      <c r="S138" s="8" t="s">
        <v>521</v>
      </c>
      <c r="T138" s="31" t="n">
        <f aca="false">IF(S138="","",MATCH(S138,'Residual Config'!$L$9:$L$12,0))</f>
        <v>2</v>
      </c>
      <c r="U138" s="8" t="s">
        <v>1084</v>
      </c>
      <c r="V138" s="24" t="n">
        <v>5</v>
      </c>
      <c r="W138" s="33" t="s">
        <v>533</v>
      </c>
      <c r="X138" s="8" t="s">
        <v>760</v>
      </c>
      <c r="Y138" s="51" t="n">
        <f aca="false">IF(N138="","",EDATE(N138,IF(G138="N",INDEX('Residual Config'!$B$31:$D$31,1,MATCH(D138,'Residual Config'!$B$27:$D$27,0)),INDEX('Residual Config'!$B$28:$D$30,IF(T138=1,1,IF(T138=4,3,2)),MATCH(D138,'Residual Config'!$B$27:$D$27,0)))))</f>
        <v>46589</v>
      </c>
      <c r="Z138" s="7" t="str">
        <f aca="false">IF(I138="N/A","N/A",IF(N138="","Not tested",IF(W138="Rejected","Evidence rejected",IF(W138&lt;&gt;"Accepted","Evidence pending",IF(Y138&lt;'Residual Config'!$C$4,"Overdue","Current")))))</f>
        <v>Current</v>
      </c>
      <c r="AA138" s="34" t="n">
        <f aca="false">IF(I138="N/A","",IF(Z138&lt;&gt;"Current",4,IF(MAX(M138,T138)=0,4,MAX(M138,T138))))</f>
        <v>2</v>
      </c>
      <c r="AB138" s="7" t="str">
        <f aca="false">IF(AA138="","N/A",IF(Z138&lt;&gt;"Current","Not tested / overdue",INDEX('Residual Config'!$B$11:$B$14,AA138)))</f>
        <v>Largely effective</v>
      </c>
      <c r="AC138" s="36" t="n">
        <f aca="false">IF(AA138="","",INDEX('Residual Config'!$D$11:$D$14,AA138))</f>
        <v>0.4</v>
      </c>
      <c r="AD138" s="7" t="str">
        <f aca="false">IF(OR(I138="N/A",P138="",Q138=""),"",IF(P138&gt;=Q138,"Yes","No"))</f>
        <v>Yes</v>
      </c>
      <c r="AE138" s="8"/>
    </row>
    <row r="139" customFormat="false" ht="15" hidden="false" customHeight="false" outlineLevel="0" collapsed="false">
      <c r="A139" s="12" t="s">
        <v>1085</v>
      </c>
      <c r="B139" s="26" t="str">
        <f aca="false">Entities!$A$8</f>
        <v>JO-INS</v>
      </c>
      <c r="C139" s="12" t="str">
        <f aca="false">INDEX(Entities!$B$5:$B$34,MATCH(B139,Entities!$A$5:$A$34,0))</f>
        <v>Insurance subsidiary – Jordan</v>
      </c>
      <c r="D139" s="7" t="str">
        <f aca="false">INDEX(Entities!$F$5:$F$34,MATCH(B139,Entities!$A$5:$A$34,0))</f>
        <v>Tier 3</v>
      </c>
      <c r="E139" s="26" t="str">
        <f aca="false">'Control Library'!$A$10</f>
        <v>CTL-TM-01</v>
      </c>
      <c r="F139" s="12" t="str">
        <f aca="false">INDEX('Control Library'!$B$5:$B$47,MATCH(E139,'Control Library'!$A$5:$A$47,0))</f>
        <v>Automated transaction monitoring scenarios and annual tuning</v>
      </c>
      <c r="G139" s="7" t="str">
        <f aca="false">INDEX('Control Library'!$F$5:$F$47,MATCH(E139,'Control Library'!$A$5:$A$47,0))</f>
        <v>Y</v>
      </c>
      <c r="H139" s="12" t="str">
        <f aca="false">INDEX('Control Library'!$E$5:$E$47,MATCH(E139,'Control Library'!$A$5:$A$47,0))</f>
        <v>Continuous</v>
      </c>
      <c r="I139" s="7" t="str">
        <f aca="false">IF(INDEX('Control Library'!$I$5:$I$47,MATCH(E139,'Control Library'!$A$5:$A$47,0))="All","Y",IF(INDEX('Control Library'!$I$5:$I$47,MATCH(E139,'Control Library'!$A$5:$A$47,0))="Banks only",IF(COUNTIF('Residual Config'!$L$28:$L$30,INDEX(Entities!$E$5:$E$34,MATCH(B139,Entities!$A$5:$A$34,0)))&gt;0,"N/A","Y"),IF(INDEX(Entities!$G$5:$G$34,MATCH(B139,Entities!$A$5:$A$34,0))="Y","Y","N/A")))</f>
        <v>N/A</v>
      </c>
      <c r="J139" s="8"/>
      <c r="K139" s="8"/>
      <c r="L139" s="7" t="str">
        <f aca="false">IF(OR(J139="",K139=""),"",IF(J139=K139,"Breach","OK"))</f>
        <v/>
      </c>
      <c r="M139" s="24"/>
      <c r="N139" s="50"/>
      <c r="O139" s="8"/>
      <c r="P139" s="24"/>
      <c r="Q139" s="31" t="str">
        <f aca="false">IF(I139="N/A","",IFERROR(INDEX('Residual Config'!$B$35:$B$42,MATCH(H139,'Residual Config'!$A$35:$A$42,0)),""))</f>
        <v/>
      </c>
      <c r="R139" s="24"/>
      <c r="S139" s="8"/>
      <c r="T139" s="31" t="str">
        <f aca="false">IF(S139="","",MATCH(S139,'Residual Config'!$L$9:$L$12,0))</f>
        <v/>
      </c>
      <c r="U139" s="8"/>
      <c r="V139" s="24"/>
      <c r="W139" s="33"/>
      <c r="X139" s="8"/>
      <c r="Y139" s="51" t="str">
        <f aca="false">IF(N139="","",EDATE(N139,IF(G139="N",INDEX('Residual Config'!$B$31:$D$31,1,MATCH(D139,'Residual Config'!$B$27:$D$27,0)),INDEX('Residual Config'!$B$28:$D$30,IF(T139=1,1,IF(T139=4,3,2)),MATCH(D139,'Residual Config'!$B$27:$D$27,0)))))</f>
        <v/>
      </c>
      <c r="Z139" s="7" t="str">
        <f aca="false">IF(I139="N/A","N/A",IF(N139="","Not tested",IF(W139="Rejected","Evidence rejected",IF(W139&lt;&gt;"Accepted","Evidence pending",IF(Y139&lt;'Residual Config'!$C$4,"Overdue","Current")))))</f>
        <v>N/A</v>
      </c>
      <c r="AA139" s="34" t="str">
        <f aca="false">IF(I139="N/A","",IF(Z139&lt;&gt;"Current",4,IF(MAX(M139,T139)=0,4,MAX(M139,T139))))</f>
        <v/>
      </c>
      <c r="AB139" s="7" t="str">
        <f aca="false">IF(AA139="","N/A",IF(Z139&lt;&gt;"Current","Not tested / overdue",INDEX('Residual Config'!$B$11:$B$14,AA139)))</f>
        <v>N/A</v>
      </c>
      <c r="AC139" s="36" t="str">
        <f aca="false">IF(AA139="","",INDEX('Residual Config'!$D$11:$D$14,AA139))</f>
        <v/>
      </c>
      <c r="AD139" s="7" t="str">
        <f aca="false">IF(OR(I139="N/A",P139="",Q139=""),"",IF(P139&gt;=Q139,"Yes","No"))</f>
        <v/>
      </c>
      <c r="AE139" s="8"/>
    </row>
    <row r="140" customFormat="false" ht="15" hidden="false" customHeight="false" outlineLevel="0" collapsed="false">
      <c r="A140" s="12" t="s">
        <v>1086</v>
      </c>
      <c r="B140" s="26" t="str">
        <f aca="false">Entities!$A$8</f>
        <v>JO-INS</v>
      </c>
      <c r="C140" s="12" t="str">
        <f aca="false">INDEX(Entities!$B$5:$B$34,MATCH(B140,Entities!$A$5:$A$34,0))</f>
        <v>Insurance subsidiary – Jordan</v>
      </c>
      <c r="D140" s="7" t="str">
        <f aca="false">INDEX(Entities!$F$5:$F$34,MATCH(B140,Entities!$A$5:$A$34,0))</f>
        <v>Tier 3</v>
      </c>
      <c r="E140" s="26" t="str">
        <f aca="false">'Control Library'!$A$11</f>
        <v>CTL-TM-02</v>
      </c>
      <c r="F140" s="12" t="str">
        <f aca="false">INDEX('Control Library'!$B$5:$B$47,MATCH(E140,'Control Library'!$A$5:$A$47,0))</f>
        <v>Alert investigation and quality assurance within SLA</v>
      </c>
      <c r="G140" s="7" t="str">
        <f aca="false">INDEX('Control Library'!$F$5:$F$47,MATCH(E140,'Control Library'!$A$5:$A$47,0))</f>
        <v>Y</v>
      </c>
      <c r="H140" s="12" t="str">
        <f aca="false">INDEX('Control Library'!$E$5:$E$47,MATCH(E140,'Control Library'!$A$5:$A$47,0))</f>
        <v>Daily</v>
      </c>
      <c r="I140" s="7" t="str">
        <f aca="false">IF(INDEX('Control Library'!$I$5:$I$47,MATCH(E140,'Control Library'!$A$5:$A$47,0))="All","Y",IF(INDEX('Control Library'!$I$5:$I$47,MATCH(E140,'Control Library'!$A$5:$A$47,0))="Banks only",IF(COUNTIF('Residual Config'!$L$28:$L$30,INDEX(Entities!$E$5:$E$34,MATCH(B140,Entities!$A$5:$A$34,0)))&gt;0,"N/A","Y"),IF(INDEX(Entities!$G$5:$G$34,MATCH(B140,Entities!$A$5:$A$34,0))="Y","Y","N/A")))</f>
        <v>Y</v>
      </c>
      <c r="J140" s="8" t="s">
        <v>1087</v>
      </c>
      <c r="K140" s="8" t="s">
        <v>1074</v>
      </c>
      <c r="L140" s="7" t="str">
        <f aca="false">IF(OR(J140="",K140=""),"",IF(J140=K140,"Breach","OK"))</f>
        <v>OK</v>
      </c>
      <c r="M140" s="24" t="n">
        <v>1</v>
      </c>
      <c r="N140" s="50" t="n">
        <v>46040</v>
      </c>
      <c r="O140" s="8" t="s">
        <v>545</v>
      </c>
      <c r="P140" s="24" t="n">
        <v>25</v>
      </c>
      <c r="Q140" s="31" t="n">
        <f aca="false">IF(I140="N/A","",IFERROR(INDEX('Residual Config'!$B$35:$B$42,MATCH(H140,'Residual Config'!$A$35:$A$42,0)),""))</f>
        <v>25</v>
      </c>
      <c r="R140" s="24" t="n">
        <v>0</v>
      </c>
      <c r="S140" s="8" t="s">
        <v>516</v>
      </c>
      <c r="T140" s="31" t="n">
        <f aca="false">IF(S140="","",MATCH(S140,'Residual Config'!$L$9:$L$12,0))</f>
        <v>1</v>
      </c>
      <c r="U140" s="8" t="s">
        <v>1088</v>
      </c>
      <c r="V140" s="24" t="n">
        <v>4</v>
      </c>
      <c r="W140" s="33" t="s">
        <v>533</v>
      </c>
      <c r="X140" s="8" t="s">
        <v>760</v>
      </c>
      <c r="Y140" s="51" t="n">
        <f aca="false">IF(N140="","",EDATE(N140,IF(G140="N",INDEX('Residual Config'!$B$31:$D$31,1,MATCH(D140,'Residual Config'!$B$27:$D$27,0)),INDEX('Residual Config'!$B$28:$D$30,IF(T140=1,1,IF(T140=4,3,2)),MATCH(D140,'Residual Config'!$B$27:$D$27,0)))))</f>
        <v>46405</v>
      </c>
      <c r="Z140" s="7" t="str">
        <f aca="false">IF(I140="N/A","N/A",IF(N140="","Not tested",IF(W140="Rejected","Evidence rejected",IF(W140&lt;&gt;"Accepted","Evidence pending",IF(Y140&lt;'Residual Config'!$C$4,"Overdue","Current")))))</f>
        <v>Current</v>
      </c>
      <c r="AA140" s="34" t="n">
        <f aca="false">IF(I140="N/A","",IF(Z140&lt;&gt;"Current",4,IF(MAX(M140,T140)=0,4,MAX(M140,T140))))</f>
        <v>1</v>
      </c>
      <c r="AB140" s="7" t="str">
        <f aca="false">IF(AA140="","N/A",IF(Z140&lt;&gt;"Current","Not tested / overdue",INDEX('Residual Config'!$B$11:$B$14,AA140)))</f>
        <v>Effective</v>
      </c>
      <c r="AC140" s="36" t="n">
        <f aca="false">IF(AA140="","",INDEX('Residual Config'!$D$11:$D$14,AA140))</f>
        <v>0.6</v>
      </c>
      <c r="AD140" s="7" t="str">
        <f aca="false">IF(OR(I140="N/A",P140="",Q140=""),"",IF(P140&gt;=Q140,"Yes","No"))</f>
        <v>Yes</v>
      </c>
      <c r="AE140" s="8"/>
    </row>
    <row r="141" customFormat="false" ht="15" hidden="false" customHeight="false" outlineLevel="0" collapsed="false">
      <c r="A141" s="12" t="s">
        <v>1089</v>
      </c>
      <c r="B141" s="26" t="str">
        <f aca="false">Entities!$A$8</f>
        <v>JO-INS</v>
      </c>
      <c r="C141" s="12" t="str">
        <f aca="false">INDEX(Entities!$B$5:$B$34,MATCH(B141,Entities!$A$5:$A$34,0))</f>
        <v>Insurance subsidiary – Jordan</v>
      </c>
      <c r="D141" s="7" t="str">
        <f aca="false">INDEX(Entities!$F$5:$F$34,MATCH(B141,Entities!$A$5:$A$34,0))</f>
        <v>Tier 3</v>
      </c>
      <c r="E141" s="26" t="str">
        <f aca="false">'Control Library'!$A$12</f>
        <v>CTL-STR-01</v>
      </c>
      <c r="F141" s="12" t="str">
        <f aca="false">INDEX('Control Library'!$B$5:$B$47,MATCH(E141,'Control Library'!$A$5:$A$47,0))</f>
        <v>STR decision and filing within regulatory deadline</v>
      </c>
      <c r="G141" s="7" t="str">
        <f aca="false">INDEX('Control Library'!$F$5:$F$47,MATCH(E141,'Control Library'!$A$5:$A$47,0))</f>
        <v>Y</v>
      </c>
      <c r="H141" s="12" t="str">
        <f aca="false">INDEX('Control Library'!$E$5:$E$47,MATCH(E141,'Control Library'!$A$5:$A$47,0))</f>
        <v>Event-driven</v>
      </c>
      <c r="I141" s="7" t="str">
        <f aca="false">IF(INDEX('Control Library'!$I$5:$I$47,MATCH(E141,'Control Library'!$A$5:$A$47,0))="All","Y",IF(INDEX('Control Library'!$I$5:$I$47,MATCH(E141,'Control Library'!$A$5:$A$47,0))="Banks only",IF(COUNTIF('Residual Config'!$L$28:$L$30,INDEX(Entities!$E$5:$E$34,MATCH(B141,Entities!$A$5:$A$34,0)))&gt;0,"N/A","Y"),IF(INDEX(Entities!$G$5:$G$34,MATCH(B141,Entities!$A$5:$A$34,0))="Y","Y","N/A")))</f>
        <v>Y</v>
      </c>
      <c r="J141" s="8" t="s">
        <v>1087</v>
      </c>
      <c r="K141" s="8" t="s">
        <v>1074</v>
      </c>
      <c r="L141" s="7" t="str">
        <f aca="false">IF(OR(J141="",K141=""),"",IF(J141=K141,"Breach","OK"))</f>
        <v>OK</v>
      </c>
      <c r="M141" s="24" t="n">
        <v>2</v>
      </c>
      <c r="N141" s="50"/>
      <c r="O141" s="8"/>
      <c r="P141" s="24"/>
      <c r="Q141" s="31" t="n">
        <f aca="false">IF(I141="N/A","",IFERROR(INDEX('Residual Config'!$B$35:$B$42,MATCH(H141,'Residual Config'!$A$35:$A$42,0)),""))</f>
        <v>25</v>
      </c>
      <c r="R141" s="24"/>
      <c r="S141" s="8"/>
      <c r="T141" s="31" t="str">
        <f aca="false">IF(S141="","",MATCH(S141,'Residual Config'!$L$9:$L$12,0))</f>
        <v/>
      </c>
      <c r="U141" s="8"/>
      <c r="V141" s="24"/>
      <c r="W141" s="33"/>
      <c r="X141" s="8"/>
      <c r="Y141" s="51" t="str">
        <f aca="false">IF(N141="","",EDATE(N141,IF(G141="N",INDEX('Residual Config'!$B$31:$D$31,1,MATCH(D141,'Residual Config'!$B$27:$D$27,0)),INDEX('Residual Config'!$B$28:$D$30,IF(T141=1,1,IF(T141=4,3,2)),MATCH(D141,'Residual Config'!$B$27:$D$27,0)))))</f>
        <v/>
      </c>
      <c r="Z141" s="7" t="str">
        <f aca="false">IF(I141="N/A","N/A",IF(N141="","Not tested",IF(W141="Rejected","Evidence rejected",IF(W141&lt;&gt;"Accepted","Evidence pending",IF(Y141&lt;'Residual Config'!$C$4,"Overdue","Current")))))</f>
        <v>Not tested</v>
      </c>
      <c r="AA141" s="34" t="n">
        <f aca="false">IF(I141="N/A","",IF(Z141&lt;&gt;"Current",4,IF(MAX(M141,T141)=0,4,MAX(M141,T141))))</f>
        <v>4</v>
      </c>
      <c r="AB141" s="7" t="str">
        <f aca="false">IF(AA141="","N/A",IF(Z141&lt;&gt;"Current","Not tested / overdue",INDEX('Residual Config'!$B$11:$B$14,AA141)))</f>
        <v>Not tested / overdue</v>
      </c>
      <c r="AC141" s="36" t="n">
        <f aca="false">IF(AA141="","",INDEX('Residual Config'!$D$11:$D$14,AA141))</f>
        <v>0</v>
      </c>
      <c r="AD141" s="7" t="str">
        <f aca="false">IF(OR(I141="N/A",P141="",Q141=""),"",IF(P141&gt;=Q141,"Yes","No"))</f>
        <v/>
      </c>
      <c r="AE141" s="8"/>
    </row>
    <row r="142" customFormat="false" ht="15" hidden="false" customHeight="false" outlineLevel="0" collapsed="false">
      <c r="A142" s="12" t="s">
        <v>1090</v>
      </c>
      <c r="B142" s="26" t="str">
        <f aca="false">Entities!$A$8</f>
        <v>JO-INS</v>
      </c>
      <c r="C142" s="12" t="str">
        <f aca="false">INDEX(Entities!$B$5:$B$34,MATCH(B142,Entities!$A$5:$A$34,0))</f>
        <v>Insurance subsidiary – Jordan</v>
      </c>
      <c r="D142" s="7" t="str">
        <f aca="false">INDEX(Entities!$F$5:$F$34,MATCH(B142,Entities!$A$5:$A$34,0))</f>
        <v>Tier 3</v>
      </c>
      <c r="E142" s="26" t="str">
        <f aca="false">'Control Library'!$A$13</f>
        <v>CTL-SAN-01</v>
      </c>
      <c r="F142" s="12" t="str">
        <f aca="false">INDEX('Control Library'!$B$5:$B$47,MATCH(E142,'Control Library'!$A$5:$A$47,0))</f>
        <v>Real-time payment and transaction sanctions screening</v>
      </c>
      <c r="G142" s="7" t="str">
        <f aca="false">INDEX('Control Library'!$F$5:$F$47,MATCH(E142,'Control Library'!$A$5:$A$47,0))</f>
        <v>Y</v>
      </c>
      <c r="H142" s="12" t="str">
        <f aca="false">INDEX('Control Library'!$E$5:$E$47,MATCH(E142,'Control Library'!$A$5:$A$47,0))</f>
        <v>Continuous</v>
      </c>
      <c r="I142" s="7" t="str">
        <f aca="false">IF(INDEX('Control Library'!$I$5:$I$47,MATCH(E142,'Control Library'!$A$5:$A$47,0))="All","Y",IF(INDEX('Control Library'!$I$5:$I$47,MATCH(E142,'Control Library'!$A$5:$A$47,0))="Banks only",IF(COUNTIF('Residual Config'!$L$28:$L$30,INDEX(Entities!$E$5:$E$34,MATCH(B142,Entities!$A$5:$A$34,0)))&gt;0,"N/A","Y"),IF(INDEX(Entities!$G$5:$G$34,MATCH(B142,Entities!$A$5:$A$34,0))="Y","Y","N/A")))</f>
        <v>Y</v>
      </c>
      <c r="J142" s="8" t="s">
        <v>1091</v>
      </c>
      <c r="K142" s="8" t="s">
        <v>1074</v>
      </c>
      <c r="L142" s="7" t="str">
        <f aca="false">IF(OR(J142="",K142=""),"",IF(J142=K142,"Breach","OK"))</f>
        <v>OK</v>
      </c>
      <c r="M142" s="24" t="n">
        <v>2</v>
      </c>
      <c r="N142" s="50" t="n">
        <v>46259</v>
      </c>
      <c r="O142" s="8" t="s">
        <v>546</v>
      </c>
      <c r="P142" s="24" t="n">
        <v>1</v>
      </c>
      <c r="Q142" s="31" t="n">
        <f aca="false">IF(I142="N/A","",IFERROR(INDEX('Residual Config'!$B$35:$B$42,MATCH(H142,'Residual Config'!$A$35:$A$42,0)),""))</f>
        <v>1</v>
      </c>
      <c r="R142" s="24" t="n">
        <v>1</v>
      </c>
      <c r="S142" s="8" t="s">
        <v>521</v>
      </c>
      <c r="T142" s="31" t="n">
        <f aca="false">IF(S142="","",MATCH(S142,'Residual Config'!$L$9:$L$12,0))</f>
        <v>2</v>
      </c>
      <c r="U142" s="8" t="s">
        <v>1092</v>
      </c>
      <c r="V142" s="24" t="n">
        <v>3</v>
      </c>
      <c r="W142" s="33" t="s">
        <v>533</v>
      </c>
      <c r="X142" s="8" t="s">
        <v>754</v>
      </c>
      <c r="Y142" s="51" t="n">
        <f aca="false">IF(N142="","",EDATE(N142,IF(G142="N",INDEX('Residual Config'!$B$31:$D$31,1,MATCH(D142,'Residual Config'!$B$27:$D$27,0)),INDEX('Residual Config'!$B$28:$D$30,IF(T142=1,1,IF(T142=4,3,2)),MATCH(D142,'Residual Config'!$B$27:$D$27,0)))))</f>
        <v>46443</v>
      </c>
      <c r="Z142" s="7" t="str">
        <f aca="false">IF(I142="N/A","N/A",IF(N142="","Not tested",IF(W142="Rejected","Evidence rejected",IF(W142&lt;&gt;"Accepted","Evidence pending",IF(Y142&lt;'Residual Config'!$C$4,"Overdue","Current")))))</f>
        <v>Current</v>
      </c>
      <c r="AA142" s="34" t="n">
        <f aca="false">IF(I142="N/A","",IF(Z142&lt;&gt;"Current",4,IF(MAX(M142,T142)=0,4,MAX(M142,T142))))</f>
        <v>2</v>
      </c>
      <c r="AB142" s="7" t="str">
        <f aca="false">IF(AA142="","N/A",IF(Z142&lt;&gt;"Current","Not tested / overdue",INDEX('Residual Config'!$B$11:$B$14,AA142)))</f>
        <v>Largely effective</v>
      </c>
      <c r="AC142" s="36" t="n">
        <f aca="false">IF(AA142="","",INDEX('Residual Config'!$D$11:$D$14,AA142))</f>
        <v>0.4</v>
      </c>
      <c r="AD142" s="7" t="str">
        <f aca="false">IF(OR(I142="N/A",P142="",Q142=""),"",IF(P142&gt;=Q142,"Yes","No"))</f>
        <v>Yes</v>
      </c>
      <c r="AE142" s="8"/>
    </row>
    <row r="143" customFormat="false" ht="15" hidden="false" customHeight="false" outlineLevel="0" collapsed="false">
      <c r="A143" s="12" t="s">
        <v>1093</v>
      </c>
      <c r="B143" s="26" t="str">
        <f aca="false">Entities!$A$8</f>
        <v>JO-INS</v>
      </c>
      <c r="C143" s="12" t="str">
        <f aca="false">INDEX(Entities!$B$5:$B$34,MATCH(B143,Entities!$A$5:$A$34,0))</f>
        <v>Insurance subsidiary – Jordan</v>
      </c>
      <c r="D143" s="7" t="str">
        <f aca="false">INDEX(Entities!$F$5:$F$34,MATCH(B143,Entities!$A$5:$A$34,0))</f>
        <v>Tier 3</v>
      </c>
      <c r="E143" s="26" t="str">
        <f aca="false">'Control Library'!$A$14</f>
        <v>CTL-SAN-02</v>
      </c>
      <c r="F143" s="12" t="str">
        <f aca="false">INDEX('Control Library'!$B$5:$B$47,MATCH(E143,'Control Library'!$A$5:$A$47,0))</f>
        <v>Customer and counterparty screening at onboarding and on list change</v>
      </c>
      <c r="G143" s="7" t="str">
        <f aca="false">INDEX('Control Library'!$F$5:$F$47,MATCH(E143,'Control Library'!$A$5:$A$47,0))</f>
        <v>Y</v>
      </c>
      <c r="H143" s="12" t="str">
        <f aca="false">INDEX('Control Library'!$E$5:$E$47,MATCH(E143,'Control Library'!$A$5:$A$47,0))</f>
        <v>Continuous</v>
      </c>
      <c r="I143" s="7" t="str">
        <f aca="false">IF(INDEX('Control Library'!$I$5:$I$47,MATCH(E143,'Control Library'!$A$5:$A$47,0))="All","Y",IF(INDEX('Control Library'!$I$5:$I$47,MATCH(E143,'Control Library'!$A$5:$A$47,0))="Banks only",IF(COUNTIF('Residual Config'!$L$28:$L$30,INDEX(Entities!$E$5:$E$34,MATCH(B143,Entities!$A$5:$A$34,0)))&gt;0,"N/A","Y"),IF(INDEX(Entities!$G$5:$G$34,MATCH(B143,Entities!$A$5:$A$34,0))="Y","Y","N/A")))</f>
        <v>Y</v>
      </c>
      <c r="J143" s="8" t="s">
        <v>1091</v>
      </c>
      <c r="K143" s="8" t="s">
        <v>1074</v>
      </c>
      <c r="L143" s="7" t="str">
        <f aca="false">IF(OR(J143="",K143=""),"",IF(J143=K143,"Breach","OK"))</f>
        <v>OK</v>
      </c>
      <c r="M143" s="24" t="n">
        <v>2</v>
      </c>
      <c r="N143" s="50" t="n">
        <v>46147</v>
      </c>
      <c r="O143" s="8" t="s">
        <v>547</v>
      </c>
      <c r="P143" s="24" t="n">
        <v>1</v>
      </c>
      <c r="Q143" s="31" t="n">
        <f aca="false">IF(I143="N/A","",IFERROR(INDEX('Residual Config'!$B$35:$B$42,MATCH(H143,'Residual Config'!$A$35:$A$42,0)),""))</f>
        <v>1</v>
      </c>
      <c r="R143" s="24" t="n">
        <v>1</v>
      </c>
      <c r="S143" s="8" t="s">
        <v>521</v>
      </c>
      <c r="T143" s="31" t="n">
        <f aca="false">IF(S143="","",MATCH(S143,'Residual Config'!$L$9:$L$12,0))</f>
        <v>2</v>
      </c>
      <c r="U143" s="8" t="s">
        <v>1094</v>
      </c>
      <c r="V143" s="24" t="n">
        <v>6</v>
      </c>
      <c r="W143" s="33" t="s">
        <v>533</v>
      </c>
      <c r="X143" s="8" t="s">
        <v>760</v>
      </c>
      <c r="Y143" s="51" t="n">
        <f aca="false">IF(N143="","",EDATE(N143,IF(G143="N",INDEX('Residual Config'!$B$31:$D$31,1,MATCH(D143,'Residual Config'!$B$27:$D$27,0)),INDEX('Residual Config'!$B$28:$D$30,IF(T143=1,1,IF(T143=4,3,2)),MATCH(D143,'Residual Config'!$B$27:$D$27,0)))))</f>
        <v>46331</v>
      </c>
      <c r="Z143" s="7" t="str">
        <f aca="false">IF(I143="N/A","N/A",IF(N143="","Not tested",IF(W143="Rejected","Evidence rejected",IF(W143&lt;&gt;"Accepted","Evidence pending",IF(Y143&lt;'Residual Config'!$C$4,"Overdue","Current")))))</f>
        <v>Current</v>
      </c>
      <c r="AA143" s="34" t="n">
        <f aca="false">IF(I143="N/A","",IF(Z143&lt;&gt;"Current",4,IF(MAX(M143,T143)=0,4,MAX(M143,T143))))</f>
        <v>2</v>
      </c>
      <c r="AB143" s="7" t="str">
        <f aca="false">IF(AA143="","N/A",IF(Z143&lt;&gt;"Current","Not tested / overdue",INDEX('Residual Config'!$B$11:$B$14,AA143)))</f>
        <v>Largely effective</v>
      </c>
      <c r="AC143" s="36" t="n">
        <f aca="false">IF(AA143="","",INDEX('Residual Config'!$D$11:$D$14,AA143))</f>
        <v>0.4</v>
      </c>
      <c r="AD143" s="7" t="str">
        <f aca="false">IF(OR(I143="N/A",P143="",Q143=""),"",IF(P143&gt;=Q143,"Yes","No"))</f>
        <v>Yes</v>
      </c>
      <c r="AE143" s="8"/>
    </row>
    <row r="144" customFormat="false" ht="15" hidden="false" customHeight="false" outlineLevel="0" collapsed="false">
      <c r="A144" s="12" t="s">
        <v>1095</v>
      </c>
      <c r="B144" s="26" t="str">
        <f aca="false">Entities!$A$8</f>
        <v>JO-INS</v>
      </c>
      <c r="C144" s="12" t="str">
        <f aca="false">INDEX(Entities!$B$5:$B$34,MATCH(B144,Entities!$A$5:$A$34,0))</f>
        <v>Insurance subsidiary – Jordan</v>
      </c>
      <c r="D144" s="7" t="str">
        <f aca="false">INDEX(Entities!$F$5:$F$34,MATCH(B144,Entities!$A$5:$A$34,0))</f>
        <v>Tier 3</v>
      </c>
      <c r="E144" s="26" t="str">
        <f aca="false">'Control Library'!$A$15</f>
        <v>CTL-SAN-03</v>
      </c>
      <c r="F144" s="12" t="str">
        <f aca="false">INDEX('Control Library'!$B$5:$B$47,MATCH(E144,'Control Library'!$A$5:$A$47,0))</f>
        <v>Sanctions list updates applied within 24 hours</v>
      </c>
      <c r="G144" s="7" t="str">
        <f aca="false">INDEX('Control Library'!$F$5:$F$47,MATCH(E144,'Control Library'!$A$5:$A$47,0))</f>
        <v>N</v>
      </c>
      <c r="H144" s="12" t="str">
        <f aca="false">INDEX('Control Library'!$E$5:$E$47,MATCH(E144,'Control Library'!$A$5:$A$47,0))</f>
        <v>Daily</v>
      </c>
      <c r="I144" s="7" t="str">
        <f aca="false">IF(INDEX('Control Library'!$I$5:$I$47,MATCH(E144,'Control Library'!$A$5:$A$47,0))="All","Y",IF(INDEX('Control Library'!$I$5:$I$47,MATCH(E144,'Control Library'!$A$5:$A$47,0))="Banks only",IF(COUNTIF('Residual Config'!$L$28:$L$30,INDEX(Entities!$E$5:$E$34,MATCH(B144,Entities!$A$5:$A$34,0)))&gt;0,"N/A","Y"),IF(INDEX(Entities!$G$5:$G$34,MATCH(B144,Entities!$A$5:$A$34,0))="Y","Y","N/A")))</f>
        <v>Y</v>
      </c>
      <c r="J144" s="8" t="s">
        <v>1096</v>
      </c>
      <c r="K144" s="8" t="s">
        <v>1074</v>
      </c>
      <c r="L144" s="7" t="str">
        <f aca="false">IF(OR(J144="",K144=""),"",IF(J144=K144,"Breach","OK"))</f>
        <v>OK</v>
      </c>
      <c r="M144" s="24" t="n">
        <v>2</v>
      </c>
      <c r="N144" s="50" t="n">
        <v>45709</v>
      </c>
      <c r="O144" s="8" t="s">
        <v>545</v>
      </c>
      <c r="P144" s="24" t="n">
        <v>25</v>
      </c>
      <c r="Q144" s="31" t="n">
        <f aca="false">IF(I144="N/A","",IFERROR(INDEX('Residual Config'!$B$35:$B$42,MATCH(H144,'Residual Config'!$A$35:$A$42,0)),""))</f>
        <v>25</v>
      </c>
      <c r="R144" s="24" t="n">
        <v>1</v>
      </c>
      <c r="S144" s="8" t="s">
        <v>521</v>
      </c>
      <c r="T144" s="31" t="n">
        <f aca="false">IF(S144="","",MATCH(S144,'Residual Config'!$L$9:$L$12,0))</f>
        <v>2</v>
      </c>
      <c r="U144" s="8" t="s">
        <v>1097</v>
      </c>
      <c r="V144" s="24" t="n">
        <v>4</v>
      </c>
      <c r="W144" s="33" t="s">
        <v>533</v>
      </c>
      <c r="X144" s="8" t="s">
        <v>754</v>
      </c>
      <c r="Y144" s="51" t="n">
        <f aca="false">IF(N144="","",EDATE(N144,IF(G144="N",INDEX('Residual Config'!$B$31:$D$31,1,MATCH(D144,'Residual Config'!$B$27:$D$27,0)),INDEX('Residual Config'!$B$28:$D$30,IF(T144=1,1,IF(T144=4,3,2)),MATCH(D144,'Residual Config'!$B$27:$D$27,0)))))</f>
        <v>46439</v>
      </c>
      <c r="Z144" s="7" t="str">
        <f aca="false">IF(I144="N/A","N/A",IF(N144="","Not tested",IF(W144="Rejected","Evidence rejected",IF(W144&lt;&gt;"Accepted","Evidence pending",IF(Y144&lt;'Residual Config'!$C$4,"Overdue","Current")))))</f>
        <v>Current</v>
      </c>
      <c r="AA144" s="34" t="n">
        <f aca="false">IF(I144="N/A","",IF(Z144&lt;&gt;"Current",4,IF(MAX(M144,T144)=0,4,MAX(M144,T144))))</f>
        <v>2</v>
      </c>
      <c r="AB144" s="7" t="str">
        <f aca="false">IF(AA144="","N/A",IF(Z144&lt;&gt;"Current","Not tested / overdue",INDEX('Residual Config'!$B$11:$B$14,AA144)))</f>
        <v>Largely effective</v>
      </c>
      <c r="AC144" s="36" t="n">
        <f aca="false">IF(AA144="","",INDEX('Residual Config'!$D$11:$D$14,AA144))</f>
        <v>0.4</v>
      </c>
      <c r="AD144" s="7" t="str">
        <f aca="false">IF(OR(I144="N/A",P144="",Q144=""),"",IF(P144&gt;=Q144,"Yes","No"))</f>
        <v>Yes</v>
      </c>
      <c r="AE144" s="8"/>
    </row>
    <row r="145" customFormat="false" ht="15" hidden="false" customHeight="false" outlineLevel="0" collapsed="false">
      <c r="A145" s="12" t="s">
        <v>1098</v>
      </c>
      <c r="B145" s="26" t="str">
        <f aca="false">Entities!$A$8</f>
        <v>JO-INS</v>
      </c>
      <c r="C145" s="12" t="str">
        <f aca="false">INDEX(Entities!$B$5:$B$34,MATCH(B145,Entities!$A$5:$A$34,0))</f>
        <v>Insurance subsidiary – Jordan</v>
      </c>
      <c r="D145" s="7" t="str">
        <f aca="false">INDEX(Entities!$F$5:$F$34,MATCH(B145,Entities!$A$5:$A$34,0))</f>
        <v>Tier 3</v>
      </c>
      <c r="E145" s="26" t="str">
        <f aca="false">'Control Library'!$A$16</f>
        <v>CTL-TF-01</v>
      </c>
      <c r="F145" s="12" t="str">
        <f aca="false">INDEX('Control Library'!$B$5:$B$47,MATCH(E145,'Control Library'!$A$5:$A$47,0))</f>
        <v>NPO and charity enhanced due diligence</v>
      </c>
      <c r="G145" s="7" t="str">
        <f aca="false">INDEX('Control Library'!$F$5:$F$47,MATCH(E145,'Control Library'!$A$5:$A$47,0))</f>
        <v>N</v>
      </c>
      <c r="H145" s="12" t="str">
        <f aca="false">INDEX('Control Library'!$E$5:$E$47,MATCH(E145,'Control Library'!$A$5:$A$47,0))</f>
        <v>Event-driven</v>
      </c>
      <c r="I145" s="7" t="str">
        <f aca="false">IF(INDEX('Control Library'!$I$5:$I$47,MATCH(E145,'Control Library'!$A$5:$A$47,0))="All","Y",IF(INDEX('Control Library'!$I$5:$I$47,MATCH(E145,'Control Library'!$A$5:$A$47,0))="Banks only",IF(COUNTIF('Residual Config'!$L$28:$L$30,INDEX(Entities!$E$5:$E$34,MATCH(B145,Entities!$A$5:$A$34,0)))&gt;0,"N/A","Y"),IF(INDEX(Entities!$G$5:$G$34,MATCH(B145,Entities!$A$5:$A$34,0))="Y","Y","N/A")))</f>
        <v>Y</v>
      </c>
      <c r="J145" s="8" t="s">
        <v>1099</v>
      </c>
      <c r="K145" s="8" t="s">
        <v>1074</v>
      </c>
      <c r="L145" s="7" t="str">
        <f aca="false">IF(OR(J145="",K145=""),"",IF(J145=K145,"Breach","OK"))</f>
        <v>OK</v>
      </c>
      <c r="M145" s="24" t="n">
        <v>2</v>
      </c>
      <c r="N145" s="50" t="n">
        <v>45585</v>
      </c>
      <c r="O145" s="8" t="s">
        <v>546</v>
      </c>
      <c r="P145" s="24" t="n">
        <v>30</v>
      </c>
      <c r="Q145" s="31" t="n">
        <f aca="false">IF(I145="N/A","",IFERROR(INDEX('Residual Config'!$B$35:$B$42,MATCH(H145,'Residual Config'!$A$35:$A$42,0)),""))</f>
        <v>25</v>
      </c>
      <c r="R145" s="24" t="n">
        <v>0</v>
      </c>
      <c r="S145" s="8" t="s">
        <v>516</v>
      </c>
      <c r="T145" s="31" t="n">
        <f aca="false">IF(S145="","",MATCH(S145,'Residual Config'!$L$9:$L$12,0))</f>
        <v>1</v>
      </c>
      <c r="U145" s="8" t="s">
        <v>1100</v>
      </c>
      <c r="V145" s="24" t="n">
        <v>1</v>
      </c>
      <c r="W145" s="33" t="s">
        <v>533</v>
      </c>
      <c r="X145" s="8" t="s">
        <v>760</v>
      </c>
      <c r="Y145" s="51" t="n">
        <f aca="false">IF(N145="","",EDATE(N145,IF(G145="N",INDEX('Residual Config'!$B$31:$D$31,1,MATCH(D145,'Residual Config'!$B$27:$D$27,0)),INDEX('Residual Config'!$B$28:$D$30,IF(T145=1,1,IF(T145=4,3,2)),MATCH(D145,'Residual Config'!$B$27:$D$27,0)))))</f>
        <v>46315</v>
      </c>
      <c r="Z145" s="7" t="str">
        <f aca="false">IF(I145="N/A","N/A",IF(N145="","Not tested",IF(W145="Rejected","Evidence rejected",IF(W145&lt;&gt;"Accepted","Evidence pending",IF(Y145&lt;'Residual Config'!$C$4,"Overdue","Current")))))</f>
        <v>Current</v>
      </c>
      <c r="AA145" s="34" t="n">
        <f aca="false">IF(I145="N/A","",IF(Z145&lt;&gt;"Current",4,IF(MAX(M145,T145)=0,4,MAX(M145,T145))))</f>
        <v>2</v>
      </c>
      <c r="AB145" s="7" t="str">
        <f aca="false">IF(AA145="","N/A",IF(Z145&lt;&gt;"Current","Not tested / overdue",INDEX('Residual Config'!$B$11:$B$14,AA145)))</f>
        <v>Largely effective</v>
      </c>
      <c r="AC145" s="36" t="n">
        <f aca="false">IF(AA145="","",INDEX('Residual Config'!$D$11:$D$14,AA145))</f>
        <v>0.4</v>
      </c>
      <c r="AD145" s="7" t="str">
        <f aca="false">IF(OR(I145="N/A",P145="",Q145=""),"",IF(P145&gt;=Q145,"Yes","No"))</f>
        <v>Yes</v>
      </c>
      <c r="AE145" s="8"/>
    </row>
    <row r="146" customFormat="false" ht="15" hidden="false" customHeight="false" outlineLevel="0" collapsed="false">
      <c r="A146" s="12" t="s">
        <v>1101</v>
      </c>
      <c r="B146" s="26" t="str">
        <f aca="false">Entities!$A$8</f>
        <v>JO-INS</v>
      </c>
      <c r="C146" s="12" t="str">
        <f aca="false">INDEX(Entities!$B$5:$B$34,MATCH(B146,Entities!$A$5:$A$34,0))</f>
        <v>Insurance subsidiary – Jordan</v>
      </c>
      <c r="D146" s="7" t="str">
        <f aca="false">INDEX(Entities!$F$5:$F$34,MATCH(B146,Entities!$A$5:$A$34,0))</f>
        <v>Tier 3</v>
      </c>
      <c r="E146" s="26" t="str">
        <f aca="false">'Control Library'!$A$17</f>
        <v>CTL-TBML-01</v>
      </c>
      <c r="F146" s="12" t="str">
        <f aca="false">INDEX('Control Library'!$B$5:$B$47,MATCH(E146,'Control Library'!$A$5:$A$47,0))</f>
        <v>Trade-based ML red-flag review and pricing checks</v>
      </c>
      <c r="G146" s="7" t="str">
        <f aca="false">INDEX('Control Library'!$F$5:$F$47,MATCH(E146,'Control Library'!$A$5:$A$47,0))</f>
        <v>Y</v>
      </c>
      <c r="H146" s="12" t="str">
        <f aca="false">INDEX('Control Library'!$E$5:$E$47,MATCH(E146,'Control Library'!$A$5:$A$47,0))</f>
        <v>Event-driven</v>
      </c>
      <c r="I146" s="7" t="str">
        <f aca="false">IF(INDEX('Control Library'!$I$5:$I$47,MATCH(E146,'Control Library'!$A$5:$A$47,0))="All","Y",IF(INDEX('Control Library'!$I$5:$I$47,MATCH(E146,'Control Library'!$A$5:$A$47,0))="Banks only",IF(COUNTIF('Residual Config'!$L$28:$L$30,INDEX(Entities!$E$5:$E$34,MATCH(B146,Entities!$A$5:$A$34,0)))&gt;0,"N/A","Y"),IF(INDEX(Entities!$G$5:$G$34,MATCH(B146,Entities!$A$5:$A$34,0))="Y","Y","N/A")))</f>
        <v>N/A</v>
      </c>
      <c r="J146" s="8"/>
      <c r="K146" s="8"/>
      <c r="L146" s="7" t="str">
        <f aca="false">IF(OR(J146="",K146=""),"",IF(J146=K146,"Breach","OK"))</f>
        <v/>
      </c>
      <c r="M146" s="24"/>
      <c r="N146" s="50"/>
      <c r="O146" s="8"/>
      <c r="P146" s="24"/>
      <c r="Q146" s="31" t="str">
        <f aca="false">IF(I146="N/A","",IFERROR(INDEX('Residual Config'!$B$35:$B$42,MATCH(H146,'Residual Config'!$A$35:$A$42,0)),""))</f>
        <v/>
      </c>
      <c r="R146" s="24"/>
      <c r="S146" s="8"/>
      <c r="T146" s="31" t="str">
        <f aca="false">IF(S146="","",MATCH(S146,'Residual Config'!$L$9:$L$12,0))</f>
        <v/>
      </c>
      <c r="U146" s="8"/>
      <c r="V146" s="24"/>
      <c r="W146" s="33"/>
      <c r="X146" s="8"/>
      <c r="Y146" s="51" t="str">
        <f aca="false">IF(N146="","",EDATE(N146,IF(G146="N",INDEX('Residual Config'!$B$31:$D$31,1,MATCH(D146,'Residual Config'!$B$27:$D$27,0)),INDEX('Residual Config'!$B$28:$D$30,IF(T146=1,1,IF(T146=4,3,2)),MATCH(D146,'Residual Config'!$B$27:$D$27,0)))))</f>
        <v/>
      </c>
      <c r="Z146" s="7" t="str">
        <f aca="false">IF(I146="N/A","N/A",IF(N146="","Not tested",IF(W146="Rejected","Evidence rejected",IF(W146&lt;&gt;"Accepted","Evidence pending",IF(Y146&lt;'Residual Config'!$C$4,"Overdue","Current")))))</f>
        <v>N/A</v>
      </c>
      <c r="AA146" s="34" t="str">
        <f aca="false">IF(I146="N/A","",IF(Z146&lt;&gt;"Current",4,IF(MAX(M146,T146)=0,4,MAX(M146,T146))))</f>
        <v/>
      </c>
      <c r="AB146" s="7" t="str">
        <f aca="false">IF(AA146="","N/A",IF(Z146&lt;&gt;"Current","Not tested / overdue",INDEX('Residual Config'!$B$11:$B$14,AA146)))</f>
        <v>N/A</v>
      </c>
      <c r="AC146" s="36" t="str">
        <f aca="false">IF(AA146="","",INDEX('Residual Config'!$D$11:$D$14,AA146))</f>
        <v/>
      </c>
      <c r="AD146" s="7" t="str">
        <f aca="false">IF(OR(I146="N/A",P146="",Q146=""),"",IF(P146&gt;=Q146,"Yes","No"))</f>
        <v/>
      </c>
      <c r="AE146" s="8"/>
    </row>
    <row r="147" customFormat="false" ht="15" hidden="false" customHeight="false" outlineLevel="0" collapsed="false">
      <c r="A147" s="12" t="s">
        <v>1102</v>
      </c>
      <c r="B147" s="26" t="str">
        <f aca="false">Entities!$A$8</f>
        <v>JO-INS</v>
      </c>
      <c r="C147" s="12" t="str">
        <f aca="false">INDEX(Entities!$B$5:$B$34,MATCH(B147,Entities!$A$5:$A$34,0))</f>
        <v>Insurance subsidiary – Jordan</v>
      </c>
      <c r="D147" s="7" t="str">
        <f aca="false">INDEX(Entities!$F$5:$F$34,MATCH(B147,Entities!$A$5:$A$34,0))</f>
        <v>Tier 3</v>
      </c>
      <c r="E147" s="26" t="str">
        <f aca="false">'Control Library'!$A$18</f>
        <v>CTL-PF-01</v>
      </c>
      <c r="F147" s="12" t="str">
        <f aca="false">INDEX('Control Library'!$B$5:$B$47,MATCH(E147,'Control Library'!$A$5:$A$47,0))</f>
        <v>Dual-use goods, vessel and port screening</v>
      </c>
      <c r="G147" s="7" t="str">
        <f aca="false">INDEX('Control Library'!$F$5:$F$47,MATCH(E147,'Control Library'!$A$5:$A$47,0))</f>
        <v>Y</v>
      </c>
      <c r="H147" s="12" t="str">
        <f aca="false">INDEX('Control Library'!$E$5:$E$47,MATCH(E147,'Control Library'!$A$5:$A$47,0))</f>
        <v>Event-driven</v>
      </c>
      <c r="I147" s="7" t="str">
        <f aca="false">IF(INDEX('Control Library'!$I$5:$I$47,MATCH(E147,'Control Library'!$A$5:$A$47,0))="All","Y",IF(INDEX('Control Library'!$I$5:$I$47,MATCH(E147,'Control Library'!$A$5:$A$47,0))="Banks only",IF(COUNTIF('Residual Config'!$L$28:$L$30,INDEX(Entities!$E$5:$E$34,MATCH(B147,Entities!$A$5:$A$34,0)))&gt;0,"N/A","Y"),IF(INDEX(Entities!$G$5:$G$34,MATCH(B147,Entities!$A$5:$A$34,0))="Y","Y","N/A")))</f>
        <v>N/A</v>
      </c>
      <c r="J147" s="8"/>
      <c r="K147" s="8"/>
      <c r="L147" s="7" t="str">
        <f aca="false">IF(OR(J147="",K147=""),"",IF(J147=K147,"Breach","OK"))</f>
        <v/>
      </c>
      <c r="M147" s="24"/>
      <c r="N147" s="50"/>
      <c r="O147" s="8"/>
      <c r="P147" s="24"/>
      <c r="Q147" s="31" t="str">
        <f aca="false">IF(I147="N/A","",IFERROR(INDEX('Residual Config'!$B$35:$B$42,MATCH(H147,'Residual Config'!$A$35:$A$42,0)),""))</f>
        <v/>
      </c>
      <c r="R147" s="24"/>
      <c r="S147" s="8"/>
      <c r="T147" s="31" t="str">
        <f aca="false">IF(S147="","",MATCH(S147,'Residual Config'!$L$9:$L$12,0))</f>
        <v/>
      </c>
      <c r="U147" s="8"/>
      <c r="V147" s="24"/>
      <c r="W147" s="33"/>
      <c r="X147" s="8"/>
      <c r="Y147" s="51" t="str">
        <f aca="false">IF(N147="","",EDATE(N147,IF(G147="N",INDEX('Residual Config'!$B$31:$D$31,1,MATCH(D147,'Residual Config'!$B$27:$D$27,0)),INDEX('Residual Config'!$B$28:$D$30,IF(T147=1,1,IF(T147=4,3,2)),MATCH(D147,'Residual Config'!$B$27:$D$27,0)))))</f>
        <v/>
      </c>
      <c r="Z147" s="7" t="str">
        <f aca="false">IF(I147="N/A","N/A",IF(N147="","Not tested",IF(W147="Rejected","Evidence rejected",IF(W147&lt;&gt;"Accepted","Evidence pending",IF(Y147&lt;'Residual Config'!$C$4,"Overdue","Current")))))</f>
        <v>N/A</v>
      </c>
      <c r="AA147" s="34" t="str">
        <f aca="false">IF(I147="N/A","",IF(Z147&lt;&gt;"Current",4,IF(MAX(M147,T147)=0,4,MAX(M147,T147))))</f>
        <v/>
      </c>
      <c r="AB147" s="7" t="str">
        <f aca="false">IF(AA147="","N/A",IF(Z147&lt;&gt;"Current","Not tested / overdue",INDEX('Residual Config'!$B$11:$B$14,AA147)))</f>
        <v>N/A</v>
      </c>
      <c r="AC147" s="36" t="str">
        <f aca="false">IF(AA147="","",INDEX('Residual Config'!$D$11:$D$14,AA147))</f>
        <v/>
      </c>
      <c r="AD147" s="7" t="str">
        <f aca="false">IF(OR(I147="N/A",P147="",Q147=""),"",IF(P147&gt;=Q147,"Yes","No"))</f>
        <v/>
      </c>
      <c r="AE147" s="8"/>
    </row>
    <row r="148" customFormat="false" ht="15" hidden="false" customHeight="false" outlineLevel="0" collapsed="false">
      <c r="A148" s="12" t="s">
        <v>1103</v>
      </c>
      <c r="B148" s="26" t="str">
        <f aca="false">Entities!$A$8</f>
        <v>JO-INS</v>
      </c>
      <c r="C148" s="12" t="str">
        <f aca="false">INDEX(Entities!$B$5:$B$34,MATCH(B148,Entities!$A$5:$A$34,0))</f>
        <v>Insurance subsidiary – Jordan</v>
      </c>
      <c r="D148" s="7" t="str">
        <f aca="false">INDEX(Entities!$F$5:$F$34,MATCH(B148,Entities!$A$5:$A$34,0))</f>
        <v>Tier 3</v>
      </c>
      <c r="E148" s="26" t="str">
        <f aca="false">'Control Library'!$A$19</f>
        <v>CTL-CB-01</v>
      </c>
      <c r="F148" s="12" t="str">
        <f aca="false">INDEX('Control Library'!$B$5:$B$47,MATCH(E148,'Control Library'!$A$5:$A$47,0))</f>
        <v>Correspondent bank due diligence (CBDDQ) and nesting detection</v>
      </c>
      <c r="G148" s="7" t="str">
        <f aca="false">INDEX('Control Library'!$F$5:$F$47,MATCH(E148,'Control Library'!$A$5:$A$47,0))</f>
        <v>Y</v>
      </c>
      <c r="H148" s="12" t="str">
        <f aca="false">INDEX('Control Library'!$E$5:$E$47,MATCH(E148,'Control Library'!$A$5:$A$47,0))</f>
        <v>Annual</v>
      </c>
      <c r="I148" s="7" t="str">
        <f aca="false">IF(INDEX('Control Library'!$I$5:$I$47,MATCH(E148,'Control Library'!$A$5:$A$47,0))="All","Y",IF(INDEX('Control Library'!$I$5:$I$47,MATCH(E148,'Control Library'!$A$5:$A$47,0))="Banks only",IF(COUNTIF('Residual Config'!$L$28:$L$30,INDEX(Entities!$E$5:$E$34,MATCH(B148,Entities!$A$5:$A$34,0)))&gt;0,"N/A","Y"),IF(INDEX(Entities!$G$5:$G$34,MATCH(B148,Entities!$A$5:$A$34,0))="Y","Y","N/A")))</f>
        <v>N/A</v>
      </c>
      <c r="J148" s="8"/>
      <c r="K148" s="8"/>
      <c r="L148" s="7" t="str">
        <f aca="false">IF(OR(J148="",K148=""),"",IF(J148=K148,"Breach","OK"))</f>
        <v/>
      </c>
      <c r="M148" s="24"/>
      <c r="N148" s="50"/>
      <c r="O148" s="8"/>
      <c r="P148" s="24"/>
      <c r="Q148" s="31" t="str">
        <f aca="false">IF(I148="N/A","",IFERROR(INDEX('Residual Config'!$B$35:$B$42,MATCH(H148,'Residual Config'!$A$35:$A$42,0)),""))</f>
        <v/>
      </c>
      <c r="R148" s="24"/>
      <c r="S148" s="8"/>
      <c r="T148" s="31" t="str">
        <f aca="false">IF(S148="","",MATCH(S148,'Residual Config'!$L$9:$L$12,0))</f>
        <v/>
      </c>
      <c r="U148" s="8"/>
      <c r="V148" s="24"/>
      <c r="W148" s="33"/>
      <c r="X148" s="8"/>
      <c r="Y148" s="51" t="str">
        <f aca="false">IF(N148="","",EDATE(N148,IF(G148="N",INDEX('Residual Config'!$B$31:$D$31,1,MATCH(D148,'Residual Config'!$B$27:$D$27,0)),INDEX('Residual Config'!$B$28:$D$30,IF(T148=1,1,IF(T148=4,3,2)),MATCH(D148,'Residual Config'!$B$27:$D$27,0)))))</f>
        <v/>
      </c>
      <c r="Z148" s="7" t="str">
        <f aca="false">IF(I148="N/A","N/A",IF(N148="","Not tested",IF(W148="Rejected","Evidence rejected",IF(W148&lt;&gt;"Accepted","Evidence pending",IF(Y148&lt;'Residual Config'!$C$4,"Overdue","Current")))))</f>
        <v>N/A</v>
      </c>
      <c r="AA148" s="34" t="str">
        <f aca="false">IF(I148="N/A","",IF(Z148&lt;&gt;"Current",4,IF(MAX(M148,T148)=0,4,MAX(M148,T148))))</f>
        <v/>
      </c>
      <c r="AB148" s="7" t="str">
        <f aca="false">IF(AA148="","N/A",IF(Z148&lt;&gt;"Current","Not tested / overdue",INDEX('Residual Config'!$B$11:$B$14,AA148)))</f>
        <v>N/A</v>
      </c>
      <c r="AC148" s="36" t="str">
        <f aca="false">IF(AA148="","",INDEX('Residual Config'!$D$11:$D$14,AA148))</f>
        <v/>
      </c>
      <c r="AD148" s="7" t="str">
        <f aca="false">IF(OR(I148="N/A",P148="",Q148=""),"",IF(P148&gt;=Q148,"Yes","No"))</f>
        <v/>
      </c>
      <c r="AE148" s="8"/>
    </row>
    <row r="149" customFormat="false" ht="15" hidden="false" customHeight="false" outlineLevel="0" collapsed="false">
      <c r="A149" s="12" t="s">
        <v>1104</v>
      </c>
      <c r="B149" s="26" t="str">
        <f aca="false">Entities!$A$8</f>
        <v>JO-INS</v>
      </c>
      <c r="C149" s="12" t="str">
        <f aca="false">INDEX(Entities!$B$5:$B$34,MATCH(B149,Entities!$A$5:$A$34,0))</f>
        <v>Insurance subsidiary – Jordan</v>
      </c>
      <c r="D149" s="7" t="str">
        <f aca="false">INDEX(Entities!$F$5:$F$34,MATCH(B149,Entities!$A$5:$A$34,0))</f>
        <v>Tier 3</v>
      </c>
      <c r="E149" s="26" t="str">
        <f aca="false">'Control Library'!$A$20</f>
        <v>CTL-PAY-01</v>
      </c>
      <c r="F149" s="12" t="str">
        <f aca="false">INDEX('Control Library'!$B$5:$B$47,MATCH(E149,'Control Library'!$A$5:$A$47,0))</f>
        <v>Payment transparency checks (FATF R.16)</v>
      </c>
      <c r="G149" s="7" t="str">
        <f aca="false">INDEX('Control Library'!$F$5:$F$47,MATCH(E149,'Control Library'!$A$5:$A$47,0))</f>
        <v>N</v>
      </c>
      <c r="H149" s="12" t="str">
        <f aca="false">INDEX('Control Library'!$E$5:$E$47,MATCH(E149,'Control Library'!$A$5:$A$47,0))</f>
        <v>Continuous</v>
      </c>
      <c r="I149" s="7" t="str">
        <f aca="false">IF(INDEX('Control Library'!$I$5:$I$47,MATCH(E149,'Control Library'!$A$5:$A$47,0))="All","Y",IF(INDEX('Control Library'!$I$5:$I$47,MATCH(E149,'Control Library'!$A$5:$A$47,0))="Banks only",IF(COUNTIF('Residual Config'!$L$28:$L$30,INDEX(Entities!$E$5:$E$34,MATCH(B149,Entities!$A$5:$A$34,0)))&gt;0,"N/A","Y"),IF(INDEX(Entities!$G$5:$G$34,MATCH(B149,Entities!$A$5:$A$34,0))="Y","Y","N/A")))</f>
        <v>N/A</v>
      </c>
      <c r="J149" s="8"/>
      <c r="K149" s="8"/>
      <c r="L149" s="7" t="str">
        <f aca="false">IF(OR(J149="",K149=""),"",IF(J149=K149,"Breach","OK"))</f>
        <v/>
      </c>
      <c r="M149" s="24"/>
      <c r="N149" s="50"/>
      <c r="O149" s="8"/>
      <c r="P149" s="24"/>
      <c r="Q149" s="31" t="str">
        <f aca="false">IF(I149="N/A","",IFERROR(INDEX('Residual Config'!$B$35:$B$42,MATCH(H149,'Residual Config'!$A$35:$A$42,0)),""))</f>
        <v/>
      </c>
      <c r="R149" s="24"/>
      <c r="S149" s="8"/>
      <c r="T149" s="31" t="str">
        <f aca="false">IF(S149="","",MATCH(S149,'Residual Config'!$L$9:$L$12,0))</f>
        <v/>
      </c>
      <c r="U149" s="8"/>
      <c r="V149" s="24"/>
      <c r="W149" s="33"/>
      <c r="X149" s="8"/>
      <c r="Y149" s="51" t="str">
        <f aca="false">IF(N149="","",EDATE(N149,IF(G149="N",INDEX('Residual Config'!$B$31:$D$31,1,MATCH(D149,'Residual Config'!$B$27:$D$27,0)),INDEX('Residual Config'!$B$28:$D$30,IF(T149=1,1,IF(T149=4,3,2)),MATCH(D149,'Residual Config'!$B$27:$D$27,0)))))</f>
        <v/>
      </c>
      <c r="Z149" s="7" t="str">
        <f aca="false">IF(I149="N/A","N/A",IF(N149="","Not tested",IF(W149="Rejected","Evidence rejected",IF(W149&lt;&gt;"Accepted","Evidence pending",IF(Y149&lt;'Residual Config'!$C$4,"Overdue","Current")))))</f>
        <v>N/A</v>
      </c>
      <c r="AA149" s="34" t="str">
        <f aca="false">IF(I149="N/A","",IF(Z149&lt;&gt;"Current",4,IF(MAX(M149,T149)=0,4,MAX(M149,T149))))</f>
        <v/>
      </c>
      <c r="AB149" s="7" t="str">
        <f aca="false">IF(AA149="","N/A",IF(Z149&lt;&gt;"Current","Not tested / overdue",INDEX('Residual Config'!$B$11:$B$14,AA149)))</f>
        <v>N/A</v>
      </c>
      <c r="AC149" s="36" t="str">
        <f aca="false">IF(AA149="","",INDEX('Residual Config'!$D$11:$D$14,AA149))</f>
        <v/>
      </c>
      <c r="AD149" s="7" t="str">
        <f aca="false">IF(OR(I149="N/A",P149="",Q149=""),"",IF(P149&gt;=Q149,"Yes","No"))</f>
        <v/>
      </c>
      <c r="AE149" s="8"/>
    </row>
    <row r="150" customFormat="false" ht="15" hidden="false" customHeight="false" outlineLevel="0" collapsed="false">
      <c r="A150" s="12" t="s">
        <v>1105</v>
      </c>
      <c r="B150" s="26" t="str">
        <f aca="false">Entities!$A$8</f>
        <v>JO-INS</v>
      </c>
      <c r="C150" s="12" t="str">
        <f aca="false">INDEX(Entities!$B$5:$B$34,MATCH(B150,Entities!$A$5:$A$34,0))</f>
        <v>Insurance subsidiary – Jordan</v>
      </c>
      <c r="D150" s="7" t="str">
        <f aca="false">INDEX(Entities!$F$5:$F$34,MATCH(B150,Entities!$A$5:$A$34,0))</f>
        <v>Tier 3</v>
      </c>
      <c r="E150" s="26" t="str">
        <f aca="false">'Control Library'!$A$21</f>
        <v>CTL-ABC-01</v>
      </c>
      <c r="F150" s="12" t="str">
        <f aca="false">INDEX('Control Library'!$B$5:$B$47,MATCH(E150,'Control Library'!$A$5:$A$47,0))</f>
        <v>Third-party and intermediary anti-bribery due diligence</v>
      </c>
      <c r="G150" s="7" t="str">
        <f aca="false">INDEX('Control Library'!$F$5:$F$47,MATCH(E150,'Control Library'!$A$5:$A$47,0))</f>
        <v>Y</v>
      </c>
      <c r="H150" s="12" t="str">
        <f aca="false">INDEX('Control Library'!$E$5:$E$47,MATCH(E150,'Control Library'!$A$5:$A$47,0))</f>
        <v>Event-driven</v>
      </c>
      <c r="I150" s="7" t="str">
        <f aca="false">IF(INDEX('Control Library'!$I$5:$I$47,MATCH(E150,'Control Library'!$A$5:$A$47,0))="All","Y",IF(INDEX('Control Library'!$I$5:$I$47,MATCH(E150,'Control Library'!$A$5:$A$47,0))="Banks only",IF(COUNTIF('Residual Config'!$L$28:$L$30,INDEX(Entities!$E$5:$E$34,MATCH(B150,Entities!$A$5:$A$34,0)))&gt;0,"N/A","Y"),IF(INDEX(Entities!$G$5:$G$34,MATCH(B150,Entities!$A$5:$A$34,0))="Y","Y","N/A")))</f>
        <v>Y</v>
      </c>
      <c r="J150" s="8" t="s">
        <v>1106</v>
      </c>
      <c r="K150" s="8" t="s">
        <v>1074</v>
      </c>
      <c r="L150" s="7" t="str">
        <f aca="false">IF(OR(J150="",K150=""),"",IF(J150=K150,"Breach","OK"))</f>
        <v>OK</v>
      </c>
      <c r="M150" s="24" t="n">
        <v>1</v>
      </c>
      <c r="N150" s="50" t="n">
        <v>46146</v>
      </c>
      <c r="O150" s="8" t="s">
        <v>545</v>
      </c>
      <c r="P150" s="24" t="n">
        <v>25</v>
      </c>
      <c r="Q150" s="31" t="n">
        <f aca="false">IF(I150="N/A","",IFERROR(INDEX('Residual Config'!$B$35:$B$42,MATCH(H150,'Residual Config'!$A$35:$A$42,0)),""))</f>
        <v>25</v>
      </c>
      <c r="R150" s="24" t="n">
        <v>1</v>
      </c>
      <c r="S150" s="8" t="s">
        <v>521</v>
      </c>
      <c r="T150" s="31" t="n">
        <f aca="false">IF(S150="","",MATCH(S150,'Residual Config'!$L$9:$L$12,0))</f>
        <v>2</v>
      </c>
      <c r="U150" s="8" t="s">
        <v>1107</v>
      </c>
      <c r="V150" s="24" t="n">
        <v>5</v>
      </c>
      <c r="W150" s="33" t="s">
        <v>533</v>
      </c>
      <c r="X150" s="8" t="s">
        <v>754</v>
      </c>
      <c r="Y150" s="51" t="n">
        <f aca="false">IF(N150="","",EDATE(N150,IF(G150="N",INDEX('Residual Config'!$B$31:$D$31,1,MATCH(D150,'Residual Config'!$B$27:$D$27,0)),INDEX('Residual Config'!$B$28:$D$30,IF(T150=1,1,IF(T150=4,3,2)),MATCH(D150,'Residual Config'!$B$27:$D$27,0)))))</f>
        <v>46330</v>
      </c>
      <c r="Z150" s="7" t="str">
        <f aca="false">IF(I150="N/A","N/A",IF(N150="","Not tested",IF(W150="Rejected","Evidence rejected",IF(W150&lt;&gt;"Accepted","Evidence pending",IF(Y150&lt;'Residual Config'!$C$4,"Overdue","Current")))))</f>
        <v>Current</v>
      </c>
      <c r="AA150" s="34" t="n">
        <f aca="false">IF(I150="N/A","",IF(Z150&lt;&gt;"Current",4,IF(MAX(M150,T150)=0,4,MAX(M150,T150))))</f>
        <v>2</v>
      </c>
      <c r="AB150" s="7" t="str">
        <f aca="false">IF(AA150="","N/A",IF(Z150&lt;&gt;"Current","Not tested / overdue",INDEX('Residual Config'!$B$11:$B$14,AA150)))</f>
        <v>Largely effective</v>
      </c>
      <c r="AC150" s="36" t="n">
        <f aca="false">IF(AA150="","",INDEX('Residual Config'!$D$11:$D$14,AA150))</f>
        <v>0.4</v>
      </c>
      <c r="AD150" s="7" t="str">
        <f aca="false">IF(OR(I150="N/A",P150="",Q150=""),"",IF(P150&gt;=Q150,"Yes","No"))</f>
        <v>Yes</v>
      </c>
      <c r="AE150" s="8"/>
    </row>
    <row r="151" customFormat="false" ht="15" hidden="false" customHeight="false" outlineLevel="0" collapsed="false">
      <c r="A151" s="12" t="s">
        <v>1108</v>
      </c>
      <c r="B151" s="26" t="str">
        <f aca="false">Entities!$A$8</f>
        <v>JO-INS</v>
      </c>
      <c r="C151" s="12" t="str">
        <f aca="false">INDEX(Entities!$B$5:$B$34,MATCH(B151,Entities!$A$5:$A$34,0))</f>
        <v>Insurance subsidiary – Jordan</v>
      </c>
      <c r="D151" s="7" t="str">
        <f aca="false">INDEX(Entities!$F$5:$F$34,MATCH(B151,Entities!$A$5:$A$34,0))</f>
        <v>Tier 3</v>
      </c>
      <c r="E151" s="26" t="str">
        <f aca="false">'Control Library'!$A$22</f>
        <v>CTL-ABC-02</v>
      </c>
      <c r="F151" s="12" t="str">
        <f aca="false">INDEX('Control Library'!$B$5:$B$47,MATCH(E151,'Control Library'!$A$5:$A$47,0))</f>
        <v>Gifts, hospitality and donations register with pre-approval</v>
      </c>
      <c r="G151" s="7" t="str">
        <f aca="false">INDEX('Control Library'!$F$5:$F$47,MATCH(E151,'Control Library'!$A$5:$A$47,0))</f>
        <v>N</v>
      </c>
      <c r="H151" s="12" t="str">
        <f aca="false">INDEX('Control Library'!$E$5:$E$47,MATCH(E151,'Control Library'!$A$5:$A$47,0))</f>
        <v>Event-driven</v>
      </c>
      <c r="I151" s="7" t="str">
        <f aca="false">IF(INDEX('Control Library'!$I$5:$I$47,MATCH(E151,'Control Library'!$A$5:$A$47,0))="All","Y",IF(INDEX('Control Library'!$I$5:$I$47,MATCH(E151,'Control Library'!$A$5:$A$47,0))="Banks only",IF(COUNTIF('Residual Config'!$L$28:$L$30,INDEX(Entities!$E$5:$E$34,MATCH(B151,Entities!$A$5:$A$34,0)))&gt;0,"N/A","Y"),IF(INDEX(Entities!$G$5:$G$34,MATCH(B151,Entities!$A$5:$A$34,0))="Y","Y","N/A")))</f>
        <v>Y</v>
      </c>
      <c r="J151" s="8" t="s">
        <v>1077</v>
      </c>
      <c r="K151" s="8" t="s">
        <v>1074</v>
      </c>
      <c r="L151" s="7" t="str">
        <f aca="false">IF(OR(J151="",K151=""),"",IF(J151=K151,"Breach","OK"))</f>
        <v>OK</v>
      </c>
      <c r="M151" s="24" t="n">
        <v>3</v>
      </c>
      <c r="N151" s="50" t="n">
        <v>46189</v>
      </c>
      <c r="O151" s="8" t="s">
        <v>545</v>
      </c>
      <c r="P151" s="24" t="n">
        <v>30</v>
      </c>
      <c r="Q151" s="31" t="n">
        <f aca="false">IF(I151="N/A","",IFERROR(INDEX('Residual Config'!$B$35:$B$42,MATCH(H151,'Residual Config'!$A$35:$A$42,0)),""))</f>
        <v>25</v>
      </c>
      <c r="R151" s="24" t="n">
        <v>1</v>
      </c>
      <c r="S151" s="8" t="s">
        <v>521</v>
      </c>
      <c r="T151" s="31" t="n">
        <f aca="false">IF(S151="","",MATCH(S151,'Residual Config'!$L$9:$L$12,0))</f>
        <v>2</v>
      </c>
      <c r="U151" s="8" t="s">
        <v>1109</v>
      </c>
      <c r="V151" s="24" t="n">
        <v>5</v>
      </c>
      <c r="W151" s="33" t="s">
        <v>533</v>
      </c>
      <c r="X151" s="8" t="s">
        <v>760</v>
      </c>
      <c r="Y151" s="51" t="n">
        <f aca="false">IF(N151="","",EDATE(N151,IF(G151="N",INDEX('Residual Config'!$B$31:$D$31,1,MATCH(D151,'Residual Config'!$B$27:$D$27,0)),INDEX('Residual Config'!$B$28:$D$30,IF(T151=1,1,IF(T151=4,3,2)),MATCH(D151,'Residual Config'!$B$27:$D$27,0)))))</f>
        <v>46920</v>
      </c>
      <c r="Z151" s="7" t="str">
        <f aca="false">IF(I151="N/A","N/A",IF(N151="","Not tested",IF(W151="Rejected","Evidence rejected",IF(W151&lt;&gt;"Accepted","Evidence pending",IF(Y151&lt;'Residual Config'!$C$4,"Overdue","Current")))))</f>
        <v>Current</v>
      </c>
      <c r="AA151" s="34" t="n">
        <f aca="false">IF(I151="N/A","",IF(Z151&lt;&gt;"Current",4,IF(MAX(M151,T151)=0,4,MAX(M151,T151))))</f>
        <v>3</v>
      </c>
      <c r="AB151" s="7" t="str">
        <f aca="false">IF(AA151="","N/A",IF(Z151&lt;&gt;"Current","Not tested / overdue",INDEX('Residual Config'!$B$11:$B$14,AA151)))</f>
        <v>Partially effective</v>
      </c>
      <c r="AC151" s="36" t="n">
        <f aca="false">IF(AA151="","",INDEX('Residual Config'!$D$11:$D$14,AA151))</f>
        <v>0.2</v>
      </c>
      <c r="AD151" s="7" t="str">
        <f aca="false">IF(OR(I151="N/A",P151="",Q151=""),"",IF(P151&gt;=Q151,"Yes","No"))</f>
        <v>Yes</v>
      </c>
      <c r="AE151" s="8"/>
    </row>
    <row r="152" customFormat="false" ht="15" hidden="false" customHeight="false" outlineLevel="0" collapsed="false">
      <c r="A152" s="12" t="s">
        <v>1110</v>
      </c>
      <c r="B152" s="26" t="str">
        <f aca="false">Entities!$A$8</f>
        <v>JO-INS</v>
      </c>
      <c r="C152" s="12" t="str">
        <f aca="false">INDEX(Entities!$B$5:$B$34,MATCH(B152,Entities!$A$5:$A$34,0))</f>
        <v>Insurance subsidiary – Jordan</v>
      </c>
      <c r="D152" s="7" t="str">
        <f aca="false">INDEX(Entities!$F$5:$F$34,MATCH(B152,Entities!$A$5:$A$34,0))</f>
        <v>Tier 3</v>
      </c>
      <c r="E152" s="26" t="str">
        <f aca="false">'Control Library'!$A$23</f>
        <v>CTL-FRD-01</v>
      </c>
      <c r="F152" s="12" t="str">
        <f aca="false">INDEX('Control Library'!$B$5:$B$47,MATCH(E152,'Control Library'!$A$5:$A$47,0))</f>
        <v>Real-time fraud monitoring for cards and digital channels</v>
      </c>
      <c r="G152" s="7" t="str">
        <f aca="false">INDEX('Control Library'!$F$5:$F$47,MATCH(E152,'Control Library'!$A$5:$A$47,0))</f>
        <v>Y</v>
      </c>
      <c r="H152" s="12" t="str">
        <f aca="false">INDEX('Control Library'!$E$5:$E$47,MATCH(E152,'Control Library'!$A$5:$A$47,0))</f>
        <v>Continuous</v>
      </c>
      <c r="I152" s="7" t="str">
        <f aca="false">IF(INDEX('Control Library'!$I$5:$I$47,MATCH(E152,'Control Library'!$A$5:$A$47,0))="All","Y",IF(INDEX('Control Library'!$I$5:$I$47,MATCH(E152,'Control Library'!$A$5:$A$47,0))="Banks only",IF(COUNTIF('Residual Config'!$L$28:$L$30,INDEX(Entities!$E$5:$E$34,MATCH(B152,Entities!$A$5:$A$34,0)))&gt;0,"N/A","Y"),IF(INDEX(Entities!$G$5:$G$34,MATCH(B152,Entities!$A$5:$A$34,0))="Y","Y","N/A")))</f>
        <v>N/A</v>
      </c>
      <c r="J152" s="8"/>
      <c r="K152" s="8"/>
      <c r="L152" s="7" t="str">
        <f aca="false">IF(OR(J152="",K152=""),"",IF(J152=K152,"Breach","OK"))</f>
        <v/>
      </c>
      <c r="M152" s="24"/>
      <c r="N152" s="50"/>
      <c r="O152" s="8"/>
      <c r="P152" s="24"/>
      <c r="Q152" s="31" t="str">
        <f aca="false">IF(I152="N/A","",IFERROR(INDEX('Residual Config'!$B$35:$B$42,MATCH(H152,'Residual Config'!$A$35:$A$42,0)),""))</f>
        <v/>
      </c>
      <c r="R152" s="24"/>
      <c r="S152" s="8"/>
      <c r="T152" s="31" t="str">
        <f aca="false">IF(S152="","",MATCH(S152,'Residual Config'!$L$9:$L$12,0))</f>
        <v/>
      </c>
      <c r="U152" s="8"/>
      <c r="V152" s="24"/>
      <c r="W152" s="33"/>
      <c r="X152" s="8"/>
      <c r="Y152" s="51" t="str">
        <f aca="false">IF(N152="","",EDATE(N152,IF(G152="N",INDEX('Residual Config'!$B$31:$D$31,1,MATCH(D152,'Residual Config'!$B$27:$D$27,0)),INDEX('Residual Config'!$B$28:$D$30,IF(T152=1,1,IF(T152=4,3,2)),MATCH(D152,'Residual Config'!$B$27:$D$27,0)))))</f>
        <v/>
      </c>
      <c r="Z152" s="7" t="str">
        <f aca="false">IF(I152="N/A","N/A",IF(N152="","Not tested",IF(W152="Rejected","Evidence rejected",IF(W152&lt;&gt;"Accepted","Evidence pending",IF(Y152&lt;'Residual Config'!$C$4,"Overdue","Current")))))</f>
        <v>N/A</v>
      </c>
      <c r="AA152" s="34" t="str">
        <f aca="false">IF(I152="N/A","",IF(Z152&lt;&gt;"Current",4,IF(MAX(M152,T152)=0,4,MAX(M152,T152))))</f>
        <v/>
      </c>
      <c r="AB152" s="7" t="str">
        <f aca="false">IF(AA152="","N/A",IF(Z152&lt;&gt;"Current","Not tested / overdue",INDEX('Residual Config'!$B$11:$B$14,AA152)))</f>
        <v>N/A</v>
      </c>
      <c r="AC152" s="36" t="str">
        <f aca="false">IF(AA152="","",INDEX('Residual Config'!$D$11:$D$14,AA152))</f>
        <v/>
      </c>
      <c r="AD152" s="7" t="str">
        <f aca="false">IF(OR(I152="N/A",P152="",Q152=""),"",IF(P152&gt;=Q152,"Yes","No"))</f>
        <v/>
      </c>
      <c r="AE152" s="8"/>
    </row>
    <row r="153" customFormat="false" ht="15" hidden="false" customHeight="false" outlineLevel="0" collapsed="false">
      <c r="A153" s="12" t="s">
        <v>1111</v>
      </c>
      <c r="B153" s="26" t="str">
        <f aca="false">Entities!$A$8</f>
        <v>JO-INS</v>
      </c>
      <c r="C153" s="12" t="str">
        <f aca="false">INDEX(Entities!$B$5:$B$34,MATCH(B153,Entities!$A$5:$A$34,0))</f>
        <v>Insurance subsidiary – Jordan</v>
      </c>
      <c r="D153" s="7" t="str">
        <f aca="false">INDEX(Entities!$F$5:$F$34,MATCH(B153,Entities!$A$5:$A$34,0))</f>
        <v>Tier 3</v>
      </c>
      <c r="E153" s="26" t="str">
        <f aca="false">'Control Library'!$A$24</f>
        <v>CTL-FRD-02</v>
      </c>
      <c r="F153" s="12" t="str">
        <f aca="false">INDEX('Control Library'!$B$5:$B$47,MATCH(E153,'Control Library'!$A$5:$A$47,0))</f>
        <v>Maker-checker and dual control on payments and static data</v>
      </c>
      <c r="G153" s="7" t="str">
        <f aca="false">INDEX('Control Library'!$F$5:$F$47,MATCH(E153,'Control Library'!$A$5:$A$47,0))</f>
        <v>Y</v>
      </c>
      <c r="H153" s="12" t="str">
        <f aca="false">INDEX('Control Library'!$E$5:$E$47,MATCH(E153,'Control Library'!$A$5:$A$47,0))</f>
        <v>Daily</v>
      </c>
      <c r="I153" s="7" t="str">
        <f aca="false">IF(INDEX('Control Library'!$I$5:$I$47,MATCH(E153,'Control Library'!$A$5:$A$47,0))="All","Y",IF(INDEX('Control Library'!$I$5:$I$47,MATCH(E153,'Control Library'!$A$5:$A$47,0))="Banks only",IF(COUNTIF('Residual Config'!$L$28:$L$30,INDEX(Entities!$E$5:$E$34,MATCH(B153,Entities!$A$5:$A$34,0)))&gt;0,"N/A","Y"),IF(INDEX(Entities!$G$5:$G$34,MATCH(B153,Entities!$A$5:$A$34,0))="Y","Y","N/A")))</f>
        <v>Y</v>
      </c>
      <c r="J153" s="8" t="s">
        <v>1073</v>
      </c>
      <c r="K153" s="8" t="s">
        <v>1074</v>
      </c>
      <c r="L153" s="7" t="str">
        <f aca="false">IF(OR(J153="",K153=""),"",IF(J153=K153,"Breach","OK"))</f>
        <v>OK</v>
      </c>
      <c r="M153" s="24" t="n">
        <v>1</v>
      </c>
      <c r="N153" s="50" t="n">
        <v>46137</v>
      </c>
      <c r="O153" s="8" t="s">
        <v>545</v>
      </c>
      <c r="P153" s="24" t="n">
        <v>25</v>
      </c>
      <c r="Q153" s="31" t="n">
        <f aca="false">IF(I153="N/A","",IFERROR(INDEX('Residual Config'!$B$35:$B$42,MATCH(H153,'Residual Config'!$A$35:$A$42,0)),""))</f>
        <v>25</v>
      </c>
      <c r="R153" s="24" t="n">
        <v>1</v>
      </c>
      <c r="S153" s="8" t="s">
        <v>521</v>
      </c>
      <c r="T153" s="31" t="n">
        <f aca="false">IF(S153="","",MATCH(S153,'Residual Config'!$L$9:$L$12,0))</f>
        <v>2</v>
      </c>
      <c r="U153" s="8" t="s">
        <v>1112</v>
      </c>
      <c r="V153" s="24" t="n">
        <v>2</v>
      </c>
      <c r="W153" s="33" t="s">
        <v>533</v>
      </c>
      <c r="X153" s="8" t="s">
        <v>754</v>
      </c>
      <c r="Y153" s="51" t="n">
        <f aca="false">IF(N153="","",EDATE(N153,IF(G153="N",INDEX('Residual Config'!$B$31:$D$31,1,MATCH(D153,'Residual Config'!$B$27:$D$27,0)),INDEX('Residual Config'!$B$28:$D$30,IF(T153=1,1,IF(T153=4,3,2)),MATCH(D153,'Residual Config'!$B$27:$D$27,0)))))</f>
        <v>46320</v>
      </c>
      <c r="Z153" s="7" t="str">
        <f aca="false">IF(I153="N/A","N/A",IF(N153="","Not tested",IF(W153="Rejected","Evidence rejected",IF(W153&lt;&gt;"Accepted","Evidence pending",IF(Y153&lt;'Residual Config'!$C$4,"Overdue","Current")))))</f>
        <v>Current</v>
      </c>
      <c r="AA153" s="34" t="n">
        <f aca="false">IF(I153="N/A","",IF(Z153&lt;&gt;"Current",4,IF(MAX(M153,T153)=0,4,MAX(M153,T153))))</f>
        <v>2</v>
      </c>
      <c r="AB153" s="7" t="str">
        <f aca="false">IF(AA153="","N/A",IF(Z153&lt;&gt;"Current","Not tested / overdue",INDEX('Residual Config'!$B$11:$B$14,AA153)))</f>
        <v>Largely effective</v>
      </c>
      <c r="AC153" s="36" t="n">
        <f aca="false">IF(AA153="","",INDEX('Residual Config'!$D$11:$D$14,AA153))</f>
        <v>0.4</v>
      </c>
      <c r="AD153" s="7" t="str">
        <f aca="false">IF(OR(I153="N/A",P153="",Q153=""),"",IF(P153&gt;=Q153,"Yes","No"))</f>
        <v>Yes</v>
      </c>
      <c r="AE153" s="8"/>
    </row>
    <row r="154" customFormat="false" ht="15" hidden="false" customHeight="false" outlineLevel="0" collapsed="false">
      <c r="A154" s="12" t="s">
        <v>1113</v>
      </c>
      <c r="B154" s="26" t="str">
        <f aca="false">Entities!$A$8</f>
        <v>JO-INS</v>
      </c>
      <c r="C154" s="12" t="str">
        <f aca="false">INDEX(Entities!$B$5:$B$34,MATCH(B154,Entities!$A$5:$A$34,0))</f>
        <v>Insurance subsidiary – Jordan</v>
      </c>
      <c r="D154" s="7" t="str">
        <f aca="false">INDEX(Entities!$F$5:$F$34,MATCH(B154,Entities!$A$5:$A$34,0))</f>
        <v>Tier 3</v>
      </c>
      <c r="E154" s="26" t="str">
        <f aca="false">'Control Library'!$A$25</f>
        <v>CTL-FRD-03</v>
      </c>
      <c r="F154" s="12" t="str">
        <f aca="false">INDEX('Control Library'!$B$5:$B$47,MATCH(E154,'Control Library'!$A$5:$A$47,0))</f>
        <v>Mandatory consecutive leave and rotation for sensitive roles</v>
      </c>
      <c r="G154" s="7" t="str">
        <f aca="false">INDEX('Control Library'!$F$5:$F$47,MATCH(E154,'Control Library'!$A$5:$A$47,0))</f>
        <v>N</v>
      </c>
      <c r="H154" s="12" t="str">
        <f aca="false">INDEX('Control Library'!$E$5:$E$47,MATCH(E154,'Control Library'!$A$5:$A$47,0))</f>
        <v>Annual</v>
      </c>
      <c r="I154" s="7" t="str">
        <f aca="false">IF(INDEX('Control Library'!$I$5:$I$47,MATCH(E154,'Control Library'!$A$5:$A$47,0))="All","Y",IF(INDEX('Control Library'!$I$5:$I$47,MATCH(E154,'Control Library'!$A$5:$A$47,0))="Banks only",IF(COUNTIF('Residual Config'!$L$28:$L$30,INDEX(Entities!$E$5:$E$34,MATCH(B154,Entities!$A$5:$A$34,0)))&gt;0,"N/A","Y"),IF(INDEX(Entities!$G$5:$G$34,MATCH(B154,Entities!$A$5:$A$34,0))="Y","Y","N/A")))</f>
        <v>Y</v>
      </c>
      <c r="J154" s="8" t="s">
        <v>1114</v>
      </c>
      <c r="K154" s="8" t="s">
        <v>1074</v>
      </c>
      <c r="L154" s="7" t="str">
        <f aca="false">IF(OR(J154="",K154=""),"",IF(J154=K154,"Breach","OK"))</f>
        <v>OK</v>
      </c>
      <c r="M154" s="24" t="n">
        <v>2</v>
      </c>
      <c r="N154" s="50" t="n">
        <v>45963</v>
      </c>
      <c r="O154" s="8" t="s">
        <v>545</v>
      </c>
      <c r="P154" s="24" t="n">
        <v>1</v>
      </c>
      <c r="Q154" s="31" t="n">
        <f aca="false">IF(I154="N/A","",IFERROR(INDEX('Residual Config'!$B$35:$B$42,MATCH(H154,'Residual Config'!$A$35:$A$42,0)),""))</f>
        <v>1</v>
      </c>
      <c r="R154" s="24" t="n">
        <v>1</v>
      </c>
      <c r="S154" s="8" t="s">
        <v>524</v>
      </c>
      <c r="T154" s="31" t="n">
        <f aca="false">IF(S154="","",MATCH(S154,'Residual Config'!$L$9:$L$12,0))</f>
        <v>3</v>
      </c>
      <c r="U154" s="8" t="s">
        <v>1115</v>
      </c>
      <c r="V154" s="24" t="n">
        <v>3</v>
      </c>
      <c r="W154" s="33" t="s">
        <v>533</v>
      </c>
      <c r="X154" s="8" t="s">
        <v>754</v>
      </c>
      <c r="Y154" s="51" t="n">
        <f aca="false">IF(N154="","",EDATE(N154,IF(G154="N",INDEX('Residual Config'!$B$31:$D$31,1,MATCH(D154,'Residual Config'!$B$27:$D$27,0)),INDEX('Residual Config'!$B$28:$D$30,IF(T154=1,1,IF(T154=4,3,2)),MATCH(D154,'Residual Config'!$B$27:$D$27,0)))))</f>
        <v>46693</v>
      </c>
      <c r="Z154" s="7" t="str">
        <f aca="false">IF(I154="N/A","N/A",IF(N154="","Not tested",IF(W154="Rejected","Evidence rejected",IF(W154&lt;&gt;"Accepted","Evidence pending",IF(Y154&lt;'Residual Config'!$C$4,"Overdue","Current")))))</f>
        <v>Current</v>
      </c>
      <c r="AA154" s="34" t="n">
        <f aca="false">IF(I154="N/A","",IF(Z154&lt;&gt;"Current",4,IF(MAX(M154,T154)=0,4,MAX(M154,T154))))</f>
        <v>3</v>
      </c>
      <c r="AB154" s="7" t="str">
        <f aca="false">IF(AA154="","N/A",IF(Z154&lt;&gt;"Current","Not tested / overdue",INDEX('Residual Config'!$B$11:$B$14,AA154)))</f>
        <v>Partially effective</v>
      </c>
      <c r="AC154" s="36" t="n">
        <f aca="false">IF(AA154="","",INDEX('Residual Config'!$D$11:$D$14,AA154))</f>
        <v>0.2</v>
      </c>
      <c r="AD154" s="7" t="str">
        <f aca="false">IF(OR(I154="N/A",P154="",Q154=""),"",IF(P154&gt;=Q154,"Yes","No"))</f>
        <v>Yes</v>
      </c>
      <c r="AE154" s="8"/>
    </row>
    <row r="155" customFormat="false" ht="15" hidden="false" customHeight="false" outlineLevel="0" collapsed="false">
      <c r="A155" s="12" t="s">
        <v>1116</v>
      </c>
      <c r="B155" s="26" t="str">
        <f aca="false">Entities!$A$8</f>
        <v>JO-INS</v>
      </c>
      <c r="C155" s="12" t="str">
        <f aca="false">INDEX(Entities!$B$5:$B$34,MATCH(B155,Entities!$A$5:$A$34,0))</f>
        <v>Insurance subsidiary – Jordan</v>
      </c>
      <c r="D155" s="7" t="str">
        <f aca="false">INDEX(Entities!$F$5:$F$34,MATCH(B155,Entities!$A$5:$A$34,0))</f>
        <v>Tier 3</v>
      </c>
      <c r="E155" s="26" t="str">
        <f aca="false">'Control Library'!$A$26</f>
        <v>CTL-TAX-01</v>
      </c>
      <c r="F155" s="12" t="str">
        <f aca="false">INDEX('Control Library'!$B$5:$B$47,MATCH(E155,'Control Library'!$A$5:$A$47,0))</f>
        <v>FATCA/CRS self-certification and classification</v>
      </c>
      <c r="G155" s="7" t="str">
        <f aca="false">INDEX('Control Library'!$F$5:$F$47,MATCH(E155,'Control Library'!$A$5:$A$47,0))</f>
        <v>Y</v>
      </c>
      <c r="H155" s="12" t="str">
        <f aca="false">INDEX('Control Library'!$E$5:$E$47,MATCH(E155,'Control Library'!$A$5:$A$47,0))</f>
        <v>Event-driven</v>
      </c>
      <c r="I155" s="7" t="str">
        <f aca="false">IF(INDEX('Control Library'!$I$5:$I$47,MATCH(E155,'Control Library'!$A$5:$A$47,0))="All","Y",IF(INDEX('Control Library'!$I$5:$I$47,MATCH(E155,'Control Library'!$A$5:$A$47,0))="Banks only",IF(COUNTIF('Residual Config'!$L$28:$L$30,INDEX(Entities!$E$5:$E$34,MATCH(B155,Entities!$A$5:$A$34,0)))&gt;0,"N/A","Y"),IF(INDEX(Entities!$G$5:$G$34,MATCH(B155,Entities!$A$5:$A$34,0))="Y","Y","N/A")))</f>
        <v>Y</v>
      </c>
      <c r="J155" s="8" t="s">
        <v>1073</v>
      </c>
      <c r="K155" s="8" t="s">
        <v>1074</v>
      </c>
      <c r="L155" s="7" t="str">
        <f aca="false">IF(OR(J155="",K155=""),"",IF(J155=K155,"Breach","OK"))</f>
        <v>OK</v>
      </c>
      <c r="M155" s="24" t="n">
        <v>2</v>
      </c>
      <c r="N155" s="50" t="n">
        <v>45997</v>
      </c>
      <c r="O155" s="8" t="s">
        <v>545</v>
      </c>
      <c r="P155" s="24" t="n">
        <v>25</v>
      </c>
      <c r="Q155" s="31" t="n">
        <f aca="false">IF(I155="N/A","",IFERROR(INDEX('Residual Config'!$B$35:$B$42,MATCH(H155,'Residual Config'!$A$35:$A$42,0)),""))</f>
        <v>25</v>
      </c>
      <c r="R155" s="24" t="n">
        <v>0</v>
      </c>
      <c r="S155" s="8" t="s">
        <v>516</v>
      </c>
      <c r="T155" s="31" t="n">
        <f aca="false">IF(S155="","",MATCH(S155,'Residual Config'!$L$9:$L$12,0))</f>
        <v>1</v>
      </c>
      <c r="U155" s="8" t="s">
        <v>1117</v>
      </c>
      <c r="V155" s="24" t="n">
        <v>3</v>
      </c>
      <c r="W155" s="33" t="s">
        <v>536</v>
      </c>
      <c r="X155" s="8"/>
      <c r="Y155" s="51" t="n">
        <f aca="false">IF(N155="","",EDATE(N155,IF(G155="N",INDEX('Residual Config'!$B$31:$D$31,1,MATCH(D155,'Residual Config'!$B$27:$D$27,0)),INDEX('Residual Config'!$B$28:$D$30,IF(T155=1,1,IF(T155=4,3,2)),MATCH(D155,'Residual Config'!$B$27:$D$27,0)))))</f>
        <v>46362</v>
      </c>
      <c r="Z155" s="7" t="str">
        <f aca="false">IF(I155="N/A","N/A",IF(N155="","Not tested",IF(W155="Rejected","Evidence rejected",IF(W155&lt;&gt;"Accepted","Evidence pending",IF(Y155&lt;'Residual Config'!$C$4,"Overdue","Current")))))</f>
        <v>Evidence pending</v>
      </c>
      <c r="AA155" s="34" t="n">
        <f aca="false">IF(I155="N/A","",IF(Z155&lt;&gt;"Current",4,IF(MAX(M155,T155)=0,4,MAX(M155,T155))))</f>
        <v>4</v>
      </c>
      <c r="AB155" s="7" t="str">
        <f aca="false">IF(AA155="","N/A",IF(Z155&lt;&gt;"Current","Not tested / overdue",INDEX('Residual Config'!$B$11:$B$14,AA155)))</f>
        <v>Not tested / overdue</v>
      </c>
      <c r="AC155" s="36" t="n">
        <f aca="false">IF(AA155="","",INDEX('Residual Config'!$D$11:$D$14,AA155))</f>
        <v>0</v>
      </c>
      <c r="AD155" s="7" t="str">
        <f aca="false">IF(OR(I155="N/A",P155="",Q155=""),"",IF(P155&gt;=Q155,"Yes","No"))</f>
        <v>Yes</v>
      </c>
      <c r="AE155" s="8"/>
    </row>
    <row r="156" customFormat="false" ht="15" hidden="false" customHeight="false" outlineLevel="0" collapsed="false">
      <c r="A156" s="12" t="s">
        <v>1118</v>
      </c>
      <c r="B156" s="26" t="str">
        <f aca="false">Entities!$A$8</f>
        <v>JO-INS</v>
      </c>
      <c r="C156" s="12" t="str">
        <f aca="false">INDEX(Entities!$B$5:$B$34,MATCH(B156,Entities!$A$5:$A$34,0))</f>
        <v>Insurance subsidiary – Jordan</v>
      </c>
      <c r="D156" s="7" t="str">
        <f aca="false">INDEX(Entities!$F$5:$F$34,MATCH(B156,Entities!$A$5:$A$34,0))</f>
        <v>Tier 3</v>
      </c>
      <c r="E156" s="26" t="str">
        <f aca="false">'Control Library'!$A$27</f>
        <v>CTL-TAX-02</v>
      </c>
      <c r="F156" s="12" t="str">
        <f aca="false">INDEX('Control Library'!$B$5:$B$47,MATCH(E156,'Control Library'!$A$5:$A$47,0))</f>
        <v>FATCA/CRS reporting reconciliation and timely filing</v>
      </c>
      <c r="G156" s="7" t="str">
        <f aca="false">INDEX('Control Library'!$F$5:$F$47,MATCH(E156,'Control Library'!$A$5:$A$47,0))</f>
        <v>N</v>
      </c>
      <c r="H156" s="12" t="str">
        <f aca="false">INDEX('Control Library'!$E$5:$E$47,MATCH(E156,'Control Library'!$A$5:$A$47,0))</f>
        <v>Annual</v>
      </c>
      <c r="I156" s="7" t="str">
        <f aca="false">IF(INDEX('Control Library'!$I$5:$I$47,MATCH(E156,'Control Library'!$A$5:$A$47,0))="All","Y",IF(INDEX('Control Library'!$I$5:$I$47,MATCH(E156,'Control Library'!$A$5:$A$47,0))="Banks only",IF(COUNTIF('Residual Config'!$L$28:$L$30,INDEX(Entities!$E$5:$E$34,MATCH(B156,Entities!$A$5:$A$34,0)))&gt;0,"N/A","Y"),IF(INDEX(Entities!$G$5:$G$34,MATCH(B156,Entities!$A$5:$A$34,0))="Y","Y","N/A")))</f>
        <v>Y</v>
      </c>
      <c r="J156" s="8" t="s">
        <v>1119</v>
      </c>
      <c r="K156" s="8" t="s">
        <v>1074</v>
      </c>
      <c r="L156" s="7" t="str">
        <f aca="false">IF(OR(J156="",K156=""),"",IF(J156=K156,"Breach","OK"))</f>
        <v>OK</v>
      </c>
      <c r="M156" s="24" t="n">
        <v>2</v>
      </c>
      <c r="N156" s="50" t="n">
        <v>45819</v>
      </c>
      <c r="O156" s="8" t="s">
        <v>545</v>
      </c>
      <c r="P156" s="24" t="n">
        <v>1</v>
      </c>
      <c r="Q156" s="31" t="n">
        <f aca="false">IF(I156="N/A","",IFERROR(INDEX('Residual Config'!$B$35:$B$42,MATCH(H156,'Residual Config'!$A$35:$A$42,0)),""))</f>
        <v>1</v>
      </c>
      <c r="R156" s="24" t="n">
        <v>0</v>
      </c>
      <c r="S156" s="8" t="s">
        <v>516</v>
      </c>
      <c r="T156" s="31" t="n">
        <f aca="false">IF(S156="","",MATCH(S156,'Residual Config'!$L$9:$L$12,0))</f>
        <v>1</v>
      </c>
      <c r="U156" s="8" t="s">
        <v>1120</v>
      </c>
      <c r="V156" s="24" t="n">
        <v>2</v>
      </c>
      <c r="W156" s="33" t="s">
        <v>533</v>
      </c>
      <c r="X156" s="8" t="s">
        <v>754</v>
      </c>
      <c r="Y156" s="51" t="n">
        <f aca="false">IF(N156="","",EDATE(N156,IF(G156="N",INDEX('Residual Config'!$B$31:$D$31,1,MATCH(D156,'Residual Config'!$B$27:$D$27,0)),INDEX('Residual Config'!$B$28:$D$30,IF(T156=1,1,IF(T156=4,3,2)),MATCH(D156,'Residual Config'!$B$27:$D$27,0)))))</f>
        <v>46549</v>
      </c>
      <c r="Z156" s="7" t="str">
        <f aca="false">IF(I156="N/A","N/A",IF(N156="","Not tested",IF(W156="Rejected","Evidence rejected",IF(W156&lt;&gt;"Accepted","Evidence pending",IF(Y156&lt;'Residual Config'!$C$4,"Overdue","Current")))))</f>
        <v>Current</v>
      </c>
      <c r="AA156" s="34" t="n">
        <f aca="false">IF(I156="N/A","",IF(Z156&lt;&gt;"Current",4,IF(MAX(M156,T156)=0,4,MAX(M156,T156))))</f>
        <v>2</v>
      </c>
      <c r="AB156" s="7" t="str">
        <f aca="false">IF(AA156="","N/A",IF(Z156&lt;&gt;"Current","Not tested / overdue",INDEX('Residual Config'!$B$11:$B$14,AA156)))</f>
        <v>Largely effective</v>
      </c>
      <c r="AC156" s="36" t="n">
        <f aca="false">IF(AA156="","",INDEX('Residual Config'!$D$11:$D$14,AA156))</f>
        <v>0.4</v>
      </c>
      <c r="AD156" s="7" t="str">
        <f aca="false">IF(OR(I156="N/A",P156="",Q156=""),"",IF(P156&gt;=Q156,"Yes","No"))</f>
        <v>Yes</v>
      </c>
      <c r="AE156" s="8"/>
    </row>
    <row r="157" customFormat="false" ht="15" hidden="false" customHeight="false" outlineLevel="0" collapsed="false">
      <c r="A157" s="12" t="s">
        <v>1121</v>
      </c>
      <c r="B157" s="26" t="str">
        <f aca="false">Entities!$A$8</f>
        <v>JO-INS</v>
      </c>
      <c r="C157" s="12" t="str">
        <f aca="false">INDEX(Entities!$B$5:$B$34,MATCH(B157,Entities!$A$5:$A$34,0))</f>
        <v>Insurance subsidiary – Jordan</v>
      </c>
      <c r="D157" s="7" t="str">
        <f aca="false">INDEX(Entities!$F$5:$F$34,MATCH(B157,Entities!$A$5:$A$34,0))</f>
        <v>Tier 3</v>
      </c>
      <c r="E157" s="26" t="str">
        <f aca="false">'Control Library'!$A$28</f>
        <v>CTL-TRN-01</v>
      </c>
      <c r="F157" s="12" t="str">
        <f aca="false">INDEX('Control Library'!$B$5:$B$47,MATCH(E157,'Control Library'!$A$5:$A$47,0))</f>
        <v>Annual AML, sanctions and anti-bribery training</v>
      </c>
      <c r="G157" s="7" t="str">
        <f aca="false">INDEX('Control Library'!$F$5:$F$47,MATCH(E157,'Control Library'!$A$5:$A$47,0))</f>
        <v>N</v>
      </c>
      <c r="H157" s="12" t="str">
        <f aca="false">INDEX('Control Library'!$E$5:$E$47,MATCH(E157,'Control Library'!$A$5:$A$47,0))</f>
        <v>Annual</v>
      </c>
      <c r="I157" s="7" t="str">
        <f aca="false">IF(INDEX('Control Library'!$I$5:$I$47,MATCH(E157,'Control Library'!$A$5:$A$47,0))="All","Y",IF(INDEX('Control Library'!$I$5:$I$47,MATCH(E157,'Control Library'!$A$5:$A$47,0))="Banks only",IF(COUNTIF('Residual Config'!$L$28:$L$30,INDEX(Entities!$E$5:$E$34,MATCH(B157,Entities!$A$5:$A$34,0)))&gt;0,"N/A","Y"),IF(INDEX(Entities!$G$5:$G$34,MATCH(B157,Entities!$A$5:$A$34,0))="Y","Y","N/A")))</f>
        <v>Y</v>
      </c>
      <c r="J157" s="8" t="s">
        <v>1077</v>
      </c>
      <c r="K157" s="8" t="s">
        <v>1074</v>
      </c>
      <c r="L157" s="7" t="str">
        <f aca="false">IF(OR(J157="",K157=""),"",IF(J157=K157,"Breach","OK"))</f>
        <v>OK</v>
      </c>
      <c r="M157" s="24" t="n">
        <v>2</v>
      </c>
      <c r="N157" s="50" t="n">
        <v>45650</v>
      </c>
      <c r="O157" s="8" t="s">
        <v>545</v>
      </c>
      <c r="P157" s="24" t="n">
        <v>1</v>
      </c>
      <c r="Q157" s="31" t="n">
        <f aca="false">IF(I157="N/A","",IFERROR(INDEX('Residual Config'!$B$35:$B$42,MATCH(H157,'Residual Config'!$A$35:$A$42,0)),""))</f>
        <v>1</v>
      </c>
      <c r="R157" s="24" t="n">
        <v>0</v>
      </c>
      <c r="S157" s="8" t="s">
        <v>516</v>
      </c>
      <c r="T157" s="31" t="n">
        <f aca="false">IF(S157="","",MATCH(S157,'Residual Config'!$L$9:$L$12,0))</f>
        <v>1</v>
      </c>
      <c r="U157" s="8" t="s">
        <v>1122</v>
      </c>
      <c r="V157" s="24" t="n">
        <v>6</v>
      </c>
      <c r="W157" s="33" t="s">
        <v>533</v>
      </c>
      <c r="X157" s="8" t="s">
        <v>760</v>
      </c>
      <c r="Y157" s="51" t="n">
        <f aca="false">IF(N157="","",EDATE(N157,IF(G157="N",INDEX('Residual Config'!$B$31:$D$31,1,MATCH(D157,'Residual Config'!$B$27:$D$27,0)),INDEX('Residual Config'!$B$28:$D$30,IF(T157=1,1,IF(T157=4,3,2)),MATCH(D157,'Residual Config'!$B$27:$D$27,0)))))</f>
        <v>46380</v>
      </c>
      <c r="Z157" s="7" t="str">
        <f aca="false">IF(I157="N/A","N/A",IF(N157="","Not tested",IF(W157="Rejected","Evidence rejected",IF(W157&lt;&gt;"Accepted","Evidence pending",IF(Y157&lt;'Residual Config'!$C$4,"Overdue","Current")))))</f>
        <v>Current</v>
      </c>
      <c r="AA157" s="34" t="n">
        <f aca="false">IF(I157="N/A","",IF(Z157&lt;&gt;"Current",4,IF(MAX(M157,T157)=0,4,MAX(M157,T157))))</f>
        <v>2</v>
      </c>
      <c r="AB157" s="7" t="str">
        <f aca="false">IF(AA157="","N/A",IF(Z157&lt;&gt;"Current","Not tested / overdue",INDEX('Residual Config'!$B$11:$B$14,AA157)))</f>
        <v>Largely effective</v>
      </c>
      <c r="AC157" s="36" t="n">
        <f aca="false">IF(AA157="","",INDEX('Residual Config'!$D$11:$D$14,AA157))</f>
        <v>0.4</v>
      </c>
      <c r="AD157" s="7" t="str">
        <f aca="false">IF(OR(I157="N/A",P157="",Q157=""),"",IF(P157&gt;=Q157,"Yes","No"))</f>
        <v>Yes</v>
      </c>
      <c r="AE157" s="8"/>
    </row>
    <row r="158" customFormat="false" ht="15" hidden="false" customHeight="false" outlineLevel="0" collapsed="false">
      <c r="A158" s="12" t="s">
        <v>1123</v>
      </c>
      <c r="B158" s="26" t="str">
        <f aca="false">Entities!$A$8</f>
        <v>JO-INS</v>
      </c>
      <c r="C158" s="12" t="str">
        <f aca="false">INDEX(Entities!$B$5:$B$34,MATCH(B158,Entities!$A$5:$A$34,0))</f>
        <v>Insurance subsidiary – Jordan</v>
      </c>
      <c r="D158" s="7" t="str">
        <f aca="false">INDEX(Entities!$F$5:$F$34,MATCH(B158,Entities!$A$5:$A$34,0))</f>
        <v>Tier 3</v>
      </c>
      <c r="E158" s="26" t="str">
        <f aca="false">'Control Library'!$A$29</f>
        <v>CTL-REG-01</v>
      </c>
      <c r="F158" s="12" t="str">
        <f aca="false">INDEX('Control Library'!$B$5:$B$47,MATCH(E158,'Control Library'!$A$5:$A$47,0))</f>
        <v>Regulatory change management and obligations register</v>
      </c>
      <c r="G158" s="7" t="str">
        <f aca="false">INDEX('Control Library'!$F$5:$F$47,MATCH(E158,'Control Library'!$A$5:$A$47,0))</f>
        <v>Y</v>
      </c>
      <c r="H158" s="12" t="str">
        <f aca="false">INDEX('Control Library'!$E$5:$E$47,MATCH(E158,'Control Library'!$A$5:$A$47,0))</f>
        <v>Monthly</v>
      </c>
      <c r="I158" s="7" t="str">
        <f aca="false">IF(INDEX('Control Library'!$I$5:$I$47,MATCH(E158,'Control Library'!$A$5:$A$47,0))="All","Y",IF(INDEX('Control Library'!$I$5:$I$47,MATCH(E158,'Control Library'!$A$5:$A$47,0))="Banks only",IF(COUNTIF('Residual Config'!$L$28:$L$30,INDEX(Entities!$E$5:$E$34,MATCH(B158,Entities!$A$5:$A$34,0)))&gt;0,"N/A","Y"),IF(INDEX(Entities!$G$5:$G$34,MATCH(B158,Entities!$A$5:$A$34,0))="Y","Y","N/A")))</f>
        <v>Y</v>
      </c>
      <c r="J158" s="8" t="s">
        <v>1077</v>
      </c>
      <c r="K158" s="8" t="s">
        <v>1074</v>
      </c>
      <c r="L158" s="7" t="str">
        <f aca="false">IF(OR(J158="",K158=""),"",IF(J158=K158,"Breach","OK"))</f>
        <v>OK</v>
      </c>
      <c r="M158" s="24" t="n">
        <v>1</v>
      </c>
      <c r="N158" s="50" t="n">
        <v>46063</v>
      </c>
      <c r="O158" s="8" t="s">
        <v>545</v>
      </c>
      <c r="P158" s="24" t="n">
        <v>3</v>
      </c>
      <c r="Q158" s="31" t="n">
        <f aca="false">IF(I158="N/A","",IFERROR(INDEX('Residual Config'!$B$35:$B$42,MATCH(H158,'Residual Config'!$A$35:$A$42,0)),""))</f>
        <v>3</v>
      </c>
      <c r="R158" s="24" t="n">
        <v>0</v>
      </c>
      <c r="S158" s="8" t="s">
        <v>516</v>
      </c>
      <c r="T158" s="31" t="n">
        <f aca="false">IF(S158="","",MATCH(S158,'Residual Config'!$L$9:$L$12,0))</f>
        <v>1</v>
      </c>
      <c r="U158" s="8" t="s">
        <v>1124</v>
      </c>
      <c r="V158" s="24" t="n">
        <v>4</v>
      </c>
      <c r="W158" s="33" t="s">
        <v>533</v>
      </c>
      <c r="X158" s="8" t="s">
        <v>754</v>
      </c>
      <c r="Y158" s="51" t="n">
        <f aca="false">IF(N158="","",EDATE(N158,IF(G158="N",INDEX('Residual Config'!$B$31:$D$31,1,MATCH(D158,'Residual Config'!$B$27:$D$27,0)),INDEX('Residual Config'!$B$28:$D$30,IF(T158=1,1,IF(T158=4,3,2)),MATCH(D158,'Residual Config'!$B$27:$D$27,0)))))</f>
        <v>46428</v>
      </c>
      <c r="Z158" s="7" t="str">
        <f aca="false">IF(I158="N/A","N/A",IF(N158="","Not tested",IF(W158="Rejected","Evidence rejected",IF(W158&lt;&gt;"Accepted","Evidence pending",IF(Y158&lt;'Residual Config'!$C$4,"Overdue","Current")))))</f>
        <v>Current</v>
      </c>
      <c r="AA158" s="34" t="n">
        <f aca="false">IF(I158="N/A","",IF(Z158&lt;&gt;"Current",4,IF(MAX(M158,T158)=0,4,MAX(M158,T158))))</f>
        <v>1</v>
      </c>
      <c r="AB158" s="7" t="str">
        <f aca="false">IF(AA158="","N/A",IF(Z158&lt;&gt;"Current","Not tested / overdue",INDEX('Residual Config'!$B$11:$B$14,AA158)))</f>
        <v>Effective</v>
      </c>
      <c r="AC158" s="36" t="n">
        <f aca="false">IF(AA158="","",INDEX('Residual Config'!$D$11:$D$14,AA158))</f>
        <v>0.6</v>
      </c>
      <c r="AD158" s="7" t="str">
        <f aca="false">IF(OR(I158="N/A",P158="",Q158=""),"",IF(P158&gt;=Q158,"Yes","No"))</f>
        <v>Yes</v>
      </c>
      <c r="AE158" s="8"/>
    </row>
    <row r="159" customFormat="false" ht="15" hidden="false" customHeight="false" outlineLevel="0" collapsed="false">
      <c r="A159" s="12" t="s">
        <v>1125</v>
      </c>
      <c r="B159" s="26" t="str">
        <f aca="false">Entities!$A$8</f>
        <v>JO-INS</v>
      </c>
      <c r="C159" s="12" t="str">
        <f aca="false">INDEX(Entities!$B$5:$B$34,MATCH(B159,Entities!$A$5:$A$34,0))</f>
        <v>Insurance subsidiary – Jordan</v>
      </c>
      <c r="D159" s="7" t="str">
        <f aca="false">INDEX(Entities!$F$5:$F$34,MATCH(B159,Entities!$A$5:$A$34,0))</f>
        <v>Tier 3</v>
      </c>
      <c r="E159" s="26" t="str">
        <f aca="false">'Control Library'!$A$30</f>
        <v>CTL-REG-02</v>
      </c>
      <c r="F159" s="12" t="str">
        <f aca="false">INDEX('Control Library'!$B$5:$B$47,MATCH(E159,'Control Library'!$A$5:$A$47,0))</f>
        <v>Regulatory return review and senior sign-off</v>
      </c>
      <c r="G159" s="7" t="str">
        <f aca="false">INDEX('Control Library'!$F$5:$F$47,MATCH(E159,'Control Library'!$A$5:$A$47,0))</f>
        <v>Y</v>
      </c>
      <c r="H159" s="12" t="str">
        <f aca="false">INDEX('Control Library'!$E$5:$E$47,MATCH(E159,'Control Library'!$A$5:$A$47,0))</f>
        <v>Monthly</v>
      </c>
      <c r="I159" s="7" t="str">
        <f aca="false">IF(INDEX('Control Library'!$I$5:$I$47,MATCH(E159,'Control Library'!$A$5:$A$47,0))="All","Y",IF(INDEX('Control Library'!$I$5:$I$47,MATCH(E159,'Control Library'!$A$5:$A$47,0))="Banks only",IF(COUNTIF('Residual Config'!$L$28:$L$30,INDEX(Entities!$E$5:$E$34,MATCH(B159,Entities!$A$5:$A$34,0)))&gt;0,"N/A","Y"),IF(INDEX(Entities!$G$5:$G$34,MATCH(B159,Entities!$A$5:$A$34,0))="Y","Y","N/A")))</f>
        <v>Y</v>
      </c>
      <c r="J159" s="8" t="s">
        <v>1119</v>
      </c>
      <c r="K159" s="8" t="s">
        <v>1074</v>
      </c>
      <c r="L159" s="7" t="str">
        <f aca="false">IF(OR(J159="",K159=""),"",IF(J159=K159,"Breach","OK"))</f>
        <v>OK</v>
      </c>
      <c r="M159" s="24" t="n">
        <v>1</v>
      </c>
      <c r="N159" s="50" t="n">
        <v>46214</v>
      </c>
      <c r="O159" s="8" t="s">
        <v>546</v>
      </c>
      <c r="P159" s="24" t="n">
        <v>3</v>
      </c>
      <c r="Q159" s="31" t="n">
        <f aca="false">IF(I159="N/A","",IFERROR(INDEX('Residual Config'!$B$35:$B$42,MATCH(H159,'Residual Config'!$A$35:$A$42,0)),""))</f>
        <v>3</v>
      </c>
      <c r="R159" s="24" t="n">
        <v>1</v>
      </c>
      <c r="S159" s="8" t="s">
        <v>521</v>
      </c>
      <c r="T159" s="31" t="n">
        <f aca="false">IF(S159="","",MATCH(S159,'Residual Config'!$L$9:$L$12,0))</f>
        <v>2</v>
      </c>
      <c r="U159" s="8" t="s">
        <v>1126</v>
      </c>
      <c r="V159" s="24" t="n">
        <v>4</v>
      </c>
      <c r="W159" s="33" t="s">
        <v>533</v>
      </c>
      <c r="X159" s="8" t="s">
        <v>754</v>
      </c>
      <c r="Y159" s="51" t="n">
        <f aca="false">IF(N159="","",EDATE(N159,IF(G159="N",INDEX('Residual Config'!$B$31:$D$31,1,MATCH(D159,'Residual Config'!$B$27:$D$27,0)),INDEX('Residual Config'!$B$28:$D$30,IF(T159=1,1,IF(T159=4,3,2)),MATCH(D159,'Residual Config'!$B$27:$D$27,0)))))</f>
        <v>46398</v>
      </c>
      <c r="Z159" s="7" t="str">
        <f aca="false">IF(I159="N/A","N/A",IF(N159="","Not tested",IF(W159="Rejected","Evidence rejected",IF(W159&lt;&gt;"Accepted","Evidence pending",IF(Y159&lt;'Residual Config'!$C$4,"Overdue","Current")))))</f>
        <v>Current</v>
      </c>
      <c r="AA159" s="34" t="n">
        <f aca="false">IF(I159="N/A","",IF(Z159&lt;&gt;"Current",4,IF(MAX(M159,T159)=0,4,MAX(M159,T159))))</f>
        <v>2</v>
      </c>
      <c r="AB159" s="7" t="str">
        <f aca="false">IF(AA159="","N/A",IF(Z159&lt;&gt;"Current","Not tested / overdue",INDEX('Residual Config'!$B$11:$B$14,AA159)))</f>
        <v>Largely effective</v>
      </c>
      <c r="AC159" s="36" t="n">
        <f aca="false">IF(AA159="","",INDEX('Residual Config'!$D$11:$D$14,AA159))</f>
        <v>0.4</v>
      </c>
      <c r="AD159" s="7" t="str">
        <f aca="false">IF(OR(I159="N/A",P159="",Q159=""),"",IF(P159&gt;=Q159,"Yes","No"))</f>
        <v>Yes</v>
      </c>
      <c r="AE159" s="8"/>
    </row>
    <row r="160" customFormat="false" ht="15" hidden="false" customHeight="false" outlineLevel="0" collapsed="false">
      <c r="A160" s="12" t="s">
        <v>1127</v>
      </c>
      <c r="B160" s="26" t="str">
        <f aca="false">Entities!$A$8</f>
        <v>JO-INS</v>
      </c>
      <c r="C160" s="12" t="str">
        <f aca="false">INDEX(Entities!$B$5:$B$34,MATCH(B160,Entities!$A$5:$A$34,0))</f>
        <v>Insurance subsidiary – Jordan</v>
      </c>
      <c r="D160" s="7" t="str">
        <f aca="false">INDEX(Entities!$F$5:$F$34,MATCH(B160,Entities!$A$5:$A$34,0))</f>
        <v>Tier 3</v>
      </c>
      <c r="E160" s="26" t="str">
        <f aca="false">'Control Library'!$A$31</f>
        <v>CTL-CON-01</v>
      </c>
      <c r="F160" s="12" t="str">
        <f aca="false">INDEX('Control Library'!$B$5:$B$47,MATCH(E160,'Control Library'!$A$5:$A$47,0))</f>
        <v>New product approval and suitability assessment</v>
      </c>
      <c r="G160" s="7" t="str">
        <f aca="false">INDEX('Control Library'!$F$5:$F$47,MATCH(E160,'Control Library'!$A$5:$A$47,0))</f>
        <v>Y</v>
      </c>
      <c r="H160" s="12" t="str">
        <f aca="false">INDEX('Control Library'!$E$5:$E$47,MATCH(E160,'Control Library'!$A$5:$A$47,0))</f>
        <v>Event-driven</v>
      </c>
      <c r="I160" s="7" t="str">
        <f aca="false">IF(INDEX('Control Library'!$I$5:$I$47,MATCH(E160,'Control Library'!$A$5:$A$47,0))="All","Y",IF(INDEX('Control Library'!$I$5:$I$47,MATCH(E160,'Control Library'!$A$5:$A$47,0))="Banks only",IF(COUNTIF('Residual Config'!$L$28:$L$30,INDEX(Entities!$E$5:$E$34,MATCH(B160,Entities!$A$5:$A$34,0)))&gt;0,"N/A","Y"),IF(INDEX(Entities!$G$5:$G$34,MATCH(B160,Entities!$A$5:$A$34,0))="Y","Y","N/A")))</f>
        <v>Y</v>
      </c>
      <c r="J160" s="8" t="s">
        <v>1077</v>
      </c>
      <c r="K160" s="8" t="s">
        <v>1074</v>
      </c>
      <c r="L160" s="7" t="str">
        <f aca="false">IF(OR(J160="",K160=""),"",IF(J160=K160,"Breach","OK"))</f>
        <v>OK</v>
      </c>
      <c r="M160" s="24" t="n">
        <v>2</v>
      </c>
      <c r="N160" s="50" t="n">
        <v>46250</v>
      </c>
      <c r="O160" s="8" t="s">
        <v>545</v>
      </c>
      <c r="P160" s="24" t="n">
        <v>25</v>
      </c>
      <c r="Q160" s="31" t="n">
        <f aca="false">IF(I160="N/A","",IFERROR(INDEX('Residual Config'!$B$35:$B$42,MATCH(H160,'Residual Config'!$A$35:$A$42,0)),""))</f>
        <v>25</v>
      </c>
      <c r="R160" s="24" t="n">
        <v>1</v>
      </c>
      <c r="S160" s="8" t="s">
        <v>521</v>
      </c>
      <c r="T160" s="31" t="n">
        <f aca="false">IF(S160="","",MATCH(S160,'Residual Config'!$L$9:$L$12,0))</f>
        <v>2</v>
      </c>
      <c r="U160" s="8" t="s">
        <v>1128</v>
      </c>
      <c r="V160" s="24" t="n">
        <v>1</v>
      </c>
      <c r="W160" s="33" t="s">
        <v>533</v>
      </c>
      <c r="X160" s="8" t="s">
        <v>760</v>
      </c>
      <c r="Y160" s="51" t="n">
        <f aca="false">IF(N160="","",EDATE(N160,IF(G160="N",INDEX('Residual Config'!$B$31:$D$31,1,MATCH(D160,'Residual Config'!$B$27:$D$27,0)),INDEX('Residual Config'!$B$28:$D$30,IF(T160=1,1,IF(T160=4,3,2)),MATCH(D160,'Residual Config'!$B$27:$D$27,0)))))</f>
        <v>46434</v>
      </c>
      <c r="Z160" s="7" t="str">
        <f aca="false">IF(I160="N/A","N/A",IF(N160="","Not tested",IF(W160="Rejected","Evidence rejected",IF(W160&lt;&gt;"Accepted","Evidence pending",IF(Y160&lt;'Residual Config'!$C$4,"Overdue","Current")))))</f>
        <v>Current</v>
      </c>
      <c r="AA160" s="34" t="n">
        <f aca="false">IF(I160="N/A","",IF(Z160&lt;&gt;"Current",4,IF(MAX(M160,T160)=0,4,MAX(M160,T160))))</f>
        <v>2</v>
      </c>
      <c r="AB160" s="7" t="str">
        <f aca="false">IF(AA160="","N/A",IF(Z160&lt;&gt;"Current","Not tested / overdue",INDEX('Residual Config'!$B$11:$B$14,AA160)))</f>
        <v>Largely effective</v>
      </c>
      <c r="AC160" s="36" t="n">
        <f aca="false">IF(AA160="","",INDEX('Residual Config'!$D$11:$D$14,AA160))</f>
        <v>0.4</v>
      </c>
      <c r="AD160" s="7" t="str">
        <f aca="false">IF(OR(I160="N/A",P160="",Q160=""),"",IF(P160&gt;=Q160,"Yes","No"))</f>
        <v>Yes</v>
      </c>
      <c r="AE160" s="8"/>
    </row>
    <row r="161" customFormat="false" ht="15" hidden="false" customHeight="false" outlineLevel="0" collapsed="false">
      <c r="A161" s="12" t="s">
        <v>1129</v>
      </c>
      <c r="B161" s="26" t="str">
        <f aca="false">Entities!$A$8</f>
        <v>JO-INS</v>
      </c>
      <c r="C161" s="12" t="str">
        <f aca="false">INDEX(Entities!$B$5:$B$34,MATCH(B161,Entities!$A$5:$A$34,0))</f>
        <v>Insurance subsidiary – Jordan</v>
      </c>
      <c r="D161" s="7" t="str">
        <f aca="false">INDEX(Entities!$F$5:$F$34,MATCH(B161,Entities!$A$5:$A$34,0))</f>
        <v>Tier 3</v>
      </c>
      <c r="E161" s="26" t="str">
        <f aca="false">'Control Library'!$A$32</f>
        <v>CTL-CON-02</v>
      </c>
      <c r="F161" s="12" t="str">
        <f aca="false">INDEX('Control Library'!$B$5:$B$47,MATCH(E161,'Control Library'!$A$5:$A$47,0))</f>
        <v>Complaints handling and root-cause analysis</v>
      </c>
      <c r="G161" s="7" t="str">
        <f aca="false">INDEX('Control Library'!$F$5:$F$47,MATCH(E161,'Control Library'!$A$5:$A$47,0))</f>
        <v>N</v>
      </c>
      <c r="H161" s="12" t="str">
        <f aca="false">INDEX('Control Library'!$E$5:$E$47,MATCH(E161,'Control Library'!$A$5:$A$47,0))</f>
        <v>Monthly</v>
      </c>
      <c r="I161" s="7" t="str">
        <f aca="false">IF(INDEX('Control Library'!$I$5:$I$47,MATCH(E161,'Control Library'!$A$5:$A$47,0))="All","Y",IF(INDEX('Control Library'!$I$5:$I$47,MATCH(E161,'Control Library'!$A$5:$A$47,0))="Banks only",IF(COUNTIF('Residual Config'!$L$28:$L$30,INDEX(Entities!$E$5:$E$34,MATCH(B161,Entities!$A$5:$A$34,0)))&gt;0,"N/A","Y"),IF(INDEX(Entities!$G$5:$G$34,MATCH(B161,Entities!$A$5:$A$34,0))="Y","Y","N/A")))</f>
        <v>Y</v>
      </c>
      <c r="J161" s="8" t="s">
        <v>1130</v>
      </c>
      <c r="K161" s="8" t="s">
        <v>1074</v>
      </c>
      <c r="L161" s="7" t="str">
        <f aca="false">IF(OR(J161="",K161=""),"",IF(J161=K161,"Breach","OK"))</f>
        <v>OK</v>
      </c>
      <c r="M161" s="24" t="n">
        <v>1</v>
      </c>
      <c r="N161" s="50" t="n">
        <v>45746</v>
      </c>
      <c r="O161" s="8" t="s">
        <v>546</v>
      </c>
      <c r="P161" s="24" t="n">
        <v>3</v>
      </c>
      <c r="Q161" s="31" t="n">
        <f aca="false">IF(I161="N/A","",IFERROR(INDEX('Residual Config'!$B$35:$B$42,MATCH(H161,'Residual Config'!$A$35:$A$42,0)),""))</f>
        <v>3</v>
      </c>
      <c r="R161" s="24" t="n">
        <v>0</v>
      </c>
      <c r="S161" s="8" t="s">
        <v>516</v>
      </c>
      <c r="T161" s="31" t="n">
        <f aca="false">IF(S161="","",MATCH(S161,'Residual Config'!$L$9:$L$12,0))</f>
        <v>1</v>
      </c>
      <c r="U161" s="8" t="s">
        <v>1131</v>
      </c>
      <c r="V161" s="24" t="n">
        <v>1</v>
      </c>
      <c r="W161" s="33" t="s">
        <v>533</v>
      </c>
      <c r="X161" s="8" t="s">
        <v>754</v>
      </c>
      <c r="Y161" s="51" t="n">
        <f aca="false">IF(N161="","",EDATE(N161,IF(G161="N",INDEX('Residual Config'!$B$31:$D$31,1,MATCH(D161,'Residual Config'!$B$27:$D$27,0)),INDEX('Residual Config'!$B$28:$D$30,IF(T161=1,1,IF(T161=4,3,2)),MATCH(D161,'Residual Config'!$B$27:$D$27,0)))))</f>
        <v>46476</v>
      </c>
      <c r="Z161" s="7" t="str">
        <f aca="false">IF(I161="N/A","N/A",IF(N161="","Not tested",IF(W161="Rejected","Evidence rejected",IF(W161&lt;&gt;"Accepted","Evidence pending",IF(Y161&lt;'Residual Config'!$C$4,"Overdue","Current")))))</f>
        <v>Current</v>
      </c>
      <c r="AA161" s="34" t="n">
        <f aca="false">IF(I161="N/A","",IF(Z161&lt;&gt;"Current",4,IF(MAX(M161,T161)=0,4,MAX(M161,T161))))</f>
        <v>1</v>
      </c>
      <c r="AB161" s="7" t="str">
        <f aca="false">IF(AA161="","N/A",IF(Z161&lt;&gt;"Current","Not tested / overdue",INDEX('Residual Config'!$B$11:$B$14,AA161)))</f>
        <v>Effective</v>
      </c>
      <c r="AC161" s="36" t="n">
        <f aca="false">IF(AA161="","",INDEX('Residual Config'!$D$11:$D$14,AA161))</f>
        <v>0.6</v>
      </c>
      <c r="AD161" s="7" t="str">
        <f aca="false">IF(OR(I161="N/A",P161="",Q161=""),"",IF(P161&gt;=Q161,"Yes","No"))</f>
        <v>Yes</v>
      </c>
      <c r="AE161" s="8"/>
    </row>
    <row r="162" customFormat="false" ht="15" hidden="false" customHeight="false" outlineLevel="0" collapsed="false">
      <c r="A162" s="12" t="s">
        <v>1132</v>
      </c>
      <c r="B162" s="26" t="str">
        <f aca="false">Entities!$A$8</f>
        <v>JO-INS</v>
      </c>
      <c r="C162" s="12" t="str">
        <f aca="false">INDEX(Entities!$B$5:$B$34,MATCH(B162,Entities!$A$5:$A$34,0))</f>
        <v>Insurance subsidiary – Jordan</v>
      </c>
      <c r="D162" s="7" t="str">
        <f aca="false">INDEX(Entities!$F$5:$F$34,MATCH(B162,Entities!$A$5:$A$34,0))</f>
        <v>Tier 3</v>
      </c>
      <c r="E162" s="26" t="str">
        <f aca="false">'Control Library'!$A$33</f>
        <v>CTL-DP-01</v>
      </c>
      <c r="F162" s="12" t="str">
        <f aca="false">INDEX('Control Library'!$B$5:$B$47,MATCH(E162,'Control Library'!$A$5:$A$47,0))</f>
        <v>Data protection impact assessments and processing records</v>
      </c>
      <c r="G162" s="7" t="str">
        <f aca="false">INDEX('Control Library'!$F$5:$F$47,MATCH(E162,'Control Library'!$A$5:$A$47,0))</f>
        <v>Y</v>
      </c>
      <c r="H162" s="12" t="str">
        <f aca="false">INDEX('Control Library'!$E$5:$E$47,MATCH(E162,'Control Library'!$A$5:$A$47,0))</f>
        <v>Event-driven</v>
      </c>
      <c r="I162" s="7" t="str">
        <f aca="false">IF(INDEX('Control Library'!$I$5:$I$47,MATCH(E162,'Control Library'!$A$5:$A$47,0))="All","Y",IF(INDEX('Control Library'!$I$5:$I$47,MATCH(E162,'Control Library'!$A$5:$A$47,0))="Banks only",IF(COUNTIF('Residual Config'!$L$28:$L$30,INDEX(Entities!$E$5:$E$34,MATCH(B162,Entities!$A$5:$A$34,0)))&gt;0,"N/A","Y"),IF(INDEX(Entities!$G$5:$G$34,MATCH(B162,Entities!$A$5:$A$34,0))="Y","Y","N/A")))</f>
        <v>Y</v>
      </c>
      <c r="J162" s="8" t="s">
        <v>1133</v>
      </c>
      <c r="K162" s="8" t="s">
        <v>1074</v>
      </c>
      <c r="L162" s="7" t="str">
        <f aca="false">IF(OR(J162="",K162=""),"",IF(J162=K162,"Breach","OK"))</f>
        <v>OK</v>
      </c>
      <c r="M162" s="24" t="n">
        <v>2</v>
      </c>
      <c r="N162" s="50" t="n">
        <v>45963</v>
      </c>
      <c r="O162" s="8" t="s">
        <v>546</v>
      </c>
      <c r="P162" s="24" t="n">
        <v>30</v>
      </c>
      <c r="Q162" s="31" t="n">
        <f aca="false">IF(I162="N/A","",IFERROR(INDEX('Residual Config'!$B$35:$B$42,MATCH(H162,'Residual Config'!$A$35:$A$42,0)),""))</f>
        <v>25</v>
      </c>
      <c r="R162" s="24" t="n">
        <v>0</v>
      </c>
      <c r="S162" s="8" t="s">
        <v>516</v>
      </c>
      <c r="T162" s="31" t="n">
        <f aca="false">IF(S162="","",MATCH(S162,'Residual Config'!$L$9:$L$12,0))</f>
        <v>1</v>
      </c>
      <c r="U162" s="8" t="s">
        <v>1134</v>
      </c>
      <c r="V162" s="24" t="n">
        <v>1</v>
      </c>
      <c r="W162" s="33" t="s">
        <v>533</v>
      </c>
      <c r="X162" s="8" t="s">
        <v>754</v>
      </c>
      <c r="Y162" s="51" t="n">
        <f aca="false">IF(N162="","",EDATE(N162,IF(G162="N",INDEX('Residual Config'!$B$31:$D$31,1,MATCH(D162,'Residual Config'!$B$27:$D$27,0)),INDEX('Residual Config'!$B$28:$D$30,IF(T162=1,1,IF(T162=4,3,2)),MATCH(D162,'Residual Config'!$B$27:$D$27,0)))))</f>
        <v>46328</v>
      </c>
      <c r="Z162" s="7" t="str">
        <f aca="false">IF(I162="N/A","N/A",IF(N162="","Not tested",IF(W162="Rejected","Evidence rejected",IF(W162&lt;&gt;"Accepted","Evidence pending",IF(Y162&lt;'Residual Config'!$C$4,"Overdue","Current")))))</f>
        <v>Current</v>
      </c>
      <c r="AA162" s="34" t="n">
        <f aca="false">IF(I162="N/A","",IF(Z162&lt;&gt;"Current",4,IF(MAX(M162,T162)=0,4,MAX(M162,T162))))</f>
        <v>2</v>
      </c>
      <c r="AB162" s="7" t="str">
        <f aca="false">IF(AA162="","N/A",IF(Z162&lt;&gt;"Current","Not tested / overdue",INDEX('Residual Config'!$B$11:$B$14,AA162)))</f>
        <v>Largely effective</v>
      </c>
      <c r="AC162" s="36" t="n">
        <f aca="false">IF(AA162="","",INDEX('Residual Config'!$D$11:$D$14,AA162))</f>
        <v>0.4</v>
      </c>
      <c r="AD162" s="7" t="str">
        <f aca="false">IF(OR(I162="N/A",P162="",Q162=""),"",IF(P162&gt;=Q162,"Yes","No"))</f>
        <v>Yes</v>
      </c>
      <c r="AE162" s="8"/>
    </row>
    <row r="163" customFormat="false" ht="15" hidden="false" customHeight="false" outlineLevel="0" collapsed="false">
      <c r="A163" s="12" t="s">
        <v>1135</v>
      </c>
      <c r="B163" s="26" t="str">
        <f aca="false">Entities!$A$8</f>
        <v>JO-INS</v>
      </c>
      <c r="C163" s="12" t="str">
        <f aca="false">INDEX(Entities!$B$5:$B$34,MATCH(B163,Entities!$A$5:$A$34,0))</f>
        <v>Insurance subsidiary – Jordan</v>
      </c>
      <c r="D163" s="7" t="str">
        <f aca="false">INDEX(Entities!$F$5:$F$34,MATCH(B163,Entities!$A$5:$A$34,0))</f>
        <v>Tier 3</v>
      </c>
      <c r="E163" s="26" t="str">
        <f aca="false">'Control Library'!$A$34</f>
        <v>CTL-DP-02</v>
      </c>
      <c r="F163" s="12" t="str">
        <f aca="false">INDEX('Control Library'!$B$5:$B$47,MATCH(E163,'Control Library'!$A$5:$A$47,0))</f>
        <v>Data loss prevention and quarterly access recertification</v>
      </c>
      <c r="G163" s="7" t="str">
        <f aca="false">INDEX('Control Library'!$F$5:$F$47,MATCH(E163,'Control Library'!$A$5:$A$47,0))</f>
        <v>Y</v>
      </c>
      <c r="H163" s="12" t="str">
        <f aca="false">INDEX('Control Library'!$E$5:$E$47,MATCH(E163,'Control Library'!$A$5:$A$47,0))</f>
        <v>Quarterly</v>
      </c>
      <c r="I163" s="7" t="str">
        <f aca="false">IF(INDEX('Control Library'!$I$5:$I$47,MATCH(E163,'Control Library'!$A$5:$A$47,0))="All","Y",IF(INDEX('Control Library'!$I$5:$I$47,MATCH(E163,'Control Library'!$A$5:$A$47,0))="Banks only",IF(COUNTIF('Residual Config'!$L$28:$L$30,INDEX(Entities!$E$5:$E$34,MATCH(B163,Entities!$A$5:$A$34,0)))&gt;0,"N/A","Y"),IF(INDEX(Entities!$G$5:$G$34,MATCH(B163,Entities!$A$5:$A$34,0))="Y","Y","N/A")))</f>
        <v>Y</v>
      </c>
      <c r="J163" s="8" t="s">
        <v>1136</v>
      </c>
      <c r="K163" s="8" t="s">
        <v>1074</v>
      </c>
      <c r="L163" s="7" t="str">
        <f aca="false">IF(OR(J163="",K163=""),"",IF(J163=K163,"Breach","OK"))</f>
        <v>OK</v>
      </c>
      <c r="M163" s="24" t="n">
        <v>2</v>
      </c>
      <c r="N163" s="50" t="n">
        <v>46264</v>
      </c>
      <c r="O163" s="8" t="s">
        <v>545</v>
      </c>
      <c r="P163" s="24" t="n">
        <v>2</v>
      </c>
      <c r="Q163" s="31" t="n">
        <f aca="false">IF(I163="N/A","",IFERROR(INDEX('Residual Config'!$B$35:$B$42,MATCH(H163,'Residual Config'!$A$35:$A$42,0)),""))</f>
        <v>2</v>
      </c>
      <c r="R163" s="24" t="n">
        <v>1</v>
      </c>
      <c r="S163" s="8" t="s">
        <v>521</v>
      </c>
      <c r="T163" s="31" t="n">
        <f aca="false">IF(S163="","",MATCH(S163,'Residual Config'!$L$9:$L$12,0))</f>
        <v>2</v>
      </c>
      <c r="U163" s="8" t="s">
        <v>1137</v>
      </c>
      <c r="V163" s="24" t="n">
        <v>4</v>
      </c>
      <c r="W163" s="33" t="s">
        <v>533</v>
      </c>
      <c r="X163" s="8" t="s">
        <v>760</v>
      </c>
      <c r="Y163" s="51" t="n">
        <f aca="false">IF(N163="","",EDATE(N163,IF(G163="N",INDEX('Residual Config'!$B$31:$D$31,1,MATCH(D163,'Residual Config'!$B$27:$D$27,0)),INDEX('Residual Config'!$B$28:$D$30,IF(T163=1,1,IF(T163=4,3,2)),MATCH(D163,'Residual Config'!$B$27:$D$27,0)))))</f>
        <v>46446</v>
      </c>
      <c r="Z163" s="7" t="str">
        <f aca="false">IF(I163="N/A","N/A",IF(N163="","Not tested",IF(W163="Rejected","Evidence rejected",IF(W163&lt;&gt;"Accepted","Evidence pending",IF(Y163&lt;'Residual Config'!$C$4,"Overdue","Current")))))</f>
        <v>Current</v>
      </c>
      <c r="AA163" s="34" t="n">
        <f aca="false">IF(I163="N/A","",IF(Z163&lt;&gt;"Current",4,IF(MAX(M163,T163)=0,4,MAX(M163,T163))))</f>
        <v>2</v>
      </c>
      <c r="AB163" s="7" t="str">
        <f aca="false">IF(AA163="","N/A",IF(Z163&lt;&gt;"Current","Not tested / overdue",INDEX('Residual Config'!$B$11:$B$14,AA163)))</f>
        <v>Largely effective</v>
      </c>
      <c r="AC163" s="36" t="n">
        <f aca="false">IF(AA163="","",INDEX('Residual Config'!$D$11:$D$14,AA163))</f>
        <v>0.4</v>
      </c>
      <c r="AD163" s="7" t="str">
        <f aca="false">IF(OR(I163="N/A",P163="",Q163=""),"",IF(P163&gt;=Q163,"Yes","No"))</f>
        <v>Yes</v>
      </c>
      <c r="AE163" s="8"/>
    </row>
    <row r="164" customFormat="false" ht="15" hidden="false" customHeight="false" outlineLevel="0" collapsed="false">
      <c r="A164" s="12" t="s">
        <v>1138</v>
      </c>
      <c r="B164" s="26" t="str">
        <f aca="false">Entities!$A$8</f>
        <v>JO-INS</v>
      </c>
      <c r="C164" s="12" t="str">
        <f aca="false">INDEX(Entities!$B$5:$B$34,MATCH(B164,Entities!$A$5:$A$34,0))</f>
        <v>Insurance subsidiary – Jordan</v>
      </c>
      <c r="D164" s="7" t="str">
        <f aca="false">INDEX(Entities!$F$5:$F$34,MATCH(B164,Entities!$A$5:$A$34,0))</f>
        <v>Tier 3</v>
      </c>
      <c r="E164" s="26" t="str">
        <f aca="false">'Control Library'!$A$35</f>
        <v>CTL-SH-01</v>
      </c>
      <c r="F164" s="12" t="str">
        <f aca="false">INDEX('Control Library'!$B$5:$B$47,MATCH(E164,'Control Library'!$A$5:$A$47,0))</f>
        <v>Shariah review of products and income purification</v>
      </c>
      <c r="G164" s="7" t="str">
        <f aca="false">INDEX('Control Library'!$F$5:$F$47,MATCH(E164,'Control Library'!$A$5:$A$47,0))</f>
        <v>Y</v>
      </c>
      <c r="H164" s="12" t="str">
        <f aca="false">INDEX('Control Library'!$E$5:$E$47,MATCH(E164,'Control Library'!$A$5:$A$47,0))</f>
        <v>Quarterly</v>
      </c>
      <c r="I164" s="7" t="str">
        <f aca="false">IF(INDEX('Control Library'!$I$5:$I$47,MATCH(E164,'Control Library'!$A$5:$A$47,0))="All","Y",IF(INDEX('Control Library'!$I$5:$I$47,MATCH(E164,'Control Library'!$A$5:$A$47,0))="Banks only",IF(COUNTIF('Residual Config'!$L$28:$L$30,INDEX(Entities!$E$5:$E$34,MATCH(B164,Entities!$A$5:$A$34,0)))&gt;0,"N/A","Y"),IF(INDEX(Entities!$G$5:$G$34,MATCH(B164,Entities!$A$5:$A$34,0))="Y","Y","N/A")))</f>
        <v>N/A</v>
      </c>
      <c r="J164" s="8"/>
      <c r="K164" s="8"/>
      <c r="L164" s="7" t="str">
        <f aca="false">IF(OR(J164="",K164=""),"",IF(J164=K164,"Breach","OK"))</f>
        <v/>
      </c>
      <c r="M164" s="24"/>
      <c r="N164" s="50"/>
      <c r="O164" s="8"/>
      <c r="P164" s="24"/>
      <c r="Q164" s="31" t="str">
        <f aca="false">IF(I164="N/A","",IFERROR(INDEX('Residual Config'!$B$35:$B$42,MATCH(H164,'Residual Config'!$A$35:$A$42,0)),""))</f>
        <v/>
      </c>
      <c r="R164" s="24"/>
      <c r="S164" s="8"/>
      <c r="T164" s="31" t="str">
        <f aca="false">IF(S164="","",MATCH(S164,'Residual Config'!$L$9:$L$12,0))</f>
        <v/>
      </c>
      <c r="U164" s="8"/>
      <c r="V164" s="24"/>
      <c r="W164" s="33"/>
      <c r="X164" s="8"/>
      <c r="Y164" s="51" t="str">
        <f aca="false">IF(N164="","",EDATE(N164,IF(G164="N",INDEX('Residual Config'!$B$31:$D$31,1,MATCH(D164,'Residual Config'!$B$27:$D$27,0)),INDEX('Residual Config'!$B$28:$D$30,IF(T164=1,1,IF(T164=4,3,2)),MATCH(D164,'Residual Config'!$B$27:$D$27,0)))))</f>
        <v/>
      </c>
      <c r="Z164" s="7" t="str">
        <f aca="false">IF(I164="N/A","N/A",IF(N164="","Not tested",IF(W164="Rejected","Evidence rejected",IF(W164&lt;&gt;"Accepted","Evidence pending",IF(Y164&lt;'Residual Config'!$C$4,"Overdue","Current")))))</f>
        <v>N/A</v>
      </c>
      <c r="AA164" s="34" t="str">
        <f aca="false">IF(I164="N/A","",IF(Z164&lt;&gt;"Current",4,IF(MAX(M164,T164)=0,4,MAX(M164,T164))))</f>
        <v/>
      </c>
      <c r="AB164" s="7" t="str">
        <f aca="false">IF(AA164="","N/A",IF(Z164&lt;&gt;"Current","Not tested / overdue",INDEX('Residual Config'!$B$11:$B$14,AA164)))</f>
        <v>N/A</v>
      </c>
      <c r="AC164" s="36" t="str">
        <f aca="false">IF(AA164="","",INDEX('Residual Config'!$D$11:$D$14,AA164))</f>
        <v/>
      </c>
      <c r="AD164" s="7" t="str">
        <f aca="false">IF(OR(I164="N/A",P164="",Q164=""),"",IF(P164&gt;=Q164,"Yes","No"))</f>
        <v/>
      </c>
      <c r="AE164" s="8"/>
    </row>
    <row r="165" customFormat="false" ht="15" hidden="false" customHeight="false" outlineLevel="0" collapsed="false">
      <c r="A165" s="12" t="s">
        <v>1139</v>
      </c>
      <c r="B165" s="26" t="str">
        <f aca="false">Entities!$A$8</f>
        <v>JO-INS</v>
      </c>
      <c r="C165" s="12" t="str">
        <f aca="false">INDEX(Entities!$B$5:$B$34,MATCH(B165,Entities!$A$5:$A$34,0))</f>
        <v>Insurance subsidiary – Jordan</v>
      </c>
      <c r="D165" s="7" t="str">
        <f aca="false">INDEX(Entities!$F$5:$F$34,MATCH(B165,Entities!$A$5:$A$34,0))</f>
        <v>Tier 3</v>
      </c>
      <c r="E165" s="26" t="str">
        <f aca="false">'Control Library'!$A$36</f>
        <v>CTL-CR-01</v>
      </c>
      <c r="F165" s="12" t="str">
        <f aca="false">INDEX('Control Library'!$B$5:$B$47,MATCH(E165,'Control Library'!$A$5:$A$47,0))</f>
        <v>Credit approval authorities and committee review</v>
      </c>
      <c r="G165" s="7" t="str">
        <f aca="false">INDEX('Control Library'!$F$5:$F$47,MATCH(E165,'Control Library'!$A$5:$A$47,0))</f>
        <v>Y</v>
      </c>
      <c r="H165" s="12" t="str">
        <f aca="false">INDEX('Control Library'!$E$5:$E$47,MATCH(E165,'Control Library'!$A$5:$A$47,0))</f>
        <v>Event-driven</v>
      </c>
      <c r="I165" s="7" t="str">
        <f aca="false">IF(INDEX('Control Library'!$I$5:$I$47,MATCH(E165,'Control Library'!$A$5:$A$47,0))="All","Y",IF(INDEX('Control Library'!$I$5:$I$47,MATCH(E165,'Control Library'!$A$5:$A$47,0))="Banks only",IF(COUNTIF('Residual Config'!$L$28:$L$30,INDEX(Entities!$E$5:$E$34,MATCH(B165,Entities!$A$5:$A$34,0)))&gt;0,"N/A","Y"),IF(INDEX(Entities!$G$5:$G$34,MATCH(B165,Entities!$A$5:$A$34,0))="Y","Y","N/A")))</f>
        <v>Y</v>
      </c>
      <c r="J165" s="8" t="s">
        <v>1140</v>
      </c>
      <c r="K165" s="8" t="s">
        <v>1074</v>
      </c>
      <c r="L165" s="7" t="str">
        <f aca="false">IF(OR(J165="",K165=""),"",IF(J165=K165,"Breach","OK"))</f>
        <v>OK</v>
      </c>
      <c r="M165" s="24" t="n">
        <v>2</v>
      </c>
      <c r="N165" s="50" t="n">
        <v>45970</v>
      </c>
      <c r="O165" s="8" t="s">
        <v>545</v>
      </c>
      <c r="P165" s="24" t="n">
        <v>35</v>
      </c>
      <c r="Q165" s="31" t="n">
        <f aca="false">IF(I165="N/A","",IFERROR(INDEX('Residual Config'!$B$35:$B$42,MATCH(H165,'Residual Config'!$A$35:$A$42,0)),""))</f>
        <v>25</v>
      </c>
      <c r="R165" s="24" t="n">
        <v>0</v>
      </c>
      <c r="S165" s="8" t="s">
        <v>516</v>
      </c>
      <c r="T165" s="31" t="n">
        <f aca="false">IF(S165="","",MATCH(S165,'Residual Config'!$L$9:$L$12,0))</f>
        <v>1</v>
      </c>
      <c r="U165" s="8" t="s">
        <v>1141</v>
      </c>
      <c r="V165" s="24" t="n">
        <v>3</v>
      </c>
      <c r="W165" s="33" t="s">
        <v>533</v>
      </c>
      <c r="X165" s="8" t="s">
        <v>754</v>
      </c>
      <c r="Y165" s="51" t="n">
        <f aca="false">IF(N165="","",EDATE(N165,IF(G165="N",INDEX('Residual Config'!$B$31:$D$31,1,MATCH(D165,'Residual Config'!$B$27:$D$27,0)),INDEX('Residual Config'!$B$28:$D$30,IF(T165=1,1,IF(T165=4,3,2)),MATCH(D165,'Residual Config'!$B$27:$D$27,0)))))</f>
        <v>46335</v>
      </c>
      <c r="Z165" s="7" t="str">
        <f aca="false">IF(I165="N/A","N/A",IF(N165="","Not tested",IF(W165="Rejected","Evidence rejected",IF(W165&lt;&gt;"Accepted","Evidence pending",IF(Y165&lt;'Residual Config'!$C$4,"Overdue","Current")))))</f>
        <v>Current</v>
      </c>
      <c r="AA165" s="34" t="n">
        <f aca="false">IF(I165="N/A","",IF(Z165&lt;&gt;"Current",4,IF(MAX(M165,T165)=0,4,MAX(M165,T165))))</f>
        <v>2</v>
      </c>
      <c r="AB165" s="7" t="str">
        <f aca="false">IF(AA165="","N/A",IF(Z165&lt;&gt;"Current","Not tested / overdue",INDEX('Residual Config'!$B$11:$B$14,AA165)))</f>
        <v>Largely effective</v>
      </c>
      <c r="AC165" s="36" t="n">
        <f aca="false">IF(AA165="","",INDEX('Residual Config'!$D$11:$D$14,AA165))</f>
        <v>0.4</v>
      </c>
      <c r="AD165" s="7" t="str">
        <f aca="false">IF(OR(I165="N/A",P165="",Q165=""),"",IF(P165&gt;=Q165,"Yes","No"))</f>
        <v>Yes</v>
      </c>
      <c r="AE165" s="8"/>
    </row>
    <row r="166" customFormat="false" ht="15" hidden="false" customHeight="false" outlineLevel="0" collapsed="false">
      <c r="A166" s="12" t="s">
        <v>1142</v>
      </c>
      <c r="B166" s="26" t="str">
        <f aca="false">Entities!$A$8</f>
        <v>JO-INS</v>
      </c>
      <c r="C166" s="12" t="str">
        <f aca="false">INDEX(Entities!$B$5:$B$34,MATCH(B166,Entities!$A$5:$A$34,0))</f>
        <v>Insurance subsidiary – Jordan</v>
      </c>
      <c r="D166" s="7" t="str">
        <f aca="false">INDEX(Entities!$F$5:$F$34,MATCH(B166,Entities!$A$5:$A$34,0))</f>
        <v>Tier 3</v>
      </c>
      <c r="E166" s="26" t="str">
        <f aca="false">'Control Library'!$A$37</f>
        <v>CTL-CR-02</v>
      </c>
      <c r="F166" s="12" t="str">
        <f aca="false">INDEX('Control Library'!$B$5:$B$47,MATCH(E166,'Control Library'!$A$5:$A$47,0))</f>
        <v>Collateral valuation and exposure limit monitoring</v>
      </c>
      <c r="G166" s="7" t="str">
        <f aca="false">INDEX('Control Library'!$F$5:$F$47,MATCH(E166,'Control Library'!$A$5:$A$47,0))</f>
        <v>N</v>
      </c>
      <c r="H166" s="12" t="str">
        <f aca="false">INDEX('Control Library'!$E$5:$E$47,MATCH(E166,'Control Library'!$A$5:$A$47,0))</f>
        <v>Monthly</v>
      </c>
      <c r="I166" s="7" t="str">
        <f aca="false">IF(INDEX('Control Library'!$I$5:$I$47,MATCH(E166,'Control Library'!$A$5:$A$47,0))="All","Y",IF(INDEX('Control Library'!$I$5:$I$47,MATCH(E166,'Control Library'!$A$5:$A$47,0))="Banks only",IF(COUNTIF('Residual Config'!$L$28:$L$30,INDEX(Entities!$E$5:$E$34,MATCH(B166,Entities!$A$5:$A$34,0)))&gt;0,"N/A","Y"),IF(INDEX(Entities!$G$5:$G$34,MATCH(B166,Entities!$A$5:$A$34,0))="Y","Y","N/A")))</f>
        <v>Y</v>
      </c>
      <c r="J166" s="8" t="s">
        <v>1143</v>
      </c>
      <c r="K166" s="8" t="s">
        <v>1074</v>
      </c>
      <c r="L166" s="7" t="str">
        <f aca="false">IF(OR(J166="",K166=""),"",IF(J166=K166,"Breach","OK"))</f>
        <v>OK</v>
      </c>
      <c r="M166" s="24" t="n">
        <v>1</v>
      </c>
      <c r="N166" s="50" t="n">
        <v>46244</v>
      </c>
      <c r="O166" s="8" t="s">
        <v>545</v>
      </c>
      <c r="P166" s="24" t="n">
        <v>3</v>
      </c>
      <c r="Q166" s="31" t="n">
        <f aca="false">IF(I166="N/A","",IFERROR(INDEX('Residual Config'!$B$35:$B$42,MATCH(H166,'Residual Config'!$A$35:$A$42,0)),""))</f>
        <v>3</v>
      </c>
      <c r="R166" s="24" t="n">
        <v>0</v>
      </c>
      <c r="S166" s="8" t="s">
        <v>516</v>
      </c>
      <c r="T166" s="31" t="n">
        <f aca="false">IF(S166="","",MATCH(S166,'Residual Config'!$L$9:$L$12,0))</f>
        <v>1</v>
      </c>
      <c r="U166" s="8" t="s">
        <v>1144</v>
      </c>
      <c r="V166" s="24" t="n">
        <v>4</v>
      </c>
      <c r="W166" s="33" t="s">
        <v>533</v>
      </c>
      <c r="X166" s="8" t="s">
        <v>760</v>
      </c>
      <c r="Y166" s="51" t="n">
        <f aca="false">IF(N166="","",EDATE(N166,IF(G166="N",INDEX('Residual Config'!$B$31:$D$31,1,MATCH(D166,'Residual Config'!$B$27:$D$27,0)),INDEX('Residual Config'!$B$28:$D$30,IF(T166=1,1,IF(T166=4,3,2)),MATCH(D166,'Residual Config'!$B$27:$D$27,0)))))</f>
        <v>46975</v>
      </c>
      <c r="Z166" s="7" t="str">
        <f aca="false">IF(I166="N/A","N/A",IF(N166="","Not tested",IF(W166="Rejected","Evidence rejected",IF(W166&lt;&gt;"Accepted","Evidence pending",IF(Y166&lt;'Residual Config'!$C$4,"Overdue","Current")))))</f>
        <v>Current</v>
      </c>
      <c r="AA166" s="34" t="n">
        <f aca="false">IF(I166="N/A","",IF(Z166&lt;&gt;"Current",4,IF(MAX(M166,T166)=0,4,MAX(M166,T166))))</f>
        <v>1</v>
      </c>
      <c r="AB166" s="7" t="str">
        <f aca="false">IF(AA166="","N/A",IF(Z166&lt;&gt;"Current","Not tested / overdue",INDEX('Residual Config'!$B$11:$B$14,AA166)))</f>
        <v>Effective</v>
      </c>
      <c r="AC166" s="36" t="n">
        <f aca="false">IF(AA166="","",INDEX('Residual Config'!$D$11:$D$14,AA166))</f>
        <v>0.6</v>
      </c>
      <c r="AD166" s="7" t="str">
        <f aca="false">IF(OR(I166="N/A",P166="",Q166=""),"",IF(P166&gt;=Q166,"Yes","No"))</f>
        <v>Yes</v>
      </c>
      <c r="AE166" s="8"/>
    </row>
    <row r="167" customFormat="false" ht="15" hidden="false" customHeight="false" outlineLevel="0" collapsed="false">
      <c r="A167" s="12" t="s">
        <v>1145</v>
      </c>
      <c r="B167" s="26" t="str">
        <f aca="false">Entities!$A$8</f>
        <v>JO-INS</v>
      </c>
      <c r="C167" s="12" t="str">
        <f aca="false">INDEX(Entities!$B$5:$B$34,MATCH(B167,Entities!$A$5:$A$34,0))</f>
        <v>Insurance subsidiary – Jordan</v>
      </c>
      <c r="D167" s="7" t="str">
        <f aca="false">INDEX(Entities!$F$5:$F$34,MATCH(B167,Entities!$A$5:$A$34,0))</f>
        <v>Tier 3</v>
      </c>
      <c r="E167" s="26" t="str">
        <f aca="false">'Control Library'!$A$38</f>
        <v>CTL-MR-01</v>
      </c>
      <c r="F167" s="12" t="str">
        <f aca="false">INDEX('Control Library'!$B$5:$B$47,MATCH(E167,'Control Library'!$A$5:$A$47,0))</f>
        <v>Market risk limits and daily VaR monitoring</v>
      </c>
      <c r="G167" s="7" t="str">
        <f aca="false">INDEX('Control Library'!$F$5:$F$47,MATCH(E167,'Control Library'!$A$5:$A$47,0))</f>
        <v>Y</v>
      </c>
      <c r="H167" s="12" t="str">
        <f aca="false">INDEX('Control Library'!$E$5:$E$47,MATCH(E167,'Control Library'!$A$5:$A$47,0))</f>
        <v>Daily</v>
      </c>
      <c r="I167" s="7" t="str">
        <f aca="false">IF(INDEX('Control Library'!$I$5:$I$47,MATCH(E167,'Control Library'!$A$5:$A$47,0))="All","Y",IF(INDEX('Control Library'!$I$5:$I$47,MATCH(E167,'Control Library'!$A$5:$A$47,0))="Banks only",IF(COUNTIF('Residual Config'!$L$28:$L$30,INDEX(Entities!$E$5:$E$34,MATCH(B167,Entities!$A$5:$A$34,0)))&gt;0,"N/A","Y"),IF(INDEX(Entities!$G$5:$G$34,MATCH(B167,Entities!$A$5:$A$34,0))="Y","Y","N/A")))</f>
        <v>Y</v>
      </c>
      <c r="J167" s="8" t="s">
        <v>1143</v>
      </c>
      <c r="K167" s="8" t="s">
        <v>1074</v>
      </c>
      <c r="L167" s="7" t="str">
        <f aca="false">IF(OR(J167="",K167=""),"",IF(J167=K167,"Breach","OK"))</f>
        <v>OK</v>
      </c>
      <c r="M167" s="24" t="n">
        <v>2</v>
      </c>
      <c r="N167" s="50" t="n">
        <v>46185</v>
      </c>
      <c r="O167" s="8" t="s">
        <v>547</v>
      </c>
      <c r="P167" s="24" t="n">
        <v>30</v>
      </c>
      <c r="Q167" s="31" t="n">
        <f aca="false">IF(I167="N/A","",IFERROR(INDEX('Residual Config'!$B$35:$B$42,MATCH(H167,'Residual Config'!$A$35:$A$42,0)),""))</f>
        <v>25</v>
      </c>
      <c r="R167" s="24" t="n">
        <v>1</v>
      </c>
      <c r="S167" s="8" t="s">
        <v>521</v>
      </c>
      <c r="T167" s="31" t="n">
        <f aca="false">IF(S167="","",MATCH(S167,'Residual Config'!$L$9:$L$12,0))</f>
        <v>2</v>
      </c>
      <c r="U167" s="8" t="s">
        <v>1146</v>
      </c>
      <c r="V167" s="24" t="n">
        <v>6</v>
      </c>
      <c r="W167" s="33" t="s">
        <v>533</v>
      </c>
      <c r="X167" s="8" t="s">
        <v>754</v>
      </c>
      <c r="Y167" s="51" t="n">
        <f aca="false">IF(N167="","",EDATE(N167,IF(G167="N",INDEX('Residual Config'!$B$31:$D$31,1,MATCH(D167,'Residual Config'!$B$27:$D$27,0)),INDEX('Residual Config'!$B$28:$D$30,IF(T167=1,1,IF(T167=4,3,2)),MATCH(D167,'Residual Config'!$B$27:$D$27,0)))))</f>
        <v>46368</v>
      </c>
      <c r="Z167" s="7" t="str">
        <f aca="false">IF(I167="N/A","N/A",IF(N167="","Not tested",IF(W167="Rejected","Evidence rejected",IF(W167&lt;&gt;"Accepted","Evidence pending",IF(Y167&lt;'Residual Config'!$C$4,"Overdue","Current")))))</f>
        <v>Current</v>
      </c>
      <c r="AA167" s="34" t="n">
        <f aca="false">IF(I167="N/A","",IF(Z167&lt;&gt;"Current",4,IF(MAX(M167,T167)=0,4,MAX(M167,T167))))</f>
        <v>2</v>
      </c>
      <c r="AB167" s="7" t="str">
        <f aca="false">IF(AA167="","N/A",IF(Z167&lt;&gt;"Current","Not tested / overdue",INDEX('Residual Config'!$B$11:$B$14,AA167)))</f>
        <v>Largely effective</v>
      </c>
      <c r="AC167" s="36" t="n">
        <f aca="false">IF(AA167="","",INDEX('Residual Config'!$D$11:$D$14,AA167))</f>
        <v>0.4</v>
      </c>
      <c r="AD167" s="7" t="str">
        <f aca="false">IF(OR(I167="N/A",P167="",Q167=""),"",IF(P167&gt;=Q167,"Yes","No"))</f>
        <v>Yes</v>
      </c>
      <c r="AE167" s="8"/>
    </row>
    <row r="168" customFormat="false" ht="15" hidden="false" customHeight="false" outlineLevel="0" collapsed="false">
      <c r="A168" s="12" t="s">
        <v>1147</v>
      </c>
      <c r="B168" s="26" t="str">
        <f aca="false">Entities!$A$8</f>
        <v>JO-INS</v>
      </c>
      <c r="C168" s="12" t="str">
        <f aca="false">INDEX(Entities!$B$5:$B$34,MATCH(B168,Entities!$A$5:$A$34,0))</f>
        <v>Insurance subsidiary – Jordan</v>
      </c>
      <c r="D168" s="7" t="str">
        <f aca="false">INDEX(Entities!$F$5:$F$34,MATCH(B168,Entities!$A$5:$A$34,0))</f>
        <v>Tier 3</v>
      </c>
      <c r="E168" s="26" t="str">
        <f aca="false">'Control Library'!$A$39</f>
        <v>CTL-LQ-01</v>
      </c>
      <c r="F168" s="12" t="str">
        <f aca="false">INDEX('Control Library'!$B$5:$B$47,MATCH(E168,'Control Library'!$A$5:$A$47,0))</f>
        <v>Liquidity buffers, LCR/NSFR monitoring and contingency funding plan</v>
      </c>
      <c r="G168" s="7" t="str">
        <f aca="false">INDEX('Control Library'!$F$5:$F$47,MATCH(E168,'Control Library'!$A$5:$A$47,0))</f>
        <v>Y</v>
      </c>
      <c r="H168" s="12" t="str">
        <f aca="false">INDEX('Control Library'!$E$5:$E$47,MATCH(E168,'Control Library'!$A$5:$A$47,0))</f>
        <v>Daily</v>
      </c>
      <c r="I168" s="7" t="str">
        <f aca="false">IF(INDEX('Control Library'!$I$5:$I$47,MATCH(E168,'Control Library'!$A$5:$A$47,0))="All","Y",IF(INDEX('Control Library'!$I$5:$I$47,MATCH(E168,'Control Library'!$A$5:$A$47,0))="Banks only",IF(COUNTIF('Residual Config'!$L$28:$L$30,INDEX(Entities!$E$5:$E$34,MATCH(B168,Entities!$A$5:$A$34,0)))&gt;0,"N/A","Y"),IF(INDEX(Entities!$G$5:$G$34,MATCH(B168,Entities!$A$5:$A$34,0))="Y","Y","N/A")))</f>
        <v>Y</v>
      </c>
      <c r="J168" s="8" t="s">
        <v>1148</v>
      </c>
      <c r="K168" s="8" t="s">
        <v>1074</v>
      </c>
      <c r="L168" s="7" t="str">
        <f aca="false">IF(OR(J168="",K168=""),"",IF(J168=K168,"Breach","OK"))</f>
        <v>OK</v>
      </c>
      <c r="M168" s="24" t="n">
        <v>1</v>
      </c>
      <c r="N168" s="50" t="n">
        <v>46027</v>
      </c>
      <c r="O168" s="8" t="s">
        <v>545</v>
      </c>
      <c r="P168" s="24" t="n">
        <v>35</v>
      </c>
      <c r="Q168" s="31" t="n">
        <f aca="false">IF(I168="N/A","",IFERROR(INDEX('Residual Config'!$B$35:$B$42,MATCH(H168,'Residual Config'!$A$35:$A$42,0)),""))</f>
        <v>25</v>
      </c>
      <c r="R168" s="24" t="n">
        <v>0</v>
      </c>
      <c r="S168" s="8" t="s">
        <v>516</v>
      </c>
      <c r="T168" s="31" t="n">
        <f aca="false">IF(S168="","",MATCH(S168,'Residual Config'!$L$9:$L$12,0))</f>
        <v>1</v>
      </c>
      <c r="U168" s="8" t="s">
        <v>1149</v>
      </c>
      <c r="V168" s="24" t="n">
        <v>4</v>
      </c>
      <c r="W168" s="33" t="s">
        <v>533</v>
      </c>
      <c r="X168" s="8" t="s">
        <v>760</v>
      </c>
      <c r="Y168" s="51" t="n">
        <f aca="false">IF(N168="","",EDATE(N168,IF(G168="N",INDEX('Residual Config'!$B$31:$D$31,1,MATCH(D168,'Residual Config'!$B$27:$D$27,0)),INDEX('Residual Config'!$B$28:$D$30,IF(T168=1,1,IF(T168=4,3,2)),MATCH(D168,'Residual Config'!$B$27:$D$27,0)))))</f>
        <v>46392</v>
      </c>
      <c r="Z168" s="7" t="str">
        <f aca="false">IF(I168="N/A","N/A",IF(N168="","Not tested",IF(W168="Rejected","Evidence rejected",IF(W168&lt;&gt;"Accepted","Evidence pending",IF(Y168&lt;'Residual Config'!$C$4,"Overdue","Current")))))</f>
        <v>Current</v>
      </c>
      <c r="AA168" s="34" t="n">
        <f aca="false">IF(I168="N/A","",IF(Z168&lt;&gt;"Current",4,IF(MAX(M168,T168)=0,4,MAX(M168,T168))))</f>
        <v>1</v>
      </c>
      <c r="AB168" s="7" t="str">
        <f aca="false">IF(AA168="","N/A",IF(Z168&lt;&gt;"Current","Not tested / overdue",INDEX('Residual Config'!$B$11:$B$14,AA168)))</f>
        <v>Effective</v>
      </c>
      <c r="AC168" s="36" t="n">
        <f aca="false">IF(AA168="","",INDEX('Residual Config'!$D$11:$D$14,AA168))</f>
        <v>0.6</v>
      </c>
      <c r="AD168" s="7" t="str">
        <f aca="false">IF(OR(I168="N/A",P168="",Q168=""),"",IF(P168&gt;=Q168,"Yes","No"))</f>
        <v>Yes</v>
      </c>
      <c r="AE168" s="8"/>
    </row>
    <row r="169" customFormat="false" ht="15" hidden="false" customHeight="false" outlineLevel="0" collapsed="false">
      <c r="A169" s="12" t="s">
        <v>1150</v>
      </c>
      <c r="B169" s="26" t="str">
        <f aca="false">Entities!$A$8</f>
        <v>JO-INS</v>
      </c>
      <c r="C169" s="12" t="str">
        <f aca="false">INDEX(Entities!$B$5:$B$34,MATCH(B169,Entities!$A$5:$A$34,0))</f>
        <v>Insurance subsidiary – Jordan</v>
      </c>
      <c r="D169" s="7" t="str">
        <f aca="false">INDEX(Entities!$F$5:$F$34,MATCH(B169,Entities!$A$5:$A$34,0))</f>
        <v>Tier 3</v>
      </c>
      <c r="E169" s="26" t="str">
        <f aca="false">'Control Library'!$A$40</f>
        <v>CTL-OR-01</v>
      </c>
      <c r="F169" s="12" t="str">
        <f aca="false">INDEX('Control Library'!$B$5:$B$47,MATCH(E169,'Control Library'!$A$5:$A$47,0))</f>
        <v>Business continuity plans and annual testing</v>
      </c>
      <c r="G169" s="7" t="str">
        <f aca="false">INDEX('Control Library'!$F$5:$F$47,MATCH(E169,'Control Library'!$A$5:$A$47,0))</f>
        <v>Y</v>
      </c>
      <c r="H169" s="12" t="str">
        <f aca="false">INDEX('Control Library'!$E$5:$E$47,MATCH(E169,'Control Library'!$A$5:$A$47,0))</f>
        <v>Annual</v>
      </c>
      <c r="I169" s="7" t="str">
        <f aca="false">IF(INDEX('Control Library'!$I$5:$I$47,MATCH(E169,'Control Library'!$A$5:$A$47,0))="All","Y",IF(INDEX('Control Library'!$I$5:$I$47,MATCH(E169,'Control Library'!$A$5:$A$47,0))="Banks only",IF(COUNTIF('Residual Config'!$L$28:$L$30,INDEX(Entities!$E$5:$E$34,MATCH(B169,Entities!$A$5:$A$34,0)))&gt;0,"N/A","Y"),IF(INDEX(Entities!$G$5:$G$34,MATCH(B169,Entities!$A$5:$A$34,0))="Y","Y","N/A")))</f>
        <v>Y</v>
      </c>
      <c r="J169" s="8" t="s">
        <v>1151</v>
      </c>
      <c r="K169" s="8" t="s">
        <v>1074</v>
      </c>
      <c r="L169" s="7" t="str">
        <f aca="false">IF(OR(J169="",K169=""),"",IF(J169=K169,"Breach","OK"))</f>
        <v>OK</v>
      </c>
      <c r="M169" s="24" t="n">
        <v>2</v>
      </c>
      <c r="N169" s="50" t="n">
        <v>46163</v>
      </c>
      <c r="O169" s="8" t="s">
        <v>545</v>
      </c>
      <c r="P169" s="24" t="n">
        <v>1</v>
      </c>
      <c r="Q169" s="31" t="n">
        <f aca="false">IF(I169="N/A","",IFERROR(INDEX('Residual Config'!$B$35:$B$42,MATCH(H169,'Residual Config'!$A$35:$A$42,0)),""))</f>
        <v>1</v>
      </c>
      <c r="R169" s="24" t="n">
        <v>1</v>
      </c>
      <c r="S169" s="8" t="s">
        <v>521</v>
      </c>
      <c r="T169" s="31" t="n">
        <f aca="false">IF(S169="","",MATCH(S169,'Residual Config'!$L$9:$L$12,0))</f>
        <v>2</v>
      </c>
      <c r="U169" s="8" t="s">
        <v>1152</v>
      </c>
      <c r="V169" s="24" t="n">
        <v>4</v>
      </c>
      <c r="W169" s="33" t="s">
        <v>533</v>
      </c>
      <c r="X169" s="8" t="s">
        <v>760</v>
      </c>
      <c r="Y169" s="51" t="n">
        <f aca="false">IF(N169="","",EDATE(N169,IF(G169="N",INDEX('Residual Config'!$B$31:$D$31,1,MATCH(D169,'Residual Config'!$B$27:$D$27,0)),INDEX('Residual Config'!$B$28:$D$30,IF(T169=1,1,IF(T169=4,3,2)),MATCH(D169,'Residual Config'!$B$27:$D$27,0)))))</f>
        <v>46347</v>
      </c>
      <c r="Z169" s="7" t="str">
        <f aca="false">IF(I169="N/A","N/A",IF(N169="","Not tested",IF(W169="Rejected","Evidence rejected",IF(W169&lt;&gt;"Accepted","Evidence pending",IF(Y169&lt;'Residual Config'!$C$4,"Overdue","Current")))))</f>
        <v>Current</v>
      </c>
      <c r="AA169" s="34" t="n">
        <f aca="false">IF(I169="N/A","",IF(Z169&lt;&gt;"Current",4,IF(MAX(M169,T169)=0,4,MAX(M169,T169))))</f>
        <v>2</v>
      </c>
      <c r="AB169" s="7" t="str">
        <f aca="false">IF(AA169="","N/A",IF(Z169&lt;&gt;"Current","Not tested / overdue",INDEX('Residual Config'!$B$11:$B$14,AA169)))</f>
        <v>Largely effective</v>
      </c>
      <c r="AC169" s="36" t="n">
        <f aca="false">IF(AA169="","",INDEX('Residual Config'!$D$11:$D$14,AA169))</f>
        <v>0.4</v>
      </c>
      <c r="AD169" s="7" t="str">
        <f aca="false">IF(OR(I169="N/A",P169="",Q169=""),"",IF(P169&gt;=Q169,"Yes","No"))</f>
        <v>Yes</v>
      </c>
      <c r="AE169" s="8"/>
    </row>
    <row r="170" customFormat="false" ht="15" hidden="false" customHeight="false" outlineLevel="0" collapsed="false">
      <c r="A170" s="12" t="s">
        <v>1153</v>
      </c>
      <c r="B170" s="26" t="str">
        <f aca="false">Entities!$A$8</f>
        <v>JO-INS</v>
      </c>
      <c r="C170" s="12" t="str">
        <f aca="false">INDEX(Entities!$B$5:$B$34,MATCH(B170,Entities!$A$5:$A$34,0))</f>
        <v>Insurance subsidiary – Jordan</v>
      </c>
      <c r="D170" s="7" t="str">
        <f aca="false">INDEX(Entities!$F$5:$F$34,MATCH(B170,Entities!$A$5:$A$34,0))</f>
        <v>Tier 3</v>
      </c>
      <c r="E170" s="26" t="str">
        <f aca="false">'Control Library'!$A$41</f>
        <v>CTL-OR-02</v>
      </c>
      <c r="F170" s="12" t="str">
        <f aca="false">INDEX('Control Library'!$B$5:$B$47,MATCH(E170,'Control Library'!$A$5:$A$47,0))</f>
        <v>Operational loss event capture and RCSA</v>
      </c>
      <c r="G170" s="7" t="str">
        <f aca="false">INDEX('Control Library'!$F$5:$F$47,MATCH(E170,'Control Library'!$A$5:$A$47,0))</f>
        <v>N</v>
      </c>
      <c r="H170" s="12" t="str">
        <f aca="false">INDEX('Control Library'!$E$5:$E$47,MATCH(E170,'Control Library'!$A$5:$A$47,0))</f>
        <v>Quarterly</v>
      </c>
      <c r="I170" s="7" t="str">
        <f aca="false">IF(INDEX('Control Library'!$I$5:$I$47,MATCH(E170,'Control Library'!$A$5:$A$47,0))="All","Y",IF(INDEX('Control Library'!$I$5:$I$47,MATCH(E170,'Control Library'!$A$5:$A$47,0))="Banks only",IF(COUNTIF('Residual Config'!$L$28:$L$30,INDEX(Entities!$E$5:$E$34,MATCH(B170,Entities!$A$5:$A$34,0)))&gt;0,"N/A","Y"),IF(INDEX(Entities!$G$5:$G$34,MATCH(B170,Entities!$A$5:$A$34,0))="Y","Y","N/A")))</f>
        <v>Y</v>
      </c>
      <c r="J170" s="8" t="s">
        <v>1143</v>
      </c>
      <c r="K170" s="8" t="s">
        <v>1074</v>
      </c>
      <c r="L170" s="7" t="str">
        <f aca="false">IF(OR(J170="",K170=""),"",IF(J170=K170,"Breach","OK"))</f>
        <v>OK</v>
      </c>
      <c r="M170" s="24" t="n">
        <v>1</v>
      </c>
      <c r="N170" s="50" t="n">
        <v>46273</v>
      </c>
      <c r="O170" s="8" t="s">
        <v>546</v>
      </c>
      <c r="P170" s="24" t="n">
        <v>2</v>
      </c>
      <c r="Q170" s="31" t="n">
        <f aca="false">IF(I170="N/A","",IFERROR(INDEX('Residual Config'!$B$35:$B$42,MATCH(H170,'Residual Config'!$A$35:$A$42,0)),""))</f>
        <v>2</v>
      </c>
      <c r="R170" s="24" t="n">
        <v>1</v>
      </c>
      <c r="S170" s="8" t="s">
        <v>521</v>
      </c>
      <c r="T170" s="31" t="n">
        <f aca="false">IF(S170="","",MATCH(S170,'Residual Config'!$L$9:$L$12,0))</f>
        <v>2</v>
      </c>
      <c r="U170" s="8" t="s">
        <v>1154</v>
      </c>
      <c r="V170" s="24" t="n">
        <v>6</v>
      </c>
      <c r="W170" s="33" t="s">
        <v>533</v>
      </c>
      <c r="X170" s="8" t="s">
        <v>754</v>
      </c>
      <c r="Y170" s="51" t="n">
        <f aca="false">IF(N170="","",EDATE(N170,IF(G170="N",INDEX('Residual Config'!$B$31:$D$31,1,MATCH(D170,'Residual Config'!$B$27:$D$27,0)),INDEX('Residual Config'!$B$28:$D$30,IF(T170=1,1,IF(T170=4,3,2)),MATCH(D170,'Residual Config'!$B$27:$D$27,0)))))</f>
        <v>47004</v>
      </c>
      <c r="Z170" s="7" t="str">
        <f aca="false">IF(I170="N/A","N/A",IF(N170="","Not tested",IF(W170="Rejected","Evidence rejected",IF(W170&lt;&gt;"Accepted","Evidence pending",IF(Y170&lt;'Residual Config'!$C$4,"Overdue","Current")))))</f>
        <v>Current</v>
      </c>
      <c r="AA170" s="34" t="n">
        <f aca="false">IF(I170="N/A","",IF(Z170&lt;&gt;"Current",4,IF(MAX(M170,T170)=0,4,MAX(M170,T170))))</f>
        <v>2</v>
      </c>
      <c r="AB170" s="7" t="str">
        <f aca="false">IF(AA170="","N/A",IF(Z170&lt;&gt;"Current","Not tested / overdue",INDEX('Residual Config'!$B$11:$B$14,AA170)))</f>
        <v>Largely effective</v>
      </c>
      <c r="AC170" s="36" t="n">
        <f aca="false">IF(AA170="","",INDEX('Residual Config'!$D$11:$D$14,AA170))</f>
        <v>0.4</v>
      </c>
      <c r="AD170" s="7" t="str">
        <f aca="false">IF(OR(I170="N/A",P170="",Q170=""),"",IF(P170&gt;=Q170,"Yes","No"))</f>
        <v>Yes</v>
      </c>
      <c r="AE170" s="8"/>
    </row>
    <row r="171" customFormat="false" ht="15" hidden="false" customHeight="false" outlineLevel="0" collapsed="false">
      <c r="A171" s="12" t="s">
        <v>1155</v>
      </c>
      <c r="B171" s="26" t="str">
        <f aca="false">Entities!$A$8</f>
        <v>JO-INS</v>
      </c>
      <c r="C171" s="12" t="str">
        <f aca="false">INDEX(Entities!$B$5:$B$34,MATCH(B171,Entities!$A$5:$A$34,0))</f>
        <v>Insurance subsidiary – Jordan</v>
      </c>
      <c r="D171" s="7" t="str">
        <f aca="false">INDEX(Entities!$F$5:$F$34,MATCH(B171,Entities!$A$5:$A$34,0))</f>
        <v>Tier 3</v>
      </c>
      <c r="E171" s="26" t="str">
        <f aca="false">'Control Library'!$A$42</f>
        <v>CTL-CY-01</v>
      </c>
      <c r="F171" s="12" t="str">
        <f aca="false">INDEX('Control Library'!$B$5:$B$47,MATCH(E171,'Control Library'!$A$5:$A$47,0))</f>
        <v>Vulnerability and patch management</v>
      </c>
      <c r="G171" s="7" t="str">
        <f aca="false">INDEX('Control Library'!$F$5:$F$47,MATCH(E171,'Control Library'!$A$5:$A$47,0))</f>
        <v>Y</v>
      </c>
      <c r="H171" s="12" t="str">
        <f aca="false">INDEX('Control Library'!$E$5:$E$47,MATCH(E171,'Control Library'!$A$5:$A$47,0))</f>
        <v>Monthly</v>
      </c>
      <c r="I171" s="7" t="str">
        <f aca="false">IF(INDEX('Control Library'!$I$5:$I$47,MATCH(E171,'Control Library'!$A$5:$A$47,0))="All","Y",IF(INDEX('Control Library'!$I$5:$I$47,MATCH(E171,'Control Library'!$A$5:$A$47,0))="Banks only",IF(COUNTIF('Residual Config'!$L$28:$L$30,INDEX(Entities!$E$5:$E$34,MATCH(B171,Entities!$A$5:$A$34,0)))&gt;0,"N/A","Y"),IF(INDEX(Entities!$G$5:$G$34,MATCH(B171,Entities!$A$5:$A$34,0))="Y","Y","N/A")))</f>
        <v>Y</v>
      </c>
      <c r="J171" s="8" t="s">
        <v>1096</v>
      </c>
      <c r="K171" s="8" t="s">
        <v>1074</v>
      </c>
      <c r="L171" s="7" t="str">
        <f aca="false">IF(OR(J171="",K171=""),"",IF(J171=K171,"Breach","OK"))</f>
        <v>OK</v>
      </c>
      <c r="M171" s="24" t="n">
        <v>1</v>
      </c>
      <c r="N171" s="50" t="n">
        <v>46173</v>
      </c>
      <c r="O171" s="8" t="s">
        <v>545</v>
      </c>
      <c r="P171" s="24" t="n">
        <v>3</v>
      </c>
      <c r="Q171" s="31" t="n">
        <f aca="false">IF(I171="N/A","",IFERROR(INDEX('Residual Config'!$B$35:$B$42,MATCH(H171,'Residual Config'!$A$35:$A$42,0)),""))</f>
        <v>3</v>
      </c>
      <c r="R171" s="24" t="n">
        <v>1</v>
      </c>
      <c r="S171" s="8" t="s">
        <v>521</v>
      </c>
      <c r="T171" s="31" t="n">
        <f aca="false">IF(S171="","",MATCH(S171,'Residual Config'!$L$9:$L$12,0))</f>
        <v>2</v>
      </c>
      <c r="U171" s="8" t="s">
        <v>1156</v>
      </c>
      <c r="V171" s="24" t="n">
        <v>1</v>
      </c>
      <c r="W171" s="33" t="s">
        <v>533</v>
      </c>
      <c r="X171" s="8" t="s">
        <v>760</v>
      </c>
      <c r="Y171" s="51" t="n">
        <f aca="false">IF(N171="","",EDATE(N171,IF(G171="N",INDEX('Residual Config'!$B$31:$D$31,1,MATCH(D171,'Residual Config'!$B$27:$D$27,0)),INDEX('Residual Config'!$B$28:$D$30,IF(T171=1,1,IF(T171=4,3,2)),MATCH(D171,'Residual Config'!$B$27:$D$27,0)))))</f>
        <v>46356</v>
      </c>
      <c r="Z171" s="7" t="str">
        <f aca="false">IF(I171="N/A","N/A",IF(N171="","Not tested",IF(W171="Rejected","Evidence rejected",IF(W171&lt;&gt;"Accepted","Evidence pending",IF(Y171&lt;'Residual Config'!$C$4,"Overdue","Current")))))</f>
        <v>Current</v>
      </c>
      <c r="AA171" s="34" t="n">
        <f aca="false">IF(I171="N/A","",IF(Z171&lt;&gt;"Current",4,IF(MAX(M171,T171)=0,4,MAX(M171,T171))))</f>
        <v>2</v>
      </c>
      <c r="AB171" s="7" t="str">
        <f aca="false">IF(AA171="","N/A",IF(Z171&lt;&gt;"Current","Not tested / overdue",INDEX('Residual Config'!$B$11:$B$14,AA171)))</f>
        <v>Largely effective</v>
      </c>
      <c r="AC171" s="36" t="n">
        <f aca="false">IF(AA171="","",INDEX('Residual Config'!$D$11:$D$14,AA171))</f>
        <v>0.4</v>
      </c>
      <c r="AD171" s="7" t="str">
        <f aca="false">IF(OR(I171="N/A",P171="",Q171=""),"",IF(P171&gt;=Q171,"Yes","No"))</f>
        <v>Yes</v>
      </c>
      <c r="AE171" s="8"/>
    </row>
    <row r="172" customFormat="false" ht="15" hidden="false" customHeight="false" outlineLevel="0" collapsed="false">
      <c r="A172" s="12" t="s">
        <v>1157</v>
      </c>
      <c r="B172" s="26" t="str">
        <f aca="false">Entities!$A$8</f>
        <v>JO-INS</v>
      </c>
      <c r="C172" s="12" t="str">
        <f aca="false">INDEX(Entities!$B$5:$B$34,MATCH(B172,Entities!$A$5:$A$34,0))</f>
        <v>Insurance subsidiary – Jordan</v>
      </c>
      <c r="D172" s="7" t="str">
        <f aca="false">INDEX(Entities!$F$5:$F$34,MATCH(B172,Entities!$A$5:$A$34,0))</f>
        <v>Tier 3</v>
      </c>
      <c r="E172" s="26" t="str">
        <f aca="false">'Control Library'!$A$43</f>
        <v>CTL-CY-02</v>
      </c>
      <c r="F172" s="12" t="str">
        <f aca="false">INDEX('Control Library'!$B$5:$B$47,MATCH(E172,'Control Library'!$A$5:$A$47,0))</f>
        <v>Privileged access management and SOC monitoring</v>
      </c>
      <c r="G172" s="7" t="str">
        <f aca="false">INDEX('Control Library'!$F$5:$F$47,MATCH(E172,'Control Library'!$A$5:$A$47,0))</f>
        <v>Y</v>
      </c>
      <c r="H172" s="12" t="str">
        <f aca="false">INDEX('Control Library'!$E$5:$E$47,MATCH(E172,'Control Library'!$A$5:$A$47,0))</f>
        <v>Continuous</v>
      </c>
      <c r="I172" s="7" t="str">
        <f aca="false">IF(INDEX('Control Library'!$I$5:$I$47,MATCH(E172,'Control Library'!$A$5:$A$47,0))="All","Y",IF(INDEX('Control Library'!$I$5:$I$47,MATCH(E172,'Control Library'!$A$5:$A$47,0))="Banks only",IF(COUNTIF('Residual Config'!$L$28:$L$30,INDEX(Entities!$E$5:$E$34,MATCH(B172,Entities!$A$5:$A$34,0)))&gt;0,"N/A","Y"),IF(INDEX(Entities!$G$5:$G$34,MATCH(B172,Entities!$A$5:$A$34,0))="Y","Y","N/A")))</f>
        <v>Y</v>
      </c>
      <c r="J172" s="8" t="s">
        <v>1136</v>
      </c>
      <c r="K172" s="8" t="s">
        <v>1074</v>
      </c>
      <c r="L172" s="7" t="str">
        <f aca="false">IF(OR(J172="",K172=""),"",IF(J172=K172,"Breach","OK"))</f>
        <v>OK</v>
      </c>
      <c r="M172" s="24" t="n">
        <v>1</v>
      </c>
      <c r="N172" s="50" t="n">
        <v>46233</v>
      </c>
      <c r="O172" s="8" t="s">
        <v>546</v>
      </c>
      <c r="P172" s="24" t="n">
        <v>1</v>
      </c>
      <c r="Q172" s="31" t="n">
        <f aca="false">IF(I172="N/A","",IFERROR(INDEX('Residual Config'!$B$35:$B$42,MATCH(H172,'Residual Config'!$A$35:$A$42,0)),""))</f>
        <v>1</v>
      </c>
      <c r="R172" s="24" t="n">
        <v>1</v>
      </c>
      <c r="S172" s="8" t="s">
        <v>521</v>
      </c>
      <c r="T172" s="31" t="n">
        <f aca="false">IF(S172="","",MATCH(S172,'Residual Config'!$L$9:$L$12,0))</f>
        <v>2</v>
      </c>
      <c r="U172" s="8" t="s">
        <v>1158</v>
      </c>
      <c r="V172" s="24" t="n">
        <v>3</v>
      </c>
      <c r="W172" s="33" t="s">
        <v>533</v>
      </c>
      <c r="X172" s="8" t="s">
        <v>754</v>
      </c>
      <c r="Y172" s="51" t="n">
        <f aca="false">IF(N172="","",EDATE(N172,IF(G172="N",INDEX('Residual Config'!$B$31:$D$31,1,MATCH(D172,'Residual Config'!$B$27:$D$27,0)),INDEX('Residual Config'!$B$28:$D$30,IF(T172=1,1,IF(T172=4,3,2)),MATCH(D172,'Residual Config'!$B$27:$D$27,0)))))</f>
        <v>46417</v>
      </c>
      <c r="Z172" s="7" t="str">
        <f aca="false">IF(I172="N/A","N/A",IF(N172="","Not tested",IF(W172="Rejected","Evidence rejected",IF(W172&lt;&gt;"Accepted","Evidence pending",IF(Y172&lt;'Residual Config'!$C$4,"Overdue","Current")))))</f>
        <v>Current</v>
      </c>
      <c r="AA172" s="34" t="n">
        <f aca="false">IF(I172="N/A","",IF(Z172&lt;&gt;"Current",4,IF(MAX(M172,T172)=0,4,MAX(M172,T172))))</f>
        <v>2</v>
      </c>
      <c r="AB172" s="7" t="str">
        <f aca="false">IF(AA172="","N/A",IF(Z172&lt;&gt;"Current","Not tested / overdue",INDEX('Residual Config'!$B$11:$B$14,AA172)))</f>
        <v>Largely effective</v>
      </c>
      <c r="AC172" s="36" t="n">
        <f aca="false">IF(AA172="","",INDEX('Residual Config'!$D$11:$D$14,AA172))</f>
        <v>0.4</v>
      </c>
      <c r="AD172" s="7" t="str">
        <f aca="false">IF(OR(I172="N/A",P172="",Q172=""),"",IF(P172&gt;=Q172,"Yes","No"))</f>
        <v>Yes</v>
      </c>
      <c r="AE172" s="8"/>
    </row>
    <row r="173" customFormat="false" ht="15" hidden="false" customHeight="false" outlineLevel="0" collapsed="false">
      <c r="A173" s="12" t="s">
        <v>1159</v>
      </c>
      <c r="B173" s="26" t="str">
        <f aca="false">Entities!$A$8</f>
        <v>JO-INS</v>
      </c>
      <c r="C173" s="12" t="str">
        <f aca="false">INDEX(Entities!$B$5:$B$34,MATCH(B173,Entities!$A$5:$A$34,0))</f>
        <v>Insurance subsidiary – Jordan</v>
      </c>
      <c r="D173" s="7" t="str">
        <f aca="false">INDEX(Entities!$F$5:$F$34,MATCH(B173,Entities!$A$5:$A$34,0))</f>
        <v>Tier 3</v>
      </c>
      <c r="E173" s="26" t="str">
        <f aca="false">'Control Library'!$A$44</f>
        <v>CTL-TP-01</v>
      </c>
      <c r="F173" s="12" t="str">
        <f aca="false">INDEX('Control Library'!$B$5:$B$47,MATCH(E173,'Control Library'!$A$5:$A$47,0))</f>
        <v>Critical vendor due diligence and tested exit plans</v>
      </c>
      <c r="G173" s="7" t="str">
        <f aca="false">INDEX('Control Library'!$F$5:$F$47,MATCH(E173,'Control Library'!$A$5:$A$47,0))</f>
        <v>Y</v>
      </c>
      <c r="H173" s="12" t="str">
        <f aca="false">INDEX('Control Library'!$E$5:$E$47,MATCH(E173,'Control Library'!$A$5:$A$47,0))</f>
        <v>Annual</v>
      </c>
      <c r="I173" s="7" t="str">
        <f aca="false">IF(INDEX('Control Library'!$I$5:$I$47,MATCH(E173,'Control Library'!$A$5:$A$47,0))="All","Y",IF(INDEX('Control Library'!$I$5:$I$47,MATCH(E173,'Control Library'!$A$5:$A$47,0))="Banks only",IF(COUNTIF('Residual Config'!$L$28:$L$30,INDEX(Entities!$E$5:$E$34,MATCH(B173,Entities!$A$5:$A$34,0)))&gt;0,"N/A","Y"),IF(INDEX(Entities!$G$5:$G$34,MATCH(B173,Entities!$A$5:$A$34,0))="Y","Y","N/A")))</f>
        <v>Y</v>
      </c>
      <c r="J173" s="8" t="s">
        <v>1106</v>
      </c>
      <c r="K173" s="8" t="s">
        <v>1074</v>
      </c>
      <c r="L173" s="7" t="str">
        <f aca="false">IF(OR(J173="",K173=""),"",IF(J173=K173,"Breach","OK"))</f>
        <v>OK</v>
      </c>
      <c r="M173" s="24" t="n">
        <v>2</v>
      </c>
      <c r="N173" s="50" t="n">
        <v>46206</v>
      </c>
      <c r="O173" s="8" t="s">
        <v>545</v>
      </c>
      <c r="P173" s="24" t="n">
        <v>1</v>
      </c>
      <c r="Q173" s="31" t="n">
        <f aca="false">IF(I173="N/A","",IFERROR(INDEX('Residual Config'!$B$35:$B$42,MATCH(H173,'Residual Config'!$A$35:$A$42,0)),""))</f>
        <v>1</v>
      </c>
      <c r="R173" s="24" t="n">
        <v>1</v>
      </c>
      <c r="S173" s="8" t="s">
        <v>521</v>
      </c>
      <c r="T173" s="31" t="n">
        <f aca="false">IF(S173="","",MATCH(S173,'Residual Config'!$L$9:$L$12,0))</f>
        <v>2</v>
      </c>
      <c r="U173" s="8" t="s">
        <v>1160</v>
      </c>
      <c r="V173" s="24" t="n">
        <v>3</v>
      </c>
      <c r="W173" s="33" t="s">
        <v>533</v>
      </c>
      <c r="X173" s="8" t="s">
        <v>754</v>
      </c>
      <c r="Y173" s="51" t="n">
        <f aca="false">IF(N173="","",EDATE(N173,IF(G173="N",INDEX('Residual Config'!$B$31:$D$31,1,MATCH(D173,'Residual Config'!$B$27:$D$27,0)),INDEX('Residual Config'!$B$28:$D$30,IF(T173=1,1,IF(T173=4,3,2)),MATCH(D173,'Residual Config'!$B$27:$D$27,0)))))</f>
        <v>46390</v>
      </c>
      <c r="Z173" s="7" t="str">
        <f aca="false">IF(I173="N/A","N/A",IF(N173="","Not tested",IF(W173="Rejected","Evidence rejected",IF(W173&lt;&gt;"Accepted","Evidence pending",IF(Y173&lt;'Residual Config'!$C$4,"Overdue","Current")))))</f>
        <v>Current</v>
      </c>
      <c r="AA173" s="34" t="n">
        <f aca="false">IF(I173="N/A","",IF(Z173&lt;&gt;"Current",4,IF(MAX(M173,T173)=0,4,MAX(M173,T173))))</f>
        <v>2</v>
      </c>
      <c r="AB173" s="7" t="str">
        <f aca="false">IF(AA173="","N/A",IF(Z173&lt;&gt;"Current","Not tested / overdue",INDEX('Residual Config'!$B$11:$B$14,AA173)))</f>
        <v>Largely effective</v>
      </c>
      <c r="AC173" s="36" t="n">
        <f aca="false">IF(AA173="","",INDEX('Residual Config'!$D$11:$D$14,AA173))</f>
        <v>0.4</v>
      </c>
      <c r="AD173" s="7" t="str">
        <f aca="false">IF(OR(I173="N/A",P173="",Q173=""),"",IF(P173&gt;=Q173,"Yes","No"))</f>
        <v>Yes</v>
      </c>
      <c r="AE173" s="8"/>
    </row>
    <row r="174" customFormat="false" ht="15" hidden="false" customHeight="false" outlineLevel="0" collapsed="false">
      <c r="A174" s="12" t="s">
        <v>1161</v>
      </c>
      <c r="B174" s="26" t="str">
        <f aca="false">Entities!$A$8</f>
        <v>JO-INS</v>
      </c>
      <c r="C174" s="12" t="str">
        <f aca="false">INDEX(Entities!$B$5:$B$34,MATCH(B174,Entities!$A$5:$A$34,0))</f>
        <v>Insurance subsidiary – Jordan</v>
      </c>
      <c r="D174" s="7" t="str">
        <f aca="false">INDEX(Entities!$F$5:$F$34,MATCH(B174,Entities!$A$5:$A$34,0))</f>
        <v>Tier 3</v>
      </c>
      <c r="E174" s="26" t="str">
        <f aca="false">'Control Library'!$A$45</f>
        <v>CTL-LG-01</v>
      </c>
      <c r="F174" s="12" t="str">
        <f aca="false">INDEX('Control Library'!$B$5:$B$47,MATCH(E174,'Control Library'!$A$5:$A$47,0))</f>
        <v>Legal review of contracts and litigation register</v>
      </c>
      <c r="G174" s="7" t="str">
        <f aca="false">INDEX('Control Library'!$F$5:$F$47,MATCH(E174,'Control Library'!$A$5:$A$47,0))</f>
        <v>Y</v>
      </c>
      <c r="H174" s="12" t="str">
        <f aca="false">INDEX('Control Library'!$E$5:$E$47,MATCH(E174,'Control Library'!$A$5:$A$47,0))</f>
        <v>Event-driven</v>
      </c>
      <c r="I174" s="7" t="str">
        <f aca="false">IF(INDEX('Control Library'!$I$5:$I$47,MATCH(E174,'Control Library'!$A$5:$A$47,0))="All","Y",IF(INDEX('Control Library'!$I$5:$I$47,MATCH(E174,'Control Library'!$A$5:$A$47,0))="Banks only",IF(COUNTIF('Residual Config'!$L$28:$L$30,INDEX(Entities!$E$5:$E$34,MATCH(B174,Entities!$A$5:$A$34,0)))&gt;0,"N/A","Y"),IF(INDEX(Entities!$G$5:$G$34,MATCH(B174,Entities!$A$5:$A$34,0))="Y","Y","N/A")))</f>
        <v>Y</v>
      </c>
      <c r="J174" s="8" t="s">
        <v>1162</v>
      </c>
      <c r="K174" s="8" t="s">
        <v>1074</v>
      </c>
      <c r="L174" s="7" t="str">
        <f aca="false">IF(OR(J174="",K174=""),"",IF(J174=K174,"Breach","OK"))</f>
        <v>OK</v>
      </c>
      <c r="M174" s="24" t="n">
        <v>2</v>
      </c>
      <c r="N174" s="50" t="n">
        <v>46159</v>
      </c>
      <c r="O174" s="8" t="s">
        <v>545</v>
      </c>
      <c r="P174" s="24" t="n">
        <v>30</v>
      </c>
      <c r="Q174" s="31" t="n">
        <f aca="false">IF(I174="N/A","",IFERROR(INDEX('Residual Config'!$B$35:$B$42,MATCH(H174,'Residual Config'!$A$35:$A$42,0)),""))</f>
        <v>25</v>
      </c>
      <c r="R174" s="24" t="n">
        <v>1</v>
      </c>
      <c r="S174" s="8" t="s">
        <v>521</v>
      </c>
      <c r="T174" s="31" t="n">
        <f aca="false">IF(S174="","",MATCH(S174,'Residual Config'!$L$9:$L$12,0))</f>
        <v>2</v>
      </c>
      <c r="U174" s="8" t="s">
        <v>1163</v>
      </c>
      <c r="V174" s="24" t="n">
        <v>2</v>
      </c>
      <c r="W174" s="33" t="s">
        <v>533</v>
      </c>
      <c r="X174" s="8" t="s">
        <v>754</v>
      </c>
      <c r="Y174" s="51" t="n">
        <f aca="false">IF(N174="","",EDATE(N174,IF(G174="N",INDEX('Residual Config'!$B$31:$D$31,1,MATCH(D174,'Residual Config'!$B$27:$D$27,0)),INDEX('Residual Config'!$B$28:$D$30,IF(T174=1,1,IF(T174=4,3,2)),MATCH(D174,'Residual Config'!$B$27:$D$27,0)))))</f>
        <v>46343</v>
      </c>
      <c r="Z174" s="7" t="str">
        <f aca="false">IF(I174="N/A","N/A",IF(N174="","Not tested",IF(W174="Rejected","Evidence rejected",IF(W174&lt;&gt;"Accepted","Evidence pending",IF(Y174&lt;'Residual Config'!$C$4,"Overdue","Current")))))</f>
        <v>Current</v>
      </c>
      <c r="AA174" s="34" t="n">
        <f aca="false">IF(I174="N/A","",IF(Z174&lt;&gt;"Current",4,IF(MAX(M174,T174)=0,4,MAX(M174,T174))))</f>
        <v>2</v>
      </c>
      <c r="AB174" s="7" t="str">
        <f aca="false">IF(AA174="","N/A",IF(Z174&lt;&gt;"Current","Not tested / overdue",INDEX('Residual Config'!$B$11:$B$14,AA174)))</f>
        <v>Largely effective</v>
      </c>
      <c r="AC174" s="36" t="n">
        <f aca="false">IF(AA174="","",INDEX('Residual Config'!$D$11:$D$14,AA174))</f>
        <v>0.4</v>
      </c>
      <c r="AD174" s="7" t="str">
        <f aca="false">IF(OR(I174="N/A",P174="",Q174=""),"",IF(P174&gt;=Q174,"Yes","No"))</f>
        <v>Yes</v>
      </c>
      <c r="AE174" s="8"/>
    </row>
    <row r="175" customFormat="false" ht="15" hidden="false" customHeight="false" outlineLevel="0" collapsed="false">
      <c r="A175" s="12" t="s">
        <v>1164</v>
      </c>
      <c r="B175" s="26" t="str">
        <f aca="false">Entities!$A$8</f>
        <v>JO-INS</v>
      </c>
      <c r="C175" s="12" t="str">
        <f aca="false">INDEX(Entities!$B$5:$B$34,MATCH(B175,Entities!$A$5:$A$34,0))</f>
        <v>Insurance subsidiary – Jordan</v>
      </c>
      <c r="D175" s="7" t="str">
        <f aca="false">INDEX(Entities!$F$5:$F$34,MATCH(B175,Entities!$A$5:$A$34,0))</f>
        <v>Tier 3</v>
      </c>
      <c r="E175" s="26" t="str">
        <f aca="false">'Control Library'!$A$46</f>
        <v>CTL-RP-01</v>
      </c>
      <c r="F175" s="12" t="str">
        <f aca="false">INDEX('Control Library'!$B$5:$B$47,MATCH(E175,'Control Library'!$A$5:$A$47,0))</f>
        <v>Media monitoring and reputational-risk escalation</v>
      </c>
      <c r="G175" s="7" t="str">
        <f aca="false">INDEX('Control Library'!$F$5:$F$47,MATCH(E175,'Control Library'!$A$5:$A$47,0))</f>
        <v>Y</v>
      </c>
      <c r="H175" s="12" t="str">
        <f aca="false">INDEX('Control Library'!$E$5:$E$47,MATCH(E175,'Control Library'!$A$5:$A$47,0))</f>
        <v>Daily</v>
      </c>
      <c r="I175" s="7" t="str">
        <f aca="false">IF(INDEX('Control Library'!$I$5:$I$47,MATCH(E175,'Control Library'!$A$5:$A$47,0))="All","Y",IF(INDEX('Control Library'!$I$5:$I$47,MATCH(E175,'Control Library'!$A$5:$A$47,0))="Banks only",IF(COUNTIF('Residual Config'!$L$28:$L$30,INDEX(Entities!$E$5:$E$34,MATCH(B175,Entities!$A$5:$A$34,0)))&gt;0,"N/A","Y"),IF(INDEX(Entities!$G$5:$G$34,MATCH(B175,Entities!$A$5:$A$34,0))="Y","Y","N/A")))</f>
        <v>Y</v>
      </c>
      <c r="J175" s="8" t="s">
        <v>1165</v>
      </c>
      <c r="K175" s="8" t="s">
        <v>1074</v>
      </c>
      <c r="L175" s="7" t="str">
        <f aca="false">IF(OR(J175="",K175=""),"",IF(J175=K175,"Breach","OK"))</f>
        <v>OK</v>
      </c>
      <c r="M175" s="24" t="n">
        <v>3</v>
      </c>
      <c r="N175" s="50" t="n">
        <v>46144</v>
      </c>
      <c r="O175" s="8" t="s">
        <v>545</v>
      </c>
      <c r="P175" s="24" t="n">
        <v>20</v>
      </c>
      <c r="Q175" s="31" t="n">
        <f aca="false">IF(I175="N/A","",IFERROR(INDEX('Residual Config'!$B$35:$B$42,MATCH(H175,'Residual Config'!$A$35:$A$42,0)),""))</f>
        <v>25</v>
      </c>
      <c r="R175" s="24" t="n">
        <v>1</v>
      </c>
      <c r="S175" s="8" t="s">
        <v>521</v>
      </c>
      <c r="T175" s="31" t="n">
        <f aca="false">IF(S175="","",MATCH(S175,'Residual Config'!$L$9:$L$12,0))</f>
        <v>2</v>
      </c>
      <c r="U175" s="8" t="s">
        <v>1166</v>
      </c>
      <c r="V175" s="24" t="n">
        <v>2</v>
      </c>
      <c r="W175" s="33" t="s">
        <v>533</v>
      </c>
      <c r="X175" s="8" t="s">
        <v>760</v>
      </c>
      <c r="Y175" s="51" t="n">
        <f aca="false">IF(N175="","",EDATE(N175,IF(G175="N",INDEX('Residual Config'!$B$31:$D$31,1,MATCH(D175,'Residual Config'!$B$27:$D$27,0)),INDEX('Residual Config'!$B$28:$D$30,IF(T175=1,1,IF(T175=4,3,2)),MATCH(D175,'Residual Config'!$B$27:$D$27,0)))))</f>
        <v>46328</v>
      </c>
      <c r="Z175" s="7" t="str">
        <f aca="false">IF(I175="N/A","N/A",IF(N175="","Not tested",IF(W175="Rejected","Evidence rejected",IF(W175&lt;&gt;"Accepted","Evidence pending",IF(Y175&lt;'Residual Config'!$C$4,"Overdue","Current")))))</f>
        <v>Current</v>
      </c>
      <c r="AA175" s="34" t="n">
        <f aca="false">IF(I175="N/A","",IF(Z175&lt;&gt;"Current",4,IF(MAX(M175,T175)=0,4,MAX(M175,T175))))</f>
        <v>3</v>
      </c>
      <c r="AB175" s="7" t="str">
        <f aca="false">IF(AA175="","N/A",IF(Z175&lt;&gt;"Current","Not tested / overdue",INDEX('Residual Config'!$B$11:$B$14,AA175)))</f>
        <v>Partially effective</v>
      </c>
      <c r="AC175" s="36" t="n">
        <f aca="false">IF(AA175="","",INDEX('Residual Config'!$D$11:$D$14,AA175))</f>
        <v>0.2</v>
      </c>
      <c r="AD175" s="7" t="str">
        <f aca="false">IF(OR(I175="N/A",P175="",Q175=""),"",IF(P175&gt;=Q175,"Yes","No"))</f>
        <v>No</v>
      </c>
      <c r="AE175" s="8"/>
    </row>
    <row r="176" customFormat="false" ht="15" hidden="false" customHeight="false" outlineLevel="0" collapsed="false">
      <c r="A176" s="12" t="s">
        <v>1167</v>
      </c>
      <c r="B176" s="26" t="str">
        <f aca="false">Entities!$A$8</f>
        <v>JO-INS</v>
      </c>
      <c r="C176" s="12" t="str">
        <f aca="false">INDEX(Entities!$B$5:$B$34,MATCH(B176,Entities!$A$5:$A$34,0))</f>
        <v>Insurance subsidiary – Jordan</v>
      </c>
      <c r="D176" s="7" t="str">
        <f aca="false">INDEX(Entities!$F$5:$F$34,MATCH(B176,Entities!$A$5:$A$34,0))</f>
        <v>Tier 3</v>
      </c>
      <c r="E176" s="26" t="str">
        <f aca="false">'Control Library'!$A$47</f>
        <v>CTL-ST-01</v>
      </c>
      <c r="F176" s="12" t="str">
        <f aca="false">INDEX('Control Library'!$B$5:$B$47,MATCH(E176,'Control Library'!$A$5:$A$47,0))</f>
        <v>Strategy execution monitoring and E&amp;S screening of lending</v>
      </c>
      <c r="G176" s="7" t="str">
        <f aca="false">INDEX('Control Library'!$F$5:$F$47,MATCH(E176,'Control Library'!$A$5:$A$47,0))</f>
        <v>Y</v>
      </c>
      <c r="H176" s="12" t="str">
        <f aca="false">INDEX('Control Library'!$E$5:$E$47,MATCH(E176,'Control Library'!$A$5:$A$47,0))</f>
        <v>Quarterly</v>
      </c>
      <c r="I176" s="7" t="str">
        <f aca="false">IF(INDEX('Control Library'!$I$5:$I$47,MATCH(E176,'Control Library'!$A$5:$A$47,0))="All","Y",IF(INDEX('Control Library'!$I$5:$I$47,MATCH(E176,'Control Library'!$A$5:$A$47,0))="Banks only",IF(COUNTIF('Residual Config'!$L$28:$L$30,INDEX(Entities!$E$5:$E$34,MATCH(B176,Entities!$A$5:$A$34,0)))&gt;0,"N/A","Y"),IF(INDEX(Entities!$G$5:$G$34,MATCH(B176,Entities!$A$5:$A$34,0))="Y","Y","N/A")))</f>
        <v>Y</v>
      </c>
      <c r="J176" s="8" t="s">
        <v>1168</v>
      </c>
      <c r="K176" s="8" t="s">
        <v>1074</v>
      </c>
      <c r="L176" s="7" t="str">
        <f aca="false">IF(OR(J176="",K176=""),"",IF(J176=K176,"Breach","OK"))</f>
        <v>OK</v>
      </c>
      <c r="M176" s="24" t="n">
        <v>2</v>
      </c>
      <c r="N176" s="50" t="n">
        <v>46138</v>
      </c>
      <c r="O176" s="8" t="s">
        <v>545</v>
      </c>
      <c r="P176" s="24" t="n">
        <v>2</v>
      </c>
      <c r="Q176" s="31" t="n">
        <f aca="false">IF(I176="N/A","",IFERROR(INDEX('Residual Config'!$B$35:$B$42,MATCH(H176,'Residual Config'!$A$35:$A$42,0)),""))</f>
        <v>2</v>
      </c>
      <c r="R176" s="24" t="n">
        <v>0</v>
      </c>
      <c r="S176" s="8" t="s">
        <v>516</v>
      </c>
      <c r="T176" s="31" t="n">
        <f aca="false">IF(S176="","",MATCH(S176,'Residual Config'!$L$9:$L$12,0))</f>
        <v>1</v>
      </c>
      <c r="U176" s="8" t="s">
        <v>1169</v>
      </c>
      <c r="V176" s="24" t="n">
        <v>4</v>
      </c>
      <c r="W176" s="33" t="s">
        <v>533</v>
      </c>
      <c r="X176" s="8" t="s">
        <v>754</v>
      </c>
      <c r="Y176" s="51" t="n">
        <f aca="false">IF(N176="","",EDATE(N176,IF(G176="N",INDEX('Residual Config'!$B$31:$D$31,1,MATCH(D176,'Residual Config'!$B$27:$D$27,0)),INDEX('Residual Config'!$B$28:$D$30,IF(T176=1,1,IF(T176=4,3,2)),MATCH(D176,'Residual Config'!$B$27:$D$27,0)))))</f>
        <v>46503</v>
      </c>
      <c r="Z176" s="7" t="str">
        <f aca="false">IF(I176="N/A","N/A",IF(N176="","Not tested",IF(W176="Rejected","Evidence rejected",IF(W176&lt;&gt;"Accepted","Evidence pending",IF(Y176&lt;'Residual Config'!$C$4,"Overdue","Current")))))</f>
        <v>Current</v>
      </c>
      <c r="AA176" s="34" t="n">
        <f aca="false">IF(I176="N/A","",IF(Z176&lt;&gt;"Current",4,IF(MAX(M176,T176)=0,4,MAX(M176,T176))))</f>
        <v>2</v>
      </c>
      <c r="AB176" s="7" t="str">
        <f aca="false">IF(AA176="","N/A",IF(Z176&lt;&gt;"Current","Not tested / overdue",INDEX('Residual Config'!$B$11:$B$14,AA176)))</f>
        <v>Largely effective</v>
      </c>
      <c r="AC176" s="36" t="n">
        <f aca="false">IF(AA176="","",INDEX('Residual Config'!$D$11:$D$14,AA176))</f>
        <v>0.4</v>
      </c>
      <c r="AD176" s="7" t="str">
        <f aca="false">IF(OR(I176="N/A",P176="",Q176=""),"",IF(P176&gt;=Q176,"Yes","No"))</f>
        <v>Yes</v>
      </c>
      <c r="AE176" s="8"/>
    </row>
    <row r="177" customFormat="false" ht="15" hidden="false" customHeight="false" outlineLevel="0" collapsed="false">
      <c r="A177" s="12" t="s">
        <v>1170</v>
      </c>
      <c r="B177" s="26" t="str">
        <f aca="false">Entities!$A$9</f>
        <v>JO-LSG</v>
      </c>
      <c r="C177" s="12" t="str">
        <f aca="false">INDEX(Entities!$B$5:$B$34,MATCH(B177,Entities!$A$5:$A$34,0))</f>
        <v>Leasing subsidiary – Jordan</v>
      </c>
      <c r="D177" s="7" t="str">
        <f aca="false">INDEX(Entities!$F$5:$F$34,MATCH(B177,Entities!$A$5:$A$34,0))</f>
        <v>Tier 3</v>
      </c>
      <c r="E177" s="26" t="str">
        <f aca="false">'Control Library'!$A$5</f>
        <v>CTL-KYC-01</v>
      </c>
      <c r="F177" s="12" t="str">
        <f aca="false">INDEX('Control Library'!$B$5:$B$47,MATCH(E177,'Control Library'!$A$5:$A$47,0))</f>
        <v>Customer due diligence and ID verification at onboarding</v>
      </c>
      <c r="G177" s="7" t="str">
        <f aca="false">INDEX('Control Library'!$F$5:$F$47,MATCH(E177,'Control Library'!$A$5:$A$47,0))</f>
        <v>Y</v>
      </c>
      <c r="H177" s="12" t="str">
        <f aca="false">INDEX('Control Library'!$E$5:$E$47,MATCH(E177,'Control Library'!$A$5:$A$47,0))</f>
        <v>Event-driven</v>
      </c>
      <c r="I177" s="7" t="str">
        <f aca="false">IF(INDEX('Control Library'!$I$5:$I$47,MATCH(E177,'Control Library'!$A$5:$A$47,0))="All","Y",IF(INDEX('Control Library'!$I$5:$I$47,MATCH(E177,'Control Library'!$A$5:$A$47,0))="Banks only",IF(COUNTIF('Residual Config'!$L$28:$L$30,INDEX(Entities!$E$5:$E$34,MATCH(B177,Entities!$A$5:$A$34,0)))&gt;0,"N/A","Y"),IF(INDEX(Entities!$G$5:$G$34,MATCH(B177,Entities!$A$5:$A$34,0))="Y","Y","N/A")))</f>
        <v>Y</v>
      </c>
      <c r="J177" s="8" t="s">
        <v>1171</v>
      </c>
      <c r="K177" s="8" t="s">
        <v>1172</v>
      </c>
      <c r="L177" s="7" t="str">
        <f aca="false">IF(OR(J177="",K177=""),"",IF(J177=K177,"Breach","OK"))</f>
        <v>OK</v>
      </c>
      <c r="M177" s="24" t="n">
        <v>2</v>
      </c>
      <c r="N177" s="50" t="n">
        <v>46253</v>
      </c>
      <c r="O177" s="8" t="s">
        <v>545</v>
      </c>
      <c r="P177" s="24" t="n">
        <v>25</v>
      </c>
      <c r="Q177" s="31" t="n">
        <f aca="false">IF(I177="N/A","",IFERROR(INDEX('Residual Config'!$B$35:$B$42,MATCH(H177,'Residual Config'!$A$35:$A$42,0)),""))</f>
        <v>25</v>
      </c>
      <c r="R177" s="24" t="n">
        <v>1</v>
      </c>
      <c r="S177" s="8" t="s">
        <v>521</v>
      </c>
      <c r="T177" s="31" t="n">
        <f aca="false">IF(S177="","",MATCH(S177,'Residual Config'!$L$9:$L$12,0))</f>
        <v>2</v>
      </c>
      <c r="U177" s="8" t="s">
        <v>1173</v>
      </c>
      <c r="V177" s="24" t="n">
        <v>4</v>
      </c>
      <c r="W177" s="33" t="s">
        <v>533</v>
      </c>
      <c r="X177" s="8" t="s">
        <v>754</v>
      </c>
      <c r="Y177" s="51" t="n">
        <f aca="false">IF(N177="","",EDATE(N177,IF(G177="N",INDEX('Residual Config'!$B$31:$D$31,1,MATCH(D177,'Residual Config'!$B$27:$D$27,0)),INDEX('Residual Config'!$B$28:$D$30,IF(T177=1,1,IF(T177=4,3,2)),MATCH(D177,'Residual Config'!$B$27:$D$27,0)))))</f>
        <v>46437</v>
      </c>
      <c r="Z177" s="7" t="str">
        <f aca="false">IF(I177="N/A","N/A",IF(N177="","Not tested",IF(W177="Rejected","Evidence rejected",IF(W177&lt;&gt;"Accepted","Evidence pending",IF(Y177&lt;'Residual Config'!$C$4,"Overdue","Current")))))</f>
        <v>Current</v>
      </c>
      <c r="AA177" s="34" t="n">
        <f aca="false">IF(I177="N/A","",IF(Z177&lt;&gt;"Current",4,IF(MAX(M177,T177)=0,4,MAX(M177,T177))))</f>
        <v>2</v>
      </c>
      <c r="AB177" s="7" t="str">
        <f aca="false">IF(AA177="","N/A",IF(Z177&lt;&gt;"Current","Not tested / overdue",INDEX('Residual Config'!$B$11:$B$14,AA177)))</f>
        <v>Largely effective</v>
      </c>
      <c r="AC177" s="36" t="n">
        <f aca="false">IF(AA177="","",INDEX('Residual Config'!$D$11:$D$14,AA177))</f>
        <v>0.4</v>
      </c>
      <c r="AD177" s="7" t="str">
        <f aca="false">IF(OR(I177="N/A",P177="",Q177=""),"",IF(P177&gt;=Q177,"Yes","No"))</f>
        <v>Yes</v>
      </c>
      <c r="AE177" s="8"/>
    </row>
    <row r="178" customFormat="false" ht="15" hidden="false" customHeight="false" outlineLevel="0" collapsed="false">
      <c r="A178" s="12" t="s">
        <v>1174</v>
      </c>
      <c r="B178" s="26" t="str">
        <f aca="false">Entities!$A$9</f>
        <v>JO-LSG</v>
      </c>
      <c r="C178" s="12" t="str">
        <f aca="false">INDEX(Entities!$B$5:$B$34,MATCH(B178,Entities!$A$5:$A$34,0))</f>
        <v>Leasing subsidiary – Jordan</v>
      </c>
      <c r="D178" s="7" t="str">
        <f aca="false">INDEX(Entities!$F$5:$F$34,MATCH(B178,Entities!$A$5:$A$34,0))</f>
        <v>Tier 3</v>
      </c>
      <c r="E178" s="26" t="str">
        <f aca="false">'Control Library'!$A$6</f>
        <v>CTL-KYC-02</v>
      </c>
      <c r="F178" s="12" t="str">
        <f aca="false">INDEX('Control Library'!$B$5:$B$47,MATCH(E178,'Control Library'!$A$5:$A$47,0))</f>
        <v>Enhanced due diligence for high-risk customers and PEPs, senior approval</v>
      </c>
      <c r="G178" s="7" t="str">
        <f aca="false">INDEX('Control Library'!$F$5:$F$47,MATCH(E178,'Control Library'!$A$5:$A$47,0))</f>
        <v>Y</v>
      </c>
      <c r="H178" s="12" t="str">
        <f aca="false">INDEX('Control Library'!$E$5:$E$47,MATCH(E178,'Control Library'!$A$5:$A$47,0))</f>
        <v>Event-driven</v>
      </c>
      <c r="I178" s="7" t="str">
        <f aca="false">IF(INDEX('Control Library'!$I$5:$I$47,MATCH(E178,'Control Library'!$A$5:$A$47,0))="All","Y",IF(INDEX('Control Library'!$I$5:$I$47,MATCH(E178,'Control Library'!$A$5:$A$47,0))="Banks only",IF(COUNTIF('Residual Config'!$L$28:$L$30,INDEX(Entities!$E$5:$E$34,MATCH(B178,Entities!$A$5:$A$34,0)))&gt;0,"N/A","Y"),IF(INDEX(Entities!$G$5:$G$34,MATCH(B178,Entities!$A$5:$A$34,0))="Y","Y","N/A")))</f>
        <v>Y</v>
      </c>
      <c r="J178" s="8" t="s">
        <v>1175</v>
      </c>
      <c r="K178" s="8" t="s">
        <v>1172</v>
      </c>
      <c r="L178" s="7" t="str">
        <f aca="false">IF(OR(J178="",K178=""),"",IF(J178=K178,"Breach","OK"))</f>
        <v>OK</v>
      </c>
      <c r="M178" s="24" t="n">
        <v>2</v>
      </c>
      <c r="N178" s="50" t="n">
        <v>46260</v>
      </c>
      <c r="O178" s="8" t="s">
        <v>545</v>
      </c>
      <c r="P178" s="24" t="n">
        <v>35</v>
      </c>
      <c r="Q178" s="31" t="n">
        <f aca="false">IF(I178="N/A","",IFERROR(INDEX('Residual Config'!$B$35:$B$42,MATCH(H178,'Residual Config'!$A$35:$A$42,0)),""))</f>
        <v>25</v>
      </c>
      <c r="R178" s="24" t="n">
        <v>1</v>
      </c>
      <c r="S178" s="8" t="s">
        <v>521</v>
      </c>
      <c r="T178" s="31" t="n">
        <f aca="false">IF(S178="","",MATCH(S178,'Residual Config'!$L$9:$L$12,0))</f>
        <v>2</v>
      </c>
      <c r="U178" s="8" t="s">
        <v>1176</v>
      </c>
      <c r="V178" s="24" t="n">
        <v>4</v>
      </c>
      <c r="W178" s="33" t="s">
        <v>533</v>
      </c>
      <c r="X178" s="8" t="s">
        <v>754</v>
      </c>
      <c r="Y178" s="51" t="n">
        <f aca="false">IF(N178="","",EDATE(N178,IF(G178="N",INDEX('Residual Config'!$B$31:$D$31,1,MATCH(D178,'Residual Config'!$B$27:$D$27,0)),INDEX('Residual Config'!$B$28:$D$30,IF(T178=1,1,IF(T178=4,3,2)),MATCH(D178,'Residual Config'!$B$27:$D$27,0)))))</f>
        <v>46444</v>
      </c>
      <c r="Z178" s="7" t="str">
        <f aca="false">IF(I178="N/A","N/A",IF(N178="","Not tested",IF(W178="Rejected","Evidence rejected",IF(W178&lt;&gt;"Accepted","Evidence pending",IF(Y178&lt;'Residual Config'!$C$4,"Overdue","Current")))))</f>
        <v>Current</v>
      </c>
      <c r="AA178" s="34" t="n">
        <f aca="false">IF(I178="N/A","",IF(Z178&lt;&gt;"Current",4,IF(MAX(M178,T178)=0,4,MAX(M178,T178))))</f>
        <v>2</v>
      </c>
      <c r="AB178" s="7" t="str">
        <f aca="false">IF(AA178="","N/A",IF(Z178&lt;&gt;"Current","Not tested / overdue",INDEX('Residual Config'!$B$11:$B$14,AA178)))</f>
        <v>Largely effective</v>
      </c>
      <c r="AC178" s="36" t="n">
        <f aca="false">IF(AA178="","",INDEX('Residual Config'!$D$11:$D$14,AA178))</f>
        <v>0.4</v>
      </c>
      <c r="AD178" s="7" t="str">
        <f aca="false">IF(OR(I178="N/A",P178="",Q178=""),"",IF(P178&gt;=Q178,"Yes","No"))</f>
        <v>Yes</v>
      </c>
      <c r="AE178" s="8"/>
    </row>
    <row r="179" customFormat="false" ht="15" hidden="false" customHeight="false" outlineLevel="0" collapsed="false">
      <c r="A179" s="12" t="s">
        <v>1177</v>
      </c>
      <c r="B179" s="26" t="str">
        <f aca="false">Entities!$A$9</f>
        <v>JO-LSG</v>
      </c>
      <c r="C179" s="12" t="str">
        <f aca="false">INDEX(Entities!$B$5:$B$34,MATCH(B179,Entities!$A$5:$A$34,0))</f>
        <v>Leasing subsidiary – Jordan</v>
      </c>
      <c r="D179" s="7" t="str">
        <f aca="false">INDEX(Entities!$F$5:$F$34,MATCH(B179,Entities!$A$5:$A$34,0))</f>
        <v>Tier 3</v>
      </c>
      <c r="E179" s="26" t="str">
        <f aca="false">'Control Library'!$A$7</f>
        <v>CTL-KYC-03</v>
      </c>
      <c r="F179" s="12" t="str">
        <f aca="false">INDEX('Control Library'!$B$5:$B$47,MATCH(E179,'Control Library'!$A$5:$A$47,0))</f>
        <v>Ultimate beneficial owner identification and verification</v>
      </c>
      <c r="G179" s="7" t="str">
        <f aca="false">INDEX('Control Library'!$F$5:$F$47,MATCH(E179,'Control Library'!$A$5:$A$47,0))</f>
        <v>Y</v>
      </c>
      <c r="H179" s="12" t="str">
        <f aca="false">INDEX('Control Library'!$E$5:$E$47,MATCH(E179,'Control Library'!$A$5:$A$47,0))</f>
        <v>Event-driven</v>
      </c>
      <c r="I179" s="7" t="str">
        <f aca="false">IF(INDEX('Control Library'!$I$5:$I$47,MATCH(E179,'Control Library'!$A$5:$A$47,0))="All","Y",IF(INDEX('Control Library'!$I$5:$I$47,MATCH(E179,'Control Library'!$A$5:$A$47,0))="Banks only",IF(COUNTIF('Residual Config'!$L$28:$L$30,INDEX(Entities!$E$5:$E$34,MATCH(B179,Entities!$A$5:$A$34,0)))&gt;0,"N/A","Y"),IF(INDEX(Entities!$G$5:$G$34,MATCH(B179,Entities!$A$5:$A$34,0))="Y","Y","N/A")))</f>
        <v>Y</v>
      </c>
      <c r="J179" s="8" t="s">
        <v>1171</v>
      </c>
      <c r="K179" s="8" t="s">
        <v>1172</v>
      </c>
      <c r="L179" s="7" t="str">
        <f aca="false">IF(OR(J179="",K179=""),"",IF(J179=K179,"Breach","OK"))</f>
        <v>OK</v>
      </c>
      <c r="M179" s="24" t="n">
        <v>2</v>
      </c>
      <c r="N179" s="50" t="n">
        <v>46133</v>
      </c>
      <c r="O179" s="8" t="s">
        <v>545</v>
      </c>
      <c r="P179" s="24" t="n">
        <v>25</v>
      </c>
      <c r="Q179" s="31" t="n">
        <f aca="false">IF(I179="N/A","",IFERROR(INDEX('Residual Config'!$B$35:$B$42,MATCH(H179,'Residual Config'!$A$35:$A$42,0)),""))</f>
        <v>25</v>
      </c>
      <c r="R179" s="24" t="n">
        <v>1</v>
      </c>
      <c r="S179" s="8" t="s">
        <v>521</v>
      </c>
      <c r="T179" s="31" t="n">
        <f aca="false">IF(S179="","",MATCH(S179,'Residual Config'!$L$9:$L$12,0))</f>
        <v>2</v>
      </c>
      <c r="U179" s="8" t="s">
        <v>1178</v>
      </c>
      <c r="V179" s="24" t="n">
        <v>5</v>
      </c>
      <c r="W179" s="33" t="s">
        <v>533</v>
      </c>
      <c r="X179" s="8" t="s">
        <v>754</v>
      </c>
      <c r="Y179" s="51" t="n">
        <f aca="false">IF(N179="","",EDATE(N179,IF(G179="N",INDEX('Residual Config'!$B$31:$D$31,1,MATCH(D179,'Residual Config'!$B$27:$D$27,0)),INDEX('Residual Config'!$B$28:$D$30,IF(T179=1,1,IF(T179=4,3,2)),MATCH(D179,'Residual Config'!$B$27:$D$27,0)))))</f>
        <v>46316</v>
      </c>
      <c r="Z179" s="7" t="str">
        <f aca="false">IF(I179="N/A","N/A",IF(N179="","Not tested",IF(W179="Rejected","Evidence rejected",IF(W179&lt;&gt;"Accepted","Evidence pending",IF(Y179&lt;'Residual Config'!$C$4,"Overdue","Current")))))</f>
        <v>Current</v>
      </c>
      <c r="AA179" s="34" t="n">
        <f aca="false">IF(I179="N/A","",IF(Z179&lt;&gt;"Current",4,IF(MAX(M179,T179)=0,4,MAX(M179,T179))))</f>
        <v>2</v>
      </c>
      <c r="AB179" s="7" t="str">
        <f aca="false">IF(AA179="","N/A",IF(Z179&lt;&gt;"Current","Not tested / overdue",INDEX('Residual Config'!$B$11:$B$14,AA179)))</f>
        <v>Largely effective</v>
      </c>
      <c r="AC179" s="36" t="n">
        <f aca="false">IF(AA179="","",INDEX('Residual Config'!$D$11:$D$14,AA179))</f>
        <v>0.4</v>
      </c>
      <c r="AD179" s="7" t="str">
        <f aca="false">IF(OR(I179="N/A",P179="",Q179=""),"",IF(P179&gt;=Q179,"Yes","No"))</f>
        <v>Yes</v>
      </c>
      <c r="AE179" s="8"/>
    </row>
    <row r="180" customFormat="false" ht="15" hidden="false" customHeight="false" outlineLevel="0" collapsed="false">
      <c r="A180" s="12" t="s">
        <v>1179</v>
      </c>
      <c r="B180" s="26" t="str">
        <f aca="false">Entities!$A$9</f>
        <v>JO-LSG</v>
      </c>
      <c r="C180" s="12" t="str">
        <f aca="false">INDEX(Entities!$B$5:$B$34,MATCH(B180,Entities!$A$5:$A$34,0))</f>
        <v>Leasing subsidiary – Jordan</v>
      </c>
      <c r="D180" s="7" t="str">
        <f aca="false">INDEX(Entities!$F$5:$F$34,MATCH(B180,Entities!$A$5:$A$34,0))</f>
        <v>Tier 3</v>
      </c>
      <c r="E180" s="26" t="str">
        <f aca="false">'Control Library'!$A$8</f>
        <v>CTL-KYC-04</v>
      </c>
      <c r="F180" s="12" t="str">
        <f aca="false">INDEX('Control Library'!$B$5:$B$47,MATCH(E180,'Control Library'!$A$5:$A$47,0))</f>
        <v>Periodic KYC review by customer risk rating</v>
      </c>
      <c r="G180" s="7" t="str">
        <f aca="false">INDEX('Control Library'!$F$5:$F$47,MATCH(E180,'Control Library'!$A$5:$A$47,0))</f>
        <v>Y</v>
      </c>
      <c r="H180" s="12" t="str">
        <f aca="false">INDEX('Control Library'!$E$5:$E$47,MATCH(E180,'Control Library'!$A$5:$A$47,0))</f>
        <v>Monthly</v>
      </c>
      <c r="I180" s="7" t="str">
        <f aca="false">IF(INDEX('Control Library'!$I$5:$I$47,MATCH(E180,'Control Library'!$A$5:$A$47,0))="All","Y",IF(INDEX('Control Library'!$I$5:$I$47,MATCH(E180,'Control Library'!$A$5:$A$47,0))="Banks only",IF(COUNTIF('Residual Config'!$L$28:$L$30,INDEX(Entities!$E$5:$E$34,MATCH(B180,Entities!$A$5:$A$34,0)))&gt;0,"N/A","Y"),IF(INDEX(Entities!$G$5:$G$34,MATCH(B180,Entities!$A$5:$A$34,0))="Y","Y","N/A")))</f>
        <v>Y</v>
      </c>
      <c r="J180" s="8" t="s">
        <v>1171</v>
      </c>
      <c r="K180" s="8" t="s">
        <v>1172</v>
      </c>
      <c r="L180" s="7" t="str">
        <f aca="false">IF(OR(J180="",K180=""),"",IF(J180=K180,"Breach","OK"))</f>
        <v>OK</v>
      </c>
      <c r="M180" s="24" t="n">
        <v>1</v>
      </c>
      <c r="N180" s="50" t="n">
        <v>46285</v>
      </c>
      <c r="O180" s="8" t="s">
        <v>545</v>
      </c>
      <c r="P180" s="24" t="n">
        <v>3</v>
      </c>
      <c r="Q180" s="31" t="n">
        <f aca="false">IF(I180="N/A","",IFERROR(INDEX('Residual Config'!$B$35:$B$42,MATCH(H180,'Residual Config'!$A$35:$A$42,0)),""))</f>
        <v>3</v>
      </c>
      <c r="R180" s="24" t="n">
        <v>0</v>
      </c>
      <c r="S180" s="8" t="s">
        <v>516</v>
      </c>
      <c r="T180" s="31" t="n">
        <f aca="false">IF(S180="","",MATCH(S180,'Residual Config'!$L$9:$L$12,0))</f>
        <v>1</v>
      </c>
      <c r="U180" s="8" t="s">
        <v>1180</v>
      </c>
      <c r="V180" s="24" t="n">
        <v>2</v>
      </c>
      <c r="W180" s="33" t="s">
        <v>533</v>
      </c>
      <c r="X180" s="8" t="s">
        <v>760</v>
      </c>
      <c r="Y180" s="51" t="n">
        <f aca="false">IF(N180="","",EDATE(N180,IF(G180="N",INDEX('Residual Config'!$B$31:$D$31,1,MATCH(D180,'Residual Config'!$B$27:$D$27,0)),INDEX('Residual Config'!$B$28:$D$30,IF(T180=1,1,IF(T180=4,3,2)),MATCH(D180,'Residual Config'!$B$27:$D$27,0)))))</f>
        <v>46650</v>
      </c>
      <c r="Z180" s="7" t="str">
        <f aca="false">IF(I180="N/A","N/A",IF(N180="","Not tested",IF(W180="Rejected","Evidence rejected",IF(W180&lt;&gt;"Accepted","Evidence pending",IF(Y180&lt;'Residual Config'!$C$4,"Overdue","Current")))))</f>
        <v>Current</v>
      </c>
      <c r="AA180" s="34" t="n">
        <f aca="false">IF(I180="N/A","",IF(Z180&lt;&gt;"Current",4,IF(MAX(M180,T180)=0,4,MAX(M180,T180))))</f>
        <v>1</v>
      </c>
      <c r="AB180" s="7" t="str">
        <f aca="false">IF(AA180="","N/A",IF(Z180&lt;&gt;"Current","Not tested / overdue",INDEX('Residual Config'!$B$11:$B$14,AA180)))</f>
        <v>Effective</v>
      </c>
      <c r="AC180" s="36" t="n">
        <f aca="false">IF(AA180="","",INDEX('Residual Config'!$D$11:$D$14,AA180))</f>
        <v>0.6</v>
      </c>
      <c r="AD180" s="7" t="str">
        <f aca="false">IF(OR(I180="N/A",P180="",Q180=""),"",IF(P180&gt;=Q180,"Yes","No"))</f>
        <v>Yes</v>
      </c>
      <c r="AE180" s="8"/>
    </row>
    <row r="181" customFormat="false" ht="15" hidden="false" customHeight="false" outlineLevel="0" collapsed="false">
      <c r="A181" s="12" t="s">
        <v>1181</v>
      </c>
      <c r="B181" s="26" t="str">
        <f aca="false">Entities!$A$9</f>
        <v>JO-LSG</v>
      </c>
      <c r="C181" s="12" t="str">
        <f aca="false">INDEX(Entities!$B$5:$B$34,MATCH(B181,Entities!$A$5:$A$34,0))</f>
        <v>Leasing subsidiary – Jordan</v>
      </c>
      <c r="D181" s="7" t="str">
        <f aca="false">INDEX(Entities!$F$5:$F$34,MATCH(B181,Entities!$A$5:$A$34,0))</f>
        <v>Tier 3</v>
      </c>
      <c r="E181" s="26" t="str">
        <f aca="false">'Control Library'!$A$9</f>
        <v>CTL-CRR-01</v>
      </c>
      <c r="F181" s="12" t="str">
        <f aca="false">INDEX('Control Library'!$B$5:$B$47,MATCH(E181,'Control Library'!$A$5:$A$47,0))</f>
        <v>Customer risk rating model and annual validation</v>
      </c>
      <c r="G181" s="7" t="str">
        <f aca="false">INDEX('Control Library'!$F$5:$F$47,MATCH(E181,'Control Library'!$A$5:$A$47,0))</f>
        <v>N</v>
      </c>
      <c r="H181" s="12" t="str">
        <f aca="false">INDEX('Control Library'!$E$5:$E$47,MATCH(E181,'Control Library'!$A$5:$A$47,0))</f>
        <v>Annual</v>
      </c>
      <c r="I181" s="7" t="str">
        <f aca="false">IF(INDEX('Control Library'!$I$5:$I$47,MATCH(E181,'Control Library'!$A$5:$A$47,0))="All","Y",IF(INDEX('Control Library'!$I$5:$I$47,MATCH(E181,'Control Library'!$A$5:$A$47,0))="Banks only",IF(COUNTIF('Residual Config'!$L$28:$L$30,INDEX(Entities!$E$5:$E$34,MATCH(B181,Entities!$A$5:$A$34,0)))&gt;0,"N/A","Y"),IF(INDEX(Entities!$G$5:$G$34,MATCH(B181,Entities!$A$5:$A$34,0))="Y","Y","N/A")))</f>
        <v>Y</v>
      </c>
      <c r="J181" s="8" t="s">
        <v>1175</v>
      </c>
      <c r="K181" s="8" t="s">
        <v>1172</v>
      </c>
      <c r="L181" s="7" t="str">
        <f aca="false">IF(OR(J181="",K181=""),"",IF(J181=K181,"Breach","OK"))</f>
        <v>OK</v>
      </c>
      <c r="M181" s="24" t="n">
        <v>2</v>
      </c>
      <c r="N181" s="50" t="n">
        <v>45740</v>
      </c>
      <c r="O181" s="8" t="s">
        <v>547</v>
      </c>
      <c r="P181" s="24" t="n">
        <v>1</v>
      </c>
      <c r="Q181" s="31" t="n">
        <f aca="false">IF(I181="N/A","",IFERROR(INDEX('Residual Config'!$B$35:$B$42,MATCH(H181,'Residual Config'!$A$35:$A$42,0)),""))</f>
        <v>1</v>
      </c>
      <c r="R181" s="24" t="n">
        <v>1</v>
      </c>
      <c r="S181" s="8" t="s">
        <v>524</v>
      </c>
      <c r="T181" s="31" t="n">
        <f aca="false">IF(S181="","",MATCH(S181,'Residual Config'!$L$9:$L$12,0))</f>
        <v>3</v>
      </c>
      <c r="U181" s="8" t="s">
        <v>1182</v>
      </c>
      <c r="V181" s="24" t="n">
        <v>1</v>
      </c>
      <c r="W181" s="33" t="s">
        <v>533</v>
      </c>
      <c r="X181" s="8" t="s">
        <v>760</v>
      </c>
      <c r="Y181" s="51" t="n">
        <f aca="false">IF(N181="","",EDATE(N181,IF(G181="N",INDEX('Residual Config'!$B$31:$D$31,1,MATCH(D181,'Residual Config'!$B$27:$D$27,0)),INDEX('Residual Config'!$B$28:$D$30,IF(T181=1,1,IF(T181=4,3,2)),MATCH(D181,'Residual Config'!$B$27:$D$27,0)))))</f>
        <v>46470</v>
      </c>
      <c r="Z181" s="7" t="str">
        <f aca="false">IF(I181="N/A","N/A",IF(N181="","Not tested",IF(W181="Rejected","Evidence rejected",IF(W181&lt;&gt;"Accepted","Evidence pending",IF(Y181&lt;'Residual Config'!$C$4,"Overdue","Current")))))</f>
        <v>Current</v>
      </c>
      <c r="AA181" s="34" t="n">
        <f aca="false">IF(I181="N/A","",IF(Z181&lt;&gt;"Current",4,IF(MAX(M181,T181)=0,4,MAX(M181,T181))))</f>
        <v>3</v>
      </c>
      <c r="AB181" s="7" t="str">
        <f aca="false">IF(AA181="","N/A",IF(Z181&lt;&gt;"Current","Not tested / overdue",INDEX('Residual Config'!$B$11:$B$14,AA181)))</f>
        <v>Partially effective</v>
      </c>
      <c r="AC181" s="36" t="n">
        <f aca="false">IF(AA181="","",INDEX('Residual Config'!$D$11:$D$14,AA181))</f>
        <v>0.2</v>
      </c>
      <c r="AD181" s="7" t="str">
        <f aca="false">IF(OR(I181="N/A",P181="",Q181=""),"",IF(P181&gt;=Q181,"Yes","No"))</f>
        <v>Yes</v>
      </c>
      <c r="AE181" s="8"/>
    </row>
    <row r="182" customFormat="false" ht="15" hidden="false" customHeight="false" outlineLevel="0" collapsed="false">
      <c r="A182" s="12" t="s">
        <v>1183</v>
      </c>
      <c r="B182" s="26" t="str">
        <f aca="false">Entities!$A$9</f>
        <v>JO-LSG</v>
      </c>
      <c r="C182" s="12" t="str">
        <f aca="false">INDEX(Entities!$B$5:$B$34,MATCH(B182,Entities!$A$5:$A$34,0))</f>
        <v>Leasing subsidiary – Jordan</v>
      </c>
      <c r="D182" s="7" t="str">
        <f aca="false">INDEX(Entities!$F$5:$F$34,MATCH(B182,Entities!$A$5:$A$34,0))</f>
        <v>Tier 3</v>
      </c>
      <c r="E182" s="26" t="str">
        <f aca="false">'Control Library'!$A$10</f>
        <v>CTL-TM-01</v>
      </c>
      <c r="F182" s="12" t="str">
        <f aca="false">INDEX('Control Library'!$B$5:$B$47,MATCH(E182,'Control Library'!$A$5:$A$47,0))</f>
        <v>Automated transaction monitoring scenarios and annual tuning</v>
      </c>
      <c r="G182" s="7" t="str">
        <f aca="false">INDEX('Control Library'!$F$5:$F$47,MATCH(E182,'Control Library'!$A$5:$A$47,0))</f>
        <v>Y</v>
      </c>
      <c r="H182" s="12" t="str">
        <f aca="false">INDEX('Control Library'!$E$5:$E$47,MATCH(E182,'Control Library'!$A$5:$A$47,0))</f>
        <v>Continuous</v>
      </c>
      <c r="I182" s="7" t="str">
        <f aca="false">IF(INDEX('Control Library'!$I$5:$I$47,MATCH(E182,'Control Library'!$A$5:$A$47,0))="All","Y",IF(INDEX('Control Library'!$I$5:$I$47,MATCH(E182,'Control Library'!$A$5:$A$47,0))="Banks only",IF(COUNTIF('Residual Config'!$L$28:$L$30,INDEX(Entities!$E$5:$E$34,MATCH(B182,Entities!$A$5:$A$34,0)))&gt;0,"N/A","Y"),IF(INDEX(Entities!$G$5:$G$34,MATCH(B182,Entities!$A$5:$A$34,0))="Y","Y","N/A")))</f>
        <v>N/A</v>
      </c>
      <c r="J182" s="8"/>
      <c r="K182" s="8"/>
      <c r="L182" s="7" t="str">
        <f aca="false">IF(OR(J182="",K182=""),"",IF(J182=K182,"Breach","OK"))</f>
        <v/>
      </c>
      <c r="M182" s="24"/>
      <c r="N182" s="50"/>
      <c r="O182" s="8"/>
      <c r="P182" s="24"/>
      <c r="Q182" s="31" t="str">
        <f aca="false">IF(I182="N/A","",IFERROR(INDEX('Residual Config'!$B$35:$B$42,MATCH(H182,'Residual Config'!$A$35:$A$42,0)),""))</f>
        <v/>
      </c>
      <c r="R182" s="24"/>
      <c r="S182" s="8"/>
      <c r="T182" s="31" t="str">
        <f aca="false">IF(S182="","",MATCH(S182,'Residual Config'!$L$9:$L$12,0))</f>
        <v/>
      </c>
      <c r="U182" s="8"/>
      <c r="V182" s="24"/>
      <c r="W182" s="33"/>
      <c r="X182" s="8"/>
      <c r="Y182" s="51" t="str">
        <f aca="false">IF(N182="","",EDATE(N182,IF(G182="N",INDEX('Residual Config'!$B$31:$D$31,1,MATCH(D182,'Residual Config'!$B$27:$D$27,0)),INDEX('Residual Config'!$B$28:$D$30,IF(T182=1,1,IF(T182=4,3,2)),MATCH(D182,'Residual Config'!$B$27:$D$27,0)))))</f>
        <v/>
      </c>
      <c r="Z182" s="7" t="str">
        <f aca="false">IF(I182="N/A","N/A",IF(N182="","Not tested",IF(W182="Rejected","Evidence rejected",IF(W182&lt;&gt;"Accepted","Evidence pending",IF(Y182&lt;'Residual Config'!$C$4,"Overdue","Current")))))</f>
        <v>N/A</v>
      </c>
      <c r="AA182" s="34" t="str">
        <f aca="false">IF(I182="N/A","",IF(Z182&lt;&gt;"Current",4,IF(MAX(M182,T182)=0,4,MAX(M182,T182))))</f>
        <v/>
      </c>
      <c r="AB182" s="7" t="str">
        <f aca="false">IF(AA182="","N/A",IF(Z182&lt;&gt;"Current","Not tested / overdue",INDEX('Residual Config'!$B$11:$B$14,AA182)))</f>
        <v>N/A</v>
      </c>
      <c r="AC182" s="36" t="str">
        <f aca="false">IF(AA182="","",INDEX('Residual Config'!$D$11:$D$14,AA182))</f>
        <v/>
      </c>
      <c r="AD182" s="7" t="str">
        <f aca="false">IF(OR(I182="N/A",P182="",Q182=""),"",IF(P182&gt;=Q182,"Yes","No"))</f>
        <v/>
      </c>
      <c r="AE182" s="8"/>
    </row>
    <row r="183" customFormat="false" ht="15" hidden="false" customHeight="false" outlineLevel="0" collapsed="false">
      <c r="A183" s="12" t="s">
        <v>1184</v>
      </c>
      <c r="B183" s="26" t="str">
        <f aca="false">Entities!$A$9</f>
        <v>JO-LSG</v>
      </c>
      <c r="C183" s="12" t="str">
        <f aca="false">INDEX(Entities!$B$5:$B$34,MATCH(B183,Entities!$A$5:$A$34,0))</f>
        <v>Leasing subsidiary – Jordan</v>
      </c>
      <c r="D183" s="7" t="str">
        <f aca="false">INDEX(Entities!$F$5:$F$34,MATCH(B183,Entities!$A$5:$A$34,0))</f>
        <v>Tier 3</v>
      </c>
      <c r="E183" s="26" t="str">
        <f aca="false">'Control Library'!$A$11</f>
        <v>CTL-TM-02</v>
      </c>
      <c r="F183" s="12" t="str">
        <f aca="false">INDEX('Control Library'!$B$5:$B$47,MATCH(E183,'Control Library'!$A$5:$A$47,0))</f>
        <v>Alert investigation and quality assurance within SLA</v>
      </c>
      <c r="G183" s="7" t="str">
        <f aca="false">INDEX('Control Library'!$F$5:$F$47,MATCH(E183,'Control Library'!$A$5:$A$47,0))</f>
        <v>Y</v>
      </c>
      <c r="H183" s="12" t="str">
        <f aca="false">INDEX('Control Library'!$E$5:$E$47,MATCH(E183,'Control Library'!$A$5:$A$47,0))</f>
        <v>Daily</v>
      </c>
      <c r="I183" s="7" t="str">
        <f aca="false">IF(INDEX('Control Library'!$I$5:$I$47,MATCH(E183,'Control Library'!$A$5:$A$47,0))="All","Y",IF(INDEX('Control Library'!$I$5:$I$47,MATCH(E183,'Control Library'!$A$5:$A$47,0))="Banks only",IF(COUNTIF('Residual Config'!$L$28:$L$30,INDEX(Entities!$E$5:$E$34,MATCH(B183,Entities!$A$5:$A$34,0)))&gt;0,"N/A","Y"),IF(INDEX(Entities!$G$5:$G$34,MATCH(B183,Entities!$A$5:$A$34,0))="Y","Y","N/A")))</f>
        <v>Y</v>
      </c>
      <c r="J183" s="8" t="s">
        <v>1185</v>
      </c>
      <c r="K183" s="8" t="s">
        <v>1172</v>
      </c>
      <c r="L183" s="7" t="str">
        <f aca="false">IF(OR(J183="",K183=""),"",IF(J183=K183,"Breach","OK"))</f>
        <v>OK</v>
      </c>
      <c r="M183" s="24" t="n">
        <v>1</v>
      </c>
      <c r="N183" s="50" t="n">
        <v>46004</v>
      </c>
      <c r="O183" s="8" t="s">
        <v>545</v>
      </c>
      <c r="P183" s="24" t="n">
        <v>25</v>
      </c>
      <c r="Q183" s="31" t="n">
        <f aca="false">IF(I183="N/A","",IFERROR(INDEX('Residual Config'!$B$35:$B$42,MATCH(H183,'Residual Config'!$A$35:$A$42,0)),""))</f>
        <v>25</v>
      </c>
      <c r="R183" s="24" t="n">
        <v>0</v>
      </c>
      <c r="S183" s="8" t="s">
        <v>516</v>
      </c>
      <c r="T183" s="31" t="n">
        <f aca="false">IF(S183="","",MATCH(S183,'Residual Config'!$L$9:$L$12,0))</f>
        <v>1</v>
      </c>
      <c r="U183" s="8" t="s">
        <v>1186</v>
      </c>
      <c r="V183" s="24" t="n">
        <v>1</v>
      </c>
      <c r="W183" s="33" t="s">
        <v>533</v>
      </c>
      <c r="X183" s="8" t="s">
        <v>760</v>
      </c>
      <c r="Y183" s="51" t="n">
        <f aca="false">IF(N183="","",EDATE(N183,IF(G183="N",INDEX('Residual Config'!$B$31:$D$31,1,MATCH(D183,'Residual Config'!$B$27:$D$27,0)),INDEX('Residual Config'!$B$28:$D$30,IF(T183=1,1,IF(T183=4,3,2)),MATCH(D183,'Residual Config'!$B$27:$D$27,0)))))</f>
        <v>46369</v>
      </c>
      <c r="Z183" s="7" t="str">
        <f aca="false">IF(I183="N/A","N/A",IF(N183="","Not tested",IF(W183="Rejected","Evidence rejected",IF(W183&lt;&gt;"Accepted","Evidence pending",IF(Y183&lt;'Residual Config'!$C$4,"Overdue","Current")))))</f>
        <v>Current</v>
      </c>
      <c r="AA183" s="34" t="n">
        <f aca="false">IF(I183="N/A","",IF(Z183&lt;&gt;"Current",4,IF(MAX(M183,T183)=0,4,MAX(M183,T183))))</f>
        <v>1</v>
      </c>
      <c r="AB183" s="7" t="str">
        <f aca="false">IF(AA183="","N/A",IF(Z183&lt;&gt;"Current","Not tested / overdue",INDEX('Residual Config'!$B$11:$B$14,AA183)))</f>
        <v>Effective</v>
      </c>
      <c r="AC183" s="36" t="n">
        <f aca="false">IF(AA183="","",INDEX('Residual Config'!$D$11:$D$14,AA183))</f>
        <v>0.6</v>
      </c>
      <c r="AD183" s="7" t="str">
        <f aca="false">IF(OR(I183="N/A",P183="",Q183=""),"",IF(P183&gt;=Q183,"Yes","No"))</f>
        <v>Yes</v>
      </c>
      <c r="AE183" s="8"/>
    </row>
    <row r="184" customFormat="false" ht="15" hidden="false" customHeight="false" outlineLevel="0" collapsed="false">
      <c r="A184" s="12" t="s">
        <v>1187</v>
      </c>
      <c r="B184" s="26" t="str">
        <f aca="false">Entities!$A$9</f>
        <v>JO-LSG</v>
      </c>
      <c r="C184" s="12" t="str">
        <f aca="false">INDEX(Entities!$B$5:$B$34,MATCH(B184,Entities!$A$5:$A$34,0))</f>
        <v>Leasing subsidiary – Jordan</v>
      </c>
      <c r="D184" s="7" t="str">
        <f aca="false">INDEX(Entities!$F$5:$F$34,MATCH(B184,Entities!$A$5:$A$34,0))</f>
        <v>Tier 3</v>
      </c>
      <c r="E184" s="26" t="str">
        <f aca="false">'Control Library'!$A$12</f>
        <v>CTL-STR-01</v>
      </c>
      <c r="F184" s="12" t="str">
        <f aca="false">INDEX('Control Library'!$B$5:$B$47,MATCH(E184,'Control Library'!$A$5:$A$47,0))</f>
        <v>STR decision and filing within regulatory deadline</v>
      </c>
      <c r="G184" s="7" t="str">
        <f aca="false">INDEX('Control Library'!$F$5:$F$47,MATCH(E184,'Control Library'!$A$5:$A$47,0))</f>
        <v>Y</v>
      </c>
      <c r="H184" s="12" t="str">
        <f aca="false">INDEX('Control Library'!$E$5:$E$47,MATCH(E184,'Control Library'!$A$5:$A$47,0))</f>
        <v>Event-driven</v>
      </c>
      <c r="I184" s="7" t="str">
        <f aca="false">IF(INDEX('Control Library'!$I$5:$I$47,MATCH(E184,'Control Library'!$A$5:$A$47,0))="All","Y",IF(INDEX('Control Library'!$I$5:$I$47,MATCH(E184,'Control Library'!$A$5:$A$47,0))="Banks only",IF(COUNTIF('Residual Config'!$L$28:$L$30,INDEX(Entities!$E$5:$E$34,MATCH(B184,Entities!$A$5:$A$34,0)))&gt;0,"N/A","Y"),IF(INDEX(Entities!$G$5:$G$34,MATCH(B184,Entities!$A$5:$A$34,0))="Y","Y","N/A")))</f>
        <v>Y</v>
      </c>
      <c r="J184" s="8" t="s">
        <v>1185</v>
      </c>
      <c r="K184" s="8" t="s">
        <v>1172</v>
      </c>
      <c r="L184" s="7" t="str">
        <f aca="false">IF(OR(J184="",K184=""),"",IF(J184=K184,"Breach","OK"))</f>
        <v>OK</v>
      </c>
      <c r="M184" s="24" t="n">
        <v>2</v>
      </c>
      <c r="N184" s="50" t="n">
        <v>46231</v>
      </c>
      <c r="O184" s="8" t="s">
        <v>546</v>
      </c>
      <c r="P184" s="24" t="n">
        <v>25</v>
      </c>
      <c r="Q184" s="31" t="n">
        <f aca="false">IF(I184="N/A","",IFERROR(INDEX('Residual Config'!$B$35:$B$42,MATCH(H184,'Residual Config'!$A$35:$A$42,0)),""))</f>
        <v>25</v>
      </c>
      <c r="R184" s="24" t="n">
        <v>0</v>
      </c>
      <c r="S184" s="8" t="s">
        <v>516</v>
      </c>
      <c r="T184" s="31" t="n">
        <f aca="false">IF(S184="","",MATCH(S184,'Residual Config'!$L$9:$L$12,0))</f>
        <v>1</v>
      </c>
      <c r="U184" s="8" t="s">
        <v>1188</v>
      </c>
      <c r="V184" s="24" t="n">
        <v>6</v>
      </c>
      <c r="W184" s="33" t="s">
        <v>533</v>
      </c>
      <c r="X184" s="8" t="s">
        <v>760</v>
      </c>
      <c r="Y184" s="51" t="n">
        <f aca="false">IF(N184="","",EDATE(N184,IF(G184="N",INDEX('Residual Config'!$B$31:$D$31,1,MATCH(D184,'Residual Config'!$B$27:$D$27,0)),INDEX('Residual Config'!$B$28:$D$30,IF(T184=1,1,IF(T184=4,3,2)),MATCH(D184,'Residual Config'!$B$27:$D$27,0)))))</f>
        <v>46596</v>
      </c>
      <c r="Z184" s="7" t="str">
        <f aca="false">IF(I184="N/A","N/A",IF(N184="","Not tested",IF(W184="Rejected","Evidence rejected",IF(W184&lt;&gt;"Accepted","Evidence pending",IF(Y184&lt;'Residual Config'!$C$4,"Overdue","Current")))))</f>
        <v>Current</v>
      </c>
      <c r="AA184" s="34" t="n">
        <f aca="false">IF(I184="N/A","",IF(Z184&lt;&gt;"Current",4,IF(MAX(M184,T184)=0,4,MAX(M184,T184))))</f>
        <v>2</v>
      </c>
      <c r="AB184" s="7" t="str">
        <f aca="false">IF(AA184="","N/A",IF(Z184&lt;&gt;"Current","Not tested / overdue",INDEX('Residual Config'!$B$11:$B$14,AA184)))</f>
        <v>Largely effective</v>
      </c>
      <c r="AC184" s="36" t="n">
        <f aca="false">IF(AA184="","",INDEX('Residual Config'!$D$11:$D$14,AA184))</f>
        <v>0.4</v>
      </c>
      <c r="AD184" s="7" t="str">
        <f aca="false">IF(OR(I184="N/A",P184="",Q184=""),"",IF(P184&gt;=Q184,"Yes","No"))</f>
        <v>Yes</v>
      </c>
      <c r="AE184" s="8"/>
    </row>
    <row r="185" customFormat="false" ht="15" hidden="false" customHeight="false" outlineLevel="0" collapsed="false">
      <c r="A185" s="12" t="s">
        <v>1189</v>
      </c>
      <c r="B185" s="26" t="str">
        <f aca="false">Entities!$A$9</f>
        <v>JO-LSG</v>
      </c>
      <c r="C185" s="12" t="str">
        <f aca="false">INDEX(Entities!$B$5:$B$34,MATCH(B185,Entities!$A$5:$A$34,0))</f>
        <v>Leasing subsidiary – Jordan</v>
      </c>
      <c r="D185" s="7" t="str">
        <f aca="false">INDEX(Entities!$F$5:$F$34,MATCH(B185,Entities!$A$5:$A$34,0))</f>
        <v>Tier 3</v>
      </c>
      <c r="E185" s="26" t="str">
        <f aca="false">'Control Library'!$A$13</f>
        <v>CTL-SAN-01</v>
      </c>
      <c r="F185" s="12" t="str">
        <f aca="false">INDEX('Control Library'!$B$5:$B$47,MATCH(E185,'Control Library'!$A$5:$A$47,0))</f>
        <v>Real-time payment and transaction sanctions screening</v>
      </c>
      <c r="G185" s="7" t="str">
        <f aca="false">INDEX('Control Library'!$F$5:$F$47,MATCH(E185,'Control Library'!$A$5:$A$47,0))</f>
        <v>Y</v>
      </c>
      <c r="H185" s="12" t="str">
        <f aca="false">INDEX('Control Library'!$E$5:$E$47,MATCH(E185,'Control Library'!$A$5:$A$47,0))</f>
        <v>Continuous</v>
      </c>
      <c r="I185" s="7" t="str">
        <f aca="false">IF(INDEX('Control Library'!$I$5:$I$47,MATCH(E185,'Control Library'!$A$5:$A$47,0))="All","Y",IF(INDEX('Control Library'!$I$5:$I$47,MATCH(E185,'Control Library'!$A$5:$A$47,0))="Banks only",IF(COUNTIF('Residual Config'!$L$28:$L$30,INDEX(Entities!$E$5:$E$34,MATCH(B185,Entities!$A$5:$A$34,0)))&gt;0,"N/A","Y"),IF(INDEX(Entities!$G$5:$G$34,MATCH(B185,Entities!$A$5:$A$34,0))="Y","Y","N/A")))</f>
        <v>Y</v>
      </c>
      <c r="J185" s="8" t="s">
        <v>1190</v>
      </c>
      <c r="K185" s="8" t="s">
        <v>1172</v>
      </c>
      <c r="L185" s="7" t="str">
        <f aca="false">IF(OR(J185="",K185=""),"",IF(J185=K185,"Breach","OK"))</f>
        <v>OK</v>
      </c>
      <c r="M185" s="24" t="n">
        <v>1</v>
      </c>
      <c r="N185" s="50" t="n">
        <v>46146</v>
      </c>
      <c r="O185" s="8" t="s">
        <v>546</v>
      </c>
      <c r="P185" s="24" t="n">
        <v>1</v>
      </c>
      <c r="Q185" s="31" t="n">
        <f aca="false">IF(I185="N/A","",IFERROR(INDEX('Residual Config'!$B$35:$B$42,MATCH(H185,'Residual Config'!$A$35:$A$42,0)),""))</f>
        <v>1</v>
      </c>
      <c r="R185" s="24" t="n">
        <v>1</v>
      </c>
      <c r="S185" s="8" t="s">
        <v>521</v>
      </c>
      <c r="T185" s="31" t="n">
        <f aca="false">IF(S185="","",MATCH(S185,'Residual Config'!$L$9:$L$12,0))</f>
        <v>2</v>
      </c>
      <c r="U185" s="8" t="s">
        <v>1191</v>
      </c>
      <c r="V185" s="24" t="n">
        <v>1</v>
      </c>
      <c r="W185" s="33" t="s">
        <v>533</v>
      </c>
      <c r="X185" s="8" t="s">
        <v>760</v>
      </c>
      <c r="Y185" s="51" t="n">
        <f aca="false">IF(N185="","",EDATE(N185,IF(G185="N",INDEX('Residual Config'!$B$31:$D$31,1,MATCH(D185,'Residual Config'!$B$27:$D$27,0)),INDEX('Residual Config'!$B$28:$D$30,IF(T185=1,1,IF(T185=4,3,2)),MATCH(D185,'Residual Config'!$B$27:$D$27,0)))))</f>
        <v>46330</v>
      </c>
      <c r="Z185" s="7" t="str">
        <f aca="false">IF(I185="N/A","N/A",IF(N185="","Not tested",IF(W185="Rejected","Evidence rejected",IF(W185&lt;&gt;"Accepted","Evidence pending",IF(Y185&lt;'Residual Config'!$C$4,"Overdue","Current")))))</f>
        <v>Current</v>
      </c>
      <c r="AA185" s="34" t="n">
        <f aca="false">IF(I185="N/A","",IF(Z185&lt;&gt;"Current",4,IF(MAX(M185,T185)=0,4,MAX(M185,T185))))</f>
        <v>2</v>
      </c>
      <c r="AB185" s="7" t="str">
        <f aca="false">IF(AA185="","N/A",IF(Z185&lt;&gt;"Current","Not tested / overdue",INDEX('Residual Config'!$B$11:$B$14,AA185)))</f>
        <v>Largely effective</v>
      </c>
      <c r="AC185" s="36" t="n">
        <f aca="false">IF(AA185="","",INDEX('Residual Config'!$D$11:$D$14,AA185))</f>
        <v>0.4</v>
      </c>
      <c r="AD185" s="7" t="str">
        <f aca="false">IF(OR(I185="N/A",P185="",Q185=""),"",IF(P185&gt;=Q185,"Yes","No"))</f>
        <v>Yes</v>
      </c>
      <c r="AE185" s="8"/>
    </row>
    <row r="186" customFormat="false" ht="15" hidden="false" customHeight="false" outlineLevel="0" collapsed="false">
      <c r="A186" s="12" t="s">
        <v>1192</v>
      </c>
      <c r="B186" s="26" t="str">
        <f aca="false">Entities!$A$9</f>
        <v>JO-LSG</v>
      </c>
      <c r="C186" s="12" t="str">
        <f aca="false">INDEX(Entities!$B$5:$B$34,MATCH(B186,Entities!$A$5:$A$34,0))</f>
        <v>Leasing subsidiary – Jordan</v>
      </c>
      <c r="D186" s="7" t="str">
        <f aca="false">INDEX(Entities!$F$5:$F$34,MATCH(B186,Entities!$A$5:$A$34,0))</f>
        <v>Tier 3</v>
      </c>
      <c r="E186" s="26" t="str">
        <f aca="false">'Control Library'!$A$14</f>
        <v>CTL-SAN-02</v>
      </c>
      <c r="F186" s="12" t="str">
        <f aca="false">INDEX('Control Library'!$B$5:$B$47,MATCH(E186,'Control Library'!$A$5:$A$47,0))</f>
        <v>Customer and counterparty screening at onboarding and on list change</v>
      </c>
      <c r="G186" s="7" t="str">
        <f aca="false">INDEX('Control Library'!$F$5:$F$47,MATCH(E186,'Control Library'!$A$5:$A$47,0))</f>
        <v>Y</v>
      </c>
      <c r="H186" s="12" t="str">
        <f aca="false">INDEX('Control Library'!$E$5:$E$47,MATCH(E186,'Control Library'!$A$5:$A$47,0))</f>
        <v>Continuous</v>
      </c>
      <c r="I186" s="7" t="str">
        <f aca="false">IF(INDEX('Control Library'!$I$5:$I$47,MATCH(E186,'Control Library'!$A$5:$A$47,0))="All","Y",IF(INDEX('Control Library'!$I$5:$I$47,MATCH(E186,'Control Library'!$A$5:$A$47,0))="Banks only",IF(COUNTIF('Residual Config'!$L$28:$L$30,INDEX(Entities!$E$5:$E$34,MATCH(B186,Entities!$A$5:$A$34,0)))&gt;0,"N/A","Y"),IF(INDEX(Entities!$G$5:$G$34,MATCH(B186,Entities!$A$5:$A$34,0))="Y","Y","N/A")))</f>
        <v>Y</v>
      </c>
      <c r="J186" s="8" t="s">
        <v>1190</v>
      </c>
      <c r="K186" s="8" t="s">
        <v>1172</v>
      </c>
      <c r="L186" s="7" t="str">
        <f aca="false">IF(OR(J186="",K186=""),"",IF(J186=K186,"Breach","OK"))</f>
        <v>OK</v>
      </c>
      <c r="M186" s="24" t="n">
        <v>2</v>
      </c>
      <c r="N186" s="50" t="n">
        <v>46284</v>
      </c>
      <c r="O186" s="8" t="s">
        <v>546</v>
      </c>
      <c r="P186" s="24" t="n">
        <v>1</v>
      </c>
      <c r="Q186" s="31" t="n">
        <f aca="false">IF(I186="N/A","",IFERROR(INDEX('Residual Config'!$B$35:$B$42,MATCH(H186,'Residual Config'!$A$35:$A$42,0)),""))</f>
        <v>1</v>
      </c>
      <c r="R186" s="24" t="n">
        <v>1</v>
      </c>
      <c r="S186" s="8" t="s">
        <v>521</v>
      </c>
      <c r="T186" s="31" t="n">
        <f aca="false">IF(S186="","",MATCH(S186,'Residual Config'!$L$9:$L$12,0))</f>
        <v>2</v>
      </c>
      <c r="U186" s="8" t="s">
        <v>1193</v>
      </c>
      <c r="V186" s="24" t="n">
        <v>3</v>
      </c>
      <c r="W186" s="33" t="s">
        <v>533</v>
      </c>
      <c r="X186" s="8" t="s">
        <v>754</v>
      </c>
      <c r="Y186" s="51" t="n">
        <f aca="false">IF(N186="","",EDATE(N186,IF(G186="N",INDEX('Residual Config'!$B$31:$D$31,1,MATCH(D186,'Residual Config'!$B$27:$D$27,0)),INDEX('Residual Config'!$B$28:$D$30,IF(T186=1,1,IF(T186=4,3,2)),MATCH(D186,'Residual Config'!$B$27:$D$27,0)))))</f>
        <v>46465</v>
      </c>
      <c r="Z186" s="7" t="str">
        <f aca="false">IF(I186="N/A","N/A",IF(N186="","Not tested",IF(W186="Rejected","Evidence rejected",IF(W186&lt;&gt;"Accepted","Evidence pending",IF(Y186&lt;'Residual Config'!$C$4,"Overdue","Current")))))</f>
        <v>Current</v>
      </c>
      <c r="AA186" s="34" t="n">
        <f aca="false">IF(I186="N/A","",IF(Z186&lt;&gt;"Current",4,IF(MAX(M186,T186)=0,4,MAX(M186,T186))))</f>
        <v>2</v>
      </c>
      <c r="AB186" s="7" t="str">
        <f aca="false">IF(AA186="","N/A",IF(Z186&lt;&gt;"Current","Not tested / overdue",INDEX('Residual Config'!$B$11:$B$14,AA186)))</f>
        <v>Largely effective</v>
      </c>
      <c r="AC186" s="36" t="n">
        <f aca="false">IF(AA186="","",INDEX('Residual Config'!$D$11:$D$14,AA186))</f>
        <v>0.4</v>
      </c>
      <c r="AD186" s="7" t="str">
        <f aca="false">IF(OR(I186="N/A",P186="",Q186=""),"",IF(P186&gt;=Q186,"Yes","No"))</f>
        <v>Yes</v>
      </c>
      <c r="AE186" s="8"/>
    </row>
    <row r="187" customFormat="false" ht="15" hidden="false" customHeight="false" outlineLevel="0" collapsed="false">
      <c r="A187" s="12" t="s">
        <v>1194</v>
      </c>
      <c r="B187" s="26" t="str">
        <f aca="false">Entities!$A$9</f>
        <v>JO-LSG</v>
      </c>
      <c r="C187" s="12" t="str">
        <f aca="false">INDEX(Entities!$B$5:$B$34,MATCH(B187,Entities!$A$5:$A$34,0))</f>
        <v>Leasing subsidiary – Jordan</v>
      </c>
      <c r="D187" s="7" t="str">
        <f aca="false">INDEX(Entities!$F$5:$F$34,MATCH(B187,Entities!$A$5:$A$34,0))</f>
        <v>Tier 3</v>
      </c>
      <c r="E187" s="26" t="str">
        <f aca="false">'Control Library'!$A$15</f>
        <v>CTL-SAN-03</v>
      </c>
      <c r="F187" s="12" t="str">
        <f aca="false">INDEX('Control Library'!$B$5:$B$47,MATCH(E187,'Control Library'!$A$5:$A$47,0))</f>
        <v>Sanctions list updates applied within 24 hours</v>
      </c>
      <c r="G187" s="7" t="str">
        <f aca="false">INDEX('Control Library'!$F$5:$F$47,MATCH(E187,'Control Library'!$A$5:$A$47,0))</f>
        <v>N</v>
      </c>
      <c r="H187" s="12" t="str">
        <f aca="false">INDEX('Control Library'!$E$5:$E$47,MATCH(E187,'Control Library'!$A$5:$A$47,0))</f>
        <v>Daily</v>
      </c>
      <c r="I187" s="7" t="str">
        <f aca="false">IF(INDEX('Control Library'!$I$5:$I$47,MATCH(E187,'Control Library'!$A$5:$A$47,0))="All","Y",IF(INDEX('Control Library'!$I$5:$I$47,MATCH(E187,'Control Library'!$A$5:$A$47,0))="Banks only",IF(COUNTIF('Residual Config'!$L$28:$L$30,INDEX(Entities!$E$5:$E$34,MATCH(B187,Entities!$A$5:$A$34,0)))&gt;0,"N/A","Y"),IF(INDEX(Entities!$G$5:$G$34,MATCH(B187,Entities!$A$5:$A$34,0))="Y","Y","N/A")))</f>
        <v>Y</v>
      </c>
      <c r="J187" s="8" t="s">
        <v>1195</v>
      </c>
      <c r="K187" s="8" t="s">
        <v>1172</v>
      </c>
      <c r="L187" s="7" t="str">
        <f aca="false">IF(OR(J187="",K187=""),"",IF(J187=K187,"Breach","OK"))</f>
        <v>OK</v>
      </c>
      <c r="M187" s="24" t="n">
        <v>2</v>
      </c>
      <c r="N187" s="50" t="n">
        <v>45994</v>
      </c>
      <c r="O187" s="8" t="s">
        <v>546</v>
      </c>
      <c r="P187" s="24" t="n">
        <v>25</v>
      </c>
      <c r="Q187" s="31" t="n">
        <f aca="false">IF(I187="N/A","",IFERROR(INDEX('Residual Config'!$B$35:$B$42,MATCH(H187,'Residual Config'!$A$35:$A$42,0)),""))</f>
        <v>25</v>
      </c>
      <c r="R187" s="24" t="n">
        <v>0</v>
      </c>
      <c r="S187" s="8" t="s">
        <v>516</v>
      </c>
      <c r="T187" s="31" t="n">
        <f aca="false">IF(S187="","",MATCH(S187,'Residual Config'!$L$9:$L$12,0))</f>
        <v>1</v>
      </c>
      <c r="U187" s="8" t="s">
        <v>1196</v>
      </c>
      <c r="V187" s="24" t="n">
        <v>2</v>
      </c>
      <c r="W187" s="33" t="s">
        <v>533</v>
      </c>
      <c r="X187" s="8" t="s">
        <v>760</v>
      </c>
      <c r="Y187" s="51" t="n">
        <f aca="false">IF(N187="","",EDATE(N187,IF(G187="N",INDEX('Residual Config'!$B$31:$D$31,1,MATCH(D187,'Residual Config'!$B$27:$D$27,0)),INDEX('Residual Config'!$B$28:$D$30,IF(T187=1,1,IF(T187=4,3,2)),MATCH(D187,'Residual Config'!$B$27:$D$27,0)))))</f>
        <v>46724</v>
      </c>
      <c r="Z187" s="7" t="str">
        <f aca="false">IF(I187="N/A","N/A",IF(N187="","Not tested",IF(W187="Rejected","Evidence rejected",IF(W187&lt;&gt;"Accepted","Evidence pending",IF(Y187&lt;'Residual Config'!$C$4,"Overdue","Current")))))</f>
        <v>Current</v>
      </c>
      <c r="AA187" s="34" t="n">
        <f aca="false">IF(I187="N/A","",IF(Z187&lt;&gt;"Current",4,IF(MAX(M187,T187)=0,4,MAX(M187,T187))))</f>
        <v>2</v>
      </c>
      <c r="AB187" s="7" t="str">
        <f aca="false">IF(AA187="","N/A",IF(Z187&lt;&gt;"Current","Not tested / overdue",INDEX('Residual Config'!$B$11:$B$14,AA187)))</f>
        <v>Largely effective</v>
      </c>
      <c r="AC187" s="36" t="n">
        <f aca="false">IF(AA187="","",INDEX('Residual Config'!$D$11:$D$14,AA187))</f>
        <v>0.4</v>
      </c>
      <c r="AD187" s="7" t="str">
        <f aca="false">IF(OR(I187="N/A",P187="",Q187=""),"",IF(P187&gt;=Q187,"Yes","No"))</f>
        <v>Yes</v>
      </c>
      <c r="AE187" s="8"/>
    </row>
    <row r="188" customFormat="false" ht="15" hidden="false" customHeight="false" outlineLevel="0" collapsed="false">
      <c r="A188" s="12" t="s">
        <v>1197</v>
      </c>
      <c r="B188" s="26" t="str">
        <f aca="false">Entities!$A$9</f>
        <v>JO-LSG</v>
      </c>
      <c r="C188" s="12" t="str">
        <f aca="false">INDEX(Entities!$B$5:$B$34,MATCH(B188,Entities!$A$5:$A$34,0))</f>
        <v>Leasing subsidiary – Jordan</v>
      </c>
      <c r="D188" s="7" t="str">
        <f aca="false">INDEX(Entities!$F$5:$F$34,MATCH(B188,Entities!$A$5:$A$34,0))</f>
        <v>Tier 3</v>
      </c>
      <c r="E188" s="26" t="str">
        <f aca="false">'Control Library'!$A$16</f>
        <v>CTL-TF-01</v>
      </c>
      <c r="F188" s="12" t="str">
        <f aca="false">INDEX('Control Library'!$B$5:$B$47,MATCH(E188,'Control Library'!$A$5:$A$47,0))</f>
        <v>NPO and charity enhanced due diligence</v>
      </c>
      <c r="G188" s="7" t="str">
        <f aca="false">INDEX('Control Library'!$F$5:$F$47,MATCH(E188,'Control Library'!$A$5:$A$47,0))</f>
        <v>N</v>
      </c>
      <c r="H188" s="12" t="str">
        <f aca="false">INDEX('Control Library'!$E$5:$E$47,MATCH(E188,'Control Library'!$A$5:$A$47,0))</f>
        <v>Event-driven</v>
      </c>
      <c r="I188" s="7" t="str">
        <f aca="false">IF(INDEX('Control Library'!$I$5:$I$47,MATCH(E188,'Control Library'!$A$5:$A$47,0))="All","Y",IF(INDEX('Control Library'!$I$5:$I$47,MATCH(E188,'Control Library'!$A$5:$A$47,0))="Banks only",IF(COUNTIF('Residual Config'!$L$28:$L$30,INDEX(Entities!$E$5:$E$34,MATCH(B188,Entities!$A$5:$A$34,0)))&gt;0,"N/A","Y"),IF(INDEX(Entities!$G$5:$G$34,MATCH(B188,Entities!$A$5:$A$34,0))="Y","Y","N/A")))</f>
        <v>Y</v>
      </c>
      <c r="J188" s="8" t="s">
        <v>1198</v>
      </c>
      <c r="K188" s="8" t="s">
        <v>1172</v>
      </c>
      <c r="L188" s="7" t="str">
        <f aca="false">IF(OR(J188="",K188=""),"",IF(J188=K188,"Breach","OK"))</f>
        <v>OK</v>
      </c>
      <c r="M188" s="24" t="n">
        <v>1</v>
      </c>
      <c r="N188" s="50" t="n">
        <v>45732</v>
      </c>
      <c r="O188" s="8" t="s">
        <v>545</v>
      </c>
      <c r="P188" s="24" t="n">
        <v>35</v>
      </c>
      <c r="Q188" s="31" t="n">
        <f aca="false">IF(I188="N/A","",IFERROR(INDEX('Residual Config'!$B$35:$B$42,MATCH(H188,'Residual Config'!$A$35:$A$42,0)),""))</f>
        <v>25</v>
      </c>
      <c r="R188" s="24" t="n">
        <v>0</v>
      </c>
      <c r="S188" s="8" t="s">
        <v>516</v>
      </c>
      <c r="T188" s="31" t="n">
        <f aca="false">IF(S188="","",MATCH(S188,'Residual Config'!$L$9:$L$12,0))</f>
        <v>1</v>
      </c>
      <c r="U188" s="8" t="s">
        <v>1199</v>
      </c>
      <c r="V188" s="24" t="n">
        <v>2</v>
      </c>
      <c r="W188" s="33" t="s">
        <v>533</v>
      </c>
      <c r="X188" s="8" t="s">
        <v>760</v>
      </c>
      <c r="Y188" s="51" t="n">
        <f aca="false">IF(N188="","",EDATE(N188,IF(G188="N",INDEX('Residual Config'!$B$31:$D$31,1,MATCH(D188,'Residual Config'!$B$27:$D$27,0)),INDEX('Residual Config'!$B$28:$D$30,IF(T188=1,1,IF(T188=4,3,2)),MATCH(D188,'Residual Config'!$B$27:$D$27,0)))))</f>
        <v>46462</v>
      </c>
      <c r="Z188" s="7" t="str">
        <f aca="false">IF(I188="N/A","N/A",IF(N188="","Not tested",IF(W188="Rejected","Evidence rejected",IF(W188&lt;&gt;"Accepted","Evidence pending",IF(Y188&lt;'Residual Config'!$C$4,"Overdue","Current")))))</f>
        <v>Current</v>
      </c>
      <c r="AA188" s="34" t="n">
        <f aca="false">IF(I188="N/A","",IF(Z188&lt;&gt;"Current",4,IF(MAX(M188,T188)=0,4,MAX(M188,T188))))</f>
        <v>1</v>
      </c>
      <c r="AB188" s="7" t="str">
        <f aca="false">IF(AA188="","N/A",IF(Z188&lt;&gt;"Current","Not tested / overdue",INDEX('Residual Config'!$B$11:$B$14,AA188)))</f>
        <v>Effective</v>
      </c>
      <c r="AC188" s="36" t="n">
        <f aca="false">IF(AA188="","",INDEX('Residual Config'!$D$11:$D$14,AA188))</f>
        <v>0.6</v>
      </c>
      <c r="AD188" s="7" t="str">
        <f aca="false">IF(OR(I188="N/A",P188="",Q188=""),"",IF(P188&gt;=Q188,"Yes","No"))</f>
        <v>Yes</v>
      </c>
      <c r="AE188" s="8"/>
    </row>
    <row r="189" customFormat="false" ht="15" hidden="false" customHeight="false" outlineLevel="0" collapsed="false">
      <c r="A189" s="12" t="s">
        <v>1200</v>
      </c>
      <c r="B189" s="26" t="str">
        <f aca="false">Entities!$A$9</f>
        <v>JO-LSG</v>
      </c>
      <c r="C189" s="12" t="str">
        <f aca="false">INDEX(Entities!$B$5:$B$34,MATCH(B189,Entities!$A$5:$A$34,0))</f>
        <v>Leasing subsidiary – Jordan</v>
      </c>
      <c r="D189" s="7" t="str">
        <f aca="false">INDEX(Entities!$F$5:$F$34,MATCH(B189,Entities!$A$5:$A$34,0))</f>
        <v>Tier 3</v>
      </c>
      <c r="E189" s="26" t="str">
        <f aca="false">'Control Library'!$A$17</f>
        <v>CTL-TBML-01</v>
      </c>
      <c r="F189" s="12" t="str">
        <f aca="false">INDEX('Control Library'!$B$5:$B$47,MATCH(E189,'Control Library'!$A$5:$A$47,0))</f>
        <v>Trade-based ML red-flag review and pricing checks</v>
      </c>
      <c r="G189" s="7" t="str">
        <f aca="false">INDEX('Control Library'!$F$5:$F$47,MATCH(E189,'Control Library'!$A$5:$A$47,0))</f>
        <v>Y</v>
      </c>
      <c r="H189" s="12" t="str">
        <f aca="false">INDEX('Control Library'!$E$5:$E$47,MATCH(E189,'Control Library'!$A$5:$A$47,0))</f>
        <v>Event-driven</v>
      </c>
      <c r="I189" s="7" t="str">
        <f aca="false">IF(INDEX('Control Library'!$I$5:$I$47,MATCH(E189,'Control Library'!$A$5:$A$47,0))="All","Y",IF(INDEX('Control Library'!$I$5:$I$47,MATCH(E189,'Control Library'!$A$5:$A$47,0))="Banks only",IF(COUNTIF('Residual Config'!$L$28:$L$30,INDEX(Entities!$E$5:$E$34,MATCH(B189,Entities!$A$5:$A$34,0)))&gt;0,"N/A","Y"),IF(INDEX(Entities!$G$5:$G$34,MATCH(B189,Entities!$A$5:$A$34,0))="Y","Y","N/A")))</f>
        <v>N/A</v>
      </c>
      <c r="J189" s="8"/>
      <c r="K189" s="8"/>
      <c r="L189" s="7" t="str">
        <f aca="false">IF(OR(J189="",K189=""),"",IF(J189=K189,"Breach","OK"))</f>
        <v/>
      </c>
      <c r="M189" s="24"/>
      <c r="N189" s="50"/>
      <c r="O189" s="8"/>
      <c r="P189" s="24"/>
      <c r="Q189" s="31" t="str">
        <f aca="false">IF(I189="N/A","",IFERROR(INDEX('Residual Config'!$B$35:$B$42,MATCH(H189,'Residual Config'!$A$35:$A$42,0)),""))</f>
        <v/>
      </c>
      <c r="R189" s="24"/>
      <c r="S189" s="8"/>
      <c r="T189" s="31" t="str">
        <f aca="false">IF(S189="","",MATCH(S189,'Residual Config'!$L$9:$L$12,0))</f>
        <v/>
      </c>
      <c r="U189" s="8"/>
      <c r="V189" s="24"/>
      <c r="W189" s="33"/>
      <c r="X189" s="8"/>
      <c r="Y189" s="51" t="str">
        <f aca="false">IF(N189="","",EDATE(N189,IF(G189="N",INDEX('Residual Config'!$B$31:$D$31,1,MATCH(D189,'Residual Config'!$B$27:$D$27,0)),INDEX('Residual Config'!$B$28:$D$30,IF(T189=1,1,IF(T189=4,3,2)),MATCH(D189,'Residual Config'!$B$27:$D$27,0)))))</f>
        <v/>
      </c>
      <c r="Z189" s="7" t="str">
        <f aca="false">IF(I189="N/A","N/A",IF(N189="","Not tested",IF(W189="Rejected","Evidence rejected",IF(W189&lt;&gt;"Accepted","Evidence pending",IF(Y189&lt;'Residual Config'!$C$4,"Overdue","Current")))))</f>
        <v>N/A</v>
      </c>
      <c r="AA189" s="34" t="str">
        <f aca="false">IF(I189="N/A","",IF(Z189&lt;&gt;"Current",4,IF(MAX(M189,T189)=0,4,MAX(M189,T189))))</f>
        <v/>
      </c>
      <c r="AB189" s="7" t="str">
        <f aca="false">IF(AA189="","N/A",IF(Z189&lt;&gt;"Current","Not tested / overdue",INDEX('Residual Config'!$B$11:$B$14,AA189)))</f>
        <v>N/A</v>
      </c>
      <c r="AC189" s="36" t="str">
        <f aca="false">IF(AA189="","",INDEX('Residual Config'!$D$11:$D$14,AA189))</f>
        <v/>
      </c>
      <c r="AD189" s="7" t="str">
        <f aca="false">IF(OR(I189="N/A",P189="",Q189=""),"",IF(P189&gt;=Q189,"Yes","No"))</f>
        <v/>
      </c>
      <c r="AE189" s="8"/>
    </row>
    <row r="190" customFormat="false" ht="15" hidden="false" customHeight="false" outlineLevel="0" collapsed="false">
      <c r="A190" s="12" t="s">
        <v>1201</v>
      </c>
      <c r="B190" s="26" t="str">
        <f aca="false">Entities!$A$9</f>
        <v>JO-LSG</v>
      </c>
      <c r="C190" s="12" t="str">
        <f aca="false">INDEX(Entities!$B$5:$B$34,MATCH(B190,Entities!$A$5:$A$34,0))</f>
        <v>Leasing subsidiary – Jordan</v>
      </c>
      <c r="D190" s="7" t="str">
        <f aca="false">INDEX(Entities!$F$5:$F$34,MATCH(B190,Entities!$A$5:$A$34,0))</f>
        <v>Tier 3</v>
      </c>
      <c r="E190" s="26" t="str">
        <f aca="false">'Control Library'!$A$18</f>
        <v>CTL-PF-01</v>
      </c>
      <c r="F190" s="12" t="str">
        <f aca="false">INDEX('Control Library'!$B$5:$B$47,MATCH(E190,'Control Library'!$A$5:$A$47,0))</f>
        <v>Dual-use goods, vessel and port screening</v>
      </c>
      <c r="G190" s="7" t="str">
        <f aca="false">INDEX('Control Library'!$F$5:$F$47,MATCH(E190,'Control Library'!$A$5:$A$47,0))</f>
        <v>Y</v>
      </c>
      <c r="H190" s="12" t="str">
        <f aca="false">INDEX('Control Library'!$E$5:$E$47,MATCH(E190,'Control Library'!$A$5:$A$47,0))</f>
        <v>Event-driven</v>
      </c>
      <c r="I190" s="7" t="str">
        <f aca="false">IF(INDEX('Control Library'!$I$5:$I$47,MATCH(E190,'Control Library'!$A$5:$A$47,0))="All","Y",IF(INDEX('Control Library'!$I$5:$I$47,MATCH(E190,'Control Library'!$A$5:$A$47,0))="Banks only",IF(COUNTIF('Residual Config'!$L$28:$L$30,INDEX(Entities!$E$5:$E$34,MATCH(B190,Entities!$A$5:$A$34,0)))&gt;0,"N/A","Y"),IF(INDEX(Entities!$G$5:$G$34,MATCH(B190,Entities!$A$5:$A$34,0))="Y","Y","N/A")))</f>
        <v>N/A</v>
      </c>
      <c r="J190" s="8"/>
      <c r="K190" s="8"/>
      <c r="L190" s="7" t="str">
        <f aca="false">IF(OR(J190="",K190=""),"",IF(J190=K190,"Breach","OK"))</f>
        <v/>
      </c>
      <c r="M190" s="24"/>
      <c r="N190" s="50"/>
      <c r="O190" s="8"/>
      <c r="P190" s="24"/>
      <c r="Q190" s="31" t="str">
        <f aca="false">IF(I190="N/A","",IFERROR(INDEX('Residual Config'!$B$35:$B$42,MATCH(H190,'Residual Config'!$A$35:$A$42,0)),""))</f>
        <v/>
      </c>
      <c r="R190" s="24"/>
      <c r="S190" s="8"/>
      <c r="T190" s="31" t="str">
        <f aca="false">IF(S190="","",MATCH(S190,'Residual Config'!$L$9:$L$12,0))</f>
        <v/>
      </c>
      <c r="U190" s="8"/>
      <c r="V190" s="24"/>
      <c r="W190" s="33"/>
      <c r="X190" s="8"/>
      <c r="Y190" s="51" t="str">
        <f aca="false">IF(N190="","",EDATE(N190,IF(G190="N",INDEX('Residual Config'!$B$31:$D$31,1,MATCH(D190,'Residual Config'!$B$27:$D$27,0)),INDEX('Residual Config'!$B$28:$D$30,IF(T190=1,1,IF(T190=4,3,2)),MATCH(D190,'Residual Config'!$B$27:$D$27,0)))))</f>
        <v/>
      </c>
      <c r="Z190" s="7" t="str">
        <f aca="false">IF(I190="N/A","N/A",IF(N190="","Not tested",IF(W190="Rejected","Evidence rejected",IF(W190&lt;&gt;"Accepted","Evidence pending",IF(Y190&lt;'Residual Config'!$C$4,"Overdue","Current")))))</f>
        <v>N/A</v>
      </c>
      <c r="AA190" s="34" t="str">
        <f aca="false">IF(I190="N/A","",IF(Z190&lt;&gt;"Current",4,IF(MAX(M190,T190)=0,4,MAX(M190,T190))))</f>
        <v/>
      </c>
      <c r="AB190" s="7" t="str">
        <f aca="false">IF(AA190="","N/A",IF(Z190&lt;&gt;"Current","Not tested / overdue",INDEX('Residual Config'!$B$11:$B$14,AA190)))</f>
        <v>N/A</v>
      </c>
      <c r="AC190" s="36" t="str">
        <f aca="false">IF(AA190="","",INDEX('Residual Config'!$D$11:$D$14,AA190))</f>
        <v/>
      </c>
      <c r="AD190" s="7" t="str">
        <f aca="false">IF(OR(I190="N/A",P190="",Q190=""),"",IF(P190&gt;=Q190,"Yes","No"))</f>
        <v/>
      </c>
      <c r="AE190" s="8"/>
    </row>
    <row r="191" customFormat="false" ht="15" hidden="false" customHeight="false" outlineLevel="0" collapsed="false">
      <c r="A191" s="12" t="s">
        <v>1202</v>
      </c>
      <c r="B191" s="26" t="str">
        <f aca="false">Entities!$A$9</f>
        <v>JO-LSG</v>
      </c>
      <c r="C191" s="12" t="str">
        <f aca="false">INDEX(Entities!$B$5:$B$34,MATCH(B191,Entities!$A$5:$A$34,0))</f>
        <v>Leasing subsidiary – Jordan</v>
      </c>
      <c r="D191" s="7" t="str">
        <f aca="false">INDEX(Entities!$F$5:$F$34,MATCH(B191,Entities!$A$5:$A$34,0))</f>
        <v>Tier 3</v>
      </c>
      <c r="E191" s="26" t="str">
        <f aca="false">'Control Library'!$A$19</f>
        <v>CTL-CB-01</v>
      </c>
      <c r="F191" s="12" t="str">
        <f aca="false">INDEX('Control Library'!$B$5:$B$47,MATCH(E191,'Control Library'!$A$5:$A$47,0))</f>
        <v>Correspondent bank due diligence (CBDDQ) and nesting detection</v>
      </c>
      <c r="G191" s="7" t="str">
        <f aca="false">INDEX('Control Library'!$F$5:$F$47,MATCH(E191,'Control Library'!$A$5:$A$47,0))</f>
        <v>Y</v>
      </c>
      <c r="H191" s="12" t="str">
        <f aca="false">INDEX('Control Library'!$E$5:$E$47,MATCH(E191,'Control Library'!$A$5:$A$47,0))</f>
        <v>Annual</v>
      </c>
      <c r="I191" s="7" t="str">
        <f aca="false">IF(INDEX('Control Library'!$I$5:$I$47,MATCH(E191,'Control Library'!$A$5:$A$47,0))="All","Y",IF(INDEX('Control Library'!$I$5:$I$47,MATCH(E191,'Control Library'!$A$5:$A$47,0))="Banks only",IF(COUNTIF('Residual Config'!$L$28:$L$30,INDEX(Entities!$E$5:$E$34,MATCH(B191,Entities!$A$5:$A$34,0)))&gt;0,"N/A","Y"),IF(INDEX(Entities!$G$5:$G$34,MATCH(B191,Entities!$A$5:$A$34,0))="Y","Y","N/A")))</f>
        <v>N/A</v>
      </c>
      <c r="J191" s="8"/>
      <c r="K191" s="8"/>
      <c r="L191" s="7" t="str">
        <f aca="false">IF(OR(J191="",K191=""),"",IF(J191=K191,"Breach","OK"))</f>
        <v/>
      </c>
      <c r="M191" s="24"/>
      <c r="N191" s="50"/>
      <c r="O191" s="8"/>
      <c r="P191" s="24"/>
      <c r="Q191" s="31" t="str">
        <f aca="false">IF(I191="N/A","",IFERROR(INDEX('Residual Config'!$B$35:$B$42,MATCH(H191,'Residual Config'!$A$35:$A$42,0)),""))</f>
        <v/>
      </c>
      <c r="R191" s="24"/>
      <c r="S191" s="8"/>
      <c r="T191" s="31" t="str">
        <f aca="false">IF(S191="","",MATCH(S191,'Residual Config'!$L$9:$L$12,0))</f>
        <v/>
      </c>
      <c r="U191" s="8"/>
      <c r="V191" s="24"/>
      <c r="W191" s="33"/>
      <c r="X191" s="8"/>
      <c r="Y191" s="51" t="str">
        <f aca="false">IF(N191="","",EDATE(N191,IF(G191="N",INDEX('Residual Config'!$B$31:$D$31,1,MATCH(D191,'Residual Config'!$B$27:$D$27,0)),INDEX('Residual Config'!$B$28:$D$30,IF(T191=1,1,IF(T191=4,3,2)),MATCH(D191,'Residual Config'!$B$27:$D$27,0)))))</f>
        <v/>
      </c>
      <c r="Z191" s="7" t="str">
        <f aca="false">IF(I191="N/A","N/A",IF(N191="","Not tested",IF(W191="Rejected","Evidence rejected",IF(W191&lt;&gt;"Accepted","Evidence pending",IF(Y191&lt;'Residual Config'!$C$4,"Overdue","Current")))))</f>
        <v>N/A</v>
      </c>
      <c r="AA191" s="34" t="str">
        <f aca="false">IF(I191="N/A","",IF(Z191&lt;&gt;"Current",4,IF(MAX(M191,T191)=0,4,MAX(M191,T191))))</f>
        <v/>
      </c>
      <c r="AB191" s="7" t="str">
        <f aca="false">IF(AA191="","N/A",IF(Z191&lt;&gt;"Current","Not tested / overdue",INDEX('Residual Config'!$B$11:$B$14,AA191)))</f>
        <v>N/A</v>
      </c>
      <c r="AC191" s="36" t="str">
        <f aca="false">IF(AA191="","",INDEX('Residual Config'!$D$11:$D$14,AA191))</f>
        <v/>
      </c>
      <c r="AD191" s="7" t="str">
        <f aca="false">IF(OR(I191="N/A",P191="",Q191=""),"",IF(P191&gt;=Q191,"Yes","No"))</f>
        <v/>
      </c>
      <c r="AE191" s="8"/>
    </row>
    <row r="192" customFormat="false" ht="15" hidden="false" customHeight="false" outlineLevel="0" collapsed="false">
      <c r="A192" s="12" t="s">
        <v>1203</v>
      </c>
      <c r="B192" s="26" t="str">
        <f aca="false">Entities!$A$9</f>
        <v>JO-LSG</v>
      </c>
      <c r="C192" s="12" t="str">
        <f aca="false">INDEX(Entities!$B$5:$B$34,MATCH(B192,Entities!$A$5:$A$34,0))</f>
        <v>Leasing subsidiary – Jordan</v>
      </c>
      <c r="D192" s="7" t="str">
        <f aca="false">INDEX(Entities!$F$5:$F$34,MATCH(B192,Entities!$A$5:$A$34,0))</f>
        <v>Tier 3</v>
      </c>
      <c r="E192" s="26" t="str">
        <f aca="false">'Control Library'!$A$20</f>
        <v>CTL-PAY-01</v>
      </c>
      <c r="F192" s="12" t="str">
        <f aca="false">INDEX('Control Library'!$B$5:$B$47,MATCH(E192,'Control Library'!$A$5:$A$47,0))</f>
        <v>Payment transparency checks (FATF R.16)</v>
      </c>
      <c r="G192" s="7" t="str">
        <f aca="false">INDEX('Control Library'!$F$5:$F$47,MATCH(E192,'Control Library'!$A$5:$A$47,0))</f>
        <v>N</v>
      </c>
      <c r="H192" s="12" t="str">
        <f aca="false">INDEX('Control Library'!$E$5:$E$47,MATCH(E192,'Control Library'!$A$5:$A$47,0))</f>
        <v>Continuous</v>
      </c>
      <c r="I192" s="7" t="str">
        <f aca="false">IF(INDEX('Control Library'!$I$5:$I$47,MATCH(E192,'Control Library'!$A$5:$A$47,0))="All","Y",IF(INDEX('Control Library'!$I$5:$I$47,MATCH(E192,'Control Library'!$A$5:$A$47,0))="Banks only",IF(COUNTIF('Residual Config'!$L$28:$L$30,INDEX(Entities!$E$5:$E$34,MATCH(B192,Entities!$A$5:$A$34,0)))&gt;0,"N/A","Y"),IF(INDEX(Entities!$G$5:$G$34,MATCH(B192,Entities!$A$5:$A$34,0))="Y","Y","N/A")))</f>
        <v>N/A</v>
      </c>
      <c r="J192" s="8"/>
      <c r="K192" s="8"/>
      <c r="L192" s="7" t="str">
        <f aca="false">IF(OR(J192="",K192=""),"",IF(J192=K192,"Breach","OK"))</f>
        <v/>
      </c>
      <c r="M192" s="24"/>
      <c r="N192" s="50"/>
      <c r="O192" s="8"/>
      <c r="P192" s="24"/>
      <c r="Q192" s="31" t="str">
        <f aca="false">IF(I192="N/A","",IFERROR(INDEX('Residual Config'!$B$35:$B$42,MATCH(H192,'Residual Config'!$A$35:$A$42,0)),""))</f>
        <v/>
      </c>
      <c r="R192" s="24"/>
      <c r="S192" s="8"/>
      <c r="T192" s="31" t="str">
        <f aca="false">IF(S192="","",MATCH(S192,'Residual Config'!$L$9:$L$12,0))</f>
        <v/>
      </c>
      <c r="U192" s="8"/>
      <c r="V192" s="24"/>
      <c r="W192" s="33"/>
      <c r="X192" s="8"/>
      <c r="Y192" s="51" t="str">
        <f aca="false">IF(N192="","",EDATE(N192,IF(G192="N",INDEX('Residual Config'!$B$31:$D$31,1,MATCH(D192,'Residual Config'!$B$27:$D$27,0)),INDEX('Residual Config'!$B$28:$D$30,IF(T192=1,1,IF(T192=4,3,2)),MATCH(D192,'Residual Config'!$B$27:$D$27,0)))))</f>
        <v/>
      </c>
      <c r="Z192" s="7" t="str">
        <f aca="false">IF(I192="N/A","N/A",IF(N192="","Not tested",IF(W192="Rejected","Evidence rejected",IF(W192&lt;&gt;"Accepted","Evidence pending",IF(Y192&lt;'Residual Config'!$C$4,"Overdue","Current")))))</f>
        <v>N/A</v>
      </c>
      <c r="AA192" s="34" t="str">
        <f aca="false">IF(I192="N/A","",IF(Z192&lt;&gt;"Current",4,IF(MAX(M192,T192)=0,4,MAX(M192,T192))))</f>
        <v/>
      </c>
      <c r="AB192" s="7" t="str">
        <f aca="false">IF(AA192="","N/A",IF(Z192&lt;&gt;"Current","Not tested / overdue",INDEX('Residual Config'!$B$11:$B$14,AA192)))</f>
        <v>N/A</v>
      </c>
      <c r="AC192" s="36" t="str">
        <f aca="false">IF(AA192="","",INDEX('Residual Config'!$D$11:$D$14,AA192))</f>
        <v/>
      </c>
      <c r="AD192" s="7" t="str">
        <f aca="false">IF(OR(I192="N/A",P192="",Q192=""),"",IF(P192&gt;=Q192,"Yes","No"))</f>
        <v/>
      </c>
      <c r="AE192" s="8"/>
    </row>
    <row r="193" customFormat="false" ht="15" hidden="false" customHeight="false" outlineLevel="0" collapsed="false">
      <c r="A193" s="12" t="s">
        <v>1204</v>
      </c>
      <c r="B193" s="26" t="str">
        <f aca="false">Entities!$A$9</f>
        <v>JO-LSG</v>
      </c>
      <c r="C193" s="12" t="str">
        <f aca="false">INDEX(Entities!$B$5:$B$34,MATCH(B193,Entities!$A$5:$A$34,0))</f>
        <v>Leasing subsidiary – Jordan</v>
      </c>
      <c r="D193" s="7" t="str">
        <f aca="false">INDEX(Entities!$F$5:$F$34,MATCH(B193,Entities!$A$5:$A$34,0))</f>
        <v>Tier 3</v>
      </c>
      <c r="E193" s="26" t="str">
        <f aca="false">'Control Library'!$A$21</f>
        <v>CTL-ABC-01</v>
      </c>
      <c r="F193" s="12" t="str">
        <f aca="false">INDEX('Control Library'!$B$5:$B$47,MATCH(E193,'Control Library'!$A$5:$A$47,0))</f>
        <v>Third-party and intermediary anti-bribery due diligence</v>
      </c>
      <c r="G193" s="7" t="str">
        <f aca="false">INDEX('Control Library'!$F$5:$F$47,MATCH(E193,'Control Library'!$A$5:$A$47,0))</f>
        <v>Y</v>
      </c>
      <c r="H193" s="12" t="str">
        <f aca="false">INDEX('Control Library'!$E$5:$E$47,MATCH(E193,'Control Library'!$A$5:$A$47,0))</f>
        <v>Event-driven</v>
      </c>
      <c r="I193" s="7" t="str">
        <f aca="false">IF(INDEX('Control Library'!$I$5:$I$47,MATCH(E193,'Control Library'!$A$5:$A$47,0))="All","Y",IF(INDEX('Control Library'!$I$5:$I$47,MATCH(E193,'Control Library'!$A$5:$A$47,0))="Banks only",IF(COUNTIF('Residual Config'!$L$28:$L$30,INDEX(Entities!$E$5:$E$34,MATCH(B193,Entities!$A$5:$A$34,0)))&gt;0,"N/A","Y"),IF(INDEX(Entities!$G$5:$G$34,MATCH(B193,Entities!$A$5:$A$34,0))="Y","Y","N/A")))</f>
        <v>Y</v>
      </c>
      <c r="J193" s="8" t="s">
        <v>1205</v>
      </c>
      <c r="K193" s="8" t="s">
        <v>1172</v>
      </c>
      <c r="L193" s="7" t="str">
        <f aca="false">IF(OR(J193="",K193=""),"",IF(J193=K193,"Breach","OK"))</f>
        <v>OK</v>
      </c>
      <c r="M193" s="24" t="n">
        <v>2</v>
      </c>
      <c r="N193" s="50" t="n">
        <v>46071</v>
      </c>
      <c r="O193" s="8" t="s">
        <v>545</v>
      </c>
      <c r="P193" s="24" t="n">
        <v>35</v>
      </c>
      <c r="Q193" s="31" t="n">
        <f aca="false">IF(I193="N/A","",IFERROR(INDEX('Residual Config'!$B$35:$B$42,MATCH(H193,'Residual Config'!$A$35:$A$42,0)),""))</f>
        <v>25</v>
      </c>
      <c r="R193" s="24" t="n">
        <v>0</v>
      </c>
      <c r="S193" s="8" t="s">
        <v>516</v>
      </c>
      <c r="T193" s="31" t="n">
        <f aca="false">IF(S193="","",MATCH(S193,'Residual Config'!$L$9:$L$12,0))</f>
        <v>1</v>
      </c>
      <c r="U193" s="8" t="s">
        <v>1206</v>
      </c>
      <c r="V193" s="24" t="n">
        <v>1</v>
      </c>
      <c r="W193" s="33" t="s">
        <v>533</v>
      </c>
      <c r="X193" s="8" t="s">
        <v>754</v>
      </c>
      <c r="Y193" s="51" t="n">
        <f aca="false">IF(N193="","",EDATE(N193,IF(G193="N",INDEX('Residual Config'!$B$31:$D$31,1,MATCH(D193,'Residual Config'!$B$27:$D$27,0)),INDEX('Residual Config'!$B$28:$D$30,IF(T193=1,1,IF(T193=4,3,2)),MATCH(D193,'Residual Config'!$B$27:$D$27,0)))))</f>
        <v>46436</v>
      </c>
      <c r="Z193" s="7" t="str">
        <f aca="false">IF(I193="N/A","N/A",IF(N193="","Not tested",IF(W193="Rejected","Evidence rejected",IF(W193&lt;&gt;"Accepted","Evidence pending",IF(Y193&lt;'Residual Config'!$C$4,"Overdue","Current")))))</f>
        <v>Current</v>
      </c>
      <c r="AA193" s="34" t="n">
        <f aca="false">IF(I193="N/A","",IF(Z193&lt;&gt;"Current",4,IF(MAX(M193,T193)=0,4,MAX(M193,T193))))</f>
        <v>2</v>
      </c>
      <c r="AB193" s="7" t="str">
        <f aca="false">IF(AA193="","N/A",IF(Z193&lt;&gt;"Current","Not tested / overdue",INDEX('Residual Config'!$B$11:$B$14,AA193)))</f>
        <v>Largely effective</v>
      </c>
      <c r="AC193" s="36" t="n">
        <f aca="false">IF(AA193="","",INDEX('Residual Config'!$D$11:$D$14,AA193))</f>
        <v>0.4</v>
      </c>
      <c r="AD193" s="7" t="str">
        <f aca="false">IF(OR(I193="N/A",P193="",Q193=""),"",IF(P193&gt;=Q193,"Yes","No"))</f>
        <v>Yes</v>
      </c>
      <c r="AE193" s="8"/>
    </row>
    <row r="194" customFormat="false" ht="15" hidden="false" customHeight="false" outlineLevel="0" collapsed="false">
      <c r="A194" s="12" t="s">
        <v>1207</v>
      </c>
      <c r="B194" s="26" t="str">
        <f aca="false">Entities!$A$9</f>
        <v>JO-LSG</v>
      </c>
      <c r="C194" s="12" t="str">
        <f aca="false">INDEX(Entities!$B$5:$B$34,MATCH(B194,Entities!$A$5:$A$34,0))</f>
        <v>Leasing subsidiary – Jordan</v>
      </c>
      <c r="D194" s="7" t="str">
        <f aca="false">INDEX(Entities!$F$5:$F$34,MATCH(B194,Entities!$A$5:$A$34,0))</f>
        <v>Tier 3</v>
      </c>
      <c r="E194" s="26" t="str">
        <f aca="false">'Control Library'!$A$22</f>
        <v>CTL-ABC-02</v>
      </c>
      <c r="F194" s="12" t="str">
        <f aca="false">INDEX('Control Library'!$B$5:$B$47,MATCH(E194,'Control Library'!$A$5:$A$47,0))</f>
        <v>Gifts, hospitality and donations register with pre-approval</v>
      </c>
      <c r="G194" s="7" t="str">
        <f aca="false">INDEX('Control Library'!$F$5:$F$47,MATCH(E194,'Control Library'!$A$5:$A$47,0))</f>
        <v>N</v>
      </c>
      <c r="H194" s="12" t="str">
        <f aca="false">INDEX('Control Library'!$E$5:$E$47,MATCH(E194,'Control Library'!$A$5:$A$47,0))</f>
        <v>Event-driven</v>
      </c>
      <c r="I194" s="7" t="str">
        <f aca="false">IF(INDEX('Control Library'!$I$5:$I$47,MATCH(E194,'Control Library'!$A$5:$A$47,0))="All","Y",IF(INDEX('Control Library'!$I$5:$I$47,MATCH(E194,'Control Library'!$A$5:$A$47,0))="Banks only",IF(COUNTIF('Residual Config'!$L$28:$L$30,INDEX(Entities!$E$5:$E$34,MATCH(B194,Entities!$A$5:$A$34,0)))&gt;0,"N/A","Y"),IF(INDEX(Entities!$G$5:$G$34,MATCH(B194,Entities!$A$5:$A$34,0))="Y","Y","N/A")))</f>
        <v>Y</v>
      </c>
      <c r="J194" s="8" t="s">
        <v>1175</v>
      </c>
      <c r="K194" s="8" t="s">
        <v>1172</v>
      </c>
      <c r="L194" s="7" t="str">
        <f aca="false">IF(OR(J194="",K194=""),"",IF(J194=K194,"Breach","OK"))</f>
        <v>OK</v>
      </c>
      <c r="M194" s="24" t="n">
        <v>2</v>
      </c>
      <c r="N194" s="50" t="n">
        <v>45751</v>
      </c>
      <c r="O194" s="8" t="s">
        <v>545</v>
      </c>
      <c r="P194" s="24" t="n">
        <v>25</v>
      </c>
      <c r="Q194" s="31" t="n">
        <f aca="false">IF(I194="N/A","",IFERROR(INDEX('Residual Config'!$B$35:$B$42,MATCH(H194,'Residual Config'!$A$35:$A$42,0)),""))</f>
        <v>25</v>
      </c>
      <c r="R194" s="24" t="n">
        <v>1</v>
      </c>
      <c r="S194" s="8" t="s">
        <v>521</v>
      </c>
      <c r="T194" s="31" t="n">
        <f aca="false">IF(S194="","",MATCH(S194,'Residual Config'!$L$9:$L$12,0))</f>
        <v>2</v>
      </c>
      <c r="U194" s="8" t="s">
        <v>1208</v>
      </c>
      <c r="V194" s="24" t="n">
        <v>3</v>
      </c>
      <c r="W194" s="33" t="s">
        <v>533</v>
      </c>
      <c r="X194" s="8" t="s">
        <v>760</v>
      </c>
      <c r="Y194" s="51" t="n">
        <f aca="false">IF(N194="","",EDATE(N194,IF(G194="N",INDEX('Residual Config'!$B$31:$D$31,1,MATCH(D194,'Residual Config'!$B$27:$D$27,0)),INDEX('Residual Config'!$B$28:$D$30,IF(T194=1,1,IF(T194=4,3,2)),MATCH(D194,'Residual Config'!$B$27:$D$27,0)))))</f>
        <v>46481</v>
      </c>
      <c r="Z194" s="7" t="str">
        <f aca="false">IF(I194="N/A","N/A",IF(N194="","Not tested",IF(W194="Rejected","Evidence rejected",IF(W194&lt;&gt;"Accepted","Evidence pending",IF(Y194&lt;'Residual Config'!$C$4,"Overdue","Current")))))</f>
        <v>Current</v>
      </c>
      <c r="AA194" s="34" t="n">
        <f aca="false">IF(I194="N/A","",IF(Z194&lt;&gt;"Current",4,IF(MAX(M194,T194)=0,4,MAX(M194,T194))))</f>
        <v>2</v>
      </c>
      <c r="AB194" s="7" t="str">
        <f aca="false">IF(AA194="","N/A",IF(Z194&lt;&gt;"Current","Not tested / overdue",INDEX('Residual Config'!$B$11:$B$14,AA194)))</f>
        <v>Largely effective</v>
      </c>
      <c r="AC194" s="36" t="n">
        <f aca="false">IF(AA194="","",INDEX('Residual Config'!$D$11:$D$14,AA194))</f>
        <v>0.4</v>
      </c>
      <c r="AD194" s="7" t="str">
        <f aca="false">IF(OR(I194="N/A",P194="",Q194=""),"",IF(P194&gt;=Q194,"Yes","No"))</f>
        <v>Yes</v>
      </c>
      <c r="AE194" s="8"/>
    </row>
    <row r="195" customFormat="false" ht="15" hidden="false" customHeight="false" outlineLevel="0" collapsed="false">
      <c r="A195" s="12" t="s">
        <v>1209</v>
      </c>
      <c r="B195" s="26" t="str">
        <f aca="false">Entities!$A$9</f>
        <v>JO-LSG</v>
      </c>
      <c r="C195" s="12" t="str">
        <f aca="false">INDEX(Entities!$B$5:$B$34,MATCH(B195,Entities!$A$5:$A$34,0))</f>
        <v>Leasing subsidiary – Jordan</v>
      </c>
      <c r="D195" s="7" t="str">
        <f aca="false">INDEX(Entities!$F$5:$F$34,MATCH(B195,Entities!$A$5:$A$34,0))</f>
        <v>Tier 3</v>
      </c>
      <c r="E195" s="26" t="str">
        <f aca="false">'Control Library'!$A$23</f>
        <v>CTL-FRD-01</v>
      </c>
      <c r="F195" s="12" t="str">
        <f aca="false">INDEX('Control Library'!$B$5:$B$47,MATCH(E195,'Control Library'!$A$5:$A$47,0))</f>
        <v>Real-time fraud monitoring for cards and digital channels</v>
      </c>
      <c r="G195" s="7" t="str">
        <f aca="false">INDEX('Control Library'!$F$5:$F$47,MATCH(E195,'Control Library'!$A$5:$A$47,0))</f>
        <v>Y</v>
      </c>
      <c r="H195" s="12" t="str">
        <f aca="false">INDEX('Control Library'!$E$5:$E$47,MATCH(E195,'Control Library'!$A$5:$A$47,0))</f>
        <v>Continuous</v>
      </c>
      <c r="I195" s="7" t="str">
        <f aca="false">IF(INDEX('Control Library'!$I$5:$I$47,MATCH(E195,'Control Library'!$A$5:$A$47,0))="All","Y",IF(INDEX('Control Library'!$I$5:$I$47,MATCH(E195,'Control Library'!$A$5:$A$47,0))="Banks only",IF(COUNTIF('Residual Config'!$L$28:$L$30,INDEX(Entities!$E$5:$E$34,MATCH(B195,Entities!$A$5:$A$34,0)))&gt;0,"N/A","Y"),IF(INDEX(Entities!$G$5:$G$34,MATCH(B195,Entities!$A$5:$A$34,0))="Y","Y","N/A")))</f>
        <v>N/A</v>
      </c>
      <c r="J195" s="8"/>
      <c r="K195" s="8"/>
      <c r="L195" s="7" t="str">
        <f aca="false">IF(OR(J195="",K195=""),"",IF(J195=K195,"Breach","OK"))</f>
        <v/>
      </c>
      <c r="M195" s="24"/>
      <c r="N195" s="50"/>
      <c r="O195" s="8"/>
      <c r="P195" s="24"/>
      <c r="Q195" s="31" t="str">
        <f aca="false">IF(I195="N/A","",IFERROR(INDEX('Residual Config'!$B$35:$B$42,MATCH(H195,'Residual Config'!$A$35:$A$42,0)),""))</f>
        <v/>
      </c>
      <c r="R195" s="24"/>
      <c r="S195" s="8"/>
      <c r="T195" s="31" t="str">
        <f aca="false">IF(S195="","",MATCH(S195,'Residual Config'!$L$9:$L$12,0))</f>
        <v/>
      </c>
      <c r="U195" s="8"/>
      <c r="V195" s="24"/>
      <c r="W195" s="33"/>
      <c r="X195" s="8"/>
      <c r="Y195" s="51" t="str">
        <f aca="false">IF(N195="","",EDATE(N195,IF(G195="N",INDEX('Residual Config'!$B$31:$D$31,1,MATCH(D195,'Residual Config'!$B$27:$D$27,0)),INDEX('Residual Config'!$B$28:$D$30,IF(T195=1,1,IF(T195=4,3,2)),MATCH(D195,'Residual Config'!$B$27:$D$27,0)))))</f>
        <v/>
      </c>
      <c r="Z195" s="7" t="str">
        <f aca="false">IF(I195="N/A","N/A",IF(N195="","Not tested",IF(W195="Rejected","Evidence rejected",IF(W195&lt;&gt;"Accepted","Evidence pending",IF(Y195&lt;'Residual Config'!$C$4,"Overdue","Current")))))</f>
        <v>N/A</v>
      </c>
      <c r="AA195" s="34" t="str">
        <f aca="false">IF(I195="N/A","",IF(Z195&lt;&gt;"Current",4,IF(MAX(M195,T195)=0,4,MAX(M195,T195))))</f>
        <v/>
      </c>
      <c r="AB195" s="7" t="str">
        <f aca="false">IF(AA195="","N/A",IF(Z195&lt;&gt;"Current","Not tested / overdue",INDEX('Residual Config'!$B$11:$B$14,AA195)))</f>
        <v>N/A</v>
      </c>
      <c r="AC195" s="36" t="str">
        <f aca="false">IF(AA195="","",INDEX('Residual Config'!$D$11:$D$14,AA195))</f>
        <v/>
      </c>
      <c r="AD195" s="7" t="str">
        <f aca="false">IF(OR(I195="N/A",P195="",Q195=""),"",IF(P195&gt;=Q195,"Yes","No"))</f>
        <v/>
      </c>
      <c r="AE195" s="8"/>
    </row>
    <row r="196" customFormat="false" ht="15" hidden="false" customHeight="false" outlineLevel="0" collapsed="false">
      <c r="A196" s="12" t="s">
        <v>1210</v>
      </c>
      <c r="B196" s="26" t="str">
        <f aca="false">Entities!$A$9</f>
        <v>JO-LSG</v>
      </c>
      <c r="C196" s="12" t="str">
        <f aca="false">INDEX(Entities!$B$5:$B$34,MATCH(B196,Entities!$A$5:$A$34,0))</f>
        <v>Leasing subsidiary – Jordan</v>
      </c>
      <c r="D196" s="7" t="str">
        <f aca="false">INDEX(Entities!$F$5:$F$34,MATCH(B196,Entities!$A$5:$A$34,0))</f>
        <v>Tier 3</v>
      </c>
      <c r="E196" s="26" t="str">
        <f aca="false">'Control Library'!$A$24</f>
        <v>CTL-FRD-02</v>
      </c>
      <c r="F196" s="12" t="str">
        <f aca="false">INDEX('Control Library'!$B$5:$B$47,MATCH(E196,'Control Library'!$A$5:$A$47,0))</f>
        <v>Maker-checker and dual control on payments and static data</v>
      </c>
      <c r="G196" s="7" t="str">
        <f aca="false">INDEX('Control Library'!$F$5:$F$47,MATCH(E196,'Control Library'!$A$5:$A$47,0))</f>
        <v>Y</v>
      </c>
      <c r="H196" s="12" t="str">
        <f aca="false">INDEX('Control Library'!$E$5:$E$47,MATCH(E196,'Control Library'!$A$5:$A$47,0))</f>
        <v>Daily</v>
      </c>
      <c r="I196" s="7" t="str">
        <f aca="false">IF(INDEX('Control Library'!$I$5:$I$47,MATCH(E196,'Control Library'!$A$5:$A$47,0))="All","Y",IF(INDEX('Control Library'!$I$5:$I$47,MATCH(E196,'Control Library'!$A$5:$A$47,0))="Banks only",IF(COUNTIF('Residual Config'!$L$28:$L$30,INDEX(Entities!$E$5:$E$34,MATCH(B196,Entities!$A$5:$A$34,0)))&gt;0,"N/A","Y"),IF(INDEX(Entities!$G$5:$G$34,MATCH(B196,Entities!$A$5:$A$34,0))="Y","Y","N/A")))</f>
        <v>Y</v>
      </c>
      <c r="J196" s="8" t="s">
        <v>1171</v>
      </c>
      <c r="K196" s="8" t="s">
        <v>1172</v>
      </c>
      <c r="L196" s="7" t="str">
        <f aca="false">IF(OR(J196="",K196=""),"",IF(J196=K196,"Breach","OK"))</f>
        <v>OK</v>
      </c>
      <c r="M196" s="24" t="n">
        <v>1</v>
      </c>
      <c r="N196" s="50" t="n">
        <v>46214</v>
      </c>
      <c r="O196" s="8" t="s">
        <v>545</v>
      </c>
      <c r="P196" s="24" t="n">
        <v>25</v>
      </c>
      <c r="Q196" s="31" t="n">
        <f aca="false">IF(I196="N/A","",IFERROR(INDEX('Residual Config'!$B$35:$B$42,MATCH(H196,'Residual Config'!$A$35:$A$42,0)),""))</f>
        <v>25</v>
      </c>
      <c r="R196" s="24" t="n">
        <v>0</v>
      </c>
      <c r="S196" s="8" t="s">
        <v>516</v>
      </c>
      <c r="T196" s="31" t="n">
        <f aca="false">IF(S196="","",MATCH(S196,'Residual Config'!$L$9:$L$12,0))</f>
        <v>1</v>
      </c>
      <c r="U196" s="8" t="s">
        <v>1211</v>
      </c>
      <c r="V196" s="24" t="n">
        <v>6</v>
      </c>
      <c r="W196" s="33" t="s">
        <v>533</v>
      </c>
      <c r="X196" s="8" t="s">
        <v>754</v>
      </c>
      <c r="Y196" s="51" t="n">
        <f aca="false">IF(N196="","",EDATE(N196,IF(G196="N",INDEX('Residual Config'!$B$31:$D$31,1,MATCH(D196,'Residual Config'!$B$27:$D$27,0)),INDEX('Residual Config'!$B$28:$D$30,IF(T196=1,1,IF(T196=4,3,2)),MATCH(D196,'Residual Config'!$B$27:$D$27,0)))))</f>
        <v>46579</v>
      </c>
      <c r="Z196" s="7" t="str">
        <f aca="false">IF(I196="N/A","N/A",IF(N196="","Not tested",IF(W196="Rejected","Evidence rejected",IF(W196&lt;&gt;"Accepted","Evidence pending",IF(Y196&lt;'Residual Config'!$C$4,"Overdue","Current")))))</f>
        <v>Current</v>
      </c>
      <c r="AA196" s="34" t="n">
        <f aca="false">IF(I196="N/A","",IF(Z196&lt;&gt;"Current",4,IF(MAX(M196,T196)=0,4,MAX(M196,T196))))</f>
        <v>1</v>
      </c>
      <c r="AB196" s="7" t="str">
        <f aca="false">IF(AA196="","N/A",IF(Z196&lt;&gt;"Current","Not tested / overdue",INDEX('Residual Config'!$B$11:$B$14,AA196)))</f>
        <v>Effective</v>
      </c>
      <c r="AC196" s="36" t="n">
        <f aca="false">IF(AA196="","",INDEX('Residual Config'!$D$11:$D$14,AA196))</f>
        <v>0.6</v>
      </c>
      <c r="AD196" s="7" t="str">
        <f aca="false">IF(OR(I196="N/A",P196="",Q196=""),"",IF(P196&gt;=Q196,"Yes","No"))</f>
        <v>Yes</v>
      </c>
      <c r="AE196" s="8"/>
    </row>
    <row r="197" customFormat="false" ht="15" hidden="false" customHeight="false" outlineLevel="0" collapsed="false">
      <c r="A197" s="12" t="s">
        <v>1212</v>
      </c>
      <c r="B197" s="26" t="str">
        <f aca="false">Entities!$A$9</f>
        <v>JO-LSG</v>
      </c>
      <c r="C197" s="12" t="str">
        <f aca="false">INDEX(Entities!$B$5:$B$34,MATCH(B197,Entities!$A$5:$A$34,0))</f>
        <v>Leasing subsidiary – Jordan</v>
      </c>
      <c r="D197" s="7" t="str">
        <f aca="false">INDEX(Entities!$F$5:$F$34,MATCH(B197,Entities!$A$5:$A$34,0))</f>
        <v>Tier 3</v>
      </c>
      <c r="E197" s="26" t="str">
        <f aca="false">'Control Library'!$A$25</f>
        <v>CTL-FRD-03</v>
      </c>
      <c r="F197" s="12" t="str">
        <f aca="false">INDEX('Control Library'!$B$5:$B$47,MATCH(E197,'Control Library'!$A$5:$A$47,0))</f>
        <v>Mandatory consecutive leave and rotation for sensitive roles</v>
      </c>
      <c r="G197" s="7" t="str">
        <f aca="false">INDEX('Control Library'!$F$5:$F$47,MATCH(E197,'Control Library'!$A$5:$A$47,0))</f>
        <v>N</v>
      </c>
      <c r="H197" s="12" t="str">
        <f aca="false">INDEX('Control Library'!$E$5:$E$47,MATCH(E197,'Control Library'!$A$5:$A$47,0))</f>
        <v>Annual</v>
      </c>
      <c r="I197" s="7" t="str">
        <f aca="false">IF(INDEX('Control Library'!$I$5:$I$47,MATCH(E197,'Control Library'!$A$5:$A$47,0))="All","Y",IF(INDEX('Control Library'!$I$5:$I$47,MATCH(E197,'Control Library'!$A$5:$A$47,0))="Banks only",IF(COUNTIF('Residual Config'!$L$28:$L$30,INDEX(Entities!$E$5:$E$34,MATCH(B197,Entities!$A$5:$A$34,0)))&gt;0,"N/A","Y"),IF(INDEX(Entities!$G$5:$G$34,MATCH(B197,Entities!$A$5:$A$34,0))="Y","Y","N/A")))</f>
        <v>Y</v>
      </c>
      <c r="J197" s="8" t="s">
        <v>1213</v>
      </c>
      <c r="K197" s="8" t="s">
        <v>1172</v>
      </c>
      <c r="L197" s="7" t="str">
        <f aca="false">IF(OR(J197="",K197=""),"",IF(J197=K197,"Breach","OK"))</f>
        <v>OK</v>
      </c>
      <c r="M197" s="24" t="n">
        <v>1</v>
      </c>
      <c r="N197" s="50" t="n">
        <v>45619</v>
      </c>
      <c r="O197" s="8" t="s">
        <v>546</v>
      </c>
      <c r="P197" s="24" t="n">
        <v>1</v>
      </c>
      <c r="Q197" s="31" t="n">
        <f aca="false">IF(I197="N/A","",IFERROR(INDEX('Residual Config'!$B$35:$B$42,MATCH(H197,'Residual Config'!$A$35:$A$42,0)),""))</f>
        <v>1</v>
      </c>
      <c r="R197" s="24" t="n">
        <v>1</v>
      </c>
      <c r="S197" s="8" t="s">
        <v>521</v>
      </c>
      <c r="T197" s="31" t="n">
        <f aca="false">IF(S197="","",MATCH(S197,'Residual Config'!$L$9:$L$12,0))</f>
        <v>2</v>
      </c>
      <c r="U197" s="8" t="s">
        <v>1214</v>
      </c>
      <c r="V197" s="24" t="n">
        <v>6</v>
      </c>
      <c r="W197" s="33" t="s">
        <v>533</v>
      </c>
      <c r="X197" s="8" t="s">
        <v>754</v>
      </c>
      <c r="Y197" s="51" t="n">
        <f aca="false">IF(N197="","",EDATE(N197,IF(G197="N",INDEX('Residual Config'!$B$31:$D$31,1,MATCH(D197,'Residual Config'!$B$27:$D$27,0)),INDEX('Residual Config'!$B$28:$D$30,IF(T197=1,1,IF(T197=4,3,2)),MATCH(D197,'Residual Config'!$B$27:$D$27,0)))))</f>
        <v>46349</v>
      </c>
      <c r="Z197" s="7" t="str">
        <f aca="false">IF(I197="N/A","N/A",IF(N197="","Not tested",IF(W197="Rejected","Evidence rejected",IF(W197&lt;&gt;"Accepted","Evidence pending",IF(Y197&lt;'Residual Config'!$C$4,"Overdue","Current")))))</f>
        <v>Current</v>
      </c>
      <c r="AA197" s="34" t="n">
        <f aca="false">IF(I197="N/A","",IF(Z197&lt;&gt;"Current",4,IF(MAX(M197,T197)=0,4,MAX(M197,T197))))</f>
        <v>2</v>
      </c>
      <c r="AB197" s="7" t="str">
        <f aca="false">IF(AA197="","N/A",IF(Z197&lt;&gt;"Current","Not tested / overdue",INDEX('Residual Config'!$B$11:$B$14,AA197)))</f>
        <v>Largely effective</v>
      </c>
      <c r="AC197" s="36" t="n">
        <f aca="false">IF(AA197="","",INDEX('Residual Config'!$D$11:$D$14,AA197))</f>
        <v>0.4</v>
      </c>
      <c r="AD197" s="7" t="str">
        <f aca="false">IF(OR(I197="N/A",P197="",Q197=""),"",IF(P197&gt;=Q197,"Yes","No"))</f>
        <v>Yes</v>
      </c>
      <c r="AE197" s="8"/>
    </row>
    <row r="198" customFormat="false" ht="15" hidden="false" customHeight="false" outlineLevel="0" collapsed="false">
      <c r="A198" s="12" t="s">
        <v>1215</v>
      </c>
      <c r="B198" s="26" t="str">
        <f aca="false">Entities!$A$9</f>
        <v>JO-LSG</v>
      </c>
      <c r="C198" s="12" t="str">
        <f aca="false">INDEX(Entities!$B$5:$B$34,MATCH(B198,Entities!$A$5:$A$34,0))</f>
        <v>Leasing subsidiary – Jordan</v>
      </c>
      <c r="D198" s="7" t="str">
        <f aca="false">INDEX(Entities!$F$5:$F$34,MATCH(B198,Entities!$A$5:$A$34,0))</f>
        <v>Tier 3</v>
      </c>
      <c r="E198" s="26" t="str">
        <f aca="false">'Control Library'!$A$26</f>
        <v>CTL-TAX-01</v>
      </c>
      <c r="F198" s="12" t="str">
        <f aca="false">INDEX('Control Library'!$B$5:$B$47,MATCH(E198,'Control Library'!$A$5:$A$47,0))</f>
        <v>FATCA/CRS self-certification and classification</v>
      </c>
      <c r="G198" s="7" t="str">
        <f aca="false">INDEX('Control Library'!$F$5:$F$47,MATCH(E198,'Control Library'!$A$5:$A$47,0))</f>
        <v>Y</v>
      </c>
      <c r="H198" s="12" t="str">
        <f aca="false">INDEX('Control Library'!$E$5:$E$47,MATCH(E198,'Control Library'!$A$5:$A$47,0))</f>
        <v>Event-driven</v>
      </c>
      <c r="I198" s="7" t="str">
        <f aca="false">IF(INDEX('Control Library'!$I$5:$I$47,MATCH(E198,'Control Library'!$A$5:$A$47,0))="All","Y",IF(INDEX('Control Library'!$I$5:$I$47,MATCH(E198,'Control Library'!$A$5:$A$47,0))="Banks only",IF(COUNTIF('Residual Config'!$L$28:$L$30,INDEX(Entities!$E$5:$E$34,MATCH(B198,Entities!$A$5:$A$34,0)))&gt;0,"N/A","Y"),IF(INDEX(Entities!$G$5:$G$34,MATCH(B198,Entities!$A$5:$A$34,0))="Y","Y","N/A")))</f>
        <v>Y</v>
      </c>
      <c r="J198" s="8" t="s">
        <v>1171</v>
      </c>
      <c r="K198" s="8" t="s">
        <v>1172</v>
      </c>
      <c r="L198" s="7" t="str">
        <f aca="false">IF(OR(J198="",K198=""),"",IF(J198=K198,"Breach","OK"))</f>
        <v>OK</v>
      </c>
      <c r="M198" s="24" t="n">
        <v>1</v>
      </c>
      <c r="N198" s="50" t="n">
        <v>46133</v>
      </c>
      <c r="O198" s="8" t="s">
        <v>546</v>
      </c>
      <c r="P198" s="24" t="n">
        <v>30</v>
      </c>
      <c r="Q198" s="31" t="n">
        <f aca="false">IF(I198="N/A","",IFERROR(INDEX('Residual Config'!$B$35:$B$42,MATCH(H198,'Residual Config'!$A$35:$A$42,0)),""))</f>
        <v>25</v>
      </c>
      <c r="R198" s="24" t="n">
        <v>0</v>
      </c>
      <c r="S198" s="8" t="s">
        <v>516</v>
      </c>
      <c r="T198" s="31" t="n">
        <f aca="false">IF(S198="","",MATCH(S198,'Residual Config'!$L$9:$L$12,0))</f>
        <v>1</v>
      </c>
      <c r="U198" s="8" t="s">
        <v>1216</v>
      </c>
      <c r="V198" s="24" t="n">
        <v>2</v>
      </c>
      <c r="W198" s="33" t="s">
        <v>533</v>
      </c>
      <c r="X198" s="8" t="s">
        <v>760</v>
      </c>
      <c r="Y198" s="51" t="n">
        <f aca="false">IF(N198="","",EDATE(N198,IF(G198="N",INDEX('Residual Config'!$B$31:$D$31,1,MATCH(D198,'Residual Config'!$B$27:$D$27,0)),INDEX('Residual Config'!$B$28:$D$30,IF(T198=1,1,IF(T198=4,3,2)),MATCH(D198,'Residual Config'!$B$27:$D$27,0)))))</f>
        <v>46498</v>
      </c>
      <c r="Z198" s="7" t="str">
        <f aca="false">IF(I198="N/A","N/A",IF(N198="","Not tested",IF(W198="Rejected","Evidence rejected",IF(W198&lt;&gt;"Accepted","Evidence pending",IF(Y198&lt;'Residual Config'!$C$4,"Overdue","Current")))))</f>
        <v>Current</v>
      </c>
      <c r="AA198" s="34" t="n">
        <f aca="false">IF(I198="N/A","",IF(Z198&lt;&gt;"Current",4,IF(MAX(M198,T198)=0,4,MAX(M198,T198))))</f>
        <v>1</v>
      </c>
      <c r="AB198" s="7" t="str">
        <f aca="false">IF(AA198="","N/A",IF(Z198&lt;&gt;"Current","Not tested / overdue",INDEX('Residual Config'!$B$11:$B$14,AA198)))</f>
        <v>Effective</v>
      </c>
      <c r="AC198" s="36" t="n">
        <f aca="false">IF(AA198="","",INDEX('Residual Config'!$D$11:$D$14,AA198))</f>
        <v>0.6</v>
      </c>
      <c r="AD198" s="7" t="str">
        <f aca="false">IF(OR(I198="N/A",P198="",Q198=""),"",IF(P198&gt;=Q198,"Yes","No"))</f>
        <v>Yes</v>
      </c>
      <c r="AE198" s="8"/>
    </row>
    <row r="199" customFormat="false" ht="15" hidden="false" customHeight="false" outlineLevel="0" collapsed="false">
      <c r="A199" s="12" t="s">
        <v>1217</v>
      </c>
      <c r="B199" s="26" t="str">
        <f aca="false">Entities!$A$9</f>
        <v>JO-LSG</v>
      </c>
      <c r="C199" s="12" t="str">
        <f aca="false">INDEX(Entities!$B$5:$B$34,MATCH(B199,Entities!$A$5:$A$34,0))</f>
        <v>Leasing subsidiary – Jordan</v>
      </c>
      <c r="D199" s="7" t="str">
        <f aca="false">INDEX(Entities!$F$5:$F$34,MATCH(B199,Entities!$A$5:$A$34,0))</f>
        <v>Tier 3</v>
      </c>
      <c r="E199" s="26" t="str">
        <f aca="false">'Control Library'!$A$27</f>
        <v>CTL-TAX-02</v>
      </c>
      <c r="F199" s="12" t="str">
        <f aca="false">INDEX('Control Library'!$B$5:$B$47,MATCH(E199,'Control Library'!$A$5:$A$47,0))</f>
        <v>FATCA/CRS reporting reconciliation and timely filing</v>
      </c>
      <c r="G199" s="7" t="str">
        <f aca="false">INDEX('Control Library'!$F$5:$F$47,MATCH(E199,'Control Library'!$A$5:$A$47,0))</f>
        <v>N</v>
      </c>
      <c r="H199" s="12" t="str">
        <f aca="false">INDEX('Control Library'!$E$5:$E$47,MATCH(E199,'Control Library'!$A$5:$A$47,0))</f>
        <v>Annual</v>
      </c>
      <c r="I199" s="7" t="str">
        <f aca="false">IF(INDEX('Control Library'!$I$5:$I$47,MATCH(E199,'Control Library'!$A$5:$A$47,0))="All","Y",IF(INDEX('Control Library'!$I$5:$I$47,MATCH(E199,'Control Library'!$A$5:$A$47,0))="Banks only",IF(COUNTIF('Residual Config'!$L$28:$L$30,INDEX(Entities!$E$5:$E$34,MATCH(B199,Entities!$A$5:$A$34,0)))&gt;0,"N/A","Y"),IF(INDEX(Entities!$G$5:$G$34,MATCH(B199,Entities!$A$5:$A$34,0))="Y","Y","N/A")))</f>
        <v>Y</v>
      </c>
      <c r="J199" s="8" t="s">
        <v>1218</v>
      </c>
      <c r="K199" s="8" t="s">
        <v>1172</v>
      </c>
      <c r="L199" s="7" t="str">
        <f aca="false">IF(OR(J199="",K199=""),"",IF(J199=K199,"Breach","OK"))</f>
        <v>OK</v>
      </c>
      <c r="M199" s="24" t="n">
        <v>2</v>
      </c>
      <c r="N199" s="50" t="n">
        <v>46130</v>
      </c>
      <c r="O199" s="8" t="s">
        <v>546</v>
      </c>
      <c r="P199" s="24" t="n">
        <v>1</v>
      </c>
      <c r="Q199" s="31" t="n">
        <f aca="false">IF(I199="N/A","",IFERROR(INDEX('Residual Config'!$B$35:$B$42,MATCH(H199,'Residual Config'!$A$35:$A$42,0)),""))</f>
        <v>1</v>
      </c>
      <c r="R199" s="24" t="n">
        <v>1</v>
      </c>
      <c r="S199" s="8" t="s">
        <v>521</v>
      </c>
      <c r="T199" s="31" t="n">
        <f aca="false">IF(S199="","",MATCH(S199,'Residual Config'!$L$9:$L$12,0))</f>
        <v>2</v>
      </c>
      <c r="U199" s="8" t="s">
        <v>1219</v>
      </c>
      <c r="V199" s="24" t="n">
        <v>4</v>
      </c>
      <c r="W199" s="33" t="s">
        <v>533</v>
      </c>
      <c r="X199" s="8" t="s">
        <v>754</v>
      </c>
      <c r="Y199" s="51" t="n">
        <f aca="false">IF(N199="","",EDATE(N199,IF(G199="N",INDEX('Residual Config'!$B$31:$D$31,1,MATCH(D199,'Residual Config'!$B$27:$D$27,0)),INDEX('Residual Config'!$B$28:$D$30,IF(T199=1,1,IF(T199=4,3,2)),MATCH(D199,'Residual Config'!$B$27:$D$27,0)))))</f>
        <v>46861</v>
      </c>
      <c r="Z199" s="7" t="str">
        <f aca="false">IF(I199="N/A","N/A",IF(N199="","Not tested",IF(W199="Rejected","Evidence rejected",IF(W199&lt;&gt;"Accepted","Evidence pending",IF(Y199&lt;'Residual Config'!$C$4,"Overdue","Current")))))</f>
        <v>Current</v>
      </c>
      <c r="AA199" s="34" t="n">
        <f aca="false">IF(I199="N/A","",IF(Z199&lt;&gt;"Current",4,IF(MAX(M199,T199)=0,4,MAX(M199,T199))))</f>
        <v>2</v>
      </c>
      <c r="AB199" s="7" t="str">
        <f aca="false">IF(AA199="","N/A",IF(Z199&lt;&gt;"Current","Not tested / overdue",INDEX('Residual Config'!$B$11:$B$14,AA199)))</f>
        <v>Largely effective</v>
      </c>
      <c r="AC199" s="36" t="n">
        <f aca="false">IF(AA199="","",INDEX('Residual Config'!$D$11:$D$14,AA199))</f>
        <v>0.4</v>
      </c>
      <c r="AD199" s="7" t="str">
        <f aca="false">IF(OR(I199="N/A",P199="",Q199=""),"",IF(P199&gt;=Q199,"Yes","No"))</f>
        <v>Yes</v>
      </c>
      <c r="AE199" s="8"/>
    </row>
    <row r="200" customFormat="false" ht="15" hidden="false" customHeight="false" outlineLevel="0" collapsed="false">
      <c r="A200" s="12" t="s">
        <v>1220</v>
      </c>
      <c r="B200" s="26" t="str">
        <f aca="false">Entities!$A$9</f>
        <v>JO-LSG</v>
      </c>
      <c r="C200" s="12" t="str">
        <f aca="false">INDEX(Entities!$B$5:$B$34,MATCH(B200,Entities!$A$5:$A$34,0))</f>
        <v>Leasing subsidiary – Jordan</v>
      </c>
      <c r="D200" s="7" t="str">
        <f aca="false">INDEX(Entities!$F$5:$F$34,MATCH(B200,Entities!$A$5:$A$34,0))</f>
        <v>Tier 3</v>
      </c>
      <c r="E200" s="26" t="str">
        <f aca="false">'Control Library'!$A$28</f>
        <v>CTL-TRN-01</v>
      </c>
      <c r="F200" s="12" t="str">
        <f aca="false">INDEX('Control Library'!$B$5:$B$47,MATCH(E200,'Control Library'!$A$5:$A$47,0))</f>
        <v>Annual AML, sanctions and anti-bribery training</v>
      </c>
      <c r="G200" s="7" t="str">
        <f aca="false">INDEX('Control Library'!$F$5:$F$47,MATCH(E200,'Control Library'!$A$5:$A$47,0))</f>
        <v>N</v>
      </c>
      <c r="H200" s="12" t="str">
        <f aca="false">INDEX('Control Library'!$E$5:$E$47,MATCH(E200,'Control Library'!$A$5:$A$47,0))</f>
        <v>Annual</v>
      </c>
      <c r="I200" s="7" t="str">
        <f aca="false">IF(INDEX('Control Library'!$I$5:$I$47,MATCH(E200,'Control Library'!$A$5:$A$47,0))="All","Y",IF(INDEX('Control Library'!$I$5:$I$47,MATCH(E200,'Control Library'!$A$5:$A$47,0))="Banks only",IF(COUNTIF('Residual Config'!$L$28:$L$30,INDEX(Entities!$E$5:$E$34,MATCH(B200,Entities!$A$5:$A$34,0)))&gt;0,"N/A","Y"),IF(INDEX(Entities!$G$5:$G$34,MATCH(B200,Entities!$A$5:$A$34,0))="Y","Y","N/A")))</f>
        <v>Y</v>
      </c>
      <c r="J200" s="8" t="s">
        <v>1175</v>
      </c>
      <c r="K200" s="8" t="s">
        <v>1172</v>
      </c>
      <c r="L200" s="7" t="str">
        <f aca="false">IF(OR(J200="",K200=""),"",IF(J200=K200,"Breach","OK"))</f>
        <v>OK</v>
      </c>
      <c r="M200" s="24" t="n">
        <v>2</v>
      </c>
      <c r="N200" s="50" t="n">
        <v>45715</v>
      </c>
      <c r="O200" s="8" t="s">
        <v>546</v>
      </c>
      <c r="P200" s="24" t="n">
        <v>1</v>
      </c>
      <c r="Q200" s="31" t="n">
        <f aca="false">IF(I200="N/A","",IFERROR(INDEX('Residual Config'!$B$35:$B$42,MATCH(H200,'Residual Config'!$A$35:$A$42,0)),""))</f>
        <v>1</v>
      </c>
      <c r="R200" s="24" t="n">
        <v>1</v>
      </c>
      <c r="S200" s="8" t="s">
        <v>521</v>
      </c>
      <c r="T200" s="31" t="n">
        <f aca="false">IF(S200="","",MATCH(S200,'Residual Config'!$L$9:$L$12,0))</f>
        <v>2</v>
      </c>
      <c r="U200" s="8" t="s">
        <v>1221</v>
      </c>
      <c r="V200" s="24" t="n">
        <v>2</v>
      </c>
      <c r="W200" s="33" t="s">
        <v>533</v>
      </c>
      <c r="X200" s="8" t="s">
        <v>754</v>
      </c>
      <c r="Y200" s="51" t="n">
        <f aca="false">IF(N200="","",EDATE(N200,IF(G200="N",INDEX('Residual Config'!$B$31:$D$31,1,MATCH(D200,'Residual Config'!$B$27:$D$27,0)),INDEX('Residual Config'!$B$28:$D$30,IF(T200=1,1,IF(T200=4,3,2)),MATCH(D200,'Residual Config'!$B$27:$D$27,0)))))</f>
        <v>46445</v>
      </c>
      <c r="Z200" s="7" t="str">
        <f aca="false">IF(I200="N/A","N/A",IF(N200="","Not tested",IF(W200="Rejected","Evidence rejected",IF(W200&lt;&gt;"Accepted","Evidence pending",IF(Y200&lt;'Residual Config'!$C$4,"Overdue","Current")))))</f>
        <v>Current</v>
      </c>
      <c r="AA200" s="34" t="n">
        <f aca="false">IF(I200="N/A","",IF(Z200&lt;&gt;"Current",4,IF(MAX(M200,T200)=0,4,MAX(M200,T200))))</f>
        <v>2</v>
      </c>
      <c r="AB200" s="7" t="str">
        <f aca="false">IF(AA200="","N/A",IF(Z200&lt;&gt;"Current","Not tested / overdue",INDEX('Residual Config'!$B$11:$B$14,AA200)))</f>
        <v>Largely effective</v>
      </c>
      <c r="AC200" s="36" t="n">
        <f aca="false">IF(AA200="","",INDEX('Residual Config'!$D$11:$D$14,AA200))</f>
        <v>0.4</v>
      </c>
      <c r="AD200" s="7" t="str">
        <f aca="false">IF(OR(I200="N/A",P200="",Q200=""),"",IF(P200&gt;=Q200,"Yes","No"))</f>
        <v>Yes</v>
      </c>
      <c r="AE200" s="8"/>
    </row>
    <row r="201" customFormat="false" ht="15" hidden="false" customHeight="false" outlineLevel="0" collapsed="false">
      <c r="A201" s="12" t="s">
        <v>1222</v>
      </c>
      <c r="B201" s="26" t="str">
        <f aca="false">Entities!$A$9</f>
        <v>JO-LSG</v>
      </c>
      <c r="C201" s="12" t="str">
        <f aca="false">INDEX(Entities!$B$5:$B$34,MATCH(B201,Entities!$A$5:$A$34,0))</f>
        <v>Leasing subsidiary – Jordan</v>
      </c>
      <c r="D201" s="7" t="str">
        <f aca="false">INDEX(Entities!$F$5:$F$34,MATCH(B201,Entities!$A$5:$A$34,0))</f>
        <v>Tier 3</v>
      </c>
      <c r="E201" s="26" t="str">
        <f aca="false">'Control Library'!$A$29</f>
        <v>CTL-REG-01</v>
      </c>
      <c r="F201" s="12" t="str">
        <f aca="false">INDEX('Control Library'!$B$5:$B$47,MATCH(E201,'Control Library'!$A$5:$A$47,0))</f>
        <v>Regulatory change management and obligations register</v>
      </c>
      <c r="G201" s="7" t="str">
        <f aca="false">INDEX('Control Library'!$F$5:$F$47,MATCH(E201,'Control Library'!$A$5:$A$47,0))</f>
        <v>Y</v>
      </c>
      <c r="H201" s="12" t="str">
        <f aca="false">INDEX('Control Library'!$E$5:$E$47,MATCH(E201,'Control Library'!$A$5:$A$47,0))</f>
        <v>Monthly</v>
      </c>
      <c r="I201" s="7" t="str">
        <f aca="false">IF(INDEX('Control Library'!$I$5:$I$47,MATCH(E201,'Control Library'!$A$5:$A$47,0))="All","Y",IF(INDEX('Control Library'!$I$5:$I$47,MATCH(E201,'Control Library'!$A$5:$A$47,0))="Banks only",IF(COUNTIF('Residual Config'!$L$28:$L$30,INDEX(Entities!$E$5:$E$34,MATCH(B201,Entities!$A$5:$A$34,0)))&gt;0,"N/A","Y"),IF(INDEX(Entities!$G$5:$G$34,MATCH(B201,Entities!$A$5:$A$34,0))="Y","Y","N/A")))</f>
        <v>Y</v>
      </c>
      <c r="J201" s="8" t="s">
        <v>1175</v>
      </c>
      <c r="K201" s="8" t="s">
        <v>1172</v>
      </c>
      <c r="L201" s="7" t="str">
        <f aca="false">IF(OR(J201="",K201=""),"",IF(J201=K201,"Breach","OK"))</f>
        <v>OK</v>
      </c>
      <c r="M201" s="24" t="n">
        <v>2</v>
      </c>
      <c r="N201" s="50" t="n">
        <v>46278</v>
      </c>
      <c r="O201" s="8" t="s">
        <v>546</v>
      </c>
      <c r="P201" s="24" t="n">
        <v>3</v>
      </c>
      <c r="Q201" s="31" t="n">
        <f aca="false">IF(I201="N/A","",IFERROR(INDEX('Residual Config'!$B$35:$B$42,MATCH(H201,'Residual Config'!$A$35:$A$42,0)),""))</f>
        <v>3</v>
      </c>
      <c r="R201" s="24" t="n">
        <v>1</v>
      </c>
      <c r="S201" s="8" t="s">
        <v>521</v>
      </c>
      <c r="T201" s="31" t="n">
        <f aca="false">IF(S201="","",MATCH(S201,'Residual Config'!$L$9:$L$12,0))</f>
        <v>2</v>
      </c>
      <c r="U201" s="8" t="s">
        <v>1223</v>
      </c>
      <c r="V201" s="24" t="n">
        <v>2</v>
      </c>
      <c r="W201" s="33" t="s">
        <v>533</v>
      </c>
      <c r="X201" s="8" t="s">
        <v>760</v>
      </c>
      <c r="Y201" s="51" t="n">
        <f aca="false">IF(N201="","",EDATE(N201,IF(G201="N",INDEX('Residual Config'!$B$31:$D$31,1,MATCH(D201,'Residual Config'!$B$27:$D$27,0)),INDEX('Residual Config'!$B$28:$D$30,IF(T201=1,1,IF(T201=4,3,2)),MATCH(D201,'Residual Config'!$B$27:$D$27,0)))))</f>
        <v>46459</v>
      </c>
      <c r="Z201" s="7" t="str">
        <f aca="false">IF(I201="N/A","N/A",IF(N201="","Not tested",IF(W201="Rejected","Evidence rejected",IF(W201&lt;&gt;"Accepted","Evidence pending",IF(Y201&lt;'Residual Config'!$C$4,"Overdue","Current")))))</f>
        <v>Current</v>
      </c>
      <c r="AA201" s="34" t="n">
        <f aca="false">IF(I201="N/A","",IF(Z201&lt;&gt;"Current",4,IF(MAX(M201,T201)=0,4,MAX(M201,T201))))</f>
        <v>2</v>
      </c>
      <c r="AB201" s="7" t="str">
        <f aca="false">IF(AA201="","N/A",IF(Z201&lt;&gt;"Current","Not tested / overdue",INDEX('Residual Config'!$B$11:$B$14,AA201)))</f>
        <v>Largely effective</v>
      </c>
      <c r="AC201" s="36" t="n">
        <f aca="false">IF(AA201="","",INDEX('Residual Config'!$D$11:$D$14,AA201))</f>
        <v>0.4</v>
      </c>
      <c r="AD201" s="7" t="str">
        <f aca="false">IF(OR(I201="N/A",P201="",Q201=""),"",IF(P201&gt;=Q201,"Yes","No"))</f>
        <v>Yes</v>
      </c>
      <c r="AE201" s="8"/>
    </row>
    <row r="202" customFormat="false" ht="15" hidden="false" customHeight="false" outlineLevel="0" collapsed="false">
      <c r="A202" s="12" t="s">
        <v>1224</v>
      </c>
      <c r="B202" s="26" t="str">
        <f aca="false">Entities!$A$9</f>
        <v>JO-LSG</v>
      </c>
      <c r="C202" s="12" t="str">
        <f aca="false">INDEX(Entities!$B$5:$B$34,MATCH(B202,Entities!$A$5:$A$34,0))</f>
        <v>Leasing subsidiary – Jordan</v>
      </c>
      <c r="D202" s="7" t="str">
        <f aca="false">INDEX(Entities!$F$5:$F$34,MATCH(B202,Entities!$A$5:$A$34,0))</f>
        <v>Tier 3</v>
      </c>
      <c r="E202" s="26" t="str">
        <f aca="false">'Control Library'!$A$30</f>
        <v>CTL-REG-02</v>
      </c>
      <c r="F202" s="12" t="str">
        <f aca="false">INDEX('Control Library'!$B$5:$B$47,MATCH(E202,'Control Library'!$A$5:$A$47,0))</f>
        <v>Regulatory return review and senior sign-off</v>
      </c>
      <c r="G202" s="7" t="str">
        <f aca="false">INDEX('Control Library'!$F$5:$F$47,MATCH(E202,'Control Library'!$A$5:$A$47,0))</f>
        <v>Y</v>
      </c>
      <c r="H202" s="12" t="str">
        <f aca="false">INDEX('Control Library'!$E$5:$E$47,MATCH(E202,'Control Library'!$A$5:$A$47,0))</f>
        <v>Monthly</v>
      </c>
      <c r="I202" s="7" t="str">
        <f aca="false">IF(INDEX('Control Library'!$I$5:$I$47,MATCH(E202,'Control Library'!$A$5:$A$47,0))="All","Y",IF(INDEX('Control Library'!$I$5:$I$47,MATCH(E202,'Control Library'!$A$5:$A$47,0))="Banks only",IF(COUNTIF('Residual Config'!$L$28:$L$30,INDEX(Entities!$E$5:$E$34,MATCH(B202,Entities!$A$5:$A$34,0)))&gt;0,"N/A","Y"),IF(INDEX(Entities!$G$5:$G$34,MATCH(B202,Entities!$A$5:$A$34,0))="Y","Y","N/A")))</f>
        <v>Y</v>
      </c>
      <c r="J202" s="8" t="s">
        <v>1218</v>
      </c>
      <c r="K202" s="8" t="s">
        <v>1172</v>
      </c>
      <c r="L202" s="7" t="str">
        <f aca="false">IF(OR(J202="",K202=""),"",IF(J202=K202,"Breach","OK"))</f>
        <v>OK</v>
      </c>
      <c r="M202" s="24" t="n">
        <v>1</v>
      </c>
      <c r="N202" s="50" t="n">
        <v>46236</v>
      </c>
      <c r="O202" s="8" t="s">
        <v>545</v>
      </c>
      <c r="P202" s="24" t="n">
        <v>3</v>
      </c>
      <c r="Q202" s="31" t="n">
        <f aca="false">IF(I202="N/A","",IFERROR(INDEX('Residual Config'!$B$35:$B$42,MATCH(H202,'Residual Config'!$A$35:$A$42,0)),""))</f>
        <v>3</v>
      </c>
      <c r="R202" s="24" t="n">
        <v>1</v>
      </c>
      <c r="S202" s="8" t="s">
        <v>521</v>
      </c>
      <c r="T202" s="31" t="n">
        <f aca="false">IF(S202="","",MATCH(S202,'Residual Config'!$L$9:$L$12,0))</f>
        <v>2</v>
      </c>
      <c r="U202" s="8" t="s">
        <v>1225</v>
      </c>
      <c r="V202" s="24" t="n">
        <v>2</v>
      </c>
      <c r="W202" s="33" t="s">
        <v>533</v>
      </c>
      <c r="X202" s="8" t="s">
        <v>754</v>
      </c>
      <c r="Y202" s="51" t="n">
        <f aca="false">IF(N202="","",EDATE(N202,IF(G202="N",INDEX('Residual Config'!$B$31:$D$31,1,MATCH(D202,'Residual Config'!$B$27:$D$27,0)),INDEX('Residual Config'!$B$28:$D$30,IF(T202=1,1,IF(T202=4,3,2)),MATCH(D202,'Residual Config'!$B$27:$D$27,0)))))</f>
        <v>46420</v>
      </c>
      <c r="Z202" s="7" t="str">
        <f aca="false">IF(I202="N/A","N/A",IF(N202="","Not tested",IF(W202="Rejected","Evidence rejected",IF(W202&lt;&gt;"Accepted","Evidence pending",IF(Y202&lt;'Residual Config'!$C$4,"Overdue","Current")))))</f>
        <v>Current</v>
      </c>
      <c r="AA202" s="34" t="n">
        <f aca="false">IF(I202="N/A","",IF(Z202&lt;&gt;"Current",4,IF(MAX(M202,T202)=0,4,MAX(M202,T202))))</f>
        <v>2</v>
      </c>
      <c r="AB202" s="7" t="str">
        <f aca="false">IF(AA202="","N/A",IF(Z202&lt;&gt;"Current","Not tested / overdue",INDEX('Residual Config'!$B$11:$B$14,AA202)))</f>
        <v>Largely effective</v>
      </c>
      <c r="AC202" s="36" t="n">
        <f aca="false">IF(AA202="","",INDEX('Residual Config'!$D$11:$D$14,AA202))</f>
        <v>0.4</v>
      </c>
      <c r="AD202" s="7" t="str">
        <f aca="false">IF(OR(I202="N/A",P202="",Q202=""),"",IF(P202&gt;=Q202,"Yes","No"))</f>
        <v>Yes</v>
      </c>
      <c r="AE202" s="8"/>
    </row>
    <row r="203" customFormat="false" ht="15" hidden="false" customHeight="false" outlineLevel="0" collapsed="false">
      <c r="A203" s="12" t="s">
        <v>1226</v>
      </c>
      <c r="B203" s="26" t="str">
        <f aca="false">Entities!$A$9</f>
        <v>JO-LSG</v>
      </c>
      <c r="C203" s="12" t="str">
        <f aca="false">INDEX(Entities!$B$5:$B$34,MATCH(B203,Entities!$A$5:$A$34,0))</f>
        <v>Leasing subsidiary – Jordan</v>
      </c>
      <c r="D203" s="7" t="str">
        <f aca="false">INDEX(Entities!$F$5:$F$34,MATCH(B203,Entities!$A$5:$A$34,0))</f>
        <v>Tier 3</v>
      </c>
      <c r="E203" s="26" t="str">
        <f aca="false">'Control Library'!$A$31</f>
        <v>CTL-CON-01</v>
      </c>
      <c r="F203" s="12" t="str">
        <f aca="false">INDEX('Control Library'!$B$5:$B$47,MATCH(E203,'Control Library'!$A$5:$A$47,0))</f>
        <v>New product approval and suitability assessment</v>
      </c>
      <c r="G203" s="7" t="str">
        <f aca="false">INDEX('Control Library'!$F$5:$F$47,MATCH(E203,'Control Library'!$A$5:$A$47,0))</f>
        <v>Y</v>
      </c>
      <c r="H203" s="12" t="str">
        <f aca="false">INDEX('Control Library'!$E$5:$E$47,MATCH(E203,'Control Library'!$A$5:$A$47,0))</f>
        <v>Event-driven</v>
      </c>
      <c r="I203" s="7" t="str">
        <f aca="false">IF(INDEX('Control Library'!$I$5:$I$47,MATCH(E203,'Control Library'!$A$5:$A$47,0))="All","Y",IF(INDEX('Control Library'!$I$5:$I$47,MATCH(E203,'Control Library'!$A$5:$A$47,0))="Banks only",IF(COUNTIF('Residual Config'!$L$28:$L$30,INDEX(Entities!$E$5:$E$34,MATCH(B203,Entities!$A$5:$A$34,0)))&gt;0,"N/A","Y"),IF(INDEX(Entities!$G$5:$G$34,MATCH(B203,Entities!$A$5:$A$34,0))="Y","Y","N/A")))</f>
        <v>Y</v>
      </c>
      <c r="J203" s="8" t="s">
        <v>1175</v>
      </c>
      <c r="K203" s="8" t="s">
        <v>1172</v>
      </c>
      <c r="L203" s="7" t="str">
        <f aca="false">IF(OR(J203="",K203=""),"",IF(J203=K203,"Breach","OK"))</f>
        <v>OK</v>
      </c>
      <c r="M203" s="24" t="n">
        <v>2</v>
      </c>
      <c r="N203" s="50" t="n">
        <v>46233</v>
      </c>
      <c r="O203" s="8" t="s">
        <v>545</v>
      </c>
      <c r="P203" s="24" t="n">
        <v>25</v>
      </c>
      <c r="Q203" s="31" t="n">
        <f aca="false">IF(I203="N/A","",IFERROR(INDEX('Residual Config'!$B$35:$B$42,MATCH(H203,'Residual Config'!$A$35:$A$42,0)),""))</f>
        <v>25</v>
      </c>
      <c r="R203" s="24" t="n">
        <v>2</v>
      </c>
      <c r="S203" s="8" t="s">
        <v>524</v>
      </c>
      <c r="T203" s="31" t="n">
        <f aca="false">IF(S203="","",MATCH(S203,'Residual Config'!$L$9:$L$12,0))</f>
        <v>3</v>
      </c>
      <c r="U203" s="8" t="s">
        <v>1227</v>
      </c>
      <c r="V203" s="24" t="n">
        <v>5</v>
      </c>
      <c r="W203" s="33" t="s">
        <v>533</v>
      </c>
      <c r="X203" s="8" t="s">
        <v>754</v>
      </c>
      <c r="Y203" s="51" t="n">
        <f aca="false">IF(N203="","",EDATE(N203,IF(G203="N",INDEX('Residual Config'!$B$31:$D$31,1,MATCH(D203,'Residual Config'!$B$27:$D$27,0)),INDEX('Residual Config'!$B$28:$D$30,IF(T203=1,1,IF(T203=4,3,2)),MATCH(D203,'Residual Config'!$B$27:$D$27,0)))))</f>
        <v>46417</v>
      </c>
      <c r="Z203" s="7" t="str">
        <f aca="false">IF(I203="N/A","N/A",IF(N203="","Not tested",IF(W203="Rejected","Evidence rejected",IF(W203&lt;&gt;"Accepted","Evidence pending",IF(Y203&lt;'Residual Config'!$C$4,"Overdue","Current")))))</f>
        <v>Current</v>
      </c>
      <c r="AA203" s="34" t="n">
        <f aca="false">IF(I203="N/A","",IF(Z203&lt;&gt;"Current",4,IF(MAX(M203,T203)=0,4,MAX(M203,T203))))</f>
        <v>3</v>
      </c>
      <c r="AB203" s="7" t="str">
        <f aca="false">IF(AA203="","N/A",IF(Z203&lt;&gt;"Current","Not tested / overdue",INDEX('Residual Config'!$B$11:$B$14,AA203)))</f>
        <v>Partially effective</v>
      </c>
      <c r="AC203" s="36" t="n">
        <f aca="false">IF(AA203="","",INDEX('Residual Config'!$D$11:$D$14,AA203))</f>
        <v>0.2</v>
      </c>
      <c r="AD203" s="7" t="str">
        <f aca="false">IF(OR(I203="N/A",P203="",Q203=""),"",IF(P203&gt;=Q203,"Yes","No"))</f>
        <v>Yes</v>
      </c>
      <c r="AE203" s="8"/>
    </row>
    <row r="204" customFormat="false" ht="15" hidden="false" customHeight="false" outlineLevel="0" collapsed="false">
      <c r="A204" s="12" t="s">
        <v>1228</v>
      </c>
      <c r="B204" s="26" t="str">
        <f aca="false">Entities!$A$9</f>
        <v>JO-LSG</v>
      </c>
      <c r="C204" s="12" t="str">
        <f aca="false">INDEX(Entities!$B$5:$B$34,MATCH(B204,Entities!$A$5:$A$34,0))</f>
        <v>Leasing subsidiary – Jordan</v>
      </c>
      <c r="D204" s="7" t="str">
        <f aca="false">INDEX(Entities!$F$5:$F$34,MATCH(B204,Entities!$A$5:$A$34,0))</f>
        <v>Tier 3</v>
      </c>
      <c r="E204" s="26" t="str">
        <f aca="false">'Control Library'!$A$32</f>
        <v>CTL-CON-02</v>
      </c>
      <c r="F204" s="12" t="str">
        <f aca="false">INDEX('Control Library'!$B$5:$B$47,MATCH(E204,'Control Library'!$A$5:$A$47,0))</f>
        <v>Complaints handling and root-cause analysis</v>
      </c>
      <c r="G204" s="7" t="str">
        <f aca="false">INDEX('Control Library'!$F$5:$F$47,MATCH(E204,'Control Library'!$A$5:$A$47,0))</f>
        <v>N</v>
      </c>
      <c r="H204" s="12" t="str">
        <f aca="false">INDEX('Control Library'!$E$5:$E$47,MATCH(E204,'Control Library'!$A$5:$A$47,0))</f>
        <v>Monthly</v>
      </c>
      <c r="I204" s="7" t="str">
        <f aca="false">IF(INDEX('Control Library'!$I$5:$I$47,MATCH(E204,'Control Library'!$A$5:$A$47,0))="All","Y",IF(INDEX('Control Library'!$I$5:$I$47,MATCH(E204,'Control Library'!$A$5:$A$47,0))="Banks only",IF(COUNTIF('Residual Config'!$L$28:$L$30,INDEX(Entities!$E$5:$E$34,MATCH(B204,Entities!$A$5:$A$34,0)))&gt;0,"N/A","Y"),IF(INDEX(Entities!$G$5:$G$34,MATCH(B204,Entities!$A$5:$A$34,0))="Y","Y","N/A")))</f>
        <v>Y</v>
      </c>
      <c r="J204" s="8" t="s">
        <v>1229</v>
      </c>
      <c r="K204" s="8" t="s">
        <v>1172</v>
      </c>
      <c r="L204" s="7" t="str">
        <f aca="false">IF(OR(J204="",K204=""),"",IF(J204=K204,"Breach","OK"))</f>
        <v>OK</v>
      </c>
      <c r="M204" s="24" t="n">
        <v>1</v>
      </c>
      <c r="N204" s="50" t="n">
        <v>46271</v>
      </c>
      <c r="O204" s="8" t="s">
        <v>545</v>
      </c>
      <c r="P204" s="24" t="n">
        <v>3</v>
      </c>
      <c r="Q204" s="31" t="n">
        <f aca="false">IF(I204="N/A","",IFERROR(INDEX('Residual Config'!$B$35:$B$42,MATCH(H204,'Residual Config'!$A$35:$A$42,0)),""))</f>
        <v>3</v>
      </c>
      <c r="R204" s="24" t="n">
        <v>1</v>
      </c>
      <c r="S204" s="8" t="s">
        <v>521</v>
      </c>
      <c r="T204" s="31" t="n">
        <f aca="false">IF(S204="","",MATCH(S204,'Residual Config'!$L$9:$L$12,0))</f>
        <v>2</v>
      </c>
      <c r="U204" s="8" t="s">
        <v>1230</v>
      </c>
      <c r="V204" s="24" t="n">
        <v>3</v>
      </c>
      <c r="W204" s="33" t="s">
        <v>533</v>
      </c>
      <c r="X204" s="8" t="s">
        <v>760</v>
      </c>
      <c r="Y204" s="51" t="n">
        <f aca="false">IF(N204="","",EDATE(N204,IF(G204="N",INDEX('Residual Config'!$B$31:$D$31,1,MATCH(D204,'Residual Config'!$B$27:$D$27,0)),INDEX('Residual Config'!$B$28:$D$30,IF(T204=1,1,IF(T204=4,3,2)),MATCH(D204,'Residual Config'!$B$27:$D$27,0)))))</f>
        <v>47002</v>
      </c>
      <c r="Z204" s="7" t="str">
        <f aca="false">IF(I204="N/A","N/A",IF(N204="","Not tested",IF(W204="Rejected","Evidence rejected",IF(W204&lt;&gt;"Accepted","Evidence pending",IF(Y204&lt;'Residual Config'!$C$4,"Overdue","Current")))))</f>
        <v>Current</v>
      </c>
      <c r="AA204" s="34" t="n">
        <f aca="false">IF(I204="N/A","",IF(Z204&lt;&gt;"Current",4,IF(MAX(M204,T204)=0,4,MAX(M204,T204))))</f>
        <v>2</v>
      </c>
      <c r="AB204" s="7" t="str">
        <f aca="false">IF(AA204="","N/A",IF(Z204&lt;&gt;"Current","Not tested / overdue",INDEX('Residual Config'!$B$11:$B$14,AA204)))</f>
        <v>Largely effective</v>
      </c>
      <c r="AC204" s="36" t="n">
        <f aca="false">IF(AA204="","",INDEX('Residual Config'!$D$11:$D$14,AA204))</f>
        <v>0.4</v>
      </c>
      <c r="AD204" s="7" t="str">
        <f aca="false">IF(OR(I204="N/A",P204="",Q204=""),"",IF(P204&gt;=Q204,"Yes","No"))</f>
        <v>Yes</v>
      </c>
      <c r="AE204" s="8"/>
    </row>
    <row r="205" customFormat="false" ht="15" hidden="false" customHeight="false" outlineLevel="0" collapsed="false">
      <c r="A205" s="12" t="s">
        <v>1231</v>
      </c>
      <c r="B205" s="26" t="str">
        <f aca="false">Entities!$A$9</f>
        <v>JO-LSG</v>
      </c>
      <c r="C205" s="12" t="str">
        <f aca="false">INDEX(Entities!$B$5:$B$34,MATCH(B205,Entities!$A$5:$A$34,0))</f>
        <v>Leasing subsidiary – Jordan</v>
      </c>
      <c r="D205" s="7" t="str">
        <f aca="false">INDEX(Entities!$F$5:$F$34,MATCH(B205,Entities!$A$5:$A$34,0))</f>
        <v>Tier 3</v>
      </c>
      <c r="E205" s="26" t="str">
        <f aca="false">'Control Library'!$A$33</f>
        <v>CTL-DP-01</v>
      </c>
      <c r="F205" s="12" t="str">
        <f aca="false">INDEX('Control Library'!$B$5:$B$47,MATCH(E205,'Control Library'!$A$5:$A$47,0))</f>
        <v>Data protection impact assessments and processing records</v>
      </c>
      <c r="G205" s="7" t="str">
        <f aca="false">INDEX('Control Library'!$F$5:$F$47,MATCH(E205,'Control Library'!$A$5:$A$47,0))</f>
        <v>Y</v>
      </c>
      <c r="H205" s="12" t="str">
        <f aca="false">INDEX('Control Library'!$E$5:$E$47,MATCH(E205,'Control Library'!$A$5:$A$47,0))</f>
        <v>Event-driven</v>
      </c>
      <c r="I205" s="7" t="str">
        <f aca="false">IF(INDEX('Control Library'!$I$5:$I$47,MATCH(E205,'Control Library'!$A$5:$A$47,0))="All","Y",IF(INDEX('Control Library'!$I$5:$I$47,MATCH(E205,'Control Library'!$A$5:$A$47,0))="Banks only",IF(COUNTIF('Residual Config'!$L$28:$L$30,INDEX(Entities!$E$5:$E$34,MATCH(B205,Entities!$A$5:$A$34,0)))&gt;0,"N/A","Y"),IF(INDEX(Entities!$G$5:$G$34,MATCH(B205,Entities!$A$5:$A$34,0))="Y","Y","N/A")))</f>
        <v>Y</v>
      </c>
      <c r="J205" s="8" t="s">
        <v>1232</v>
      </c>
      <c r="K205" s="8" t="s">
        <v>1172</v>
      </c>
      <c r="L205" s="7" t="str">
        <f aca="false">IF(OR(J205="",K205=""),"",IF(J205=K205,"Breach","OK"))</f>
        <v>OK</v>
      </c>
      <c r="M205" s="24" t="n">
        <v>1</v>
      </c>
      <c r="N205" s="50" t="n">
        <v>45992</v>
      </c>
      <c r="O205" s="8" t="s">
        <v>545</v>
      </c>
      <c r="P205" s="24" t="n">
        <v>25</v>
      </c>
      <c r="Q205" s="31" t="n">
        <f aca="false">IF(I205="N/A","",IFERROR(INDEX('Residual Config'!$B$35:$B$42,MATCH(H205,'Residual Config'!$A$35:$A$42,0)),""))</f>
        <v>25</v>
      </c>
      <c r="R205" s="24" t="n">
        <v>0</v>
      </c>
      <c r="S205" s="8" t="s">
        <v>516</v>
      </c>
      <c r="T205" s="31" t="n">
        <f aca="false">IF(S205="","",MATCH(S205,'Residual Config'!$L$9:$L$12,0))</f>
        <v>1</v>
      </c>
      <c r="U205" s="8" t="s">
        <v>1233</v>
      </c>
      <c r="V205" s="24" t="n">
        <v>6</v>
      </c>
      <c r="W205" s="33" t="s">
        <v>533</v>
      </c>
      <c r="X205" s="8" t="s">
        <v>754</v>
      </c>
      <c r="Y205" s="51" t="n">
        <f aca="false">IF(N205="","",EDATE(N205,IF(G205="N",INDEX('Residual Config'!$B$31:$D$31,1,MATCH(D205,'Residual Config'!$B$27:$D$27,0)),INDEX('Residual Config'!$B$28:$D$30,IF(T205=1,1,IF(T205=4,3,2)),MATCH(D205,'Residual Config'!$B$27:$D$27,0)))))</f>
        <v>46357</v>
      </c>
      <c r="Z205" s="7" t="str">
        <f aca="false">IF(I205="N/A","N/A",IF(N205="","Not tested",IF(W205="Rejected","Evidence rejected",IF(W205&lt;&gt;"Accepted","Evidence pending",IF(Y205&lt;'Residual Config'!$C$4,"Overdue","Current")))))</f>
        <v>Current</v>
      </c>
      <c r="AA205" s="34" t="n">
        <f aca="false">IF(I205="N/A","",IF(Z205&lt;&gt;"Current",4,IF(MAX(M205,T205)=0,4,MAX(M205,T205))))</f>
        <v>1</v>
      </c>
      <c r="AB205" s="7" t="str">
        <f aca="false">IF(AA205="","N/A",IF(Z205&lt;&gt;"Current","Not tested / overdue",INDEX('Residual Config'!$B$11:$B$14,AA205)))</f>
        <v>Effective</v>
      </c>
      <c r="AC205" s="36" t="n">
        <f aca="false">IF(AA205="","",INDEX('Residual Config'!$D$11:$D$14,AA205))</f>
        <v>0.6</v>
      </c>
      <c r="AD205" s="7" t="str">
        <f aca="false">IF(OR(I205="N/A",P205="",Q205=""),"",IF(P205&gt;=Q205,"Yes","No"))</f>
        <v>Yes</v>
      </c>
      <c r="AE205" s="8"/>
    </row>
    <row r="206" customFormat="false" ht="15" hidden="false" customHeight="false" outlineLevel="0" collapsed="false">
      <c r="A206" s="12" t="s">
        <v>1234</v>
      </c>
      <c r="B206" s="26" t="str">
        <f aca="false">Entities!$A$9</f>
        <v>JO-LSG</v>
      </c>
      <c r="C206" s="12" t="str">
        <f aca="false">INDEX(Entities!$B$5:$B$34,MATCH(B206,Entities!$A$5:$A$34,0))</f>
        <v>Leasing subsidiary – Jordan</v>
      </c>
      <c r="D206" s="7" t="str">
        <f aca="false">INDEX(Entities!$F$5:$F$34,MATCH(B206,Entities!$A$5:$A$34,0))</f>
        <v>Tier 3</v>
      </c>
      <c r="E206" s="26" t="str">
        <f aca="false">'Control Library'!$A$34</f>
        <v>CTL-DP-02</v>
      </c>
      <c r="F206" s="12" t="str">
        <f aca="false">INDEX('Control Library'!$B$5:$B$47,MATCH(E206,'Control Library'!$A$5:$A$47,0))</f>
        <v>Data loss prevention and quarterly access recertification</v>
      </c>
      <c r="G206" s="7" t="str">
        <f aca="false">INDEX('Control Library'!$F$5:$F$47,MATCH(E206,'Control Library'!$A$5:$A$47,0))</f>
        <v>Y</v>
      </c>
      <c r="H206" s="12" t="str">
        <f aca="false">INDEX('Control Library'!$E$5:$E$47,MATCH(E206,'Control Library'!$A$5:$A$47,0))</f>
        <v>Quarterly</v>
      </c>
      <c r="I206" s="7" t="str">
        <f aca="false">IF(INDEX('Control Library'!$I$5:$I$47,MATCH(E206,'Control Library'!$A$5:$A$47,0))="All","Y",IF(INDEX('Control Library'!$I$5:$I$47,MATCH(E206,'Control Library'!$A$5:$A$47,0))="Banks only",IF(COUNTIF('Residual Config'!$L$28:$L$30,INDEX(Entities!$E$5:$E$34,MATCH(B206,Entities!$A$5:$A$34,0)))&gt;0,"N/A","Y"),IF(INDEX(Entities!$G$5:$G$34,MATCH(B206,Entities!$A$5:$A$34,0))="Y","Y","N/A")))</f>
        <v>Y</v>
      </c>
      <c r="J206" s="8" t="s">
        <v>1235</v>
      </c>
      <c r="K206" s="8" t="s">
        <v>1172</v>
      </c>
      <c r="L206" s="7" t="str">
        <f aca="false">IF(OR(J206="",K206=""),"",IF(J206=K206,"Breach","OK"))</f>
        <v>OK</v>
      </c>
      <c r="M206" s="24" t="n">
        <v>1</v>
      </c>
      <c r="N206" s="50" t="n">
        <v>45988</v>
      </c>
      <c r="O206" s="8" t="s">
        <v>546</v>
      </c>
      <c r="P206" s="24" t="n">
        <v>2</v>
      </c>
      <c r="Q206" s="31" t="n">
        <f aca="false">IF(I206="N/A","",IFERROR(INDEX('Residual Config'!$B$35:$B$42,MATCH(H206,'Residual Config'!$A$35:$A$42,0)),""))</f>
        <v>2</v>
      </c>
      <c r="R206" s="24" t="n">
        <v>0</v>
      </c>
      <c r="S206" s="8" t="s">
        <v>516</v>
      </c>
      <c r="T206" s="31" t="n">
        <f aca="false">IF(S206="","",MATCH(S206,'Residual Config'!$L$9:$L$12,0))</f>
        <v>1</v>
      </c>
      <c r="U206" s="8" t="s">
        <v>1236</v>
      </c>
      <c r="V206" s="24" t="n">
        <v>4</v>
      </c>
      <c r="W206" s="33" t="s">
        <v>533</v>
      </c>
      <c r="X206" s="8" t="s">
        <v>760</v>
      </c>
      <c r="Y206" s="51" t="n">
        <f aca="false">IF(N206="","",EDATE(N206,IF(G206="N",INDEX('Residual Config'!$B$31:$D$31,1,MATCH(D206,'Residual Config'!$B$27:$D$27,0)),INDEX('Residual Config'!$B$28:$D$30,IF(T206=1,1,IF(T206=4,3,2)),MATCH(D206,'Residual Config'!$B$27:$D$27,0)))))</f>
        <v>46353</v>
      </c>
      <c r="Z206" s="7" t="str">
        <f aca="false">IF(I206="N/A","N/A",IF(N206="","Not tested",IF(W206="Rejected","Evidence rejected",IF(W206&lt;&gt;"Accepted","Evidence pending",IF(Y206&lt;'Residual Config'!$C$4,"Overdue","Current")))))</f>
        <v>Current</v>
      </c>
      <c r="AA206" s="34" t="n">
        <f aca="false">IF(I206="N/A","",IF(Z206&lt;&gt;"Current",4,IF(MAX(M206,T206)=0,4,MAX(M206,T206))))</f>
        <v>1</v>
      </c>
      <c r="AB206" s="7" t="str">
        <f aca="false">IF(AA206="","N/A",IF(Z206&lt;&gt;"Current","Not tested / overdue",INDEX('Residual Config'!$B$11:$B$14,AA206)))</f>
        <v>Effective</v>
      </c>
      <c r="AC206" s="36" t="n">
        <f aca="false">IF(AA206="","",INDEX('Residual Config'!$D$11:$D$14,AA206))</f>
        <v>0.6</v>
      </c>
      <c r="AD206" s="7" t="str">
        <f aca="false">IF(OR(I206="N/A",P206="",Q206=""),"",IF(P206&gt;=Q206,"Yes","No"))</f>
        <v>Yes</v>
      </c>
      <c r="AE206" s="8"/>
    </row>
    <row r="207" customFormat="false" ht="15" hidden="false" customHeight="false" outlineLevel="0" collapsed="false">
      <c r="A207" s="12" t="s">
        <v>1237</v>
      </c>
      <c r="B207" s="26" t="str">
        <f aca="false">Entities!$A$9</f>
        <v>JO-LSG</v>
      </c>
      <c r="C207" s="12" t="str">
        <f aca="false">INDEX(Entities!$B$5:$B$34,MATCH(B207,Entities!$A$5:$A$34,0))</f>
        <v>Leasing subsidiary – Jordan</v>
      </c>
      <c r="D207" s="7" t="str">
        <f aca="false">INDEX(Entities!$F$5:$F$34,MATCH(B207,Entities!$A$5:$A$34,0))</f>
        <v>Tier 3</v>
      </c>
      <c r="E207" s="26" t="str">
        <f aca="false">'Control Library'!$A$35</f>
        <v>CTL-SH-01</v>
      </c>
      <c r="F207" s="12" t="str">
        <f aca="false">INDEX('Control Library'!$B$5:$B$47,MATCH(E207,'Control Library'!$A$5:$A$47,0))</f>
        <v>Shariah review of products and income purification</v>
      </c>
      <c r="G207" s="7" t="str">
        <f aca="false">INDEX('Control Library'!$F$5:$F$47,MATCH(E207,'Control Library'!$A$5:$A$47,0))</f>
        <v>Y</v>
      </c>
      <c r="H207" s="12" t="str">
        <f aca="false">INDEX('Control Library'!$E$5:$E$47,MATCH(E207,'Control Library'!$A$5:$A$47,0))</f>
        <v>Quarterly</v>
      </c>
      <c r="I207" s="7" t="str">
        <f aca="false">IF(INDEX('Control Library'!$I$5:$I$47,MATCH(E207,'Control Library'!$A$5:$A$47,0))="All","Y",IF(INDEX('Control Library'!$I$5:$I$47,MATCH(E207,'Control Library'!$A$5:$A$47,0))="Banks only",IF(COUNTIF('Residual Config'!$L$28:$L$30,INDEX(Entities!$E$5:$E$34,MATCH(B207,Entities!$A$5:$A$34,0)))&gt;0,"N/A","Y"),IF(INDEX(Entities!$G$5:$G$34,MATCH(B207,Entities!$A$5:$A$34,0))="Y","Y","N/A")))</f>
        <v>N/A</v>
      </c>
      <c r="J207" s="8"/>
      <c r="K207" s="8"/>
      <c r="L207" s="7" t="str">
        <f aca="false">IF(OR(J207="",K207=""),"",IF(J207=K207,"Breach","OK"))</f>
        <v/>
      </c>
      <c r="M207" s="24"/>
      <c r="N207" s="50"/>
      <c r="O207" s="8"/>
      <c r="P207" s="24"/>
      <c r="Q207" s="31" t="str">
        <f aca="false">IF(I207="N/A","",IFERROR(INDEX('Residual Config'!$B$35:$B$42,MATCH(H207,'Residual Config'!$A$35:$A$42,0)),""))</f>
        <v/>
      </c>
      <c r="R207" s="24"/>
      <c r="S207" s="8"/>
      <c r="T207" s="31" t="str">
        <f aca="false">IF(S207="","",MATCH(S207,'Residual Config'!$L$9:$L$12,0))</f>
        <v/>
      </c>
      <c r="U207" s="8"/>
      <c r="V207" s="24"/>
      <c r="W207" s="33"/>
      <c r="X207" s="8"/>
      <c r="Y207" s="51" t="str">
        <f aca="false">IF(N207="","",EDATE(N207,IF(G207="N",INDEX('Residual Config'!$B$31:$D$31,1,MATCH(D207,'Residual Config'!$B$27:$D$27,0)),INDEX('Residual Config'!$B$28:$D$30,IF(T207=1,1,IF(T207=4,3,2)),MATCH(D207,'Residual Config'!$B$27:$D$27,0)))))</f>
        <v/>
      </c>
      <c r="Z207" s="7" t="str">
        <f aca="false">IF(I207="N/A","N/A",IF(N207="","Not tested",IF(W207="Rejected","Evidence rejected",IF(W207&lt;&gt;"Accepted","Evidence pending",IF(Y207&lt;'Residual Config'!$C$4,"Overdue","Current")))))</f>
        <v>N/A</v>
      </c>
      <c r="AA207" s="34" t="str">
        <f aca="false">IF(I207="N/A","",IF(Z207&lt;&gt;"Current",4,IF(MAX(M207,T207)=0,4,MAX(M207,T207))))</f>
        <v/>
      </c>
      <c r="AB207" s="7" t="str">
        <f aca="false">IF(AA207="","N/A",IF(Z207&lt;&gt;"Current","Not tested / overdue",INDEX('Residual Config'!$B$11:$B$14,AA207)))</f>
        <v>N/A</v>
      </c>
      <c r="AC207" s="36" t="str">
        <f aca="false">IF(AA207="","",INDEX('Residual Config'!$D$11:$D$14,AA207))</f>
        <v/>
      </c>
      <c r="AD207" s="7" t="str">
        <f aca="false">IF(OR(I207="N/A",P207="",Q207=""),"",IF(P207&gt;=Q207,"Yes","No"))</f>
        <v/>
      </c>
      <c r="AE207" s="8"/>
    </row>
    <row r="208" customFormat="false" ht="15" hidden="false" customHeight="false" outlineLevel="0" collapsed="false">
      <c r="A208" s="12" t="s">
        <v>1238</v>
      </c>
      <c r="B208" s="26" t="str">
        <f aca="false">Entities!$A$9</f>
        <v>JO-LSG</v>
      </c>
      <c r="C208" s="12" t="str">
        <f aca="false">INDEX(Entities!$B$5:$B$34,MATCH(B208,Entities!$A$5:$A$34,0))</f>
        <v>Leasing subsidiary – Jordan</v>
      </c>
      <c r="D208" s="7" t="str">
        <f aca="false">INDEX(Entities!$F$5:$F$34,MATCH(B208,Entities!$A$5:$A$34,0))</f>
        <v>Tier 3</v>
      </c>
      <c r="E208" s="26" t="str">
        <f aca="false">'Control Library'!$A$36</f>
        <v>CTL-CR-01</v>
      </c>
      <c r="F208" s="12" t="str">
        <f aca="false">INDEX('Control Library'!$B$5:$B$47,MATCH(E208,'Control Library'!$A$5:$A$47,0))</f>
        <v>Credit approval authorities and committee review</v>
      </c>
      <c r="G208" s="7" t="str">
        <f aca="false">INDEX('Control Library'!$F$5:$F$47,MATCH(E208,'Control Library'!$A$5:$A$47,0))</f>
        <v>Y</v>
      </c>
      <c r="H208" s="12" t="str">
        <f aca="false">INDEX('Control Library'!$E$5:$E$47,MATCH(E208,'Control Library'!$A$5:$A$47,0))</f>
        <v>Event-driven</v>
      </c>
      <c r="I208" s="7" t="str">
        <f aca="false">IF(INDEX('Control Library'!$I$5:$I$47,MATCH(E208,'Control Library'!$A$5:$A$47,0))="All","Y",IF(INDEX('Control Library'!$I$5:$I$47,MATCH(E208,'Control Library'!$A$5:$A$47,0))="Banks only",IF(COUNTIF('Residual Config'!$L$28:$L$30,INDEX(Entities!$E$5:$E$34,MATCH(B208,Entities!$A$5:$A$34,0)))&gt;0,"N/A","Y"),IF(INDEX(Entities!$G$5:$G$34,MATCH(B208,Entities!$A$5:$A$34,0))="Y","Y","N/A")))</f>
        <v>Y</v>
      </c>
      <c r="J208" s="8" t="s">
        <v>1239</v>
      </c>
      <c r="K208" s="8" t="s">
        <v>1172</v>
      </c>
      <c r="L208" s="7" t="str">
        <f aca="false">IF(OR(J208="",K208=""),"",IF(J208=K208,"Breach","OK"))</f>
        <v>OK</v>
      </c>
      <c r="M208" s="24" t="n">
        <v>1</v>
      </c>
      <c r="N208" s="50" t="n">
        <v>46201</v>
      </c>
      <c r="O208" s="8" t="s">
        <v>545</v>
      </c>
      <c r="P208" s="24" t="n">
        <v>20</v>
      </c>
      <c r="Q208" s="31" t="n">
        <f aca="false">IF(I208="N/A","",IFERROR(INDEX('Residual Config'!$B$35:$B$42,MATCH(H208,'Residual Config'!$A$35:$A$42,0)),""))</f>
        <v>25</v>
      </c>
      <c r="R208" s="24" t="n">
        <v>1</v>
      </c>
      <c r="S208" s="8" t="s">
        <v>521</v>
      </c>
      <c r="T208" s="31" t="n">
        <f aca="false">IF(S208="","",MATCH(S208,'Residual Config'!$L$9:$L$12,0))</f>
        <v>2</v>
      </c>
      <c r="U208" s="8" t="s">
        <v>1240</v>
      </c>
      <c r="V208" s="24" t="n">
        <v>4</v>
      </c>
      <c r="W208" s="33" t="s">
        <v>533</v>
      </c>
      <c r="X208" s="8" t="s">
        <v>760</v>
      </c>
      <c r="Y208" s="51" t="n">
        <f aca="false">IF(N208="","",EDATE(N208,IF(G208="N",INDEX('Residual Config'!$B$31:$D$31,1,MATCH(D208,'Residual Config'!$B$27:$D$27,0)),INDEX('Residual Config'!$B$28:$D$30,IF(T208=1,1,IF(T208=4,3,2)),MATCH(D208,'Residual Config'!$B$27:$D$27,0)))))</f>
        <v>46384</v>
      </c>
      <c r="Z208" s="7" t="str">
        <f aca="false">IF(I208="N/A","N/A",IF(N208="","Not tested",IF(W208="Rejected","Evidence rejected",IF(W208&lt;&gt;"Accepted","Evidence pending",IF(Y208&lt;'Residual Config'!$C$4,"Overdue","Current")))))</f>
        <v>Current</v>
      </c>
      <c r="AA208" s="34" t="n">
        <f aca="false">IF(I208="N/A","",IF(Z208&lt;&gt;"Current",4,IF(MAX(M208,T208)=0,4,MAX(M208,T208))))</f>
        <v>2</v>
      </c>
      <c r="AB208" s="7" t="str">
        <f aca="false">IF(AA208="","N/A",IF(Z208&lt;&gt;"Current","Not tested / overdue",INDEX('Residual Config'!$B$11:$B$14,AA208)))</f>
        <v>Largely effective</v>
      </c>
      <c r="AC208" s="36" t="n">
        <f aca="false">IF(AA208="","",INDEX('Residual Config'!$D$11:$D$14,AA208))</f>
        <v>0.4</v>
      </c>
      <c r="AD208" s="7" t="str">
        <f aca="false">IF(OR(I208="N/A",P208="",Q208=""),"",IF(P208&gt;=Q208,"Yes","No"))</f>
        <v>No</v>
      </c>
      <c r="AE208" s="8"/>
    </row>
    <row r="209" customFormat="false" ht="15" hidden="false" customHeight="false" outlineLevel="0" collapsed="false">
      <c r="A209" s="12" t="s">
        <v>1241</v>
      </c>
      <c r="B209" s="26" t="str">
        <f aca="false">Entities!$A$9</f>
        <v>JO-LSG</v>
      </c>
      <c r="C209" s="12" t="str">
        <f aca="false">INDEX(Entities!$B$5:$B$34,MATCH(B209,Entities!$A$5:$A$34,0))</f>
        <v>Leasing subsidiary – Jordan</v>
      </c>
      <c r="D209" s="7" t="str">
        <f aca="false">INDEX(Entities!$F$5:$F$34,MATCH(B209,Entities!$A$5:$A$34,0))</f>
        <v>Tier 3</v>
      </c>
      <c r="E209" s="26" t="str">
        <f aca="false">'Control Library'!$A$37</f>
        <v>CTL-CR-02</v>
      </c>
      <c r="F209" s="12" t="str">
        <f aca="false">INDEX('Control Library'!$B$5:$B$47,MATCH(E209,'Control Library'!$A$5:$A$47,0))</f>
        <v>Collateral valuation and exposure limit monitoring</v>
      </c>
      <c r="G209" s="7" t="str">
        <f aca="false">INDEX('Control Library'!$F$5:$F$47,MATCH(E209,'Control Library'!$A$5:$A$47,0))</f>
        <v>N</v>
      </c>
      <c r="H209" s="12" t="str">
        <f aca="false">INDEX('Control Library'!$E$5:$E$47,MATCH(E209,'Control Library'!$A$5:$A$47,0))</f>
        <v>Monthly</v>
      </c>
      <c r="I209" s="7" t="str">
        <f aca="false">IF(INDEX('Control Library'!$I$5:$I$47,MATCH(E209,'Control Library'!$A$5:$A$47,0))="All","Y",IF(INDEX('Control Library'!$I$5:$I$47,MATCH(E209,'Control Library'!$A$5:$A$47,0))="Banks only",IF(COUNTIF('Residual Config'!$L$28:$L$30,INDEX(Entities!$E$5:$E$34,MATCH(B209,Entities!$A$5:$A$34,0)))&gt;0,"N/A","Y"),IF(INDEX(Entities!$G$5:$G$34,MATCH(B209,Entities!$A$5:$A$34,0))="Y","Y","N/A")))</f>
        <v>Y</v>
      </c>
      <c r="J209" s="8" t="s">
        <v>1242</v>
      </c>
      <c r="K209" s="8" t="s">
        <v>1172</v>
      </c>
      <c r="L209" s="7" t="str">
        <f aca="false">IF(OR(J209="",K209=""),"",IF(J209=K209,"Breach","OK"))</f>
        <v>OK</v>
      </c>
      <c r="M209" s="24" t="n">
        <v>1</v>
      </c>
      <c r="N209" s="50" t="n">
        <v>45649</v>
      </c>
      <c r="O209" s="8" t="s">
        <v>545</v>
      </c>
      <c r="P209" s="24" t="n">
        <v>3</v>
      </c>
      <c r="Q209" s="31" t="n">
        <f aca="false">IF(I209="N/A","",IFERROR(INDEX('Residual Config'!$B$35:$B$42,MATCH(H209,'Residual Config'!$A$35:$A$42,0)),""))</f>
        <v>3</v>
      </c>
      <c r="R209" s="24" t="n">
        <v>0</v>
      </c>
      <c r="S209" s="8" t="s">
        <v>516</v>
      </c>
      <c r="T209" s="31" t="n">
        <f aca="false">IF(S209="","",MATCH(S209,'Residual Config'!$L$9:$L$12,0))</f>
        <v>1</v>
      </c>
      <c r="U209" s="8" t="s">
        <v>1243</v>
      </c>
      <c r="V209" s="24" t="n">
        <v>2</v>
      </c>
      <c r="W209" s="33" t="s">
        <v>533</v>
      </c>
      <c r="X209" s="8" t="s">
        <v>754</v>
      </c>
      <c r="Y209" s="51" t="n">
        <f aca="false">IF(N209="","",EDATE(N209,IF(G209="N",INDEX('Residual Config'!$B$31:$D$31,1,MATCH(D209,'Residual Config'!$B$27:$D$27,0)),INDEX('Residual Config'!$B$28:$D$30,IF(T209=1,1,IF(T209=4,3,2)),MATCH(D209,'Residual Config'!$B$27:$D$27,0)))))</f>
        <v>46379</v>
      </c>
      <c r="Z209" s="7" t="str">
        <f aca="false">IF(I209="N/A","N/A",IF(N209="","Not tested",IF(W209="Rejected","Evidence rejected",IF(W209&lt;&gt;"Accepted","Evidence pending",IF(Y209&lt;'Residual Config'!$C$4,"Overdue","Current")))))</f>
        <v>Current</v>
      </c>
      <c r="AA209" s="34" t="n">
        <f aca="false">IF(I209="N/A","",IF(Z209&lt;&gt;"Current",4,IF(MAX(M209,T209)=0,4,MAX(M209,T209))))</f>
        <v>1</v>
      </c>
      <c r="AB209" s="7" t="str">
        <f aca="false">IF(AA209="","N/A",IF(Z209&lt;&gt;"Current","Not tested / overdue",INDEX('Residual Config'!$B$11:$B$14,AA209)))</f>
        <v>Effective</v>
      </c>
      <c r="AC209" s="36" t="n">
        <f aca="false">IF(AA209="","",INDEX('Residual Config'!$D$11:$D$14,AA209))</f>
        <v>0.6</v>
      </c>
      <c r="AD209" s="7" t="str">
        <f aca="false">IF(OR(I209="N/A",P209="",Q209=""),"",IF(P209&gt;=Q209,"Yes","No"))</f>
        <v>Yes</v>
      </c>
      <c r="AE209" s="8"/>
    </row>
    <row r="210" customFormat="false" ht="15" hidden="false" customHeight="false" outlineLevel="0" collapsed="false">
      <c r="A210" s="12" t="s">
        <v>1244</v>
      </c>
      <c r="B210" s="26" t="str">
        <f aca="false">Entities!$A$9</f>
        <v>JO-LSG</v>
      </c>
      <c r="C210" s="12" t="str">
        <f aca="false">INDEX(Entities!$B$5:$B$34,MATCH(B210,Entities!$A$5:$A$34,0))</f>
        <v>Leasing subsidiary – Jordan</v>
      </c>
      <c r="D210" s="7" t="str">
        <f aca="false">INDEX(Entities!$F$5:$F$34,MATCH(B210,Entities!$A$5:$A$34,0))</f>
        <v>Tier 3</v>
      </c>
      <c r="E210" s="26" t="str">
        <f aca="false">'Control Library'!$A$38</f>
        <v>CTL-MR-01</v>
      </c>
      <c r="F210" s="12" t="str">
        <f aca="false">INDEX('Control Library'!$B$5:$B$47,MATCH(E210,'Control Library'!$A$5:$A$47,0))</f>
        <v>Market risk limits and daily VaR monitoring</v>
      </c>
      <c r="G210" s="7" t="str">
        <f aca="false">INDEX('Control Library'!$F$5:$F$47,MATCH(E210,'Control Library'!$A$5:$A$47,0))</f>
        <v>Y</v>
      </c>
      <c r="H210" s="12" t="str">
        <f aca="false">INDEX('Control Library'!$E$5:$E$47,MATCH(E210,'Control Library'!$A$5:$A$47,0))</f>
        <v>Daily</v>
      </c>
      <c r="I210" s="7" t="str">
        <f aca="false">IF(INDEX('Control Library'!$I$5:$I$47,MATCH(E210,'Control Library'!$A$5:$A$47,0))="All","Y",IF(INDEX('Control Library'!$I$5:$I$47,MATCH(E210,'Control Library'!$A$5:$A$47,0))="Banks only",IF(COUNTIF('Residual Config'!$L$28:$L$30,INDEX(Entities!$E$5:$E$34,MATCH(B210,Entities!$A$5:$A$34,0)))&gt;0,"N/A","Y"),IF(INDEX(Entities!$G$5:$G$34,MATCH(B210,Entities!$A$5:$A$34,0))="Y","Y","N/A")))</f>
        <v>Y</v>
      </c>
      <c r="J210" s="8" t="s">
        <v>1242</v>
      </c>
      <c r="K210" s="8" t="s">
        <v>1172</v>
      </c>
      <c r="L210" s="7" t="str">
        <f aca="false">IF(OR(J210="",K210=""),"",IF(J210=K210,"Breach","OK"))</f>
        <v>OK</v>
      </c>
      <c r="M210" s="24" t="n">
        <v>3</v>
      </c>
      <c r="N210" s="50" t="n">
        <v>46041</v>
      </c>
      <c r="O210" s="8" t="s">
        <v>546</v>
      </c>
      <c r="P210" s="24" t="n">
        <v>30</v>
      </c>
      <c r="Q210" s="31" t="n">
        <f aca="false">IF(I210="N/A","",IFERROR(INDEX('Residual Config'!$B$35:$B$42,MATCH(H210,'Residual Config'!$A$35:$A$42,0)),""))</f>
        <v>25</v>
      </c>
      <c r="R210" s="24" t="n">
        <v>0</v>
      </c>
      <c r="S210" s="8" t="s">
        <v>516</v>
      </c>
      <c r="T210" s="31" t="n">
        <f aca="false">IF(S210="","",MATCH(S210,'Residual Config'!$L$9:$L$12,0))</f>
        <v>1</v>
      </c>
      <c r="U210" s="8" t="s">
        <v>1245</v>
      </c>
      <c r="V210" s="24" t="n">
        <v>4</v>
      </c>
      <c r="W210" s="33" t="s">
        <v>533</v>
      </c>
      <c r="X210" s="8" t="s">
        <v>754</v>
      </c>
      <c r="Y210" s="51" t="n">
        <f aca="false">IF(N210="","",EDATE(N210,IF(G210="N",INDEX('Residual Config'!$B$31:$D$31,1,MATCH(D210,'Residual Config'!$B$27:$D$27,0)),INDEX('Residual Config'!$B$28:$D$30,IF(T210=1,1,IF(T210=4,3,2)),MATCH(D210,'Residual Config'!$B$27:$D$27,0)))))</f>
        <v>46406</v>
      </c>
      <c r="Z210" s="7" t="str">
        <f aca="false">IF(I210="N/A","N/A",IF(N210="","Not tested",IF(W210="Rejected","Evidence rejected",IF(W210&lt;&gt;"Accepted","Evidence pending",IF(Y210&lt;'Residual Config'!$C$4,"Overdue","Current")))))</f>
        <v>Current</v>
      </c>
      <c r="AA210" s="34" t="n">
        <f aca="false">IF(I210="N/A","",IF(Z210&lt;&gt;"Current",4,IF(MAX(M210,T210)=0,4,MAX(M210,T210))))</f>
        <v>3</v>
      </c>
      <c r="AB210" s="7" t="str">
        <f aca="false">IF(AA210="","N/A",IF(Z210&lt;&gt;"Current","Not tested / overdue",INDEX('Residual Config'!$B$11:$B$14,AA210)))</f>
        <v>Partially effective</v>
      </c>
      <c r="AC210" s="36" t="n">
        <f aca="false">IF(AA210="","",INDEX('Residual Config'!$D$11:$D$14,AA210))</f>
        <v>0.2</v>
      </c>
      <c r="AD210" s="7" t="str">
        <f aca="false">IF(OR(I210="N/A",P210="",Q210=""),"",IF(P210&gt;=Q210,"Yes","No"))</f>
        <v>Yes</v>
      </c>
      <c r="AE210" s="8"/>
    </row>
    <row r="211" customFormat="false" ht="15" hidden="false" customHeight="false" outlineLevel="0" collapsed="false">
      <c r="A211" s="12" t="s">
        <v>1246</v>
      </c>
      <c r="B211" s="26" t="str">
        <f aca="false">Entities!$A$9</f>
        <v>JO-LSG</v>
      </c>
      <c r="C211" s="12" t="str">
        <f aca="false">INDEX(Entities!$B$5:$B$34,MATCH(B211,Entities!$A$5:$A$34,0))</f>
        <v>Leasing subsidiary – Jordan</v>
      </c>
      <c r="D211" s="7" t="str">
        <f aca="false">INDEX(Entities!$F$5:$F$34,MATCH(B211,Entities!$A$5:$A$34,0))</f>
        <v>Tier 3</v>
      </c>
      <c r="E211" s="26" t="str">
        <f aca="false">'Control Library'!$A$39</f>
        <v>CTL-LQ-01</v>
      </c>
      <c r="F211" s="12" t="str">
        <f aca="false">INDEX('Control Library'!$B$5:$B$47,MATCH(E211,'Control Library'!$A$5:$A$47,0))</f>
        <v>Liquidity buffers, LCR/NSFR monitoring and contingency funding plan</v>
      </c>
      <c r="G211" s="7" t="str">
        <f aca="false">INDEX('Control Library'!$F$5:$F$47,MATCH(E211,'Control Library'!$A$5:$A$47,0))</f>
        <v>Y</v>
      </c>
      <c r="H211" s="12" t="str">
        <f aca="false">INDEX('Control Library'!$E$5:$E$47,MATCH(E211,'Control Library'!$A$5:$A$47,0))</f>
        <v>Daily</v>
      </c>
      <c r="I211" s="7" t="str">
        <f aca="false">IF(INDEX('Control Library'!$I$5:$I$47,MATCH(E211,'Control Library'!$A$5:$A$47,0))="All","Y",IF(INDEX('Control Library'!$I$5:$I$47,MATCH(E211,'Control Library'!$A$5:$A$47,0))="Banks only",IF(COUNTIF('Residual Config'!$L$28:$L$30,INDEX(Entities!$E$5:$E$34,MATCH(B211,Entities!$A$5:$A$34,0)))&gt;0,"N/A","Y"),IF(INDEX(Entities!$G$5:$G$34,MATCH(B211,Entities!$A$5:$A$34,0))="Y","Y","N/A")))</f>
        <v>Y</v>
      </c>
      <c r="J211" s="8" t="s">
        <v>1247</v>
      </c>
      <c r="K211" s="8" t="s">
        <v>1172</v>
      </c>
      <c r="L211" s="7" t="str">
        <f aca="false">IF(OR(J211="",K211=""),"",IF(J211=K211,"Breach","OK"))</f>
        <v>OK</v>
      </c>
      <c r="M211" s="24" t="n">
        <v>2</v>
      </c>
      <c r="N211" s="50" t="n">
        <v>46170</v>
      </c>
      <c r="O211" s="8" t="s">
        <v>545</v>
      </c>
      <c r="P211" s="24" t="n">
        <v>35</v>
      </c>
      <c r="Q211" s="31" t="n">
        <f aca="false">IF(I211="N/A","",IFERROR(INDEX('Residual Config'!$B$35:$B$42,MATCH(H211,'Residual Config'!$A$35:$A$42,0)),""))</f>
        <v>25</v>
      </c>
      <c r="R211" s="24" t="n">
        <v>1</v>
      </c>
      <c r="S211" s="8" t="s">
        <v>521</v>
      </c>
      <c r="T211" s="31" t="n">
        <f aca="false">IF(S211="","",MATCH(S211,'Residual Config'!$L$9:$L$12,0))</f>
        <v>2</v>
      </c>
      <c r="U211" s="8" t="s">
        <v>1248</v>
      </c>
      <c r="V211" s="24" t="n">
        <v>6</v>
      </c>
      <c r="W211" s="33" t="s">
        <v>533</v>
      </c>
      <c r="X211" s="8" t="s">
        <v>760</v>
      </c>
      <c r="Y211" s="51" t="n">
        <f aca="false">IF(N211="","",EDATE(N211,IF(G211="N",INDEX('Residual Config'!$B$31:$D$31,1,MATCH(D211,'Residual Config'!$B$27:$D$27,0)),INDEX('Residual Config'!$B$28:$D$30,IF(T211=1,1,IF(T211=4,3,2)),MATCH(D211,'Residual Config'!$B$27:$D$27,0)))))</f>
        <v>46354</v>
      </c>
      <c r="Z211" s="7" t="str">
        <f aca="false">IF(I211="N/A","N/A",IF(N211="","Not tested",IF(W211="Rejected","Evidence rejected",IF(W211&lt;&gt;"Accepted","Evidence pending",IF(Y211&lt;'Residual Config'!$C$4,"Overdue","Current")))))</f>
        <v>Current</v>
      </c>
      <c r="AA211" s="34" t="n">
        <f aca="false">IF(I211="N/A","",IF(Z211&lt;&gt;"Current",4,IF(MAX(M211,T211)=0,4,MAX(M211,T211))))</f>
        <v>2</v>
      </c>
      <c r="AB211" s="7" t="str">
        <f aca="false">IF(AA211="","N/A",IF(Z211&lt;&gt;"Current","Not tested / overdue",INDEX('Residual Config'!$B$11:$B$14,AA211)))</f>
        <v>Largely effective</v>
      </c>
      <c r="AC211" s="36" t="n">
        <f aca="false">IF(AA211="","",INDEX('Residual Config'!$D$11:$D$14,AA211))</f>
        <v>0.4</v>
      </c>
      <c r="AD211" s="7" t="str">
        <f aca="false">IF(OR(I211="N/A",P211="",Q211=""),"",IF(P211&gt;=Q211,"Yes","No"))</f>
        <v>Yes</v>
      </c>
      <c r="AE211" s="8"/>
    </row>
    <row r="212" customFormat="false" ht="15" hidden="false" customHeight="false" outlineLevel="0" collapsed="false">
      <c r="A212" s="12" t="s">
        <v>1249</v>
      </c>
      <c r="B212" s="26" t="str">
        <f aca="false">Entities!$A$9</f>
        <v>JO-LSG</v>
      </c>
      <c r="C212" s="12" t="str">
        <f aca="false">INDEX(Entities!$B$5:$B$34,MATCH(B212,Entities!$A$5:$A$34,0))</f>
        <v>Leasing subsidiary – Jordan</v>
      </c>
      <c r="D212" s="7" t="str">
        <f aca="false">INDEX(Entities!$F$5:$F$34,MATCH(B212,Entities!$A$5:$A$34,0))</f>
        <v>Tier 3</v>
      </c>
      <c r="E212" s="26" t="str">
        <f aca="false">'Control Library'!$A$40</f>
        <v>CTL-OR-01</v>
      </c>
      <c r="F212" s="12" t="str">
        <f aca="false">INDEX('Control Library'!$B$5:$B$47,MATCH(E212,'Control Library'!$A$5:$A$47,0))</f>
        <v>Business continuity plans and annual testing</v>
      </c>
      <c r="G212" s="7" t="str">
        <f aca="false">INDEX('Control Library'!$F$5:$F$47,MATCH(E212,'Control Library'!$A$5:$A$47,0))</f>
        <v>Y</v>
      </c>
      <c r="H212" s="12" t="str">
        <f aca="false">INDEX('Control Library'!$E$5:$E$47,MATCH(E212,'Control Library'!$A$5:$A$47,0))</f>
        <v>Annual</v>
      </c>
      <c r="I212" s="7" t="str">
        <f aca="false">IF(INDEX('Control Library'!$I$5:$I$47,MATCH(E212,'Control Library'!$A$5:$A$47,0))="All","Y",IF(INDEX('Control Library'!$I$5:$I$47,MATCH(E212,'Control Library'!$A$5:$A$47,0))="Banks only",IF(COUNTIF('Residual Config'!$L$28:$L$30,INDEX(Entities!$E$5:$E$34,MATCH(B212,Entities!$A$5:$A$34,0)))&gt;0,"N/A","Y"),IF(INDEX(Entities!$G$5:$G$34,MATCH(B212,Entities!$A$5:$A$34,0))="Y","Y","N/A")))</f>
        <v>Y</v>
      </c>
      <c r="J212" s="8" t="s">
        <v>1250</v>
      </c>
      <c r="K212" s="8" t="s">
        <v>1172</v>
      </c>
      <c r="L212" s="7" t="str">
        <f aca="false">IF(OR(J212="",K212=""),"",IF(J212=K212,"Breach","OK"))</f>
        <v>OK</v>
      </c>
      <c r="M212" s="24" t="n">
        <v>1</v>
      </c>
      <c r="N212" s="50" t="n">
        <v>46137</v>
      </c>
      <c r="O212" s="8" t="s">
        <v>545</v>
      </c>
      <c r="P212" s="24" t="n">
        <v>1</v>
      </c>
      <c r="Q212" s="31" t="n">
        <f aca="false">IF(I212="N/A","",IFERROR(INDEX('Residual Config'!$B$35:$B$42,MATCH(H212,'Residual Config'!$A$35:$A$42,0)),""))</f>
        <v>1</v>
      </c>
      <c r="R212" s="24" t="n">
        <v>1</v>
      </c>
      <c r="S212" s="8" t="s">
        <v>521</v>
      </c>
      <c r="T212" s="31" t="n">
        <f aca="false">IF(S212="","",MATCH(S212,'Residual Config'!$L$9:$L$12,0))</f>
        <v>2</v>
      </c>
      <c r="U212" s="8" t="s">
        <v>1251</v>
      </c>
      <c r="V212" s="24" t="n">
        <v>3</v>
      </c>
      <c r="W212" s="33" t="s">
        <v>533</v>
      </c>
      <c r="X212" s="8" t="s">
        <v>760</v>
      </c>
      <c r="Y212" s="51" t="n">
        <f aca="false">IF(N212="","",EDATE(N212,IF(G212="N",INDEX('Residual Config'!$B$31:$D$31,1,MATCH(D212,'Residual Config'!$B$27:$D$27,0)),INDEX('Residual Config'!$B$28:$D$30,IF(T212=1,1,IF(T212=4,3,2)),MATCH(D212,'Residual Config'!$B$27:$D$27,0)))))</f>
        <v>46320</v>
      </c>
      <c r="Z212" s="7" t="str">
        <f aca="false">IF(I212="N/A","N/A",IF(N212="","Not tested",IF(W212="Rejected","Evidence rejected",IF(W212&lt;&gt;"Accepted","Evidence pending",IF(Y212&lt;'Residual Config'!$C$4,"Overdue","Current")))))</f>
        <v>Current</v>
      </c>
      <c r="AA212" s="34" t="n">
        <f aca="false">IF(I212="N/A","",IF(Z212&lt;&gt;"Current",4,IF(MAX(M212,T212)=0,4,MAX(M212,T212))))</f>
        <v>2</v>
      </c>
      <c r="AB212" s="7" t="str">
        <f aca="false">IF(AA212="","N/A",IF(Z212&lt;&gt;"Current","Not tested / overdue",INDEX('Residual Config'!$B$11:$B$14,AA212)))</f>
        <v>Largely effective</v>
      </c>
      <c r="AC212" s="36" t="n">
        <f aca="false">IF(AA212="","",INDEX('Residual Config'!$D$11:$D$14,AA212))</f>
        <v>0.4</v>
      </c>
      <c r="AD212" s="7" t="str">
        <f aca="false">IF(OR(I212="N/A",P212="",Q212=""),"",IF(P212&gt;=Q212,"Yes","No"))</f>
        <v>Yes</v>
      </c>
      <c r="AE212" s="8"/>
    </row>
    <row r="213" customFormat="false" ht="15" hidden="false" customHeight="false" outlineLevel="0" collapsed="false">
      <c r="A213" s="12" t="s">
        <v>1252</v>
      </c>
      <c r="B213" s="26" t="str">
        <f aca="false">Entities!$A$9</f>
        <v>JO-LSG</v>
      </c>
      <c r="C213" s="12" t="str">
        <f aca="false">INDEX(Entities!$B$5:$B$34,MATCH(B213,Entities!$A$5:$A$34,0))</f>
        <v>Leasing subsidiary – Jordan</v>
      </c>
      <c r="D213" s="7" t="str">
        <f aca="false">INDEX(Entities!$F$5:$F$34,MATCH(B213,Entities!$A$5:$A$34,0))</f>
        <v>Tier 3</v>
      </c>
      <c r="E213" s="26" t="str">
        <f aca="false">'Control Library'!$A$41</f>
        <v>CTL-OR-02</v>
      </c>
      <c r="F213" s="12" t="str">
        <f aca="false">INDEX('Control Library'!$B$5:$B$47,MATCH(E213,'Control Library'!$A$5:$A$47,0))</f>
        <v>Operational loss event capture and RCSA</v>
      </c>
      <c r="G213" s="7" t="str">
        <f aca="false">INDEX('Control Library'!$F$5:$F$47,MATCH(E213,'Control Library'!$A$5:$A$47,0))</f>
        <v>N</v>
      </c>
      <c r="H213" s="12" t="str">
        <f aca="false">INDEX('Control Library'!$E$5:$E$47,MATCH(E213,'Control Library'!$A$5:$A$47,0))</f>
        <v>Quarterly</v>
      </c>
      <c r="I213" s="7" t="str">
        <f aca="false">IF(INDEX('Control Library'!$I$5:$I$47,MATCH(E213,'Control Library'!$A$5:$A$47,0))="All","Y",IF(INDEX('Control Library'!$I$5:$I$47,MATCH(E213,'Control Library'!$A$5:$A$47,0))="Banks only",IF(COUNTIF('Residual Config'!$L$28:$L$30,INDEX(Entities!$E$5:$E$34,MATCH(B213,Entities!$A$5:$A$34,0)))&gt;0,"N/A","Y"),IF(INDEX(Entities!$G$5:$G$34,MATCH(B213,Entities!$A$5:$A$34,0))="Y","Y","N/A")))</f>
        <v>Y</v>
      </c>
      <c r="J213" s="8" t="s">
        <v>1242</v>
      </c>
      <c r="K213" s="8" t="s">
        <v>1172</v>
      </c>
      <c r="L213" s="7" t="str">
        <f aca="false">IF(OR(J213="",K213=""),"",IF(J213=K213,"Breach","OK"))</f>
        <v>OK</v>
      </c>
      <c r="M213" s="24" t="n">
        <v>2</v>
      </c>
      <c r="N213" s="50" t="n">
        <v>45652</v>
      </c>
      <c r="O213" s="8" t="s">
        <v>545</v>
      </c>
      <c r="P213" s="24" t="n">
        <v>2</v>
      </c>
      <c r="Q213" s="31" t="n">
        <f aca="false">IF(I213="N/A","",IFERROR(INDEX('Residual Config'!$B$35:$B$42,MATCH(H213,'Residual Config'!$A$35:$A$42,0)),""))</f>
        <v>2</v>
      </c>
      <c r="R213" s="24" t="n">
        <v>1</v>
      </c>
      <c r="S213" s="8" t="s">
        <v>521</v>
      </c>
      <c r="T213" s="31" t="n">
        <f aca="false">IF(S213="","",MATCH(S213,'Residual Config'!$L$9:$L$12,0))</f>
        <v>2</v>
      </c>
      <c r="U213" s="8" t="s">
        <v>1253</v>
      </c>
      <c r="V213" s="24" t="n">
        <v>3</v>
      </c>
      <c r="W213" s="33" t="s">
        <v>533</v>
      </c>
      <c r="X213" s="8" t="s">
        <v>754</v>
      </c>
      <c r="Y213" s="51" t="n">
        <f aca="false">IF(N213="","",EDATE(N213,IF(G213="N",INDEX('Residual Config'!$B$31:$D$31,1,MATCH(D213,'Residual Config'!$B$27:$D$27,0)),INDEX('Residual Config'!$B$28:$D$30,IF(T213=1,1,IF(T213=4,3,2)),MATCH(D213,'Residual Config'!$B$27:$D$27,0)))))</f>
        <v>46382</v>
      </c>
      <c r="Z213" s="7" t="str">
        <f aca="false">IF(I213="N/A","N/A",IF(N213="","Not tested",IF(W213="Rejected","Evidence rejected",IF(W213&lt;&gt;"Accepted","Evidence pending",IF(Y213&lt;'Residual Config'!$C$4,"Overdue","Current")))))</f>
        <v>Current</v>
      </c>
      <c r="AA213" s="34" t="n">
        <f aca="false">IF(I213="N/A","",IF(Z213&lt;&gt;"Current",4,IF(MAX(M213,T213)=0,4,MAX(M213,T213))))</f>
        <v>2</v>
      </c>
      <c r="AB213" s="7" t="str">
        <f aca="false">IF(AA213="","N/A",IF(Z213&lt;&gt;"Current","Not tested / overdue",INDEX('Residual Config'!$B$11:$B$14,AA213)))</f>
        <v>Largely effective</v>
      </c>
      <c r="AC213" s="36" t="n">
        <f aca="false">IF(AA213="","",INDEX('Residual Config'!$D$11:$D$14,AA213))</f>
        <v>0.4</v>
      </c>
      <c r="AD213" s="7" t="str">
        <f aca="false">IF(OR(I213="N/A",P213="",Q213=""),"",IF(P213&gt;=Q213,"Yes","No"))</f>
        <v>Yes</v>
      </c>
      <c r="AE213" s="8"/>
    </row>
    <row r="214" customFormat="false" ht="15" hidden="false" customHeight="false" outlineLevel="0" collapsed="false">
      <c r="A214" s="12" t="s">
        <v>1254</v>
      </c>
      <c r="B214" s="26" t="str">
        <f aca="false">Entities!$A$9</f>
        <v>JO-LSG</v>
      </c>
      <c r="C214" s="12" t="str">
        <f aca="false">INDEX(Entities!$B$5:$B$34,MATCH(B214,Entities!$A$5:$A$34,0))</f>
        <v>Leasing subsidiary – Jordan</v>
      </c>
      <c r="D214" s="7" t="str">
        <f aca="false">INDEX(Entities!$F$5:$F$34,MATCH(B214,Entities!$A$5:$A$34,0))</f>
        <v>Tier 3</v>
      </c>
      <c r="E214" s="26" t="str">
        <f aca="false">'Control Library'!$A$42</f>
        <v>CTL-CY-01</v>
      </c>
      <c r="F214" s="12" t="str">
        <f aca="false">INDEX('Control Library'!$B$5:$B$47,MATCH(E214,'Control Library'!$A$5:$A$47,0))</f>
        <v>Vulnerability and patch management</v>
      </c>
      <c r="G214" s="7" t="str">
        <f aca="false">INDEX('Control Library'!$F$5:$F$47,MATCH(E214,'Control Library'!$A$5:$A$47,0))</f>
        <v>Y</v>
      </c>
      <c r="H214" s="12" t="str">
        <f aca="false">INDEX('Control Library'!$E$5:$E$47,MATCH(E214,'Control Library'!$A$5:$A$47,0))</f>
        <v>Monthly</v>
      </c>
      <c r="I214" s="7" t="str">
        <f aca="false">IF(INDEX('Control Library'!$I$5:$I$47,MATCH(E214,'Control Library'!$A$5:$A$47,0))="All","Y",IF(INDEX('Control Library'!$I$5:$I$47,MATCH(E214,'Control Library'!$A$5:$A$47,0))="Banks only",IF(COUNTIF('Residual Config'!$L$28:$L$30,INDEX(Entities!$E$5:$E$34,MATCH(B214,Entities!$A$5:$A$34,0)))&gt;0,"N/A","Y"),IF(INDEX(Entities!$G$5:$G$34,MATCH(B214,Entities!$A$5:$A$34,0))="Y","Y","N/A")))</f>
        <v>Y</v>
      </c>
      <c r="J214" s="8" t="s">
        <v>1195</v>
      </c>
      <c r="K214" s="8" t="s">
        <v>1172</v>
      </c>
      <c r="L214" s="7" t="str">
        <f aca="false">IF(OR(J214="",K214=""),"",IF(J214=K214,"Breach","OK"))</f>
        <v>OK</v>
      </c>
      <c r="M214" s="24" t="n">
        <v>2</v>
      </c>
      <c r="N214" s="50" t="n">
        <v>46216</v>
      </c>
      <c r="O214" s="8" t="s">
        <v>545</v>
      </c>
      <c r="P214" s="24" t="n">
        <v>3</v>
      </c>
      <c r="Q214" s="31" t="n">
        <f aca="false">IF(I214="N/A","",IFERROR(INDEX('Residual Config'!$B$35:$B$42,MATCH(H214,'Residual Config'!$A$35:$A$42,0)),""))</f>
        <v>3</v>
      </c>
      <c r="R214" s="24" t="n">
        <v>1</v>
      </c>
      <c r="S214" s="8" t="s">
        <v>521</v>
      </c>
      <c r="T214" s="31" t="n">
        <f aca="false">IF(S214="","",MATCH(S214,'Residual Config'!$L$9:$L$12,0))</f>
        <v>2</v>
      </c>
      <c r="U214" s="8" t="s">
        <v>1255</v>
      </c>
      <c r="V214" s="24" t="n">
        <v>3</v>
      </c>
      <c r="W214" s="33" t="s">
        <v>533</v>
      </c>
      <c r="X214" s="8" t="s">
        <v>754</v>
      </c>
      <c r="Y214" s="51" t="n">
        <f aca="false">IF(N214="","",EDATE(N214,IF(G214="N",INDEX('Residual Config'!$B$31:$D$31,1,MATCH(D214,'Residual Config'!$B$27:$D$27,0)),INDEX('Residual Config'!$B$28:$D$30,IF(T214=1,1,IF(T214=4,3,2)),MATCH(D214,'Residual Config'!$B$27:$D$27,0)))))</f>
        <v>46400</v>
      </c>
      <c r="Z214" s="7" t="str">
        <f aca="false">IF(I214="N/A","N/A",IF(N214="","Not tested",IF(W214="Rejected","Evidence rejected",IF(W214&lt;&gt;"Accepted","Evidence pending",IF(Y214&lt;'Residual Config'!$C$4,"Overdue","Current")))))</f>
        <v>Current</v>
      </c>
      <c r="AA214" s="34" t="n">
        <f aca="false">IF(I214="N/A","",IF(Z214&lt;&gt;"Current",4,IF(MAX(M214,T214)=0,4,MAX(M214,T214))))</f>
        <v>2</v>
      </c>
      <c r="AB214" s="7" t="str">
        <f aca="false">IF(AA214="","N/A",IF(Z214&lt;&gt;"Current","Not tested / overdue",INDEX('Residual Config'!$B$11:$B$14,AA214)))</f>
        <v>Largely effective</v>
      </c>
      <c r="AC214" s="36" t="n">
        <f aca="false">IF(AA214="","",INDEX('Residual Config'!$D$11:$D$14,AA214))</f>
        <v>0.4</v>
      </c>
      <c r="AD214" s="7" t="str">
        <f aca="false">IF(OR(I214="N/A",P214="",Q214=""),"",IF(P214&gt;=Q214,"Yes","No"))</f>
        <v>Yes</v>
      </c>
      <c r="AE214" s="8"/>
    </row>
    <row r="215" customFormat="false" ht="15" hidden="false" customHeight="false" outlineLevel="0" collapsed="false">
      <c r="A215" s="12" t="s">
        <v>1256</v>
      </c>
      <c r="B215" s="26" t="str">
        <f aca="false">Entities!$A$9</f>
        <v>JO-LSG</v>
      </c>
      <c r="C215" s="12" t="str">
        <f aca="false">INDEX(Entities!$B$5:$B$34,MATCH(B215,Entities!$A$5:$A$34,0))</f>
        <v>Leasing subsidiary – Jordan</v>
      </c>
      <c r="D215" s="7" t="str">
        <f aca="false">INDEX(Entities!$F$5:$F$34,MATCH(B215,Entities!$A$5:$A$34,0))</f>
        <v>Tier 3</v>
      </c>
      <c r="E215" s="26" t="str">
        <f aca="false">'Control Library'!$A$43</f>
        <v>CTL-CY-02</v>
      </c>
      <c r="F215" s="12" t="str">
        <f aca="false">INDEX('Control Library'!$B$5:$B$47,MATCH(E215,'Control Library'!$A$5:$A$47,0))</f>
        <v>Privileged access management and SOC monitoring</v>
      </c>
      <c r="G215" s="7" t="str">
        <f aca="false">INDEX('Control Library'!$F$5:$F$47,MATCH(E215,'Control Library'!$A$5:$A$47,0))</f>
        <v>Y</v>
      </c>
      <c r="H215" s="12" t="str">
        <f aca="false">INDEX('Control Library'!$E$5:$E$47,MATCH(E215,'Control Library'!$A$5:$A$47,0))</f>
        <v>Continuous</v>
      </c>
      <c r="I215" s="7" t="str">
        <f aca="false">IF(INDEX('Control Library'!$I$5:$I$47,MATCH(E215,'Control Library'!$A$5:$A$47,0))="All","Y",IF(INDEX('Control Library'!$I$5:$I$47,MATCH(E215,'Control Library'!$A$5:$A$47,0))="Banks only",IF(COUNTIF('Residual Config'!$L$28:$L$30,INDEX(Entities!$E$5:$E$34,MATCH(B215,Entities!$A$5:$A$34,0)))&gt;0,"N/A","Y"),IF(INDEX(Entities!$G$5:$G$34,MATCH(B215,Entities!$A$5:$A$34,0))="Y","Y","N/A")))</f>
        <v>Y</v>
      </c>
      <c r="J215" s="8" t="s">
        <v>1235</v>
      </c>
      <c r="K215" s="8" t="s">
        <v>1172</v>
      </c>
      <c r="L215" s="7" t="str">
        <f aca="false">IF(OR(J215="",K215=""),"",IF(J215=K215,"Breach","OK"))</f>
        <v>OK</v>
      </c>
      <c r="M215" s="24" t="n">
        <v>1</v>
      </c>
      <c r="N215" s="50" t="n">
        <v>46266</v>
      </c>
      <c r="O215" s="8" t="s">
        <v>546</v>
      </c>
      <c r="P215" s="24" t="n">
        <v>1</v>
      </c>
      <c r="Q215" s="31" t="n">
        <f aca="false">IF(I215="N/A","",IFERROR(INDEX('Residual Config'!$B$35:$B$42,MATCH(H215,'Residual Config'!$A$35:$A$42,0)),""))</f>
        <v>1</v>
      </c>
      <c r="R215" s="24" t="n">
        <v>1</v>
      </c>
      <c r="S215" s="8" t="s">
        <v>521</v>
      </c>
      <c r="T215" s="31" t="n">
        <f aca="false">IF(S215="","",MATCH(S215,'Residual Config'!$L$9:$L$12,0))</f>
        <v>2</v>
      </c>
      <c r="U215" s="8" t="s">
        <v>1257</v>
      </c>
      <c r="V215" s="24" t="n">
        <v>6</v>
      </c>
      <c r="W215" s="33" t="s">
        <v>533</v>
      </c>
      <c r="X215" s="8" t="s">
        <v>760</v>
      </c>
      <c r="Y215" s="51" t="n">
        <f aca="false">IF(N215="","",EDATE(N215,IF(G215="N",INDEX('Residual Config'!$B$31:$D$31,1,MATCH(D215,'Residual Config'!$B$27:$D$27,0)),INDEX('Residual Config'!$B$28:$D$30,IF(T215=1,1,IF(T215=4,3,2)),MATCH(D215,'Residual Config'!$B$27:$D$27,0)))))</f>
        <v>46447</v>
      </c>
      <c r="Z215" s="7" t="str">
        <f aca="false">IF(I215="N/A","N/A",IF(N215="","Not tested",IF(W215="Rejected","Evidence rejected",IF(W215&lt;&gt;"Accepted","Evidence pending",IF(Y215&lt;'Residual Config'!$C$4,"Overdue","Current")))))</f>
        <v>Current</v>
      </c>
      <c r="AA215" s="34" t="n">
        <f aca="false">IF(I215="N/A","",IF(Z215&lt;&gt;"Current",4,IF(MAX(M215,T215)=0,4,MAX(M215,T215))))</f>
        <v>2</v>
      </c>
      <c r="AB215" s="7" t="str">
        <f aca="false">IF(AA215="","N/A",IF(Z215&lt;&gt;"Current","Not tested / overdue",INDEX('Residual Config'!$B$11:$B$14,AA215)))</f>
        <v>Largely effective</v>
      </c>
      <c r="AC215" s="36" t="n">
        <f aca="false">IF(AA215="","",INDEX('Residual Config'!$D$11:$D$14,AA215))</f>
        <v>0.4</v>
      </c>
      <c r="AD215" s="7" t="str">
        <f aca="false">IF(OR(I215="N/A",P215="",Q215=""),"",IF(P215&gt;=Q215,"Yes","No"))</f>
        <v>Yes</v>
      </c>
      <c r="AE215" s="8"/>
    </row>
    <row r="216" customFormat="false" ht="15" hidden="false" customHeight="false" outlineLevel="0" collapsed="false">
      <c r="A216" s="12" t="s">
        <v>1258</v>
      </c>
      <c r="B216" s="26" t="str">
        <f aca="false">Entities!$A$9</f>
        <v>JO-LSG</v>
      </c>
      <c r="C216" s="12" t="str">
        <f aca="false">INDEX(Entities!$B$5:$B$34,MATCH(B216,Entities!$A$5:$A$34,0))</f>
        <v>Leasing subsidiary – Jordan</v>
      </c>
      <c r="D216" s="7" t="str">
        <f aca="false">INDEX(Entities!$F$5:$F$34,MATCH(B216,Entities!$A$5:$A$34,0))</f>
        <v>Tier 3</v>
      </c>
      <c r="E216" s="26" t="str">
        <f aca="false">'Control Library'!$A$44</f>
        <v>CTL-TP-01</v>
      </c>
      <c r="F216" s="12" t="str">
        <f aca="false">INDEX('Control Library'!$B$5:$B$47,MATCH(E216,'Control Library'!$A$5:$A$47,0))</f>
        <v>Critical vendor due diligence and tested exit plans</v>
      </c>
      <c r="G216" s="7" t="str">
        <f aca="false">INDEX('Control Library'!$F$5:$F$47,MATCH(E216,'Control Library'!$A$5:$A$47,0))</f>
        <v>Y</v>
      </c>
      <c r="H216" s="12" t="str">
        <f aca="false">INDEX('Control Library'!$E$5:$E$47,MATCH(E216,'Control Library'!$A$5:$A$47,0))</f>
        <v>Annual</v>
      </c>
      <c r="I216" s="7" t="str">
        <f aca="false">IF(INDEX('Control Library'!$I$5:$I$47,MATCH(E216,'Control Library'!$A$5:$A$47,0))="All","Y",IF(INDEX('Control Library'!$I$5:$I$47,MATCH(E216,'Control Library'!$A$5:$A$47,0))="Banks only",IF(COUNTIF('Residual Config'!$L$28:$L$30,INDEX(Entities!$E$5:$E$34,MATCH(B216,Entities!$A$5:$A$34,0)))&gt;0,"N/A","Y"),IF(INDEX(Entities!$G$5:$G$34,MATCH(B216,Entities!$A$5:$A$34,0))="Y","Y","N/A")))</f>
        <v>Y</v>
      </c>
      <c r="J216" s="8" t="s">
        <v>1205</v>
      </c>
      <c r="K216" s="8" t="s">
        <v>1172</v>
      </c>
      <c r="L216" s="7" t="str">
        <f aca="false">IF(OR(J216="",K216=""),"",IF(J216=K216,"Breach","OK"))</f>
        <v>OK</v>
      </c>
      <c r="M216" s="24" t="n">
        <v>3</v>
      </c>
      <c r="N216" s="50" t="n">
        <v>46107</v>
      </c>
      <c r="O216" s="8" t="s">
        <v>545</v>
      </c>
      <c r="P216" s="24" t="n">
        <v>1</v>
      </c>
      <c r="Q216" s="31" t="n">
        <f aca="false">IF(I216="N/A","",IFERROR(INDEX('Residual Config'!$B$35:$B$42,MATCH(H216,'Residual Config'!$A$35:$A$42,0)),""))</f>
        <v>1</v>
      </c>
      <c r="R216" s="24" t="n">
        <v>0</v>
      </c>
      <c r="S216" s="8" t="s">
        <v>516</v>
      </c>
      <c r="T216" s="31" t="n">
        <f aca="false">IF(S216="","",MATCH(S216,'Residual Config'!$L$9:$L$12,0))</f>
        <v>1</v>
      </c>
      <c r="U216" s="8" t="s">
        <v>1259</v>
      </c>
      <c r="V216" s="24" t="n">
        <v>1</v>
      </c>
      <c r="W216" s="33" t="s">
        <v>533</v>
      </c>
      <c r="X216" s="8" t="s">
        <v>754</v>
      </c>
      <c r="Y216" s="51" t="n">
        <f aca="false">IF(N216="","",EDATE(N216,IF(G216="N",INDEX('Residual Config'!$B$31:$D$31,1,MATCH(D216,'Residual Config'!$B$27:$D$27,0)),INDEX('Residual Config'!$B$28:$D$30,IF(T216=1,1,IF(T216=4,3,2)),MATCH(D216,'Residual Config'!$B$27:$D$27,0)))))</f>
        <v>46472</v>
      </c>
      <c r="Z216" s="7" t="str">
        <f aca="false">IF(I216="N/A","N/A",IF(N216="","Not tested",IF(W216="Rejected","Evidence rejected",IF(W216&lt;&gt;"Accepted","Evidence pending",IF(Y216&lt;'Residual Config'!$C$4,"Overdue","Current")))))</f>
        <v>Current</v>
      </c>
      <c r="AA216" s="34" t="n">
        <f aca="false">IF(I216="N/A","",IF(Z216&lt;&gt;"Current",4,IF(MAX(M216,T216)=0,4,MAX(M216,T216))))</f>
        <v>3</v>
      </c>
      <c r="AB216" s="7" t="str">
        <f aca="false">IF(AA216="","N/A",IF(Z216&lt;&gt;"Current","Not tested / overdue",INDEX('Residual Config'!$B$11:$B$14,AA216)))</f>
        <v>Partially effective</v>
      </c>
      <c r="AC216" s="36" t="n">
        <f aca="false">IF(AA216="","",INDEX('Residual Config'!$D$11:$D$14,AA216))</f>
        <v>0.2</v>
      </c>
      <c r="AD216" s="7" t="str">
        <f aca="false">IF(OR(I216="N/A",P216="",Q216=""),"",IF(P216&gt;=Q216,"Yes","No"))</f>
        <v>Yes</v>
      </c>
      <c r="AE216" s="8"/>
    </row>
    <row r="217" customFormat="false" ht="15" hidden="false" customHeight="false" outlineLevel="0" collapsed="false">
      <c r="A217" s="12" t="s">
        <v>1260</v>
      </c>
      <c r="B217" s="26" t="str">
        <f aca="false">Entities!$A$9</f>
        <v>JO-LSG</v>
      </c>
      <c r="C217" s="12" t="str">
        <f aca="false">INDEX(Entities!$B$5:$B$34,MATCH(B217,Entities!$A$5:$A$34,0))</f>
        <v>Leasing subsidiary – Jordan</v>
      </c>
      <c r="D217" s="7" t="str">
        <f aca="false">INDEX(Entities!$F$5:$F$34,MATCH(B217,Entities!$A$5:$A$34,0))</f>
        <v>Tier 3</v>
      </c>
      <c r="E217" s="26" t="str">
        <f aca="false">'Control Library'!$A$45</f>
        <v>CTL-LG-01</v>
      </c>
      <c r="F217" s="12" t="str">
        <f aca="false">INDEX('Control Library'!$B$5:$B$47,MATCH(E217,'Control Library'!$A$5:$A$47,0))</f>
        <v>Legal review of contracts and litigation register</v>
      </c>
      <c r="G217" s="7" t="str">
        <f aca="false">INDEX('Control Library'!$F$5:$F$47,MATCH(E217,'Control Library'!$A$5:$A$47,0))</f>
        <v>Y</v>
      </c>
      <c r="H217" s="12" t="str">
        <f aca="false">INDEX('Control Library'!$E$5:$E$47,MATCH(E217,'Control Library'!$A$5:$A$47,0))</f>
        <v>Event-driven</v>
      </c>
      <c r="I217" s="7" t="str">
        <f aca="false">IF(INDEX('Control Library'!$I$5:$I$47,MATCH(E217,'Control Library'!$A$5:$A$47,0))="All","Y",IF(INDEX('Control Library'!$I$5:$I$47,MATCH(E217,'Control Library'!$A$5:$A$47,0))="Banks only",IF(COUNTIF('Residual Config'!$L$28:$L$30,INDEX(Entities!$E$5:$E$34,MATCH(B217,Entities!$A$5:$A$34,0)))&gt;0,"N/A","Y"),IF(INDEX(Entities!$G$5:$G$34,MATCH(B217,Entities!$A$5:$A$34,0))="Y","Y","N/A")))</f>
        <v>Y</v>
      </c>
      <c r="J217" s="8" t="s">
        <v>1261</v>
      </c>
      <c r="K217" s="8" t="s">
        <v>1172</v>
      </c>
      <c r="L217" s="7" t="str">
        <f aca="false">IF(OR(J217="",K217=""),"",IF(J217=K217,"Breach","OK"))</f>
        <v>OK</v>
      </c>
      <c r="M217" s="24" t="n">
        <v>1</v>
      </c>
      <c r="N217" s="50" t="n">
        <v>46172</v>
      </c>
      <c r="O217" s="8" t="s">
        <v>546</v>
      </c>
      <c r="P217" s="24" t="n">
        <v>35</v>
      </c>
      <c r="Q217" s="31" t="n">
        <f aca="false">IF(I217="N/A","",IFERROR(INDEX('Residual Config'!$B$35:$B$42,MATCH(H217,'Residual Config'!$A$35:$A$42,0)),""))</f>
        <v>25</v>
      </c>
      <c r="R217" s="24" t="n">
        <v>1</v>
      </c>
      <c r="S217" s="8" t="s">
        <v>521</v>
      </c>
      <c r="T217" s="31" t="n">
        <f aca="false">IF(S217="","",MATCH(S217,'Residual Config'!$L$9:$L$12,0))</f>
        <v>2</v>
      </c>
      <c r="U217" s="8" t="s">
        <v>1262</v>
      </c>
      <c r="V217" s="24" t="n">
        <v>1</v>
      </c>
      <c r="W217" s="33" t="s">
        <v>533</v>
      </c>
      <c r="X217" s="8" t="s">
        <v>754</v>
      </c>
      <c r="Y217" s="51" t="n">
        <f aca="false">IF(N217="","",EDATE(N217,IF(G217="N",INDEX('Residual Config'!$B$31:$D$31,1,MATCH(D217,'Residual Config'!$B$27:$D$27,0)),INDEX('Residual Config'!$B$28:$D$30,IF(T217=1,1,IF(T217=4,3,2)),MATCH(D217,'Residual Config'!$B$27:$D$27,0)))))</f>
        <v>46356</v>
      </c>
      <c r="Z217" s="7" t="str">
        <f aca="false">IF(I217="N/A","N/A",IF(N217="","Not tested",IF(W217="Rejected","Evidence rejected",IF(W217&lt;&gt;"Accepted","Evidence pending",IF(Y217&lt;'Residual Config'!$C$4,"Overdue","Current")))))</f>
        <v>Current</v>
      </c>
      <c r="AA217" s="34" t="n">
        <f aca="false">IF(I217="N/A","",IF(Z217&lt;&gt;"Current",4,IF(MAX(M217,T217)=0,4,MAX(M217,T217))))</f>
        <v>2</v>
      </c>
      <c r="AB217" s="7" t="str">
        <f aca="false">IF(AA217="","N/A",IF(Z217&lt;&gt;"Current","Not tested / overdue",INDEX('Residual Config'!$B$11:$B$14,AA217)))</f>
        <v>Largely effective</v>
      </c>
      <c r="AC217" s="36" t="n">
        <f aca="false">IF(AA217="","",INDEX('Residual Config'!$D$11:$D$14,AA217))</f>
        <v>0.4</v>
      </c>
      <c r="AD217" s="7" t="str">
        <f aca="false">IF(OR(I217="N/A",P217="",Q217=""),"",IF(P217&gt;=Q217,"Yes","No"))</f>
        <v>Yes</v>
      </c>
      <c r="AE217" s="8"/>
    </row>
    <row r="218" customFormat="false" ht="15" hidden="false" customHeight="false" outlineLevel="0" collapsed="false">
      <c r="A218" s="12" t="s">
        <v>1263</v>
      </c>
      <c r="B218" s="26" t="str">
        <f aca="false">Entities!$A$9</f>
        <v>JO-LSG</v>
      </c>
      <c r="C218" s="12" t="str">
        <f aca="false">INDEX(Entities!$B$5:$B$34,MATCH(B218,Entities!$A$5:$A$34,0))</f>
        <v>Leasing subsidiary – Jordan</v>
      </c>
      <c r="D218" s="7" t="str">
        <f aca="false">INDEX(Entities!$F$5:$F$34,MATCH(B218,Entities!$A$5:$A$34,0))</f>
        <v>Tier 3</v>
      </c>
      <c r="E218" s="26" t="str">
        <f aca="false">'Control Library'!$A$46</f>
        <v>CTL-RP-01</v>
      </c>
      <c r="F218" s="12" t="str">
        <f aca="false">INDEX('Control Library'!$B$5:$B$47,MATCH(E218,'Control Library'!$A$5:$A$47,0))</f>
        <v>Media monitoring and reputational-risk escalation</v>
      </c>
      <c r="G218" s="7" t="str">
        <f aca="false">INDEX('Control Library'!$F$5:$F$47,MATCH(E218,'Control Library'!$A$5:$A$47,0))</f>
        <v>Y</v>
      </c>
      <c r="H218" s="12" t="str">
        <f aca="false">INDEX('Control Library'!$E$5:$E$47,MATCH(E218,'Control Library'!$A$5:$A$47,0))</f>
        <v>Daily</v>
      </c>
      <c r="I218" s="7" t="str">
        <f aca="false">IF(INDEX('Control Library'!$I$5:$I$47,MATCH(E218,'Control Library'!$A$5:$A$47,0))="All","Y",IF(INDEX('Control Library'!$I$5:$I$47,MATCH(E218,'Control Library'!$A$5:$A$47,0))="Banks only",IF(COUNTIF('Residual Config'!$L$28:$L$30,INDEX(Entities!$E$5:$E$34,MATCH(B218,Entities!$A$5:$A$34,0)))&gt;0,"N/A","Y"),IF(INDEX(Entities!$G$5:$G$34,MATCH(B218,Entities!$A$5:$A$34,0))="Y","Y","N/A")))</f>
        <v>Y</v>
      </c>
      <c r="J218" s="8" t="s">
        <v>1264</v>
      </c>
      <c r="K218" s="8" t="s">
        <v>1172</v>
      </c>
      <c r="L218" s="7" t="str">
        <f aca="false">IF(OR(J218="",K218=""),"",IF(J218=K218,"Breach","OK"))</f>
        <v>OK</v>
      </c>
      <c r="M218" s="24" t="n">
        <v>2</v>
      </c>
      <c r="N218" s="50" t="n">
        <v>46223</v>
      </c>
      <c r="O218" s="8" t="s">
        <v>546</v>
      </c>
      <c r="P218" s="24" t="n">
        <v>25</v>
      </c>
      <c r="Q218" s="31" t="n">
        <f aca="false">IF(I218="N/A","",IFERROR(INDEX('Residual Config'!$B$35:$B$42,MATCH(H218,'Residual Config'!$A$35:$A$42,0)),""))</f>
        <v>25</v>
      </c>
      <c r="R218" s="24" t="n">
        <v>1</v>
      </c>
      <c r="S218" s="8" t="s">
        <v>521</v>
      </c>
      <c r="T218" s="31" t="n">
        <f aca="false">IF(S218="","",MATCH(S218,'Residual Config'!$L$9:$L$12,0))</f>
        <v>2</v>
      </c>
      <c r="U218" s="8" t="s">
        <v>1265</v>
      </c>
      <c r="V218" s="24" t="n">
        <v>3</v>
      </c>
      <c r="W218" s="33" t="s">
        <v>533</v>
      </c>
      <c r="X218" s="8" t="s">
        <v>760</v>
      </c>
      <c r="Y218" s="51" t="n">
        <f aca="false">IF(N218="","",EDATE(N218,IF(G218="N",INDEX('Residual Config'!$B$31:$D$31,1,MATCH(D218,'Residual Config'!$B$27:$D$27,0)),INDEX('Residual Config'!$B$28:$D$30,IF(T218=1,1,IF(T218=4,3,2)),MATCH(D218,'Residual Config'!$B$27:$D$27,0)))))</f>
        <v>46407</v>
      </c>
      <c r="Z218" s="7" t="str">
        <f aca="false">IF(I218="N/A","N/A",IF(N218="","Not tested",IF(W218="Rejected","Evidence rejected",IF(W218&lt;&gt;"Accepted","Evidence pending",IF(Y218&lt;'Residual Config'!$C$4,"Overdue","Current")))))</f>
        <v>Current</v>
      </c>
      <c r="AA218" s="34" t="n">
        <f aca="false">IF(I218="N/A","",IF(Z218&lt;&gt;"Current",4,IF(MAX(M218,T218)=0,4,MAX(M218,T218))))</f>
        <v>2</v>
      </c>
      <c r="AB218" s="7" t="str">
        <f aca="false">IF(AA218="","N/A",IF(Z218&lt;&gt;"Current","Not tested / overdue",INDEX('Residual Config'!$B$11:$B$14,AA218)))</f>
        <v>Largely effective</v>
      </c>
      <c r="AC218" s="36" t="n">
        <f aca="false">IF(AA218="","",INDEX('Residual Config'!$D$11:$D$14,AA218))</f>
        <v>0.4</v>
      </c>
      <c r="AD218" s="7" t="str">
        <f aca="false">IF(OR(I218="N/A",P218="",Q218=""),"",IF(P218&gt;=Q218,"Yes","No"))</f>
        <v>Yes</v>
      </c>
      <c r="AE218" s="8"/>
    </row>
    <row r="219" customFormat="false" ht="15" hidden="false" customHeight="false" outlineLevel="0" collapsed="false">
      <c r="A219" s="12" t="s">
        <v>1266</v>
      </c>
      <c r="B219" s="26" t="str">
        <f aca="false">Entities!$A$9</f>
        <v>JO-LSG</v>
      </c>
      <c r="C219" s="12" t="str">
        <f aca="false">INDEX(Entities!$B$5:$B$34,MATCH(B219,Entities!$A$5:$A$34,0))</f>
        <v>Leasing subsidiary – Jordan</v>
      </c>
      <c r="D219" s="7" t="str">
        <f aca="false">INDEX(Entities!$F$5:$F$34,MATCH(B219,Entities!$A$5:$A$34,0))</f>
        <v>Tier 3</v>
      </c>
      <c r="E219" s="26" t="str">
        <f aca="false">'Control Library'!$A$47</f>
        <v>CTL-ST-01</v>
      </c>
      <c r="F219" s="12" t="str">
        <f aca="false">INDEX('Control Library'!$B$5:$B$47,MATCH(E219,'Control Library'!$A$5:$A$47,0))</f>
        <v>Strategy execution monitoring and E&amp;S screening of lending</v>
      </c>
      <c r="G219" s="7" t="str">
        <f aca="false">INDEX('Control Library'!$F$5:$F$47,MATCH(E219,'Control Library'!$A$5:$A$47,0))</f>
        <v>Y</v>
      </c>
      <c r="H219" s="12" t="str">
        <f aca="false">INDEX('Control Library'!$E$5:$E$47,MATCH(E219,'Control Library'!$A$5:$A$47,0))</f>
        <v>Quarterly</v>
      </c>
      <c r="I219" s="7" t="str">
        <f aca="false">IF(INDEX('Control Library'!$I$5:$I$47,MATCH(E219,'Control Library'!$A$5:$A$47,0))="All","Y",IF(INDEX('Control Library'!$I$5:$I$47,MATCH(E219,'Control Library'!$A$5:$A$47,0))="Banks only",IF(COUNTIF('Residual Config'!$L$28:$L$30,INDEX(Entities!$E$5:$E$34,MATCH(B219,Entities!$A$5:$A$34,0)))&gt;0,"N/A","Y"),IF(INDEX(Entities!$G$5:$G$34,MATCH(B219,Entities!$A$5:$A$34,0))="Y","Y","N/A")))</f>
        <v>Y</v>
      </c>
      <c r="J219" s="8" t="s">
        <v>1267</v>
      </c>
      <c r="K219" s="8" t="s">
        <v>1172</v>
      </c>
      <c r="L219" s="7" t="str">
        <f aca="false">IF(OR(J219="",K219=""),"",IF(J219=K219,"Breach","OK"))</f>
        <v>OK</v>
      </c>
      <c r="M219" s="24" t="n">
        <v>2</v>
      </c>
      <c r="N219" s="50" t="n">
        <v>46017</v>
      </c>
      <c r="O219" s="8" t="s">
        <v>546</v>
      </c>
      <c r="P219" s="24" t="n">
        <v>2</v>
      </c>
      <c r="Q219" s="31" t="n">
        <f aca="false">IF(I219="N/A","",IFERROR(INDEX('Residual Config'!$B$35:$B$42,MATCH(H219,'Residual Config'!$A$35:$A$42,0)),""))</f>
        <v>2</v>
      </c>
      <c r="R219" s="24" t="n">
        <v>0</v>
      </c>
      <c r="S219" s="8" t="s">
        <v>516</v>
      </c>
      <c r="T219" s="31" t="n">
        <f aca="false">IF(S219="","",MATCH(S219,'Residual Config'!$L$9:$L$12,0))</f>
        <v>1</v>
      </c>
      <c r="U219" s="8" t="s">
        <v>1268</v>
      </c>
      <c r="V219" s="24" t="n">
        <v>6</v>
      </c>
      <c r="W219" s="33" t="s">
        <v>533</v>
      </c>
      <c r="X219" s="8" t="s">
        <v>760</v>
      </c>
      <c r="Y219" s="51" t="n">
        <f aca="false">IF(N219="","",EDATE(N219,IF(G219="N",INDEX('Residual Config'!$B$31:$D$31,1,MATCH(D219,'Residual Config'!$B$27:$D$27,0)),INDEX('Residual Config'!$B$28:$D$30,IF(T219=1,1,IF(T219=4,3,2)),MATCH(D219,'Residual Config'!$B$27:$D$27,0)))))</f>
        <v>46382</v>
      </c>
      <c r="Z219" s="7" t="str">
        <f aca="false">IF(I219="N/A","N/A",IF(N219="","Not tested",IF(W219="Rejected","Evidence rejected",IF(W219&lt;&gt;"Accepted","Evidence pending",IF(Y219&lt;'Residual Config'!$C$4,"Overdue","Current")))))</f>
        <v>Current</v>
      </c>
      <c r="AA219" s="34" t="n">
        <f aca="false">IF(I219="N/A","",IF(Z219&lt;&gt;"Current",4,IF(MAX(M219,T219)=0,4,MAX(M219,T219))))</f>
        <v>2</v>
      </c>
      <c r="AB219" s="7" t="str">
        <f aca="false">IF(AA219="","N/A",IF(Z219&lt;&gt;"Current","Not tested / overdue",INDEX('Residual Config'!$B$11:$B$14,AA219)))</f>
        <v>Largely effective</v>
      </c>
      <c r="AC219" s="36" t="n">
        <f aca="false">IF(AA219="","",INDEX('Residual Config'!$D$11:$D$14,AA219))</f>
        <v>0.4</v>
      </c>
      <c r="AD219" s="7" t="str">
        <f aca="false">IF(OR(I219="N/A",P219="",Q219=""),"",IF(P219&gt;=Q219,"Yes","No"))</f>
        <v>Yes</v>
      </c>
      <c r="AE219" s="8"/>
    </row>
    <row r="220" customFormat="false" ht="15" hidden="false" customHeight="false" outlineLevel="0" collapsed="false">
      <c r="A220" s="12" t="s">
        <v>1269</v>
      </c>
      <c r="B220" s="26" t="str">
        <f aca="false">Entities!$A$10</f>
        <v>PS</v>
      </c>
      <c r="C220" s="12" t="str">
        <f aca="false">INDEX(Entities!$B$5:$B$34,MATCH(B220,Entities!$A$5:$A$34,0))</f>
        <v>Arab Bank – Palestine</v>
      </c>
      <c r="D220" s="7" t="str">
        <f aca="false">INDEX(Entities!$F$5:$F$34,MATCH(B220,Entities!$A$5:$A$34,0))</f>
        <v>Tier 1</v>
      </c>
      <c r="E220" s="26" t="str">
        <f aca="false">'Control Library'!$A$5</f>
        <v>CTL-KYC-01</v>
      </c>
      <c r="F220" s="12" t="str">
        <f aca="false">INDEX('Control Library'!$B$5:$B$47,MATCH(E220,'Control Library'!$A$5:$A$47,0))</f>
        <v>Customer due diligence and ID verification at onboarding</v>
      </c>
      <c r="G220" s="7" t="str">
        <f aca="false">INDEX('Control Library'!$F$5:$F$47,MATCH(E220,'Control Library'!$A$5:$A$47,0))</f>
        <v>Y</v>
      </c>
      <c r="H220" s="12" t="str">
        <f aca="false">INDEX('Control Library'!$E$5:$E$47,MATCH(E220,'Control Library'!$A$5:$A$47,0))</f>
        <v>Event-driven</v>
      </c>
      <c r="I220" s="7" t="str">
        <f aca="false">IF(INDEX('Control Library'!$I$5:$I$47,MATCH(E220,'Control Library'!$A$5:$A$47,0))="All","Y",IF(INDEX('Control Library'!$I$5:$I$47,MATCH(E220,'Control Library'!$A$5:$A$47,0))="Banks only",IF(COUNTIF('Residual Config'!$L$28:$L$30,INDEX(Entities!$E$5:$E$34,MATCH(B220,Entities!$A$5:$A$34,0)))&gt;0,"N/A","Y"),IF(INDEX(Entities!$G$5:$G$34,MATCH(B220,Entities!$A$5:$A$34,0))="Y","Y","N/A")))</f>
        <v>Y</v>
      </c>
      <c r="J220" s="8" t="s">
        <v>1270</v>
      </c>
      <c r="K220" s="8" t="s">
        <v>752</v>
      </c>
      <c r="L220" s="7" t="str">
        <f aca="false">IF(OR(J220="",K220=""),"",IF(J220=K220,"Breach","OK"))</f>
        <v>OK</v>
      </c>
      <c r="M220" s="24" t="n">
        <v>2</v>
      </c>
      <c r="N220" s="50" t="n">
        <v>46236</v>
      </c>
      <c r="O220" s="8" t="s">
        <v>546</v>
      </c>
      <c r="P220" s="24" t="n">
        <v>25</v>
      </c>
      <c r="Q220" s="31" t="n">
        <f aca="false">IF(I220="N/A","",IFERROR(INDEX('Residual Config'!$B$35:$B$42,MATCH(H220,'Residual Config'!$A$35:$A$42,0)),""))</f>
        <v>25</v>
      </c>
      <c r="R220" s="24" t="n">
        <v>2</v>
      </c>
      <c r="S220" s="8" t="s">
        <v>524</v>
      </c>
      <c r="T220" s="31" t="n">
        <f aca="false">IF(S220="","",MATCH(S220,'Residual Config'!$L$9:$L$12,0))</f>
        <v>3</v>
      </c>
      <c r="U220" s="8" t="s">
        <v>1271</v>
      </c>
      <c r="V220" s="24" t="n">
        <v>1</v>
      </c>
      <c r="W220" s="33" t="s">
        <v>533</v>
      </c>
      <c r="X220" s="8" t="s">
        <v>754</v>
      </c>
      <c r="Y220" s="51" t="n">
        <f aca="false">IF(N220="","",EDATE(N220,IF(G220="N",INDEX('Residual Config'!$B$31:$D$31,1,MATCH(D220,'Residual Config'!$B$27:$D$27,0)),INDEX('Residual Config'!$B$28:$D$30,IF(T220=1,1,IF(T220=4,3,2)),MATCH(D220,'Residual Config'!$B$27:$D$27,0)))))</f>
        <v>46328</v>
      </c>
      <c r="Z220" s="7" t="str">
        <f aca="false">IF(I220="N/A","N/A",IF(N220="","Not tested",IF(W220="Rejected","Evidence rejected",IF(W220&lt;&gt;"Accepted","Evidence pending",IF(Y220&lt;'Residual Config'!$C$4,"Overdue","Current")))))</f>
        <v>Current</v>
      </c>
      <c r="AA220" s="34" t="n">
        <f aca="false">IF(I220="N/A","",IF(Z220&lt;&gt;"Current",4,IF(MAX(M220,T220)=0,4,MAX(M220,T220))))</f>
        <v>3</v>
      </c>
      <c r="AB220" s="7" t="str">
        <f aca="false">IF(AA220="","N/A",IF(Z220&lt;&gt;"Current","Not tested / overdue",INDEX('Residual Config'!$B$11:$B$14,AA220)))</f>
        <v>Partially effective</v>
      </c>
      <c r="AC220" s="36" t="n">
        <f aca="false">IF(AA220="","",INDEX('Residual Config'!$D$11:$D$14,AA220))</f>
        <v>0.2</v>
      </c>
      <c r="AD220" s="7" t="str">
        <f aca="false">IF(OR(I220="N/A",P220="",Q220=""),"",IF(P220&gt;=Q220,"Yes","No"))</f>
        <v>Yes</v>
      </c>
      <c r="AE220" s="8"/>
    </row>
    <row r="221" customFormat="false" ht="15" hidden="false" customHeight="false" outlineLevel="0" collapsed="false">
      <c r="A221" s="12" t="s">
        <v>1272</v>
      </c>
      <c r="B221" s="26" t="str">
        <f aca="false">Entities!$A$10</f>
        <v>PS</v>
      </c>
      <c r="C221" s="12" t="str">
        <f aca="false">INDEX(Entities!$B$5:$B$34,MATCH(B221,Entities!$A$5:$A$34,0))</f>
        <v>Arab Bank – Palestine</v>
      </c>
      <c r="D221" s="7" t="str">
        <f aca="false">INDEX(Entities!$F$5:$F$34,MATCH(B221,Entities!$A$5:$A$34,0))</f>
        <v>Tier 1</v>
      </c>
      <c r="E221" s="26" t="str">
        <f aca="false">'Control Library'!$A$6</f>
        <v>CTL-KYC-02</v>
      </c>
      <c r="F221" s="12" t="str">
        <f aca="false">INDEX('Control Library'!$B$5:$B$47,MATCH(E221,'Control Library'!$A$5:$A$47,0))</f>
        <v>Enhanced due diligence for high-risk customers and PEPs, senior approval</v>
      </c>
      <c r="G221" s="7" t="str">
        <f aca="false">INDEX('Control Library'!$F$5:$F$47,MATCH(E221,'Control Library'!$A$5:$A$47,0))</f>
        <v>Y</v>
      </c>
      <c r="H221" s="12" t="str">
        <f aca="false">INDEX('Control Library'!$E$5:$E$47,MATCH(E221,'Control Library'!$A$5:$A$47,0))</f>
        <v>Event-driven</v>
      </c>
      <c r="I221" s="7" t="str">
        <f aca="false">IF(INDEX('Control Library'!$I$5:$I$47,MATCH(E221,'Control Library'!$A$5:$A$47,0))="All","Y",IF(INDEX('Control Library'!$I$5:$I$47,MATCH(E221,'Control Library'!$A$5:$A$47,0))="Banks only",IF(COUNTIF('Residual Config'!$L$28:$L$30,INDEX(Entities!$E$5:$E$34,MATCH(B221,Entities!$A$5:$A$34,0)))&gt;0,"N/A","Y"),IF(INDEX(Entities!$G$5:$G$34,MATCH(B221,Entities!$A$5:$A$34,0))="Y","Y","N/A")))</f>
        <v>Y</v>
      </c>
      <c r="J221" s="8" t="s">
        <v>1273</v>
      </c>
      <c r="K221" s="8" t="s">
        <v>752</v>
      </c>
      <c r="L221" s="7" t="str">
        <f aca="false">IF(OR(J221="",K221=""),"",IF(J221=K221,"Breach","OK"))</f>
        <v>OK</v>
      </c>
      <c r="M221" s="24" t="n">
        <v>2</v>
      </c>
      <c r="N221" s="50" t="n">
        <v>46281</v>
      </c>
      <c r="O221" s="8" t="s">
        <v>545</v>
      </c>
      <c r="P221" s="24" t="n">
        <v>25</v>
      </c>
      <c r="Q221" s="31" t="n">
        <f aca="false">IF(I221="N/A","",IFERROR(INDEX('Residual Config'!$B$35:$B$42,MATCH(H221,'Residual Config'!$A$35:$A$42,0)),""))</f>
        <v>25</v>
      </c>
      <c r="R221" s="24" t="n">
        <v>3</v>
      </c>
      <c r="S221" s="8" t="s">
        <v>524</v>
      </c>
      <c r="T221" s="31" t="n">
        <f aca="false">IF(S221="","",MATCH(S221,'Residual Config'!$L$9:$L$12,0))</f>
        <v>3</v>
      </c>
      <c r="U221" s="8" t="s">
        <v>1274</v>
      </c>
      <c r="V221" s="24" t="n">
        <v>2</v>
      </c>
      <c r="W221" s="33" t="s">
        <v>533</v>
      </c>
      <c r="X221" s="8" t="s">
        <v>760</v>
      </c>
      <c r="Y221" s="51" t="n">
        <f aca="false">IF(N221="","",EDATE(N221,IF(G221="N",INDEX('Residual Config'!$B$31:$D$31,1,MATCH(D221,'Residual Config'!$B$27:$D$27,0)),INDEX('Residual Config'!$B$28:$D$30,IF(T221=1,1,IF(T221=4,3,2)),MATCH(D221,'Residual Config'!$B$27:$D$27,0)))))</f>
        <v>46372</v>
      </c>
      <c r="Z221" s="7" t="str">
        <f aca="false">IF(I221="N/A","N/A",IF(N221="","Not tested",IF(W221="Rejected","Evidence rejected",IF(W221&lt;&gt;"Accepted","Evidence pending",IF(Y221&lt;'Residual Config'!$C$4,"Overdue","Current")))))</f>
        <v>Current</v>
      </c>
      <c r="AA221" s="34" t="n">
        <f aca="false">IF(I221="N/A","",IF(Z221&lt;&gt;"Current",4,IF(MAX(M221,T221)=0,4,MAX(M221,T221))))</f>
        <v>3</v>
      </c>
      <c r="AB221" s="7" t="str">
        <f aca="false">IF(AA221="","N/A",IF(Z221&lt;&gt;"Current","Not tested / overdue",INDEX('Residual Config'!$B$11:$B$14,AA221)))</f>
        <v>Partially effective</v>
      </c>
      <c r="AC221" s="36" t="n">
        <f aca="false">IF(AA221="","",INDEX('Residual Config'!$D$11:$D$14,AA221))</f>
        <v>0.2</v>
      </c>
      <c r="AD221" s="7" t="str">
        <f aca="false">IF(OR(I221="N/A",P221="",Q221=""),"",IF(P221&gt;=Q221,"Yes","No"))</f>
        <v>Yes</v>
      </c>
      <c r="AE221" s="8"/>
    </row>
    <row r="222" customFormat="false" ht="15" hidden="false" customHeight="false" outlineLevel="0" collapsed="false">
      <c r="A222" s="12" t="s">
        <v>1275</v>
      </c>
      <c r="B222" s="26" t="str">
        <f aca="false">Entities!$A$10</f>
        <v>PS</v>
      </c>
      <c r="C222" s="12" t="str">
        <f aca="false">INDEX(Entities!$B$5:$B$34,MATCH(B222,Entities!$A$5:$A$34,0))</f>
        <v>Arab Bank – Palestine</v>
      </c>
      <c r="D222" s="7" t="str">
        <f aca="false">INDEX(Entities!$F$5:$F$34,MATCH(B222,Entities!$A$5:$A$34,0))</f>
        <v>Tier 1</v>
      </c>
      <c r="E222" s="26" t="str">
        <f aca="false">'Control Library'!$A$7</f>
        <v>CTL-KYC-03</v>
      </c>
      <c r="F222" s="12" t="str">
        <f aca="false">INDEX('Control Library'!$B$5:$B$47,MATCH(E222,'Control Library'!$A$5:$A$47,0))</f>
        <v>Ultimate beneficial owner identification and verification</v>
      </c>
      <c r="G222" s="7" t="str">
        <f aca="false">INDEX('Control Library'!$F$5:$F$47,MATCH(E222,'Control Library'!$A$5:$A$47,0))</f>
        <v>Y</v>
      </c>
      <c r="H222" s="12" t="str">
        <f aca="false">INDEX('Control Library'!$E$5:$E$47,MATCH(E222,'Control Library'!$A$5:$A$47,0))</f>
        <v>Event-driven</v>
      </c>
      <c r="I222" s="7" t="str">
        <f aca="false">IF(INDEX('Control Library'!$I$5:$I$47,MATCH(E222,'Control Library'!$A$5:$A$47,0))="All","Y",IF(INDEX('Control Library'!$I$5:$I$47,MATCH(E222,'Control Library'!$A$5:$A$47,0))="Banks only",IF(COUNTIF('Residual Config'!$L$28:$L$30,INDEX(Entities!$E$5:$E$34,MATCH(B222,Entities!$A$5:$A$34,0)))&gt;0,"N/A","Y"),IF(INDEX(Entities!$G$5:$G$34,MATCH(B222,Entities!$A$5:$A$34,0))="Y","Y","N/A")))</f>
        <v>Y</v>
      </c>
      <c r="J222" s="8" t="s">
        <v>1270</v>
      </c>
      <c r="K222" s="8" t="s">
        <v>752</v>
      </c>
      <c r="L222" s="7" t="str">
        <f aca="false">IF(OR(J222="",K222=""),"",IF(J222=K222,"Breach","OK"))</f>
        <v>OK</v>
      </c>
      <c r="M222" s="24" t="n">
        <v>2</v>
      </c>
      <c r="N222" s="50" t="n">
        <v>46259</v>
      </c>
      <c r="O222" s="8" t="s">
        <v>545</v>
      </c>
      <c r="P222" s="24" t="n">
        <v>35</v>
      </c>
      <c r="Q222" s="31" t="n">
        <f aca="false">IF(I222="N/A","",IFERROR(INDEX('Residual Config'!$B$35:$B$42,MATCH(H222,'Residual Config'!$A$35:$A$42,0)),""))</f>
        <v>25</v>
      </c>
      <c r="R222" s="24" t="n">
        <v>1</v>
      </c>
      <c r="S222" s="8" t="s">
        <v>521</v>
      </c>
      <c r="T222" s="31" t="n">
        <f aca="false">IF(S222="","",MATCH(S222,'Residual Config'!$L$9:$L$12,0))</f>
        <v>2</v>
      </c>
      <c r="U222" s="8" t="s">
        <v>1276</v>
      </c>
      <c r="V222" s="24" t="n">
        <v>4</v>
      </c>
      <c r="W222" s="33" t="s">
        <v>533</v>
      </c>
      <c r="X222" s="8" t="s">
        <v>754</v>
      </c>
      <c r="Y222" s="51" t="n">
        <f aca="false">IF(N222="","",EDATE(N222,IF(G222="N",INDEX('Residual Config'!$B$31:$D$31,1,MATCH(D222,'Residual Config'!$B$27:$D$27,0)),INDEX('Residual Config'!$B$28:$D$30,IF(T222=1,1,IF(T222=4,3,2)),MATCH(D222,'Residual Config'!$B$27:$D$27,0)))))</f>
        <v>46351</v>
      </c>
      <c r="Z222" s="7" t="str">
        <f aca="false">IF(I222="N/A","N/A",IF(N222="","Not tested",IF(W222="Rejected","Evidence rejected",IF(W222&lt;&gt;"Accepted","Evidence pending",IF(Y222&lt;'Residual Config'!$C$4,"Overdue","Current")))))</f>
        <v>Current</v>
      </c>
      <c r="AA222" s="34" t="n">
        <f aca="false">IF(I222="N/A","",IF(Z222&lt;&gt;"Current",4,IF(MAX(M222,T222)=0,4,MAX(M222,T222))))</f>
        <v>2</v>
      </c>
      <c r="AB222" s="7" t="str">
        <f aca="false">IF(AA222="","N/A",IF(Z222&lt;&gt;"Current","Not tested / overdue",INDEX('Residual Config'!$B$11:$B$14,AA222)))</f>
        <v>Largely effective</v>
      </c>
      <c r="AC222" s="36" t="n">
        <f aca="false">IF(AA222="","",INDEX('Residual Config'!$D$11:$D$14,AA222))</f>
        <v>0.4</v>
      </c>
      <c r="AD222" s="7" t="str">
        <f aca="false">IF(OR(I222="N/A",P222="",Q222=""),"",IF(P222&gt;=Q222,"Yes","No"))</f>
        <v>Yes</v>
      </c>
      <c r="AE222" s="8"/>
    </row>
    <row r="223" customFormat="false" ht="15" hidden="false" customHeight="false" outlineLevel="0" collapsed="false">
      <c r="A223" s="12" t="s">
        <v>1277</v>
      </c>
      <c r="B223" s="26" t="str">
        <f aca="false">Entities!$A$10</f>
        <v>PS</v>
      </c>
      <c r="C223" s="12" t="str">
        <f aca="false">INDEX(Entities!$B$5:$B$34,MATCH(B223,Entities!$A$5:$A$34,0))</f>
        <v>Arab Bank – Palestine</v>
      </c>
      <c r="D223" s="7" t="str">
        <f aca="false">INDEX(Entities!$F$5:$F$34,MATCH(B223,Entities!$A$5:$A$34,0))</f>
        <v>Tier 1</v>
      </c>
      <c r="E223" s="26" t="str">
        <f aca="false">'Control Library'!$A$8</f>
        <v>CTL-KYC-04</v>
      </c>
      <c r="F223" s="12" t="str">
        <f aca="false">INDEX('Control Library'!$B$5:$B$47,MATCH(E223,'Control Library'!$A$5:$A$47,0))</f>
        <v>Periodic KYC review by customer risk rating</v>
      </c>
      <c r="G223" s="7" t="str">
        <f aca="false">INDEX('Control Library'!$F$5:$F$47,MATCH(E223,'Control Library'!$A$5:$A$47,0))</f>
        <v>Y</v>
      </c>
      <c r="H223" s="12" t="str">
        <f aca="false">INDEX('Control Library'!$E$5:$E$47,MATCH(E223,'Control Library'!$A$5:$A$47,0))</f>
        <v>Monthly</v>
      </c>
      <c r="I223" s="7" t="str">
        <f aca="false">IF(INDEX('Control Library'!$I$5:$I$47,MATCH(E223,'Control Library'!$A$5:$A$47,0))="All","Y",IF(INDEX('Control Library'!$I$5:$I$47,MATCH(E223,'Control Library'!$A$5:$A$47,0))="Banks only",IF(COUNTIF('Residual Config'!$L$28:$L$30,INDEX(Entities!$E$5:$E$34,MATCH(B223,Entities!$A$5:$A$34,0)))&gt;0,"N/A","Y"),IF(INDEX(Entities!$G$5:$G$34,MATCH(B223,Entities!$A$5:$A$34,0))="Y","Y","N/A")))</f>
        <v>Y</v>
      </c>
      <c r="J223" s="8" t="s">
        <v>1270</v>
      </c>
      <c r="K223" s="8" t="s">
        <v>752</v>
      </c>
      <c r="L223" s="7" t="str">
        <f aca="false">IF(OR(J223="",K223=""),"",IF(J223=K223,"Breach","OK"))</f>
        <v>OK</v>
      </c>
      <c r="M223" s="24" t="n">
        <v>2</v>
      </c>
      <c r="N223" s="50" t="n">
        <v>46242</v>
      </c>
      <c r="O223" s="8" t="s">
        <v>545</v>
      </c>
      <c r="P223" s="24" t="n">
        <v>3</v>
      </c>
      <c r="Q223" s="31" t="n">
        <f aca="false">IF(I223="N/A","",IFERROR(INDEX('Residual Config'!$B$35:$B$42,MATCH(H223,'Residual Config'!$A$35:$A$42,0)),""))</f>
        <v>3</v>
      </c>
      <c r="R223" s="24" t="n">
        <v>2</v>
      </c>
      <c r="S223" s="8" t="s">
        <v>524</v>
      </c>
      <c r="T223" s="31" t="n">
        <f aca="false">IF(S223="","",MATCH(S223,'Residual Config'!$L$9:$L$12,0))</f>
        <v>3</v>
      </c>
      <c r="U223" s="8" t="s">
        <v>1278</v>
      </c>
      <c r="V223" s="24" t="n">
        <v>5</v>
      </c>
      <c r="W223" s="33" t="s">
        <v>533</v>
      </c>
      <c r="X223" s="8" t="s">
        <v>754</v>
      </c>
      <c r="Y223" s="51" t="n">
        <f aca="false">IF(N223="","",EDATE(N223,IF(G223="N",INDEX('Residual Config'!$B$31:$D$31,1,MATCH(D223,'Residual Config'!$B$27:$D$27,0)),INDEX('Residual Config'!$B$28:$D$30,IF(T223=1,1,IF(T223=4,3,2)),MATCH(D223,'Residual Config'!$B$27:$D$27,0)))))</f>
        <v>46334</v>
      </c>
      <c r="Z223" s="7" t="str">
        <f aca="false">IF(I223="N/A","N/A",IF(N223="","Not tested",IF(W223="Rejected","Evidence rejected",IF(W223&lt;&gt;"Accepted","Evidence pending",IF(Y223&lt;'Residual Config'!$C$4,"Overdue","Current")))))</f>
        <v>Current</v>
      </c>
      <c r="AA223" s="34" t="n">
        <f aca="false">IF(I223="N/A","",IF(Z223&lt;&gt;"Current",4,IF(MAX(M223,T223)=0,4,MAX(M223,T223))))</f>
        <v>3</v>
      </c>
      <c r="AB223" s="7" t="str">
        <f aca="false">IF(AA223="","N/A",IF(Z223&lt;&gt;"Current","Not tested / overdue",INDEX('Residual Config'!$B$11:$B$14,AA223)))</f>
        <v>Partially effective</v>
      </c>
      <c r="AC223" s="36" t="n">
        <f aca="false">IF(AA223="","",INDEX('Residual Config'!$D$11:$D$14,AA223))</f>
        <v>0.2</v>
      </c>
      <c r="AD223" s="7" t="str">
        <f aca="false">IF(OR(I223="N/A",P223="",Q223=""),"",IF(P223&gt;=Q223,"Yes","No"))</f>
        <v>Yes</v>
      </c>
      <c r="AE223" s="8"/>
    </row>
    <row r="224" customFormat="false" ht="15" hidden="false" customHeight="false" outlineLevel="0" collapsed="false">
      <c r="A224" s="12" t="s">
        <v>1279</v>
      </c>
      <c r="B224" s="26" t="str">
        <f aca="false">Entities!$A$10</f>
        <v>PS</v>
      </c>
      <c r="C224" s="12" t="str">
        <f aca="false">INDEX(Entities!$B$5:$B$34,MATCH(B224,Entities!$A$5:$A$34,0))</f>
        <v>Arab Bank – Palestine</v>
      </c>
      <c r="D224" s="7" t="str">
        <f aca="false">INDEX(Entities!$F$5:$F$34,MATCH(B224,Entities!$A$5:$A$34,0))</f>
        <v>Tier 1</v>
      </c>
      <c r="E224" s="26" t="str">
        <f aca="false">'Control Library'!$A$9</f>
        <v>CTL-CRR-01</v>
      </c>
      <c r="F224" s="12" t="str">
        <f aca="false">INDEX('Control Library'!$B$5:$B$47,MATCH(E224,'Control Library'!$A$5:$A$47,0))</f>
        <v>Customer risk rating model and annual validation</v>
      </c>
      <c r="G224" s="7" t="str">
        <f aca="false">INDEX('Control Library'!$F$5:$F$47,MATCH(E224,'Control Library'!$A$5:$A$47,0))</f>
        <v>N</v>
      </c>
      <c r="H224" s="12" t="str">
        <f aca="false">INDEX('Control Library'!$E$5:$E$47,MATCH(E224,'Control Library'!$A$5:$A$47,0))</f>
        <v>Annual</v>
      </c>
      <c r="I224" s="7" t="str">
        <f aca="false">IF(INDEX('Control Library'!$I$5:$I$47,MATCH(E224,'Control Library'!$A$5:$A$47,0))="All","Y",IF(INDEX('Control Library'!$I$5:$I$47,MATCH(E224,'Control Library'!$A$5:$A$47,0))="Banks only",IF(COUNTIF('Residual Config'!$L$28:$L$30,INDEX(Entities!$E$5:$E$34,MATCH(B224,Entities!$A$5:$A$34,0)))&gt;0,"N/A","Y"),IF(INDEX(Entities!$G$5:$G$34,MATCH(B224,Entities!$A$5:$A$34,0))="Y","Y","N/A")))</f>
        <v>Y</v>
      </c>
      <c r="J224" s="8" t="s">
        <v>1273</v>
      </c>
      <c r="K224" s="8" t="s">
        <v>1280</v>
      </c>
      <c r="L224" s="7" t="str">
        <f aca="false">IF(OR(J224="",K224=""),"",IF(J224=K224,"Breach","OK"))</f>
        <v>OK</v>
      </c>
      <c r="M224" s="24" t="n">
        <v>3</v>
      </c>
      <c r="N224" s="50" t="n">
        <v>46112</v>
      </c>
      <c r="O224" s="8" t="s">
        <v>546</v>
      </c>
      <c r="P224" s="24" t="n">
        <v>1</v>
      </c>
      <c r="Q224" s="31" t="n">
        <f aca="false">IF(I224="N/A","",IFERROR(INDEX('Residual Config'!$B$35:$B$42,MATCH(H224,'Residual Config'!$A$35:$A$42,0)),""))</f>
        <v>1</v>
      </c>
      <c r="R224" s="24" t="n">
        <v>1</v>
      </c>
      <c r="S224" s="8" t="s">
        <v>524</v>
      </c>
      <c r="T224" s="31" t="n">
        <f aca="false">IF(S224="","",MATCH(S224,'Residual Config'!$L$9:$L$12,0))</f>
        <v>3</v>
      </c>
      <c r="U224" s="8" t="s">
        <v>1281</v>
      </c>
      <c r="V224" s="24" t="n">
        <v>3</v>
      </c>
      <c r="W224" s="33" t="s">
        <v>533</v>
      </c>
      <c r="X224" s="8" t="s">
        <v>754</v>
      </c>
      <c r="Y224" s="51" t="n">
        <f aca="false">IF(N224="","",EDATE(N224,IF(G224="N",INDEX('Residual Config'!$B$31:$D$31,1,MATCH(D224,'Residual Config'!$B$27:$D$27,0)),INDEX('Residual Config'!$B$28:$D$30,IF(T224=1,1,IF(T224=4,3,2)),MATCH(D224,'Residual Config'!$B$27:$D$27,0)))))</f>
        <v>46477</v>
      </c>
      <c r="Z224" s="7" t="str">
        <f aca="false">IF(I224="N/A","N/A",IF(N224="","Not tested",IF(W224="Rejected","Evidence rejected",IF(W224&lt;&gt;"Accepted","Evidence pending",IF(Y224&lt;'Residual Config'!$C$4,"Overdue","Current")))))</f>
        <v>Current</v>
      </c>
      <c r="AA224" s="34" t="n">
        <f aca="false">IF(I224="N/A","",IF(Z224&lt;&gt;"Current",4,IF(MAX(M224,T224)=0,4,MAX(M224,T224))))</f>
        <v>3</v>
      </c>
      <c r="AB224" s="7" t="str">
        <f aca="false">IF(AA224="","N/A",IF(Z224&lt;&gt;"Current","Not tested / overdue",INDEX('Residual Config'!$B$11:$B$14,AA224)))</f>
        <v>Partially effective</v>
      </c>
      <c r="AC224" s="36" t="n">
        <f aca="false">IF(AA224="","",INDEX('Residual Config'!$D$11:$D$14,AA224))</f>
        <v>0.2</v>
      </c>
      <c r="AD224" s="7" t="str">
        <f aca="false">IF(OR(I224="N/A",P224="",Q224=""),"",IF(P224&gt;=Q224,"Yes","No"))</f>
        <v>Yes</v>
      </c>
      <c r="AE224" s="8"/>
    </row>
    <row r="225" customFormat="false" ht="15" hidden="false" customHeight="false" outlineLevel="0" collapsed="false">
      <c r="A225" s="12" t="s">
        <v>1282</v>
      </c>
      <c r="B225" s="26" t="str">
        <f aca="false">Entities!$A$10</f>
        <v>PS</v>
      </c>
      <c r="C225" s="12" t="str">
        <f aca="false">INDEX(Entities!$B$5:$B$34,MATCH(B225,Entities!$A$5:$A$34,0))</f>
        <v>Arab Bank – Palestine</v>
      </c>
      <c r="D225" s="7" t="str">
        <f aca="false">INDEX(Entities!$F$5:$F$34,MATCH(B225,Entities!$A$5:$A$34,0))</f>
        <v>Tier 1</v>
      </c>
      <c r="E225" s="26" t="str">
        <f aca="false">'Control Library'!$A$10</f>
        <v>CTL-TM-01</v>
      </c>
      <c r="F225" s="12" t="str">
        <f aca="false">INDEX('Control Library'!$B$5:$B$47,MATCH(E225,'Control Library'!$A$5:$A$47,0))</f>
        <v>Automated transaction monitoring scenarios and annual tuning</v>
      </c>
      <c r="G225" s="7" t="str">
        <f aca="false">INDEX('Control Library'!$F$5:$F$47,MATCH(E225,'Control Library'!$A$5:$A$47,0))</f>
        <v>Y</v>
      </c>
      <c r="H225" s="12" t="str">
        <f aca="false">INDEX('Control Library'!$E$5:$E$47,MATCH(E225,'Control Library'!$A$5:$A$47,0))</f>
        <v>Continuous</v>
      </c>
      <c r="I225" s="7" t="str">
        <f aca="false">IF(INDEX('Control Library'!$I$5:$I$47,MATCH(E225,'Control Library'!$A$5:$A$47,0))="All","Y",IF(INDEX('Control Library'!$I$5:$I$47,MATCH(E225,'Control Library'!$A$5:$A$47,0))="Banks only",IF(COUNTIF('Residual Config'!$L$28:$L$30,INDEX(Entities!$E$5:$E$34,MATCH(B225,Entities!$A$5:$A$34,0)))&gt;0,"N/A","Y"),IF(INDEX(Entities!$G$5:$G$34,MATCH(B225,Entities!$A$5:$A$34,0))="Y","Y","N/A")))</f>
        <v>Y</v>
      </c>
      <c r="J225" s="8" t="s">
        <v>1283</v>
      </c>
      <c r="K225" s="8" t="s">
        <v>752</v>
      </c>
      <c r="L225" s="7" t="str">
        <f aca="false">IF(OR(J225="",K225=""),"",IF(J225=K225,"Breach","OK"))</f>
        <v>OK</v>
      </c>
      <c r="M225" s="24" t="n">
        <v>3</v>
      </c>
      <c r="N225" s="50" t="n">
        <v>46248</v>
      </c>
      <c r="O225" s="8" t="s">
        <v>547</v>
      </c>
      <c r="P225" s="24" t="n">
        <v>1</v>
      </c>
      <c r="Q225" s="31" t="n">
        <f aca="false">IF(I225="N/A","",IFERROR(INDEX('Residual Config'!$B$35:$B$42,MATCH(H225,'Residual Config'!$A$35:$A$42,0)),""))</f>
        <v>1</v>
      </c>
      <c r="R225" s="24" t="n">
        <v>1</v>
      </c>
      <c r="S225" s="8" t="s">
        <v>521</v>
      </c>
      <c r="T225" s="31" t="n">
        <f aca="false">IF(S225="","",MATCH(S225,'Residual Config'!$L$9:$L$12,0))</f>
        <v>2</v>
      </c>
      <c r="U225" s="8" t="s">
        <v>1284</v>
      </c>
      <c r="V225" s="24" t="n">
        <v>3</v>
      </c>
      <c r="W225" s="33" t="s">
        <v>533</v>
      </c>
      <c r="X225" s="8" t="s">
        <v>754</v>
      </c>
      <c r="Y225" s="51" t="n">
        <f aca="false">IF(N225="","",EDATE(N225,IF(G225="N",INDEX('Residual Config'!$B$31:$D$31,1,MATCH(D225,'Residual Config'!$B$27:$D$27,0)),INDEX('Residual Config'!$B$28:$D$30,IF(T225=1,1,IF(T225=4,3,2)),MATCH(D225,'Residual Config'!$B$27:$D$27,0)))))</f>
        <v>46340</v>
      </c>
      <c r="Z225" s="7" t="str">
        <f aca="false">IF(I225="N/A","N/A",IF(N225="","Not tested",IF(W225="Rejected","Evidence rejected",IF(W225&lt;&gt;"Accepted","Evidence pending",IF(Y225&lt;'Residual Config'!$C$4,"Overdue","Current")))))</f>
        <v>Current</v>
      </c>
      <c r="AA225" s="34" t="n">
        <f aca="false">IF(I225="N/A","",IF(Z225&lt;&gt;"Current",4,IF(MAX(M225,T225)=0,4,MAX(M225,T225))))</f>
        <v>3</v>
      </c>
      <c r="AB225" s="7" t="str">
        <f aca="false">IF(AA225="","N/A",IF(Z225&lt;&gt;"Current","Not tested / overdue",INDEX('Residual Config'!$B$11:$B$14,AA225)))</f>
        <v>Partially effective</v>
      </c>
      <c r="AC225" s="36" t="n">
        <f aca="false">IF(AA225="","",INDEX('Residual Config'!$D$11:$D$14,AA225))</f>
        <v>0.2</v>
      </c>
      <c r="AD225" s="7" t="str">
        <f aca="false">IF(OR(I225="N/A",P225="",Q225=""),"",IF(P225&gt;=Q225,"Yes","No"))</f>
        <v>Yes</v>
      </c>
      <c r="AE225" s="8"/>
    </row>
    <row r="226" customFormat="false" ht="15" hidden="false" customHeight="false" outlineLevel="0" collapsed="false">
      <c r="A226" s="12" t="s">
        <v>1285</v>
      </c>
      <c r="B226" s="26" t="str">
        <f aca="false">Entities!$A$10</f>
        <v>PS</v>
      </c>
      <c r="C226" s="12" t="str">
        <f aca="false">INDEX(Entities!$B$5:$B$34,MATCH(B226,Entities!$A$5:$A$34,0))</f>
        <v>Arab Bank – Palestine</v>
      </c>
      <c r="D226" s="7" t="str">
        <f aca="false">INDEX(Entities!$F$5:$F$34,MATCH(B226,Entities!$A$5:$A$34,0))</f>
        <v>Tier 1</v>
      </c>
      <c r="E226" s="26" t="str">
        <f aca="false">'Control Library'!$A$11</f>
        <v>CTL-TM-02</v>
      </c>
      <c r="F226" s="12" t="str">
        <f aca="false">INDEX('Control Library'!$B$5:$B$47,MATCH(E226,'Control Library'!$A$5:$A$47,0))</f>
        <v>Alert investigation and quality assurance within SLA</v>
      </c>
      <c r="G226" s="7" t="str">
        <f aca="false">INDEX('Control Library'!$F$5:$F$47,MATCH(E226,'Control Library'!$A$5:$A$47,0))</f>
        <v>Y</v>
      </c>
      <c r="H226" s="12" t="str">
        <f aca="false">INDEX('Control Library'!$E$5:$E$47,MATCH(E226,'Control Library'!$A$5:$A$47,0))</f>
        <v>Daily</v>
      </c>
      <c r="I226" s="7" t="str">
        <f aca="false">IF(INDEX('Control Library'!$I$5:$I$47,MATCH(E226,'Control Library'!$A$5:$A$47,0))="All","Y",IF(INDEX('Control Library'!$I$5:$I$47,MATCH(E226,'Control Library'!$A$5:$A$47,0))="Banks only",IF(COUNTIF('Residual Config'!$L$28:$L$30,INDEX(Entities!$E$5:$E$34,MATCH(B226,Entities!$A$5:$A$34,0)))&gt;0,"N/A","Y"),IF(INDEX(Entities!$G$5:$G$34,MATCH(B226,Entities!$A$5:$A$34,0))="Y","Y","N/A")))</f>
        <v>Y</v>
      </c>
      <c r="J226" s="8" t="s">
        <v>1283</v>
      </c>
      <c r="K226" s="8" t="s">
        <v>752</v>
      </c>
      <c r="L226" s="7" t="str">
        <f aca="false">IF(OR(J226="",K226=""),"",IF(J226=K226,"Breach","OK"))</f>
        <v>OK</v>
      </c>
      <c r="M226" s="24" t="n">
        <v>2</v>
      </c>
      <c r="N226" s="50" t="n">
        <v>46260</v>
      </c>
      <c r="O226" s="8" t="s">
        <v>545</v>
      </c>
      <c r="P226" s="24" t="n">
        <v>25</v>
      </c>
      <c r="Q226" s="31" t="n">
        <f aca="false">IF(I226="N/A","",IFERROR(INDEX('Residual Config'!$B$35:$B$42,MATCH(H226,'Residual Config'!$A$35:$A$42,0)),""))</f>
        <v>25</v>
      </c>
      <c r="R226" s="24" t="n">
        <v>1</v>
      </c>
      <c r="S226" s="8" t="s">
        <v>521</v>
      </c>
      <c r="T226" s="31" t="n">
        <f aca="false">IF(S226="","",MATCH(S226,'Residual Config'!$L$9:$L$12,0))</f>
        <v>2</v>
      </c>
      <c r="U226" s="8" t="s">
        <v>1286</v>
      </c>
      <c r="V226" s="24" t="n">
        <v>1</v>
      </c>
      <c r="W226" s="33" t="s">
        <v>533</v>
      </c>
      <c r="X226" s="8" t="s">
        <v>754</v>
      </c>
      <c r="Y226" s="51" t="n">
        <f aca="false">IF(N226="","",EDATE(N226,IF(G226="N",INDEX('Residual Config'!$B$31:$D$31,1,MATCH(D226,'Residual Config'!$B$27:$D$27,0)),INDEX('Residual Config'!$B$28:$D$30,IF(T226=1,1,IF(T226=4,3,2)),MATCH(D226,'Residual Config'!$B$27:$D$27,0)))))</f>
        <v>46352</v>
      </c>
      <c r="Z226" s="7" t="str">
        <f aca="false">IF(I226="N/A","N/A",IF(N226="","Not tested",IF(W226="Rejected","Evidence rejected",IF(W226&lt;&gt;"Accepted","Evidence pending",IF(Y226&lt;'Residual Config'!$C$4,"Overdue","Current")))))</f>
        <v>Current</v>
      </c>
      <c r="AA226" s="34" t="n">
        <f aca="false">IF(I226="N/A","",IF(Z226&lt;&gt;"Current",4,IF(MAX(M226,T226)=0,4,MAX(M226,T226))))</f>
        <v>2</v>
      </c>
      <c r="AB226" s="7" t="str">
        <f aca="false">IF(AA226="","N/A",IF(Z226&lt;&gt;"Current","Not tested / overdue",INDEX('Residual Config'!$B$11:$B$14,AA226)))</f>
        <v>Largely effective</v>
      </c>
      <c r="AC226" s="36" t="n">
        <f aca="false">IF(AA226="","",INDEX('Residual Config'!$D$11:$D$14,AA226))</f>
        <v>0.4</v>
      </c>
      <c r="AD226" s="7" t="str">
        <f aca="false">IF(OR(I226="N/A",P226="",Q226=""),"",IF(P226&gt;=Q226,"Yes","No"))</f>
        <v>Yes</v>
      </c>
      <c r="AE226" s="8"/>
    </row>
    <row r="227" customFormat="false" ht="15" hidden="false" customHeight="false" outlineLevel="0" collapsed="false">
      <c r="A227" s="12" t="s">
        <v>1287</v>
      </c>
      <c r="B227" s="26" t="str">
        <f aca="false">Entities!$A$10</f>
        <v>PS</v>
      </c>
      <c r="C227" s="12" t="str">
        <f aca="false">INDEX(Entities!$B$5:$B$34,MATCH(B227,Entities!$A$5:$A$34,0))</f>
        <v>Arab Bank – Palestine</v>
      </c>
      <c r="D227" s="7" t="str">
        <f aca="false">INDEX(Entities!$F$5:$F$34,MATCH(B227,Entities!$A$5:$A$34,0))</f>
        <v>Tier 1</v>
      </c>
      <c r="E227" s="26" t="str">
        <f aca="false">'Control Library'!$A$12</f>
        <v>CTL-STR-01</v>
      </c>
      <c r="F227" s="12" t="str">
        <f aca="false">INDEX('Control Library'!$B$5:$B$47,MATCH(E227,'Control Library'!$A$5:$A$47,0))</f>
        <v>STR decision and filing within regulatory deadline</v>
      </c>
      <c r="G227" s="7" t="str">
        <f aca="false">INDEX('Control Library'!$F$5:$F$47,MATCH(E227,'Control Library'!$A$5:$A$47,0))</f>
        <v>Y</v>
      </c>
      <c r="H227" s="12" t="str">
        <f aca="false">INDEX('Control Library'!$E$5:$E$47,MATCH(E227,'Control Library'!$A$5:$A$47,0))</f>
        <v>Event-driven</v>
      </c>
      <c r="I227" s="7" t="str">
        <f aca="false">IF(INDEX('Control Library'!$I$5:$I$47,MATCH(E227,'Control Library'!$A$5:$A$47,0))="All","Y",IF(INDEX('Control Library'!$I$5:$I$47,MATCH(E227,'Control Library'!$A$5:$A$47,0))="Banks only",IF(COUNTIF('Residual Config'!$L$28:$L$30,INDEX(Entities!$E$5:$E$34,MATCH(B227,Entities!$A$5:$A$34,0)))&gt;0,"N/A","Y"),IF(INDEX(Entities!$G$5:$G$34,MATCH(B227,Entities!$A$5:$A$34,0))="Y","Y","N/A")))</f>
        <v>Y</v>
      </c>
      <c r="J227" s="8" t="s">
        <v>1283</v>
      </c>
      <c r="K227" s="8" t="s">
        <v>752</v>
      </c>
      <c r="L227" s="7" t="str">
        <f aca="false">IF(OR(J227="",K227=""),"",IF(J227=K227,"Breach","OK"))</f>
        <v>OK</v>
      </c>
      <c r="M227" s="24" t="n">
        <v>1</v>
      </c>
      <c r="N227" s="50" t="n">
        <v>46157</v>
      </c>
      <c r="O227" s="8" t="s">
        <v>546</v>
      </c>
      <c r="P227" s="24" t="n">
        <v>25</v>
      </c>
      <c r="Q227" s="31" t="n">
        <f aca="false">IF(I227="N/A","",IFERROR(INDEX('Residual Config'!$B$35:$B$42,MATCH(H227,'Residual Config'!$A$35:$A$42,0)),""))</f>
        <v>25</v>
      </c>
      <c r="R227" s="24" t="n">
        <v>0</v>
      </c>
      <c r="S227" s="8" t="s">
        <v>516</v>
      </c>
      <c r="T227" s="31" t="n">
        <f aca="false">IF(S227="","",MATCH(S227,'Residual Config'!$L$9:$L$12,0))</f>
        <v>1</v>
      </c>
      <c r="U227" s="8" t="s">
        <v>1288</v>
      </c>
      <c r="V227" s="24" t="n">
        <v>6</v>
      </c>
      <c r="W227" s="33" t="s">
        <v>533</v>
      </c>
      <c r="X227" s="8" t="s">
        <v>760</v>
      </c>
      <c r="Y227" s="51" t="n">
        <f aca="false">IF(N227="","",EDATE(N227,IF(G227="N",INDEX('Residual Config'!$B$31:$D$31,1,MATCH(D227,'Residual Config'!$B$27:$D$27,0)),INDEX('Residual Config'!$B$28:$D$30,IF(T227=1,1,IF(T227=4,3,2)),MATCH(D227,'Residual Config'!$B$27:$D$27,0)))))</f>
        <v>46341</v>
      </c>
      <c r="Z227" s="7" t="str">
        <f aca="false">IF(I227="N/A","N/A",IF(N227="","Not tested",IF(W227="Rejected","Evidence rejected",IF(W227&lt;&gt;"Accepted","Evidence pending",IF(Y227&lt;'Residual Config'!$C$4,"Overdue","Current")))))</f>
        <v>Current</v>
      </c>
      <c r="AA227" s="34" t="n">
        <f aca="false">IF(I227="N/A","",IF(Z227&lt;&gt;"Current",4,IF(MAX(M227,T227)=0,4,MAX(M227,T227))))</f>
        <v>1</v>
      </c>
      <c r="AB227" s="7" t="str">
        <f aca="false">IF(AA227="","N/A",IF(Z227&lt;&gt;"Current","Not tested / overdue",INDEX('Residual Config'!$B$11:$B$14,AA227)))</f>
        <v>Effective</v>
      </c>
      <c r="AC227" s="36" t="n">
        <f aca="false">IF(AA227="","",INDEX('Residual Config'!$D$11:$D$14,AA227))</f>
        <v>0.6</v>
      </c>
      <c r="AD227" s="7" t="str">
        <f aca="false">IF(OR(I227="N/A",P227="",Q227=""),"",IF(P227&gt;=Q227,"Yes","No"))</f>
        <v>Yes</v>
      </c>
      <c r="AE227" s="8"/>
    </row>
    <row r="228" customFormat="false" ht="15" hidden="false" customHeight="false" outlineLevel="0" collapsed="false">
      <c r="A228" s="12" t="s">
        <v>1289</v>
      </c>
      <c r="B228" s="26" t="str">
        <f aca="false">Entities!$A$10</f>
        <v>PS</v>
      </c>
      <c r="C228" s="12" t="str">
        <f aca="false">INDEX(Entities!$B$5:$B$34,MATCH(B228,Entities!$A$5:$A$34,0))</f>
        <v>Arab Bank – Palestine</v>
      </c>
      <c r="D228" s="7" t="str">
        <f aca="false">INDEX(Entities!$F$5:$F$34,MATCH(B228,Entities!$A$5:$A$34,0))</f>
        <v>Tier 1</v>
      </c>
      <c r="E228" s="26" t="str">
        <f aca="false">'Control Library'!$A$13</f>
        <v>CTL-SAN-01</v>
      </c>
      <c r="F228" s="12" t="str">
        <f aca="false">INDEX('Control Library'!$B$5:$B$47,MATCH(E228,'Control Library'!$A$5:$A$47,0))</f>
        <v>Real-time payment and transaction sanctions screening</v>
      </c>
      <c r="G228" s="7" t="str">
        <f aca="false">INDEX('Control Library'!$F$5:$F$47,MATCH(E228,'Control Library'!$A$5:$A$47,0))</f>
        <v>Y</v>
      </c>
      <c r="H228" s="12" t="str">
        <f aca="false">INDEX('Control Library'!$E$5:$E$47,MATCH(E228,'Control Library'!$A$5:$A$47,0))</f>
        <v>Continuous</v>
      </c>
      <c r="I228" s="7" t="str">
        <f aca="false">IF(INDEX('Control Library'!$I$5:$I$47,MATCH(E228,'Control Library'!$A$5:$A$47,0))="All","Y",IF(INDEX('Control Library'!$I$5:$I$47,MATCH(E228,'Control Library'!$A$5:$A$47,0))="Banks only",IF(COUNTIF('Residual Config'!$L$28:$L$30,INDEX(Entities!$E$5:$E$34,MATCH(B228,Entities!$A$5:$A$34,0)))&gt;0,"N/A","Y"),IF(INDEX(Entities!$G$5:$G$34,MATCH(B228,Entities!$A$5:$A$34,0))="Y","Y","N/A")))</f>
        <v>Y</v>
      </c>
      <c r="J228" s="8" t="s">
        <v>1290</v>
      </c>
      <c r="K228" s="8" t="s">
        <v>752</v>
      </c>
      <c r="L228" s="7" t="str">
        <f aca="false">IF(OR(J228="",K228=""),"",IF(J228=K228,"Breach","OK"))</f>
        <v>OK</v>
      </c>
      <c r="M228" s="24" t="n">
        <v>2</v>
      </c>
      <c r="N228" s="50" t="n">
        <v>46254</v>
      </c>
      <c r="O228" s="8" t="s">
        <v>547</v>
      </c>
      <c r="P228" s="24" t="n">
        <v>1</v>
      </c>
      <c r="Q228" s="31" t="n">
        <f aca="false">IF(I228="N/A","",IFERROR(INDEX('Residual Config'!$B$35:$B$42,MATCH(H228,'Residual Config'!$A$35:$A$42,0)),""))</f>
        <v>1</v>
      </c>
      <c r="R228" s="24" t="n">
        <v>1</v>
      </c>
      <c r="S228" s="8" t="s">
        <v>521</v>
      </c>
      <c r="T228" s="31" t="n">
        <f aca="false">IF(S228="","",MATCH(S228,'Residual Config'!$L$9:$L$12,0))</f>
        <v>2</v>
      </c>
      <c r="U228" s="8" t="s">
        <v>1291</v>
      </c>
      <c r="V228" s="24" t="n">
        <v>1</v>
      </c>
      <c r="W228" s="33" t="s">
        <v>533</v>
      </c>
      <c r="X228" s="8" t="s">
        <v>760</v>
      </c>
      <c r="Y228" s="51" t="n">
        <f aca="false">IF(N228="","",EDATE(N228,IF(G228="N",INDEX('Residual Config'!$B$31:$D$31,1,MATCH(D228,'Residual Config'!$B$27:$D$27,0)),INDEX('Residual Config'!$B$28:$D$30,IF(T228=1,1,IF(T228=4,3,2)),MATCH(D228,'Residual Config'!$B$27:$D$27,0)))))</f>
        <v>46346</v>
      </c>
      <c r="Z228" s="7" t="str">
        <f aca="false">IF(I228="N/A","N/A",IF(N228="","Not tested",IF(W228="Rejected","Evidence rejected",IF(W228&lt;&gt;"Accepted","Evidence pending",IF(Y228&lt;'Residual Config'!$C$4,"Overdue","Current")))))</f>
        <v>Current</v>
      </c>
      <c r="AA228" s="34" t="n">
        <f aca="false">IF(I228="N/A","",IF(Z228&lt;&gt;"Current",4,IF(MAX(M228,T228)=0,4,MAX(M228,T228))))</f>
        <v>2</v>
      </c>
      <c r="AB228" s="7" t="str">
        <f aca="false">IF(AA228="","N/A",IF(Z228&lt;&gt;"Current","Not tested / overdue",INDEX('Residual Config'!$B$11:$B$14,AA228)))</f>
        <v>Largely effective</v>
      </c>
      <c r="AC228" s="36" t="n">
        <f aca="false">IF(AA228="","",INDEX('Residual Config'!$D$11:$D$14,AA228))</f>
        <v>0.4</v>
      </c>
      <c r="AD228" s="7" t="str">
        <f aca="false">IF(OR(I228="N/A",P228="",Q228=""),"",IF(P228&gt;=Q228,"Yes","No"))</f>
        <v>Yes</v>
      </c>
      <c r="AE228" s="8"/>
    </row>
    <row r="229" customFormat="false" ht="15" hidden="false" customHeight="false" outlineLevel="0" collapsed="false">
      <c r="A229" s="12" t="s">
        <v>1292</v>
      </c>
      <c r="B229" s="26" t="str">
        <f aca="false">Entities!$A$10</f>
        <v>PS</v>
      </c>
      <c r="C229" s="12" t="str">
        <f aca="false">INDEX(Entities!$B$5:$B$34,MATCH(B229,Entities!$A$5:$A$34,0))</f>
        <v>Arab Bank – Palestine</v>
      </c>
      <c r="D229" s="7" t="str">
        <f aca="false">INDEX(Entities!$F$5:$F$34,MATCH(B229,Entities!$A$5:$A$34,0))</f>
        <v>Tier 1</v>
      </c>
      <c r="E229" s="26" t="str">
        <f aca="false">'Control Library'!$A$14</f>
        <v>CTL-SAN-02</v>
      </c>
      <c r="F229" s="12" t="str">
        <f aca="false">INDEX('Control Library'!$B$5:$B$47,MATCH(E229,'Control Library'!$A$5:$A$47,0))</f>
        <v>Customer and counterparty screening at onboarding and on list change</v>
      </c>
      <c r="G229" s="7" t="str">
        <f aca="false">INDEX('Control Library'!$F$5:$F$47,MATCH(E229,'Control Library'!$A$5:$A$47,0))</f>
        <v>Y</v>
      </c>
      <c r="H229" s="12" t="str">
        <f aca="false">INDEX('Control Library'!$E$5:$E$47,MATCH(E229,'Control Library'!$A$5:$A$47,0))</f>
        <v>Continuous</v>
      </c>
      <c r="I229" s="7" t="str">
        <f aca="false">IF(INDEX('Control Library'!$I$5:$I$47,MATCH(E229,'Control Library'!$A$5:$A$47,0))="All","Y",IF(INDEX('Control Library'!$I$5:$I$47,MATCH(E229,'Control Library'!$A$5:$A$47,0))="Banks only",IF(COUNTIF('Residual Config'!$L$28:$L$30,INDEX(Entities!$E$5:$E$34,MATCH(B229,Entities!$A$5:$A$34,0)))&gt;0,"N/A","Y"),IF(INDEX(Entities!$G$5:$G$34,MATCH(B229,Entities!$A$5:$A$34,0))="Y","Y","N/A")))</f>
        <v>Y</v>
      </c>
      <c r="J229" s="8" t="s">
        <v>1290</v>
      </c>
      <c r="K229" s="8" t="s">
        <v>752</v>
      </c>
      <c r="L229" s="7" t="str">
        <f aca="false">IF(OR(J229="",K229=""),"",IF(J229=K229,"Breach","OK"))</f>
        <v>OK</v>
      </c>
      <c r="M229" s="24" t="n">
        <v>2</v>
      </c>
      <c r="N229" s="50" t="n">
        <v>46241</v>
      </c>
      <c r="O229" s="8" t="s">
        <v>547</v>
      </c>
      <c r="P229" s="24" t="n">
        <v>1</v>
      </c>
      <c r="Q229" s="31" t="n">
        <f aca="false">IF(I229="N/A","",IFERROR(INDEX('Residual Config'!$B$35:$B$42,MATCH(H229,'Residual Config'!$A$35:$A$42,0)),""))</f>
        <v>1</v>
      </c>
      <c r="R229" s="24" t="n">
        <v>1</v>
      </c>
      <c r="S229" s="8" t="s">
        <v>521</v>
      </c>
      <c r="T229" s="31" t="n">
        <f aca="false">IF(S229="","",MATCH(S229,'Residual Config'!$L$9:$L$12,0))</f>
        <v>2</v>
      </c>
      <c r="U229" s="8" t="s">
        <v>1293</v>
      </c>
      <c r="V229" s="24" t="n">
        <v>1</v>
      </c>
      <c r="W229" s="33" t="s">
        <v>533</v>
      </c>
      <c r="X229" s="8" t="s">
        <v>754</v>
      </c>
      <c r="Y229" s="51" t="n">
        <f aca="false">IF(N229="","",EDATE(N229,IF(G229="N",INDEX('Residual Config'!$B$31:$D$31,1,MATCH(D229,'Residual Config'!$B$27:$D$27,0)),INDEX('Residual Config'!$B$28:$D$30,IF(T229=1,1,IF(T229=4,3,2)),MATCH(D229,'Residual Config'!$B$27:$D$27,0)))))</f>
        <v>46333</v>
      </c>
      <c r="Z229" s="7" t="str">
        <f aca="false">IF(I229="N/A","N/A",IF(N229="","Not tested",IF(W229="Rejected","Evidence rejected",IF(W229&lt;&gt;"Accepted","Evidence pending",IF(Y229&lt;'Residual Config'!$C$4,"Overdue","Current")))))</f>
        <v>Current</v>
      </c>
      <c r="AA229" s="34" t="n">
        <f aca="false">IF(I229="N/A","",IF(Z229&lt;&gt;"Current",4,IF(MAX(M229,T229)=0,4,MAX(M229,T229))))</f>
        <v>2</v>
      </c>
      <c r="AB229" s="7" t="str">
        <f aca="false">IF(AA229="","N/A",IF(Z229&lt;&gt;"Current","Not tested / overdue",INDEX('Residual Config'!$B$11:$B$14,AA229)))</f>
        <v>Largely effective</v>
      </c>
      <c r="AC229" s="36" t="n">
        <f aca="false">IF(AA229="","",INDEX('Residual Config'!$D$11:$D$14,AA229))</f>
        <v>0.4</v>
      </c>
      <c r="AD229" s="7" t="str">
        <f aca="false">IF(OR(I229="N/A",P229="",Q229=""),"",IF(P229&gt;=Q229,"Yes","No"))</f>
        <v>Yes</v>
      </c>
      <c r="AE229" s="8"/>
    </row>
    <row r="230" customFormat="false" ht="15" hidden="false" customHeight="false" outlineLevel="0" collapsed="false">
      <c r="A230" s="12" t="s">
        <v>1294</v>
      </c>
      <c r="B230" s="26" t="str">
        <f aca="false">Entities!$A$10</f>
        <v>PS</v>
      </c>
      <c r="C230" s="12" t="str">
        <f aca="false">INDEX(Entities!$B$5:$B$34,MATCH(B230,Entities!$A$5:$A$34,0))</f>
        <v>Arab Bank – Palestine</v>
      </c>
      <c r="D230" s="7" t="str">
        <f aca="false">INDEX(Entities!$F$5:$F$34,MATCH(B230,Entities!$A$5:$A$34,0))</f>
        <v>Tier 1</v>
      </c>
      <c r="E230" s="26" t="str">
        <f aca="false">'Control Library'!$A$15</f>
        <v>CTL-SAN-03</v>
      </c>
      <c r="F230" s="12" t="str">
        <f aca="false">INDEX('Control Library'!$B$5:$B$47,MATCH(E230,'Control Library'!$A$5:$A$47,0))</f>
        <v>Sanctions list updates applied within 24 hours</v>
      </c>
      <c r="G230" s="7" t="str">
        <f aca="false">INDEX('Control Library'!$F$5:$F$47,MATCH(E230,'Control Library'!$A$5:$A$47,0))</f>
        <v>N</v>
      </c>
      <c r="H230" s="12" t="str">
        <f aca="false">INDEX('Control Library'!$E$5:$E$47,MATCH(E230,'Control Library'!$A$5:$A$47,0))</f>
        <v>Daily</v>
      </c>
      <c r="I230" s="7" t="str">
        <f aca="false">IF(INDEX('Control Library'!$I$5:$I$47,MATCH(E230,'Control Library'!$A$5:$A$47,0))="All","Y",IF(INDEX('Control Library'!$I$5:$I$47,MATCH(E230,'Control Library'!$A$5:$A$47,0))="Banks only",IF(COUNTIF('Residual Config'!$L$28:$L$30,INDEX(Entities!$E$5:$E$34,MATCH(B230,Entities!$A$5:$A$34,0)))&gt;0,"N/A","Y"),IF(INDEX(Entities!$G$5:$G$34,MATCH(B230,Entities!$A$5:$A$34,0))="Y","Y","N/A")))</f>
        <v>Y</v>
      </c>
      <c r="J230" s="8" t="s">
        <v>1295</v>
      </c>
      <c r="K230" s="8" t="s">
        <v>1280</v>
      </c>
      <c r="L230" s="7" t="str">
        <f aca="false">IF(OR(J230="",K230=""),"",IF(J230=K230,"Breach","OK"))</f>
        <v>OK</v>
      </c>
      <c r="M230" s="24" t="n">
        <v>2</v>
      </c>
      <c r="N230" s="50" t="n">
        <v>46070</v>
      </c>
      <c r="O230" s="8" t="s">
        <v>545</v>
      </c>
      <c r="P230" s="24" t="n">
        <v>35</v>
      </c>
      <c r="Q230" s="31" t="n">
        <f aca="false">IF(I230="N/A","",IFERROR(INDEX('Residual Config'!$B$35:$B$42,MATCH(H230,'Residual Config'!$A$35:$A$42,0)),""))</f>
        <v>25</v>
      </c>
      <c r="R230" s="24" t="n">
        <v>2</v>
      </c>
      <c r="S230" s="8" t="s">
        <v>524</v>
      </c>
      <c r="T230" s="31" t="n">
        <f aca="false">IF(S230="","",MATCH(S230,'Residual Config'!$L$9:$L$12,0))</f>
        <v>3</v>
      </c>
      <c r="U230" s="8" t="s">
        <v>1296</v>
      </c>
      <c r="V230" s="24" t="n">
        <v>4</v>
      </c>
      <c r="W230" s="33" t="s">
        <v>533</v>
      </c>
      <c r="X230" s="8" t="s">
        <v>754</v>
      </c>
      <c r="Y230" s="51" t="n">
        <f aca="false">IF(N230="","",EDATE(N230,IF(G230="N",INDEX('Residual Config'!$B$31:$D$31,1,MATCH(D230,'Residual Config'!$B$27:$D$27,0)),INDEX('Residual Config'!$B$28:$D$30,IF(T230=1,1,IF(T230=4,3,2)),MATCH(D230,'Residual Config'!$B$27:$D$27,0)))))</f>
        <v>46435</v>
      </c>
      <c r="Z230" s="7" t="str">
        <f aca="false">IF(I230="N/A","N/A",IF(N230="","Not tested",IF(W230="Rejected","Evidence rejected",IF(W230&lt;&gt;"Accepted","Evidence pending",IF(Y230&lt;'Residual Config'!$C$4,"Overdue","Current")))))</f>
        <v>Current</v>
      </c>
      <c r="AA230" s="34" t="n">
        <f aca="false">IF(I230="N/A","",IF(Z230&lt;&gt;"Current",4,IF(MAX(M230,T230)=0,4,MAX(M230,T230))))</f>
        <v>3</v>
      </c>
      <c r="AB230" s="7" t="str">
        <f aca="false">IF(AA230="","N/A",IF(Z230&lt;&gt;"Current","Not tested / overdue",INDEX('Residual Config'!$B$11:$B$14,AA230)))</f>
        <v>Partially effective</v>
      </c>
      <c r="AC230" s="36" t="n">
        <f aca="false">IF(AA230="","",INDEX('Residual Config'!$D$11:$D$14,AA230))</f>
        <v>0.2</v>
      </c>
      <c r="AD230" s="7" t="str">
        <f aca="false">IF(OR(I230="N/A",P230="",Q230=""),"",IF(P230&gt;=Q230,"Yes","No"))</f>
        <v>Yes</v>
      </c>
      <c r="AE230" s="8"/>
    </row>
    <row r="231" customFormat="false" ht="15" hidden="false" customHeight="false" outlineLevel="0" collapsed="false">
      <c r="A231" s="12" t="s">
        <v>1297</v>
      </c>
      <c r="B231" s="26" t="str">
        <f aca="false">Entities!$A$10</f>
        <v>PS</v>
      </c>
      <c r="C231" s="12" t="str">
        <f aca="false">INDEX(Entities!$B$5:$B$34,MATCH(B231,Entities!$A$5:$A$34,0))</f>
        <v>Arab Bank – Palestine</v>
      </c>
      <c r="D231" s="7" t="str">
        <f aca="false">INDEX(Entities!$F$5:$F$34,MATCH(B231,Entities!$A$5:$A$34,0))</f>
        <v>Tier 1</v>
      </c>
      <c r="E231" s="26" t="str">
        <f aca="false">'Control Library'!$A$16</f>
        <v>CTL-TF-01</v>
      </c>
      <c r="F231" s="12" t="str">
        <f aca="false">INDEX('Control Library'!$B$5:$B$47,MATCH(E231,'Control Library'!$A$5:$A$47,0))</f>
        <v>NPO and charity enhanced due diligence</v>
      </c>
      <c r="G231" s="7" t="str">
        <f aca="false">INDEX('Control Library'!$F$5:$F$47,MATCH(E231,'Control Library'!$A$5:$A$47,0))</f>
        <v>N</v>
      </c>
      <c r="H231" s="12" t="str">
        <f aca="false">INDEX('Control Library'!$E$5:$E$47,MATCH(E231,'Control Library'!$A$5:$A$47,0))</f>
        <v>Event-driven</v>
      </c>
      <c r="I231" s="7" t="str">
        <f aca="false">IF(INDEX('Control Library'!$I$5:$I$47,MATCH(E231,'Control Library'!$A$5:$A$47,0))="All","Y",IF(INDEX('Control Library'!$I$5:$I$47,MATCH(E231,'Control Library'!$A$5:$A$47,0))="Banks only",IF(COUNTIF('Residual Config'!$L$28:$L$30,INDEX(Entities!$E$5:$E$34,MATCH(B231,Entities!$A$5:$A$34,0)))&gt;0,"N/A","Y"),IF(INDEX(Entities!$G$5:$G$34,MATCH(B231,Entities!$A$5:$A$34,0))="Y","Y","N/A")))</f>
        <v>Y</v>
      </c>
      <c r="J231" s="8" t="s">
        <v>1298</v>
      </c>
      <c r="K231" s="8" t="s">
        <v>1280</v>
      </c>
      <c r="L231" s="7" t="str">
        <f aca="false">IF(OR(J231="",K231=""),"",IF(J231=K231,"Breach","OK"))</f>
        <v>OK</v>
      </c>
      <c r="M231" s="24" t="n">
        <v>2</v>
      </c>
      <c r="N231" s="50" t="n">
        <v>46267</v>
      </c>
      <c r="O231" s="8" t="s">
        <v>545</v>
      </c>
      <c r="P231" s="24" t="n">
        <v>25</v>
      </c>
      <c r="Q231" s="31" t="n">
        <f aca="false">IF(I231="N/A","",IFERROR(INDEX('Residual Config'!$B$35:$B$42,MATCH(H231,'Residual Config'!$A$35:$A$42,0)),""))</f>
        <v>25</v>
      </c>
      <c r="R231" s="24" t="n">
        <v>3</v>
      </c>
      <c r="S231" s="8" t="s">
        <v>524</v>
      </c>
      <c r="T231" s="31" t="n">
        <f aca="false">IF(S231="","",MATCH(S231,'Residual Config'!$L$9:$L$12,0))</f>
        <v>3</v>
      </c>
      <c r="U231" s="8" t="s">
        <v>1299</v>
      </c>
      <c r="V231" s="24" t="n">
        <v>4</v>
      </c>
      <c r="W231" s="33" t="s">
        <v>533</v>
      </c>
      <c r="X231" s="8" t="s">
        <v>754</v>
      </c>
      <c r="Y231" s="51" t="n">
        <f aca="false">IF(N231="","",EDATE(N231,IF(G231="N",INDEX('Residual Config'!$B$31:$D$31,1,MATCH(D231,'Residual Config'!$B$27:$D$27,0)),INDEX('Residual Config'!$B$28:$D$30,IF(T231=1,1,IF(T231=4,3,2)),MATCH(D231,'Residual Config'!$B$27:$D$27,0)))))</f>
        <v>46632</v>
      </c>
      <c r="Z231" s="7" t="str">
        <f aca="false">IF(I231="N/A","N/A",IF(N231="","Not tested",IF(W231="Rejected","Evidence rejected",IF(W231&lt;&gt;"Accepted","Evidence pending",IF(Y231&lt;'Residual Config'!$C$4,"Overdue","Current")))))</f>
        <v>Current</v>
      </c>
      <c r="AA231" s="34" t="n">
        <f aca="false">IF(I231="N/A","",IF(Z231&lt;&gt;"Current",4,IF(MAX(M231,T231)=0,4,MAX(M231,T231))))</f>
        <v>3</v>
      </c>
      <c r="AB231" s="7" t="str">
        <f aca="false">IF(AA231="","N/A",IF(Z231&lt;&gt;"Current","Not tested / overdue",INDEX('Residual Config'!$B$11:$B$14,AA231)))</f>
        <v>Partially effective</v>
      </c>
      <c r="AC231" s="36" t="n">
        <f aca="false">IF(AA231="","",INDEX('Residual Config'!$D$11:$D$14,AA231))</f>
        <v>0.2</v>
      </c>
      <c r="AD231" s="7" t="str">
        <f aca="false">IF(OR(I231="N/A",P231="",Q231=""),"",IF(P231&gt;=Q231,"Yes","No"))</f>
        <v>Yes</v>
      </c>
      <c r="AE231" s="8"/>
    </row>
    <row r="232" customFormat="false" ht="15" hidden="false" customHeight="false" outlineLevel="0" collapsed="false">
      <c r="A232" s="12" t="s">
        <v>1300</v>
      </c>
      <c r="B232" s="26" t="str">
        <f aca="false">Entities!$A$10</f>
        <v>PS</v>
      </c>
      <c r="C232" s="12" t="str">
        <f aca="false">INDEX(Entities!$B$5:$B$34,MATCH(B232,Entities!$A$5:$A$34,0))</f>
        <v>Arab Bank – Palestine</v>
      </c>
      <c r="D232" s="7" t="str">
        <f aca="false">INDEX(Entities!$F$5:$F$34,MATCH(B232,Entities!$A$5:$A$34,0))</f>
        <v>Tier 1</v>
      </c>
      <c r="E232" s="26" t="str">
        <f aca="false">'Control Library'!$A$17</f>
        <v>CTL-TBML-01</v>
      </c>
      <c r="F232" s="12" t="str">
        <f aca="false">INDEX('Control Library'!$B$5:$B$47,MATCH(E232,'Control Library'!$A$5:$A$47,0))</f>
        <v>Trade-based ML red-flag review and pricing checks</v>
      </c>
      <c r="G232" s="7" t="str">
        <f aca="false">INDEX('Control Library'!$F$5:$F$47,MATCH(E232,'Control Library'!$A$5:$A$47,0))</f>
        <v>Y</v>
      </c>
      <c r="H232" s="12" t="str">
        <f aca="false">INDEX('Control Library'!$E$5:$E$47,MATCH(E232,'Control Library'!$A$5:$A$47,0))</f>
        <v>Event-driven</v>
      </c>
      <c r="I232" s="7" t="str">
        <f aca="false">IF(INDEX('Control Library'!$I$5:$I$47,MATCH(E232,'Control Library'!$A$5:$A$47,0))="All","Y",IF(INDEX('Control Library'!$I$5:$I$47,MATCH(E232,'Control Library'!$A$5:$A$47,0))="Banks only",IF(COUNTIF('Residual Config'!$L$28:$L$30,INDEX(Entities!$E$5:$E$34,MATCH(B232,Entities!$A$5:$A$34,0)))&gt;0,"N/A","Y"),IF(INDEX(Entities!$G$5:$G$34,MATCH(B232,Entities!$A$5:$A$34,0))="Y","Y","N/A")))</f>
        <v>Y</v>
      </c>
      <c r="J232" s="8" t="s">
        <v>1301</v>
      </c>
      <c r="K232" s="8" t="s">
        <v>752</v>
      </c>
      <c r="L232" s="7" t="str">
        <f aca="false">IF(OR(J232="",K232=""),"",IF(J232=K232,"Breach","OK"))</f>
        <v>OK</v>
      </c>
      <c r="M232" s="24" t="n">
        <v>3</v>
      </c>
      <c r="N232" s="50" t="n">
        <v>46247</v>
      </c>
      <c r="O232" s="8" t="s">
        <v>545</v>
      </c>
      <c r="P232" s="24" t="n">
        <v>25</v>
      </c>
      <c r="Q232" s="31" t="n">
        <f aca="false">IF(I232="N/A","",IFERROR(INDEX('Residual Config'!$B$35:$B$42,MATCH(H232,'Residual Config'!$A$35:$A$42,0)),""))</f>
        <v>25</v>
      </c>
      <c r="R232" s="24" t="n">
        <v>1</v>
      </c>
      <c r="S232" s="8" t="s">
        <v>521</v>
      </c>
      <c r="T232" s="31" t="n">
        <f aca="false">IF(S232="","",MATCH(S232,'Residual Config'!$L$9:$L$12,0))</f>
        <v>2</v>
      </c>
      <c r="U232" s="8" t="s">
        <v>1302</v>
      </c>
      <c r="V232" s="24" t="n">
        <v>6</v>
      </c>
      <c r="W232" s="33" t="s">
        <v>533</v>
      </c>
      <c r="X232" s="8" t="s">
        <v>754</v>
      </c>
      <c r="Y232" s="51" t="n">
        <f aca="false">IF(N232="","",EDATE(N232,IF(G232="N",INDEX('Residual Config'!$B$31:$D$31,1,MATCH(D232,'Residual Config'!$B$27:$D$27,0)),INDEX('Residual Config'!$B$28:$D$30,IF(T232=1,1,IF(T232=4,3,2)),MATCH(D232,'Residual Config'!$B$27:$D$27,0)))))</f>
        <v>46339</v>
      </c>
      <c r="Z232" s="7" t="str">
        <f aca="false">IF(I232="N/A","N/A",IF(N232="","Not tested",IF(W232="Rejected","Evidence rejected",IF(W232&lt;&gt;"Accepted","Evidence pending",IF(Y232&lt;'Residual Config'!$C$4,"Overdue","Current")))))</f>
        <v>Current</v>
      </c>
      <c r="AA232" s="34" t="n">
        <f aca="false">IF(I232="N/A","",IF(Z232&lt;&gt;"Current",4,IF(MAX(M232,T232)=0,4,MAX(M232,T232))))</f>
        <v>3</v>
      </c>
      <c r="AB232" s="7" t="str">
        <f aca="false">IF(AA232="","N/A",IF(Z232&lt;&gt;"Current","Not tested / overdue",INDEX('Residual Config'!$B$11:$B$14,AA232)))</f>
        <v>Partially effective</v>
      </c>
      <c r="AC232" s="36" t="n">
        <f aca="false">IF(AA232="","",INDEX('Residual Config'!$D$11:$D$14,AA232))</f>
        <v>0.2</v>
      </c>
      <c r="AD232" s="7" t="str">
        <f aca="false">IF(OR(I232="N/A",P232="",Q232=""),"",IF(P232&gt;=Q232,"Yes","No"))</f>
        <v>Yes</v>
      </c>
      <c r="AE232" s="8"/>
    </row>
    <row r="233" customFormat="false" ht="15" hidden="false" customHeight="false" outlineLevel="0" collapsed="false">
      <c r="A233" s="12" t="s">
        <v>1303</v>
      </c>
      <c r="B233" s="26" t="str">
        <f aca="false">Entities!$A$10</f>
        <v>PS</v>
      </c>
      <c r="C233" s="12" t="str">
        <f aca="false">INDEX(Entities!$B$5:$B$34,MATCH(B233,Entities!$A$5:$A$34,0))</f>
        <v>Arab Bank – Palestine</v>
      </c>
      <c r="D233" s="7" t="str">
        <f aca="false">INDEX(Entities!$F$5:$F$34,MATCH(B233,Entities!$A$5:$A$34,0))</f>
        <v>Tier 1</v>
      </c>
      <c r="E233" s="26" t="str">
        <f aca="false">'Control Library'!$A$18</f>
        <v>CTL-PF-01</v>
      </c>
      <c r="F233" s="12" t="str">
        <f aca="false">INDEX('Control Library'!$B$5:$B$47,MATCH(E233,'Control Library'!$A$5:$A$47,0))</f>
        <v>Dual-use goods, vessel and port screening</v>
      </c>
      <c r="G233" s="7" t="str">
        <f aca="false">INDEX('Control Library'!$F$5:$F$47,MATCH(E233,'Control Library'!$A$5:$A$47,0))</f>
        <v>Y</v>
      </c>
      <c r="H233" s="12" t="str">
        <f aca="false">INDEX('Control Library'!$E$5:$E$47,MATCH(E233,'Control Library'!$A$5:$A$47,0))</f>
        <v>Event-driven</v>
      </c>
      <c r="I233" s="7" t="str">
        <f aca="false">IF(INDEX('Control Library'!$I$5:$I$47,MATCH(E233,'Control Library'!$A$5:$A$47,0))="All","Y",IF(INDEX('Control Library'!$I$5:$I$47,MATCH(E233,'Control Library'!$A$5:$A$47,0))="Banks only",IF(COUNTIF('Residual Config'!$L$28:$L$30,INDEX(Entities!$E$5:$E$34,MATCH(B233,Entities!$A$5:$A$34,0)))&gt;0,"N/A","Y"),IF(INDEX(Entities!$G$5:$G$34,MATCH(B233,Entities!$A$5:$A$34,0))="Y","Y","N/A")))</f>
        <v>Y</v>
      </c>
      <c r="J233" s="8" t="s">
        <v>1301</v>
      </c>
      <c r="K233" s="8" t="s">
        <v>752</v>
      </c>
      <c r="L233" s="7" t="str">
        <f aca="false">IF(OR(J233="",K233=""),"",IF(J233=K233,"Breach","OK"))</f>
        <v>OK</v>
      </c>
      <c r="M233" s="24" t="n">
        <v>2</v>
      </c>
      <c r="N233" s="50" t="n">
        <v>46242</v>
      </c>
      <c r="O233" s="8" t="s">
        <v>545</v>
      </c>
      <c r="P233" s="24" t="n">
        <v>35</v>
      </c>
      <c r="Q233" s="31" t="n">
        <f aca="false">IF(I233="N/A","",IFERROR(INDEX('Residual Config'!$B$35:$B$42,MATCH(H233,'Residual Config'!$A$35:$A$42,0)),""))</f>
        <v>25</v>
      </c>
      <c r="R233" s="24" t="n">
        <v>1</v>
      </c>
      <c r="S233" s="8" t="s">
        <v>521</v>
      </c>
      <c r="T233" s="31" t="n">
        <f aca="false">IF(S233="","",MATCH(S233,'Residual Config'!$L$9:$L$12,0))</f>
        <v>2</v>
      </c>
      <c r="U233" s="8" t="s">
        <v>1304</v>
      </c>
      <c r="V233" s="24" t="n">
        <v>6</v>
      </c>
      <c r="W233" s="33" t="s">
        <v>533</v>
      </c>
      <c r="X233" s="8" t="s">
        <v>760</v>
      </c>
      <c r="Y233" s="51" t="n">
        <f aca="false">IF(N233="","",EDATE(N233,IF(G233="N",INDEX('Residual Config'!$B$31:$D$31,1,MATCH(D233,'Residual Config'!$B$27:$D$27,0)),INDEX('Residual Config'!$B$28:$D$30,IF(T233=1,1,IF(T233=4,3,2)),MATCH(D233,'Residual Config'!$B$27:$D$27,0)))))</f>
        <v>46334</v>
      </c>
      <c r="Z233" s="7" t="str">
        <f aca="false">IF(I233="N/A","N/A",IF(N233="","Not tested",IF(W233="Rejected","Evidence rejected",IF(W233&lt;&gt;"Accepted","Evidence pending",IF(Y233&lt;'Residual Config'!$C$4,"Overdue","Current")))))</f>
        <v>Current</v>
      </c>
      <c r="AA233" s="34" t="n">
        <f aca="false">IF(I233="N/A","",IF(Z233&lt;&gt;"Current",4,IF(MAX(M233,T233)=0,4,MAX(M233,T233))))</f>
        <v>2</v>
      </c>
      <c r="AB233" s="7" t="str">
        <f aca="false">IF(AA233="","N/A",IF(Z233&lt;&gt;"Current","Not tested / overdue",INDEX('Residual Config'!$B$11:$B$14,AA233)))</f>
        <v>Largely effective</v>
      </c>
      <c r="AC233" s="36" t="n">
        <f aca="false">IF(AA233="","",INDEX('Residual Config'!$D$11:$D$14,AA233))</f>
        <v>0.4</v>
      </c>
      <c r="AD233" s="7" t="str">
        <f aca="false">IF(OR(I233="N/A",P233="",Q233=""),"",IF(P233&gt;=Q233,"Yes","No"))</f>
        <v>Yes</v>
      </c>
      <c r="AE233" s="8"/>
    </row>
    <row r="234" customFormat="false" ht="15" hidden="false" customHeight="false" outlineLevel="0" collapsed="false">
      <c r="A234" s="12" t="s">
        <v>1305</v>
      </c>
      <c r="B234" s="26" t="str">
        <f aca="false">Entities!$A$10</f>
        <v>PS</v>
      </c>
      <c r="C234" s="12" t="str">
        <f aca="false">INDEX(Entities!$B$5:$B$34,MATCH(B234,Entities!$A$5:$A$34,0))</f>
        <v>Arab Bank – Palestine</v>
      </c>
      <c r="D234" s="7" t="str">
        <f aca="false">INDEX(Entities!$F$5:$F$34,MATCH(B234,Entities!$A$5:$A$34,0))</f>
        <v>Tier 1</v>
      </c>
      <c r="E234" s="26" t="str">
        <f aca="false">'Control Library'!$A$19</f>
        <v>CTL-CB-01</v>
      </c>
      <c r="F234" s="12" t="str">
        <f aca="false">INDEX('Control Library'!$B$5:$B$47,MATCH(E234,'Control Library'!$A$5:$A$47,0))</f>
        <v>Correspondent bank due diligence (CBDDQ) and nesting detection</v>
      </c>
      <c r="G234" s="7" t="str">
        <f aca="false">INDEX('Control Library'!$F$5:$F$47,MATCH(E234,'Control Library'!$A$5:$A$47,0))</f>
        <v>Y</v>
      </c>
      <c r="H234" s="12" t="str">
        <f aca="false">INDEX('Control Library'!$E$5:$E$47,MATCH(E234,'Control Library'!$A$5:$A$47,0))</f>
        <v>Annual</v>
      </c>
      <c r="I234" s="7" t="str">
        <f aca="false">IF(INDEX('Control Library'!$I$5:$I$47,MATCH(E234,'Control Library'!$A$5:$A$47,0))="All","Y",IF(INDEX('Control Library'!$I$5:$I$47,MATCH(E234,'Control Library'!$A$5:$A$47,0))="Banks only",IF(COUNTIF('Residual Config'!$L$28:$L$30,INDEX(Entities!$E$5:$E$34,MATCH(B234,Entities!$A$5:$A$34,0)))&gt;0,"N/A","Y"),IF(INDEX(Entities!$G$5:$G$34,MATCH(B234,Entities!$A$5:$A$34,0))="Y","Y","N/A")))</f>
        <v>Y</v>
      </c>
      <c r="J234" s="8" t="s">
        <v>1306</v>
      </c>
      <c r="K234" s="8" t="s">
        <v>752</v>
      </c>
      <c r="L234" s="7" t="str">
        <f aca="false">IF(OR(J234="",K234=""),"",IF(J234=K234,"Breach","OK"))</f>
        <v>OK</v>
      </c>
      <c r="M234" s="24" t="n">
        <v>2</v>
      </c>
      <c r="N234" s="50" t="n">
        <v>46264</v>
      </c>
      <c r="O234" s="8" t="s">
        <v>546</v>
      </c>
      <c r="P234" s="24" t="n">
        <v>1</v>
      </c>
      <c r="Q234" s="31" t="n">
        <f aca="false">IF(I234="N/A","",IFERROR(INDEX('Residual Config'!$B$35:$B$42,MATCH(H234,'Residual Config'!$A$35:$A$42,0)),""))</f>
        <v>1</v>
      </c>
      <c r="R234" s="24" t="n">
        <v>1</v>
      </c>
      <c r="S234" s="8" t="s">
        <v>521</v>
      </c>
      <c r="T234" s="31" t="n">
        <f aca="false">IF(S234="","",MATCH(S234,'Residual Config'!$L$9:$L$12,0))</f>
        <v>2</v>
      </c>
      <c r="U234" s="8" t="s">
        <v>1307</v>
      </c>
      <c r="V234" s="24" t="n">
        <v>2</v>
      </c>
      <c r="W234" s="33" t="s">
        <v>533</v>
      </c>
      <c r="X234" s="8" t="s">
        <v>760</v>
      </c>
      <c r="Y234" s="51" t="n">
        <f aca="false">IF(N234="","",EDATE(N234,IF(G234="N",INDEX('Residual Config'!$B$31:$D$31,1,MATCH(D234,'Residual Config'!$B$27:$D$27,0)),INDEX('Residual Config'!$B$28:$D$30,IF(T234=1,1,IF(T234=4,3,2)),MATCH(D234,'Residual Config'!$B$27:$D$27,0)))))</f>
        <v>46356</v>
      </c>
      <c r="Z234" s="7" t="str">
        <f aca="false">IF(I234="N/A","N/A",IF(N234="","Not tested",IF(W234="Rejected","Evidence rejected",IF(W234&lt;&gt;"Accepted","Evidence pending",IF(Y234&lt;'Residual Config'!$C$4,"Overdue","Current")))))</f>
        <v>Current</v>
      </c>
      <c r="AA234" s="34" t="n">
        <f aca="false">IF(I234="N/A","",IF(Z234&lt;&gt;"Current",4,IF(MAX(M234,T234)=0,4,MAX(M234,T234))))</f>
        <v>2</v>
      </c>
      <c r="AB234" s="7" t="str">
        <f aca="false">IF(AA234="","N/A",IF(Z234&lt;&gt;"Current","Not tested / overdue",INDEX('Residual Config'!$B$11:$B$14,AA234)))</f>
        <v>Largely effective</v>
      </c>
      <c r="AC234" s="36" t="n">
        <f aca="false">IF(AA234="","",INDEX('Residual Config'!$D$11:$D$14,AA234))</f>
        <v>0.4</v>
      </c>
      <c r="AD234" s="7" t="str">
        <f aca="false">IF(OR(I234="N/A",P234="",Q234=""),"",IF(P234&gt;=Q234,"Yes","No"))</f>
        <v>Yes</v>
      </c>
      <c r="AE234" s="8"/>
    </row>
    <row r="235" customFormat="false" ht="15" hidden="false" customHeight="false" outlineLevel="0" collapsed="false">
      <c r="A235" s="12" t="s">
        <v>1308</v>
      </c>
      <c r="B235" s="26" t="str">
        <f aca="false">Entities!$A$10</f>
        <v>PS</v>
      </c>
      <c r="C235" s="12" t="str">
        <f aca="false">INDEX(Entities!$B$5:$B$34,MATCH(B235,Entities!$A$5:$A$34,0))</f>
        <v>Arab Bank – Palestine</v>
      </c>
      <c r="D235" s="7" t="str">
        <f aca="false">INDEX(Entities!$F$5:$F$34,MATCH(B235,Entities!$A$5:$A$34,0))</f>
        <v>Tier 1</v>
      </c>
      <c r="E235" s="26" t="str">
        <f aca="false">'Control Library'!$A$20</f>
        <v>CTL-PAY-01</v>
      </c>
      <c r="F235" s="12" t="str">
        <f aca="false">INDEX('Control Library'!$B$5:$B$47,MATCH(E235,'Control Library'!$A$5:$A$47,0))</f>
        <v>Payment transparency checks (FATF R.16)</v>
      </c>
      <c r="G235" s="7" t="str">
        <f aca="false">INDEX('Control Library'!$F$5:$F$47,MATCH(E235,'Control Library'!$A$5:$A$47,0))</f>
        <v>N</v>
      </c>
      <c r="H235" s="12" t="str">
        <f aca="false">INDEX('Control Library'!$E$5:$E$47,MATCH(E235,'Control Library'!$A$5:$A$47,0))</f>
        <v>Continuous</v>
      </c>
      <c r="I235" s="7" t="str">
        <f aca="false">IF(INDEX('Control Library'!$I$5:$I$47,MATCH(E235,'Control Library'!$A$5:$A$47,0))="All","Y",IF(INDEX('Control Library'!$I$5:$I$47,MATCH(E235,'Control Library'!$A$5:$A$47,0))="Banks only",IF(COUNTIF('Residual Config'!$L$28:$L$30,INDEX(Entities!$E$5:$E$34,MATCH(B235,Entities!$A$5:$A$34,0)))&gt;0,"N/A","Y"),IF(INDEX(Entities!$G$5:$G$34,MATCH(B235,Entities!$A$5:$A$34,0))="Y","Y","N/A")))</f>
        <v>Y</v>
      </c>
      <c r="J235" s="8" t="s">
        <v>1309</v>
      </c>
      <c r="K235" s="8" t="s">
        <v>1280</v>
      </c>
      <c r="L235" s="7" t="str">
        <f aca="false">IF(OR(J235="",K235=""),"",IF(J235=K235,"Breach","OK"))</f>
        <v>OK</v>
      </c>
      <c r="M235" s="24" t="n">
        <v>1</v>
      </c>
      <c r="N235" s="50" t="n">
        <v>46148</v>
      </c>
      <c r="O235" s="8" t="s">
        <v>547</v>
      </c>
      <c r="P235" s="24" t="n">
        <v>1</v>
      </c>
      <c r="Q235" s="31" t="n">
        <f aca="false">IF(I235="N/A","",IFERROR(INDEX('Residual Config'!$B$35:$B$42,MATCH(H235,'Residual Config'!$A$35:$A$42,0)),""))</f>
        <v>1</v>
      </c>
      <c r="R235" s="24" t="n">
        <v>1</v>
      </c>
      <c r="S235" s="8" t="s">
        <v>521</v>
      </c>
      <c r="T235" s="31" t="n">
        <f aca="false">IF(S235="","",MATCH(S235,'Residual Config'!$L$9:$L$12,0))</f>
        <v>2</v>
      </c>
      <c r="U235" s="8" t="s">
        <v>1310</v>
      </c>
      <c r="V235" s="24" t="n">
        <v>5</v>
      </c>
      <c r="W235" s="33" t="s">
        <v>533</v>
      </c>
      <c r="X235" s="8" t="s">
        <v>760</v>
      </c>
      <c r="Y235" s="51" t="n">
        <f aca="false">IF(N235="","",EDATE(N235,IF(G235="N",INDEX('Residual Config'!$B$31:$D$31,1,MATCH(D235,'Residual Config'!$B$27:$D$27,0)),INDEX('Residual Config'!$B$28:$D$30,IF(T235=1,1,IF(T235=4,3,2)),MATCH(D235,'Residual Config'!$B$27:$D$27,0)))))</f>
        <v>46513</v>
      </c>
      <c r="Z235" s="7" t="str">
        <f aca="false">IF(I235="N/A","N/A",IF(N235="","Not tested",IF(W235="Rejected","Evidence rejected",IF(W235&lt;&gt;"Accepted","Evidence pending",IF(Y235&lt;'Residual Config'!$C$4,"Overdue","Current")))))</f>
        <v>Current</v>
      </c>
      <c r="AA235" s="34" t="n">
        <f aca="false">IF(I235="N/A","",IF(Z235&lt;&gt;"Current",4,IF(MAX(M235,T235)=0,4,MAX(M235,T235))))</f>
        <v>2</v>
      </c>
      <c r="AB235" s="7" t="str">
        <f aca="false">IF(AA235="","N/A",IF(Z235&lt;&gt;"Current","Not tested / overdue",INDEX('Residual Config'!$B$11:$B$14,AA235)))</f>
        <v>Largely effective</v>
      </c>
      <c r="AC235" s="36" t="n">
        <f aca="false">IF(AA235="","",INDEX('Residual Config'!$D$11:$D$14,AA235))</f>
        <v>0.4</v>
      </c>
      <c r="AD235" s="7" t="str">
        <f aca="false">IF(OR(I235="N/A",P235="",Q235=""),"",IF(P235&gt;=Q235,"Yes","No"))</f>
        <v>Yes</v>
      </c>
      <c r="AE235" s="8"/>
    </row>
    <row r="236" customFormat="false" ht="15" hidden="false" customHeight="false" outlineLevel="0" collapsed="false">
      <c r="A236" s="12" t="s">
        <v>1311</v>
      </c>
      <c r="B236" s="26" t="str">
        <f aca="false">Entities!$A$10</f>
        <v>PS</v>
      </c>
      <c r="C236" s="12" t="str">
        <f aca="false">INDEX(Entities!$B$5:$B$34,MATCH(B236,Entities!$A$5:$A$34,0))</f>
        <v>Arab Bank – Palestine</v>
      </c>
      <c r="D236" s="7" t="str">
        <f aca="false">INDEX(Entities!$F$5:$F$34,MATCH(B236,Entities!$A$5:$A$34,0))</f>
        <v>Tier 1</v>
      </c>
      <c r="E236" s="26" t="str">
        <f aca="false">'Control Library'!$A$21</f>
        <v>CTL-ABC-01</v>
      </c>
      <c r="F236" s="12" t="str">
        <f aca="false">INDEX('Control Library'!$B$5:$B$47,MATCH(E236,'Control Library'!$A$5:$A$47,0))</f>
        <v>Third-party and intermediary anti-bribery due diligence</v>
      </c>
      <c r="G236" s="7" t="str">
        <f aca="false">INDEX('Control Library'!$F$5:$F$47,MATCH(E236,'Control Library'!$A$5:$A$47,0))</f>
        <v>Y</v>
      </c>
      <c r="H236" s="12" t="str">
        <f aca="false">INDEX('Control Library'!$E$5:$E$47,MATCH(E236,'Control Library'!$A$5:$A$47,0))</f>
        <v>Event-driven</v>
      </c>
      <c r="I236" s="7" t="str">
        <f aca="false">IF(INDEX('Control Library'!$I$5:$I$47,MATCH(E236,'Control Library'!$A$5:$A$47,0))="All","Y",IF(INDEX('Control Library'!$I$5:$I$47,MATCH(E236,'Control Library'!$A$5:$A$47,0))="Banks only",IF(COUNTIF('Residual Config'!$L$28:$L$30,INDEX(Entities!$E$5:$E$34,MATCH(B236,Entities!$A$5:$A$34,0)))&gt;0,"N/A","Y"),IF(INDEX(Entities!$G$5:$G$34,MATCH(B236,Entities!$A$5:$A$34,0))="Y","Y","N/A")))</f>
        <v>Y</v>
      </c>
      <c r="J236" s="8" t="s">
        <v>1312</v>
      </c>
      <c r="K236" s="8" t="s">
        <v>752</v>
      </c>
      <c r="L236" s="7" t="str">
        <f aca="false">IF(OR(J236="",K236=""),"",IF(J236=K236,"Breach","OK"))</f>
        <v>OK</v>
      </c>
      <c r="M236" s="24" t="n">
        <v>2</v>
      </c>
      <c r="N236" s="50" t="n">
        <v>46157</v>
      </c>
      <c r="O236" s="8" t="s">
        <v>545</v>
      </c>
      <c r="P236" s="24" t="n">
        <v>30</v>
      </c>
      <c r="Q236" s="31" t="n">
        <f aca="false">IF(I236="N/A","",IFERROR(INDEX('Residual Config'!$B$35:$B$42,MATCH(H236,'Residual Config'!$A$35:$A$42,0)),""))</f>
        <v>25</v>
      </c>
      <c r="R236" s="24" t="n">
        <v>0</v>
      </c>
      <c r="S236" s="8" t="s">
        <v>516</v>
      </c>
      <c r="T236" s="31" t="n">
        <f aca="false">IF(S236="","",MATCH(S236,'Residual Config'!$L$9:$L$12,0))</f>
        <v>1</v>
      </c>
      <c r="U236" s="8" t="s">
        <v>1313</v>
      </c>
      <c r="V236" s="24" t="n">
        <v>2</v>
      </c>
      <c r="W236" s="33" t="s">
        <v>533</v>
      </c>
      <c r="X236" s="8" t="s">
        <v>760</v>
      </c>
      <c r="Y236" s="51" t="n">
        <f aca="false">IF(N236="","",EDATE(N236,IF(G236="N",INDEX('Residual Config'!$B$31:$D$31,1,MATCH(D236,'Residual Config'!$B$27:$D$27,0)),INDEX('Residual Config'!$B$28:$D$30,IF(T236=1,1,IF(T236=4,3,2)),MATCH(D236,'Residual Config'!$B$27:$D$27,0)))))</f>
        <v>46341</v>
      </c>
      <c r="Z236" s="7" t="str">
        <f aca="false">IF(I236="N/A","N/A",IF(N236="","Not tested",IF(W236="Rejected","Evidence rejected",IF(W236&lt;&gt;"Accepted","Evidence pending",IF(Y236&lt;'Residual Config'!$C$4,"Overdue","Current")))))</f>
        <v>Current</v>
      </c>
      <c r="AA236" s="34" t="n">
        <f aca="false">IF(I236="N/A","",IF(Z236&lt;&gt;"Current",4,IF(MAX(M236,T236)=0,4,MAX(M236,T236))))</f>
        <v>2</v>
      </c>
      <c r="AB236" s="7" t="str">
        <f aca="false">IF(AA236="","N/A",IF(Z236&lt;&gt;"Current","Not tested / overdue",INDEX('Residual Config'!$B$11:$B$14,AA236)))</f>
        <v>Largely effective</v>
      </c>
      <c r="AC236" s="36" t="n">
        <f aca="false">IF(AA236="","",INDEX('Residual Config'!$D$11:$D$14,AA236))</f>
        <v>0.4</v>
      </c>
      <c r="AD236" s="7" t="str">
        <f aca="false">IF(OR(I236="N/A",P236="",Q236=""),"",IF(P236&gt;=Q236,"Yes","No"))</f>
        <v>Yes</v>
      </c>
      <c r="AE236" s="8"/>
    </row>
    <row r="237" customFormat="false" ht="15" hidden="false" customHeight="false" outlineLevel="0" collapsed="false">
      <c r="A237" s="12" t="s">
        <v>1314</v>
      </c>
      <c r="B237" s="26" t="str">
        <f aca="false">Entities!$A$10</f>
        <v>PS</v>
      </c>
      <c r="C237" s="12" t="str">
        <f aca="false">INDEX(Entities!$B$5:$B$34,MATCH(B237,Entities!$A$5:$A$34,0))</f>
        <v>Arab Bank – Palestine</v>
      </c>
      <c r="D237" s="7" t="str">
        <f aca="false">INDEX(Entities!$F$5:$F$34,MATCH(B237,Entities!$A$5:$A$34,0))</f>
        <v>Tier 1</v>
      </c>
      <c r="E237" s="26" t="str">
        <f aca="false">'Control Library'!$A$22</f>
        <v>CTL-ABC-02</v>
      </c>
      <c r="F237" s="12" t="str">
        <f aca="false">INDEX('Control Library'!$B$5:$B$47,MATCH(E237,'Control Library'!$A$5:$A$47,0))</f>
        <v>Gifts, hospitality and donations register with pre-approval</v>
      </c>
      <c r="G237" s="7" t="str">
        <f aca="false">INDEX('Control Library'!$F$5:$F$47,MATCH(E237,'Control Library'!$A$5:$A$47,0))</f>
        <v>N</v>
      </c>
      <c r="H237" s="12" t="str">
        <f aca="false">INDEX('Control Library'!$E$5:$E$47,MATCH(E237,'Control Library'!$A$5:$A$47,0))</f>
        <v>Event-driven</v>
      </c>
      <c r="I237" s="7" t="str">
        <f aca="false">IF(INDEX('Control Library'!$I$5:$I$47,MATCH(E237,'Control Library'!$A$5:$A$47,0))="All","Y",IF(INDEX('Control Library'!$I$5:$I$47,MATCH(E237,'Control Library'!$A$5:$A$47,0))="Banks only",IF(COUNTIF('Residual Config'!$L$28:$L$30,INDEX(Entities!$E$5:$E$34,MATCH(B237,Entities!$A$5:$A$34,0)))&gt;0,"N/A","Y"),IF(INDEX(Entities!$G$5:$G$34,MATCH(B237,Entities!$A$5:$A$34,0))="Y","Y","N/A")))</f>
        <v>Y</v>
      </c>
      <c r="J237" s="8" t="s">
        <v>1273</v>
      </c>
      <c r="K237" s="8" t="s">
        <v>1280</v>
      </c>
      <c r="L237" s="7" t="str">
        <f aca="false">IF(OR(J237="",K237=""),"",IF(J237=K237,"Breach","OK"))</f>
        <v>OK</v>
      </c>
      <c r="M237" s="24" t="n">
        <v>3</v>
      </c>
      <c r="N237" s="50"/>
      <c r="O237" s="8"/>
      <c r="P237" s="24"/>
      <c r="Q237" s="31" t="n">
        <f aca="false">IF(I237="N/A","",IFERROR(INDEX('Residual Config'!$B$35:$B$42,MATCH(H237,'Residual Config'!$A$35:$A$42,0)),""))</f>
        <v>25</v>
      </c>
      <c r="R237" s="24"/>
      <c r="S237" s="8"/>
      <c r="T237" s="31" t="str">
        <f aca="false">IF(S237="","",MATCH(S237,'Residual Config'!$L$9:$L$12,0))</f>
        <v/>
      </c>
      <c r="U237" s="8"/>
      <c r="V237" s="24"/>
      <c r="W237" s="33"/>
      <c r="X237" s="8"/>
      <c r="Y237" s="51" t="str">
        <f aca="false">IF(N237="","",EDATE(N237,IF(G237="N",INDEX('Residual Config'!$B$31:$D$31,1,MATCH(D237,'Residual Config'!$B$27:$D$27,0)),INDEX('Residual Config'!$B$28:$D$30,IF(T237=1,1,IF(T237=4,3,2)),MATCH(D237,'Residual Config'!$B$27:$D$27,0)))))</f>
        <v/>
      </c>
      <c r="Z237" s="7" t="str">
        <f aca="false">IF(I237="N/A","N/A",IF(N237="","Not tested",IF(W237="Rejected","Evidence rejected",IF(W237&lt;&gt;"Accepted","Evidence pending",IF(Y237&lt;'Residual Config'!$C$4,"Overdue","Current")))))</f>
        <v>Not tested</v>
      </c>
      <c r="AA237" s="34" t="n">
        <f aca="false">IF(I237="N/A","",IF(Z237&lt;&gt;"Current",4,IF(MAX(M237,T237)=0,4,MAX(M237,T237))))</f>
        <v>4</v>
      </c>
      <c r="AB237" s="7" t="str">
        <f aca="false">IF(AA237="","N/A",IF(Z237&lt;&gt;"Current","Not tested / overdue",INDEX('Residual Config'!$B$11:$B$14,AA237)))</f>
        <v>Not tested / overdue</v>
      </c>
      <c r="AC237" s="36" t="n">
        <f aca="false">IF(AA237="","",INDEX('Residual Config'!$D$11:$D$14,AA237))</f>
        <v>0</v>
      </c>
      <c r="AD237" s="7" t="str">
        <f aca="false">IF(OR(I237="N/A",P237="",Q237=""),"",IF(P237&gt;=Q237,"Yes","No"))</f>
        <v/>
      </c>
      <c r="AE237" s="8"/>
    </row>
    <row r="238" customFormat="false" ht="15" hidden="false" customHeight="false" outlineLevel="0" collapsed="false">
      <c r="A238" s="12" t="s">
        <v>1315</v>
      </c>
      <c r="B238" s="26" t="str">
        <f aca="false">Entities!$A$10</f>
        <v>PS</v>
      </c>
      <c r="C238" s="12" t="str">
        <f aca="false">INDEX(Entities!$B$5:$B$34,MATCH(B238,Entities!$A$5:$A$34,0))</f>
        <v>Arab Bank – Palestine</v>
      </c>
      <c r="D238" s="7" t="str">
        <f aca="false">INDEX(Entities!$F$5:$F$34,MATCH(B238,Entities!$A$5:$A$34,0))</f>
        <v>Tier 1</v>
      </c>
      <c r="E238" s="26" t="str">
        <f aca="false">'Control Library'!$A$23</f>
        <v>CTL-FRD-01</v>
      </c>
      <c r="F238" s="12" t="str">
        <f aca="false">INDEX('Control Library'!$B$5:$B$47,MATCH(E238,'Control Library'!$A$5:$A$47,0))</f>
        <v>Real-time fraud monitoring for cards and digital channels</v>
      </c>
      <c r="G238" s="7" t="str">
        <f aca="false">INDEX('Control Library'!$F$5:$F$47,MATCH(E238,'Control Library'!$A$5:$A$47,0))</f>
        <v>Y</v>
      </c>
      <c r="H238" s="12" t="str">
        <f aca="false">INDEX('Control Library'!$E$5:$E$47,MATCH(E238,'Control Library'!$A$5:$A$47,0))</f>
        <v>Continuous</v>
      </c>
      <c r="I238" s="7" t="str">
        <f aca="false">IF(INDEX('Control Library'!$I$5:$I$47,MATCH(E238,'Control Library'!$A$5:$A$47,0))="All","Y",IF(INDEX('Control Library'!$I$5:$I$47,MATCH(E238,'Control Library'!$A$5:$A$47,0))="Banks only",IF(COUNTIF('Residual Config'!$L$28:$L$30,INDEX(Entities!$E$5:$E$34,MATCH(B238,Entities!$A$5:$A$34,0)))&gt;0,"N/A","Y"),IF(INDEX(Entities!$G$5:$G$34,MATCH(B238,Entities!$A$5:$A$34,0))="Y","Y","N/A")))</f>
        <v>Y</v>
      </c>
      <c r="J238" s="8" t="s">
        <v>1316</v>
      </c>
      <c r="K238" s="8" t="s">
        <v>752</v>
      </c>
      <c r="L238" s="7" t="str">
        <f aca="false">IF(OR(J238="",K238=""),"",IF(J238=K238,"Breach","OK"))</f>
        <v>OK</v>
      </c>
      <c r="M238" s="24" t="n">
        <v>2</v>
      </c>
      <c r="N238" s="50" t="n">
        <v>46253</v>
      </c>
      <c r="O238" s="8" t="s">
        <v>547</v>
      </c>
      <c r="P238" s="24" t="n">
        <v>1</v>
      </c>
      <c r="Q238" s="31" t="n">
        <f aca="false">IF(I238="N/A","",IFERROR(INDEX('Residual Config'!$B$35:$B$42,MATCH(H238,'Residual Config'!$A$35:$A$42,0)),""))</f>
        <v>1</v>
      </c>
      <c r="R238" s="24" t="n">
        <v>1</v>
      </c>
      <c r="S238" s="8" t="s">
        <v>521</v>
      </c>
      <c r="T238" s="31" t="n">
        <f aca="false">IF(S238="","",MATCH(S238,'Residual Config'!$L$9:$L$12,0))</f>
        <v>2</v>
      </c>
      <c r="U238" s="8" t="s">
        <v>1317</v>
      </c>
      <c r="V238" s="24" t="n">
        <v>1</v>
      </c>
      <c r="W238" s="33" t="s">
        <v>533</v>
      </c>
      <c r="X238" s="8" t="s">
        <v>760</v>
      </c>
      <c r="Y238" s="51" t="n">
        <f aca="false">IF(N238="","",EDATE(N238,IF(G238="N",INDEX('Residual Config'!$B$31:$D$31,1,MATCH(D238,'Residual Config'!$B$27:$D$27,0)),INDEX('Residual Config'!$B$28:$D$30,IF(T238=1,1,IF(T238=4,3,2)),MATCH(D238,'Residual Config'!$B$27:$D$27,0)))))</f>
        <v>46345</v>
      </c>
      <c r="Z238" s="7" t="str">
        <f aca="false">IF(I238="N/A","N/A",IF(N238="","Not tested",IF(W238="Rejected","Evidence rejected",IF(W238&lt;&gt;"Accepted","Evidence pending",IF(Y238&lt;'Residual Config'!$C$4,"Overdue","Current")))))</f>
        <v>Current</v>
      </c>
      <c r="AA238" s="34" t="n">
        <f aca="false">IF(I238="N/A","",IF(Z238&lt;&gt;"Current",4,IF(MAX(M238,T238)=0,4,MAX(M238,T238))))</f>
        <v>2</v>
      </c>
      <c r="AB238" s="7" t="str">
        <f aca="false">IF(AA238="","N/A",IF(Z238&lt;&gt;"Current","Not tested / overdue",INDEX('Residual Config'!$B$11:$B$14,AA238)))</f>
        <v>Largely effective</v>
      </c>
      <c r="AC238" s="36" t="n">
        <f aca="false">IF(AA238="","",INDEX('Residual Config'!$D$11:$D$14,AA238))</f>
        <v>0.4</v>
      </c>
      <c r="AD238" s="7" t="str">
        <f aca="false">IF(OR(I238="N/A",P238="",Q238=""),"",IF(P238&gt;=Q238,"Yes","No"))</f>
        <v>Yes</v>
      </c>
      <c r="AE238" s="8"/>
    </row>
    <row r="239" customFormat="false" ht="15" hidden="false" customHeight="false" outlineLevel="0" collapsed="false">
      <c r="A239" s="12" t="s">
        <v>1318</v>
      </c>
      <c r="B239" s="26" t="str">
        <f aca="false">Entities!$A$10</f>
        <v>PS</v>
      </c>
      <c r="C239" s="12" t="str">
        <f aca="false">INDEX(Entities!$B$5:$B$34,MATCH(B239,Entities!$A$5:$A$34,0))</f>
        <v>Arab Bank – Palestine</v>
      </c>
      <c r="D239" s="7" t="str">
        <f aca="false">INDEX(Entities!$F$5:$F$34,MATCH(B239,Entities!$A$5:$A$34,0))</f>
        <v>Tier 1</v>
      </c>
      <c r="E239" s="26" t="str">
        <f aca="false">'Control Library'!$A$24</f>
        <v>CTL-FRD-02</v>
      </c>
      <c r="F239" s="12" t="str">
        <f aca="false">INDEX('Control Library'!$B$5:$B$47,MATCH(E239,'Control Library'!$A$5:$A$47,0))</f>
        <v>Maker-checker and dual control on payments and static data</v>
      </c>
      <c r="G239" s="7" t="str">
        <f aca="false">INDEX('Control Library'!$F$5:$F$47,MATCH(E239,'Control Library'!$A$5:$A$47,0))</f>
        <v>Y</v>
      </c>
      <c r="H239" s="12" t="str">
        <f aca="false">INDEX('Control Library'!$E$5:$E$47,MATCH(E239,'Control Library'!$A$5:$A$47,0))</f>
        <v>Daily</v>
      </c>
      <c r="I239" s="7" t="str">
        <f aca="false">IF(INDEX('Control Library'!$I$5:$I$47,MATCH(E239,'Control Library'!$A$5:$A$47,0))="All","Y",IF(INDEX('Control Library'!$I$5:$I$47,MATCH(E239,'Control Library'!$A$5:$A$47,0))="Banks only",IF(COUNTIF('Residual Config'!$L$28:$L$30,INDEX(Entities!$E$5:$E$34,MATCH(B239,Entities!$A$5:$A$34,0)))&gt;0,"N/A","Y"),IF(INDEX(Entities!$G$5:$G$34,MATCH(B239,Entities!$A$5:$A$34,0))="Y","Y","N/A")))</f>
        <v>Y</v>
      </c>
      <c r="J239" s="8" t="s">
        <v>1270</v>
      </c>
      <c r="K239" s="8" t="s">
        <v>752</v>
      </c>
      <c r="L239" s="7" t="str">
        <f aca="false">IF(OR(J239="",K239=""),"",IF(J239=K239,"Breach","OK"))</f>
        <v>OK</v>
      </c>
      <c r="M239" s="24" t="n">
        <v>2</v>
      </c>
      <c r="N239" s="50" t="n">
        <v>46257</v>
      </c>
      <c r="O239" s="8" t="s">
        <v>546</v>
      </c>
      <c r="P239" s="24" t="n">
        <v>30</v>
      </c>
      <c r="Q239" s="31" t="n">
        <f aca="false">IF(I239="N/A","",IFERROR(INDEX('Residual Config'!$B$35:$B$42,MATCH(H239,'Residual Config'!$A$35:$A$42,0)),""))</f>
        <v>25</v>
      </c>
      <c r="R239" s="24" t="n">
        <v>1</v>
      </c>
      <c r="S239" s="8" t="s">
        <v>521</v>
      </c>
      <c r="T239" s="31" t="n">
        <f aca="false">IF(S239="","",MATCH(S239,'Residual Config'!$L$9:$L$12,0))</f>
        <v>2</v>
      </c>
      <c r="U239" s="8" t="s">
        <v>1319</v>
      </c>
      <c r="V239" s="24" t="n">
        <v>4</v>
      </c>
      <c r="W239" s="33" t="s">
        <v>533</v>
      </c>
      <c r="X239" s="8" t="s">
        <v>760</v>
      </c>
      <c r="Y239" s="51" t="n">
        <f aca="false">IF(N239="","",EDATE(N239,IF(G239="N",INDEX('Residual Config'!$B$31:$D$31,1,MATCH(D239,'Residual Config'!$B$27:$D$27,0)),INDEX('Residual Config'!$B$28:$D$30,IF(T239=1,1,IF(T239=4,3,2)),MATCH(D239,'Residual Config'!$B$27:$D$27,0)))))</f>
        <v>46349</v>
      </c>
      <c r="Z239" s="7" t="str">
        <f aca="false">IF(I239="N/A","N/A",IF(N239="","Not tested",IF(W239="Rejected","Evidence rejected",IF(W239&lt;&gt;"Accepted","Evidence pending",IF(Y239&lt;'Residual Config'!$C$4,"Overdue","Current")))))</f>
        <v>Current</v>
      </c>
      <c r="AA239" s="34" t="n">
        <f aca="false">IF(I239="N/A","",IF(Z239&lt;&gt;"Current",4,IF(MAX(M239,T239)=0,4,MAX(M239,T239))))</f>
        <v>2</v>
      </c>
      <c r="AB239" s="7" t="str">
        <f aca="false">IF(AA239="","N/A",IF(Z239&lt;&gt;"Current","Not tested / overdue",INDEX('Residual Config'!$B$11:$B$14,AA239)))</f>
        <v>Largely effective</v>
      </c>
      <c r="AC239" s="36" t="n">
        <f aca="false">IF(AA239="","",INDEX('Residual Config'!$D$11:$D$14,AA239))</f>
        <v>0.4</v>
      </c>
      <c r="AD239" s="7" t="str">
        <f aca="false">IF(OR(I239="N/A",P239="",Q239=""),"",IF(P239&gt;=Q239,"Yes","No"))</f>
        <v>Yes</v>
      </c>
      <c r="AE239" s="8"/>
    </row>
    <row r="240" customFormat="false" ht="15" hidden="false" customHeight="false" outlineLevel="0" collapsed="false">
      <c r="A240" s="12" t="s">
        <v>1320</v>
      </c>
      <c r="B240" s="26" t="str">
        <f aca="false">Entities!$A$10</f>
        <v>PS</v>
      </c>
      <c r="C240" s="12" t="str">
        <f aca="false">INDEX(Entities!$B$5:$B$34,MATCH(B240,Entities!$A$5:$A$34,0))</f>
        <v>Arab Bank – Palestine</v>
      </c>
      <c r="D240" s="7" t="str">
        <f aca="false">INDEX(Entities!$F$5:$F$34,MATCH(B240,Entities!$A$5:$A$34,0))</f>
        <v>Tier 1</v>
      </c>
      <c r="E240" s="26" t="str">
        <f aca="false">'Control Library'!$A$25</f>
        <v>CTL-FRD-03</v>
      </c>
      <c r="F240" s="12" t="str">
        <f aca="false">INDEX('Control Library'!$B$5:$B$47,MATCH(E240,'Control Library'!$A$5:$A$47,0))</f>
        <v>Mandatory consecutive leave and rotation for sensitive roles</v>
      </c>
      <c r="G240" s="7" t="str">
        <f aca="false">INDEX('Control Library'!$F$5:$F$47,MATCH(E240,'Control Library'!$A$5:$A$47,0))</f>
        <v>N</v>
      </c>
      <c r="H240" s="12" t="str">
        <f aca="false">INDEX('Control Library'!$E$5:$E$47,MATCH(E240,'Control Library'!$A$5:$A$47,0))</f>
        <v>Annual</v>
      </c>
      <c r="I240" s="7" t="str">
        <f aca="false">IF(INDEX('Control Library'!$I$5:$I$47,MATCH(E240,'Control Library'!$A$5:$A$47,0))="All","Y",IF(INDEX('Control Library'!$I$5:$I$47,MATCH(E240,'Control Library'!$A$5:$A$47,0))="Banks only",IF(COUNTIF('Residual Config'!$L$28:$L$30,INDEX(Entities!$E$5:$E$34,MATCH(B240,Entities!$A$5:$A$34,0)))&gt;0,"N/A","Y"),IF(INDEX(Entities!$G$5:$G$34,MATCH(B240,Entities!$A$5:$A$34,0))="Y","Y","N/A")))</f>
        <v>Y</v>
      </c>
      <c r="J240" s="8" t="s">
        <v>1321</v>
      </c>
      <c r="K240" s="8" t="s">
        <v>1280</v>
      </c>
      <c r="L240" s="7" t="str">
        <f aca="false">IF(OR(J240="",K240=""),"",IF(J240=K240,"Breach","OK"))</f>
        <v>OK</v>
      </c>
      <c r="M240" s="24" t="n">
        <v>2</v>
      </c>
      <c r="N240" s="50" t="n">
        <v>45952</v>
      </c>
      <c r="O240" s="8" t="s">
        <v>545</v>
      </c>
      <c r="P240" s="24" t="n">
        <v>1</v>
      </c>
      <c r="Q240" s="31" t="n">
        <f aca="false">IF(I240="N/A","",IFERROR(INDEX('Residual Config'!$B$35:$B$42,MATCH(H240,'Residual Config'!$A$35:$A$42,0)),""))</f>
        <v>1</v>
      </c>
      <c r="R240" s="24" t="n">
        <v>0</v>
      </c>
      <c r="S240" s="8" t="s">
        <v>516</v>
      </c>
      <c r="T240" s="31" t="n">
        <f aca="false">IF(S240="","",MATCH(S240,'Residual Config'!$L$9:$L$12,0))</f>
        <v>1</v>
      </c>
      <c r="U240" s="8" t="s">
        <v>1322</v>
      </c>
      <c r="V240" s="24" t="n">
        <v>3</v>
      </c>
      <c r="W240" s="33" t="s">
        <v>533</v>
      </c>
      <c r="X240" s="8" t="s">
        <v>754</v>
      </c>
      <c r="Y240" s="51" t="n">
        <f aca="false">IF(N240="","",EDATE(N240,IF(G240="N",INDEX('Residual Config'!$B$31:$D$31,1,MATCH(D240,'Residual Config'!$B$27:$D$27,0)),INDEX('Residual Config'!$B$28:$D$30,IF(T240=1,1,IF(T240=4,3,2)),MATCH(D240,'Residual Config'!$B$27:$D$27,0)))))</f>
        <v>46317</v>
      </c>
      <c r="Z240" s="7" t="str">
        <f aca="false">IF(I240="N/A","N/A",IF(N240="","Not tested",IF(W240="Rejected","Evidence rejected",IF(W240&lt;&gt;"Accepted","Evidence pending",IF(Y240&lt;'Residual Config'!$C$4,"Overdue","Current")))))</f>
        <v>Current</v>
      </c>
      <c r="AA240" s="34" t="n">
        <f aca="false">IF(I240="N/A","",IF(Z240&lt;&gt;"Current",4,IF(MAX(M240,T240)=0,4,MAX(M240,T240))))</f>
        <v>2</v>
      </c>
      <c r="AB240" s="7" t="str">
        <f aca="false">IF(AA240="","N/A",IF(Z240&lt;&gt;"Current","Not tested / overdue",INDEX('Residual Config'!$B$11:$B$14,AA240)))</f>
        <v>Largely effective</v>
      </c>
      <c r="AC240" s="36" t="n">
        <f aca="false">IF(AA240="","",INDEX('Residual Config'!$D$11:$D$14,AA240))</f>
        <v>0.4</v>
      </c>
      <c r="AD240" s="7" t="str">
        <f aca="false">IF(OR(I240="N/A",P240="",Q240=""),"",IF(P240&gt;=Q240,"Yes","No"))</f>
        <v>Yes</v>
      </c>
      <c r="AE240" s="8"/>
    </row>
    <row r="241" customFormat="false" ht="15" hidden="false" customHeight="false" outlineLevel="0" collapsed="false">
      <c r="A241" s="12" t="s">
        <v>1323</v>
      </c>
      <c r="B241" s="26" t="str">
        <f aca="false">Entities!$A$10</f>
        <v>PS</v>
      </c>
      <c r="C241" s="12" t="str">
        <f aca="false">INDEX(Entities!$B$5:$B$34,MATCH(B241,Entities!$A$5:$A$34,0))</f>
        <v>Arab Bank – Palestine</v>
      </c>
      <c r="D241" s="7" t="str">
        <f aca="false">INDEX(Entities!$F$5:$F$34,MATCH(B241,Entities!$A$5:$A$34,0))</f>
        <v>Tier 1</v>
      </c>
      <c r="E241" s="26" t="str">
        <f aca="false">'Control Library'!$A$26</f>
        <v>CTL-TAX-01</v>
      </c>
      <c r="F241" s="12" t="str">
        <f aca="false">INDEX('Control Library'!$B$5:$B$47,MATCH(E241,'Control Library'!$A$5:$A$47,0))</f>
        <v>FATCA/CRS self-certification and classification</v>
      </c>
      <c r="G241" s="7" t="str">
        <f aca="false">INDEX('Control Library'!$F$5:$F$47,MATCH(E241,'Control Library'!$A$5:$A$47,0))</f>
        <v>Y</v>
      </c>
      <c r="H241" s="12" t="str">
        <f aca="false">INDEX('Control Library'!$E$5:$E$47,MATCH(E241,'Control Library'!$A$5:$A$47,0))</f>
        <v>Event-driven</v>
      </c>
      <c r="I241" s="7" t="str">
        <f aca="false">IF(INDEX('Control Library'!$I$5:$I$47,MATCH(E241,'Control Library'!$A$5:$A$47,0))="All","Y",IF(INDEX('Control Library'!$I$5:$I$47,MATCH(E241,'Control Library'!$A$5:$A$47,0))="Banks only",IF(COUNTIF('Residual Config'!$L$28:$L$30,INDEX(Entities!$E$5:$E$34,MATCH(B241,Entities!$A$5:$A$34,0)))&gt;0,"N/A","Y"),IF(INDEX(Entities!$G$5:$G$34,MATCH(B241,Entities!$A$5:$A$34,0))="Y","Y","N/A")))</f>
        <v>Y</v>
      </c>
      <c r="J241" s="8" t="s">
        <v>1270</v>
      </c>
      <c r="K241" s="8" t="s">
        <v>752</v>
      </c>
      <c r="L241" s="7" t="str">
        <f aca="false">IF(OR(J241="",K241=""),"",IF(J241=K241,"Breach","OK"))</f>
        <v>OK</v>
      </c>
      <c r="M241" s="24" t="n">
        <v>3</v>
      </c>
      <c r="N241" s="50" t="n">
        <v>46271</v>
      </c>
      <c r="O241" s="8" t="s">
        <v>545</v>
      </c>
      <c r="P241" s="24" t="n">
        <v>30</v>
      </c>
      <c r="Q241" s="31" t="n">
        <f aca="false">IF(I241="N/A","",IFERROR(INDEX('Residual Config'!$B$35:$B$42,MATCH(H241,'Residual Config'!$A$35:$A$42,0)),""))</f>
        <v>25</v>
      </c>
      <c r="R241" s="24" t="n">
        <v>1</v>
      </c>
      <c r="S241" s="8" t="s">
        <v>521</v>
      </c>
      <c r="T241" s="31" t="n">
        <f aca="false">IF(S241="","",MATCH(S241,'Residual Config'!$L$9:$L$12,0))</f>
        <v>2</v>
      </c>
      <c r="U241" s="8" t="s">
        <v>1324</v>
      </c>
      <c r="V241" s="24" t="n">
        <v>6</v>
      </c>
      <c r="W241" s="33" t="s">
        <v>533</v>
      </c>
      <c r="X241" s="8" t="s">
        <v>760</v>
      </c>
      <c r="Y241" s="51" t="n">
        <f aca="false">IF(N241="","",EDATE(N241,IF(G241="N",INDEX('Residual Config'!$B$31:$D$31,1,MATCH(D241,'Residual Config'!$B$27:$D$27,0)),INDEX('Residual Config'!$B$28:$D$30,IF(T241=1,1,IF(T241=4,3,2)),MATCH(D241,'Residual Config'!$B$27:$D$27,0)))))</f>
        <v>46362</v>
      </c>
      <c r="Z241" s="7" t="str">
        <f aca="false">IF(I241="N/A","N/A",IF(N241="","Not tested",IF(W241="Rejected","Evidence rejected",IF(W241&lt;&gt;"Accepted","Evidence pending",IF(Y241&lt;'Residual Config'!$C$4,"Overdue","Current")))))</f>
        <v>Current</v>
      </c>
      <c r="AA241" s="34" t="n">
        <f aca="false">IF(I241="N/A","",IF(Z241&lt;&gt;"Current",4,IF(MAX(M241,T241)=0,4,MAX(M241,T241))))</f>
        <v>3</v>
      </c>
      <c r="AB241" s="7" t="str">
        <f aca="false">IF(AA241="","N/A",IF(Z241&lt;&gt;"Current","Not tested / overdue",INDEX('Residual Config'!$B$11:$B$14,AA241)))</f>
        <v>Partially effective</v>
      </c>
      <c r="AC241" s="36" t="n">
        <f aca="false">IF(AA241="","",INDEX('Residual Config'!$D$11:$D$14,AA241))</f>
        <v>0.2</v>
      </c>
      <c r="AD241" s="7" t="str">
        <f aca="false">IF(OR(I241="N/A",P241="",Q241=""),"",IF(P241&gt;=Q241,"Yes","No"))</f>
        <v>Yes</v>
      </c>
      <c r="AE241" s="8"/>
    </row>
    <row r="242" customFormat="false" ht="15" hidden="false" customHeight="false" outlineLevel="0" collapsed="false">
      <c r="A242" s="12" t="s">
        <v>1325</v>
      </c>
      <c r="B242" s="26" t="str">
        <f aca="false">Entities!$A$10</f>
        <v>PS</v>
      </c>
      <c r="C242" s="12" t="str">
        <f aca="false">INDEX(Entities!$B$5:$B$34,MATCH(B242,Entities!$A$5:$A$34,0))</f>
        <v>Arab Bank – Palestine</v>
      </c>
      <c r="D242" s="7" t="str">
        <f aca="false">INDEX(Entities!$F$5:$F$34,MATCH(B242,Entities!$A$5:$A$34,0))</f>
        <v>Tier 1</v>
      </c>
      <c r="E242" s="26" t="str">
        <f aca="false">'Control Library'!$A$27</f>
        <v>CTL-TAX-02</v>
      </c>
      <c r="F242" s="12" t="str">
        <f aca="false">INDEX('Control Library'!$B$5:$B$47,MATCH(E242,'Control Library'!$A$5:$A$47,0))</f>
        <v>FATCA/CRS reporting reconciliation and timely filing</v>
      </c>
      <c r="G242" s="7" t="str">
        <f aca="false">INDEX('Control Library'!$F$5:$F$47,MATCH(E242,'Control Library'!$A$5:$A$47,0))</f>
        <v>N</v>
      </c>
      <c r="H242" s="12" t="str">
        <f aca="false">INDEX('Control Library'!$E$5:$E$47,MATCH(E242,'Control Library'!$A$5:$A$47,0))</f>
        <v>Annual</v>
      </c>
      <c r="I242" s="7" t="str">
        <f aca="false">IF(INDEX('Control Library'!$I$5:$I$47,MATCH(E242,'Control Library'!$A$5:$A$47,0))="All","Y",IF(INDEX('Control Library'!$I$5:$I$47,MATCH(E242,'Control Library'!$A$5:$A$47,0))="Banks only",IF(COUNTIF('Residual Config'!$L$28:$L$30,INDEX(Entities!$E$5:$E$34,MATCH(B242,Entities!$A$5:$A$34,0)))&gt;0,"N/A","Y"),IF(INDEX(Entities!$G$5:$G$34,MATCH(B242,Entities!$A$5:$A$34,0))="Y","Y","N/A")))</f>
        <v>Y</v>
      </c>
      <c r="J242" s="8" t="s">
        <v>1326</v>
      </c>
      <c r="K242" s="8" t="s">
        <v>1280</v>
      </c>
      <c r="L242" s="7" t="str">
        <f aca="false">IF(OR(J242="",K242=""),"",IF(J242=K242,"Breach","OK"))</f>
        <v>OK</v>
      </c>
      <c r="M242" s="24" t="n">
        <v>3</v>
      </c>
      <c r="N242" s="50" t="n">
        <v>46168</v>
      </c>
      <c r="O242" s="8" t="s">
        <v>545</v>
      </c>
      <c r="P242" s="24" t="n">
        <v>1</v>
      </c>
      <c r="Q242" s="31" t="n">
        <f aca="false">IF(I242="N/A","",IFERROR(INDEX('Residual Config'!$B$35:$B$42,MATCH(H242,'Residual Config'!$A$35:$A$42,0)),""))</f>
        <v>1</v>
      </c>
      <c r="R242" s="24" t="n">
        <v>1</v>
      </c>
      <c r="S242" s="8" t="s">
        <v>521</v>
      </c>
      <c r="T242" s="31" t="n">
        <f aca="false">IF(S242="","",MATCH(S242,'Residual Config'!$L$9:$L$12,0))</f>
        <v>2</v>
      </c>
      <c r="U242" s="8" t="s">
        <v>1327</v>
      </c>
      <c r="V242" s="24" t="n">
        <v>3</v>
      </c>
      <c r="W242" s="33" t="s">
        <v>533</v>
      </c>
      <c r="X242" s="8" t="s">
        <v>760</v>
      </c>
      <c r="Y242" s="51" t="n">
        <f aca="false">IF(N242="","",EDATE(N242,IF(G242="N",INDEX('Residual Config'!$B$31:$D$31,1,MATCH(D242,'Residual Config'!$B$27:$D$27,0)),INDEX('Residual Config'!$B$28:$D$30,IF(T242=1,1,IF(T242=4,3,2)),MATCH(D242,'Residual Config'!$B$27:$D$27,0)))))</f>
        <v>46533</v>
      </c>
      <c r="Z242" s="7" t="str">
        <f aca="false">IF(I242="N/A","N/A",IF(N242="","Not tested",IF(W242="Rejected","Evidence rejected",IF(W242&lt;&gt;"Accepted","Evidence pending",IF(Y242&lt;'Residual Config'!$C$4,"Overdue","Current")))))</f>
        <v>Current</v>
      </c>
      <c r="AA242" s="34" t="n">
        <f aca="false">IF(I242="N/A","",IF(Z242&lt;&gt;"Current",4,IF(MAX(M242,T242)=0,4,MAX(M242,T242))))</f>
        <v>3</v>
      </c>
      <c r="AB242" s="7" t="str">
        <f aca="false">IF(AA242="","N/A",IF(Z242&lt;&gt;"Current","Not tested / overdue",INDEX('Residual Config'!$B$11:$B$14,AA242)))</f>
        <v>Partially effective</v>
      </c>
      <c r="AC242" s="36" t="n">
        <f aca="false">IF(AA242="","",INDEX('Residual Config'!$D$11:$D$14,AA242))</f>
        <v>0.2</v>
      </c>
      <c r="AD242" s="7" t="str">
        <f aca="false">IF(OR(I242="N/A",P242="",Q242=""),"",IF(P242&gt;=Q242,"Yes","No"))</f>
        <v>Yes</v>
      </c>
      <c r="AE242" s="8"/>
    </row>
    <row r="243" customFormat="false" ht="15" hidden="false" customHeight="false" outlineLevel="0" collapsed="false">
      <c r="A243" s="12" t="s">
        <v>1328</v>
      </c>
      <c r="B243" s="26" t="str">
        <f aca="false">Entities!$A$10</f>
        <v>PS</v>
      </c>
      <c r="C243" s="12" t="str">
        <f aca="false">INDEX(Entities!$B$5:$B$34,MATCH(B243,Entities!$A$5:$A$34,0))</f>
        <v>Arab Bank – Palestine</v>
      </c>
      <c r="D243" s="7" t="str">
        <f aca="false">INDEX(Entities!$F$5:$F$34,MATCH(B243,Entities!$A$5:$A$34,0))</f>
        <v>Tier 1</v>
      </c>
      <c r="E243" s="26" t="str">
        <f aca="false">'Control Library'!$A$28</f>
        <v>CTL-TRN-01</v>
      </c>
      <c r="F243" s="12" t="str">
        <f aca="false">INDEX('Control Library'!$B$5:$B$47,MATCH(E243,'Control Library'!$A$5:$A$47,0))</f>
        <v>Annual AML, sanctions and anti-bribery training</v>
      </c>
      <c r="G243" s="7" t="str">
        <f aca="false">INDEX('Control Library'!$F$5:$F$47,MATCH(E243,'Control Library'!$A$5:$A$47,0))</f>
        <v>N</v>
      </c>
      <c r="H243" s="12" t="str">
        <f aca="false">INDEX('Control Library'!$E$5:$E$47,MATCH(E243,'Control Library'!$A$5:$A$47,0))</f>
        <v>Annual</v>
      </c>
      <c r="I243" s="7" t="str">
        <f aca="false">IF(INDEX('Control Library'!$I$5:$I$47,MATCH(E243,'Control Library'!$A$5:$A$47,0))="All","Y",IF(INDEX('Control Library'!$I$5:$I$47,MATCH(E243,'Control Library'!$A$5:$A$47,0))="Banks only",IF(COUNTIF('Residual Config'!$L$28:$L$30,INDEX(Entities!$E$5:$E$34,MATCH(B243,Entities!$A$5:$A$34,0)))&gt;0,"N/A","Y"),IF(INDEX(Entities!$G$5:$G$34,MATCH(B243,Entities!$A$5:$A$34,0))="Y","Y","N/A")))</f>
        <v>Y</v>
      </c>
      <c r="J243" s="8" t="s">
        <v>1273</v>
      </c>
      <c r="K243" s="8" t="s">
        <v>1280</v>
      </c>
      <c r="L243" s="7" t="str">
        <f aca="false">IF(OR(J243="",K243=""),"",IF(J243=K243,"Breach","OK"))</f>
        <v>OK</v>
      </c>
      <c r="M243" s="24" t="n">
        <v>2</v>
      </c>
      <c r="N243" s="50" t="n">
        <v>46029</v>
      </c>
      <c r="O243" s="8" t="s">
        <v>546</v>
      </c>
      <c r="P243" s="24" t="n">
        <v>1</v>
      </c>
      <c r="Q243" s="31" t="n">
        <f aca="false">IF(I243="N/A","",IFERROR(INDEX('Residual Config'!$B$35:$B$42,MATCH(H243,'Residual Config'!$A$35:$A$42,0)),""))</f>
        <v>1</v>
      </c>
      <c r="R243" s="24" t="n">
        <v>0</v>
      </c>
      <c r="S243" s="8" t="s">
        <v>516</v>
      </c>
      <c r="T243" s="31" t="n">
        <f aca="false">IF(S243="","",MATCH(S243,'Residual Config'!$L$9:$L$12,0))</f>
        <v>1</v>
      </c>
      <c r="U243" s="8" t="s">
        <v>1329</v>
      </c>
      <c r="V243" s="24" t="n">
        <v>5</v>
      </c>
      <c r="W243" s="33" t="s">
        <v>533</v>
      </c>
      <c r="X243" s="8" t="s">
        <v>760</v>
      </c>
      <c r="Y243" s="51" t="n">
        <f aca="false">IF(N243="","",EDATE(N243,IF(G243="N",INDEX('Residual Config'!$B$31:$D$31,1,MATCH(D243,'Residual Config'!$B$27:$D$27,0)),INDEX('Residual Config'!$B$28:$D$30,IF(T243=1,1,IF(T243=4,3,2)),MATCH(D243,'Residual Config'!$B$27:$D$27,0)))))</f>
        <v>46394</v>
      </c>
      <c r="Z243" s="7" t="str">
        <f aca="false">IF(I243="N/A","N/A",IF(N243="","Not tested",IF(W243="Rejected","Evidence rejected",IF(W243&lt;&gt;"Accepted","Evidence pending",IF(Y243&lt;'Residual Config'!$C$4,"Overdue","Current")))))</f>
        <v>Current</v>
      </c>
      <c r="AA243" s="34" t="n">
        <f aca="false">IF(I243="N/A","",IF(Z243&lt;&gt;"Current",4,IF(MAX(M243,T243)=0,4,MAX(M243,T243))))</f>
        <v>2</v>
      </c>
      <c r="AB243" s="7" t="str">
        <f aca="false">IF(AA243="","N/A",IF(Z243&lt;&gt;"Current","Not tested / overdue",INDEX('Residual Config'!$B$11:$B$14,AA243)))</f>
        <v>Largely effective</v>
      </c>
      <c r="AC243" s="36" t="n">
        <f aca="false">IF(AA243="","",INDEX('Residual Config'!$D$11:$D$14,AA243))</f>
        <v>0.4</v>
      </c>
      <c r="AD243" s="7" t="str">
        <f aca="false">IF(OR(I243="N/A",P243="",Q243=""),"",IF(P243&gt;=Q243,"Yes","No"))</f>
        <v>Yes</v>
      </c>
      <c r="AE243" s="8"/>
    </row>
    <row r="244" customFormat="false" ht="15" hidden="false" customHeight="false" outlineLevel="0" collapsed="false">
      <c r="A244" s="12" t="s">
        <v>1330</v>
      </c>
      <c r="B244" s="26" t="str">
        <f aca="false">Entities!$A$10</f>
        <v>PS</v>
      </c>
      <c r="C244" s="12" t="str">
        <f aca="false">INDEX(Entities!$B$5:$B$34,MATCH(B244,Entities!$A$5:$A$34,0))</f>
        <v>Arab Bank – Palestine</v>
      </c>
      <c r="D244" s="7" t="str">
        <f aca="false">INDEX(Entities!$F$5:$F$34,MATCH(B244,Entities!$A$5:$A$34,0))</f>
        <v>Tier 1</v>
      </c>
      <c r="E244" s="26" t="str">
        <f aca="false">'Control Library'!$A$29</f>
        <v>CTL-REG-01</v>
      </c>
      <c r="F244" s="12" t="str">
        <f aca="false">INDEX('Control Library'!$B$5:$B$47,MATCH(E244,'Control Library'!$A$5:$A$47,0))</f>
        <v>Regulatory change management and obligations register</v>
      </c>
      <c r="G244" s="7" t="str">
        <f aca="false">INDEX('Control Library'!$F$5:$F$47,MATCH(E244,'Control Library'!$A$5:$A$47,0))</f>
        <v>Y</v>
      </c>
      <c r="H244" s="12" t="str">
        <f aca="false">INDEX('Control Library'!$E$5:$E$47,MATCH(E244,'Control Library'!$A$5:$A$47,0))</f>
        <v>Monthly</v>
      </c>
      <c r="I244" s="7" t="str">
        <f aca="false">IF(INDEX('Control Library'!$I$5:$I$47,MATCH(E244,'Control Library'!$A$5:$A$47,0))="All","Y",IF(INDEX('Control Library'!$I$5:$I$47,MATCH(E244,'Control Library'!$A$5:$A$47,0))="Banks only",IF(COUNTIF('Residual Config'!$L$28:$L$30,INDEX(Entities!$E$5:$E$34,MATCH(B244,Entities!$A$5:$A$34,0)))&gt;0,"N/A","Y"),IF(INDEX(Entities!$G$5:$G$34,MATCH(B244,Entities!$A$5:$A$34,0))="Y","Y","N/A")))</f>
        <v>Y</v>
      </c>
      <c r="J244" s="8" t="s">
        <v>1273</v>
      </c>
      <c r="K244" s="8" t="s">
        <v>752</v>
      </c>
      <c r="L244" s="7" t="str">
        <f aca="false">IF(OR(J244="",K244=""),"",IF(J244=K244,"Breach","OK"))</f>
        <v>OK</v>
      </c>
      <c r="M244" s="24" t="n">
        <v>3</v>
      </c>
      <c r="N244" s="50" t="n">
        <v>46266</v>
      </c>
      <c r="O244" s="8" t="s">
        <v>545</v>
      </c>
      <c r="P244" s="24" t="n">
        <v>3</v>
      </c>
      <c r="Q244" s="31" t="n">
        <f aca="false">IF(I244="N/A","",IFERROR(INDEX('Residual Config'!$B$35:$B$42,MATCH(H244,'Residual Config'!$A$35:$A$42,0)),""))</f>
        <v>3</v>
      </c>
      <c r="R244" s="24" t="n">
        <v>1</v>
      </c>
      <c r="S244" s="8" t="s">
        <v>521</v>
      </c>
      <c r="T244" s="31" t="n">
        <f aca="false">IF(S244="","",MATCH(S244,'Residual Config'!$L$9:$L$12,0))</f>
        <v>2</v>
      </c>
      <c r="U244" s="8" t="s">
        <v>1331</v>
      </c>
      <c r="V244" s="24" t="n">
        <v>5</v>
      </c>
      <c r="W244" s="33" t="s">
        <v>533</v>
      </c>
      <c r="X244" s="8" t="s">
        <v>754</v>
      </c>
      <c r="Y244" s="51" t="n">
        <f aca="false">IF(N244="","",EDATE(N244,IF(G244="N",INDEX('Residual Config'!$B$31:$D$31,1,MATCH(D244,'Residual Config'!$B$27:$D$27,0)),INDEX('Residual Config'!$B$28:$D$30,IF(T244=1,1,IF(T244=4,3,2)),MATCH(D244,'Residual Config'!$B$27:$D$27,0)))))</f>
        <v>46357</v>
      </c>
      <c r="Z244" s="7" t="str">
        <f aca="false">IF(I244="N/A","N/A",IF(N244="","Not tested",IF(W244="Rejected","Evidence rejected",IF(W244&lt;&gt;"Accepted","Evidence pending",IF(Y244&lt;'Residual Config'!$C$4,"Overdue","Current")))))</f>
        <v>Current</v>
      </c>
      <c r="AA244" s="34" t="n">
        <f aca="false">IF(I244="N/A","",IF(Z244&lt;&gt;"Current",4,IF(MAX(M244,T244)=0,4,MAX(M244,T244))))</f>
        <v>3</v>
      </c>
      <c r="AB244" s="7" t="str">
        <f aca="false">IF(AA244="","N/A",IF(Z244&lt;&gt;"Current","Not tested / overdue",INDEX('Residual Config'!$B$11:$B$14,AA244)))</f>
        <v>Partially effective</v>
      </c>
      <c r="AC244" s="36" t="n">
        <f aca="false">IF(AA244="","",INDEX('Residual Config'!$D$11:$D$14,AA244))</f>
        <v>0.2</v>
      </c>
      <c r="AD244" s="7" t="str">
        <f aca="false">IF(OR(I244="N/A",P244="",Q244=""),"",IF(P244&gt;=Q244,"Yes","No"))</f>
        <v>Yes</v>
      </c>
      <c r="AE244" s="8"/>
    </row>
    <row r="245" customFormat="false" ht="15" hidden="false" customHeight="false" outlineLevel="0" collapsed="false">
      <c r="A245" s="12" t="s">
        <v>1332</v>
      </c>
      <c r="B245" s="26" t="str">
        <f aca="false">Entities!$A$10</f>
        <v>PS</v>
      </c>
      <c r="C245" s="12" t="str">
        <f aca="false">INDEX(Entities!$B$5:$B$34,MATCH(B245,Entities!$A$5:$A$34,0))</f>
        <v>Arab Bank – Palestine</v>
      </c>
      <c r="D245" s="7" t="str">
        <f aca="false">INDEX(Entities!$F$5:$F$34,MATCH(B245,Entities!$A$5:$A$34,0))</f>
        <v>Tier 1</v>
      </c>
      <c r="E245" s="26" t="str">
        <f aca="false">'Control Library'!$A$30</f>
        <v>CTL-REG-02</v>
      </c>
      <c r="F245" s="12" t="str">
        <f aca="false">INDEX('Control Library'!$B$5:$B$47,MATCH(E245,'Control Library'!$A$5:$A$47,0))</f>
        <v>Regulatory return review and senior sign-off</v>
      </c>
      <c r="G245" s="7" t="str">
        <f aca="false">INDEX('Control Library'!$F$5:$F$47,MATCH(E245,'Control Library'!$A$5:$A$47,0))</f>
        <v>Y</v>
      </c>
      <c r="H245" s="12" t="str">
        <f aca="false">INDEX('Control Library'!$E$5:$E$47,MATCH(E245,'Control Library'!$A$5:$A$47,0))</f>
        <v>Monthly</v>
      </c>
      <c r="I245" s="7" t="str">
        <f aca="false">IF(INDEX('Control Library'!$I$5:$I$47,MATCH(E245,'Control Library'!$A$5:$A$47,0))="All","Y",IF(INDEX('Control Library'!$I$5:$I$47,MATCH(E245,'Control Library'!$A$5:$A$47,0))="Banks only",IF(COUNTIF('Residual Config'!$L$28:$L$30,INDEX(Entities!$E$5:$E$34,MATCH(B245,Entities!$A$5:$A$34,0)))&gt;0,"N/A","Y"),IF(INDEX(Entities!$G$5:$G$34,MATCH(B245,Entities!$A$5:$A$34,0))="Y","Y","N/A")))</f>
        <v>Y</v>
      </c>
      <c r="J245" s="8" t="s">
        <v>1326</v>
      </c>
      <c r="K245" s="8" t="s">
        <v>752</v>
      </c>
      <c r="L245" s="7" t="str">
        <f aca="false">IF(OR(J245="",K245=""),"",IF(J245=K245,"Breach","OK"))</f>
        <v>OK</v>
      </c>
      <c r="M245" s="24" t="n">
        <v>2</v>
      </c>
      <c r="N245" s="50" t="n">
        <v>46237</v>
      </c>
      <c r="O245" s="8" t="s">
        <v>545</v>
      </c>
      <c r="P245" s="24" t="n">
        <v>3</v>
      </c>
      <c r="Q245" s="31" t="n">
        <f aca="false">IF(I245="N/A","",IFERROR(INDEX('Residual Config'!$B$35:$B$42,MATCH(H245,'Residual Config'!$A$35:$A$42,0)),""))</f>
        <v>3</v>
      </c>
      <c r="R245" s="24" t="n">
        <v>1</v>
      </c>
      <c r="S245" s="8" t="s">
        <v>521</v>
      </c>
      <c r="T245" s="31" t="n">
        <f aca="false">IF(S245="","",MATCH(S245,'Residual Config'!$L$9:$L$12,0))</f>
        <v>2</v>
      </c>
      <c r="U245" s="8" t="s">
        <v>1333</v>
      </c>
      <c r="V245" s="24" t="n">
        <v>6</v>
      </c>
      <c r="W245" s="33" t="s">
        <v>533</v>
      </c>
      <c r="X245" s="8" t="s">
        <v>760</v>
      </c>
      <c r="Y245" s="51" t="n">
        <f aca="false">IF(N245="","",EDATE(N245,IF(G245="N",INDEX('Residual Config'!$B$31:$D$31,1,MATCH(D245,'Residual Config'!$B$27:$D$27,0)),INDEX('Residual Config'!$B$28:$D$30,IF(T245=1,1,IF(T245=4,3,2)),MATCH(D245,'Residual Config'!$B$27:$D$27,0)))))</f>
        <v>46329</v>
      </c>
      <c r="Z245" s="7" t="str">
        <f aca="false">IF(I245="N/A","N/A",IF(N245="","Not tested",IF(W245="Rejected","Evidence rejected",IF(W245&lt;&gt;"Accepted","Evidence pending",IF(Y245&lt;'Residual Config'!$C$4,"Overdue","Current")))))</f>
        <v>Current</v>
      </c>
      <c r="AA245" s="34" t="n">
        <f aca="false">IF(I245="N/A","",IF(Z245&lt;&gt;"Current",4,IF(MAX(M245,T245)=0,4,MAX(M245,T245))))</f>
        <v>2</v>
      </c>
      <c r="AB245" s="7" t="str">
        <f aca="false">IF(AA245="","N/A",IF(Z245&lt;&gt;"Current","Not tested / overdue",INDEX('Residual Config'!$B$11:$B$14,AA245)))</f>
        <v>Largely effective</v>
      </c>
      <c r="AC245" s="36" t="n">
        <f aca="false">IF(AA245="","",INDEX('Residual Config'!$D$11:$D$14,AA245))</f>
        <v>0.4</v>
      </c>
      <c r="AD245" s="7" t="str">
        <f aca="false">IF(OR(I245="N/A",P245="",Q245=""),"",IF(P245&gt;=Q245,"Yes","No"))</f>
        <v>Yes</v>
      </c>
      <c r="AE245" s="8"/>
    </row>
    <row r="246" customFormat="false" ht="15" hidden="false" customHeight="false" outlineLevel="0" collapsed="false">
      <c r="A246" s="12" t="s">
        <v>1334</v>
      </c>
      <c r="B246" s="26" t="str">
        <f aca="false">Entities!$A$10</f>
        <v>PS</v>
      </c>
      <c r="C246" s="12" t="str">
        <f aca="false">INDEX(Entities!$B$5:$B$34,MATCH(B246,Entities!$A$5:$A$34,0))</f>
        <v>Arab Bank – Palestine</v>
      </c>
      <c r="D246" s="7" t="str">
        <f aca="false">INDEX(Entities!$F$5:$F$34,MATCH(B246,Entities!$A$5:$A$34,0))</f>
        <v>Tier 1</v>
      </c>
      <c r="E246" s="26" t="str">
        <f aca="false">'Control Library'!$A$31</f>
        <v>CTL-CON-01</v>
      </c>
      <c r="F246" s="12" t="str">
        <f aca="false">INDEX('Control Library'!$B$5:$B$47,MATCH(E246,'Control Library'!$A$5:$A$47,0))</f>
        <v>New product approval and suitability assessment</v>
      </c>
      <c r="G246" s="7" t="str">
        <f aca="false">INDEX('Control Library'!$F$5:$F$47,MATCH(E246,'Control Library'!$A$5:$A$47,0))</f>
        <v>Y</v>
      </c>
      <c r="H246" s="12" t="str">
        <f aca="false">INDEX('Control Library'!$E$5:$E$47,MATCH(E246,'Control Library'!$A$5:$A$47,0))</f>
        <v>Event-driven</v>
      </c>
      <c r="I246" s="7" t="str">
        <f aca="false">IF(INDEX('Control Library'!$I$5:$I$47,MATCH(E246,'Control Library'!$A$5:$A$47,0))="All","Y",IF(INDEX('Control Library'!$I$5:$I$47,MATCH(E246,'Control Library'!$A$5:$A$47,0))="Banks only",IF(COUNTIF('Residual Config'!$L$28:$L$30,INDEX(Entities!$E$5:$E$34,MATCH(B246,Entities!$A$5:$A$34,0)))&gt;0,"N/A","Y"),IF(INDEX(Entities!$G$5:$G$34,MATCH(B246,Entities!$A$5:$A$34,0))="Y","Y","N/A")))</f>
        <v>Y</v>
      </c>
      <c r="J246" s="8" t="s">
        <v>1273</v>
      </c>
      <c r="K246" s="8" t="s">
        <v>752</v>
      </c>
      <c r="L246" s="7" t="str">
        <f aca="false">IF(OR(J246="",K246=""),"",IF(J246=K246,"Breach","OK"))</f>
        <v>OK</v>
      </c>
      <c r="M246" s="24" t="n">
        <v>2</v>
      </c>
      <c r="N246" s="50" t="n">
        <v>46283</v>
      </c>
      <c r="O246" s="8" t="s">
        <v>545</v>
      </c>
      <c r="P246" s="24" t="n">
        <v>35</v>
      </c>
      <c r="Q246" s="31" t="n">
        <f aca="false">IF(I246="N/A","",IFERROR(INDEX('Residual Config'!$B$35:$B$42,MATCH(H246,'Residual Config'!$A$35:$A$42,0)),""))</f>
        <v>25</v>
      </c>
      <c r="R246" s="24" t="n">
        <v>2</v>
      </c>
      <c r="S246" s="8" t="s">
        <v>524</v>
      </c>
      <c r="T246" s="31" t="n">
        <f aca="false">IF(S246="","",MATCH(S246,'Residual Config'!$L$9:$L$12,0))</f>
        <v>3</v>
      </c>
      <c r="U246" s="8" t="s">
        <v>1335</v>
      </c>
      <c r="V246" s="24" t="n">
        <v>1</v>
      </c>
      <c r="W246" s="33" t="s">
        <v>533</v>
      </c>
      <c r="X246" s="8" t="s">
        <v>760</v>
      </c>
      <c r="Y246" s="51" t="n">
        <f aca="false">IF(N246="","",EDATE(N246,IF(G246="N",INDEX('Residual Config'!$B$31:$D$31,1,MATCH(D246,'Residual Config'!$B$27:$D$27,0)),INDEX('Residual Config'!$B$28:$D$30,IF(T246=1,1,IF(T246=4,3,2)),MATCH(D246,'Residual Config'!$B$27:$D$27,0)))))</f>
        <v>46374</v>
      </c>
      <c r="Z246" s="7" t="str">
        <f aca="false">IF(I246="N/A","N/A",IF(N246="","Not tested",IF(W246="Rejected","Evidence rejected",IF(W246&lt;&gt;"Accepted","Evidence pending",IF(Y246&lt;'Residual Config'!$C$4,"Overdue","Current")))))</f>
        <v>Current</v>
      </c>
      <c r="AA246" s="34" t="n">
        <f aca="false">IF(I246="N/A","",IF(Z246&lt;&gt;"Current",4,IF(MAX(M246,T246)=0,4,MAX(M246,T246))))</f>
        <v>3</v>
      </c>
      <c r="AB246" s="7" t="str">
        <f aca="false">IF(AA246="","N/A",IF(Z246&lt;&gt;"Current","Not tested / overdue",INDEX('Residual Config'!$B$11:$B$14,AA246)))</f>
        <v>Partially effective</v>
      </c>
      <c r="AC246" s="36" t="n">
        <f aca="false">IF(AA246="","",INDEX('Residual Config'!$D$11:$D$14,AA246))</f>
        <v>0.2</v>
      </c>
      <c r="AD246" s="7" t="str">
        <f aca="false">IF(OR(I246="N/A",P246="",Q246=""),"",IF(P246&gt;=Q246,"Yes","No"))</f>
        <v>Yes</v>
      </c>
      <c r="AE246" s="8"/>
    </row>
    <row r="247" customFormat="false" ht="15" hidden="false" customHeight="false" outlineLevel="0" collapsed="false">
      <c r="A247" s="12" t="s">
        <v>1336</v>
      </c>
      <c r="B247" s="26" t="str">
        <f aca="false">Entities!$A$10</f>
        <v>PS</v>
      </c>
      <c r="C247" s="12" t="str">
        <f aca="false">INDEX(Entities!$B$5:$B$34,MATCH(B247,Entities!$A$5:$A$34,0))</f>
        <v>Arab Bank – Palestine</v>
      </c>
      <c r="D247" s="7" t="str">
        <f aca="false">INDEX(Entities!$F$5:$F$34,MATCH(B247,Entities!$A$5:$A$34,0))</f>
        <v>Tier 1</v>
      </c>
      <c r="E247" s="26" t="str">
        <f aca="false">'Control Library'!$A$32</f>
        <v>CTL-CON-02</v>
      </c>
      <c r="F247" s="12" t="str">
        <f aca="false">INDEX('Control Library'!$B$5:$B$47,MATCH(E247,'Control Library'!$A$5:$A$47,0))</f>
        <v>Complaints handling and root-cause analysis</v>
      </c>
      <c r="G247" s="7" t="str">
        <f aca="false">INDEX('Control Library'!$F$5:$F$47,MATCH(E247,'Control Library'!$A$5:$A$47,0))</f>
        <v>N</v>
      </c>
      <c r="H247" s="12" t="str">
        <f aca="false">INDEX('Control Library'!$E$5:$E$47,MATCH(E247,'Control Library'!$A$5:$A$47,0))</f>
        <v>Monthly</v>
      </c>
      <c r="I247" s="7" t="str">
        <f aca="false">IF(INDEX('Control Library'!$I$5:$I$47,MATCH(E247,'Control Library'!$A$5:$A$47,0))="All","Y",IF(INDEX('Control Library'!$I$5:$I$47,MATCH(E247,'Control Library'!$A$5:$A$47,0))="Banks only",IF(COUNTIF('Residual Config'!$L$28:$L$30,INDEX(Entities!$E$5:$E$34,MATCH(B247,Entities!$A$5:$A$34,0)))&gt;0,"N/A","Y"),IF(INDEX(Entities!$G$5:$G$34,MATCH(B247,Entities!$A$5:$A$34,0))="Y","Y","N/A")))</f>
        <v>Y</v>
      </c>
      <c r="J247" s="8" t="s">
        <v>1337</v>
      </c>
      <c r="K247" s="8" t="s">
        <v>1280</v>
      </c>
      <c r="L247" s="7" t="str">
        <f aca="false">IF(OR(J247="",K247=""),"",IF(J247=K247,"Breach","OK"))</f>
        <v>OK</v>
      </c>
      <c r="M247" s="24" t="n">
        <v>2</v>
      </c>
      <c r="N247" s="50" t="n">
        <v>46052</v>
      </c>
      <c r="O247" s="8" t="s">
        <v>545</v>
      </c>
      <c r="P247" s="24" t="n">
        <v>3</v>
      </c>
      <c r="Q247" s="31" t="n">
        <f aca="false">IF(I247="N/A","",IFERROR(INDEX('Residual Config'!$B$35:$B$42,MATCH(H247,'Residual Config'!$A$35:$A$42,0)),""))</f>
        <v>3</v>
      </c>
      <c r="R247" s="24" t="n">
        <v>0</v>
      </c>
      <c r="S247" s="8" t="s">
        <v>516</v>
      </c>
      <c r="T247" s="31" t="n">
        <f aca="false">IF(S247="","",MATCH(S247,'Residual Config'!$L$9:$L$12,0))</f>
        <v>1</v>
      </c>
      <c r="U247" s="8" t="s">
        <v>1338</v>
      </c>
      <c r="V247" s="24" t="n">
        <v>5</v>
      </c>
      <c r="W247" s="33" t="s">
        <v>533</v>
      </c>
      <c r="X247" s="8" t="s">
        <v>760</v>
      </c>
      <c r="Y247" s="51" t="n">
        <f aca="false">IF(N247="","",EDATE(N247,IF(G247="N",INDEX('Residual Config'!$B$31:$D$31,1,MATCH(D247,'Residual Config'!$B$27:$D$27,0)),INDEX('Residual Config'!$B$28:$D$30,IF(T247=1,1,IF(T247=4,3,2)),MATCH(D247,'Residual Config'!$B$27:$D$27,0)))))</f>
        <v>46417</v>
      </c>
      <c r="Z247" s="7" t="str">
        <f aca="false">IF(I247="N/A","N/A",IF(N247="","Not tested",IF(W247="Rejected","Evidence rejected",IF(W247&lt;&gt;"Accepted","Evidence pending",IF(Y247&lt;'Residual Config'!$C$4,"Overdue","Current")))))</f>
        <v>Current</v>
      </c>
      <c r="AA247" s="34" t="n">
        <f aca="false">IF(I247="N/A","",IF(Z247&lt;&gt;"Current",4,IF(MAX(M247,T247)=0,4,MAX(M247,T247))))</f>
        <v>2</v>
      </c>
      <c r="AB247" s="7" t="str">
        <f aca="false">IF(AA247="","N/A",IF(Z247&lt;&gt;"Current","Not tested / overdue",INDEX('Residual Config'!$B$11:$B$14,AA247)))</f>
        <v>Largely effective</v>
      </c>
      <c r="AC247" s="36" t="n">
        <f aca="false">IF(AA247="","",INDEX('Residual Config'!$D$11:$D$14,AA247))</f>
        <v>0.4</v>
      </c>
      <c r="AD247" s="7" t="str">
        <f aca="false">IF(OR(I247="N/A",P247="",Q247=""),"",IF(P247&gt;=Q247,"Yes","No"))</f>
        <v>Yes</v>
      </c>
      <c r="AE247" s="8"/>
    </row>
    <row r="248" customFormat="false" ht="15" hidden="false" customHeight="false" outlineLevel="0" collapsed="false">
      <c r="A248" s="12" t="s">
        <v>1339</v>
      </c>
      <c r="B248" s="26" t="str">
        <f aca="false">Entities!$A$10</f>
        <v>PS</v>
      </c>
      <c r="C248" s="12" t="str">
        <f aca="false">INDEX(Entities!$B$5:$B$34,MATCH(B248,Entities!$A$5:$A$34,0))</f>
        <v>Arab Bank – Palestine</v>
      </c>
      <c r="D248" s="7" t="str">
        <f aca="false">INDEX(Entities!$F$5:$F$34,MATCH(B248,Entities!$A$5:$A$34,0))</f>
        <v>Tier 1</v>
      </c>
      <c r="E248" s="26" t="str">
        <f aca="false">'Control Library'!$A$33</f>
        <v>CTL-DP-01</v>
      </c>
      <c r="F248" s="12" t="str">
        <f aca="false">INDEX('Control Library'!$B$5:$B$47,MATCH(E248,'Control Library'!$A$5:$A$47,0))</f>
        <v>Data protection impact assessments and processing records</v>
      </c>
      <c r="G248" s="7" t="str">
        <f aca="false">INDEX('Control Library'!$F$5:$F$47,MATCH(E248,'Control Library'!$A$5:$A$47,0))</f>
        <v>Y</v>
      </c>
      <c r="H248" s="12" t="str">
        <f aca="false">INDEX('Control Library'!$E$5:$E$47,MATCH(E248,'Control Library'!$A$5:$A$47,0))</f>
        <v>Event-driven</v>
      </c>
      <c r="I248" s="7" t="str">
        <f aca="false">IF(INDEX('Control Library'!$I$5:$I$47,MATCH(E248,'Control Library'!$A$5:$A$47,0))="All","Y",IF(INDEX('Control Library'!$I$5:$I$47,MATCH(E248,'Control Library'!$A$5:$A$47,0))="Banks only",IF(COUNTIF('Residual Config'!$L$28:$L$30,INDEX(Entities!$E$5:$E$34,MATCH(B248,Entities!$A$5:$A$34,0)))&gt;0,"N/A","Y"),IF(INDEX(Entities!$G$5:$G$34,MATCH(B248,Entities!$A$5:$A$34,0))="Y","Y","N/A")))</f>
        <v>Y</v>
      </c>
      <c r="J248" s="8" t="s">
        <v>1340</v>
      </c>
      <c r="K248" s="8" t="s">
        <v>752</v>
      </c>
      <c r="L248" s="7" t="str">
        <f aca="false">IF(OR(J248="",K248=""),"",IF(J248=K248,"Breach","OK"))</f>
        <v>OK</v>
      </c>
      <c r="M248" s="24" t="n">
        <v>3</v>
      </c>
      <c r="N248" s="50" t="n">
        <v>46227</v>
      </c>
      <c r="O248" s="8" t="s">
        <v>545</v>
      </c>
      <c r="P248" s="24" t="n">
        <v>30</v>
      </c>
      <c r="Q248" s="31" t="n">
        <f aca="false">IF(I248="N/A","",IFERROR(INDEX('Residual Config'!$B$35:$B$42,MATCH(H248,'Residual Config'!$A$35:$A$42,0)),""))</f>
        <v>25</v>
      </c>
      <c r="R248" s="24" t="n">
        <v>1</v>
      </c>
      <c r="S248" s="8" t="s">
        <v>521</v>
      </c>
      <c r="T248" s="31" t="n">
        <f aca="false">IF(S248="","",MATCH(S248,'Residual Config'!$L$9:$L$12,0))</f>
        <v>2</v>
      </c>
      <c r="U248" s="8" t="s">
        <v>1341</v>
      </c>
      <c r="V248" s="24" t="n">
        <v>1</v>
      </c>
      <c r="W248" s="33" t="s">
        <v>533</v>
      </c>
      <c r="X248" s="8" t="s">
        <v>760</v>
      </c>
      <c r="Y248" s="51" t="n">
        <f aca="false">IF(N248="","",EDATE(N248,IF(G248="N",INDEX('Residual Config'!$B$31:$D$31,1,MATCH(D248,'Residual Config'!$B$27:$D$27,0)),INDEX('Residual Config'!$B$28:$D$30,IF(T248=1,1,IF(T248=4,3,2)),MATCH(D248,'Residual Config'!$B$27:$D$27,0)))))</f>
        <v>46319</v>
      </c>
      <c r="Z248" s="7" t="str">
        <f aca="false">IF(I248="N/A","N/A",IF(N248="","Not tested",IF(W248="Rejected","Evidence rejected",IF(W248&lt;&gt;"Accepted","Evidence pending",IF(Y248&lt;'Residual Config'!$C$4,"Overdue","Current")))))</f>
        <v>Current</v>
      </c>
      <c r="AA248" s="34" t="n">
        <f aca="false">IF(I248="N/A","",IF(Z248&lt;&gt;"Current",4,IF(MAX(M248,T248)=0,4,MAX(M248,T248))))</f>
        <v>3</v>
      </c>
      <c r="AB248" s="7" t="str">
        <f aca="false">IF(AA248="","N/A",IF(Z248&lt;&gt;"Current","Not tested / overdue",INDEX('Residual Config'!$B$11:$B$14,AA248)))</f>
        <v>Partially effective</v>
      </c>
      <c r="AC248" s="36" t="n">
        <f aca="false">IF(AA248="","",INDEX('Residual Config'!$D$11:$D$14,AA248))</f>
        <v>0.2</v>
      </c>
      <c r="AD248" s="7" t="str">
        <f aca="false">IF(OR(I248="N/A",P248="",Q248=""),"",IF(P248&gt;=Q248,"Yes","No"))</f>
        <v>Yes</v>
      </c>
      <c r="AE248" s="8"/>
    </row>
    <row r="249" customFormat="false" ht="15" hidden="false" customHeight="false" outlineLevel="0" collapsed="false">
      <c r="A249" s="12" t="s">
        <v>1342</v>
      </c>
      <c r="B249" s="26" t="str">
        <f aca="false">Entities!$A$10</f>
        <v>PS</v>
      </c>
      <c r="C249" s="12" t="str">
        <f aca="false">INDEX(Entities!$B$5:$B$34,MATCH(B249,Entities!$A$5:$A$34,0))</f>
        <v>Arab Bank – Palestine</v>
      </c>
      <c r="D249" s="7" t="str">
        <f aca="false">INDEX(Entities!$F$5:$F$34,MATCH(B249,Entities!$A$5:$A$34,0))</f>
        <v>Tier 1</v>
      </c>
      <c r="E249" s="26" t="str">
        <f aca="false">'Control Library'!$A$34</f>
        <v>CTL-DP-02</v>
      </c>
      <c r="F249" s="12" t="str">
        <f aca="false">INDEX('Control Library'!$B$5:$B$47,MATCH(E249,'Control Library'!$A$5:$A$47,0))</f>
        <v>Data loss prevention and quarterly access recertification</v>
      </c>
      <c r="G249" s="7" t="str">
        <f aca="false">INDEX('Control Library'!$F$5:$F$47,MATCH(E249,'Control Library'!$A$5:$A$47,0))</f>
        <v>Y</v>
      </c>
      <c r="H249" s="12" t="str">
        <f aca="false">INDEX('Control Library'!$E$5:$E$47,MATCH(E249,'Control Library'!$A$5:$A$47,0))</f>
        <v>Quarterly</v>
      </c>
      <c r="I249" s="7" t="str">
        <f aca="false">IF(INDEX('Control Library'!$I$5:$I$47,MATCH(E249,'Control Library'!$A$5:$A$47,0))="All","Y",IF(INDEX('Control Library'!$I$5:$I$47,MATCH(E249,'Control Library'!$A$5:$A$47,0))="Banks only",IF(COUNTIF('Residual Config'!$L$28:$L$30,INDEX(Entities!$E$5:$E$34,MATCH(B249,Entities!$A$5:$A$34,0)))&gt;0,"N/A","Y"),IF(INDEX(Entities!$G$5:$G$34,MATCH(B249,Entities!$A$5:$A$34,0))="Y","Y","N/A")))</f>
        <v>Y</v>
      </c>
      <c r="J249" s="8" t="s">
        <v>1343</v>
      </c>
      <c r="K249" s="8" t="s">
        <v>752</v>
      </c>
      <c r="L249" s="7" t="str">
        <f aca="false">IF(OR(J249="",K249=""),"",IF(J249=K249,"Breach","OK"))</f>
        <v>OK</v>
      </c>
      <c r="M249" s="24" t="n">
        <v>2</v>
      </c>
      <c r="N249" s="50" t="n">
        <v>46224</v>
      </c>
      <c r="O249" s="8" t="s">
        <v>545</v>
      </c>
      <c r="P249" s="24" t="n">
        <v>2</v>
      </c>
      <c r="Q249" s="31" t="n">
        <f aca="false">IF(I249="N/A","",IFERROR(INDEX('Residual Config'!$B$35:$B$42,MATCH(H249,'Residual Config'!$A$35:$A$42,0)),""))</f>
        <v>2</v>
      </c>
      <c r="R249" s="24" t="n">
        <v>1</v>
      </c>
      <c r="S249" s="8" t="s">
        <v>521</v>
      </c>
      <c r="T249" s="31" t="n">
        <f aca="false">IF(S249="","",MATCH(S249,'Residual Config'!$L$9:$L$12,0))</f>
        <v>2</v>
      </c>
      <c r="U249" s="8" t="s">
        <v>1344</v>
      </c>
      <c r="V249" s="24" t="n">
        <v>4</v>
      </c>
      <c r="W249" s="33" t="s">
        <v>533</v>
      </c>
      <c r="X249" s="8" t="s">
        <v>760</v>
      </c>
      <c r="Y249" s="51" t="n">
        <f aca="false">IF(N249="","",EDATE(N249,IF(G249="N",INDEX('Residual Config'!$B$31:$D$31,1,MATCH(D249,'Residual Config'!$B$27:$D$27,0)),INDEX('Residual Config'!$B$28:$D$30,IF(T249=1,1,IF(T249=4,3,2)),MATCH(D249,'Residual Config'!$B$27:$D$27,0)))))</f>
        <v>46316</v>
      </c>
      <c r="Z249" s="7" t="str">
        <f aca="false">IF(I249="N/A","N/A",IF(N249="","Not tested",IF(W249="Rejected","Evidence rejected",IF(W249&lt;&gt;"Accepted","Evidence pending",IF(Y249&lt;'Residual Config'!$C$4,"Overdue","Current")))))</f>
        <v>Current</v>
      </c>
      <c r="AA249" s="34" t="n">
        <f aca="false">IF(I249="N/A","",IF(Z249&lt;&gt;"Current",4,IF(MAX(M249,T249)=0,4,MAX(M249,T249))))</f>
        <v>2</v>
      </c>
      <c r="AB249" s="7" t="str">
        <f aca="false">IF(AA249="","N/A",IF(Z249&lt;&gt;"Current","Not tested / overdue",INDEX('Residual Config'!$B$11:$B$14,AA249)))</f>
        <v>Largely effective</v>
      </c>
      <c r="AC249" s="36" t="n">
        <f aca="false">IF(AA249="","",INDEX('Residual Config'!$D$11:$D$14,AA249))</f>
        <v>0.4</v>
      </c>
      <c r="AD249" s="7" t="str">
        <f aca="false">IF(OR(I249="N/A",P249="",Q249=""),"",IF(P249&gt;=Q249,"Yes","No"))</f>
        <v>Yes</v>
      </c>
      <c r="AE249" s="8"/>
    </row>
    <row r="250" customFormat="false" ht="15" hidden="false" customHeight="false" outlineLevel="0" collapsed="false">
      <c r="A250" s="12" t="s">
        <v>1345</v>
      </c>
      <c r="B250" s="26" t="str">
        <f aca="false">Entities!$A$10</f>
        <v>PS</v>
      </c>
      <c r="C250" s="12" t="str">
        <f aca="false">INDEX(Entities!$B$5:$B$34,MATCH(B250,Entities!$A$5:$A$34,0))</f>
        <v>Arab Bank – Palestine</v>
      </c>
      <c r="D250" s="7" t="str">
        <f aca="false">INDEX(Entities!$F$5:$F$34,MATCH(B250,Entities!$A$5:$A$34,0))</f>
        <v>Tier 1</v>
      </c>
      <c r="E250" s="26" t="str">
        <f aca="false">'Control Library'!$A$35</f>
        <v>CTL-SH-01</v>
      </c>
      <c r="F250" s="12" t="str">
        <f aca="false">INDEX('Control Library'!$B$5:$B$47,MATCH(E250,'Control Library'!$A$5:$A$47,0))</f>
        <v>Shariah review of products and income purification</v>
      </c>
      <c r="G250" s="7" t="str">
        <f aca="false">INDEX('Control Library'!$F$5:$F$47,MATCH(E250,'Control Library'!$A$5:$A$47,0))</f>
        <v>Y</v>
      </c>
      <c r="H250" s="12" t="str">
        <f aca="false">INDEX('Control Library'!$E$5:$E$47,MATCH(E250,'Control Library'!$A$5:$A$47,0))</f>
        <v>Quarterly</v>
      </c>
      <c r="I250" s="7" t="str">
        <f aca="false">IF(INDEX('Control Library'!$I$5:$I$47,MATCH(E250,'Control Library'!$A$5:$A$47,0))="All","Y",IF(INDEX('Control Library'!$I$5:$I$47,MATCH(E250,'Control Library'!$A$5:$A$47,0))="Banks only",IF(COUNTIF('Residual Config'!$L$28:$L$30,INDEX(Entities!$E$5:$E$34,MATCH(B250,Entities!$A$5:$A$34,0)))&gt;0,"N/A","Y"),IF(INDEX(Entities!$G$5:$G$34,MATCH(B250,Entities!$A$5:$A$34,0))="Y","Y","N/A")))</f>
        <v>N/A</v>
      </c>
      <c r="J250" s="8"/>
      <c r="K250" s="8"/>
      <c r="L250" s="7" t="str">
        <f aca="false">IF(OR(J250="",K250=""),"",IF(J250=K250,"Breach","OK"))</f>
        <v/>
      </c>
      <c r="M250" s="24"/>
      <c r="N250" s="50"/>
      <c r="O250" s="8"/>
      <c r="P250" s="24"/>
      <c r="Q250" s="31" t="str">
        <f aca="false">IF(I250="N/A","",IFERROR(INDEX('Residual Config'!$B$35:$B$42,MATCH(H250,'Residual Config'!$A$35:$A$42,0)),""))</f>
        <v/>
      </c>
      <c r="R250" s="24"/>
      <c r="S250" s="8"/>
      <c r="T250" s="31" t="str">
        <f aca="false">IF(S250="","",MATCH(S250,'Residual Config'!$L$9:$L$12,0))</f>
        <v/>
      </c>
      <c r="U250" s="8"/>
      <c r="V250" s="24"/>
      <c r="W250" s="33"/>
      <c r="X250" s="8"/>
      <c r="Y250" s="51" t="str">
        <f aca="false">IF(N250="","",EDATE(N250,IF(G250="N",INDEX('Residual Config'!$B$31:$D$31,1,MATCH(D250,'Residual Config'!$B$27:$D$27,0)),INDEX('Residual Config'!$B$28:$D$30,IF(T250=1,1,IF(T250=4,3,2)),MATCH(D250,'Residual Config'!$B$27:$D$27,0)))))</f>
        <v/>
      </c>
      <c r="Z250" s="7" t="str">
        <f aca="false">IF(I250="N/A","N/A",IF(N250="","Not tested",IF(W250="Rejected","Evidence rejected",IF(W250&lt;&gt;"Accepted","Evidence pending",IF(Y250&lt;'Residual Config'!$C$4,"Overdue","Current")))))</f>
        <v>N/A</v>
      </c>
      <c r="AA250" s="34" t="str">
        <f aca="false">IF(I250="N/A","",IF(Z250&lt;&gt;"Current",4,IF(MAX(M250,T250)=0,4,MAX(M250,T250))))</f>
        <v/>
      </c>
      <c r="AB250" s="7" t="str">
        <f aca="false">IF(AA250="","N/A",IF(Z250&lt;&gt;"Current","Not tested / overdue",INDEX('Residual Config'!$B$11:$B$14,AA250)))</f>
        <v>N/A</v>
      </c>
      <c r="AC250" s="36" t="str">
        <f aca="false">IF(AA250="","",INDEX('Residual Config'!$D$11:$D$14,AA250))</f>
        <v/>
      </c>
      <c r="AD250" s="7" t="str">
        <f aca="false">IF(OR(I250="N/A",P250="",Q250=""),"",IF(P250&gt;=Q250,"Yes","No"))</f>
        <v/>
      </c>
      <c r="AE250" s="8"/>
    </row>
    <row r="251" customFormat="false" ht="15" hidden="false" customHeight="false" outlineLevel="0" collapsed="false">
      <c r="A251" s="12" t="s">
        <v>1346</v>
      </c>
      <c r="B251" s="26" t="str">
        <f aca="false">Entities!$A$10</f>
        <v>PS</v>
      </c>
      <c r="C251" s="12" t="str">
        <f aca="false">INDEX(Entities!$B$5:$B$34,MATCH(B251,Entities!$A$5:$A$34,0))</f>
        <v>Arab Bank – Palestine</v>
      </c>
      <c r="D251" s="7" t="str">
        <f aca="false">INDEX(Entities!$F$5:$F$34,MATCH(B251,Entities!$A$5:$A$34,0))</f>
        <v>Tier 1</v>
      </c>
      <c r="E251" s="26" t="str">
        <f aca="false">'Control Library'!$A$36</f>
        <v>CTL-CR-01</v>
      </c>
      <c r="F251" s="12" t="str">
        <f aca="false">INDEX('Control Library'!$B$5:$B$47,MATCH(E251,'Control Library'!$A$5:$A$47,0))</f>
        <v>Credit approval authorities and committee review</v>
      </c>
      <c r="G251" s="7" t="str">
        <f aca="false">INDEX('Control Library'!$F$5:$F$47,MATCH(E251,'Control Library'!$A$5:$A$47,0))</f>
        <v>Y</v>
      </c>
      <c r="H251" s="12" t="str">
        <f aca="false">INDEX('Control Library'!$E$5:$E$47,MATCH(E251,'Control Library'!$A$5:$A$47,0))</f>
        <v>Event-driven</v>
      </c>
      <c r="I251" s="7" t="str">
        <f aca="false">IF(INDEX('Control Library'!$I$5:$I$47,MATCH(E251,'Control Library'!$A$5:$A$47,0))="All","Y",IF(INDEX('Control Library'!$I$5:$I$47,MATCH(E251,'Control Library'!$A$5:$A$47,0))="Banks only",IF(COUNTIF('Residual Config'!$L$28:$L$30,INDEX(Entities!$E$5:$E$34,MATCH(B251,Entities!$A$5:$A$34,0)))&gt;0,"N/A","Y"),IF(INDEX(Entities!$G$5:$G$34,MATCH(B251,Entities!$A$5:$A$34,0))="Y","Y","N/A")))</f>
        <v>Y</v>
      </c>
      <c r="J251" s="8" t="s">
        <v>1347</v>
      </c>
      <c r="K251" s="8" t="s">
        <v>752</v>
      </c>
      <c r="L251" s="7" t="str">
        <f aca="false">IF(OR(J251="",K251=""),"",IF(J251=K251,"Breach","OK"))</f>
        <v>OK</v>
      </c>
      <c r="M251" s="24" t="n">
        <v>2</v>
      </c>
      <c r="N251" s="50" t="n">
        <v>46285</v>
      </c>
      <c r="O251" s="8" t="s">
        <v>545</v>
      </c>
      <c r="P251" s="24" t="n">
        <v>25</v>
      </c>
      <c r="Q251" s="31" t="n">
        <f aca="false">IF(I251="N/A","",IFERROR(INDEX('Residual Config'!$B$35:$B$42,MATCH(H251,'Residual Config'!$A$35:$A$42,0)),""))</f>
        <v>25</v>
      </c>
      <c r="R251" s="24" t="n">
        <v>1</v>
      </c>
      <c r="S251" s="8" t="s">
        <v>521</v>
      </c>
      <c r="T251" s="31" t="n">
        <f aca="false">IF(S251="","",MATCH(S251,'Residual Config'!$L$9:$L$12,0))</f>
        <v>2</v>
      </c>
      <c r="U251" s="8" t="s">
        <v>1348</v>
      </c>
      <c r="V251" s="24" t="n">
        <v>1</v>
      </c>
      <c r="W251" s="33" t="s">
        <v>533</v>
      </c>
      <c r="X251" s="8" t="s">
        <v>760</v>
      </c>
      <c r="Y251" s="51" t="n">
        <f aca="false">IF(N251="","",EDATE(N251,IF(G251="N",INDEX('Residual Config'!$B$31:$D$31,1,MATCH(D251,'Residual Config'!$B$27:$D$27,0)),INDEX('Residual Config'!$B$28:$D$30,IF(T251=1,1,IF(T251=4,3,2)),MATCH(D251,'Residual Config'!$B$27:$D$27,0)))))</f>
        <v>46376</v>
      </c>
      <c r="Z251" s="7" t="str">
        <f aca="false">IF(I251="N/A","N/A",IF(N251="","Not tested",IF(W251="Rejected","Evidence rejected",IF(W251&lt;&gt;"Accepted","Evidence pending",IF(Y251&lt;'Residual Config'!$C$4,"Overdue","Current")))))</f>
        <v>Current</v>
      </c>
      <c r="AA251" s="34" t="n">
        <f aca="false">IF(I251="N/A","",IF(Z251&lt;&gt;"Current",4,IF(MAX(M251,T251)=0,4,MAX(M251,T251))))</f>
        <v>2</v>
      </c>
      <c r="AB251" s="7" t="str">
        <f aca="false">IF(AA251="","N/A",IF(Z251&lt;&gt;"Current","Not tested / overdue",INDEX('Residual Config'!$B$11:$B$14,AA251)))</f>
        <v>Largely effective</v>
      </c>
      <c r="AC251" s="36" t="n">
        <f aca="false">IF(AA251="","",INDEX('Residual Config'!$D$11:$D$14,AA251))</f>
        <v>0.4</v>
      </c>
      <c r="AD251" s="7" t="str">
        <f aca="false">IF(OR(I251="N/A",P251="",Q251=""),"",IF(P251&gt;=Q251,"Yes","No"))</f>
        <v>Yes</v>
      </c>
      <c r="AE251" s="8"/>
    </row>
    <row r="252" customFormat="false" ht="15" hidden="false" customHeight="false" outlineLevel="0" collapsed="false">
      <c r="A252" s="12" t="s">
        <v>1349</v>
      </c>
      <c r="B252" s="26" t="str">
        <f aca="false">Entities!$A$10</f>
        <v>PS</v>
      </c>
      <c r="C252" s="12" t="str">
        <f aca="false">INDEX(Entities!$B$5:$B$34,MATCH(B252,Entities!$A$5:$A$34,0))</f>
        <v>Arab Bank – Palestine</v>
      </c>
      <c r="D252" s="7" t="str">
        <f aca="false">INDEX(Entities!$F$5:$F$34,MATCH(B252,Entities!$A$5:$A$34,0))</f>
        <v>Tier 1</v>
      </c>
      <c r="E252" s="26" t="str">
        <f aca="false">'Control Library'!$A$37</f>
        <v>CTL-CR-02</v>
      </c>
      <c r="F252" s="12" t="str">
        <f aca="false">INDEX('Control Library'!$B$5:$B$47,MATCH(E252,'Control Library'!$A$5:$A$47,0))</f>
        <v>Collateral valuation and exposure limit monitoring</v>
      </c>
      <c r="G252" s="7" t="str">
        <f aca="false">INDEX('Control Library'!$F$5:$F$47,MATCH(E252,'Control Library'!$A$5:$A$47,0))</f>
        <v>N</v>
      </c>
      <c r="H252" s="12" t="str">
        <f aca="false">INDEX('Control Library'!$E$5:$E$47,MATCH(E252,'Control Library'!$A$5:$A$47,0))</f>
        <v>Monthly</v>
      </c>
      <c r="I252" s="7" t="str">
        <f aca="false">IF(INDEX('Control Library'!$I$5:$I$47,MATCH(E252,'Control Library'!$A$5:$A$47,0))="All","Y",IF(INDEX('Control Library'!$I$5:$I$47,MATCH(E252,'Control Library'!$A$5:$A$47,0))="Banks only",IF(COUNTIF('Residual Config'!$L$28:$L$30,INDEX(Entities!$E$5:$E$34,MATCH(B252,Entities!$A$5:$A$34,0)))&gt;0,"N/A","Y"),IF(INDEX(Entities!$G$5:$G$34,MATCH(B252,Entities!$A$5:$A$34,0))="Y","Y","N/A")))</f>
        <v>Y</v>
      </c>
      <c r="J252" s="8" t="s">
        <v>1350</v>
      </c>
      <c r="K252" s="8" t="s">
        <v>1280</v>
      </c>
      <c r="L252" s="7" t="str">
        <f aca="false">IF(OR(J252="",K252=""),"",IF(J252=K252,"Breach","OK"))</f>
        <v>OK</v>
      </c>
      <c r="M252" s="24" t="n">
        <v>2</v>
      </c>
      <c r="N252" s="50" t="n">
        <v>46148</v>
      </c>
      <c r="O252" s="8" t="s">
        <v>545</v>
      </c>
      <c r="P252" s="24" t="n">
        <v>3</v>
      </c>
      <c r="Q252" s="31" t="n">
        <f aca="false">IF(I252="N/A","",IFERROR(INDEX('Residual Config'!$B$35:$B$42,MATCH(H252,'Residual Config'!$A$35:$A$42,0)),""))</f>
        <v>3</v>
      </c>
      <c r="R252" s="24" t="n">
        <v>1</v>
      </c>
      <c r="S252" s="8" t="s">
        <v>521</v>
      </c>
      <c r="T252" s="31" t="n">
        <f aca="false">IF(S252="","",MATCH(S252,'Residual Config'!$L$9:$L$12,0))</f>
        <v>2</v>
      </c>
      <c r="U252" s="8" t="s">
        <v>1351</v>
      </c>
      <c r="V252" s="24" t="n">
        <v>5</v>
      </c>
      <c r="W252" s="33" t="s">
        <v>533</v>
      </c>
      <c r="X252" s="8" t="s">
        <v>760</v>
      </c>
      <c r="Y252" s="51" t="n">
        <f aca="false">IF(N252="","",EDATE(N252,IF(G252="N",INDEX('Residual Config'!$B$31:$D$31,1,MATCH(D252,'Residual Config'!$B$27:$D$27,0)),INDEX('Residual Config'!$B$28:$D$30,IF(T252=1,1,IF(T252=4,3,2)),MATCH(D252,'Residual Config'!$B$27:$D$27,0)))))</f>
        <v>46513</v>
      </c>
      <c r="Z252" s="7" t="str">
        <f aca="false">IF(I252="N/A","N/A",IF(N252="","Not tested",IF(W252="Rejected","Evidence rejected",IF(W252&lt;&gt;"Accepted","Evidence pending",IF(Y252&lt;'Residual Config'!$C$4,"Overdue","Current")))))</f>
        <v>Current</v>
      </c>
      <c r="AA252" s="34" t="n">
        <f aca="false">IF(I252="N/A","",IF(Z252&lt;&gt;"Current",4,IF(MAX(M252,T252)=0,4,MAX(M252,T252))))</f>
        <v>2</v>
      </c>
      <c r="AB252" s="7" t="str">
        <f aca="false">IF(AA252="","N/A",IF(Z252&lt;&gt;"Current","Not tested / overdue",INDEX('Residual Config'!$B$11:$B$14,AA252)))</f>
        <v>Largely effective</v>
      </c>
      <c r="AC252" s="36" t="n">
        <f aca="false">IF(AA252="","",INDEX('Residual Config'!$D$11:$D$14,AA252))</f>
        <v>0.4</v>
      </c>
      <c r="AD252" s="7" t="str">
        <f aca="false">IF(OR(I252="N/A",P252="",Q252=""),"",IF(P252&gt;=Q252,"Yes","No"))</f>
        <v>Yes</v>
      </c>
      <c r="AE252" s="8"/>
    </row>
    <row r="253" customFormat="false" ht="15" hidden="false" customHeight="false" outlineLevel="0" collapsed="false">
      <c r="A253" s="12" t="s">
        <v>1352</v>
      </c>
      <c r="B253" s="26" t="str">
        <f aca="false">Entities!$A$10</f>
        <v>PS</v>
      </c>
      <c r="C253" s="12" t="str">
        <f aca="false">INDEX(Entities!$B$5:$B$34,MATCH(B253,Entities!$A$5:$A$34,0))</f>
        <v>Arab Bank – Palestine</v>
      </c>
      <c r="D253" s="7" t="str">
        <f aca="false">INDEX(Entities!$F$5:$F$34,MATCH(B253,Entities!$A$5:$A$34,0))</f>
        <v>Tier 1</v>
      </c>
      <c r="E253" s="26" t="str">
        <f aca="false">'Control Library'!$A$38</f>
        <v>CTL-MR-01</v>
      </c>
      <c r="F253" s="12" t="str">
        <f aca="false">INDEX('Control Library'!$B$5:$B$47,MATCH(E253,'Control Library'!$A$5:$A$47,0))</f>
        <v>Market risk limits and daily VaR monitoring</v>
      </c>
      <c r="G253" s="7" t="str">
        <f aca="false">INDEX('Control Library'!$F$5:$F$47,MATCH(E253,'Control Library'!$A$5:$A$47,0))</f>
        <v>Y</v>
      </c>
      <c r="H253" s="12" t="str">
        <f aca="false">INDEX('Control Library'!$E$5:$E$47,MATCH(E253,'Control Library'!$A$5:$A$47,0))</f>
        <v>Daily</v>
      </c>
      <c r="I253" s="7" t="str">
        <f aca="false">IF(INDEX('Control Library'!$I$5:$I$47,MATCH(E253,'Control Library'!$A$5:$A$47,0))="All","Y",IF(INDEX('Control Library'!$I$5:$I$47,MATCH(E253,'Control Library'!$A$5:$A$47,0))="Banks only",IF(COUNTIF('Residual Config'!$L$28:$L$30,INDEX(Entities!$E$5:$E$34,MATCH(B253,Entities!$A$5:$A$34,0)))&gt;0,"N/A","Y"),IF(INDEX(Entities!$G$5:$G$34,MATCH(B253,Entities!$A$5:$A$34,0))="Y","Y","N/A")))</f>
        <v>Y</v>
      </c>
      <c r="J253" s="8" t="s">
        <v>1350</v>
      </c>
      <c r="K253" s="8" t="s">
        <v>752</v>
      </c>
      <c r="L253" s="7" t="str">
        <f aca="false">IF(OR(J253="",K253=""),"",IF(J253=K253,"Breach","OK"))</f>
        <v>OK</v>
      </c>
      <c r="M253" s="24" t="n">
        <v>3</v>
      </c>
      <c r="N253" s="50" t="n">
        <v>46230</v>
      </c>
      <c r="O253" s="8" t="s">
        <v>547</v>
      </c>
      <c r="P253" s="24" t="n">
        <v>30</v>
      </c>
      <c r="Q253" s="31" t="n">
        <f aca="false">IF(I253="N/A","",IFERROR(INDEX('Residual Config'!$B$35:$B$42,MATCH(H253,'Residual Config'!$A$35:$A$42,0)),""))</f>
        <v>25</v>
      </c>
      <c r="R253" s="24" t="n">
        <v>1</v>
      </c>
      <c r="S253" s="8" t="s">
        <v>521</v>
      </c>
      <c r="T253" s="31" t="n">
        <f aca="false">IF(S253="","",MATCH(S253,'Residual Config'!$L$9:$L$12,0))</f>
        <v>2</v>
      </c>
      <c r="U253" s="8" t="s">
        <v>1353</v>
      </c>
      <c r="V253" s="24" t="n">
        <v>4</v>
      </c>
      <c r="W253" s="33" t="s">
        <v>533</v>
      </c>
      <c r="X253" s="8" t="s">
        <v>754</v>
      </c>
      <c r="Y253" s="51" t="n">
        <f aca="false">IF(N253="","",EDATE(N253,IF(G253="N",INDEX('Residual Config'!$B$31:$D$31,1,MATCH(D253,'Residual Config'!$B$27:$D$27,0)),INDEX('Residual Config'!$B$28:$D$30,IF(T253=1,1,IF(T253=4,3,2)),MATCH(D253,'Residual Config'!$B$27:$D$27,0)))))</f>
        <v>46322</v>
      </c>
      <c r="Z253" s="7" t="str">
        <f aca="false">IF(I253="N/A","N/A",IF(N253="","Not tested",IF(W253="Rejected","Evidence rejected",IF(W253&lt;&gt;"Accepted","Evidence pending",IF(Y253&lt;'Residual Config'!$C$4,"Overdue","Current")))))</f>
        <v>Current</v>
      </c>
      <c r="AA253" s="34" t="n">
        <f aca="false">IF(I253="N/A","",IF(Z253&lt;&gt;"Current",4,IF(MAX(M253,T253)=0,4,MAX(M253,T253))))</f>
        <v>3</v>
      </c>
      <c r="AB253" s="7" t="str">
        <f aca="false">IF(AA253="","N/A",IF(Z253&lt;&gt;"Current","Not tested / overdue",INDEX('Residual Config'!$B$11:$B$14,AA253)))</f>
        <v>Partially effective</v>
      </c>
      <c r="AC253" s="36" t="n">
        <f aca="false">IF(AA253="","",INDEX('Residual Config'!$D$11:$D$14,AA253))</f>
        <v>0.2</v>
      </c>
      <c r="AD253" s="7" t="str">
        <f aca="false">IF(OR(I253="N/A",P253="",Q253=""),"",IF(P253&gt;=Q253,"Yes","No"))</f>
        <v>Yes</v>
      </c>
      <c r="AE253" s="8"/>
    </row>
    <row r="254" customFormat="false" ht="15" hidden="false" customHeight="false" outlineLevel="0" collapsed="false">
      <c r="A254" s="12" t="s">
        <v>1354</v>
      </c>
      <c r="B254" s="26" t="str">
        <f aca="false">Entities!$A$10</f>
        <v>PS</v>
      </c>
      <c r="C254" s="12" t="str">
        <f aca="false">INDEX(Entities!$B$5:$B$34,MATCH(B254,Entities!$A$5:$A$34,0))</f>
        <v>Arab Bank – Palestine</v>
      </c>
      <c r="D254" s="7" t="str">
        <f aca="false">INDEX(Entities!$F$5:$F$34,MATCH(B254,Entities!$A$5:$A$34,0))</f>
        <v>Tier 1</v>
      </c>
      <c r="E254" s="26" t="str">
        <f aca="false">'Control Library'!$A$39</f>
        <v>CTL-LQ-01</v>
      </c>
      <c r="F254" s="12" t="str">
        <f aca="false">INDEX('Control Library'!$B$5:$B$47,MATCH(E254,'Control Library'!$A$5:$A$47,0))</f>
        <v>Liquidity buffers, LCR/NSFR monitoring and contingency funding plan</v>
      </c>
      <c r="G254" s="7" t="str">
        <f aca="false">INDEX('Control Library'!$F$5:$F$47,MATCH(E254,'Control Library'!$A$5:$A$47,0))</f>
        <v>Y</v>
      </c>
      <c r="H254" s="12" t="str">
        <f aca="false">INDEX('Control Library'!$E$5:$E$47,MATCH(E254,'Control Library'!$A$5:$A$47,0))</f>
        <v>Daily</v>
      </c>
      <c r="I254" s="7" t="str">
        <f aca="false">IF(INDEX('Control Library'!$I$5:$I$47,MATCH(E254,'Control Library'!$A$5:$A$47,0))="All","Y",IF(INDEX('Control Library'!$I$5:$I$47,MATCH(E254,'Control Library'!$A$5:$A$47,0))="Banks only",IF(COUNTIF('Residual Config'!$L$28:$L$30,INDEX(Entities!$E$5:$E$34,MATCH(B254,Entities!$A$5:$A$34,0)))&gt;0,"N/A","Y"),IF(INDEX(Entities!$G$5:$G$34,MATCH(B254,Entities!$A$5:$A$34,0))="Y","Y","N/A")))</f>
        <v>Y</v>
      </c>
      <c r="J254" s="8" t="s">
        <v>1355</v>
      </c>
      <c r="K254" s="8" t="s">
        <v>752</v>
      </c>
      <c r="L254" s="7" t="str">
        <f aca="false">IF(OR(J254="",K254=""),"",IF(J254=K254,"Breach","OK"))</f>
        <v>OK</v>
      </c>
      <c r="M254" s="24" t="n">
        <v>2</v>
      </c>
      <c r="N254" s="50" t="n">
        <v>46146</v>
      </c>
      <c r="O254" s="8" t="s">
        <v>546</v>
      </c>
      <c r="P254" s="24" t="n">
        <v>35</v>
      </c>
      <c r="Q254" s="31" t="n">
        <f aca="false">IF(I254="N/A","",IFERROR(INDEX('Residual Config'!$B$35:$B$42,MATCH(H254,'Residual Config'!$A$35:$A$42,0)),""))</f>
        <v>25</v>
      </c>
      <c r="R254" s="24" t="n">
        <v>0</v>
      </c>
      <c r="S254" s="8" t="s">
        <v>516</v>
      </c>
      <c r="T254" s="31" t="n">
        <f aca="false">IF(S254="","",MATCH(S254,'Residual Config'!$L$9:$L$12,0))</f>
        <v>1</v>
      </c>
      <c r="U254" s="8" t="s">
        <v>1356</v>
      </c>
      <c r="V254" s="24" t="n">
        <v>6</v>
      </c>
      <c r="W254" s="33" t="s">
        <v>533</v>
      </c>
      <c r="X254" s="8" t="s">
        <v>754</v>
      </c>
      <c r="Y254" s="51" t="n">
        <f aca="false">IF(N254="","",EDATE(N254,IF(G254="N",INDEX('Residual Config'!$B$31:$D$31,1,MATCH(D254,'Residual Config'!$B$27:$D$27,0)),INDEX('Residual Config'!$B$28:$D$30,IF(T254=1,1,IF(T254=4,3,2)),MATCH(D254,'Residual Config'!$B$27:$D$27,0)))))</f>
        <v>46330</v>
      </c>
      <c r="Z254" s="7" t="str">
        <f aca="false">IF(I254="N/A","N/A",IF(N254="","Not tested",IF(W254="Rejected","Evidence rejected",IF(W254&lt;&gt;"Accepted","Evidence pending",IF(Y254&lt;'Residual Config'!$C$4,"Overdue","Current")))))</f>
        <v>Current</v>
      </c>
      <c r="AA254" s="34" t="n">
        <f aca="false">IF(I254="N/A","",IF(Z254&lt;&gt;"Current",4,IF(MAX(M254,T254)=0,4,MAX(M254,T254))))</f>
        <v>2</v>
      </c>
      <c r="AB254" s="7" t="str">
        <f aca="false">IF(AA254="","N/A",IF(Z254&lt;&gt;"Current","Not tested / overdue",INDEX('Residual Config'!$B$11:$B$14,AA254)))</f>
        <v>Largely effective</v>
      </c>
      <c r="AC254" s="36" t="n">
        <f aca="false">IF(AA254="","",INDEX('Residual Config'!$D$11:$D$14,AA254))</f>
        <v>0.4</v>
      </c>
      <c r="AD254" s="7" t="str">
        <f aca="false">IF(OR(I254="N/A",P254="",Q254=""),"",IF(P254&gt;=Q254,"Yes","No"))</f>
        <v>Yes</v>
      </c>
      <c r="AE254" s="8"/>
    </row>
    <row r="255" customFormat="false" ht="15" hidden="false" customHeight="false" outlineLevel="0" collapsed="false">
      <c r="A255" s="12" t="s">
        <v>1357</v>
      </c>
      <c r="B255" s="26" t="str">
        <f aca="false">Entities!$A$10</f>
        <v>PS</v>
      </c>
      <c r="C255" s="12" t="str">
        <f aca="false">INDEX(Entities!$B$5:$B$34,MATCH(B255,Entities!$A$5:$A$34,0))</f>
        <v>Arab Bank – Palestine</v>
      </c>
      <c r="D255" s="7" t="str">
        <f aca="false">INDEX(Entities!$F$5:$F$34,MATCH(B255,Entities!$A$5:$A$34,0))</f>
        <v>Tier 1</v>
      </c>
      <c r="E255" s="26" t="str">
        <f aca="false">'Control Library'!$A$40</f>
        <v>CTL-OR-01</v>
      </c>
      <c r="F255" s="12" t="str">
        <f aca="false">INDEX('Control Library'!$B$5:$B$47,MATCH(E255,'Control Library'!$A$5:$A$47,0))</f>
        <v>Business continuity plans and annual testing</v>
      </c>
      <c r="G255" s="7" t="str">
        <f aca="false">INDEX('Control Library'!$F$5:$F$47,MATCH(E255,'Control Library'!$A$5:$A$47,0))</f>
        <v>Y</v>
      </c>
      <c r="H255" s="12" t="str">
        <f aca="false">INDEX('Control Library'!$E$5:$E$47,MATCH(E255,'Control Library'!$A$5:$A$47,0))</f>
        <v>Annual</v>
      </c>
      <c r="I255" s="7" t="str">
        <f aca="false">IF(INDEX('Control Library'!$I$5:$I$47,MATCH(E255,'Control Library'!$A$5:$A$47,0))="All","Y",IF(INDEX('Control Library'!$I$5:$I$47,MATCH(E255,'Control Library'!$A$5:$A$47,0))="Banks only",IF(COUNTIF('Residual Config'!$L$28:$L$30,INDEX(Entities!$E$5:$E$34,MATCH(B255,Entities!$A$5:$A$34,0)))&gt;0,"N/A","Y"),IF(INDEX(Entities!$G$5:$G$34,MATCH(B255,Entities!$A$5:$A$34,0))="Y","Y","N/A")))</f>
        <v>Y</v>
      </c>
      <c r="J255" s="8" t="s">
        <v>1358</v>
      </c>
      <c r="K255" s="8" t="s">
        <v>752</v>
      </c>
      <c r="L255" s="7" t="str">
        <f aca="false">IF(OR(J255="",K255=""),"",IF(J255=K255,"Breach","OK"))</f>
        <v>OK</v>
      </c>
      <c r="M255" s="24" t="n">
        <v>3</v>
      </c>
      <c r="N255" s="50" t="n">
        <v>46282</v>
      </c>
      <c r="O255" s="8" t="s">
        <v>546</v>
      </c>
      <c r="P255" s="24" t="n">
        <v>1</v>
      </c>
      <c r="Q255" s="31" t="n">
        <f aca="false">IF(I255="N/A","",IFERROR(INDEX('Residual Config'!$B$35:$B$42,MATCH(H255,'Residual Config'!$A$35:$A$42,0)),""))</f>
        <v>1</v>
      </c>
      <c r="R255" s="24" t="n">
        <v>1</v>
      </c>
      <c r="S255" s="8" t="s">
        <v>521</v>
      </c>
      <c r="T255" s="31" t="n">
        <f aca="false">IF(S255="","",MATCH(S255,'Residual Config'!$L$9:$L$12,0))</f>
        <v>2</v>
      </c>
      <c r="U255" s="8" t="s">
        <v>1359</v>
      </c>
      <c r="V255" s="24" t="n">
        <v>6</v>
      </c>
      <c r="W255" s="33" t="s">
        <v>533</v>
      </c>
      <c r="X255" s="8" t="s">
        <v>754</v>
      </c>
      <c r="Y255" s="51" t="n">
        <f aca="false">IF(N255="","",EDATE(N255,IF(G255="N",INDEX('Residual Config'!$B$31:$D$31,1,MATCH(D255,'Residual Config'!$B$27:$D$27,0)),INDEX('Residual Config'!$B$28:$D$30,IF(T255=1,1,IF(T255=4,3,2)),MATCH(D255,'Residual Config'!$B$27:$D$27,0)))))</f>
        <v>46373</v>
      </c>
      <c r="Z255" s="7" t="str">
        <f aca="false">IF(I255="N/A","N/A",IF(N255="","Not tested",IF(W255="Rejected","Evidence rejected",IF(W255&lt;&gt;"Accepted","Evidence pending",IF(Y255&lt;'Residual Config'!$C$4,"Overdue","Current")))))</f>
        <v>Current</v>
      </c>
      <c r="AA255" s="34" t="n">
        <f aca="false">IF(I255="N/A","",IF(Z255&lt;&gt;"Current",4,IF(MAX(M255,T255)=0,4,MAX(M255,T255))))</f>
        <v>3</v>
      </c>
      <c r="AB255" s="7" t="str">
        <f aca="false">IF(AA255="","N/A",IF(Z255&lt;&gt;"Current","Not tested / overdue",INDEX('Residual Config'!$B$11:$B$14,AA255)))</f>
        <v>Partially effective</v>
      </c>
      <c r="AC255" s="36" t="n">
        <f aca="false">IF(AA255="","",INDEX('Residual Config'!$D$11:$D$14,AA255))</f>
        <v>0.2</v>
      </c>
      <c r="AD255" s="7" t="str">
        <f aca="false">IF(OR(I255="N/A",P255="",Q255=""),"",IF(P255&gt;=Q255,"Yes","No"))</f>
        <v>Yes</v>
      </c>
      <c r="AE255" s="8"/>
    </row>
    <row r="256" customFormat="false" ht="15" hidden="false" customHeight="false" outlineLevel="0" collapsed="false">
      <c r="A256" s="12" t="s">
        <v>1360</v>
      </c>
      <c r="B256" s="26" t="str">
        <f aca="false">Entities!$A$10</f>
        <v>PS</v>
      </c>
      <c r="C256" s="12" t="str">
        <f aca="false">INDEX(Entities!$B$5:$B$34,MATCH(B256,Entities!$A$5:$A$34,0))</f>
        <v>Arab Bank – Palestine</v>
      </c>
      <c r="D256" s="7" t="str">
        <f aca="false">INDEX(Entities!$F$5:$F$34,MATCH(B256,Entities!$A$5:$A$34,0))</f>
        <v>Tier 1</v>
      </c>
      <c r="E256" s="26" t="str">
        <f aca="false">'Control Library'!$A$41</f>
        <v>CTL-OR-02</v>
      </c>
      <c r="F256" s="12" t="str">
        <f aca="false">INDEX('Control Library'!$B$5:$B$47,MATCH(E256,'Control Library'!$A$5:$A$47,0))</f>
        <v>Operational loss event capture and RCSA</v>
      </c>
      <c r="G256" s="7" t="str">
        <f aca="false">INDEX('Control Library'!$F$5:$F$47,MATCH(E256,'Control Library'!$A$5:$A$47,0))</f>
        <v>N</v>
      </c>
      <c r="H256" s="12" t="str">
        <f aca="false">INDEX('Control Library'!$E$5:$E$47,MATCH(E256,'Control Library'!$A$5:$A$47,0))</f>
        <v>Quarterly</v>
      </c>
      <c r="I256" s="7" t="str">
        <f aca="false">IF(INDEX('Control Library'!$I$5:$I$47,MATCH(E256,'Control Library'!$A$5:$A$47,0))="All","Y",IF(INDEX('Control Library'!$I$5:$I$47,MATCH(E256,'Control Library'!$A$5:$A$47,0))="Banks only",IF(COUNTIF('Residual Config'!$L$28:$L$30,INDEX(Entities!$E$5:$E$34,MATCH(B256,Entities!$A$5:$A$34,0)))&gt;0,"N/A","Y"),IF(INDEX(Entities!$G$5:$G$34,MATCH(B256,Entities!$A$5:$A$34,0))="Y","Y","N/A")))</f>
        <v>Y</v>
      </c>
      <c r="J256" s="8" t="s">
        <v>1350</v>
      </c>
      <c r="K256" s="8" t="s">
        <v>1280</v>
      </c>
      <c r="L256" s="7" t="str">
        <f aca="false">IF(OR(J256="",K256=""),"",IF(J256=K256,"Breach","OK"))</f>
        <v>OK</v>
      </c>
      <c r="M256" s="24" t="n">
        <v>1</v>
      </c>
      <c r="N256" s="50"/>
      <c r="O256" s="8"/>
      <c r="P256" s="24"/>
      <c r="Q256" s="31" t="n">
        <f aca="false">IF(I256="N/A","",IFERROR(INDEX('Residual Config'!$B$35:$B$42,MATCH(H256,'Residual Config'!$A$35:$A$42,0)),""))</f>
        <v>2</v>
      </c>
      <c r="R256" s="24"/>
      <c r="S256" s="8"/>
      <c r="T256" s="31" t="str">
        <f aca="false">IF(S256="","",MATCH(S256,'Residual Config'!$L$9:$L$12,0))</f>
        <v/>
      </c>
      <c r="U256" s="8"/>
      <c r="V256" s="24"/>
      <c r="W256" s="33"/>
      <c r="X256" s="8"/>
      <c r="Y256" s="51" t="str">
        <f aca="false">IF(N256="","",EDATE(N256,IF(G256="N",INDEX('Residual Config'!$B$31:$D$31,1,MATCH(D256,'Residual Config'!$B$27:$D$27,0)),INDEX('Residual Config'!$B$28:$D$30,IF(T256=1,1,IF(T256=4,3,2)),MATCH(D256,'Residual Config'!$B$27:$D$27,0)))))</f>
        <v/>
      </c>
      <c r="Z256" s="7" t="str">
        <f aca="false">IF(I256="N/A","N/A",IF(N256="","Not tested",IF(W256="Rejected","Evidence rejected",IF(W256&lt;&gt;"Accepted","Evidence pending",IF(Y256&lt;'Residual Config'!$C$4,"Overdue","Current")))))</f>
        <v>Not tested</v>
      </c>
      <c r="AA256" s="34" t="n">
        <f aca="false">IF(I256="N/A","",IF(Z256&lt;&gt;"Current",4,IF(MAX(M256,T256)=0,4,MAX(M256,T256))))</f>
        <v>4</v>
      </c>
      <c r="AB256" s="7" t="str">
        <f aca="false">IF(AA256="","N/A",IF(Z256&lt;&gt;"Current","Not tested / overdue",INDEX('Residual Config'!$B$11:$B$14,AA256)))</f>
        <v>Not tested / overdue</v>
      </c>
      <c r="AC256" s="36" t="n">
        <f aca="false">IF(AA256="","",INDEX('Residual Config'!$D$11:$D$14,AA256))</f>
        <v>0</v>
      </c>
      <c r="AD256" s="7" t="str">
        <f aca="false">IF(OR(I256="N/A",P256="",Q256=""),"",IF(P256&gt;=Q256,"Yes","No"))</f>
        <v/>
      </c>
      <c r="AE256" s="8"/>
    </row>
    <row r="257" customFormat="false" ht="15" hidden="false" customHeight="false" outlineLevel="0" collapsed="false">
      <c r="A257" s="12" t="s">
        <v>1361</v>
      </c>
      <c r="B257" s="26" t="str">
        <f aca="false">Entities!$A$10</f>
        <v>PS</v>
      </c>
      <c r="C257" s="12" t="str">
        <f aca="false">INDEX(Entities!$B$5:$B$34,MATCH(B257,Entities!$A$5:$A$34,0))</f>
        <v>Arab Bank – Palestine</v>
      </c>
      <c r="D257" s="7" t="str">
        <f aca="false">INDEX(Entities!$F$5:$F$34,MATCH(B257,Entities!$A$5:$A$34,0))</f>
        <v>Tier 1</v>
      </c>
      <c r="E257" s="26" t="str">
        <f aca="false">'Control Library'!$A$42</f>
        <v>CTL-CY-01</v>
      </c>
      <c r="F257" s="12" t="str">
        <f aca="false">INDEX('Control Library'!$B$5:$B$47,MATCH(E257,'Control Library'!$A$5:$A$47,0))</f>
        <v>Vulnerability and patch management</v>
      </c>
      <c r="G257" s="7" t="str">
        <f aca="false">INDEX('Control Library'!$F$5:$F$47,MATCH(E257,'Control Library'!$A$5:$A$47,0))</f>
        <v>Y</v>
      </c>
      <c r="H257" s="12" t="str">
        <f aca="false">INDEX('Control Library'!$E$5:$E$47,MATCH(E257,'Control Library'!$A$5:$A$47,0))</f>
        <v>Monthly</v>
      </c>
      <c r="I257" s="7" t="str">
        <f aca="false">IF(INDEX('Control Library'!$I$5:$I$47,MATCH(E257,'Control Library'!$A$5:$A$47,0))="All","Y",IF(INDEX('Control Library'!$I$5:$I$47,MATCH(E257,'Control Library'!$A$5:$A$47,0))="Banks only",IF(COUNTIF('Residual Config'!$L$28:$L$30,INDEX(Entities!$E$5:$E$34,MATCH(B257,Entities!$A$5:$A$34,0)))&gt;0,"N/A","Y"),IF(INDEX(Entities!$G$5:$G$34,MATCH(B257,Entities!$A$5:$A$34,0))="Y","Y","N/A")))</f>
        <v>Y</v>
      </c>
      <c r="J257" s="8" t="s">
        <v>1295</v>
      </c>
      <c r="K257" s="8" t="s">
        <v>752</v>
      </c>
      <c r="L257" s="7" t="str">
        <f aca="false">IF(OR(J257="",K257=""),"",IF(J257=K257,"Breach","OK"))</f>
        <v>OK</v>
      </c>
      <c r="M257" s="24" t="n">
        <v>3</v>
      </c>
      <c r="N257" s="50" t="n">
        <v>46289</v>
      </c>
      <c r="O257" s="8" t="s">
        <v>545</v>
      </c>
      <c r="P257" s="24" t="n">
        <v>3</v>
      </c>
      <c r="Q257" s="31" t="n">
        <f aca="false">IF(I257="N/A","",IFERROR(INDEX('Residual Config'!$B$35:$B$42,MATCH(H257,'Residual Config'!$A$35:$A$42,0)),""))</f>
        <v>3</v>
      </c>
      <c r="R257" s="24" t="n">
        <v>0</v>
      </c>
      <c r="S257" s="8" t="s">
        <v>516</v>
      </c>
      <c r="T257" s="31" t="n">
        <f aca="false">IF(S257="","",MATCH(S257,'Residual Config'!$L$9:$L$12,0))</f>
        <v>1</v>
      </c>
      <c r="U257" s="8" t="s">
        <v>1362</v>
      </c>
      <c r="V257" s="24" t="n">
        <v>1</v>
      </c>
      <c r="W257" s="33" t="s">
        <v>533</v>
      </c>
      <c r="X257" s="8" t="s">
        <v>754</v>
      </c>
      <c r="Y257" s="51" t="n">
        <f aca="false">IF(N257="","",EDATE(N257,IF(G257="N",INDEX('Residual Config'!$B$31:$D$31,1,MATCH(D257,'Residual Config'!$B$27:$D$27,0)),INDEX('Residual Config'!$B$28:$D$30,IF(T257=1,1,IF(T257=4,3,2)),MATCH(D257,'Residual Config'!$B$27:$D$27,0)))))</f>
        <v>46470</v>
      </c>
      <c r="Z257" s="7" t="str">
        <f aca="false">IF(I257="N/A","N/A",IF(N257="","Not tested",IF(W257="Rejected","Evidence rejected",IF(W257&lt;&gt;"Accepted","Evidence pending",IF(Y257&lt;'Residual Config'!$C$4,"Overdue","Current")))))</f>
        <v>Current</v>
      </c>
      <c r="AA257" s="34" t="n">
        <f aca="false">IF(I257="N/A","",IF(Z257&lt;&gt;"Current",4,IF(MAX(M257,T257)=0,4,MAX(M257,T257))))</f>
        <v>3</v>
      </c>
      <c r="AB257" s="7" t="str">
        <f aca="false">IF(AA257="","N/A",IF(Z257&lt;&gt;"Current","Not tested / overdue",INDEX('Residual Config'!$B$11:$B$14,AA257)))</f>
        <v>Partially effective</v>
      </c>
      <c r="AC257" s="36" t="n">
        <f aca="false">IF(AA257="","",INDEX('Residual Config'!$D$11:$D$14,AA257))</f>
        <v>0.2</v>
      </c>
      <c r="AD257" s="7" t="str">
        <f aca="false">IF(OR(I257="N/A",P257="",Q257=""),"",IF(P257&gt;=Q257,"Yes","No"))</f>
        <v>Yes</v>
      </c>
      <c r="AE257" s="8"/>
    </row>
    <row r="258" customFormat="false" ht="15" hidden="false" customHeight="false" outlineLevel="0" collapsed="false">
      <c r="A258" s="12" t="s">
        <v>1363</v>
      </c>
      <c r="B258" s="26" t="str">
        <f aca="false">Entities!$A$10</f>
        <v>PS</v>
      </c>
      <c r="C258" s="12" t="str">
        <f aca="false">INDEX(Entities!$B$5:$B$34,MATCH(B258,Entities!$A$5:$A$34,0))</f>
        <v>Arab Bank – Palestine</v>
      </c>
      <c r="D258" s="7" t="str">
        <f aca="false">INDEX(Entities!$F$5:$F$34,MATCH(B258,Entities!$A$5:$A$34,0))</f>
        <v>Tier 1</v>
      </c>
      <c r="E258" s="26" t="str">
        <f aca="false">'Control Library'!$A$43</f>
        <v>CTL-CY-02</v>
      </c>
      <c r="F258" s="12" t="str">
        <f aca="false">INDEX('Control Library'!$B$5:$B$47,MATCH(E258,'Control Library'!$A$5:$A$47,0))</f>
        <v>Privileged access management and SOC monitoring</v>
      </c>
      <c r="G258" s="7" t="str">
        <f aca="false">INDEX('Control Library'!$F$5:$F$47,MATCH(E258,'Control Library'!$A$5:$A$47,0))</f>
        <v>Y</v>
      </c>
      <c r="H258" s="12" t="str">
        <f aca="false">INDEX('Control Library'!$E$5:$E$47,MATCH(E258,'Control Library'!$A$5:$A$47,0))</f>
        <v>Continuous</v>
      </c>
      <c r="I258" s="7" t="str">
        <f aca="false">IF(INDEX('Control Library'!$I$5:$I$47,MATCH(E258,'Control Library'!$A$5:$A$47,0))="All","Y",IF(INDEX('Control Library'!$I$5:$I$47,MATCH(E258,'Control Library'!$A$5:$A$47,0))="Banks only",IF(COUNTIF('Residual Config'!$L$28:$L$30,INDEX(Entities!$E$5:$E$34,MATCH(B258,Entities!$A$5:$A$34,0)))&gt;0,"N/A","Y"),IF(INDEX(Entities!$G$5:$G$34,MATCH(B258,Entities!$A$5:$A$34,0))="Y","Y","N/A")))</f>
        <v>Y</v>
      </c>
      <c r="J258" s="8" t="s">
        <v>1343</v>
      </c>
      <c r="K258" s="8" t="s">
        <v>752</v>
      </c>
      <c r="L258" s="7" t="str">
        <f aca="false">IF(OR(J258="",K258=""),"",IF(J258=K258,"Breach","OK"))</f>
        <v>OK</v>
      </c>
      <c r="M258" s="24" t="n">
        <v>2</v>
      </c>
      <c r="N258" s="50" t="n">
        <v>46285</v>
      </c>
      <c r="O258" s="8" t="s">
        <v>546</v>
      </c>
      <c r="P258" s="24" t="n">
        <v>1</v>
      </c>
      <c r="Q258" s="31" t="n">
        <f aca="false">IF(I258="N/A","",IFERROR(INDEX('Residual Config'!$B$35:$B$42,MATCH(H258,'Residual Config'!$A$35:$A$42,0)),""))</f>
        <v>1</v>
      </c>
      <c r="R258" s="24" t="n">
        <v>1</v>
      </c>
      <c r="S258" s="8" t="s">
        <v>524</v>
      </c>
      <c r="T258" s="31" t="n">
        <f aca="false">IF(S258="","",MATCH(S258,'Residual Config'!$L$9:$L$12,0))</f>
        <v>3</v>
      </c>
      <c r="U258" s="8" t="s">
        <v>1364</v>
      </c>
      <c r="V258" s="24" t="n">
        <v>2</v>
      </c>
      <c r="W258" s="33" t="s">
        <v>533</v>
      </c>
      <c r="X258" s="8" t="s">
        <v>754</v>
      </c>
      <c r="Y258" s="51" t="n">
        <f aca="false">IF(N258="","",EDATE(N258,IF(G258="N",INDEX('Residual Config'!$B$31:$D$31,1,MATCH(D258,'Residual Config'!$B$27:$D$27,0)),INDEX('Residual Config'!$B$28:$D$30,IF(T258=1,1,IF(T258=4,3,2)),MATCH(D258,'Residual Config'!$B$27:$D$27,0)))))</f>
        <v>46376</v>
      </c>
      <c r="Z258" s="7" t="str">
        <f aca="false">IF(I258="N/A","N/A",IF(N258="","Not tested",IF(W258="Rejected","Evidence rejected",IF(W258&lt;&gt;"Accepted","Evidence pending",IF(Y258&lt;'Residual Config'!$C$4,"Overdue","Current")))))</f>
        <v>Current</v>
      </c>
      <c r="AA258" s="34" t="n">
        <f aca="false">IF(I258="N/A","",IF(Z258&lt;&gt;"Current",4,IF(MAX(M258,T258)=0,4,MAX(M258,T258))))</f>
        <v>3</v>
      </c>
      <c r="AB258" s="7" t="str">
        <f aca="false">IF(AA258="","N/A",IF(Z258&lt;&gt;"Current","Not tested / overdue",INDEX('Residual Config'!$B$11:$B$14,AA258)))</f>
        <v>Partially effective</v>
      </c>
      <c r="AC258" s="36" t="n">
        <f aca="false">IF(AA258="","",INDEX('Residual Config'!$D$11:$D$14,AA258))</f>
        <v>0.2</v>
      </c>
      <c r="AD258" s="7" t="str">
        <f aca="false">IF(OR(I258="N/A",P258="",Q258=""),"",IF(P258&gt;=Q258,"Yes","No"))</f>
        <v>Yes</v>
      </c>
      <c r="AE258" s="8"/>
    </row>
    <row r="259" customFormat="false" ht="15" hidden="false" customHeight="false" outlineLevel="0" collapsed="false">
      <c r="A259" s="12" t="s">
        <v>1365</v>
      </c>
      <c r="B259" s="26" t="str">
        <f aca="false">Entities!$A$10</f>
        <v>PS</v>
      </c>
      <c r="C259" s="12" t="str">
        <f aca="false">INDEX(Entities!$B$5:$B$34,MATCH(B259,Entities!$A$5:$A$34,0))</f>
        <v>Arab Bank – Palestine</v>
      </c>
      <c r="D259" s="7" t="str">
        <f aca="false">INDEX(Entities!$F$5:$F$34,MATCH(B259,Entities!$A$5:$A$34,0))</f>
        <v>Tier 1</v>
      </c>
      <c r="E259" s="26" t="str">
        <f aca="false">'Control Library'!$A$44</f>
        <v>CTL-TP-01</v>
      </c>
      <c r="F259" s="12" t="str">
        <f aca="false">INDEX('Control Library'!$B$5:$B$47,MATCH(E259,'Control Library'!$A$5:$A$47,0))</f>
        <v>Critical vendor due diligence and tested exit plans</v>
      </c>
      <c r="G259" s="7" t="str">
        <f aca="false">INDEX('Control Library'!$F$5:$F$47,MATCH(E259,'Control Library'!$A$5:$A$47,0))</f>
        <v>Y</v>
      </c>
      <c r="H259" s="12" t="str">
        <f aca="false">INDEX('Control Library'!$E$5:$E$47,MATCH(E259,'Control Library'!$A$5:$A$47,0))</f>
        <v>Annual</v>
      </c>
      <c r="I259" s="7" t="str">
        <f aca="false">IF(INDEX('Control Library'!$I$5:$I$47,MATCH(E259,'Control Library'!$A$5:$A$47,0))="All","Y",IF(INDEX('Control Library'!$I$5:$I$47,MATCH(E259,'Control Library'!$A$5:$A$47,0))="Banks only",IF(COUNTIF('Residual Config'!$L$28:$L$30,INDEX(Entities!$E$5:$E$34,MATCH(B259,Entities!$A$5:$A$34,0)))&gt;0,"N/A","Y"),IF(INDEX(Entities!$G$5:$G$34,MATCH(B259,Entities!$A$5:$A$34,0))="Y","Y","N/A")))</f>
        <v>Y</v>
      </c>
      <c r="J259" s="8" t="s">
        <v>1312</v>
      </c>
      <c r="K259" s="8" t="s">
        <v>752</v>
      </c>
      <c r="L259" s="7" t="str">
        <f aca="false">IF(OR(J259="",K259=""),"",IF(J259=K259,"Breach","OK"))</f>
        <v>OK</v>
      </c>
      <c r="M259" s="24" t="n">
        <v>3</v>
      </c>
      <c r="N259" s="50" t="n">
        <v>46254</v>
      </c>
      <c r="O259" s="8" t="s">
        <v>545</v>
      </c>
      <c r="P259" s="24" t="n">
        <v>1</v>
      </c>
      <c r="Q259" s="31" t="n">
        <f aca="false">IF(I259="N/A","",IFERROR(INDEX('Residual Config'!$B$35:$B$42,MATCH(H259,'Residual Config'!$A$35:$A$42,0)),""))</f>
        <v>1</v>
      </c>
      <c r="R259" s="24" t="n">
        <v>1</v>
      </c>
      <c r="S259" s="8" t="s">
        <v>521</v>
      </c>
      <c r="T259" s="31" t="n">
        <f aca="false">IF(S259="","",MATCH(S259,'Residual Config'!$L$9:$L$12,0))</f>
        <v>2</v>
      </c>
      <c r="U259" s="8" t="s">
        <v>1366</v>
      </c>
      <c r="V259" s="24" t="n">
        <v>6</v>
      </c>
      <c r="W259" s="33" t="s">
        <v>533</v>
      </c>
      <c r="X259" s="8" t="s">
        <v>754</v>
      </c>
      <c r="Y259" s="51" t="n">
        <f aca="false">IF(N259="","",EDATE(N259,IF(G259="N",INDEX('Residual Config'!$B$31:$D$31,1,MATCH(D259,'Residual Config'!$B$27:$D$27,0)),INDEX('Residual Config'!$B$28:$D$30,IF(T259=1,1,IF(T259=4,3,2)),MATCH(D259,'Residual Config'!$B$27:$D$27,0)))))</f>
        <v>46346</v>
      </c>
      <c r="Z259" s="7" t="str">
        <f aca="false">IF(I259="N/A","N/A",IF(N259="","Not tested",IF(W259="Rejected","Evidence rejected",IF(W259&lt;&gt;"Accepted","Evidence pending",IF(Y259&lt;'Residual Config'!$C$4,"Overdue","Current")))))</f>
        <v>Current</v>
      </c>
      <c r="AA259" s="34" t="n">
        <f aca="false">IF(I259="N/A","",IF(Z259&lt;&gt;"Current",4,IF(MAX(M259,T259)=0,4,MAX(M259,T259))))</f>
        <v>3</v>
      </c>
      <c r="AB259" s="7" t="str">
        <f aca="false">IF(AA259="","N/A",IF(Z259&lt;&gt;"Current","Not tested / overdue",INDEX('Residual Config'!$B$11:$B$14,AA259)))</f>
        <v>Partially effective</v>
      </c>
      <c r="AC259" s="36" t="n">
        <f aca="false">IF(AA259="","",INDEX('Residual Config'!$D$11:$D$14,AA259))</f>
        <v>0.2</v>
      </c>
      <c r="AD259" s="7" t="str">
        <f aca="false">IF(OR(I259="N/A",P259="",Q259=""),"",IF(P259&gt;=Q259,"Yes","No"))</f>
        <v>Yes</v>
      </c>
      <c r="AE259" s="8"/>
    </row>
    <row r="260" customFormat="false" ht="15" hidden="false" customHeight="false" outlineLevel="0" collapsed="false">
      <c r="A260" s="12" t="s">
        <v>1367</v>
      </c>
      <c r="B260" s="26" t="str">
        <f aca="false">Entities!$A$10</f>
        <v>PS</v>
      </c>
      <c r="C260" s="12" t="str">
        <f aca="false">INDEX(Entities!$B$5:$B$34,MATCH(B260,Entities!$A$5:$A$34,0))</f>
        <v>Arab Bank – Palestine</v>
      </c>
      <c r="D260" s="7" t="str">
        <f aca="false">INDEX(Entities!$F$5:$F$34,MATCH(B260,Entities!$A$5:$A$34,0))</f>
        <v>Tier 1</v>
      </c>
      <c r="E260" s="26" t="str">
        <f aca="false">'Control Library'!$A$45</f>
        <v>CTL-LG-01</v>
      </c>
      <c r="F260" s="12" t="str">
        <f aca="false">INDEX('Control Library'!$B$5:$B$47,MATCH(E260,'Control Library'!$A$5:$A$47,0))</f>
        <v>Legal review of contracts and litigation register</v>
      </c>
      <c r="G260" s="7" t="str">
        <f aca="false">INDEX('Control Library'!$F$5:$F$47,MATCH(E260,'Control Library'!$A$5:$A$47,0))</f>
        <v>Y</v>
      </c>
      <c r="H260" s="12" t="str">
        <f aca="false">INDEX('Control Library'!$E$5:$E$47,MATCH(E260,'Control Library'!$A$5:$A$47,0))</f>
        <v>Event-driven</v>
      </c>
      <c r="I260" s="7" t="str">
        <f aca="false">IF(INDEX('Control Library'!$I$5:$I$47,MATCH(E260,'Control Library'!$A$5:$A$47,0))="All","Y",IF(INDEX('Control Library'!$I$5:$I$47,MATCH(E260,'Control Library'!$A$5:$A$47,0))="Banks only",IF(COUNTIF('Residual Config'!$L$28:$L$30,INDEX(Entities!$E$5:$E$34,MATCH(B260,Entities!$A$5:$A$34,0)))&gt;0,"N/A","Y"),IF(INDEX(Entities!$G$5:$G$34,MATCH(B260,Entities!$A$5:$A$34,0))="Y","Y","N/A")))</f>
        <v>Y</v>
      </c>
      <c r="J260" s="8" t="s">
        <v>1368</v>
      </c>
      <c r="K260" s="8" t="s">
        <v>752</v>
      </c>
      <c r="L260" s="7" t="str">
        <f aca="false">IF(OR(J260="",K260=""),"",IF(J260=K260,"Breach","OK"))</f>
        <v>OK</v>
      </c>
      <c r="M260" s="24" t="n">
        <v>2</v>
      </c>
      <c r="N260" s="50" t="n">
        <v>46289</v>
      </c>
      <c r="O260" s="8" t="s">
        <v>545</v>
      </c>
      <c r="P260" s="24" t="n">
        <v>30</v>
      </c>
      <c r="Q260" s="31" t="n">
        <f aca="false">IF(I260="N/A","",IFERROR(INDEX('Residual Config'!$B$35:$B$42,MATCH(H260,'Residual Config'!$A$35:$A$42,0)),""))</f>
        <v>25</v>
      </c>
      <c r="R260" s="24" t="n">
        <v>3</v>
      </c>
      <c r="S260" s="8" t="s">
        <v>524</v>
      </c>
      <c r="T260" s="31" t="n">
        <f aca="false">IF(S260="","",MATCH(S260,'Residual Config'!$L$9:$L$12,0))</f>
        <v>3</v>
      </c>
      <c r="U260" s="8" t="s">
        <v>1369</v>
      </c>
      <c r="V260" s="24" t="n">
        <v>5</v>
      </c>
      <c r="W260" s="33" t="s">
        <v>533</v>
      </c>
      <c r="X260" s="8" t="s">
        <v>754</v>
      </c>
      <c r="Y260" s="51" t="n">
        <f aca="false">IF(N260="","",EDATE(N260,IF(G260="N",INDEX('Residual Config'!$B$31:$D$31,1,MATCH(D260,'Residual Config'!$B$27:$D$27,0)),INDEX('Residual Config'!$B$28:$D$30,IF(T260=1,1,IF(T260=4,3,2)),MATCH(D260,'Residual Config'!$B$27:$D$27,0)))))</f>
        <v>46380</v>
      </c>
      <c r="Z260" s="7" t="str">
        <f aca="false">IF(I260="N/A","N/A",IF(N260="","Not tested",IF(W260="Rejected","Evidence rejected",IF(W260&lt;&gt;"Accepted","Evidence pending",IF(Y260&lt;'Residual Config'!$C$4,"Overdue","Current")))))</f>
        <v>Current</v>
      </c>
      <c r="AA260" s="34" t="n">
        <f aca="false">IF(I260="N/A","",IF(Z260&lt;&gt;"Current",4,IF(MAX(M260,T260)=0,4,MAX(M260,T260))))</f>
        <v>3</v>
      </c>
      <c r="AB260" s="7" t="str">
        <f aca="false">IF(AA260="","N/A",IF(Z260&lt;&gt;"Current","Not tested / overdue",INDEX('Residual Config'!$B$11:$B$14,AA260)))</f>
        <v>Partially effective</v>
      </c>
      <c r="AC260" s="36" t="n">
        <f aca="false">IF(AA260="","",INDEX('Residual Config'!$D$11:$D$14,AA260))</f>
        <v>0.2</v>
      </c>
      <c r="AD260" s="7" t="str">
        <f aca="false">IF(OR(I260="N/A",P260="",Q260=""),"",IF(P260&gt;=Q260,"Yes","No"))</f>
        <v>Yes</v>
      </c>
      <c r="AE260" s="8"/>
    </row>
    <row r="261" customFormat="false" ht="15" hidden="false" customHeight="false" outlineLevel="0" collapsed="false">
      <c r="A261" s="12" t="s">
        <v>1370</v>
      </c>
      <c r="B261" s="26" t="str">
        <f aca="false">Entities!$A$10</f>
        <v>PS</v>
      </c>
      <c r="C261" s="12" t="str">
        <f aca="false">INDEX(Entities!$B$5:$B$34,MATCH(B261,Entities!$A$5:$A$34,0))</f>
        <v>Arab Bank – Palestine</v>
      </c>
      <c r="D261" s="7" t="str">
        <f aca="false">INDEX(Entities!$F$5:$F$34,MATCH(B261,Entities!$A$5:$A$34,0))</f>
        <v>Tier 1</v>
      </c>
      <c r="E261" s="26" t="str">
        <f aca="false">'Control Library'!$A$46</f>
        <v>CTL-RP-01</v>
      </c>
      <c r="F261" s="12" t="str">
        <f aca="false">INDEX('Control Library'!$B$5:$B$47,MATCH(E261,'Control Library'!$A$5:$A$47,0))</f>
        <v>Media monitoring and reputational-risk escalation</v>
      </c>
      <c r="G261" s="7" t="str">
        <f aca="false">INDEX('Control Library'!$F$5:$F$47,MATCH(E261,'Control Library'!$A$5:$A$47,0))</f>
        <v>Y</v>
      </c>
      <c r="H261" s="12" t="str">
        <f aca="false">INDEX('Control Library'!$E$5:$E$47,MATCH(E261,'Control Library'!$A$5:$A$47,0))</f>
        <v>Daily</v>
      </c>
      <c r="I261" s="7" t="str">
        <f aca="false">IF(INDEX('Control Library'!$I$5:$I$47,MATCH(E261,'Control Library'!$A$5:$A$47,0))="All","Y",IF(INDEX('Control Library'!$I$5:$I$47,MATCH(E261,'Control Library'!$A$5:$A$47,0))="Banks only",IF(COUNTIF('Residual Config'!$L$28:$L$30,INDEX(Entities!$E$5:$E$34,MATCH(B261,Entities!$A$5:$A$34,0)))&gt;0,"N/A","Y"),IF(INDEX(Entities!$G$5:$G$34,MATCH(B261,Entities!$A$5:$A$34,0))="Y","Y","N/A")))</f>
        <v>Y</v>
      </c>
      <c r="J261" s="8" t="s">
        <v>1371</v>
      </c>
      <c r="K261" s="8" t="s">
        <v>752</v>
      </c>
      <c r="L261" s="7" t="str">
        <f aca="false">IF(OR(J261="",K261=""),"",IF(J261=K261,"Breach","OK"))</f>
        <v>OK</v>
      </c>
      <c r="M261" s="24" t="n">
        <v>2</v>
      </c>
      <c r="N261" s="50"/>
      <c r="O261" s="8"/>
      <c r="P261" s="24"/>
      <c r="Q261" s="31" t="n">
        <f aca="false">IF(I261="N/A","",IFERROR(INDEX('Residual Config'!$B$35:$B$42,MATCH(H261,'Residual Config'!$A$35:$A$42,0)),""))</f>
        <v>25</v>
      </c>
      <c r="R261" s="24"/>
      <c r="S261" s="8"/>
      <c r="T261" s="31" t="str">
        <f aca="false">IF(S261="","",MATCH(S261,'Residual Config'!$L$9:$L$12,0))</f>
        <v/>
      </c>
      <c r="U261" s="8"/>
      <c r="V261" s="24"/>
      <c r="W261" s="33"/>
      <c r="X261" s="8"/>
      <c r="Y261" s="51" t="str">
        <f aca="false">IF(N261="","",EDATE(N261,IF(G261="N",INDEX('Residual Config'!$B$31:$D$31,1,MATCH(D261,'Residual Config'!$B$27:$D$27,0)),INDEX('Residual Config'!$B$28:$D$30,IF(T261=1,1,IF(T261=4,3,2)),MATCH(D261,'Residual Config'!$B$27:$D$27,0)))))</f>
        <v/>
      </c>
      <c r="Z261" s="7" t="str">
        <f aca="false">IF(I261="N/A","N/A",IF(N261="","Not tested",IF(W261="Rejected","Evidence rejected",IF(W261&lt;&gt;"Accepted","Evidence pending",IF(Y261&lt;'Residual Config'!$C$4,"Overdue","Current")))))</f>
        <v>Not tested</v>
      </c>
      <c r="AA261" s="34" t="n">
        <f aca="false">IF(I261="N/A","",IF(Z261&lt;&gt;"Current",4,IF(MAX(M261,T261)=0,4,MAX(M261,T261))))</f>
        <v>4</v>
      </c>
      <c r="AB261" s="7" t="str">
        <f aca="false">IF(AA261="","N/A",IF(Z261&lt;&gt;"Current","Not tested / overdue",INDEX('Residual Config'!$B$11:$B$14,AA261)))</f>
        <v>Not tested / overdue</v>
      </c>
      <c r="AC261" s="36" t="n">
        <f aca="false">IF(AA261="","",INDEX('Residual Config'!$D$11:$D$14,AA261))</f>
        <v>0</v>
      </c>
      <c r="AD261" s="7" t="str">
        <f aca="false">IF(OR(I261="N/A",P261="",Q261=""),"",IF(P261&gt;=Q261,"Yes","No"))</f>
        <v/>
      </c>
      <c r="AE261" s="8"/>
    </row>
    <row r="262" customFormat="false" ht="15" hidden="false" customHeight="false" outlineLevel="0" collapsed="false">
      <c r="A262" s="12" t="s">
        <v>1372</v>
      </c>
      <c r="B262" s="26" t="str">
        <f aca="false">Entities!$A$10</f>
        <v>PS</v>
      </c>
      <c r="C262" s="12" t="str">
        <f aca="false">INDEX(Entities!$B$5:$B$34,MATCH(B262,Entities!$A$5:$A$34,0))</f>
        <v>Arab Bank – Palestine</v>
      </c>
      <c r="D262" s="7" t="str">
        <f aca="false">INDEX(Entities!$F$5:$F$34,MATCH(B262,Entities!$A$5:$A$34,0))</f>
        <v>Tier 1</v>
      </c>
      <c r="E262" s="26" t="str">
        <f aca="false">'Control Library'!$A$47</f>
        <v>CTL-ST-01</v>
      </c>
      <c r="F262" s="12" t="str">
        <f aca="false">INDEX('Control Library'!$B$5:$B$47,MATCH(E262,'Control Library'!$A$5:$A$47,0))</f>
        <v>Strategy execution monitoring and E&amp;S screening of lending</v>
      </c>
      <c r="G262" s="7" t="str">
        <f aca="false">INDEX('Control Library'!$F$5:$F$47,MATCH(E262,'Control Library'!$A$5:$A$47,0))</f>
        <v>Y</v>
      </c>
      <c r="H262" s="12" t="str">
        <f aca="false">INDEX('Control Library'!$E$5:$E$47,MATCH(E262,'Control Library'!$A$5:$A$47,0))</f>
        <v>Quarterly</v>
      </c>
      <c r="I262" s="7" t="str">
        <f aca="false">IF(INDEX('Control Library'!$I$5:$I$47,MATCH(E262,'Control Library'!$A$5:$A$47,0))="All","Y",IF(INDEX('Control Library'!$I$5:$I$47,MATCH(E262,'Control Library'!$A$5:$A$47,0))="Banks only",IF(COUNTIF('Residual Config'!$L$28:$L$30,INDEX(Entities!$E$5:$E$34,MATCH(B262,Entities!$A$5:$A$34,0)))&gt;0,"N/A","Y"),IF(INDEX(Entities!$G$5:$G$34,MATCH(B262,Entities!$A$5:$A$34,0))="Y","Y","N/A")))</f>
        <v>Y</v>
      </c>
      <c r="J262" s="8" t="s">
        <v>1373</v>
      </c>
      <c r="K262" s="8" t="s">
        <v>752</v>
      </c>
      <c r="L262" s="7" t="str">
        <f aca="false">IF(OR(J262="",K262=""),"",IF(J262=K262,"Breach","OK"))</f>
        <v>OK</v>
      </c>
      <c r="M262" s="24" t="n">
        <v>2</v>
      </c>
      <c r="N262" s="50" t="n">
        <v>46223</v>
      </c>
      <c r="O262" s="8" t="s">
        <v>546</v>
      </c>
      <c r="P262" s="24" t="n">
        <v>2</v>
      </c>
      <c r="Q262" s="31" t="n">
        <f aca="false">IF(I262="N/A","",IFERROR(INDEX('Residual Config'!$B$35:$B$42,MATCH(H262,'Residual Config'!$A$35:$A$42,0)),""))</f>
        <v>2</v>
      </c>
      <c r="R262" s="24" t="n">
        <v>1</v>
      </c>
      <c r="S262" s="8" t="s">
        <v>521</v>
      </c>
      <c r="T262" s="31" t="n">
        <f aca="false">IF(S262="","",MATCH(S262,'Residual Config'!$L$9:$L$12,0))</f>
        <v>2</v>
      </c>
      <c r="U262" s="8" t="s">
        <v>1374</v>
      </c>
      <c r="V262" s="24" t="n">
        <v>3</v>
      </c>
      <c r="W262" s="33" t="s">
        <v>533</v>
      </c>
      <c r="X262" s="8" t="s">
        <v>760</v>
      </c>
      <c r="Y262" s="51" t="n">
        <f aca="false">IF(N262="","",EDATE(N262,IF(G262="N",INDEX('Residual Config'!$B$31:$D$31,1,MATCH(D262,'Residual Config'!$B$27:$D$27,0)),INDEX('Residual Config'!$B$28:$D$30,IF(T262=1,1,IF(T262=4,3,2)),MATCH(D262,'Residual Config'!$B$27:$D$27,0)))))</f>
        <v>46315</v>
      </c>
      <c r="Z262" s="7" t="str">
        <f aca="false">IF(I262="N/A","N/A",IF(N262="","Not tested",IF(W262="Rejected","Evidence rejected",IF(W262&lt;&gt;"Accepted","Evidence pending",IF(Y262&lt;'Residual Config'!$C$4,"Overdue","Current")))))</f>
        <v>Current</v>
      </c>
      <c r="AA262" s="34" t="n">
        <f aca="false">IF(I262="N/A","",IF(Z262&lt;&gt;"Current",4,IF(MAX(M262,T262)=0,4,MAX(M262,T262))))</f>
        <v>2</v>
      </c>
      <c r="AB262" s="7" t="str">
        <f aca="false">IF(AA262="","N/A",IF(Z262&lt;&gt;"Current","Not tested / overdue",INDEX('Residual Config'!$B$11:$B$14,AA262)))</f>
        <v>Largely effective</v>
      </c>
      <c r="AC262" s="36" t="n">
        <f aca="false">IF(AA262="","",INDEX('Residual Config'!$D$11:$D$14,AA262))</f>
        <v>0.4</v>
      </c>
      <c r="AD262" s="7" t="str">
        <f aca="false">IF(OR(I262="N/A",P262="",Q262=""),"",IF(P262&gt;=Q262,"Yes","No"))</f>
        <v>Yes</v>
      </c>
      <c r="AE262" s="8"/>
    </row>
    <row r="263" customFormat="false" ht="15" hidden="false" customHeight="false" outlineLevel="0" collapsed="false">
      <c r="A263" s="12" t="s">
        <v>1375</v>
      </c>
      <c r="B263" s="26" t="str">
        <f aca="false">Entities!$A$11</f>
        <v>PS-INV</v>
      </c>
      <c r="C263" s="12" t="str">
        <f aca="false">INDEX(Entities!$B$5:$B$34,MATCH(B263,Entities!$A$5:$A$34,0))</f>
        <v>Al-Arabi Investment Group – Palestine</v>
      </c>
      <c r="D263" s="7" t="str">
        <f aca="false">INDEX(Entities!$F$5:$F$34,MATCH(B263,Entities!$A$5:$A$34,0))</f>
        <v>Tier 3</v>
      </c>
      <c r="E263" s="26" t="str">
        <f aca="false">'Control Library'!$A$5</f>
        <v>CTL-KYC-01</v>
      </c>
      <c r="F263" s="12" t="str">
        <f aca="false">INDEX('Control Library'!$B$5:$B$47,MATCH(E263,'Control Library'!$A$5:$A$47,0))</f>
        <v>Customer due diligence and ID verification at onboarding</v>
      </c>
      <c r="G263" s="7" t="str">
        <f aca="false">INDEX('Control Library'!$F$5:$F$47,MATCH(E263,'Control Library'!$A$5:$A$47,0))</f>
        <v>Y</v>
      </c>
      <c r="H263" s="12" t="str">
        <f aca="false">INDEX('Control Library'!$E$5:$E$47,MATCH(E263,'Control Library'!$A$5:$A$47,0))</f>
        <v>Event-driven</v>
      </c>
      <c r="I263" s="7" t="str">
        <f aca="false">IF(INDEX('Control Library'!$I$5:$I$47,MATCH(E263,'Control Library'!$A$5:$A$47,0))="All","Y",IF(INDEX('Control Library'!$I$5:$I$47,MATCH(E263,'Control Library'!$A$5:$A$47,0))="Banks only",IF(COUNTIF('Residual Config'!$L$28:$L$30,INDEX(Entities!$E$5:$E$34,MATCH(B263,Entities!$A$5:$A$34,0)))&gt;0,"N/A","Y"),IF(INDEX(Entities!$G$5:$G$34,MATCH(B263,Entities!$A$5:$A$34,0))="Y","Y","N/A")))</f>
        <v>Y</v>
      </c>
      <c r="J263" s="8" t="s">
        <v>1376</v>
      </c>
      <c r="K263" s="8" t="s">
        <v>1377</v>
      </c>
      <c r="L263" s="7" t="str">
        <f aca="false">IF(OR(J263="",K263=""),"",IF(J263=K263,"Breach","OK"))</f>
        <v>OK</v>
      </c>
      <c r="M263" s="24" t="n">
        <v>3</v>
      </c>
      <c r="N263" s="50" t="n">
        <v>46177</v>
      </c>
      <c r="O263" s="8" t="s">
        <v>545</v>
      </c>
      <c r="P263" s="24" t="n">
        <v>30</v>
      </c>
      <c r="Q263" s="31" t="n">
        <f aca="false">IF(I263="N/A","",IFERROR(INDEX('Residual Config'!$B$35:$B$42,MATCH(H263,'Residual Config'!$A$35:$A$42,0)),""))</f>
        <v>25</v>
      </c>
      <c r="R263" s="24" t="n">
        <v>1</v>
      </c>
      <c r="S263" s="8" t="s">
        <v>521</v>
      </c>
      <c r="T263" s="31" t="n">
        <f aca="false">IF(S263="","",MATCH(S263,'Residual Config'!$L$9:$L$12,0))</f>
        <v>2</v>
      </c>
      <c r="U263" s="8" t="s">
        <v>1378</v>
      </c>
      <c r="V263" s="24" t="n">
        <v>2</v>
      </c>
      <c r="W263" s="33" t="s">
        <v>533</v>
      </c>
      <c r="X263" s="8" t="s">
        <v>760</v>
      </c>
      <c r="Y263" s="51" t="n">
        <f aca="false">IF(N263="","",EDATE(N263,IF(G263="N",INDEX('Residual Config'!$B$31:$D$31,1,MATCH(D263,'Residual Config'!$B$27:$D$27,0)),INDEX('Residual Config'!$B$28:$D$30,IF(T263=1,1,IF(T263=4,3,2)),MATCH(D263,'Residual Config'!$B$27:$D$27,0)))))</f>
        <v>46360</v>
      </c>
      <c r="Z263" s="7" t="str">
        <f aca="false">IF(I263="N/A","N/A",IF(N263="","Not tested",IF(W263="Rejected","Evidence rejected",IF(W263&lt;&gt;"Accepted","Evidence pending",IF(Y263&lt;'Residual Config'!$C$4,"Overdue","Current")))))</f>
        <v>Current</v>
      </c>
      <c r="AA263" s="34" t="n">
        <f aca="false">IF(I263="N/A","",IF(Z263&lt;&gt;"Current",4,IF(MAX(M263,T263)=0,4,MAX(M263,T263))))</f>
        <v>3</v>
      </c>
      <c r="AB263" s="7" t="str">
        <f aca="false">IF(AA263="","N/A",IF(Z263&lt;&gt;"Current","Not tested / overdue",INDEX('Residual Config'!$B$11:$B$14,AA263)))</f>
        <v>Partially effective</v>
      </c>
      <c r="AC263" s="36" t="n">
        <f aca="false">IF(AA263="","",INDEX('Residual Config'!$D$11:$D$14,AA263))</f>
        <v>0.2</v>
      </c>
      <c r="AD263" s="7" t="str">
        <f aca="false">IF(OR(I263="N/A",P263="",Q263=""),"",IF(P263&gt;=Q263,"Yes","No"))</f>
        <v>Yes</v>
      </c>
      <c r="AE263" s="8"/>
    </row>
    <row r="264" customFormat="false" ht="15" hidden="false" customHeight="false" outlineLevel="0" collapsed="false">
      <c r="A264" s="12" t="s">
        <v>1379</v>
      </c>
      <c r="B264" s="26" t="str">
        <f aca="false">Entities!$A$11</f>
        <v>PS-INV</v>
      </c>
      <c r="C264" s="12" t="str">
        <f aca="false">INDEX(Entities!$B$5:$B$34,MATCH(B264,Entities!$A$5:$A$34,0))</f>
        <v>Al-Arabi Investment Group – Palestine</v>
      </c>
      <c r="D264" s="7" t="str">
        <f aca="false">INDEX(Entities!$F$5:$F$34,MATCH(B264,Entities!$A$5:$A$34,0))</f>
        <v>Tier 3</v>
      </c>
      <c r="E264" s="26" t="str">
        <f aca="false">'Control Library'!$A$6</f>
        <v>CTL-KYC-02</v>
      </c>
      <c r="F264" s="12" t="str">
        <f aca="false">INDEX('Control Library'!$B$5:$B$47,MATCH(E264,'Control Library'!$A$5:$A$47,0))</f>
        <v>Enhanced due diligence for high-risk customers and PEPs, senior approval</v>
      </c>
      <c r="G264" s="7" t="str">
        <f aca="false">INDEX('Control Library'!$F$5:$F$47,MATCH(E264,'Control Library'!$A$5:$A$47,0))</f>
        <v>Y</v>
      </c>
      <c r="H264" s="12" t="str">
        <f aca="false">INDEX('Control Library'!$E$5:$E$47,MATCH(E264,'Control Library'!$A$5:$A$47,0))</f>
        <v>Event-driven</v>
      </c>
      <c r="I264" s="7" t="str">
        <f aca="false">IF(INDEX('Control Library'!$I$5:$I$47,MATCH(E264,'Control Library'!$A$5:$A$47,0))="All","Y",IF(INDEX('Control Library'!$I$5:$I$47,MATCH(E264,'Control Library'!$A$5:$A$47,0))="Banks only",IF(COUNTIF('Residual Config'!$L$28:$L$30,INDEX(Entities!$E$5:$E$34,MATCH(B264,Entities!$A$5:$A$34,0)))&gt;0,"N/A","Y"),IF(INDEX(Entities!$G$5:$G$34,MATCH(B264,Entities!$A$5:$A$34,0))="Y","Y","N/A")))</f>
        <v>Y</v>
      </c>
      <c r="J264" s="8" t="s">
        <v>1380</v>
      </c>
      <c r="K264" s="8" t="s">
        <v>1377</v>
      </c>
      <c r="L264" s="7" t="str">
        <f aca="false">IF(OR(J264="",K264=""),"",IF(J264=K264,"Breach","OK"))</f>
        <v>OK</v>
      </c>
      <c r="M264" s="24" t="n">
        <v>2</v>
      </c>
      <c r="N264" s="50" t="n">
        <v>46185</v>
      </c>
      <c r="O264" s="8" t="s">
        <v>545</v>
      </c>
      <c r="P264" s="24" t="n">
        <v>35</v>
      </c>
      <c r="Q264" s="31" t="n">
        <f aca="false">IF(I264="N/A","",IFERROR(INDEX('Residual Config'!$B$35:$B$42,MATCH(H264,'Residual Config'!$A$35:$A$42,0)),""))</f>
        <v>25</v>
      </c>
      <c r="R264" s="24" t="n">
        <v>1</v>
      </c>
      <c r="S264" s="8" t="s">
        <v>521</v>
      </c>
      <c r="T264" s="31" t="n">
        <f aca="false">IF(S264="","",MATCH(S264,'Residual Config'!$L$9:$L$12,0))</f>
        <v>2</v>
      </c>
      <c r="U264" s="8" t="s">
        <v>1381</v>
      </c>
      <c r="V264" s="24" t="n">
        <v>6</v>
      </c>
      <c r="W264" s="33" t="s">
        <v>533</v>
      </c>
      <c r="X264" s="8" t="s">
        <v>760</v>
      </c>
      <c r="Y264" s="51" t="n">
        <f aca="false">IF(N264="","",EDATE(N264,IF(G264="N",INDEX('Residual Config'!$B$31:$D$31,1,MATCH(D264,'Residual Config'!$B$27:$D$27,0)),INDEX('Residual Config'!$B$28:$D$30,IF(T264=1,1,IF(T264=4,3,2)),MATCH(D264,'Residual Config'!$B$27:$D$27,0)))))</f>
        <v>46368</v>
      </c>
      <c r="Z264" s="7" t="str">
        <f aca="false">IF(I264="N/A","N/A",IF(N264="","Not tested",IF(W264="Rejected","Evidence rejected",IF(W264&lt;&gt;"Accepted","Evidence pending",IF(Y264&lt;'Residual Config'!$C$4,"Overdue","Current")))))</f>
        <v>Current</v>
      </c>
      <c r="AA264" s="34" t="n">
        <f aca="false">IF(I264="N/A","",IF(Z264&lt;&gt;"Current",4,IF(MAX(M264,T264)=0,4,MAX(M264,T264))))</f>
        <v>2</v>
      </c>
      <c r="AB264" s="7" t="str">
        <f aca="false">IF(AA264="","N/A",IF(Z264&lt;&gt;"Current","Not tested / overdue",INDEX('Residual Config'!$B$11:$B$14,AA264)))</f>
        <v>Largely effective</v>
      </c>
      <c r="AC264" s="36" t="n">
        <f aca="false">IF(AA264="","",INDEX('Residual Config'!$D$11:$D$14,AA264))</f>
        <v>0.4</v>
      </c>
      <c r="AD264" s="7" t="str">
        <f aca="false">IF(OR(I264="N/A",P264="",Q264=""),"",IF(P264&gt;=Q264,"Yes","No"))</f>
        <v>Yes</v>
      </c>
      <c r="AE264" s="8"/>
    </row>
    <row r="265" customFormat="false" ht="15" hidden="false" customHeight="false" outlineLevel="0" collapsed="false">
      <c r="A265" s="12" t="s">
        <v>1382</v>
      </c>
      <c r="B265" s="26" t="str">
        <f aca="false">Entities!$A$11</f>
        <v>PS-INV</v>
      </c>
      <c r="C265" s="12" t="str">
        <f aca="false">INDEX(Entities!$B$5:$B$34,MATCH(B265,Entities!$A$5:$A$34,0))</f>
        <v>Al-Arabi Investment Group – Palestine</v>
      </c>
      <c r="D265" s="7" t="str">
        <f aca="false">INDEX(Entities!$F$5:$F$34,MATCH(B265,Entities!$A$5:$A$34,0))</f>
        <v>Tier 3</v>
      </c>
      <c r="E265" s="26" t="str">
        <f aca="false">'Control Library'!$A$7</f>
        <v>CTL-KYC-03</v>
      </c>
      <c r="F265" s="12" t="str">
        <f aca="false">INDEX('Control Library'!$B$5:$B$47,MATCH(E265,'Control Library'!$A$5:$A$47,0))</f>
        <v>Ultimate beneficial owner identification and verification</v>
      </c>
      <c r="G265" s="7" t="str">
        <f aca="false">INDEX('Control Library'!$F$5:$F$47,MATCH(E265,'Control Library'!$A$5:$A$47,0))</f>
        <v>Y</v>
      </c>
      <c r="H265" s="12" t="str">
        <f aca="false">INDEX('Control Library'!$E$5:$E$47,MATCH(E265,'Control Library'!$A$5:$A$47,0))</f>
        <v>Event-driven</v>
      </c>
      <c r="I265" s="7" t="str">
        <f aca="false">IF(INDEX('Control Library'!$I$5:$I$47,MATCH(E265,'Control Library'!$A$5:$A$47,0))="All","Y",IF(INDEX('Control Library'!$I$5:$I$47,MATCH(E265,'Control Library'!$A$5:$A$47,0))="Banks only",IF(COUNTIF('Residual Config'!$L$28:$L$30,INDEX(Entities!$E$5:$E$34,MATCH(B265,Entities!$A$5:$A$34,0)))&gt;0,"N/A","Y"),IF(INDEX(Entities!$G$5:$G$34,MATCH(B265,Entities!$A$5:$A$34,0))="Y","Y","N/A")))</f>
        <v>Y</v>
      </c>
      <c r="J265" s="8" t="s">
        <v>1376</v>
      </c>
      <c r="K265" s="8" t="s">
        <v>1377</v>
      </c>
      <c r="L265" s="7" t="str">
        <f aca="false">IF(OR(J265="",K265=""),"",IF(J265=K265,"Breach","OK"))</f>
        <v>OK</v>
      </c>
      <c r="M265" s="24" t="n">
        <v>2</v>
      </c>
      <c r="N265" s="50" t="n">
        <v>46180</v>
      </c>
      <c r="O265" s="8" t="s">
        <v>546</v>
      </c>
      <c r="P265" s="24" t="n">
        <v>25</v>
      </c>
      <c r="Q265" s="31" t="n">
        <f aca="false">IF(I265="N/A","",IFERROR(INDEX('Residual Config'!$B$35:$B$42,MATCH(H265,'Residual Config'!$A$35:$A$42,0)),""))</f>
        <v>25</v>
      </c>
      <c r="R265" s="24" t="n">
        <v>1</v>
      </c>
      <c r="S265" s="8" t="s">
        <v>521</v>
      </c>
      <c r="T265" s="31" t="n">
        <f aca="false">IF(S265="","",MATCH(S265,'Residual Config'!$L$9:$L$12,0))</f>
        <v>2</v>
      </c>
      <c r="U265" s="8" t="s">
        <v>1383</v>
      </c>
      <c r="V265" s="24" t="n">
        <v>3</v>
      </c>
      <c r="W265" s="33" t="s">
        <v>533</v>
      </c>
      <c r="X265" s="8" t="s">
        <v>754</v>
      </c>
      <c r="Y265" s="51" t="n">
        <f aca="false">IF(N265="","",EDATE(N265,IF(G265="N",INDEX('Residual Config'!$B$31:$D$31,1,MATCH(D265,'Residual Config'!$B$27:$D$27,0)),INDEX('Residual Config'!$B$28:$D$30,IF(T265=1,1,IF(T265=4,3,2)),MATCH(D265,'Residual Config'!$B$27:$D$27,0)))))</f>
        <v>46363</v>
      </c>
      <c r="Z265" s="7" t="str">
        <f aca="false">IF(I265="N/A","N/A",IF(N265="","Not tested",IF(W265="Rejected","Evidence rejected",IF(W265&lt;&gt;"Accepted","Evidence pending",IF(Y265&lt;'Residual Config'!$C$4,"Overdue","Current")))))</f>
        <v>Current</v>
      </c>
      <c r="AA265" s="34" t="n">
        <f aca="false">IF(I265="N/A","",IF(Z265&lt;&gt;"Current",4,IF(MAX(M265,T265)=0,4,MAX(M265,T265))))</f>
        <v>2</v>
      </c>
      <c r="AB265" s="7" t="str">
        <f aca="false">IF(AA265="","N/A",IF(Z265&lt;&gt;"Current","Not tested / overdue",INDEX('Residual Config'!$B$11:$B$14,AA265)))</f>
        <v>Largely effective</v>
      </c>
      <c r="AC265" s="36" t="n">
        <f aca="false">IF(AA265="","",INDEX('Residual Config'!$D$11:$D$14,AA265))</f>
        <v>0.4</v>
      </c>
      <c r="AD265" s="7" t="str">
        <f aca="false">IF(OR(I265="N/A",P265="",Q265=""),"",IF(P265&gt;=Q265,"Yes","No"))</f>
        <v>Yes</v>
      </c>
      <c r="AE265" s="8"/>
    </row>
    <row r="266" customFormat="false" ht="15" hidden="false" customHeight="false" outlineLevel="0" collapsed="false">
      <c r="A266" s="12" t="s">
        <v>1384</v>
      </c>
      <c r="B266" s="26" t="str">
        <f aca="false">Entities!$A$11</f>
        <v>PS-INV</v>
      </c>
      <c r="C266" s="12" t="str">
        <f aca="false">INDEX(Entities!$B$5:$B$34,MATCH(B266,Entities!$A$5:$A$34,0))</f>
        <v>Al-Arabi Investment Group – Palestine</v>
      </c>
      <c r="D266" s="7" t="str">
        <f aca="false">INDEX(Entities!$F$5:$F$34,MATCH(B266,Entities!$A$5:$A$34,0))</f>
        <v>Tier 3</v>
      </c>
      <c r="E266" s="26" t="str">
        <f aca="false">'Control Library'!$A$8</f>
        <v>CTL-KYC-04</v>
      </c>
      <c r="F266" s="12" t="str">
        <f aca="false">INDEX('Control Library'!$B$5:$B$47,MATCH(E266,'Control Library'!$A$5:$A$47,0))</f>
        <v>Periodic KYC review by customer risk rating</v>
      </c>
      <c r="G266" s="7" t="str">
        <f aca="false">INDEX('Control Library'!$F$5:$F$47,MATCH(E266,'Control Library'!$A$5:$A$47,0))</f>
        <v>Y</v>
      </c>
      <c r="H266" s="12" t="str">
        <f aca="false">INDEX('Control Library'!$E$5:$E$47,MATCH(E266,'Control Library'!$A$5:$A$47,0))</f>
        <v>Monthly</v>
      </c>
      <c r="I266" s="7" t="str">
        <f aca="false">IF(INDEX('Control Library'!$I$5:$I$47,MATCH(E266,'Control Library'!$A$5:$A$47,0))="All","Y",IF(INDEX('Control Library'!$I$5:$I$47,MATCH(E266,'Control Library'!$A$5:$A$47,0))="Banks only",IF(COUNTIF('Residual Config'!$L$28:$L$30,INDEX(Entities!$E$5:$E$34,MATCH(B266,Entities!$A$5:$A$34,0)))&gt;0,"N/A","Y"),IF(INDEX(Entities!$G$5:$G$34,MATCH(B266,Entities!$A$5:$A$34,0))="Y","Y","N/A")))</f>
        <v>Y</v>
      </c>
      <c r="J266" s="8" t="s">
        <v>1376</v>
      </c>
      <c r="K266" s="8" t="s">
        <v>1377</v>
      </c>
      <c r="L266" s="7" t="str">
        <f aca="false">IF(OR(J266="",K266=""),"",IF(J266=K266,"Breach","OK"))</f>
        <v>OK</v>
      </c>
      <c r="M266" s="24" t="n">
        <v>2</v>
      </c>
      <c r="N266" s="50" t="n">
        <v>46151</v>
      </c>
      <c r="O266" s="8" t="s">
        <v>546</v>
      </c>
      <c r="P266" s="24" t="n">
        <v>3</v>
      </c>
      <c r="Q266" s="31" t="n">
        <f aca="false">IF(I266="N/A","",IFERROR(INDEX('Residual Config'!$B$35:$B$42,MATCH(H266,'Residual Config'!$A$35:$A$42,0)),""))</f>
        <v>3</v>
      </c>
      <c r="R266" s="24" t="n">
        <v>1</v>
      </c>
      <c r="S266" s="8" t="s">
        <v>521</v>
      </c>
      <c r="T266" s="31" t="n">
        <f aca="false">IF(S266="","",MATCH(S266,'Residual Config'!$L$9:$L$12,0))</f>
        <v>2</v>
      </c>
      <c r="U266" s="8" t="s">
        <v>1385</v>
      </c>
      <c r="V266" s="24" t="n">
        <v>2</v>
      </c>
      <c r="W266" s="33" t="s">
        <v>533</v>
      </c>
      <c r="X266" s="8" t="s">
        <v>754</v>
      </c>
      <c r="Y266" s="51" t="n">
        <f aca="false">IF(N266="","",EDATE(N266,IF(G266="N",INDEX('Residual Config'!$B$31:$D$31,1,MATCH(D266,'Residual Config'!$B$27:$D$27,0)),INDEX('Residual Config'!$B$28:$D$30,IF(T266=1,1,IF(T266=4,3,2)),MATCH(D266,'Residual Config'!$B$27:$D$27,0)))))</f>
        <v>46335</v>
      </c>
      <c r="Z266" s="7" t="str">
        <f aca="false">IF(I266="N/A","N/A",IF(N266="","Not tested",IF(W266="Rejected","Evidence rejected",IF(W266&lt;&gt;"Accepted","Evidence pending",IF(Y266&lt;'Residual Config'!$C$4,"Overdue","Current")))))</f>
        <v>Current</v>
      </c>
      <c r="AA266" s="34" t="n">
        <f aca="false">IF(I266="N/A","",IF(Z266&lt;&gt;"Current",4,IF(MAX(M266,T266)=0,4,MAX(M266,T266))))</f>
        <v>2</v>
      </c>
      <c r="AB266" s="7" t="str">
        <f aca="false">IF(AA266="","N/A",IF(Z266&lt;&gt;"Current","Not tested / overdue",INDEX('Residual Config'!$B$11:$B$14,AA266)))</f>
        <v>Largely effective</v>
      </c>
      <c r="AC266" s="36" t="n">
        <f aca="false">IF(AA266="","",INDEX('Residual Config'!$D$11:$D$14,AA266))</f>
        <v>0.4</v>
      </c>
      <c r="AD266" s="7" t="str">
        <f aca="false">IF(OR(I266="N/A",P266="",Q266=""),"",IF(P266&gt;=Q266,"Yes","No"))</f>
        <v>Yes</v>
      </c>
      <c r="AE266" s="8"/>
    </row>
    <row r="267" customFormat="false" ht="15" hidden="false" customHeight="false" outlineLevel="0" collapsed="false">
      <c r="A267" s="12" t="s">
        <v>1386</v>
      </c>
      <c r="B267" s="26" t="str">
        <f aca="false">Entities!$A$11</f>
        <v>PS-INV</v>
      </c>
      <c r="C267" s="12" t="str">
        <f aca="false">INDEX(Entities!$B$5:$B$34,MATCH(B267,Entities!$A$5:$A$34,0))</f>
        <v>Al-Arabi Investment Group – Palestine</v>
      </c>
      <c r="D267" s="7" t="str">
        <f aca="false">INDEX(Entities!$F$5:$F$34,MATCH(B267,Entities!$A$5:$A$34,0))</f>
        <v>Tier 3</v>
      </c>
      <c r="E267" s="26" t="str">
        <f aca="false">'Control Library'!$A$9</f>
        <v>CTL-CRR-01</v>
      </c>
      <c r="F267" s="12" t="str">
        <f aca="false">INDEX('Control Library'!$B$5:$B$47,MATCH(E267,'Control Library'!$A$5:$A$47,0))</f>
        <v>Customer risk rating model and annual validation</v>
      </c>
      <c r="G267" s="7" t="str">
        <f aca="false">INDEX('Control Library'!$F$5:$F$47,MATCH(E267,'Control Library'!$A$5:$A$47,0))</f>
        <v>N</v>
      </c>
      <c r="H267" s="12" t="str">
        <f aca="false">INDEX('Control Library'!$E$5:$E$47,MATCH(E267,'Control Library'!$A$5:$A$47,0))</f>
        <v>Annual</v>
      </c>
      <c r="I267" s="7" t="str">
        <f aca="false">IF(INDEX('Control Library'!$I$5:$I$47,MATCH(E267,'Control Library'!$A$5:$A$47,0))="All","Y",IF(INDEX('Control Library'!$I$5:$I$47,MATCH(E267,'Control Library'!$A$5:$A$47,0))="Banks only",IF(COUNTIF('Residual Config'!$L$28:$L$30,INDEX(Entities!$E$5:$E$34,MATCH(B267,Entities!$A$5:$A$34,0)))&gt;0,"N/A","Y"),IF(INDEX(Entities!$G$5:$G$34,MATCH(B267,Entities!$A$5:$A$34,0))="Y","Y","N/A")))</f>
        <v>Y</v>
      </c>
      <c r="J267" s="8" t="s">
        <v>1380</v>
      </c>
      <c r="K267" s="8" t="s">
        <v>1377</v>
      </c>
      <c r="L267" s="7" t="str">
        <f aca="false">IF(OR(J267="",K267=""),"",IF(J267=K267,"Breach","OK"))</f>
        <v>OK</v>
      </c>
      <c r="M267" s="24" t="n">
        <v>1</v>
      </c>
      <c r="N267" s="50" t="n">
        <v>45621</v>
      </c>
      <c r="O267" s="8" t="s">
        <v>546</v>
      </c>
      <c r="P267" s="24" t="n">
        <v>1</v>
      </c>
      <c r="Q267" s="31" t="n">
        <f aca="false">IF(I267="N/A","",IFERROR(INDEX('Residual Config'!$B$35:$B$42,MATCH(H267,'Residual Config'!$A$35:$A$42,0)),""))</f>
        <v>1</v>
      </c>
      <c r="R267" s="24" t="n">
        <v>0</v>
      </c>
      <c r="S267" s="8" t="s">
        <v>516</v>
      </c>
      <c r="T267" s="31" t="n">
        <f aca="false">IF(S267="","",MATCH(S267,'Residual Config'!$L$9:$L$12,0))</f>
        <v>1</v>
      </c>
      <c r="U267" s="8" t="s">
        <v>1387</v>
      </c>
      <c r="V267" s="24" t="n">
        <v>1</v>
      </c>
      <c r="W267" s="33" t="s">
        <v>533</v>
      </c>
      <c r="X267" s="8" t="s">
        <v>760</v>
      </c>
      <c r="Y267" s="51" t="n">
        <f aca="false">IF(N267="","",EDATE(N267,IF(G267="N",INDEX('Residual Config'!$B$31:$D$31,1,MATCH(D267,'Residual Config'!$B$27:$D$27,0)),INDEX('Residual Config'!$B$28:$D$30,IF(T267=1,1,IF(T267=4,3,2)),MATCH(D267,'Residual Config'!$B$27:$D$27,0)))))</f>
        <v>46351</v>
      </c>
      <c r="Z267" s="7" t="str">
        <f aca="false">IF(I267="N/A","N/A",IF(N267="","Not tested",IF(W267="Rejected","Evidence rejected",IF(W267&lt;&gt;"Accepted","Evidence pending",IF(Y267&lt;'Residual Config'!$C$4,"Overdue","Current")))))</f>
        <v>Current</v>
      </c>
      <c r="AA267" s="34" t="n">
        <f aca="false">IF(I267="N/A","",IF(Z267&lt;&gt;"Current",4,IF(MAX(M267,T267)=0,4,MAX(M267,T267))))</f>
        <v>1</v>
      </c>
      <c r="AB267" s="7" t="str">
        <f aca="false">IF(AA267="","N/A",IF(Z267&lt;&gt;"Current","Not tested / overdue",INDEX('Residual Config'!$B$11:$B$14,AA267)))</f>
        <v>Effective</v>
      </c>
      <c r="AC267" s="36" t="n">
        <f aca="false">IF(AA267="","",INDEX('Residual Config'!$D$11:$D$14,AA267))</f>
        <v>0.6</v>
      </c>
      <c r="AD267" s="7" t="str">
        <f aca="false">IF(OR(I267="N/A",P267="",Q267=""),"",IF(P267&gt;=Q267,"Yes","No"))</f>
        <v>Yes</v>
      </c>
      <c r="AE267" s="8"/>
    </row>
    <row r="268" customFormat="false" ht="15" hidden="false" customHeight="false" outlineLevel="0" collapsed="false">
      <c r="A268" s="12" t="s">
        <v>1388</v>
      </c>
      <c r="B268" s="26" t="str">
        <f aca="false">Entities!$A$11</f>
        <v>PS-INV</v>
      </c>
      <c r="C268" s="12" t="str">
        <f aca="false">INDEX(Entities!$B$5:$B$34,MATCH(B268,Entities!$A$5:$A$34,0))</f>
        <v>Al-Arabi Investment Group – Palestine</v>
      </c>
      <c r="D268" s="7" t="str">
        <f aca="false">INDEX(Entities!$F$5:$F$34,MATCH(B268,Entities!$A$5:$A$34,0))</f>
        <v>Tier 3</v>
      </c>
      <c r="E268" s="26" t="str">
        <f aca="false">'Control Library'!$A$10</f>
        <v>CTL-TM-01</v>
      </c>
      <c r="F268" s="12" t="str">
        <f aca="false">INDEX('Control Library'!$B$5:$B$47,MATCH(E268,'Control Library'!$A$5:$A$47,0))</f>
        <v>Automated transaction monitoring scenarios and annual tuning</v>
      </c>
      <c r="G268" s="7" t="str">
        <f aca="false">INDEX('Control Library'!$F$5:$F$47,MATCH(E268,'Control Library'!$A$5:$A$47,0))</f>
        <v>Y</v>
      </c>
      <c r="H268" s="12" t="str">
        <f aca="false">INDEX('Control Library'!$E$5:$E$47,MATCH(E268,'Control Library'!$A$5:$A$47,0))</f>
        <v>Continuous</v>
      </c>
      <c r="I268" s="7" t="str">
        <f aca="false">IF(INDEX('Control Library'!$I$5:$I$47,MATCH(E268,'Control Library'!$A$5:$A$47,0))="All","Y",IF(INDEX('Control Library'!$I$5:$I$47,MATCH(E268,'Control Library'!$A$5:$A$47,0))="Banks only",IF(COUNTIF('Residual Config'!$L$28:$L$30,INDEX(Entities!$E$5:$E$34,MATCH(B268,Entities!$A$5:$A$34,0)))&gt;0,"N/A","Y"),IF(INDEX(Entities!$G$5:$G$34,MATCH(B268,Entities!$A$5:$A$34,0))="Y","Y","N/A")))</f>
        <v>N/A</v>
      </c>
      <c r="J268" s="8"/>
      <c r="K268" s="8"/>
      <c r="L268" s="7" t="str">
        <f aca="false">IF(OR(J268="",K268=""),"",IF(J268=K268,"Breach","OK"))</f>
        <v/>
      </c>
      <c r="M268" s="24"/>
      <c r="N268" s="50"/>
      <c r="O268" s="8"/>
      <c r="P268" s="24"/>
      <c r="Q268" s="31" t="str">
        <f aca="false">IF(I268="N/A","",IFERROR(INDEX('Residual Config'!$B$35:$B$42,MATCH(H268,'Residual Config'!$A$35:$A$42,0)),""))</f>
        <v/>
      </c>
      <c r="R268" s="24"/>
      <c r="S268" s="8"/>
      <c r="T268" s="31" t="str">
        <f aca="false">IF(S268="","",MATCH(S268,'Residual Config'!$L$9:$L$12,0))</f>
        <v/>
      </c>
      <c r="U268" s="8"/>
      <c r="V268" s="24"/>
      <c r="W268" s="33"/>
      <c r="X268" s="8"/>
      <c r="Y268" s="51" t="str">
        <f aca="false">IF(N268="","",EDATE(N268,IF(G268="N",INDEX('Residual Config'!$B$31:$D$31,1,MATCH(D268,'Residual Config'!$B$27:$D$27,0)),INDEX('Residual Config'!$B$28:$D$30,IF(T268=1,1,IF(T268=4,3,2)),MATCH(D268,'Residual Config'!$B$27:$D$27,0)))))</f>
        <v/>
      </c>
      <c r="Z268" s="7" t="str">
        <f aca="false">IF(I268="N/A","N/A",IF(N268="","Not tested",IF(W268="Rejected","Evidence rejected",IF(W268&lt;&gt;"Accepted","Evidence pending",IF(Y268&lt;'Residual Config'!$C$4,"Overdue","Current")))))</f>
        <v>N/A</v>
      </c>
      <c r="AA268" s="34" t="str">
        <f aca="false">IF(I268="N/A","",IF(Z268&lt;&gt;"Current",4,IF(MAX(M268,T268)=0,4,MAX(M268,T268))))</f>
        <v/>
      </c>
      <c r="AB268" s="7" t="str">
        <f aca="false">IF(AA268="","N/A",IF(Z268&lt;&gt;"Current","Not tested / overdue",INDEX('Residual Config'!$B$11:$B$14,AA268)))</f>
        <v>N/A</v>
      </c>
      <c r="AC268" s="36" t="str">
        <f aca="false">IF(AA268="","",INDEX('Residual Config'!$D$11:$D$14,AA268))</f>
        <v/>
      </c>
      <c r="AD268" s="7" t="str">
        <f aca="false">IF(OR(I268="N/A",P268="",Q268=""),"",IF(P268&gt;=Q268,"Yes","No"))</f>
        <v/>
      </c>
      <c r="AE268" s="8"/>
    </row>
    <row r="269" customFormat="false" ht="15" hidden="false" customHeight="false" outlineLevel="0" collapsed="false">
      <c r="A269" s="12" t="s">
        <v>1389</v>
      </c>
      <c r="B269" s="26" t="str">
        <f aca="false">Entities!$A$11</f>
        <v>PS-INV</v>
      </c>
      <c r="C269" s="12" t="str">
        <f aca="false">INDEX(Entities!$B$5:$B$34,MATCH(B269,Entities!$A$5:$A$34,0))</f>
        <v>Al-Arabi Investment Group – Palestine</v>
      </c>
      <c r="D269" s="7" t="str">
        <f aca="false">INDEX(Entities!$F$5:$F$34,MATCH(B269,Entities!$A$5:$A$34,0))</f>
        <v>Tier 3</v>
      </c>
      <c r="E269" s="26" t="str">
        <f aca="false">'Control Library'!$A$11</f>
        <v>CTL-TM-02</v>
      </c>
      <c r="F269" s="12" t="str">
        <f aca="false">INDEX('Control Library'!$B$5:$B$47,MATCH(E269,'Control Library'!$A$5:$A$47,0))</f>
        <v>Alert investigation and quality assurance within SLA</v>
      </c>
      <c r="G269" s="7" t="str">
        <f aca="false">INDEX('Control Library'!$F$5:$F$47,MATCH(E269,'Control Library'!$A$5:$A$47,0))</f>
        <v>Y</v>
      </c>
      <c r="H269" s="12" t="str">
        <f aca="false">INDEX('Control Library'!$E$5:$E$47,MATCH(E269,'Control Library'!$A$5:$A$47,0))</f>
        <v>Daily</v>
      </c>
      <c r="I269" s="7" t="str">
        <f aca="false">IF(INDEX('Control Library'!$I$5:$I$47,MATCH(E269,'Control Library'!$A$5:$A$47,0))="All","Y",IF(INDEX('Control Library'!$I$5:$I$47,MATCH(E269,'Control Library'!$A$5:$A$47,0))="Banks only",IF(COUNTIF('Residual Config'!$L$28:$L$30,INDEX(Entities!$E$5:$E$34,MATCH(B269,Entities!$A$5:$A$34,0)))&gt;0,"N/A","Y"),IF(INDEX(Entities!$G$5:$G$34,MATCH(B269,Entities!$A$5:$A$34,0))="Y","Y","N/A")))</f>
        <v>Y</v>
      </c>
      <c r="J269" s="8" t="s">
        <v>1390</v>
      </c>
      <c r="K269" s="8" t="s">
        <v>1377</v>
      </c>
      <c r="L269" s="7" t="str">
        <f aca="false">IF(OR(J269="",K269=""),"",IF(J269=K269,"Breach","OK"))</f>
        <v>OK</v>
      </c>
      <c r="M269" s="24" t="n">
        <v>3</v>
      </c>
      <c r="N269" s="50" t="n">
        <v>46248</v>
      </c>
      <c r="O269" s="8" t="s">
        <v>545</v>
      </c>
      <c r="P269" s="24" t="n">
        <v>25</v>
      </c>
      <c r="Q269" s="31" t="n">
        <f aca="false">IF(I269="N/A","",IFERROR(INDEX('Residual Config'!$B$35:$B$42,MATCH(H269,'Residual Config'!$A$35:$A$42,0)),""))</f>
        <v>25</v>
      </c>
      <c r="R269" s="24" t="n">
        <v>8</v>
      </c>
      <c r="S269" s="8" t="s">
        <v>527</v>
      </c>
      <c r="T269" s="31" t="n">
        <f aca="false">IF(S269="","",MATCH(S269,'Residual Config'!$L$9:$L$12,0))</f>
        <v>4</v>
      </c>
      <c r="U269" s="8" t="s">
        <v>1391</v>
      </c>
      <c r="V269" s="24" t="n">
        <v>3</v>
      </c>
      <c r="W269" s="33" t="s">
        <v>533</v>
      </c>
      <c r="X269" s="8" t="s">
        <v>754</v>
      </c>
      <c r="Y269" s="51" t="n">
        <f aca="false">IF(N269="","",EDATE(N269,IF(G269="N",INDEX('Residual Config'!$B$31:$D$31,1,MATCH(D269,'Residual Config'!$B$27:$D$27,0)),INDEX('Residual Config'!$B$28:$D$30,IF(T269=1,1,IF(T269=4,3,2)),MATCH(D269,'Residual Config'!$B$27:$D$27,0)))))</f>
        <v>46370</v>
      </c>
      <c r="Z269" s="7" t="str">
        <f aca="false">IF(I269="N/A","N/A",IF(N269="","Not tested",IF(W269="Rejected","Evidence rejected",IF(W269&lt;&gt;"Accepted","Evidence pending",IF(Y269&lt;'Residual Config'!$C$4,"Overdue","Current")))))</f>
        <v>Current</v>
      </c>
      <c r="AA269" s="34" t="n">
        <f aca="false">IF(I269="N/A","",IF(Z269&lt;&gt;"Current",4,IF(MAX(M269,T269)=0,4,MAX(M269,T269))))</f>
        <v>4</v>
      </c>
      <c r="AB269" s="7" t="str">
        <f aca="false">IF(AA269="","N/A",IF(Z269&lt;&gt;"Current","Not tested / overdue",INDEX('Residual Config'!$B$11:$B$14,AA269)))</f>
        <v>Ineffective</v>
      </c>
      <c r="AC269" s="36" t="n">
        <f aca="false">IF(AA269="","",INDEX('Residual Config'!$D$11:$D$14,AA269))</f>
        <v>0</v>
      </c>
      <c r="AD269" s="7" t="str">
        <f aca="false">IF(OR(I269="N/A",P269="",Q269=""),"",IF(P269&gt;=Q269,"Yes","No"))</f>
        <v>Yes</v>
      </c>
      <c r="AE269" s="8"/>
    </row>
    <row r="270" customFormat="false" ht="15" hidden="false" customHeight="false" outlineLevel="0" collapsed="false">
      <c r="A270" s="12" t="s">
        <v>1392</v>
      </c>
      <c r="B270" s="26" t="str">
        <f aca="false">Entities!$A$11</f>
        <v>PS-INV</v>
      </c>
      <c r="C270" s="12" t="str">
        <f aca="false">INDEX(Entities!$B$5:$B$34,MATCH(B270,Entities!$A$5:$A$34,0))</f>
        <v>Al-Arabi Investment Group – Palestine</v>
      </c>
      <c r="D270" s="7" t="str">
        <f aca="false">INDEX(Entities!$F$5:$F$34,MATCH(B270,Entities!$A$5:$A$34,0))</f>
        <v>Tier 3</v>
      </c>
      <c r="E270" s="26" t="str">
        <f aca="false">'Control Library'!$A$12</f>
        <v>CTL-STR-01</v>
      </c>
      <c r="F270" s="12" t="str">
        <f aca="false">INDEX('Control Library'!$B$5:$B$47,MATCH(E270,'Control Library'!$A$5:$A$47,0))</f>
        <v>STR decision and filing within regulatory deadline</v>
      </c>
      <c r="G270" s="7" t="str">
        <f aca="false">INDEX('Control Library'!$F$5:$F$47,MATCH(E270,'Control Library'!$A$5:$A$47,0))</f>
        <v>Y</v>
      </c>
      <c r="H270" s="12" t="str">
        <f aca="false">INDEX('Control Library'!$E$5:$E$47,MATCH(E270,'Control Library'!$A$5:$A$47,0))</f>
        <v>Event-driven</v>
      </c>
      <c r="I270" s="7" t="str">
        <f aca="false">IF(INDEX('Control Library'!$I$5:$I$47,MATCH(E270,'Control Library'!$A$5:$A$47,0))="All","Y",IF(INDEX('Control Library'!$I$5:$I$47,MATCH(E270,'Control Library'!$A$5:$A$47,0))="Banks only",IF(COUNTIF('Residual Config'!$L$28:$L$30,INDEX(Entities!$E$5:$E$34,MATCH(B270,Entities!$A$5:$A$34,0)))&gt;0,"N/A","Y"),IF(INDEX(Entities!$G$5:$G$34,MATCH(B270,Entities!$A$5:$A$34,0))="Y","Y","N/A")))</f>
        <v>Y</v>
      </c>
      <c r="J270" s="8" t="s">
        <v>1390</v>
      </c>
      <c r="K270" s="8" t="s">
        <v>1377</v>
      </c>
      <c r="L270" s="7" t="str">
        <f aca="false">IF(OR(J270="",K270=""),"",IF(J270=K270,"Breach","OK"))</f>
        <v>OK</v>
      </c>
      <c r="M270" s="24" t="n">
        <v>3</v>
      </c>
      <c r="N270" s="50" t="n">
        <v>46196</v>
      </c>
      <c r="O270" s="8" t="s">
        <v>546</v>
      </c>
      <c r="P270" s="24" t="n">
        <v>30</v>
      </c>
      <c r="Q270" s="31" t="n">
        <f aca="false">IF(I270="N/A","",IFERROR(INDEX('Residual Config'!$B$35:$B$42,MATCH(H270,'Residual Config'!$A$35:$A$42,0)),""))</f>
        <v>25</v>
      </c>
      <c r="R270" s="24" t="n">
        <v>1</v>
      </c>
      <c r="S270" s="8" t="s">
        <v>521</v>
      </c>
      <c r="T270" s="31" t="n">
        <f aca="false">IF(S270="","",MATCH(S270,'Residual Config'!$L$9:$L$12,0))</f>
        <v>2</v>
      </c>
      <c r="U270" s="8" t="s">
        <v>1393</v>
      </c>
      <c r="V270" s="24" t="n">
        <v>6</v>
      </c>
      <c r="W270" s="33" t="s">
        <v>533</v>
      </c>
      <c r="X270" s="8" t="s">
        <v>754</v>
      </c>
      <c r="Y270" s="51" t="n">
        <f aca="false">IF(N270="","",EDATE(N270,IF(G270="N",INDEX('Residual Config'!$B$31:$D$31,1,MATCH(D270,'Residual Config'!$B$27:$D$27,0)),INDEX('Residual Config'!$B$28:$D$30,IF(T270=1,1,IF(T270=4,3,2)),MATCH(D270,'Residual Config'!$B$27:$D$27,0)))))</f>
        <v>46379</v>
      </c>
      <c r="Z270" s="7" t="str">
        <f aca="false">IF(I270="N/A","N/A",IF(N270="","Not tested",IF(W270="Rejected","Evidence rejected",IF(W270&lt;&gt;"Accepted","Evidence pending",IF(Y270&lt;'Residual Config'!$C$4,"Overdue","Current")))))</f>
        <v>Current</v>
      </c>
      <c r="AA270" s="34" t="n">
        <f aca="false">IF(I270="N/A","",IF(Z270&lt;&gt;"Current",4,IF(MAX(M270,T270)=0,4,MAX(M270,T270))))</f>
        <v>3</v>
      </c>
      <c r="AB270" s="7" t="str">
        <f aca="false">IF(AA270="","N/A",IF(Z270&lt;&gt;"Current","Not tested / overdue",INDEX('Residual Config'!$B$11:$B$14,AA270)))</f>
        <v>Partially effective</v>
      </c>
      <c r="AC270" s="36" t="n">
        <f aca="false">IF(AA270="","",INDEX('Residual Config'!$D$11:$D$14,AA270))</f>
        <v>0.2</v>
      </c>
      <c r="AD270" s="7" t="str">
        <f aca="false">IF(OR(I270="N/A",P270="",Q270=""),"",IF(P270&gt;=Q270,"Yes","No"))</f>
        <v>Yes</v>
      </c>
      <c r="AE270" s="8"/>
    </row>
    <row r="271" customFormat="false" ht="15" hidden="false" customHeight="false" outlineLevel="0" collapsed="false">
      <c r="A271" s="12" t="s">
        <v>1394</v>
      </c>
      <c r="B271" s="26" t="str">
        <f aca="false">Entities!$A$11</f>
        <v>PS-INV</v>
      </c>
      <c r="C271" s="12" t="str">
        <f aca="false">INDEX(Entities!$B$5:$B$34,MATCH(B271,Entities!$A$5:$A$34,0))</f>
        <v>Al-Arabi Investment Group – Palestine</v>
      </c>
      <c r="D271" s="7" t="str">
        <f aca="false">INDEX(Entities!$F$5:$F$34,MATCH(B271,Entities!$A$5:$A$34,0))</f>
        <v>Tier 3</v>
      </c>
      <c r="E271" s="26" t="str">
        <f aca="false">'Control Library'!$A$13</f>
        <v>CTL-SAN-01</v>
      </c>
      <c r="F271" s="12" t="str">
        <f aca="false">INDEX('Control Library'!$B$5:$B$47,MATCH(E271,'Control Library'!$A$5:$A$47,0))</f>
        <v>Real-time payment and transaction sanctions screening</v>
      </c>
      <c r="G271" s="7" t="str">
        <f aca="false">INDEX('Control Library'!$F$5:$F$47,MATCH(E271,'Control Library'!$A$5:$A$47,0))</f>
        <v>Y</v>
      </c>
      <c r="H271" s="12" t="str">
        <f aca="false">INDEX('Control Library'!$E$5:$E$47,MATCH(E271,'Control Library'!$A$5:$A$47,0))</f>
        <v>Continuous</v>
      </c>
      <c r="I271" s="7" t="str">
        <f aca="false">IF(INDEX('Control Library'!$I$5:$I$47,MATCH(E271,'Control Library'!$A$5:$A$47,0))="All","Y",IF(INDEX('Control Library'!$I$5:$I$47,MATCH(E271,'Control Library'!$A$5:$A$47,0))="Banks only",IF(COUNTIF('Residual Config'!$L$28:$L$30,INDEX(Entities!$E$5:$E$34,MATCH(B271,Entities!$A$5:$A$34,0)))&gt;0,"N/A","Y"),IF(INDEX(Entities!$G$5:$G$34,MATCH(B271,Entities!$A$5:$A$34,0))="Y","Y","N/A")))</f>
        <v>Y</v>
      </c>
      <c r="J271" s="8" t="s">
        <v>1395</v>
      </c>
      <c r="K271" s="8" t="s">
        <v>1377</v>
      </c>
      <c r="L271" s="7" t="str">
        <f aca="false">IF(OR(J271="",K271=""),"",IF(J271=K271,"Breach","OK"))</f>
        <v>OK</v>
      </c>
      <c r="M271" s="24" t="n">
        <v>2</v>
      </c>
      <c r="N271" s="50" t="n">
        <v>46238</v>
      </c>
      <c r="O271" s="8" t="s">
        <v>547</v>
      </c>
      <c r="P271" s="24" t="n">
        <v>1</v>
      </c>
      <c r="Q271" s="31" t="n">
        <f aca="false">IF(I271="N/A","",IFERROR(INDEX('Residual Config'!$B$35:$B$42,MATCH(H271,'Residual Config'!$A$35:$A$42,0)),""))</f>
        <v>1</v>
      </c>
      <c r="R271" s="24" t="n">
        <v>1</v>
      </c>
      <c r="S271" s="8" t="s">
        <v>521</v>
      </c>
      <c r="T271" s="31" t="n">
        <f aca="false">IF(S271="","",MATCH(S271,'Residual Config'!$L$9:$L$12,0))</f>
        <v>2</v>
      </c>
      <c r="U271" s="8" t="s">
        <v>1396</v>
      </c>
      <c r="V271" s="24" t="n">
        <v>2</v>
      </c>
      <c r="W271" s="33" t="s">
        <v>533</v>
      </c>
      <c r="X271" s="8" t="s">
        <v>760</v>
      </c>
      <c r="Y271" s="51" t="n">
        <f aca="false">IF(N271="","",EDATE(N271,IF(G271="N",INDEX('Residual Config'!$B$31:$D$31,1,MATCH(D271,'Residual Config'!$B$27:$D$27,0)),INDEX('Residual Config'!$B$28:$D$30,IF(T271=1,1,IF(T271=4,3,2)),MATCH(D271,'Residual Config'!$B$27:$D$27,0)))))</f>
        <v>46422</v>
      </c>
      <c r="Z271" s="7" t="str">
        <f aca="false">IF(I271="N/A","N/A",IF(N271="","Not tested",IF(W271="Rejected","Evidence rejected",IF(W271&lt;&gt;"Accepted","Evidence pending",IF(Y271&lt;'Residual Config'!$C$4,"Overdue","Current")))))</f>
        <v>Current</v>
      </c>
      <c r="AA271" s="34" t="n">
        <f aca="false">IF(I271="N/A","",IF(Z271&lt;&gt;"Current",4,IF(MAX(M271,T271)=0,4,MAX(M271,T271))))</f>
        <v>2</v>
      </c>
      <c r="AB271" s="7" t="str">
        <f aca="false">IF(AA271="","N/A",IF(Z271&lt;&gt;"Current","Not tested / overdue",INDEX('Residual Config'!$B$11:$B$14,AA271)))</f>
        <v>Largely effective</v>
      </c>
      <c r="AC271" s="36" t="n">
        <f aca="false">IF(AA271="","",INDEX('Residual Config'!$D$11:$D$14,AA271))</f>
        <v>0.4</v>
      </c>
      <c r="AD271" s="7" t="str">
        <f aca="false">IF(OR(I271="N/A",P271="",Q271=""),"",IF(P271&gt;=Q271,"Yes","No"))</f>
        <v>Yes</v>
      </c>
      <c r="AE271" s="8"/>
    </row>
    <row r="272" customFormat="false" ht="15" hidden="false" customHeight="false" outlineLevel="0" collapsed="false">
      <c r="A272" s="12" t="s">
        <v>1397</v>
      </c>
      <c r="B272" s="26" t="str">
        <f aca="false">Entities!$A$11</f>
        <v>PS-INV</v>
      </c>
      <c r="C272" s="12" t="str">
        <f aca="false">INDEX(Entities!$B$5:$B$34,MATCH(B272,Entities!$A$5:$A$34,0))</f>
        <v>Al-Arabi Investment Group – Palestine</v>
      </c>
      <c r="D272" s="7" t="str">
        <f aca="false">INDEX(Entities!$F$5:$F$34,MATCH(B272,Entities!$A$5:$A$34,0))</f>
        <v>Tier 3</v>
      </c>
      <c r="E272" s="26" t="str">
        <f aca="false">'Control Library'!$A$14</f>
        <v>CTL-SAN-02</v>
      </c>
      <c r="F272" s="12" t="str">
        <f aca="false">INDEX('Control Library'!$B$5:$B$47,MATCH(E272,'Control Library'!$A$5:$A$47,0))</f>
        <v>Customer and counterparty screening at onboarding and on list change</v>
      </c>
      <c r="G272" s="7" t="str">
        <f aca="false">INDEX('Control Library'!$F$5:$F$47,MATCH(E272,'Control Library'!$A$5:$A$47,0))</f>
        <v>Y</v>
      </c>
      <c r="H272" s="12" t="str">
        <f aca="false">INDEX('Control Library'!$E$5:$E$47,MATCH(E272,'Control Library'!$A$5:$A$47,0))</f>
        <v>Continuous</v>
      </c>
      <c r="I272" s="7" t="str">
        <f aca="false">IF(INDEX('Control Library'!$I$5:$I$47,MATCH(E272,'Control Library'!$A$5:$A$47,0))="All","Y",IF(INDEX('Control Library'!$I$5:$I$47,MATCH(E272,'Control Library'!$A$5:$A$47,0))="Banks only",IF(COUNTIF('Residual Config'!$L$28:$L$30,INDEX(Entities!$E$5:$E$34,MATCH(B272,Entities!$A$5:$A$34,0)))&gt;0,"N/A","Y"),IF(INDEX(Entities!$G$5:$G$34,MATCH(B272,Entities!$A$5:$A$34,0))="Y","Y","N/A")))</f>
        <v>Y</v>
      </c>
      <c r="J272" s="8" t="s">
        <v>1395</v>
      </c>
      <c r="K272" s="8" t="s">
        <v>1377</v>
      </c>
      <c r="L272" s="7" t="str">
        <f aca="false">IF(OR(J272="",K272=""),"",IF(J272=K272,"Breach","OK"))</f>
        <v>OK</v>
      </c>
      <c r="M272" s="24" t="n">
        <v>2</v>
      </c>
      <c r="N272" s="50" t="n">
        <v>46022</v>
      </c>
      <c r="O272" s="8" t="s">
        <v>547</v>
      </c>
      <c r="P272" s="24" t="n">
        <v>1</v>
      </c>
      <c r="Q272" s="31" t="n">
        <f aca="false">IF(I272="N/A","",IFERROR(INDEX('Residual Config'!$B$35:$B$42,MATCH(H272,'Residual Config'!$A$35:$A$42,0)),""))</f>
        <v>1</v>
      </c>
      <c r="R272" s="24" t="n">
        <v>1</v>
      </c>
      <c r="S272" s="8" t="s">
        <v>524</v>
      </c>
      <c r="T272" s="31" t="n">
        <f aca="false">IF(S272="","",MATCH(S272,'Residual Config'!$L$9:$L$12,0))</f>
        <v>3</v>
      </c>
      <c r="U272" s="8" t="s">
        <v>1398</v>
      </c>
      <c r="V272" s="24" t="n">
        <v>4</v>
      </c>
      <c r="W272" s="33" t="s">
        <v>533</v>
      </c>
      <c r="X272" s="8" t="s">
        <v>760</v>
      </c>
      <c r="Y272" s="51" t="n">
        <f aca="false">IF(N272="","",EDATE(N272,IF(G272="N",INDEX('Residual Config'!$B$31:$D$31,1,MATCH(D272,'Residual Config'!$B$27:$D$27,0)),INDEX('Residual Config'!$B$28:$D$30,IF(T272=1,1,IF(T272=4,3,2)),MATCH(D272,'Residual Config'!$B$27:$D$27,0)))))</f>
        <v>46203</v>
      </c>
      <c r="Z272" s="7" t="str">
        <f aca="false">IF(I272="N/A","N/A",IF(N272="","Not tested",IF(W272="Rejected","Evidence rejected",IF(W272&lt;&gt;"Accepted","Evidence pending",IF(Y272&lt;'Residual Config'!$C$4,"Overdue","Current")))))</f>
        <v>Overdue</v>
      </c>
      <c r="AA272" s="34" t="n">
        <f aca="false">IF(I272="N/A","",IF(Z272&lt;&gt;"Current",4,IF(MAX(M272,T272)=0,4,MAX(M272,T272))))</f>
        <v>4</v>
      </c>
      <c r="AB272" s="7" t="str">
        <f aca="false">IF(AA272="","N/A",IF(Z272&lt;&gt;"Current","Not tested / overdue",INDEX('Residual Config'!$B$11:$B$14,AA272)))</f>
        <v>Not tested / overdue</v>
      </c>
      <c r="AC272" s="36" t="n">
        <f aca="false">IF(AA272="","",INDEX('Residual Config'!$D$11:$D$14,AA272))</f>
        <v>0</v>
      </c>
      <c r="AD272" s="7" t="str">
        <f aca="false">IF(OR(I272="N/A",P272="",Q272=""),"",IF(P272&gt;=Q272,"Yes","No"))</f>
        <v>Yes</v>
      </c>
      <c r="AE272" s="8"/>
    </row>
    <row r="273" customFormat="false" ht="15" hidden="false" customHeight="false" outlineLevel="0" collapsed="false">
      <c r="A273" s="12" t="s">
        <v>1399</v>
      </c>
      <c r="B273" s="26" t="str">
        <f aca="false">Entities!$A$11</f>
        <v>PS-INV</v>
      </c>
      <c r="C273" s="12" t="str">
        <f aca="false">INDEX(Entities!$B$5:$B$34,MATCH(B273,Entities!$A$5:$A$34,0))</f>
        <v>Al-Arabi Investment Group – Palestine</v>
      </c>
      <c r="D273" s="7" t="str">
        <f aca="false">INDEX(Entities!$F$5:$F$34,MATCH(B273,Entities!$A$5:$A$34,0))</f>
        <v>Tier 3</v>
      </c>
      <c r="E273" s="26" t="str">
        <f aca="false">'Control Library'!$A$15</f>
        <v>CTL-SAN-03</v>
      </c>
      <c r="F273" s="12" t="str">
        <f aca="false">INDEX('Control Library'!$B$5:$B$47,MATCH(E273,'Control Library'!$A$5:$A$47,0))</f>
        <v>Sanctions list updates applied within 24 hours</v>
      </c>
      <c r="G273" s="7" t="str">
        <f aca="false">INDEX('Control Library'!$F$5:$F$47,MATCH(E273,'Control Library'!$A$5:$A$47,0))</f>
        <v>N</v>
      </c>
      <c r="H273" s="12" t="str">
        <f aca="false">INDEX('Control Library'!$E$5:$E$47,MATCH(E273,'Control Library'!$A$5:$A$47,0))</f>
        <v>Daily</v>
      </c>
      <c r="I273" s="7" t="str">
        <f aca="false">IF(INDEX('Control Library'!$I$5:$I$47,MATCH(E273,'Control Library'!$A$5:$A$47,0))="All","Y",IF(INDEX('Control Library'!$I$5:$I$47,MATCH(E273,'Control Library'!$A$5:$A$47,0))="Banks only",IF(COUNTIF('Residual Config'!$L$28:$L$30,INDEX(Entities!$E$5:$E$34,MATCH(B273,Entities!$A$5:$A$34,0)))&gt;0,"N/A","Y"),IF(INDEX(Entities!$G$5:$G$34,MATCH(B273,Entities!$A$5:$A$34,0))="Y","Y","N/A")))</f>
        <v>Y</v>
      </c>
      <c r="J273" s="8" t="s">
        <v>1400</v>
      </c>
      <c r="K273" s="8" t="s">
        <v>1377</v>
      </c>
      <c r="L273" s="7" t="str">
        <f aca="false">IF(OR(J273="",K273=""),"",IF(J273=K273,"Breach","OK"))</f>
        <v>OK</v>
      </c>
      <c r="M273" s="24" t="n">
        <v>2</v>
      </c>
      <c r="N273" s="50" t="n">
        <v>46151</v>
      </c>
      <c r="O273" s="8" t="s">
        <v>545</v>
      </c>
      <c r="P273" s="24" t="n">
        <v>25</v>
      </c>
      <c r="Q273" s="31" t="n">
        <f aca="false">IF(I273="N/A","",IFERROR(INDEX('Residual Config'!$B$35:$B$42,MATCH(H273,'Residual Config'!$A$35:$A$42,0)),""))</f>
        <v>25</v>
      </c>
      <c r="R273" s="24" t="n">
        <v>2</v>
      </c>
      <c r="S273" s="8" t="s">
        <v>524</v>
      </c>
      <c r="T273" s="31" t="n">
        <f aca="false">IF(S273="","",MATCH(S273,'Residual Config'!$L$9:$L$12,0))</f>
        <v>3</v>
      </c>
      <c r="U273" s="8" t="s">
        <v>1401</v>
      </c>
      <c r="V273" s="24" t="n">
        <v>5</v>
      </c>
      <c r="W273" s="33" t="s">
        <v>533</v>
      </c>
      <c r="X273" s="8" t="s">
        <v>754</v>
      </c>
      <c r="Y273" s="51" t="n">
        <f aca="false">IF(N273="","",EDATE(N273,IF(G273="N",INDEX('Residual Config'!$B$31:$D$31,1,MATCH(D273,'Residual Config'!$B$27:$D$27,0)),INDEX('Residual Config'!$B$28:$D$30,IF(T273=1,1,IF(T273=4,3,2)),MATCH(D273,'Residual Config'!$B$27:$D$27,0)))))</f>
        <v>46882</v>
      </c>
      <c r="Z273" s="7" t="str">
        <f aca="false">IF(I273="N/A","N/A",IF(N273="","Not tested",IF(W273="Rejected","Evidence rejected",IF(W273&lt;&gt;"Accepted","Evidence pending",IF(Y273&lt;'Residual Config'!$C$4,"Overdue","Current")))))</f>
        <v>Current</v>
      </c>
      <c r="AA273" s="34" t="n">
        <f aca="false">IF(I273="N/A","",IF(Z273&lt;&gt;"Current",4,IF(MAX(M273,T273)=0,4,MAX(M273,T273))))</f>
        <v>3</v>
      </c>
      <c r="AB273" s="7" t="str">
        <f aca="false">IF(AA273="","N/A",IF(Z273&lt;&gt;"Current","Not tested / overdue",INDEX('Residual Config'!$B$11:$B$14,AA273)))</f>
        <v>Partially effective</v>
      </c>
      <c r="AC273" s="36" t="n">
        <f aca="false">IF(AA273="","",INDEX('Residual Config'!$D$11:$D$14,AA273))</f>
        <v>0.2</v>
      </c>
      <c r="AD273" s="7" t="str">
        <f aca="false">IF(OR(I273="N/A",P273="",Q273=""),"",IF(P273&gt;=Q273,"Yes","No"))</f>
        <v>Yes</v>
      </c>
      <c r="AE273" s="8"/>
    </row>
    <row r="274" customFormat="false" ht="15" hidden="false" customHeight="false" outlineLevel="0" collapsed="false">
      <c r="A274" s="12" t="s">
        <v>1402</v>
      </c>
      <c r="B274" s="26" t="str">
        <f aca="false">Entities!$A$11</f>
        <v>PS-INV</v>
      </c>
      <c r="C274" s="12" t="str">
        <f aca="false">INDEX(Entities!$B$5:$B$34,MATCH(B274,Entities!$A$5:$A$34,0))</f>
        <v>Al-Arabi Investment Group – Palestine</v>
      </c>
      <c r="D274" s="7" t="str">
        <f aca="false">INDEX(Entities!$F$5:$F$34,MATCH(B274,Entities!$A$5:$A$34,0))</f>
        <v>Tier 3</v>
      </c>
      <c r="E274" s="26" t="str">
        <f aca="false">'Control Library'!$A$16</f>
        <v>CTL-TF-01</v>
      </c>
      <c r="F274" s="12" t="str">
        <f aca="false">INDEX('Control Library'!$B$5:$B$47,MATCH(E274,'Control Library'!$A$5:$A$47,0))</f>
        <v>NPO and charity enhanced due diligence</v>
      </c>
      <c r="G274" s="7" t="str">
        <f aca="false">INDEX('Control Library'!$F$5:$F$47,MATCH(E274,'Control Library'!$A$5:$A$47,0))</f>
        <v>N</v>
      </c>
      <c r="H274" s="12" t="str">
        <f aca="false">INDEX('Control Library'!$E$5:$E$47,MATCH(E274,'Control Library'!$A$5:$A$47,0))</f>
        <v>Event-driven</v>
      </c>
      <c r="I274" s="7" t="str">
        <f aca="false">IF(INDEX('Control Library'!$I$5:$I$47,MATCH(E274,'Control Library'!$A$5:$A$47,0))="All","Y",IF(INDEX('Control Library'!$I$5:$I$47,MATCH(E274,'Control Library'!$A$5:$A$47,0))="Banks only",IF(COUNTIF('Residual Config'!$L$28:$L$30,INDEX(Entities!$E$5:$E$34,MATCH(B274,Entities!$A$5:$A$34,0)))&gt;0,"N/A","Y"),IF(INDEX(Entities!$G$5:$G$34,MATCH(B274,Entities!$A$5:$A$34,0))="Y","Y","N/A")))</f>
        <v>Y</v>
      </c>
      <c r="J274" s="8" t="s">
        <v>1403</v>
      </c>
      <c r="K274" s="8" t="s">
        <v>1377</v>
      </c>
      <c r="L274" s="7" t="str">
        <f aca="false">IF(OR(J274="",K274=""),"",IF(J274=K274,"Breach","OK"))</f>
        <v>OK</v>
      </c>
      <c r="M274" s="24" t="n">
        <v>1</v>
      </c>
      <c r="N274" s="50" t="n">
        <v>45647</v>
      </c>
      <c r="O274" s="8" t="s">
        <v>546</v>
      </c>
      <c r="P274" s="24" t="n">
        <v>35</v>
      </c>
      <c r="Q274" s="31" t="n">
        <f aca="false">IF(I274="N/A","",IFERROR(INDEX('Residual Config'!$B$35:$B$42,MATCH(H274,'Residual Config'!$A$35:$A$42,0)),""))</f>
        <v>25</v>
      </c>
      <c r="R274" s="24" t="n">
        <v>1</v>
      </c>
      <c r="S274" s="8" t="s">
        <v>521</v>
      </c>
      <c r="T274" s="31" t="n">
        <f aca="false">IF(S274="","",MATCH(S274,'Residual Config'!$L$9:$L$12,0))</f>
        <v>2</v>
      </c>
      <c r="U274" s="8" t="s">
        <v>1404</v>
      </c>
      <c r="V274" s="24" t="n">
        <v>5</v>
      </c>
      <c r="W274" s="33" t="s">
        <v>533</v>
      </c>
      <c r="X274" s="8" t="s">
        <v>754</v>
      </c>
      <c r="Y274" s="51" t="n">
        <f aca="false">IF(N274="","",EDATE(N274,IF(G274="N",INDEX('Residual Config'!$B$31:$D$31,1,MATCH(D274,'Residual Config'!$B$27:$D$27,0)),INDEX('Residual Config'!$B$28:$D$30,IF(T274=1,1,IF(T274=4,3,2)),MATCH(D274,'Residual Config'!$B$27:$D$27,0)))))</f>
        <v>46377</v>
      </c>
      <c r="Z274" s="7" t="str">
        <f aca="false">IF(I274="N/A","N/A",IF(N274="","Not tested",IF(W274="Rejected","Evidence rejected",IF(W274&lt;&gt;"Accepted","Evidence pending",IF(Y274&lt;'Residual Config'!$C$4,"Overdue","Current")))))</f>
        <v>Current</v>
      </c>
      <c r="AA274" s="34" t="n">
        <f aca="false">IF(I274="N/A","",IF(Z274&lt;&gt;"Current",4,IF(MAX(M274,T274)=0,4,MAX(M274,T274))))</f>
        <v>2</v>
      </c>
      <c r="AB274" s="7" t="str">
        <f aca="false">IF(AA274="","N/A",IF(Z274&lt;&gt;"Current","Not tested / overdue",INDEX('Residual Config'!$B$11:$B$14,AA274)))</f>
        <v>Largely effective</v>
      </c>
      <c r="AC274" s="36" t="n">
        <f aca="false">IF(AA274="","",INDEX('Residual Config'!$D$11:$D$14,AA274))</f>
        <v>0.4</v>
      </c>
      <c r="AD274" s="7" t="str">
        <f aca="false">IF(OR(I274="N/A",P274="",Q274=""),"",IF(P274&gt;=Q274,"Yes","No"))</f>
        <v>Yes</v>
      </c>
      <c r="AE274" s="8"/>
    </row>
    <row r="275" customFormat="false" ht="15" hidden="false" customHeight="false" outlineLevel="0" collapsed="false">
      <c r="A275" s="12" t="s">
        <v>1405</v>
      </c>
      <c r="B275" s="26" t="str">
        <f aca="false">Entities!$A$11</f>
        <v>PS-INV</v>
      </c>
      <c r="C275" s="12" t="str">
        <f aca="false">INDEX(Entities!$B$5:$B$34,MATCH(B275,Entities!$A$5:$A$34,0))</f>
        <v>Al-Arabi Investment Group – Palestine</v>
      </c>
      <c r="D275" s="7" t="str">
        <f aca="false">INDEX(Entities!$F$5:$F$34,MATCH(B275,Entities!$A$5:$A$34,0))</f>
        <v>Tier 3</v>
      </c>
      <c r="E275" s="26" t="str">
        <f aca="false">'Control Library'!$A$17</f>
        <v>CTL-TBML-01</v>
      </c>
      <c r="F275" s="12" t="str">
        <f aca="false">INDEX('Control Library'!$B$5:$B$47,MATCH(E275,'Control Library'!$A$5:$A$47,0))</f>
        <v>Trade-based ML red-flag review and pricing checks</v>
      </c>
      <c r="G275" s="7" t="str">
        <f aca="false">INDEX('Control Library'!$F$5:$F$47,MATCH(E275,'Control Library'!$A$5:$A$47,0))</f>
        <v>Y</v>
      </c>
      <c r="H275" s="12" t="str">
        <f aca="false">INDEX('Control Library'!$E$5:$E$47,MATCH(E275,'Control Library'!$A$5:$A$47,0))</f>
        <v>Event-driven</v>
      </c>
      <c r="I275" s="7" t="str">
        <f aca="false">IF(INDEX('Control Library'!$I$5:$I$47,MATCH(E275,'Control Library'!$A$5:$A$47,0))="All","Y",IF(INDEX('Control Library'!$I$5:$I$47,MATCH(E275,'Control Library'!$A$5:$A$47,0))="Banks only",IF(COUNTIF('Residual Config'!$L$28:$L$30,INDEX(Entities!$E$5:$E$34,MATCH(B275,Entities!$A$5:$A$34,0)))&gt;0,"N/A","Y"),IF(INDEX(Entities!$G$5:$G$34,MATCH(B275,Entities!$A$5:$A$34,0))="Y","Y","N/A")))</f>
        <v>N/A</v>
      </c>
      <c r="J275" s="8"/>
      <c r="K275" s="8"/>
      <c r="L275" s="7" t="str">
        <f aca="false">IF(OR(J275="",K275=""),"",IF(J275=K275,"Breach","OK"))</f>
        <v/>
      </c>
      <c r="M275" s="24"/>
      <c r="N275" s="50"/>
      <c r="O275" s="8"/>
      <c r="P275" s="24"/>
      <c r="Q275" s="31" t="str">
        <f aca="false">IF(I275="N/A","",IFERROR(INDEX('Residual Config'!$B$35:$B$42,MATCH(H275,'Residual Config'!$A$35:$A$42,0)),""))</f>
        <v/>
      </c>
      <c r="R275" s="24"/>
      <c r="S275" s="8"/>
      <c r="T275" s="31" t="str">
        <f aca="false">IF(S275="","",MATCH(S275,'Residual Config'!$L$9:$L$12,0))</f>
        <v/>
      </c>
      <c r="U275" s="8"/>
      <c r="V275" s="24"/>
      <c r="W275" s="33"/>
      <c r="X275" s="8"/>
      <c r="Y275" s="51" t="str">
        <f aca="false">IF(N275="","",EDATE(N275,IF(G275="N",INDEX('Residual Config'!$B$31:$D$31,1,MATCH(D275,'Residual Config'!$B$27:$D$27,0)),INDEX('Residual Config'!$B$28:$D$30,IF(T275=1,1,IF(T275=4,3,2)),MATCH(D275,'Residual Config'!$B$27:$D$27,0)))))</f>
        <v/>
      </c>
      <c r="Z275" s="7" t="str">
        <f aca="false">IF(I275="N/A","N/A",IF(N275="","Not tested",IF(W275="Rejected","Evidence rejected",IF(W275&lt;&gt;"Accepted","Evidence pending",IF(Y275&lt;'Residual Config'!$C$4,"Overdue","Current")))))</f>
        <v>N/A</v>
      </c>
      <c r="AA275" s="34" t="str">
        <f aca="false">IF(I275="N/A","",IF(Z275&lt;&gt;"Current",4,IF(MAX(M275,T275)=0,4,MAX(M275,T275))))</f>
        <v/>
      </c>
      <c r="AB275" s="7" t="str">
        <f aca="false">IF(AA275="","N/A",IF(Z275&lt;&gt;"Current","Not tested / overdue",INDEX('Residual Config'!$B$11:$B$14,AA275)))</f>
        <v>N/A</v>
      </c>
      <c r="AC275" s="36" t="str">
        <f aca="false">IF(AA275="","",INDEX('Residual Config'!$D$11:$D$14,AA275))</f>
        <v/>
      </c>
      <c r="AD275" s="7" t="str">
        <f aca="false">IF(OR(I275="N/A",P275="",Q275=""),"",IF(P275&gt;=Q275,"Yes","No"))</f>
        <v/>
      </c>
      <c r="AE275" s="8"/>
    </row>
    <row r="276" customFormat="false" ht="15" hidden="false" customHeight="false" outlineLevel="0" collapsed="false">
      <c r="A276" s="12" t="s">
        <v>1406</v>
      </c>
      <c r="B276" s="26" t="str">
        <f aca="false">Entities!$A$11</f>
        <v>PS-INV</v>
      </c>
      <c r="C276" s="12" t="str">
        <f aca="false">INDEX(Entities!$B$5:$B$34,MATCH(B276,Entities!$A$5:$A$34,0))</f>
        <v>Al-Arabi Investment Group – Palestine</v>
      </c>
      <c r="D276" s="7" t="str">
        <f aca="false">INDEX(Entities!$F$5:$F$34,MATCH(B276,Entities!$A$5:$A$34,0))</f>
        <v>Tier 3</v>
      </c>
      <c r="E276" s="26" t="str">
        <f aca="false">'Control Library'!$A$18</f>
        <v>CTL-PF-01</v>
      </c>
      <c r="F276" s="12" t="str">
        <f aca="false">INDEX('Control Library'!$B$5:$B$47,MATCH(E276,'Control Library'!$A$5:$A$47,0))</f>
        <v>Dual-use goods, vessel and port screening</v>
      </c>
      <c r="G276" s="7" t="str">
        <f aca="false">INDEX('Control Library'!$F$5:$F$47,MATCH(E276,'Control Library'!$A$5:$A$47,0))</f>
        <v>Y</v>
      </c>
      <c r="H276" s="12" t="str">
        <f aca="false">INDEX('Control Library'!$E$5:$E$47,MATCH(E276,'Control Library'!$A$5:$A$47,0))</f>
        <v>Event-driven</v>
      </c>
      <c r="I276" s="7" t="str">
        <f aca="false">IF(INDEX('Control Library'!$I$5:$I$47,MATCH(E276,'Control Library'!$A$5:$A$47,0))="All","Y",IF(INDEX('Control Library'!$I$5:$I$47,MATCH(E276,'Control Library'!$A$5:$A$47,0))="Banks only",IF(COUNTIF('Residual Config'!$L$28:$L$30,INDEX(Entities!$E$5:$E$34,MATCH(B276,Entities!$A$5:$A$34,0)))&gt;0,"N/A","Y"),IF(INDEX(Entities!$G$5:$G$34,MATCH(B276,Entities!$A$5:$A$34,0))="Y","Y","N/A")))</f>
        <v>N/A</v>
      </c>
      <c r="J276" s="8"/>
      <c r="K276" s="8"/>
      <c r="L276" s="7" t="str">
        <f aca="false">IF(OR(J276="",K276=""),"",IF(J276=K276,"Breach","OK"))</f>
        <v/>
      </c>
      <c r="M276" s="24"/>
      <c r="N276" s="50"/>
      <c r="O276" s="8"/>
      <c r="P276" s="24"/>
      <c r="Q276" s="31" t="str">
        <f aca="false">IF(I276="N/A","",IFERROR(INDEX('Residual Config'!$B$35:$B$42,MATCH(H276,'Residual Config'!$A$35:$A$42,0)),""))</f>
        <v/>
      </c>
      <c r="R276" s="24"/>
      <c r="S276" s="8"/>
      <c r="T276" s="31" t="str">
        <f aca="false">IF(S276="","",MATCH(S276,'Residual Config'!$L$9:$L$12,0))</f>
        <v/>
      </c>
      <c r="U276" s="8"/>
      <c r="V276" s="24"/>
      <c r="W276" s="33"/>
      <c r="X276" s="8"/>
      <c r="Y276" s="51" t="str">
        <f aca="false">IF(N276="","",EDATE(N276,IF(G276="N",INDEX('Residual Config'!$B$31:$D$31,1,MATCH(D276,'Residual Config'!$B$27:$D$27,0)),INDEX('Residual Config'!$B$28:$D$30,IF(T276=1,1,IF(T276=4,3,2)),MATCH(D276,'Residual Config'!$B$27:$D$27,0)))))</f>
        <v/>
      </c>
      <c r="Z276" s="7" t="str">
        <f aca="false">IF(I276="N/A","N/A",IF(N276="","Not tested",IF(W276="Rejected","Evidence rejected",IF(W276&lt;&gt;"Accepted","Evidence pending",IF(Y276&lt;'Residual Config'!$C$4,"Overdue","Current")))))</f>
        <v>N/A</v>
      </c>
      <c r="AA276" s="34" t="str">
        <f aca="false">IF(I276="N/A","",IF(Z276&lt;&gt;"Current",4,IF(MAX(M276,T276)=0,4,MAX(M276,T276))))</f>
        <v/>
      </c>
      <c r="AB276" s="7" t="str">
        <f aca="false">IF(AA276="","N/A",IF(Z276&lt;&gt;"Current","Not tested / overdue",INDEX('Residual Config'!$B$11:$B$14,AA276)))</f>
        <v>N/A</v>
      </c>
      <c r="AC276" s="36" t="str">
        <f aca="false">IF(AA276="","",INDEX('Residual Config'!$D$11:$D$14,AA276))</f>
        <v/>
      </c>
      <c r="AD276" s="7" t="str">
        <f aca="false">IF(OR(I276="N/A",P276="",Q276=""),"",IF(P276&gt;=Q276,"Yes","No"))</f>
        <v/>
      </c>
      <c r="AE276" s="8"/>
    </row>
    <row r="277" customFormat="false" ht="15" hidden="false" customHeight="false" outlineLevel="0" collapsed="false">
      <c r="A277" s="12" t="s">
        <v>1407</v>
      </c>
      <c r="B277" s="26" t="str">
        <f aca="false">Entities!$A$11</f>
        <v>PS-INV</v>
      </c>
      <c r="C277" s="12" t="str">
        <f aca="false">INDEX(Entities!$B$5:$B$34,MATCH(B277,Entities!$A$5:$A$34,0))</f>
        <v>Al-Arabi Investment Group – Palestine</v>
      </c>
      <c r="D277" s="7" t="str">
        <f aca="false">INDEX(Entities!$F$5:$F$34,MATCH(B277,Entities!$A$5:$A$34,0))</f>
        <v>Tier 3</v>
      </c>
      <c r="E277" s="26" t="str">
        <f aca="false">'Control Library'!$A$19</f>
        <v>CTL-CB-01</v>
      </c>
      <c r="F277" s="12" t="str">
        <f aca="false">INDEX('Control Library'!$B$5:$B$47,MATCH(E277,'Control Library'!$A$5:$A$47,0))</f>
        <v>Correspondent bank due diligence (CBDDQ) and nesting detection</v>
      </c>
      <c r="G277" s="7" t="str">
        <f aca="false">INDEX('Control Library'!$F$5:$F$47,MATCH(E277,'Control Library'!$A$5:$A$47,0))</f>
        <v>Y</v>
      </c>
      <c r="H277" s="12" t="str">
        <f aca="false">INDEX('Control Library'!$E$5:$E$47,MATCH(E277,'Control Library'!$A$5:$A$47,0))</f>
        <v>Annual</v>
      </c>
      <c r="I277" s="7" t="str">
        <f aca="false">IF(INDEX('Control Library'!$I$5:$I$47,MATCH(E277,'Control Library'!$A$5:$A$47,0))="All","Y",IF(INDEX('Control Library'!$I$5:$I$47,MATCH(E277,'Control Library'!$A$5:$A$47,0))="Banks only",IF(COUNTIF('Residual Config'!$L$28:$L$30,INDEX(Entities!$E$5:$E$34,MATCH(B277,Entities!$A$5:$A$34,0)))&gt;0,"N/A","Y"),IF(INDEX(Entities!$G$5:$G$34,MATCH(B277,Entities!$A$5:$A$34,0))="Y","Y","N/A")))</f>
        <v>N/A</v>
      </c>
      <c r="J277" s="8"/>
      <c r="K277" s="8"/>
      <c r="L277" s="7" t="str">
        <f aca="false">IF(OR(J277="",K277=""),"",IF(J277=K277,"Breach","OK"))</f>
        <v/>
      </c>
      <c r="M277" s="24"/>
      <c r="N277" s="50"/>
      <c r="O277" s="8"/>
      <c r="P277" s="24"/>
      <c r="Q277" s="31" t="str">
        <f aca="false">IF(I277="N/A","",IFERROR(INDEX('Residual Config'!$B$35:$B$42,MATCH(H277,'Residual Config'!$A$35:$A$42,0)),""))</f>
        <v/>
      </c>
      <c r="R277" s="24"/>
      <c r="S277" s="8"/>
      <c r="T277" s="31" t="str">
        <f aca="false">IF(S277="","",MATCH(S277,'Residual Config'!$L$9:$L$12,0))</f>
        <v/>
      </c>
      <c r="U277" s="8"/>
      <c r="V277" s="24"/>
      <c r="W277" s="33"/>
      <c r="X277" s="8"/>
      <c r="Y277" s="51" t="str">
        <f aca="false">IF(N277="","",EDATE(N277,IF(G277="N",INDEX('Residual Config'!$B$31:$D$31,1,MATCH(D277,'Residual Config'!$B$27:$D$27,0)),INDEX('Residual Config'!$B$28:$D$30,IF(T277=1,1,IF(T277=4,3,2)),MATCH(D277,'Residual Config'!$B$27:$D$27,0)))))</f>
        <v/>
      </c>
      <c r="Z277" s="7" t="str">
        <f aca="false">IF(I277="N/A","N/A",IF(N277="","Not tested",IF(W277="Rejected","Evidence rejected",IF(W277&lt;&gt;"Accepted","Evidence pending",IF(Y277&lt;'Residual Config'!$C$4,"Overdue","Current")))))</f>
        <v>N/A</v>
      </c>
      <c r="AA277" s="34" t="str">
        <f aca="false">IF(I277="N/A","",IF(Z277&lt;&gt;"Current",4,IF(MAX(M277,T277)=0,4,MAX(M277,T277))))</f>
        <v/>
      </c>
      <c r="AB277" s="7" t="str">
        <f aca="false">IF(AA277="","N/A",IF(Z277&lt;&gt;"Current","Not tested / overdue",INDEX('Residual Config'!$B$11:$B$14,AA277)))</f>
        <v>N/A</v>
      </c>
      <c r="AC277" s="36" t="str">
        <f aca="false">IF(AA277="","",INDEX('Residual Config'!$D$11:$D$14,AA277))</f>
        <v/>
      </c>
      <c r="AD277" s="7" t="str">
        <f aca="false">IF(OR(I277="N/A",P277="",Q277=""),"",IF(P277&gt;=Q277,"Yes","No"))</f>
        <v/>
      </c>
      <c r="AE277" s="8"/>
    </row>
    <row r="278" customFormat="false" ht="15" hidden="false" customHeight="false" outlineLevel="0" collapsed="false">
      <c r="A278" s="12" t="s">
        <v>1408</v>
      </c>
      <c r="B278" s="26" t="str">
        <f aca="false">Entities!$A$11</f>
        <v>PS-INV</v>
      </c>
      <c r="C278" s="12" t="str">
        <f aca="false">INDEX(Entities!$B$5:$B$34,MATCH(B278,Entities!$A$5:$A$34,0))</f>
        <v>Al-Arabi Investment Group – Palestine</v>
      </c>
      <c r="D278" s="7" t="str">
        <f aca="false">INDEX(Entities!$F$5:$F$34,MATCH(B278,Entities!$A$5:$A$34,0))</f>
        <v>Tier 3</v>
      </c>
      <c r="E278" s="26" t="str">
        <f aca="false">'Control Library'!$A$20</f>
        <v>CTL-PAY-01</v>
      </c>
      <c r="F278" s="12" t="str">
        <f aca="false">INDEX('Control Library'!$B$5:$B$47,MATCH(E278,'Control Library'!$A$5:$A$47,0))</f>
        <v>Payment transparency checks (FATF R.16)</v>
      </c>
      <c r="G278" s="7" t="str">
        <f aca="false">INDEX('Control Library'!$F$5:$F$47,MATCH(E278,'Control Library'!$A$5:$A$47,0))</f>
        <v>N</v>
      </c>
      <c r="H278" s="12" t="str">
        <f aca="false">INDEX('Control Library'!$E$5:$E$47,MATCH(E278,'Control Library'!$A$5:$A$47,0))</f>
        <v>Continuous</v>
      </c>
      <c r="I278" s="7" t="str">
        <f aca="false">IF(INDEX('Control Library'!$I$5:$I$47,MATCH(E278,'Control Library'!$A$5:$A$47,0))="All","Y",IF(INDEX('Control Library'!$I$5:$I$47,MATCH(E278,'Control Library'!$A$5:$A$47,0))="Banks only",IF(COUNTIF('Residual Config'!$L$28:$L$30,INDEX(Entities!$E$5:$E$34,MATCH(B278,Entities!$A$5:$A$34,0)))&gt;0,"N/A","Y"),IF(INDEX(Entities!$G$5:$G$34,MATCH(B278,Entities!$A$5:$A$34,0))="Y","Y","N/A")))</f>
        <v>N/A</v>
      </c>
      <c r="J278" s="8"/>
      <c r="K278" s="8"/>
      <c r="L278" s="7" t="str">
        <f aca="false">IF(OR(J278="",K278=""),"",IF(J278=K278,"Breach","OK"))</f>
        <v/>
      </c>
      <c r="M278" s="24"/>
      <c r="N278" s="50"/>
      <c r="O278" s="8"/>
      <c r="P278" s="24"/>
      <c r="Q278" s="31" t="str">
        <f aca="false">IF(I278="N/A","",IFERROR(INDEX('Residual Config'!$B$35:$B$42,MATCH(H278,'Residual Config'!$A$35:$A$42,0)),""))</f>
        <v/>
      </c>
      <c r="R278" s="24"/>
      <c r="S278" s="8"/>
      <c r="T278" s="31" t="str">
        <f aca="false">IF(S278="","",MATCH(S278,'Residual Config'!$L$9:$L$12,0))</f>
        <v/>
      </c>
      <c r="U278" s="8"/>
      <c r="V278" s="24"/>
      <c r="W278" s="33"/>
      <c r="X278" s="8"/>
      <c r="Y278" s="51" t="str">
        <f aca="false">IF(N278="","",EDATE(N278,IF(G278="N",INDEX('Residual Config'!$B$31:$D$31,1,MATCH(D278,'Residual Config'!$B$27:$D$27,0)),INDEX('Residual Config'!$B$28:$D$30,IF(T278=1,1,IF(T278=4,3,2)),MATCH(D278,'Residual Config'!$B$27:$D$27,0)))))</f>
        <v/>
      </c>
      <c r="Z278" s="7" t="str">
        <f aca="false">IF(I278="N/A","N/A",IF(N278="","Not tested",IF(W278="Rejected","Evidence rejected",IF(W278&lt;&gt;"Accepted","Evidence pending",IF(Y278&lt;'Residual Config'!$C$4,"Overdue","Current")))))</f>
        <v>N/A</v>
      </c>
      <c r="AA278" s="34" t="str">
        <f aca="false">IF(I278="N/A","",IF(Z278&lt;&gt;"Current",4,IF(MAX(M278,T278)=0,4,MAX(M278,T278))))</f>
        <v/>
      </c>
      <c r="AB278" s="7" t="str">
        <f aca="false">IF(AA278="","N/A",IF(Z278&lt;&gt;"Current","Not tested / overdue",INDEX('Residual Config'!$B$11:$B$14,AA278)))</f>
        <v>N/A</v>
      </c>
      <c r="AC278" s="36" t="str">
        <f aca="false">IF(AA278="","",INDEX('Residual Config'!$D$11:$D$14,AA278))</f>
        <v/>
      </c>
      <c r="AD278" s="7" t="str">
        <f aca="false">IF(OR(I278="N/A",P278="",Q278=""),"",IF(P278&gt;=Q278,"Yes","No"))</f>
        <v/>
      </c>
      <c r="AE278" s="8"/>
    </row>
    <row r="279" customFormat="false" ht="15" hidden="false" customHeight="false" outlineLevel="0" collapsed="false">
      <c r="A279" s="12" t="s">
        <v>1409</v>
      </c>
      <c r="B279" s="26" t="str">
        <f aca="false">Entities!$A$11</f>
        <v>PS-INV</v>
      </c>
      <c r="C279" s="12" t="str">
        <f aca="false">INDEX(Entities!$B$5:$B$34,MATCH(B279,Entities!$A$5:$A$34,0))</f>
        <v>Al-Arabi Investment Group – Palestine</v>
      </c>
      <c r="D279" s="7" t="str">
        <f aca="false">INDEX(Entities!$F$5:$F$34,MATCH(B279,Entities!$A$5:$A$34,0))</f>
        <v>Tier 3</v>
      </c>
      <c r="E279" s="26" t="str">
        <f aca="false">'Control Library'!$A$21</f>
        <v>CTL-ABC-01</v>
      </c>
      <c r="F279" s="12" t="str">
        <f aca="false">INDEX('Control Library'!$B$5:$B$47,MATCH(E279,'Control Library'!$A$5:$A$47,0))</f>
        <v>Third-party and intermediary anti-bribery due diligence</v>
      </c>
      <c r="G279" s="7" t="str">
        <f aca="false">INDEX('Control Library'!$F$5:$F$47,MATCH(E279,'Control Library'!$A$5:$A$47,0))</f>
        <v>Y</v>
      </c>
      <c r="H279" s="12" t="str">
        <f aca="false">INDEX('Control Library'!$E$5:$E$47,MATCH(E279,'Control Library'!$A$5:$A$47,0))</f>
        <v>Event-driven</v>
      </c>
      <c r="I279" s="7" t="str">
        <f aca="false">IF(INDEX('Control Library'!$I$5:$I$47,MATCH(E279,'Control Library'!$A$5:$A$47,0))="All","Y",IF(INDEX('Control Library'!$I$5:$I$47,MATCH(E279,'Control Library'!$A$5:$A$47,0))="Banks only",IF(COUNTIF('Residual Config'!$L$28:$L$30,INDEX(Entities!$E$5:$E$34,MATCH(B279,Entities!$A$5:$A$34,0)))&gt;0,"N/A","Y"),IF(INDEX(Entities!$G$5:$G$34,MATCH(B279,Entities!$A$5:$A$34,0))="Y","Y","N/A")))</f>
        <v>Y</v>
      </c>
      <c r="J279" s="8" t="s">
        <v>1410</v>
      </c>
      <c r="K279" s="8" t="s">
        <v>1377</v>
      </c>
      <c r="L279" s="7" t="str">
        <f aca="false">IF(OR(J279="",K279=""),"",IF(J279=K279,"Breach","OK"))</f>
        <v>OK</v>
      </c>
      <c r="M279" s="24" t="n">
        <v>3</v>
      </c>
      <c r="N279" s="50" t="n">
        <v>46133</v>
      </c>
      <c r="O279" s="8" t="s">
        <v>545</v>
      </c>
      <c r="P279" s="24" t="n">
        <v>30</v>
      </c>
      <c r="Q279" s="31" t="n">
        <f aca="false">IF(I279="N/A","",IFERROR(INDEX('Residual Config'!$B$35:$B$42,MATCH(H279,'Residual Config'!$A$35:$A$42,0)),""))</f>
        <v>25</v>
      </c>
      <c r="R279" s="24" t="n">
        <v>2</v>
      </c>
      <c r="S279" s="8" t="s">
        <v>524</v>
      </c>
      <c r="T279" s="31" t="n">
        <f aca="false">IF(S279="","",MATCH(S279,'Residual Config'!$L$9:$L$12,0))</f>
        <v>3</v>
      </c>
      <c r="U279" s="8" t="s">
        <v>1411</v>
      </c>
      <c r="V279" s="24" t="n">
        <v>1</v>
      </c>
      <c r="W279" s="33" t="s">
        <v>533</v>
      </c>
      <c r="X279" s="8" t="s">
        <v>760</v>
      </c>
      <c r="Y279" s="51" t="n">
        <f aca="false">IF(N279="","",EDATE(N279,IF(G279="N",INDEX('Residual Config'!$B$31:$D$31,1,MATCH(D279,'Residual Config'!$B$27:$D$27,0)),INDEX('Residual Config'!$B$28:$D$30,IF(T279=1,1,IF(T279=4,3,2)),MATCH(D279,'Residual Config'!$B$27:$D$27,0)))))</f>
        <v>46316</v>
      </c>
      <c r="Z279" s="7" t="str">
        <f aca="false">IF(I279="N/A","N/A",IF(N279="","Not tested",IF(W279="Rejected","Evidence rejected",IF(W279&lt;&gt;"Accepted","Evidence pending",IF(Y279&lt;'Residual Config'!$C$4,"Overdue","Current")))))</f>
        <v>Current</v>
      </c>
      <c r="AA279" s="34" t="n">
        <f aca="false">IF(I279="N/A","",IF(Z279&lt;&gt;"Current",4,IF(MAX(M279,T279)=0,4,MAX(M279,T279))))</f>
        <v>3</v>
      </c>
      <c r="AB279" s="7" t="str">
        <f aca="false">IF(AA279="","N/A",IF(Z279&lt;&gt;"Current","Not tested / overdue",INDEX('Residual Config'!$B$11:$B$14,AA279)))</f>
        <v>Partially effective</v>
      </c>
      <c r="AC279" s="36" t="n">
        <f aca="false">IF(AA279="","",INDEX('Residual Config'!$D$11:$D$14,AA279))</f>
        <v>0.2</v>
      </c>
      <c r="AD279" s="7" t="str">
        <f aca="false">IF(OR(I279="N/A",P279="",Q279=""),"",IF(P279&gt;=Q279,"Yes","No"))</f>
        <v>Yes</v>
      </c>
      <c r="AE279" s="8"/>
    </row>
    <row r="280" customFormat="false" ht="15" hidden="false" customHeight="false" outlineLevel="0" collapsed="false">
      <c r="A280" s="12" t="s">
        <v>1412</v>
      </c>
      <c r="B280" s="26" t="str">
        <f aca="false">Entities!$A$11</f>
        <v>PS-INV</v>
      </c>
      <c r="C280" s="12" t="str">
        <f aca="false">INDEX(Entities!$B$5:$B$34,MATCH(B280,Entities!$A$5:$A$34,0))</f>
        <v>Al-Arabi Investment Group – Palestine</v>
      </c>
      <c r="D280" s="7" t="str">
        <f aca="false">INDEX(Entities!$F$5:$F$34,MATCH(B280,Entities!$A$5:$A$34,0))</f>
        <v>Tier 3</v>
      </c>
      <c r="E280" s="26" t="str">
        <f aca="false">'Control Library'!$A$22</f>
        <v>CTL-ABC-02</v>
      </c>
      <c r="F280" s="12" t="str">
        <f aca="false">INDEX('Control Library'!$B$5:$B$47,MATCH(E280,'Control Library'!$A$5:$A$47,0))</f>
        <v>Gifts, hospitality and donations register with pre-approval</v>
      </c>
      <c r="G280" s="7" t="str">
        <f aca="false">INDEX('Control Library'!$F$5:$F$47,MATCH(E280,'Control Library'!$A$5:$A$47,0))</f>
        <v>N</v>
      </c>
      <c r="H280" s="12" t="str">
        <f aca="false">INDEX('Control Library'!$E$5:$E$47,MATCH(E280,'Control Library'!$A$5:$A$47,0))</f>
        <v>Event-driven</v>
      </c>
      <c r="I280" s="7" t="str">
        <f aca="false">IF(INDEX('Control Library'!$I$5:$I$47,MATCH(E280,'Control Library'!$A$5:$A$47,0))="All","Y",IF(INDEX('Control Library'!$I$5:$I$47,MATCH(E280,'Control Library'!$A$5:$A$47,0))="Banks only",IF(COUNTIF('Residual Config'!$L$28:$L$30,INDEX(Entities!$E$5:$E$34,MATCH(B280,Entities!$A$5:$A$34,0)))&gt;0,"N/A","Y"),IF(INDEX(Entities!$G$5:$G$34,MATCH(B280,Entities!$A$5:$A$34,0))="Y","Y","N/A")))</f>
        <v>Y</v>
      </c>
      <c r="J280" s="8" t="s">
        <v>1380</v>
      </c>
      <c r="K280" s="8" t="s">
        <v>1377</v>
      </c>
      <c r="L280" s="7" t="str">
        <f aca="false">IF(OR(J280="",K280=""),"",IF(J280=K280,"Breach","OK"))</f>
        <v>OK</v>
      </c>
      <c r="M280" s="24" t="n">
        <v>1</v>
      </c>
      <c r="N280" s="50" t="n">
        <v>45505</v>
      </c>
      <c r="O280" s="8" t="s">
        <v>545</v>
      </c>
      <c r="P280" s="24" t="n">
        <v>30</v>
      </c>
      <c r="Q280" s="31" t="n">
        <f aca="false">IF(I280="N/A","",IFERROR(INDEX('Residual Config'!$B$35:$B$42,MATCH(H280,'Residual Config'!$A$35:$A$42,0)),""))</f>
        <v>25</v>
      </c>
      <c r="R280" s="24" t="n">
        <v>3</v>
      </c>
      <c r="S280" s="8" t="s">
        <v>524</v>
      </c>
      <c r="T280" s="31" t="n">
        <f aca="false">IF(S280="","",MATCH(S280,'Residual Config'!$L$9:$L$12,0))</f>
        <v>3</v>
      </c>
      <c r="U280" s="8" t="s">
        <v>1413</v>
      </c>
      <c r="V280" s="24" t="n">
        <v>3</v>
      </c>
      <c r="W280" s="33" t="s">
        <v>533</v>
      </c>
      <c r="X280" s="8" t="s">
        <v>754</v>
      </c>
      <c r="Y280" s="51" t="n">
        <f aca="false">IF(N280="","",EDATE(N280,IF(G280="N",INDEX('Residual Config'!$B$31:$D$31,1,MATCH(D280,'Residual Config'!$B$27:$D$27,0)),INDEX('Residual Config'!$B$28:$D$30,IF(T280=1,1,IF(T280=4,3,2)),MATCH(D280,'Residual Config'!$B$27:$D$27,0)))))</f>
        <v>46235</v>
      </c>
      <c r="Z280" s="7" t="str">
        <f aca="false">IF(I280="N/A","N/A",IF(N280="","Not tested",IF(W280="Rejected","Evidence rejected",IF(W280&lt;&gt;"Accepted","Evidence pending",IF(Y280&lt;'Residual Config'!$C$4,"Overdue","Current")))))</f>
        <v>Overdue</v>
      </c>
      <c r="AA280" s="34" t="n">
        <f aca="false">IF(I280="N/A","",IF(Z280&lt;&gt;"Current",4,IF(MAX(M280,T280)=0,4,MAX(M280,T280))))</f>
        <v>4</v>
      </c>
      <c r="AB280" s="7" t="str">
        <f aca="false">IF(AA280="","N/A",IF(Z280&lt;&gt;"Current","Not tested / overdue",INDEX('Residual Config'!$B$11:$B$14,AA280)))</f>
        <v>Not tested / overdue</v>
      </c>
      <c r="AC280" s="36" t="n">
        <f aca="false">IF(AA280="","",INDEX('Residual Config'!$D$11:$D$14,AA280))</f>
        <v>0</v>
      </c>
      <c r="AD280" s="7" t="str">
        <f aca="false">IF(OR(I280="N/A",P280="",Q280=""),"",IF(P280&gt;=Q280,"Yes","No"))</f>
        <v>Yes</v>
      </c>
      <c r="AE280" s="8"/>
    </row>
    <row r="281" customFormat="false" ht="15" hidden="false" customHeight="false" outlineLevel="0" collapsed="false">
      <c r="A281" s="12" t="s">
        <v>1414</v>
      </c>
      <c r="B281" s="26" t="str">
        <f aca="false">Entities!$A$11</f>
        <v>PS-INV</v>
      </c>
      <c r="C281" s="12" t="str">
        <f aca="false">INDEX(Entities!$B$5:$B$34,MATCH(B281,Entities!$A$5:$A$34,0))</f>
        <v>Al-Arabi Investment Group – Palestine</v>
      </c>
      <c r="D281" s="7" t="str">
        <f aca="false">INDEX(Entities!$F$5:$F$34,MATCH(B281,Entities!$A$5:$A$34,0))</f>
        <v>Tier 3</v>
      </c>
      <c r="E281" s="26" t="str">
        <f aca="false">'Control Library'!$A$23</f>
        <v>CTL-FRD-01</v>
      </c>
      <c r="F281" s="12" t="str">
        <f aca="false">INDEX('Control Library'!$B$5:$B$47,MATCH(E281,'Control Library'!$A$5:$A$47,0))</f>
        <v>Real-time fraud monitoring for cards and digital channels</v>
      </c>
      <c r="G281" s="7" t="str">
        <f aca="false">INDEX('Control Library'!$F$5:$F$47,MATCH(E281,'Control Library'!$A$5:$A$47,0))</f>
        <v>Y</v>
      </c>
      <c r="H281" s="12" t="str">
        <f aca="false">INDEX('Control Library'!$E$5:$E$47,MATCH(E281,'Control Library'!$A$5:$A$47,0))</f>
        <v>Continuous</v>
      </c>
      <c r="I281" s="7" t="str">
        <f aca="false">IF(INDEX('Control Library'!$I$5:$I$47,MATCH(E281,'Control Library'!$A$5:$A$47,0))="All","Y",IF(INDEX('Control Library'!$I$5:$I$47,MATCH(E281,'Control Library'!$A$5:$A$47,0))="Banks only",IF(COUNTIF('Residual Config'!$L$28:$L$30,INDEX(Entities!$E$5:$E$34,MATCH(B281,Entities!$A$5:$A$34,0)))&gt;0,"N/A","Y"),IF(INDEX(Entities!$G$5:$G$34,MATCH(B281,Entities!$A$5:$A$34,0))="Y","Y","N/A")))</f>
        <v>N/A</v>
      </c>
      <c r="J281" s="8"/>
      <c r="K281" s="8"/>
      <c r="L281" s="7" t="str">
        <f aca="false">IF(OR(J281="",K281=""),"",IF(J281=K281,"Breach","OK"))</f>
        <v/>
      </c>
      <c r="M281" s="24"/>
      <c r="N281" s="50"/>
      <c r="O281" s="8"/>
      <c r="P281" s="24"/>
      <c r="Q281" s="31" t="str">
        <f aca="false">IF(I281="N/A","",IFERROR(INDEX('Residual Config'!$B$35:$B$42,MATCH(H281,'Residual Config'!$A$35:$A$42,0)),""))</f>
        <v/>
      </c>
      <c r="R281" s="24"/>
      <c r="S281" s="8"/>
      <c r="T281" s="31" t="str">
        <f aca="false">IF(S281="","",MATCH(S281,'Residual Config'!$L$9:$L$12,0))</f>
        <v/>
      </c>
      <c r="U281" s="8"/>
      <c r="V281" s="24"/>
      <c r="W281" s="33"/>
      <c r="X281" s="8"/>
      <c r="Y281" s="51" t="str">
        <f aca="false">IF(N281="","",EDATE(N281,IF(G281="N",INDEX('Residual Config'!$B$31:$D$31,1,MATCH(D281,'Residual Config'!$B$27:$D$27,0)),INDEX('Residual Config'!$B$28:$D$30,IF(T281=1,1,IF(T281=4,3,2)),MATCH(D281,'Residual Config'!$B$27:$D$27,0)))))</f>
        <v/>
      </c>
      <c r="Z281" s="7" t="str">
        <f aca="false">IF(I281="N/A","N/A",IF(N281="","Not tested",IF(W281="Rejected","Evidence rejected",IF(W281&lt;&gt;"Accepted","Evidence pending",IF(Y281&lt;'Residual Config'!$C$4,"Overdue","Current")))))</f>
        <v>N/A</v>
      </c>
      <c r="AA281" s="34" t="str">
        <f aca="false">IF(I281="N/A","",IF(Z281&lt;&gt;"Current",4,IF(MAX(M281,T281)=0,4,MAX(M281,T281))))</f>
        <v/>
      </c>
      <c r="AB281" s="7" t="str">
        <f aca="false">IF(AA281="","N/A",IF(Z281&lt;&gt;"Current","Not tested / overdue",INDEX('Residual Config'!$B$11:$B$14,AA281)))</f>
        <v>N/A</v>
      </c>
      <c r="AC281" s="36" t="str">
        <f aca="false">IF(AA281="","",INDEX('Residual Config'!$D$11:$D$14,AA281))</f>
        <v/>
      </c>
      <c r="AD281" s="7" t="str">
        <f aca="false">IF(OR(I281="N/A",P281="",Q281=""),"",IF(P281&gt;=Q281,"Yes","No"))</f>
        <v/>
      </c>
      <c r="AE281" s="8"/>
    </row>
    <row r="282" customFormat="false" ht="15" hidden="false" customHeight="false" outlineLevel="0" collapsed="false">
      <c r="A282" s="12" t="s">
        <v>1415</v>
      </c>
      <c r="B282" s="26" t="str">
        <f aca="false">Entities!$A$11</f>
        <v>PS-INV</v>
      </c>
      <c r="C282" s="12" t="str">
        <f aca="false">INDEX(Entities!$B$5:$B$34,MATCH(B282,Entities!$A$5:$A$34,0))</f>
        <v>Al-Arabi Investment Group – Palestine</v>
      </c>
      <c r="D282" s="7" t="str">
        <f aca="false">INDEX(Entities!$F$5:$F$34,MATCH(B282,Entities!$A$5:$A$34,0))</f>
        <v>Tier 3</v>
      </c>
      <c r="E282" s="26" t="str">
        <f aca="false">'Control Library'!$A$24</f>
        <v>CTL-FRD-02</v>
      </c>
      <c r="F282" s="12" t="str">
        <f aca="false">INDEX('Control Library'!$B$5:$B$47,MATCH(E282,'Control Library'!$A$5:$A$47,0))</f>
        <v>Maker-checker and dual control on payments and static data</v>
      </c>
      <c r="G282" s="7" t="str">
        <f aca="false">INDEX('Control Library'!$F$5:$F$47,MATCH(E282,'Control Library'!$A$5:$A$47,0))</f>
        <v>Y</v>
      </c>
      <c r="H282" s="12" t="str">
        <f aca="false">INDEX('Control Library'!$E$5:$E$47,MATCH(E282,'Control Library'!$A$5:$A$47,0))</f>
        <v>Daily</v>
      </c>
      <c r="I282" s="7" t="str">
        <f aca="false">IF(INDEX('Control Library'!$I$5:$I$47,MATCH(E282,'Control Library'!$A$5:$A$47,0))="All","Y",IF(INDEX('Control Library'!$I$5:$I$47,MATCH(E282,'Control Library'!$A$5:$A$47,0))="Banks only",IF(COUNTIF('Residual Config'!$L$28:$L$30,INDEX(Entities!$E$5:$E$34,MATCH(B282,Entities!$A$5:$A$34,0)))&gt;0,"N/A","Y"),IF(INDEX(Entities!$G$5:$G$34,MATCH(B282,Entities!$A$5:$A$34,0))="Y","Y","N/A")))</f>
        <v>Y</v>
      </c>
      <c r="J282" s="8" t="s">
        <v>1376</v>
      </c>
      <c r="K282" s="8" t="s">
        <v>1377</v>
      </c>
      <c r="L282" s="7" t="str">
        <f aca="false">IF(OR(J282="",K282=""),"",IF(J282=K282,"Breach","OK"))</f>
        <v>OK</v>
      </c>
      <c r="M282" s="24" t="n">
        <v>1</v>
      </c>
      <c r="N282" s="50" t="n">
        <v>46215</v>
      </c>
      <c r="O282" s="8" t="s">
        <v>545</v>
      </c>
      <c r="P282" s="24" t="n">
        <v>25</v>
      </c>
      <c r="Q282" s="31" t="n">
        <f aca="false">IF(I282="N/A","",IFERROR(INDEX('Residual Config'!$B$35:$B$42,MATCH(H282,'Residual Config'!$A$35:$A$42,0)),""))</f>
        <v>25</v>
      </c>
      <c r="R282" s="24" t="n">
        <v>1</v>
      </c>
      <c r="S282" s="8" t="s">
        <v>521</v>
      </c>
      <c r="T282" s="31" t="n">
        <f aca="false">IF(S282="","",MATCH(S282,'Residual Config'!$L$9:$L$12,0))</f>
        <v>2</v>
      </c>
      <c r="U282" s="8" t="s">
        <v>1416</v>
      </c>
      <c r="V282" s="24" t="n">
        <v>6</v>
      </c>
      <c r="W282" s="33" t="s">
        <v>533</v>
      </c>
      <c r="X282" s="8" t="s">
        <v>760</v>
      </c>
      <c r="Y282" s="51" t="n">
        <f aca="false">IF(N282="","",EDATE(N282,IF(G282="N",INDEX('Residual Config'!$B$31:$D$31,1,MATCH(D282,'Residual Config'!$B$27:$D$27,0)),INDEX('Residual Config'!$B$28:$D$30,IF(T282=1,1,IF(T282=4,3,2)),MATCH(D282,'Residual Config'!$B$27:$D$27,0)))))</f>
        <v>46399</v>
      </c>
      <c r="Z282" s="7" t="str">
        <f aca="false">IF(I282="N/A","N/A",IF(N282="","Not tested",IF(W282="Rejected","Evidence rejected",IF(W282&lt;&gt;"Accepted","Evidence pending",IF(Y282&lt;'Residual Config'!$C$4,"Overdue","Current")))))</f>
        <v>Current</v>
      </c>
      <c r="AA282" s="34" t="n">
        <f aca="false">IF(I282="N/A","",IF(Z282&lt;&gt;"Current",4,IF(MAX(M282,T282)=0,4,MAX(M282,T282))))</f>
        <v>2</v>
      </c>
      <c r="AB282" s="7" t="str">
        <f aca="false">IF(AA282="","N/A",IF(Z282&lt;&gt;"Current","Not tested / overdue",INDEX('Residual Config'!$B$11:$B$14,AA282)))</f>
        <v>Largely effective</v>
      </c>
      <c r="AC282" s="36" t="n">
        <f aca="false">IF(AA282="","",INDEX('Residual Config'!$D$11:$D$14,AA282))</f>
        <v>0.4</v>
      </c>
      <c r="AD282" s="7" t="str">
        <f aca="false">IF(OR(I282="N/A",P282="",Q282=""),"",IF(P282&gt;=Q282,"Yes","No"))</f>
        <v>Yes</v>
      </c>
      <c r="AE282" s="8"/>
    </row>
    <row r="283" customFormat="false" ht="15" hidden="false" customHeight="false" outlineLevel="0" collapsed="false">
      <c r="A283" s="12" t="s">
        <v>1417</v>
      </c>
      <c r="B283" s="26" t="str">
        <f aca="false">Entities!$A$11</f>
        <v>PS-INV</v>
      </c>
      <c r="C283" s="12" t="str">
        <f aca="false">INDEX(Entities!$B$5:$B$34,MATCH(B283,Entities!$A$5:$A$34,0))</f>
        <v>Al-Arabi Investment Group – Palestine</v>
      </c>
      <c r="D283" s="7" t="str">
        <f aca="false">INDEX(Entities!$F$5:$F$34,MATCH(B283,Entities!$A$5:$A$34,0))</f>
        <v>Tier 3</v>
      </c>
      <c r="E283" s="26" t="str">
        <f aca="false">'Control Library'!$A$25</f>
        <v>CTL-FRD-03</v>
      </c>
      <c r="F283" s="12" t="str">
        <f aca="false">INDEX('Control Library'!$B$5:$B$47,MATCH(E283,'Control Library'!$A$5:$A$47,0))</f>
        <v>Mandatory consecutive leave and rotation for sensitive roles</v>
      </c>
      <c r="G283" s="7" t="str">
        <f aca="false">INDEX('Control Library'!$F$5:$F$47,MATCH(E283,'Control Library'!$A$5:$A$47,0))</f>
        <v>N</v>
      </c>
      <c r="H283" s="12" t="str">
        <f aca="false">INDEX('Control Library'!$E$5:$E$47,MATCH(E283,'Control Library'!$A$5:$A$47,0))</f>
        <v>Annual</v>
      </c>
      <c r="I283" s="7" t="str">
        <f aca="false">IF(INDEX('Control Library'!$I$5:$I$47,MATCH(E283,'Control Library'!$A$5:$A$47,0))="All","Y",IF(INDEX('Control Library'!$I$5:$I$47,MATCH(E283,'Control Library'!$A$5:$A$47,0))="Banks only",IF(COUNTIF('Residual Config'!$L$28:$L$30,INDEX(Entities!$E$5:$E$34,MATCH(B283,Entities!$A$5:$A$34,0)))&gt;0,"N/A","Y"),IF(INDEX(Entities!$G$5:$G$34,MATCH(B283,Entities!$A$5:$A$34,0))="Y","Y","N/A")))</f>
        <v>Y</v>
      </c>
      <c r="J283" s="8" t="s">
        <v>1418</v>
      </c>
      <c r="K283" s="8" t="s">
        <v>1377</v>
      </c>
      <c r="L283" s="7" t="str">
        <f aca="false">IF(OR(J283="",K283=""),"",IF(J283=K283,"Breach","OK"))</f>
        <v>OK</v>
      </c>
      <c r="M283" s="24" t="n">
        <v>2</v>
      </c>
      <c r="N283" s="50" t="n">
        <v>46284</v>
      </c>
      <c r="O283" s="8" t="s">
        <v>546</v>
      </c>
      <c r="P283" s="24" t="n">
        <v>1</v>
      </c>
      <c r="Q283" s="31" t="n">
        <f aca="false">IF(I283="N/A","",IFERROR(INDEX('Residual Config'!$B$35:$B$42,MATCH(H283,'Residual Config'!$A$35:$A$42,0)),""))</f>
        <v>1</v>
      </c>
      <c r="R283" s="24" t="n">
        <v>1</v>
      </c>
      <c r="S283" s="8" t="s">
        <v>524</v>
      </c>
      <c r="T283" s="31" t="n">
        <f aca="false">IF(S283="","",MATCH(S283,'Residual Config'!$L$9:$L$12,0))</f>
        <v>3</v>
      </c>
      <c r="U283" s="8" t="s">
        <v>1419</v>
      </c>
      <c r="V283" s="24" t="n">
        <v>1</v>
      </c>
      <c r="W283" s="33" t="s">
        <v>533</v>
      </c>
      <c r="X283" s="8" t="s">
        <v>760</v>
      </c>
      <c r="Y283" s="51" t="n">
        <f aca="false">IF(N283="","",EDATE(N283,IF(G283="N",INDEX('Residual Config'!$B$31:$D$31,1,MATCH(D283,'Residual Config'!$B$27:$D$27,0)),INDEX('Residual Config'!$B$28:$D$30,IF(T283=1,1,IF(T283=4,3,2)),MATCH(D283,'Residual Config'!$B$27:$D$27,0)))))</f>
        <v>47015</v>
      </c>
      <c r="Z283" s="7" t="str">
        <f aca="false">IF(I283="N/A","N/A",IF(N283="","Not tested",IF(W283="Rejected","Evidence rejected",IF(W283&lt;&gt;"Accepted","Evidence pending",IF(Y283&lt;'Residual Config'!$C$4,"Overdue","Current")))))</f>
        <v>Current</v>
      </c>
      <c r="AA283" s="34" t="n">
        <f aca="false">IF(I283="N/A","",IF(Z283&lt;&gt;"Current",4,IF(MAX(M283,T283)=0,4,MAX(M283,T283))))</f>
        <v>3</v>
      </c>
      <c r="AB283" s="7" t="str">
        <f aca="false">IF(AA283="","N/A",IF(Z283&lt;&gt;"Current","Not tested / overdue",INDEX('Residual Config'!$B$11:$B$14,AA283)))</f>
        <v>Partially effective</v>
      </c>
      <c r="AC283" s="36" t="n">
        <f aca="false">IF(AA283="","",INDEX('Residual Config'!$D$11:$D$14,AA283))</f>
        <v>0.2</v>
      </c>
      <c r="AD283" s="7" t="str">
        <f aca="false">IF(OR(I283="N/A",P283="",Q283=""),"",IF(P283&gt;=Q283,"Yes","No"))</f>
        <v>Yes</v>
      </c>
      <c r="AE283" s="8"/>
    </row>
    <row r="284" customFormat="false" ht="15" hidden="false" customHeight="false" outlineLevel="0" collapsed="false">
      <c r="A284" s="12" t="s">
        <v>1420</v>
      </c>
      <c r="B284" s="26" t="str">
        <f aca="false">Entities!$A$11</f>
        <v>PS-INV</v>
      </c>
      <c r="C284" s="12" t="str">
        <f aca="false">INDEX(Entities!$B$5:$B$34,MATCH(B284,Entities!$A$5:$A$34,0))</f>
        <v>Al-Arabi Investment Group – Palestine</v>
      </c>
      <c r="D284" s="7" t="str">
        <f aca="false">INDEX(Entities!$F$5:$F$34,MATCH(B284,Entities!$A$5:$A$34,0))</f>
        <v>Tier 3</v>
      </c>
      <c r="E284" s="26" t="str">
        <f aca="false">'Control Library'!$A$26</f>
        <v>CTL-TAX-01</v>
      </c>
      <c r="F284" s="12" t="str">
        <f aca="false">INDEX('Control Library'!$B$5:$B$47,MATCH(E284,'Control Library'!$A$5:$A$47,0))</f>
        <v>FATCA/CRS self-certification and classification</v>
      </c>
      <c r="G284" s="7" t="str">
        <f aca="false">INDEX('Control Library'!$F$5:$F$47,MATCH(E284,'Control Library'!$A$5:$A$47,0))</f>
        <v>Y</v>
      </c>
      <c r="H284" s="12" t="str">
        <f aca="false">INDEX('Control Library'!$E$5:$E$47,MATCH(E284,'Control Library'!$A$5:$A$47,0))</f>
        <v>Event-driven</v>
      </c>
      <c r="I284" s="7" t="str">
        <f aca="false">IF(INDEX('Control Library'!$I$5:$I$47,MATCH(E284,'Control Library'!$A$5:$A$47,0))="All","Y",IF(INDEX('Control Library'!$I$5:$I$47,MATCH(E284,'Control Library'!$A$5:$A$47,0))="Banks only",IF(COUNTIF('Residual Config'!$L$28:$L$30,INDEX(Entities!$E$5:$E$34,MATCH(B284,Entities!$A$5:$A$34,0)))&gt;0,"N/A","Y"),IF(INDEX(Entities!$G$5:$G$34,MATCH(B284,Entities!$A$5:$A$34,0))="Y","Y","N/A")))</f>
        <v>Y</v>
      </c>
      <c r="J284" s="8" t="s">
        <v>1376</v>
      </c>
      <c r="K284" s="8" t="s">
        <v>1377</v>
      </c>
      <c r="L284" s="7" t="str">
        <f aca="false">IF(OR(J284="",K284=""),"",IF(J284=K284,"Breach","OK"))</f>
        <v>OK</v>
      </c>
      <c r="M284" s="24" t="n">
        <v>3</v>
      </c>
      <c r="N284" s="50" t="n">
        <v>46197</v>
      </c>
      <c r="O284" s="8" t="s">
        <v>545</v>
      </c>
      <c r="P284" s="24" t="n">
        <v>25</v>
      </c>
      <c r="Q284" s="31" t="n">
        <f aca="false">IF(I284="N/A","",IFERROR(INDEX('Residual Config'!$B$35:$B$42,MATCH(H284,'Residual Config'!$A$35:$A$42,0)),""))</f>
        <v>25</v>
      </c>
      <c r="R284" s="24" t="n">
        <v>1</v>
      </c>
      <c r="S284" s="8" t="s">
        <v>521</v>
      </c>
      <c r="T284" s="31" t="n">
        <f aca="false">IF(S284="","",MATCH(S284,'Residual Config'!$L$9:$L$12,0))</f>
        <v>2</v>
      </c>
      <c r="U284" s="8" t="s">
        <v>1421</v>
      </c>
      <c r="V284" s="24" t="n">
        <v>3</v>
      </c>
      <c r="W284" s="33" t="s">
        <v>533</v>
      </c>
      <c r="X284" s="8" t="s">
        <v>760</v>
      </c>
      <c r="Y284" s="51" t="n">
        <f aca="false">IF(N284="","",EDATE(N284,IF(G284="N",INDEX('Residual Config'!$B$31:$D$31,1,MATCH(D284,'Residual Config'!$B$27:$D$27,0)),INDEX('Residual Config'!$B$28:$D$30,IF(T284=1,1,IF(T284=4,3,2)),MATCH(D284,'Residual Config'!$B$27:$D$27,0)))))</f>
        <v>46380</v>
      </c>
      <c r="Z284" s="7" t="str">
        <f aca="false">IF(I284="N/A","N/A",IF(N284="","Not tested",IF(W284="Rejected","Evidence rejected",IF(W284&lt;&gt;"Accepted","Evidence pending",IF(Y284&lt;'Residual Config'!$C$4,"Overdue","Current")))))</f>
        <v>Current</v>
      </c>
      <c r="AA284" s="34" t="n">
        <f aca="false">IF(I284="N/A","",IF(Z284&lt;&gt;"Current",4,IF(MAX(M284,T284)=0,4,MAX(M284,T284))))</f>
        <v>3</v>
      </c>
      <c r="AB284" s="7" t="str">
        <f aca="false">IF(AA284="","N/A",IF(Z284&lt;&gt;"Current","Not tested / overdue",INDEX('Residual Config'!$B$11:$B$14,AA284)))</f>
        <v>Partially effective</v>
      </c>
      <c r="AC284" s="36" t="n">
        <f aca="false">IF(AA284="","",INDEX('Residual Config'!$D$11:$D$14,AA284))</f>
        <v>0.2</v>
      </c>
      <c r="AD284" s="7" t="str">
        <f aca="false">IF(OR(I284="N/A",P284="",Q284=""),"",IF(P284&gt;=Q284,"Yes","No"))</f>
        <v>Yes</v>
      </c>
      <c r="AE284" s="8"/>
    </row>
    <row r="285" customFormat="false" ht="15" hidden="false" customHeight="false" outlineLevel="0" collapsed="false">
      <c r="A285" s="12" t="s">
        <v>1422</v>
      </c>
      <c r="B285" s="26" t="str">
        <f aca="false">Entities!$A$11</f>
        <v>PS-INV</v>
      </c>
      <c r="C285" s="12" t="str">
        <f aca="false">INDEX(Entities!$B$5:$B$34,MATCH(B285,Entities!$A$5:$A$34,0))</f>
        <v>Al-Arabi Investment Group – Palestine</v>
      </c>
      <c r="D285" s="7" t="str">
        <f aca="false">INDEX(Entities!$F$5:$F$34,MATCH(B285,Entities!$A$5:$A$34,0))</f>
        <v>Tier 3</v>
      </c>
      <c r="E285" s="26" t="str">
        <f aca="false">'Control Library'!$A$27</f>
        <v>CTL-TAX-02</v>
      </c>
      <c r="F285" s="12" t="str">
        <f aca="false">INDEX('Control Library'!$B$5:$B$47,MATCH(E285,'Control Library'!$A$5:$A$47,0))</f>
        <v>FATCA/CRS reporting reconciliation and timely filing</v>
      </c>
      <c r="G285" s="7" t="str">
        <f aca="false">INDEX('Control Library'!$F$5:$F$47,MATCH(E285,'Control Library'!$A$5:$A$47,0))</f>
        <v>N</v>
      </c>
      <c r="H285" s="12" t="str">
        <f aca="false">INDEX('Control Library'!$E$5:$E$47,MATCH(E285,'Control Library'!$A$5:$A$47,0))</f>
        <v>Annual</v>
      </c>
      <c r="I285" s="7" t="str">
        <f aca="false">IF(INDEX('Control Library'!$I$5:$I$47,MATCH(E285,'Control Library'!$A$5:$A$47,0))="All","Y",IF(INDEX('Control Library'!$I$5:$I$47,MATCH(E285,'Control Library'!$A$5:$A$47,0))="Banks only",IF(COUNTIF('Residual Config'!$L$28:$L$30,INDEX(Entities!$E$5:$E$34,MATCH(B285,Entities!$A$5:$A$34,0)))&gt;0,"N/A","Y"),IF(INDEX(Entities!$G$5:$G$34,MATCH(B285,Entities!$A$5:$A$34,0))="Y","Y","N/A")))</f>
        <v>Y</v>
      </c>
      <c r="J285" s="8" t="s">
        <v>1423</v>
      </c>
      <c r="K285" s="8" t="s">
        <v>1377</v>
      </c>
      <c r="L285" s="7" t="str">
        <f aca="false">IF(OR(J285="",K285=""),"",IF(J285=K285,"Breach","OK"))</f>
        <v>OK</v>
      </c>
      <c r="M285" s="24" t="n">
        <v>2</v>
      </c>
      <c r="N285" s="50" t="n">
        <v>46112</v>
      </c>
      <c r="O285" s="8" t="s">
        <v>546</v>
      </c>
      <c r="P285" s="24" t="n">
        <v>1</v>
      </c>
      <c r="Q285" s="31" t="n">
        <f aca="false">IF(I285="N/A","",IFERROR(INDEX('Residual Config'!$B$35:$B$42,MATCH(H285,'Residual Config'!$A$35:$A$42,0)),""))</f>
        <v>1</v>
      </c>
      <c r="R285" s="24" t="n">
        <v>1</v>
      </c>
      <c r="S285" s="8" t="s">
        <v>524</v>
      </c>
      <c r="T285" s="31" t="n">
        <f aca="false">IF(S285="","",MATCH(S285,'Residual Config'!$L$9:$L$12,0))</f>
        <v>3</v>
      </c>
      <c r="U285" s="8" t="s">
        <v>1424</v>
      </c>
      <c r="V285" s="24" t="n">
        <v>5</v>
      </c>
      <c r="W285" s="33" t="s">
        <v>533</v>
      </c>
      <c r="X285" s="8" t="s">
        <v>760</v>
      </c>
      <c r="Y285" s="51" t="n">
        <f aca="false">IF(N285="","",EDATE(N285,IF(G285="N",INDEX('Residual Config'!$B$31:$D$31,1,MATCH(D285,'Residual Config'!$B$27:$D$27,0)),INDEX('Residual Config'!$B$28:$D$30,IF(T285=1,1,IF(T285=4,3,2)),MATCH(D285,'Residual Config'!$B$27:$D$27,0)))))</f>
        <v>46843</v>
      </c>
      <c r="Z285" s="7" t="str">
        <f aca="false">IF(I285="N/A","N/A",IF(N285="","Not tested",IF(W285="Rejected","Evidence rejected",IF(W285&lt;&gt;"Accepted","Evidence pending",IF(Y285&lt;'Residual Config'!$C$4,"Overdue","Current")))))</f>
        <v>Current</v>
      </c>
      <c r="AA285" s="34" t="n">
        <f aca="false">IF(I285="N/A","",IF(Z285&lt;&gt;"Current",4,IF(MAX(M285,T285)=0,4,MAX(M285,T285))))</f>
        <v>3</v>
      </c>
      <c r="AB285" s="7" t="str">
        <f aca="false">IF(AA285="","N/A",IF(Z285&lt;&gt;"Current","Not tested / overdue",INDEX('Residual Config'!$B$11:$B$14,AA285)))</f>
        <v>Partially effective</v>
      </c>
      <c r="AC285" s="36" t="n">
        <f aca="false">IF(AA285="","",INDEX('Residual Config'!$D$11:$D$14,AA285))</f>
        <v>0.2</v>
      </c>
      <c r="AD285" s="7" t="str">
        <f aca="false">IF(OR(I285="N/A",P285="",Q285=""),"",IF(P285&gt;=Q285,"Yes","No"))</f>
        <v>Yes</v>
      </c>
      <c r="AE285" s="8"/>
    </row>
    <row r="286" customFormat="false" ht="15" hidden="false" customHeight="false" outlineLevel="0" collapsed="false">
      <c r="A286" s="12" t="s">
        <v>1425</v>
      </c>
      <c r="B286" s="26" t="str">
        <f aca="false">Entities!$A$11</f>
        <v>PS-INV</v>
      </c>
      <c r="C286" s="12" t="str">
        <f aca="false">INDEX(Entities!$B$5:$B$34,MATCH(B286,Entities!$A$5:$A$34,0))</f>
        <v>Al-Arabi Investment Group – Palestine</v>
      </c>
      <c r="D286" s="7" t="str">
        <f aca="false">INDEX(Entities!$F$5:$F$34,MATCH(B286,Entities!$A$5:$A$34,0))</f>
        <v>Tier 3</v>
      </c>
      <c r="E286" s="26" t="str">
        <f aca="false">'Control Library'!$A$28</f>
        <v>CTL-TRN-01</v>
      </c>
      <c r="F286" s="12" t="str">
        <f aca="false">INDEX('Control Library'!$B$5:$B$47,MATCH(E286,'Control Library'!$A$5:$A$47,0))</f>
        <v>Annual AML, sanctions and anti-bribery training</v>
      </c>
      <c r="G286" s="7" t="str">
        <f aca="false">INDEX('Control Library'!$F$5:$F$47,MATCH(E286,'Control Library'!$A$5:$A$47,0))</f>
        <v>N</v>
      </c>
      <c r="H286" s="12" t="str">
        <f aca="false">INDEX('Control Library'!$E$5:$E$47,MATCH(E286,'Control Library'!$A$5:$A$47,0))</f>
        <v>Annual</v>
      </c>
      <c r="I286" s="7" t="str">
        <f aca="false">IF(INDEX('Control Library'!$I$5:$I$47,MATCH(E286,'Control Library'!$A$5:$A$47,0))="All","Y",IF(INDEX('Control Library'!$I$5:$I$47,MATCH(E286,'Control Library'!$A$5:$A$47,0))="Banks only",IF(COUNTIF('Residual Config'!$L$28:$L$30,INDEX(Entities!$E$5:$E$34,MATCH(B286,Entities!$A$5:$A$34,0)))&gt;0,"N/A","Y"),IF(INDEX(Entities!$G$5:$G$34,MATCH(B286,Entities!$A$5:$A$34,0))="Y","Y","N/A")))</f>
        <v>Y</v>
      </c>
      <c r="J286" s="8" t="s">
        <v>1380</v>
      </c>
      <c r="K286" s="8" t="s">
        <v>1377</v>
      </c>
      <c r="L286" s="7" t="str">
        <f aca="false">IF(OR(J286="",K286=""),"",IF(J286=K286,"Breach","OK"))</f>
        <v>OK</v>
      </c>
      <c r="M286" s="24" t="n">
        <v>2</v>
      </c>
      <c r="N286" s="50" t="n">
        <v>46137</v>
      </c>
      <c r="O286" s="8" t="s">
        <v>545</v>
      </c>
      <c r="P286" s="24" t="n">
        <v>1</v>
      </c>
      <c r="Q286" s="31" t="n">
        <f aca="false">IF(I286="N/A","",IFERROR(INDEX('Residual Config'!$B$35:$B$42,MATCH(H286,'Residual Config'!$A$35:$A$42,0)),""))</f>
        <v>1</v>
      </c>
      <c r="R286" s="24" t="n">
        <v>1</v>
      </c>
      <c r="S286" s="8" t="s">
        <v>521</v>
      </c>
      <c r="T286" s="31" t="n">
        <f aca="false">IF(S286="","",MATCH(S286,'Residual Config'!$L$9:$L$12,0))</f>
        <v>2</v>
      </c>
      <c r="U286" s="8" t="s">
        <v>1426</v>
      </c>
      <c r="V286" s="24" t="n">
        <v>1</v>
      </c>
      <c r="W286" s="33" t="s">
        <v>533</v>
      </c>
      <c r="X286" s="8" t="s">
        <v>754</v>
      </c>
      <c r="Y286" s="51" t="n">
        <f aca="false">IF(N286="","",EDATE(N286,IF(G286="N",INDEX('Residual Config'!$B$31:$D$31,1,MATCH(D286,'Residual Config'!$B$27:$D$27,0)),INDEX('Residual Config'!$B$28:$D$30,IF(T286=1,1,IF(T286=4,3,2)),MATCH(D286,'Residual Config'!$B$27:$D$27,0)))))</f>
        <v>46868</v>
      </c>
      <c r="Z286" s="7" t="str">
        <f aca="false">IF(I286="N/A","N/A",IF(N286="","Not tested",IF(W286="Rejected","Evidence rejected",IF(W286&lt;&gt;"Accepted","Evidence pending",IF(Y286&lt;'Residual Config'!$C$4,"Overdue","Current")))))</f>
        <v>Current</v>
      </c>
      <c r="AA286" s="34" t="n">
        <f aca="false">IF(I286="N/A","",IF(Z286&lt;&gt;"Current",4,IF(MAX(M286,T286)=0,4,MAX(M286,T286))))</f>
        <v>2</v>
      </c>
      <c r="AB286" s="7" t="str">
        <f aca="false">IF(AA286="","N/A",IF(Z286&lt;&gt;"Current","Not tested / overdue",INDEX('Residual Config'!$B$11:$B$14,AA286)))</f>
        <v>Largely effective</v>
      </c>
      <c r="AC286" s="36" t="n">
        <f aca="false">IF(AA286="","",INDEX('Residual Config'!$D$11:$D$14,AA286))</f>
        <v>0.4</v>
      </c>
      <c r="AD286" s="7" t="str">
        <f aca="false">IF(OR(I286="N/A",P286="",Q286=""),"",IF(P286&gt;=Q286,"Yes","No"))</f>
        <v>Yes</v>
      </c>
      <c r="AE286" s="8"/>
    </row>
    <row r="287" customFormat="false" ht="15" hidden="false" customHeight="false" outlineLevel="0" collapsed="false">
      <c r="A287" s="12" t="s">
        <v>1427</v>
      </c>
      <c r="B287" s="26" t="str">
        <f aca="false">Entities!$A$11</f>
        <v>PS-INV</v>
      </c>
      <c r="C287" s="12" t="str">
        <f aca="false">INDEX(Entities!$B$5:$B$34,MATCH(B287,Entities!$A$5:$A$34,0))</f>
        <v>Al-Arabi Investment Group – Palestine</v>
      </c>
      <c r="D287" s="7" t="str">
        <f aca="false">INDEX(Entities!$F$5:$F$34,MATCH(B287,Entities!$A$5:$A$34,0))</f>
        <v>Tier 3</v>
      </c>
      <c r="E287" s="26" t="str">
        <f aca="false">'Control Library'!$A$29</f>
        <v>CTL-REG-01</v>
      </c>
      <c r="F287" s="12" t="str">
        <f aca="false">INDEX('Control Library'!$B$5:$B$47,MATCH(E287,'Control Library'!$A$5:$A$47,0))</f>
        <v>Regulatory change management and obligations register</v>
      </c>
      <c r="G287" s="7" t="str">
        <f aca="false">INDEX('Control Library'!$F$5:$F$47,MATCH(E287,'Control Library'!$A$5:$A$47,0))</f>
        <v>Y</v>
      </c>
      <c r="H287" s="12" t="str">
        <f aca="false">INDEX('Control Library'!$E$5:$E$47,MATCH(E287,'Control Library'!$A$5:$A$47,0))</f>
        <v>Monthly</v>
      </c>
      <c r="I287" s="7" t="str">
        <f aca="false">IF(INDEX('Control Library'!$I$5:$I$47,MATCH(E287,'Control Library'!$A$5:$A$47,0))="All","Y",IF(INDEX('Control Library'!$I$5:$I$47,MATCH(E287,'Control Library'!$A$5:$A$47,0))="Banks only",IF(COUNTIF('Residual Config'!$L$28:$L$30,INDEX(Entities!$E$5:$E$34,MATCH(B287,Entities!$A$5:$A$34,0)))&gt;0,"N/A","Y"),IF(INDEX(Entities!$G$5:$G$34,MATCH(B287,Entities!$A$5:$A$34,0))="Y","Y","N/A")))</f>
        <v>Y</v>
      </c>
      <c r="J287" s="8" t="s">
        <v>1380</v>
      </c>
      <c r="K287" s="8" t="s">
        <v>1377</v>
      </c>
      <c r="L287" s="7" t="str">
        <f aca="false">IF(OR(J287="",K287=""),"",IF(J287=K287,"Breach","OK"))</f>
        <v>OK</v>
      </c>
      <c r="M287" s="24" t="n">
        <v>3</v>
      </c>
      <c r="N287" s="50" t="n">
        <v>46179</v>
      </c>
      <c r="O287" s="8" t="s">
        <v>545</v>
      </c>
      <c r="P287" s="24" t="n">
        <v>3</v>
      </c>
      <c r="Q287" s="31" t="n">
        <f aca="false">IF(I287="N/A","",IFERROR(INDEX('Residual Config'!$B$35:$B$42,MATCH(H287,'Residual Config'!$A$35:$A$42,0)),""))</f>
        <v>3</v>
      </c>
      <c r="R287" s="24" t="n">
        <v>1</v>
      </c>
      <c r="S287" s="8" t="s">
        <v>521</v>
      </c>
      <c r="T287" s="31" t="n">
        <f aca="false">IF(S287="","",MATCH(S287,'Residual Config'!$L$9:$L$12,0))</f>
        <v>2</v>
      </c>
      <c r="U287" s="8" t="s">
        <v>1428</v>
      </c>
      <c r="V287" s="24" t="n">
        <v>6</v>
      </c>
      <c r="W287" s="33" t="s">
        <v>533</v>
      </c>
      <c r="X287" s="8" t="s">
        <v>760</v>
      </c>
      <c r="Y287" s="51" t="n">
        <f aca="false">IF(N287="","",EDATE(N287,IF(G287="N",INDEX('Residual Config'!$B$31:$D$31,1,MATCH(D287,'Residual Config'!$B$27:$D$27,0)),INDEX('Residual Config'!$B$28:$D$30,IF(T287=1,1,IF(T287=4,3,2)),MATCH(D287,'Residual Config'!$B$27:$D$27,0)))))</f>
        <v>46362</v>
      </c>
      <c r="Z287" s="7" t="str">
        <f aca="false">IF(I287="N/A","N/A",IF(N287="","Not tested",IF(W287="Rejected","Evidence rejected",IF(W287&lt;&gt;"Accepted","Evidence pending",IF(Y287&lt;'Residual Config'!$C$4,"Overdue","Current")))))</f>
        <v>Current</v>
      </c>
      <c r="AA287" s="34" t="n">
        <f aca="false">IF(I287="N/A","",IF(Z287&lt;&gt;"Current",4,IF(MAX(M287,T287)=0,4,MAX(M287,T287))))</f>
        <v>3</v>
      </c>
      <c r="AB287" s="7" t="str">
        <f aca="false">IF(AA287="","N/A",IF(Z287&lt;&gt;"Current","Not tested / overdue",INDEX('Residual Config'!$B$11:$B$14,AA287)))</f>
        <v>Partially effective</v>
      </c>
      <c r="AC287" s="36" t="n">
        <f aca="false">IF(AA287="","",INDEX('Residual Config'!$D$11:$D$14,AA287))</f>
        <v>0.2</v>
      </c>
      <c r="AD287" s="7" t="str">
        <f aca="false">IF(OR(I287="N/A",P287="",Q287=""),"",IF(P287&gt;=Q287,"Yes","No"))</f>
        <v>Yes</v>
      </c>
      <c r="AE287" s="8"/>
    </row>
    <row r="288" customFormat="false" ht="15" hidden="false" customHeight="false" outlineLevel="0" collapsed="false">
      <c r="A288" s="12" t="s">
        <v>1429</v>
      </c>
      <c r="B288" s="26" t="str">
        <f aca="false">Entities!$A$11</f>
        <v>PS-INV</v>
      </c>
      <c r="C288" s="12" t="str">
        <f aca="false">INDEX(Entities!$B$5:$B$34,MATCH(B288,Entities!$A$5:$A$34,0))</f>
        <v>Al-Arabi Investment Group – Palestine</v>
      </c>
      <c r="D288" s="7" t="str">
        <f aca="false">INDEX(Entities!$F$5:$F$34,MATCH(B288,Entities!$A$5:$A$34,0))</f>
        <v>Tier 3</v>
      </c>
      <c r="E288" s="26" t="str">
        <f aca="false">'Control Library'!$A$30</f>
        <v>CTL-REG-02</v>
      </c>
      <c r="F288" s="12" t="str">
        <f aca="false">INDEX('Control Library'!$B$5:$B$47,MATCH(E288,'Control Library'!$A$5:$A$47,0))</f>
        <v>Regulatory return review and senior sign-off</v>
      </c>
      <c r="G288" s="7" t="str">
        <f aca="false">INDEX('Control Library'!$F$5:$F$47,MATCH(E288,'Control Library'!$A$5:$A$47,0))</f>
        <v>Y</v>
      </c>
      <c r="H288" s="12" t="str">
        <f aca="false">INDEX('Control Library'!$E$5:$E$47,MATCH(E288,'Control Library'!$A$5:$A$47,0))</f>
        <v>Monthly</v>
      </c>
      <c r="I288" s="7" t="str">
        <f aca="false">IF(INDEX('Control Library'!$I$5:$I$47,MATCH(E288,'Control Library'!$A$5:$A$47,0))="All","Y",IF(INDEX('Control Library'!$I$5:$I$47,MATCH(E288,'Control Library'!$A$5:$A$47,0))="Banks only",IF(COUNTIF('Residual Config'!$L$28:$L$30,INDEX(Entities!$E$5:$E$34,MATCH(B288,Entities!$A$5:$A$34,0)))&gt;0,"N/A","Y"),IF(INDEX(Entities!$G$5:$G$34,MATCH(B288,Entities!$A$5:$A$34,0))="Y","Y","N/A")))</f>
        <v>Y</v>
      </c>
      <c r="J288" s="8" t="s">
        <v>1423</v>
      </c>
      <c r="K288" s="8" t="s">
        <v>1377</v>
      </c>
      <c r="L288" s="7" t="str">
        <f aca="false">IF(OR(J288="",K288=""),"",IF(J288=K288,"Breach","OK"))</f>
        <v>OK</v>
      </c>
      <c r="M288" s="24" t="n">
        <v>2</v>
      </c>
      <c r="N288" s="50" t="n">
        <v>46234</v>
      </c>
      <c r="O288" s="8" t="s">
        <v>545</v>
      </c>
      <c r="P288" s="24" t="n">
        <v>3</v>
      </c>
      <c r="Q288" s="31" t="n">
        <f aca="false">IF(I288="N/A","",IFERROR(INDEX('Residual Config'!$B$35:$B$42,MATCH(H288,'Residual Config'!$A$35:$A$42,0)),""))</f>
        <v>3</v>
      </c>
      <c r="R288" s="24" t="n">
        <v>1</v>
      </c>
      <c r="S288" s="8" t="s">
        <v>521</v>
      </c>
      <c r="T288" s="31" t="n">
        <f aca="false">IF(S288="","",MATCH(S288,'Residual Config'!$L$9:$L$12,0))</f>
        <v>2</v>
      </c>
      <c r="U288" s="8" t="s">
        <v>1430</v>
      </c>
      <c r="V288" s="24" t="n">
        <v>1</v>
      </c>
      <c r="W288" s="33" t="s">
        <v>533</v>
      </c>
      <c r="X288" s="8" t="s">
        <v>760</v>
      </c>
      <c r="Y288" s="51" t="n">
        <f aca="false">IF(N288="","",EDATE(N288,IF(G288="N",INDEX('Residual Config'!$B$31:$D$31,1,MATCH(D288,'Residual Config'!$B$27:$D$27,0)),INDEX('Residual Config'!$B$28:$D$30,IF(T288=1,1,IF(T288=4,3,2)),MATCH(D288,'Residual Config'!$B$27:$D$27,0)))))</f>
        <v>46418</v>
      </c>
      <c r="Z288" s="7" t="str">
        <f aca="false">IF(I288="N/A","N/A",IF(N288="","Not tested",IF(W288="Rejected","Evidence rejected",IF(W288&lt;&gt;"Accepted","Evidence pending",IF(Y288&lt;'Residual Config'!$C$4,"Overdue","Current")))))</f>
        <v>Current</v>
      </c>
      <c r="AA288" s="34" t="n">
        <f aca="false">IF(I288="N/A","",IF(Z288&lt;&gt;"Current",4,IF(MAX(M288,T288)=0,4,MAX(M288,T288))))</f>
        <v>2</v>
      </c>
      <c r="AB288" s="7" t="str">
        <f aca="false">IF(AA288="","N/A",IF(Z288&lt;&gt;"Current","Not tested / overdue",INDEX('Residual Config'!$B$11:$B$14,AA288)))</f>
        <v>Largely effective</v>
      </c>
      <c r="AC288" s="36" t="n">
        <f aca="false">IF(AA288="","",INDEX('Residual Config'!$D$11:$D$14,AA288))</f>
        <v>0.4</v>
      </c>
      <c r="AD288" s="7" t="str">
        <f aca="false">IF(OR(I288="N/A",P288="",Q288=""),"",IF(P288&gt;=Q288,"Yes","No"))</f>
        <v>Yes</v>
      </c>
      <c r="AE288" s="8"/>
    </row>
    <row r="289" customFormat="false" ht="15" hidden="false" customHeight="false" outlineLevel="0" collapsed="false">
      <c r="A289" s="12" t="s">
        <v>1431</v>
      </c>
      <c r="B289" s="26" t="str">
        <f aca="false">Entities!$A$11</f>
        <v>PS-INV</v>
      </c>
      <c r="C289" s="12" t="str">
        <f aca="false">INDEX(Entities!$B$5:$B$34,MATCH(B289,Entities!$A$5:$A$34,0))</f>
        <v>Al-Arabi Investment Group – Palestine</v>
      </c>
      <c r="D289" s="7" t="str">
        <f aca="false">INDEX(Entities!$F$5:$F$34,MATCH(B289,Entities!$A$5:$A$34,0))</f>
        <v>Tier 3</v>
      </c>
      <c r="E289" s="26" t="str">
        <f aca="false">'Control Library'!$A$31</f>
        <v>CTL-CON-01</v>
      </c>
      <c r="F289" s="12" t="str">
        <f aca="false">INDEX('Control Library'!$B$5:$B$47,MATCH(E289,'Control Library'!$A$5:$A$47,0))</f>
        <v>New product approval and suitability assessment</v>
      </c>
      <c r="G289" s="7" t="str">
        <f aca="false">INDEX('Control Library'!$F$5:$F$47,MATCH(E289,'Control Library'!$A$5:$A$47,0))</f>
        <v>Y</v>
      </c>
      <c r="H289" s="12" t="str">
        <f aca="false">INDEX('Control Library'!$E$5:$E$47,MATCH(E289,'Control Library'!$A$5:$A$47,0))</f>
        <v>Event-driven</v>
      </c>
      <c r="I289" s="7" t="str">
        <f aca="false">IF(INDEX('Control Library'!$I$5:$I$47,MATCH(E289,'Control Library'!$A$5:$A$47,0))="All","Y",IF(INDEX('Control Library'!$I$5:$I$47,MATCH(E289,'Control Library'!$A$5:$A$47,0))="Banks only",IF(COUNTIF('Residual Config'!$L$28:$L$30,INDEX(Entities!$E$5:$E$34,MATCH(B289,Entities!$A$5:$A$34,0)))&gt;0,"N/A","Y"),IF(INDEX(Entities!$G$5:$G$34,MATCH(B289,Entities!$A$5:$A$34,0))="Y","Y","N/A")))</f>
        <v>Y</v>
      </c>
      <c r="J289" s="8" t="s">
        <v>1380</v>
      </c>
      <c r="K289" s="8" t="s">
        <v>1377</v>
      </c>
      <c r="L289" s="7" t="str">
        <f aca="false">IF(OR(J289="",K289=""),"",IF(J289=K289,"Breach","OK"))</f>
        <v>OK</v>
      </c>
      <c r="M289" s="24" t="n">
        <v>2</v>
      </c>
      <c r="N289" s="50" t="n">
        <v>46156</v>
      </c>
      <c r="O289" s="8" t="s">
        <v>545</v>
      </c>
      <c r="P289" s="24" t="n">
        <v>25</v>
      </c>
      <c r="Q289" s="31" t="n">
        <f aca="false">IF(I289="N/A","",IFERROR(INDEX('Residual Config'!$B$35:$B$42,MATCH(H289,'Residual Config'!$A$35:$A$42,0)),""))</f>
        <v>25</v>
      </c>
      <c r="R289" s="24" t="n">
        <v>1</v>
      </c>
      <c r="S289" s="8" t="s">
        <v>521</v>
      </c>
      <c r="T289" s="31" t="n">
        <f aca="false">IF(S289="","",MATCH(S289,'Residual Config'!$L$9:$L$12,0))</f>
        <v>2</v>
      </c>
      <c r="U289" s="8" t="s">
        <v>1432</v>
      </c>
      <c r="V289" s="24" t="n">
        <v>2</v>
      </c>
      <c r="W289" s="33" t="s">
        <v>533</v>
      </c>
      <c r="X289" s="8" t="s">
        <v>754</v>
      </c>
      <c r="Y289" s="51" t="n">
        <f aca="false">IF(N289="","",EDATE(N289,IF(G289="N",INDEX('Residual Config'!$B$31:$D$31,1,MATCH(D289,'Residual Config'!$B$27:$D$27,0)),INDEX('Residual Config'!$B$28:$D$30,IF(T289=1,1,IF(T289=4,3,2)),MATCH(D289,'Residual Config'!$B$27:$D$27,0)))))</f>
        <v>46340</v>
      </c>
      <c r="Z289" s="7" t="str">
        <f aca="false">IF(I289="N/A","N/A",IF(N289="","Not tested",IF(W289="Rejected","Evidence rejected",IF(W289&lt;&gt;"Accepted","Evidence pending",IF(Y289&lt;'Residual Config'!$C$4,"Overdue","Current")))))</f>
        <v>Current</v>
      </c>
      <c r="AA289" s="34" t="n">
        <f aca="false">IF(I289="N/A","",IF(Z289&lt;&gt;"Current",4,IF(MAX(M289,T289)=0,4,MAX(M289,T289))))</f>
        <v>2</v>
      </c>
      <c r="AB289" s="7" t="str">
        <f aca="false">IF(AA289="","N/A",IF(Z289&lt;&gt;"Current","Not tested / overdue",INDEX('Residual Config'!$B$11:$B$14,AA289)))</f>
        <v>Largely effective</v>
      </c>
      <c r="AC289" s="36" t="n">
        <f aca="false">IF(AA289="","",INDEX('Residual Config'!$D$11:$D$14,AA289))</f>
        <v>0.4</v>
      </c>
      <c r="AD289" s="7" t="str">
        <f aca="false">IF(OR(I289="N/A",P289="",Q289=""),"",IF(P289&gt;=Q289,"Yes","No"))</f>
        <v>Yes</v>
      </c>
      <c r="AE289" s="8"/>
    </row>
    <row r="290" customFormat="false" ht="15" hidden="false" customHeight="false" outlineLevel="0" collapsed="false">
      <c r="A290" s="12" t="s">
        <v>1433</v>
      </c>
      <c r="B290" s="26" t="str">
        <f aca="false">Entities!$A$11</f>
        <v>PS-INV</v>
      </c>
      <c r="C290" s="12" t="str">
        <f aca="false">INDEX(Entities!$B$5:$B$34,MATCH(B290,Entities!$A$5:$A$34,0))</f>
        <v>Al-Arabi Investment Group – Palestine</v>
      </c>
      <c r="D290" s="7" t="str">
        <f aca="false">INDEX(Entities!$F$5:$F$34,MATCH(B290,Entities!$A$5:$A$34,0))</f>
        <v>Tier 3</v>
      </c>
      <c r="E290" s="26" t="str">
        <f aca="false">'Control Library'!$A$32</f>
        <v>CTL-CON-02</v>
      </c>
      <c r="F290" s="12" t="str">
        <f aca="false">INDEX('Control Library'!$B$5:$B$47,MATCH(E290,'Control Library'!$A$5:$A$47,0))</f>
        <v>Complaints handling and root-cause analysis</v>
      </c>
      <c r="G290" s="7" t="str">
        <f aca="false">INDEX('Control Library'!$F$5:$F$47,MATCH(E290,'Control Library'!$A$5:$A$47,0))</f>
        <v>N</v>
      </c>
      <c r="H290" s="12" t="str">
        <f aca="false">INDEX('Control Library'!$E$5:$E$47,MATCH(E290,'Control Library'!$A$5:$A$47,0))</f>
        <v>Monthly</v>
      </c>
      <c r="I290" s="7" t="str">
        <f aca="false">IF(INDEX('Control Library'!$I$5:$I$47,MATCH(E290,'Control Library'!$A$5:$A$47,0))="All","Y",IF(INDEX('Control Library'!$I$5:$I$47,MATCH(E290,'Control Library'!$A$5:$A$47,0))="Banks only",IF(COUNTIF('Residual Config'!$L$28:$L$30,INDEX(Entities!$E$5:$E$34,MATCH(B290,Entities!$A$5:$A$34,0)))&gt;0,"N/A","Y"),IF(INDEX(Entities!$G$5:$G$34,MATCH(B290,Entities!$A$5:$A$34,0))="Y","Y","N/A")))</f>
        <v>Y</v>
      </c>
      <c r="J290" s="8" t="s">
        <v>1434</v>
      </c>
      <c r="K290" s="8" t="s">
        <v>1377</v>
      </c>
      <c r="L290" s="7" t="str">
        <f aca="false">IF(OR(J290="",K290=""),"",IF(J290=K290,"Breach","OK"))</f>
        <v>OK</v>
      </c>
      <c r="M290" s="24" t="n">
        <v>2</v>
      </c>
      <c r="N290" s="50" t="n">
        <v>45535</v>
      </c>
      <c r="O290" s="8" t="s">
        <v>545</v>
      </c>
      <c r="P290" s="24" t="n">
        <v>3</v>
      </c>
      <c r="Q290" s="31" t="n">
        <f aca="false">IF(I290="N/A","",IFERROR(INDEX('Residual Config'!$B$35:$B$42,MATCH(H290,'Residual Config'!$A$35:$A$42,0)),""))</f>
        <v>3</v>
      </c>
      <c r="R290" s="24" t="n">
        <v>0</v>
      </c>
      <c r="S290" s="8" t="s">
        <v>516</v>
      </c>
      <c r="T290" s="31" t="n">
        <f aca="false">IF(S290="","",MATCH(S290,'Residual Config'!$L$9:$L$12,0))</f>
        <v>1</v>
      </c>
      <c r="U290" s="8" t="s">
        <v>1435</v>
      </c>
      <c r="V290" s="24" t="n">
        <v>4</v>
      </c>
      <c r="W290" s="33" t="s">
        <v>533</v>
      </c>
      <c r="X290" s="8" t="s">
        <v>760</v>
      </c>
      <c r="Y290" s="51" t="n">
        <f aca="false">IF(N290="","",EDATE(N290,IF(G290="N",INDEX('Residual Config'!$B$31:$D$31,1,MATCH(D290,'Residual Config'!$B$27:$D$27,0)),INDEX('Residual Config'!$B$28:$D$30,IF(T290=1,1,IF(T290=4,3,2)),MATCH(D290,'Residual Config'!$B$27:$D$27,0)))))</f>
        <v>46265</v>
      </c>
      <c r="Z290" s="7" t="str">
        <f aca="false">IF(I290="N/A","N/A",IF(N290="","Not tested",IF(W290="Rejected","Evidence rejected",IF(W290&lt;&gt;"Accepted","Evidence pending",IF(Y290&lt;'Residual Config'!$C$4,"Overdue","Current")))))</f>
        <v>Overdue</v>
      </c>
      <c r="AA290" s="34" t="n">
        <f aca="false">IF(I290="N/A","",IF(Z290&lt;&gt;"Current",4,IF(MAX(M290,T290)=0,4,MAX(M290,T290))))</f>
        <v>4</v>
      </c>
      <c r="AB290" s="7" t="str">
        <f aca="false">IF(AA290="","N/A",IF(Z290&lt;&gt;"Current","Not tested / overdue",INDEX('Residual Config'!$B$11:$B$14,AA290)))</f>
        <v>Not tested / overdue</v>
      </c>
      <c r="AC290" s="36" t="n">
        <f aca="false">IF(AA290="","",INDEX('Residual Config'!$D$11:$D$14,AA290))</f>
        <v>0</v>
      </c>
      <c r="AD290" s="7" t="str">
        <f aca="false">IF(OR(I290="N/A",P290="",Q290=""),"",IF(P290&gt;=Q290,"Yes","No"))</f>
        <v>Yes</v>
      </c>
      <c r="AE290" s="8"/>
    </row>
    <row r="291" customFormat="false" ht="15" hidden="false" customHeight="false" outlineLevel="0" collapsed="false">
      <c r="A291" s="12" t="s">
        <v>1436</v>
      </c>
      <c r="B291" s="26" t="str">
        <f aca="false">Entities!$A$11</f>
        <v>PS-INV</v>
      </c>
      <c r="C291" s="12" t="str">
        <f aca="false">INDEX(Entities!$B$5:$B$34,MATCH(B291,Entities!$A$5:$A$34,0))</f>
        <v>Al-Arabi Investment Group – Palestine</v>
      </c>
      <c r="D291" s="7" t="str">
        <f aca="false">INDEX(Entities!$F$5:$F$34,MATCH(B291,Entities!$A$5:$A$34,0))</f>
        <v>Tier 3</v>
      </c>
      <c r="E291" s="26" t="str">
        <f aca="false">'Control Library'!$A$33</f>
        <v>CTL-DP-01</v>
      </c>
      <c r="F291" s="12" t="str">
        <f aca="false">INDEX('Control Library'!$B$5:$B$47,MATCH(E291,'Control Library'!$A$5:$A$47,0))</f>
        <v>Data protection impact assessments and processing records</v>
      </c>
      <c r="G291" s="7" t="str">
        <f aca="false">INDEX('Control Library'!$F$5:$F$47,MATCH(E291,'Control Library'!$A$5:$A$47,0))</f>
        <v>Y</v>
      </c>
      <c r="H291" s="12" t="str">
        <f aca="false">INDEX('Control Library'!$E$5:$E$47,MATCH(E291,'Control Library'!$A$5:$A$47,0))</f>
        <v>Event-driven</v>
      </c>
      <c r="I291" s="7" t="str">
        <f aca="false">IF(INDEX('Control Library'!$I$5:$I$47,MATCH(E291,'Control Library'!$A$5:$A$47,0))="All","Y",IF(INDEX('Control Library'!$I$5:$I$47,MATCH(E291,'Control Library'!$A$5:$A$47,0))="Banks only",IF(COUNTIF('Residual Config'!$L$28:$L$30,INDEX(Entities!$E$5:$E$34,MATCH(B291,Entities!$A$5:$A$34,0)))&gt;0,"N/A","Y"),IF(INDEX(Entities!$G$5:$G$34,MATCH(B291,Entities!$A$5:$A$34,0))="Y","Y","N/A")))</f>
        <v>Y</v>
      </c>
      <c r="J291" s="8" t="s">
        <v>1437</v>
      </c>
      <c r="K291" s="8" t="s">
        <v>1377</v>
      </c>
      <c r="L291" s="7" t="str">
        <f aca="false">IF(OR(J291="",K291=""),"",IF(J291=K291,"Breach","OK"))</f>
        <v>OK</v>
      </c>
      <c r="M291" s="24" t="n">
        <v>2</v>
      </c>
      <c r="N291" s="50" t="n">
        <v>46289</v>
      </c>
      <c r="O291" s="8" t="s">
        <v>545</v>
      </c>
      <c r="P291" s="24" t="n">
        <v>35</v>
      </c>
      <c r="Q291" s="31" t="n">
        <f aca="false">IF(I291="N/A","",IFERROR(INDEX('Residual Config'!$B$35:$B$42,MATCH(H291,'Residual Config'!$A$35:$A$42,0)),""))</f>
        <v>25</v>
      </c>
      <c r="R291" s="24" t="n">
        <v>1</v>
      </c>
      <c r="S291" s="8" t="s">
        <v>521</v>
      </c>
      <c r="T291" s="31" t="n">
        <f aca="false">IF(S291="","",MATCH(S291,'Residual Config'!$L$9:$L$12,0))</f>
        <v>2</v>
      </c>
      <c r="U291" s="8" t="s">
        <v>1438</v>
      </c>
      <c r="V291" s="24" t="n">
        <v>4</v>
      </c>
      <c r="W291" s="33" t="s">
        <v>533</v>
      </c>
      <c r="X291" s="8" t="s">
        <v>760</v>
      </c>
      <c r="Y291" s="51" t="n">
        <f aca="false">IF(N291="","",EDATE(N291,IF(G291="N",INDEX('Residual Config'!$B$31:$D$31,1,MATCH(D291,'Residual Config'!$B$27:$D$27,0)),INDEX('Residual Config'!$B$28:$D$30,IF(T291=1,1,IF(T291=4,3,2)),MATCH(D291,'Residual Config'!$B$27:$D$27,0)))))</f>
        <v>46470</v>
      </c>
      <c r="Z291" s="7" t="str">
        <f aca="false">IF(I291="N/A","N/A",IF(N291="","Not tested",IF(W291="Rejected","Evidence rejected",IF(W291&lt;&gt;"Accepted","Evidence pending",IF(Y291&lt;'Residual Config'!$C$4,"Overdue","Current")))))</f>
        <v>Current</v>
      </c>
      <c r="AA291" s="34" t="n">
        <f aca="false">IF(I291="N/A","",IF(Z291&lt;&gt;"Current",4,IF(MAX(M291,T291)=0,4,MAX(M291,T291))))</f>
        <v>2</v>
      </c>
      <c r="AB291" s="7" t="str">
        <f aca="false">IF(AA291="","N/A",IF(Z291&lt;&gt;"Current","Not tested / overdue",INDEX('Residual Config'!$B$11:$B$14,AA291)))</f>
        <v>Largely effective</v>
      </c>
      <c r="AC291" s="36" t="n">
        <f aca="false">IF(AA291="","",INDEX('Residual Config'!$D$11:$D$14,AA291))</f>
        <v>0.4</v>
      </c>
      <c r="AD291" s="7" t="str">
        <f aca="false">IF(OR(I291="N/A",P291="",Q291=""),"",IF(P291&gt;=Q291,"Yes","No"))</f>
        <v>Yes</v>
      </c>
      <c r="AE291" s="8"/>
    </row>
    <row r="292" customFormat="false" ht="15" hidden="false" customHeight="false" outlineLevel="0" collapsed="false">
      <c r="A292" s="12" t="s">
        <v>1439</v>
      </c>
      <c r="B292" s="26" t="str">
        <f aca="false">Entities!$A$11</f>
        <v>PS-INV</v>
      </c>
      <c r="C292" s="12" t="str">
        <f aca="false">INDEX(Entities!$B$5:$B$34,MATCH(B292,Entities!$A$5:$A$34,0))</f>
        <v>Al-Arabi Investment Group – Palestine</v>
      </c>
      <c r="D292" s="7" t="str">
        <f aca="false">INDEX(Entities!$F$5:$F$34,MATCH(B292,Entities!$A$5:$A$34,0))</f>
        <v>Tier 3</v>
      </c>
      <c r="E292" s="26" t="str">
        <f aca="false">'Control Library'!$A$34</f>
        <v>CTL-DP-02</v>
      </c>
      <c r="F292" s="12" t="str">
        <f aca="false">INDEX('Control Library'!$B$5:$B$47,MATCH(E292,'Control Library'!$A$5:$A$47,0))</f>
        <v>Data loss prevention and quarterly access recertification</v>
      </c>
      <c r="G292" s="7" t="str">
        <f aca="false">INDEX('Control Library'!$F$5:$F$47,MATCH(E292,'Control Library'!$A$5:$A$47,0))</f>
        <v>Y</v>
      </c>
      <c r="H292" s="12" t="str">
        <f aca="false">INDEX('Control Library'!$E$5:$E$47,MATCH(E292,'Control Library'!$A$5:$A$47,0))</f>
        <v>Quarterly</v>
      </c>
      <c r="I292" s="7" t="str">
        <f aca="false">IF(INDEX('Control Library'!$I$5:$I$47,MATCH(E292,'Control Library'!$A$5:$A$47,0))="All","Y",IF(INDEX('Control Library'!$I$5:$I$47,MATCH(E292,'Control Library'!$A$5:$A$47,0))="Banks only",IF(COUNTIF('Residual Config'!$L$28:$L$30,INDEX(Entities!$E$5:$E$34,MATCH(B292,Entities!$A$5:$A$34,0)))&gt;0,"N/A","Y"),IF(INDEX(Entities!$G$5:$G$34,MATCH(B292,Entities!$A$5:$A$34,0))="Y","Y","N/A")))</f>
        <v>Y</v>
      </c>
      <c r="J292" s="8" t="s">
        <v>1440</v>
      </c>
      <c r="K292" s="8" t="s">
        <v>1377</v>
      </c>
      <c r="L292" s="7" t="str">
        <f aca="false">IF(OR(J292="",K292=""),"",IF(J292=K292,"Breach","OK"))</f>
        <v>OK</v>
      </c>
      <c r="M292" s="24" t="n">
        <v>2</v>
      </c>
      <c r="N292" s="50" t="n">
        <v>46229</v>
      </c>
      <c r="O292" s="8" t="s">
        <v>546</v>
      </c>
      <c r="P292" s="24" t="n">
        <v>2</v>
      </c>
      <c r="Q292" s="31" t="n">
        <f aca="false">IF(I292="N/A","",IFERROR(INDEX('Residual Config'!$B$35:$B$42,MATCH(H292,'Residual Config'!$A$35:$A$42,0)),""))</f>
        <v>2</v>
      </c>
      <c r="R292" s="24" t="n">
        <v>2</v>
      </c>
      <c r="S292" s="8" t="s">
        <v>524</v>
      </c>
      <c r="T292" s="31" t="n">
        <f aca="false">IF(S292="","",MATCH(S292,'Residual Config'!$L$9:$L$12,0))</f>
        <v>3</v>
      </c>
      <c r="U292" s="8" t="s">
        <v>1441</v>
      </c>
      <c r="V292" s="24" t="n">
        <v>5</v>
      </c>
      <c r="W292" s="33" t="s">
        <v>533</v>
      </c>
      <c r="X292" s="8" t="s">
        <v>760</v>
      </c>
      <c r="Y292" s="51" t="n">
        <f aca="false">IF(N292="","",EDATE(N292,IF(G292="N",INDEX('Residual Config'!$B$31:$D$31,1,MATCH(D292,'Residual Config'!$B$27:$D$27,0)),INDEX('Residual Config'!$B$28:$D$30,IF(T292=1,1,IF(T292=4,3,2)),MATCH(D292,'Residual Config'!$B$27:$D$27,0)))))</f>
        <v>46413</v>
      </c>
      <c r="Z292" s="7" t="str">
        <f aca="false">IF(I292="N/A","N/A",IF(N292="","Not tested",IF(W292="Rejected","Evidence rejected",IF(W292&lt;&gt;"Accepted","Evidence pending",IF(Y292&lt;'Residual Config'!$C$4,"Overdue","Current")))))</f>
        <v>Current</v>
      </c>
      <c r="AA292" s="34" t="n">
        <f aca="false">IF(I292="N/A","",IF(Z292&lt;&gt;"Current",4,IF(MAX(M292,T292)=0,4,MAX(M292,T292))))</f>
        <v>3</v>
      </c>
      <c r="AB292" s="7" t="str">
        <f aca="false">IF(AA292="","N/A",IF(Z292&lt;&gt;"Current","Not tested / overdue",INDEX('Residual Config'!$B$11:$B$14,AA292)))</f>
        <v>Partially effective</v>
      </c>
      <c r="AC292" s="36" t="n">
        <f aca="false">IF(AA292="","",INDEX('Residual Config'!$D$11:$D$14,AA292))</f>
        <v>0.2</v>
      </c>
      <c r="AD292" s="7" t="str">
        <f aca="false">IF(OR(I292="N/A",P292="",Q292=""),"",IF(P292&gt;=Q292,"Yes","No"))</f>
        <v>Yes</v>
      </c>
      <c r="AE292" s="8"/>
    </row>
    <row r="293" customFormat="false" ht="15" hidden="false" customHeight="false" outlineLevel="0" collapsed="false">
      <c r="A293" s="12" t="s">
        <v>1442</v>
      </c>
      <c r="B293" s="26" t="str">
        <f aca="false">Entities!$A$11</f>
        <v>PS-INV</v>
      </c>
      <c r="C293" s="12" t="str">
        <f aca="false">INDEX(Entities!$B$5:$B$34,MATCH(B293,Entities!$A$5:$A$34,0))</f>
        <v>Al-Arabi Investment Group – Palestine</v>
      </c>
      <c r="D293" s="7" t="str">
        <f aca="false">INDEX(Entities!$F$5:$F$34,MATCH(B293,Entities!$A$5:$A$34,0))</f>
        <v>Tier 3</v>
      </c>
      <c r="E293" s="26" t="str">
        <f aca="false">'Control Library'!$A$35</f>
        <v>CTL-SH-01</v>
      </c>
      <c r="F293" s="12" t="str">
        <f aca="false">INDEX('Control Library'!$B$5:$B$47,MATCH(E293,'Control Library'!$A$5:$A$47,0))</f>
        <v>Shariah review of products and income purification</v>
      </c>
      <c r="G293" s="7" t="str">
        <f aca="false">INDEX('Control Library'!$F$5:$F$47,MATCH(E293,'Control Library'!$A$5:$A$47,0))</f>
        <v>Y</v>
      </c>
      <c r="H293" s="12" t="str">
        <f aca="false">INDEX('Control Library'!$E$5:$E$47,MATCH(E293,'Control Library'!$A$5:$A$47,0))</f>
        <v>Quarterly</v>
      </c>
      <c r="I293" s="7" t="str">
        <f aca="false">IF(INDEX('Control Library'!$I$5:$I$47,MATCH(E293,'Control Library'!$A$5:$A$47,0))="All","Y",IF(INDEX('Control Library'!$I$5:$I$47,MATCH(E293,'Control Library'!$A$5:$A$47,0))="Banks only",IF(COUNTIF('Residual Config'!$L$28:$L$30,INDEX(Entities!$E$5:$E$34,MATCH(B293,Entities!$A$5:$A$34,0)))&gt;0,"N/A","Y"),IF(INDEX(Entities!$G$5:$G$34,MATCH(B293,Entities!$A$5:$A$34,0))="Y","Y","N/A")))</f>
        <v>N/A</v>
      </c>
      <c r="J293" s="8"/>
      <c r="K293" s="8"/>
      <c r="L293" s="7" t="str">
        <f aca="false">IF(OR(J293="",K293=""),"",IF(J293=K293,"Breach","OK"))</f>
        <v/>
      </c>
      <c r="M293" s="24"/>
      <c r="N293" s="50"/>
      <c r="O293" s="8"/>
      <c r="P293" s="24"/>
      <c r="Q293" s="31" t="str">
        <f aca="false">IF(I293="N/A","",IFERROR(INDEX('Residual Config'!$B$35:$B$42,MATCH(H293,'Residual Config'!$A$35:$A$42,0)),""))</f>
        <v/>
      </c>
      <c r="R293" s="24"/>
      <c r="S293" s="8"/>
      <c r="T293" s="31" t="str">
        <f aca="false">IF(S293="","",MATCH(S293,'Residual Config'!$L$9:$L$12,0))</f>
        <v/>
      </c>
      <c r="U293" s="8"/>
      <c r="V293" s="24"/>
      <c r="W293" s="33"/>
      <c r="X293" s="8"/>
      <c r="Y293" s="51" t="str">
        <f aca="false">IF(N293="","",EDATE(N293,IF(G293="N",INDEX('Residual Config'!$B$31:$D$31,1,MATCH(D293,'Residual Config'!$B$27:$D$27,0)),INDEX('Residual Config'!$B$28:$D$30,IF(T293=1,1,IF(T293=4,3,2)),MATCH(D293,'Residual Config'!$B$27:$D$27,0)))))</f>
        <v/>
      </c>
      <c r="Z293" s="7" t="str">
        <f aca="false">IF(I293="N/A","N/A",IF(N293="","Not tested",IF(W293="Rejected","Evidence rejected",IF(W293&lt;&gt;"Accepted","Evidence pending",IF(Y293&lt;'Residual Config'!$C$4,"Overdue","Current")))))</f>
        <v>N/A</v>
      </c>
      <c r="AA293" s="34" t="str">
        <f aca="false">IF(I293="N/A","",IF(Z293&lt;&gt;"Current",4,IF(MAX(M293,T293)=0,4,MAX(M293,T293))))</f>
        <v/>
      </c>
      <c r="AB293" s="7" t="str">
        <f aca="false">IF(AA293="","N/A",IF(Z293&lt;&gt;"Current","Not tested / overdue",INDEX('Residual Config'!$B$11:$B$14,AA293)))</f>
        <v>N/A</v>
      </c>
      <c r="AC293" s="36" t="str">
        <f aca="false">IF(AA293="","",INDEX('Residual Config'!$D$11:$D$14,AA293))</f>
        <v/>
      </c>
      <c r="AD293" s="7" t="str">
        <f aca="false">IF(OR(I293="N/A",P293="",Q293=""),"",IF(P293&gt;=Q293,"Yes","No"))</f>
        <v/>
      </c>
      <c r="AE293" s="8"/>
    </row>
    <row r="294" customFormat="false" ht="15" hidden="false" customHeight="false" outlineLevel="0" collapsed="false">
      <c r="A294" s="12" t="s">
        <v>1443</v>
      </c>
      <c r="B294" s="26" t="str">
        <f aca="false">Entities!$A$11</f>
        <v>PS-INV</v>
      </c>
      <c r="C294" s="12" t="str">
        <f aca="false">INDEX(Entities!$B$5:$B$34,MATCH(B294,Entities!$A$5:$A$34,0))</f>
        <v>Al-Arabi Investment Group – Palestine</v>
      </c>
      <c r="D294" s="7" t="str">
        <f aca="false">INDEX(Entities!$F$5:$F$34,MATCH(B294,Entities!$A$5:$A$34,0))</f>
        <v>Tier 3</v>
      </c>
      <c r="E294" s="26" t="str">
        <f aca="false">'Control Library'!$A$36</f>
        <v>CTL-CR-01</v>
      </c>
      <c r="F294" s="12" t="str">
        <f aca="false">INDEX('Control Library'!$B$5:$B$47,MATCH(E294,'Control Library'!$A$5:$A$47,0))</f>
        <v>Credit approval authorities and committee review</v>
      </c>
      <c r="G294" s="7" t="str">
        <f aca="false">INDEX('Control Library'!$F$5:$F$47,MATCH(E294,'Control Library'!$A$5:$A$47,0))</f>
        <v>Y</v>
      </c>
      <c r="H294" s="12" t="str">
        <f aca="false">INDEX('Control Library'!$E$5:$E$47,MATCH(E294,'Control Library'!$A$5:$A$47,0))</f>
        <v>Event-driven</v>
      </c>
      <c r="I294" s="7" t="str">
        <f aca="false">IF(INDEX('Control Library'!$I$5:$I$47,MATCH(E294,'Control Library'!$A$5:$A$47,0))="All","Y",IF(INDEX('Control Library'!$I$5:$I$47,MATCH(E294,'Control Library'!$A$5:$A$47,0))="Banks only",IF(COUNTIF('Residual Config'!$L$28:$L$30,INDEX(Entities!$E$5:$E$34,MATCH(B294,Entities!$A$5:$A$34,0)))&gt;0,"N/A","Y"),IF(INDEX(Entities!$G$5:$G$34,MATCH(B294,Entities!$A$5:$A$34,0))="Y","Y","N/A")))</f>
        <v>Y</v>
      </c>
      <c r="J294" s="8" t="s">
        <v>1444</v>
      </c>
      <c r="K294" s="8" t="s">
        <v>1377</v>
      </c>
      <c r="L294" s="7" t="str">
        <f aca="false">IF(OR(J294="",K294=""),"",IF(J294=K294,"Breach","OK"))</f>
        <v>OK</v>
      </c>
      <c r="M294" s="24" t="n">
        <v>2</v>
      </c>
      <c r="N294" s="50" t="n">
        <v>46279</v>
      </c>
      <c r="O294" s="8" t="s">
        <v>545</v>
      </c>
      <c r="P294" s="24" t="n">
        <v>35</v>
      </c>
      <c r="Q294" s="31" t="n">
        <f aca="false">IF(I294="N/A","",IFERROR(INDEX('Residual Config'!$B$35:$B$42,MATCH(H294,'Residual Config'!$A$35:$A$42,0)),""))</f>
        <v>25</v>
      </c>
      <c r="R294" s="24" t="n">
        <v>1</v>
      </c>
      <c r="S294" s="8" t="s">
        <v>521</v>
      </c>
      <c r="T294" s="31" t="n">
        <f aca="false">IF(S294="","",MATCH(S294,'Residual Config'!$L$9:$L$12,0))</f>
        <v>2</v>
      </c>
      <c r="U294" s="8" t="s">
        <v>1445</v>
      </c>
      <c r="V294" s="24" t="n">
        <v>3</v>
      </c>
      <c r="W294" s="33" t="s">
        <v>533</v>
      </c>
      <c r="X294" s="8" t="s">
        <v>760</v>
      </c>
      <c r="Y294" s="51" t="n">
        <f aca="false">IF(N294="","",EDATE(N294,IF(G294="N",INDEX('Residual Config'!$B$31:$D$31,1,MATCH(D294,'Residual Config'!$B$27:$D$27,0)),INDEX('Residual Config'!$B$28:$D$30,IF(T294=1,1,IF(T294=4,3,2)),MATCH(D294,'Residual Config'!$B$27:$D$27,0)))))</f>
        <v>46460</v>
      </c>
      <c r="Z294" s="7" t="str">
        <f aca="false">IF(I294="N/A","N/A",IF(N294="","Not tested",IF(W294="Rejected","Evidence rejected",IF(W294&lt;&gt;"Accepted","Evidence pending",IF(Y294&lt;'Residual Config'!$C$4,"Overdue","Current")))))</f>
        <v>Current</v>
      </c>
      <c r="AA294" s="34" t="n">
        <f aca="false">IF(I294="N/A","",IF(Z294&lt;&gt;"Current",4,IF(MAX(M294,T294)=0,4,MAX(M294,T294))))</f>
        <v>2</v>
      </c>
      <c r="AB294" s="7" t="str">
        <f aca="false">IF(AA294="","N/A",IF(Z294&lt;&gt;"Current","Not tested / overdue",INDEX('Residual Config'!$B$11:$B$14,AA294)))</f>
        <v>Largely effective</v>
      </c>
      <c r="AC294" s="36" t="n">
        <f aca="false">IF(AA294="","",INDEX('Residual Config'!$D$11:$D$14,AA294))</f>
        <v>0.4</v>
      </c>
      <c r="AD294" s="7" t="str">
        <f aca="false">IF(OR(I294="N/A",P294="",Q294=""),"",IF(P294&gt;=Q294,"Yes","No"))</f>
        <v>Yes</v>
      </c>
      <c r="AE294" s="8"/>
    </row>
    <row r="295" customFormat="false" ht="15" hidden="false" customHeight="false" outlineLevel="0" collapsed="false">
      <c r="A295" s="12" t="s">
        <v>1446</v>
      </c>
      <c r="B295" s="26" t="str">
        <f aca="false">Entities!$A$11</f>
        <v>PS-INV</v>
      </c>
      <c r="C295" s="12" t="str">
        <f aca="false">INDEX(Entities!$B$5:$B$34,MATCH(B295,Entities!$A$5:$A$34,0))</f>
        <v>Al-Arabi Investment Group – Palestine</v>
      </c>
      <c r="D295" s="7" t="str">
        <f aca="false">INDEX(Entities!$F$5:$F$34,MATCH(B295,Entities!$A$5:$A$34,0))</f>
        <v>Tier 3</v>
      </c>
      <c r="E295" s="26" t="str">
        <f aca="false">'Control Library'!$A$37</f>
        <v>CTL-CR-02</v>
      </c>
      <c r="F295" s="12" t="str">
        <f aca="false">INDEX('Control Library'!$B$5:$B$47,MATCH(E295,'Control Library'!$A$5:$A$47,0))</f>
        <v>Collateral valuation and exposure limit monitoring</v>
      </c>
      <c r="G295" s="7" t="str">
        <f aca="false">INDEX('Control Library'!$F$5:$F$47,MATCH(E295,'Control Library'!$A$5:$A$47,0))</f>
        <v>N</v>
      </c>
      <c r="H295" s="12" t="str">
        <f aca="false">INDEX('Control Library'!$E$5:$E$47,MATCH(E295,'Control Library'!$A$5:$A$47,0))</f>
        <v>Monthly</v>
      </c>
      <c r="I295" s="7" t="str">
        <f aca="false">IF(INDEX('Control Library'!$I$5:$I$47,MATCH(E295,'Control Library'!$A$5:$A$47,0))="All","Y",IF(INDEX('Control Library'!$I$5:$I$47,MATCH(E295,'Control Library'!$A$5:$A$47,0))="Banks only",IF(COUNTIF('Residual Config'!$L$28:$L$30,INDEX(Entities!$E$5:$E$34,MATCH(B295,Entities!$A$5:$A$34,0)))&gt;0,"N/A","Y"),IF(INDEX(Entities!$G$5:$G$34,MATCH(B295,Entities!$A$5:$A$34,0))="Y","Y","N/A")))</f>
        <v>Y</v>
      </c>
      <c r="J295" s="8" t="s">
        <v>1447</v>
      </c>
      <c r="K295" s="8" t="s">
        <v>1377</v>
      </c>
      <c r="L295" s="7" t="str">
        <f aca="false">IF(OR(J295="",K295=""),"",IF(J295=K295,"Breach","OK"))</f>
        <v>OK</v>
      </c>
      <c r="M295" s="24" t="n">
        <v>2</v>
      </c>
      <c r="N295" s="50" t="n">
        <v>45960</v>
      </c>
      <c r="O295" s="8" t="s">
        <v>545</v>
      </c>
      <c r="P295" s="24" t="n">
        <v>3</v>
      </c>
      <c r="Q295" s="31" t="n">
        <f aca="false">IF(I295="N/A","",IFERROR(INDEX('Residual Config'!$B$35:$B$42,MATCH(H295,'Residual Config'!$A$35:$A$42,0)),""))</f>
        <v>3</v>
      </c>
      <c r="R295" s="24" t="n">
        <v>1</v>
      </c>
      <c r="S295" s="8" t="s">
        <v>521</v>
      </c>
      <c r="T295" s="31" t="n">
        <f aca="false">IF(S295="","",MATCH(S295,'Residual Config'!$L$9:$L$12,0))</f>
        <v>2</v>
      </c>
      <c r="U295" s="8" t="s">
        <v>1448</v>
      </c>
      <c r="V295" s="24" t="n">
        <v>3</v>
      </c>
      <c r="W295" s="33" t="s">
        <v>533</v>
      </c>
      <c r="X295" s="8" t="s">
        <v>760</v>
      </c>
      <c r="Y295" s="51" t="n">
        <f aca="false">IF(N295="","",EDATE(N295,IF(G295="N",INDEX('Residual Config'!$B$31:$D$31,1,MATCH(D295,'Residual Config'!$B$27:$D$27,0)),INDEX('Residual Config'!$B$28:$D$30,IF(T295=1,1,IF(T295=4,3,2)),MATCH(D295,'Residual Config'!$B$27:$D$27,0)))))</f>
        <v>46690</v>
      </c>
      <c r="Z295" s="7" t="str">
        <f aca="false">IF(I295="N/A","N/A",IF(N295="","Not tested",IF(W295="Rejected","Evidence rejected",IF(W295&lt;&gt;"Accepted","Evidence pending",IF(Y295&lt;'Residual Config'!$C$4,"Overdue","Current")))))</f>
        <v>Current</v>
      </c>
      <c r="AA295" s="34" t="n">
        <f aca="false">IF(I295="N/A","",IF(Z295&lt;&gt;"Current",4,IF(MAX(M295,T295)=0,4,MAX(M295,T295))))</f>
        <v>2</v>
      </c>
      <c r="AB295" s="7" t="str">
        <f aca="false">IF(AA295="","N/A",IF(Z295&lt;&gt;"Current","Not tested / overdue",INDEX('Residual Config'!$B$11:$B$14,AA295)))</f>
        <v>Largely effective</v>
      </c>
      <c r="AC295" s="36" t="n">
        <f aca="false">IF(AA295="","",INDEX('Residual Config'!$D$11:$D$14,AA295))</f>
        <v>0.4</v>
      </c>
      <c r="AD295" s="7" t="str">
        <f aca="false">IF(OR(I295="N/A",P295="",Q295=""),"",IF(P295&gt;=Q295,"Yes","No"))</f>
        <v>Yes</v>
      </c>
      <c r="AE295" s="8"/>
    </row>
    <row r="296" customFormat="false" ht="15" hidden="false" customHeight="false" outlineLevel="0" collapsed="false">
      <c r="A296" s="12" t="s">
        <v>1449</v>
      </c>
      <c r="B296" s="26" t="str">
        <f aca="false">Entities!$A$11</f>
        <v>PS-INV</v>
      </c>
      <c r="C296" s="12" t="str">
        <f aca="false">INDEX(Entities!$B$5:$B$34,MATCH(B296,Entities!$A$5:$A$34,0))</f>
        <v>Al-Arabi Investment Group – Palestine</v>
      </c>
      <c r="D296" s="7" t="str">
        <f aca="false">INDEX(Entities!$F$5:$F$34,MATCH(B296,Entities!$A$5:$A$34,0))</f>
        <v>Tier 3</v>
      </c>
      <c r="E296" s="26" t="str">
        <f aca="false">'Control Library'!$A$38</f>
        <v>CTL-MR-01</v>
      </c>
      <c r="F296" s="12" t="str">
        <f aca="false">INDEX('Control Library'!$B$5:$B$47,MATCH(E296,'Control Library'!$A$5:$A$47,0))</f>
        <v>Market risk limits and daily VaR monitoring</v>
      </c>
      <c r="G296" s="7" t="str">
        <f aca="false">INDEX('Control Library'!$F$5:$F$47,MATCH(E296,'Control Library'!$A$5:$A$47,0))</f>
        <v>Y</v>
      </c>
      <c r="H296" s="12" t="str">
        <f aca="false">INDEX('Control Library'!$E$5:$E$47,MATCH(E296,'Control Library'!$A$5:$A$47,0))</f>
        <v>Daily</v>
      </c>
      <c r="I296" s="7" t="str">
        <f aca="false">IF(INDEX('Control Library'!$I$5:$I$47,MATCH(E296,'Control Library'!$A$5:$A$47,0))="All","Y",IF(INDEX('Control Library'!$I$5:$I$47,MATCH(E296,'Control Library'!$A$5:$A$47,0))="Banks only",IF(COUNTIF('Residual Config'!$L$28:$L$30,INDEX(Entities!$E$5:$E$34,MATCH(B296,Entities!$A$5:$A$34,0)))&gt;0,"N/A","Y"),IF(INDEX(Entities!$G$5:$G$34,MATCH(B296,Entities!$A$5:$A$34,0))="Y","Y","N/A")))</f>
        <v>Y</v>
      </c>
      <c r="J296" s="8" t="s">
        <v>1447</v>
      </c>
      <c r="K296" s="8" t="s">
        <v>1377</v>
      </c>
      <c r="L296" s="7" t="str">
        <f aca="false">IF(OR(J296="",K296=""),"",IF(J296=K296,"Breach","OK"))</f>
        <v>OK</v>
      </c>
      <c r="M296" s="24" t="n">
        <v>2</v>
      </c>
      <c r="N296" s="50" t="n">
        <v>46194</v>
      </c>
      <c r="O296" s="8" t="s">
        <v>547</v>
      </c>
      <c r="P296" s="24" t="n">
        <v>30</v>
      </c>
      <c r="Q296" s="31" t="n">
        <f aca="false">IF(I296="N/A","",IFERROR(INDEX('Residual Config'!$B$35:$B$42,MATCH(H296,'Residual Config'!$A$35:$A$42,0)),""))</f>
        <v>25</v>
      </c>
      <c r="R296" s="24" t="n">
        <v>1</v>
      </c>
      <c r="S296" s="8" t="s">
        <v>521</v>
      </c>
      <c r="T296" s="31" t="n">
        <f aca="false">IF(S296="","",MATCH(S296,'Residual Config'!$L$9:$L$12,0))</f>
        <v>2</v>
      </c>
      <c r="U296" s="8" t="s">
        <v>1450</v>
      </c>
      <c r="V296" s="24" t="n">
        <v>1</v>
      </c>
      <c r="W296" s="33" t="s">
        <v>533</v>
      </c>
      <c r="X296" s="8" t="s">
        <v>754</v>
      </c>
      <c r="Y296" s="51" t="n">
        <f aca="false">IF(N296="","",EDATE(N296,IF(G296="N",INDEX('Residual Config'!$B$31:$D$31,1,MATCH(D296,'Residual Config'!$B$27:$D$27,0)),INDEX('Residual Config'!$B$28:$D$30,IF(T296=1,1,IF(T296=4,3,2)),MATCH(D296,'Residual Config'!$B$27:$D$27,0)))))</f>
        <v>46377</v>
      </c>
      <c r="Z296" s="7" t="str">
        <f aca="false">IF(I296="N/A","N/A",IF(N296="","Not tested",IF(W296="Rejected","Evidence rejected",IF(W296&lt;&gt;"Accepted","Evidence pending",IF(Y296&lt;'Residual Config'!$C$4,"Overdue","Current")))))</f>
        <v>Current</v>
      </c>
      <c r="AA296" s="34" t="n">
        <f aca="false">IF(I296="N/A","",IF(Z296&lt;&gt;"Current",4,IF(MAX(M296,T296)=0,4,MAX(M296,T296))))</f>
        <v>2</v>
      </c>
      <c r="AB296" s="7" t="str">
        <f aca="false">IF(AA296="","N/A",IF(Z296&lt;&gt;"Current","Not tested / overdue",INDEX('Residual Config'!$B$11:$B$14,AA296)))</f>
        <v>Largely effective</v>
      </c>
      <c r="AC296" s="36" t="n">
        <f aca="false">IF(AA296="","",INDEX('Residual Config'!$D$11:$D$14,AA296))</f>
        <v>0.4</v>
      </c>
      <c r="AD296" s="7" t="str">
        <f aca="false">IF(OR(I296="N/A",P296="",Q296=""),"",IF(P296&gt;=Q296,"Yes","No"))</f>
        <v>Yes</v>
      </c>
      <c r="AE296" s="8"/>
    </row>
    <row r="297" customFormat="false" ht="15" hidden="false" customHeight="false" outlineLevel="0" collapsed="false">
      <c r="A297" s="12" t="s">
        <v>1451</v>
      </c>
      <c r="B297" s="26" t="str">
        <f aca="false">Entities!$A$11</f>
        <v>PS-INV</v>
      </c>
      <c r="C297" s="12" t="str">
        <f aca="false">INDEX(Entities!$B$5:$B$34,MATCH(B297,Entities!$A$5:$A$34,0))</f>
        <v>Al-Arabi Investment Group – Palestine</v>
      </c>
      <c r="D297" s="7" t="str">
        <f aca="false">INDEX(Entities!$F$5:$F$34,MATCH(B297,Entities!$A$5:$A$34,0))</f>
        <v>Tier 3</v>
      </c>
      <c r="E297" s="26" t="str">
        <f aca="false">'Control Library'!$A$39</f>
        <v>CTL-LQ-01</v>
      </c>
      <c r="F297" s="12" t="str">
        <f aca="false">INDEX('Control Library'!$B$5:$B$47,MATCH(E297,'Control Library'!$A$5:$A$47,0))</f>
        <v>Liquidity buffers, LCR/NSFR monitoring and contingency funding plan</v>
      </c>
      <c r="G297" s="7" t="str">
        <f aca="false">INDEX('Control Library'!$F$5:$F$47,MATCH(E297,'Control Library'!$A$5:$A$47,0))</f>
        <v>Y</v>
      </c>
      <c r="H297" s="12" t="str">
        <f aca="false">INDEX('Control Library'!$E$5:$E$47,MATCH(E297,'Control Library'!$A$5:$A$47,0))</f>
        <v>Daily</v>
      </c>
      <c r="I297" s="7" t="str">
        <f aca="false">IF(INDEX('Control Library'!$I$5:$I$47,MATCH(E297,'Control Library'!$A$5:$A$47,0))="All","Y",IF(INDEX('Control Library'!$I$5:$I$47,MATCH(E297,'Control Library'!$A$5:$A$47,0))="Banks only",IF(COUNTIF('Residual Config'!$L$28:$L$30,INDEX(Entities!$E$5:$E$34,MATCH(B297,Entities!$A$5:$A$34,0)))&gt;0,"N/A","Y"),IF(INDEX(Entities!$G$5:$G$34,MATCH(B297,Entities!$A$5:$A$34,0))="Y","Y","N/A")))</f>
        <v>Y</v>
      </c>
      <c r="J297" s="8" t="s">
        <v>1452</v>
      </c>
      <c r="K297" s="8" t="s">
        <v>1377</v>
      </c>
      <c r="L297" s="7" t="str">
        <f aca="false">IF(OR(J297="",K297=""),"",IF(J297=K297,"Breach","OK"))</f>
        <v>OK</v>
      </c>
      <c r="M297" s="24" t="n">
        <v>2</v>
      </c>
      <c r="N297" s="50" t="n">
        <v>46193</v>
      </c>
      <c r="O297" s="8" t="s">
        <v>545</v>
      </c>
      <c r="P297" s="24" t="n">
        <v>25</v>
      </c>
      <c r="Q297" s="31" t="n">
        <f aca="false">IF(I297="N/A","",IFERROR(INDEX('Residual Config'!$B$35:$B$42,MATCH(H297,'Residual Config'!$A$35:$A$42,0)),""))</f>
        <v>25</v>
      </c>
      <c r="R297" s="24" t="n">
        <v>1</v>
      </c>
      <c r="S297" s="8" t="s">
        <v>521</v>
      </c>
      <c r="T297" s="31" t="n">
        <f aca="false">IF(S297="","",MATCH(S297,'Residual Config'!$L$9:$L$12,0))</f>
        <v>2</v>
      </c>
      <c r="U297" s="8" t="s">
        <v>1453</v>
      </c>
      <c r="V297" s="24" t="n">
        <v>5</v>
      </c>
      <c r="W297" s="33" t="s">
        <v>533</v>
      </c>
      <c r="X297" s="8" t="s">
        <v>754</v>
      </c>
      <c r="Y297" s="51" t="n">
        <f aca="false">IF(N297="","",EDATE(N297,IF(G297="N",INDEX('Residual Config'!$B$31:$D$31,1,MATCH(D297,'Residual Config'!$B$27:$D$27,0)),INDEX('Residual Config'!$B$28:$D$30,IF(T297=1,1,IF(T297=4,3,2)),MATCH(D297,'Residual Config'!$B$27:$D$27,0)))))</f>
        <v>46376</v>
      </c>
      <c r="Z297" s="7" t="str">
        <f aca="false">IF(I297="N/A","N/A",IF(N297="","Not tested",IF(W297="Rejected","Evidence rejected",IF(W297&lt;&gt;"Accepted","Evidence pending",IF(Y297&lt;'Residual Config'!$C$4,"Overdue","Current")))))</f>
        <v>Current</v>
      </c>
      <c r="AA297" s="34" t="n">
        <f aca="false">IF(I297="N/A","",IF(Z297&lt;&gt;"Current",4,IF(MAX(M297,T297)=0,4,MAX(M297,T297))))</f>
        <v>2</v>
      </c>
      <c r="AB297" s="7" t="str">
        <f aca="false">IF(AA297="","N/A",IF(Z297&lt;&gt;"Current","Not tested / overdue",INDEX('Residual Config'!$B$11:$B$14,AA297)))</f>
        <v>Largely effective</v>
      </c>
      <c r="AC297" s="36" t="n">
        <f aca="false">IF(AA297="","",INDEX('Residual Config'!$D$11:$D$14,AA297))</f>
        <v>0.4</v>
      </c>
      <c r="AD297" s="7" t="str">
        <f aca="false">IF(OR(I297="N/A",P297="",Q297=""),"",IF(P297&gt;=Q297,"Yes","No"))</f>
        <v>Yes</v>
      </c>
      <c r="AE297" s="8"/>
    </row>
    <row r="298" customFormat="false" ht="15" hidden="false" customHeight="false" outlineLevel="0" collapsed="false">
      <c r="A298" s="12" t="s">
        <v>1454</v>
      </c>
      <c r="B298" s="26" t="str">
        <f aca="false">Entities!$A$11</f>
        <v>PS-INV</v>
      </c>
      <c r="C298" s="12" t="str">
        <f aca="false">INDEX(Entities!$B$5:$B$34,MATCH(B298,Entities!$A$5:$A$34,0))</f>
        <v>Al-Arabi Investment Group – Palestine</v>
      </c>
      <c r="D298" s="7" t="str">
        <f aca="false">INDEX(Entities!$F$5:$F$34,MATCH(B298,Entities!$A$5:$A$34,0))</f>
        <v>Tier 3</v>
      </c>
      <c r="E298" s="26" t="str">
        <f aca="false">'Control Library'!$A$40</f>
        <v>CTL-OR-01</v>
      </c>
      <c r="F298" s="12" t="str">
        <f aca="false">INDEX('Control Library'!$B$5:$B$47,MATCH(E298,'Control Library'!$A$5:$A$47,0))</f>
        <v>Business continuity plans and annual testing</v>
      </c>
      <c r="G298" s="7" t="str">
        <f aca="false">INDEX('Control Library'!$F$5:$F$47,MATCH(E298,'Control Library'!$A$5:$A$47,0))</f>
        <v>Y</v>
      </c>
      <c r="H298" s="12" t="str">
        <f aca="false">INDEX('Control Library'!$E$5:$E$47,MATCH(E298,'Control Library'!$A$5:$A$47,0))</f>
        <v>Annual</v>
      </c>
      <c r="I298" s="7" t="str">
        <f aca="false">IF(INDEX('Control Library'!$I$5:$I$47,MATCH(E298,'Control Library'!$A$5:$A$47,0))="All","Y",IF(INDEX('Control Library'!$I$5:$I$47,MATCH(E298,'Control Library'!$A$5:$A$47,0))="Banks only",IF(COUNTIF('Residual Config'!$L$28:$L$30,INDEX(Entities!$E$5:$E$34,MATCH(B298,Entities!$A$5:$A$34,0)))&gt;0,"N/A","Y"),IF(INDEX(Entities!$G$5:$G$34,MATCH(B298,Entities!$A$5:$A$34,0))="Y","Y","N/A")))</f>
        <v>Y</v>
      </c>
      <c r="J298" s="8" t="s">
        <v>1455</v>
      </c>
      <c r="K298" s="8" t="s">
        <v>1377</v>
      </c>
      <c r="L298" s="7" t="str">
        <f aca="false">IF(OR(J298="",K298=""),"",IF(J298=K298,"Breach","OK"))</f>
        <v>OK</v>
      </c>
      <c r="M298" s="24" t="n">
        <v>3</v>
      </c>
      <c r="N298" s="50" t="n">
        <v>46258</v>
      </c>
      <c r="O298" s="8" t="s">
        <v>546</v>
      </c>
      <c r="P298" s="24" t="n">
        <v>1</v>
      </c>
      <c r="Q298" s="31" t="n">
        <f aca="false">IF(I298="N/A","",IFERROR(INDEX('Residual Config'!$B$35:$B$42,MATCH(H298,'Residual Config'!$A$35:$A$42,0)),""))</f>
        <v>1</v>
      </c>
      <c r="R298" s="24" t="n">
        <v>1</v>
      </c>
      <c r="S298" s="8" t="s">
        <v>521</v>
      </c>
      <c r="T298" s="31" t="n">
        <f aca="false">IF(S298="","",MATCH(S298,'Residual Config'!$L$9:$L$12,0))</f>
        <v>2</v>
      </c>
      <c r="U298" s="8" t="s">
        <v>1456</v>
      </c>
      <c r="V298" s="24" t="n">
        <v>5</v>
      </c>
      <c r="W298" s="33" t="s">
        <v>533</v>
      </c>
      <c r="X298" s="8" t="s">
        <v>754</v>
      </c>
      <c r="Y298" s="51" t="n">
        <f aca="false">IF(N298="","",EDATE(N298,IF(G298="N",INDEX('Residual Config'!$B$31:$D$31,1,MATCH(D298,'Residual Config'!$B$27:$D$27,0)),INDEX('Residual Config'!$B$28:$D$30,IF(T298=1,1,IF(T298=4,3,2)),MATCH(D298,'Residual Config'!$B$27:$D$27,0)))))</f>
        <v>46442</v>
      </c>
      <c r="Z298" s="7" t="str">
        <f aca="false">IF(I298="N/A","N/A",IF(N298="","Not tested",IF(W298="Rejected","Evidence rejected",IF(W298&lt;&gt;"Accepted","Evidence pending",IF(Y298&lt;'Residual Config'!$C$4,"Overdue","Current")))))</f>
        <v>Current</v>
      </c>
      <c r="AA298" s="34" t="n">
        <f aca="false">IF(I298="N/A","",IF(Z298&lt;&gt;"Current",4,IF(MAX(M298,T298)=0,4,MAX(M298,T298))))</f>
        <v>3</v>
      </c>
      <c r="AB298" s="7" t="str">
        <f aca="false">IF(AA298="","N/A",IF(Z298&lt;&gt;"Current","Not tested / overdue",INDEX('Residual Config'!$B$11:$B$14,AA298)))</f>
        <v>Partially effective</v>
      </c>
      <c r="AC298" s="36" t="n">
        <f aca="false">IF(AA298="","",INDEX('Residual Config'!$D$11:$D$14,AA298))</f>
        <v>0.2</v>
      </c>
      <c r="AD298" s="7" t="str">
        <f aca="false">IF(OR(I298="N/A",P298="",Q298=""),"",IF(P298&gt;=Q298,"Yes","No"))</f>
        <v>Yes</v>
      </c>
      <c r="AE298" s="8"/>
    </row>
    <row r="299" customFormat="false" ht="15" hidden="false" customHeight="false" outlineLevel="0" collapsed="false">
      <c r="A299" s="12" t="s">
        <v>1457</v>
      </c>
      <c r="B299" s="26" t="str">
        <f aca="false">Entities!$A$11</f>
        <v>PS-INV</v>
      </c>
      <c r="C299" s="12" t="str">
        <f aca="false">INDEX(Entities!$B$5:$B$34,MATCH(B299,Entities!$A$5:$A$34,0))</f>
        <v>Al-Arabi Investment Group – Palestine</v>
      </c>
      <c r="D299" s="7" t="str">
        <f aca="false">INDEX(Entities!$F$5:$F$34,MATCH(B299,Entities!$A$5:$A$34,0))</f>
        <v>Tier 3</v>
      </c>
      <c r="E299" s="26" t="str">
        <f aca="false">'Control Library'!$A$41</f>
        <v>CTL-OR-02</v>
      </c>
      <c r="F299" s="12" t="str">
        <f aca="false">INDEX('Control Library'!$B$5:$B$47,MATCH(E299,'Control Library'!$A$5:$A$47,0))</f>
        <v>Operational loss event capture and RCSA</v>
      </c>
      <c r="G299" s="7" t="str">
        <f aca="false">INDEX('Control Library'!$F$5:$F$47,MATCH(E299,'Control Library'!$A$5:$A$47,0))</f>
        <v>N</v>
      </c>
      <c r="H299" s="12" t="str">
        <f aca="false">INDEX('Control Library'!$E$5:$E$47,MATCH(E299,'Control Library'!$A$5:$A$47,0))</f>
        <v>Quarterly</v>
      </c>
      <c r="I299" s="7" t="str">
        <f aca="false">IF(INDEX('Control Library'!$I$5:$I$47,MATCH(E299,'Control Library'!$A$5:$A$47,0))="All","Y",IF(INDEX('Control Library'!$I$5:$I$47,MATCH(E299,'Control Library'!$A$5:$A$47,0))="Banks only",IF(COUNTIF('Residual Config'!$L$28:$L$30,INDEX(Entities!$E$5:$E$34,MATCH(B299,Entities!$A$5:$A$34,0)))&gt;0,"N/A","Y"),IF(INDEX(Entities!$G$5:$G$34,MATCH(B299,Entities!$A$5:$A$34,0))="Y","Y","N/A")))</f>
        <v>Y</v>
      </c>
      <c r="J299" s="8" t="s">
        <v>1447</v>
      </c>
      <c r="K299" s="8" t="s">
        <v>1377</v>
      </c>
      <c r="L299" s="7" t="str">
        <f aca="false">IF(OR(J299="",K299=""),"",IF(J299=K299,"Breach","OK"))</f>
        <v>OK</v>
      </c>
      <c r="M299" s="24" t="n">
        <v>2</v>
      </c>
      <c r="N299" s="50" t="n">
        <v>46170</v>
      </c>
      <c r="O299" s="8" t="s">
        <v>545</v>
      </c>
      <c r="P299" s="24" t="n">
        <v>2</v>
      </c>
      <c r="Q299" s="31" t="n">
        <f aca="false">IF(I299="N/A","",IFERROR(INDEX('Residual Config'!$B$35:$B$42,MATCH(H299,'Residual Config'!$A$35:$A$42,0)),""))</f>
        <v>2</v>
      </c>
      <c r="R299" s="24" t="n">
        <v>1</v>
      </c>
      <c r="S299" s="8" t="s">
        <v>521</v>
      </c>
      <c r="T299" s="31" t="n">
        <f aca="false">IF(S299="","",MATCH(S299,'Residual Config'!$L$9:$L$12,0))</f>
        <v>2</v>
      </c>
      <c r="U299" s="8" t="s">
        <v>1458</v>
      </c>
      <c r="V299" s="24" t="n">
        <v>3</v>
      </c>
      <c r="W299" s="33" t="s">
        <v>533</v>
      </c>
      <c r="X299" s="8" t="s">
        <v>754</v>
      </c>
      <c r="Y299" s="51" t="n">
        <f aca="false">IF(N299="","",EDATE(N299,IF(G299="N",INDEX('Residual Config'!$B$31:$D$31,1,MATCH(D299,'Residual Config'!$B$27:$D$27,0)),INDEX('Residual Config'!$B$28:$D$30,IF(T299=1,1,IF(T299=4,3,2)),MATCH(D299,'Residual Config'!$B$27:$D$27,0)))))</f>
        <v>46901</v>
      </c>
      <c r="Z299" s="7" t="str">
        <f aca="false">IF(I299="N/A","N/A",IF(N299="","Not tested",IF(W299="Rejected","Evidence rejected",IF(W299&lt;&gt;"Accepted","Evidence pending",IF(Y299&lt;'Residual Config'!$C$4,"Overdue","Current")))))</f>
        <v>Current</v>
      </c>
      <c r="AA299" s="34" t="n">
        <f aca="false">IF(I299="N/A","",IF(Z299&lt;&gt;"Current",4,IF(MAX(M299,T299)=0,4,MAX(M299,T299))))</f>
        <v>2</v>
      </c>
      <c r="AB299" s="7" t="str">
        <f aca="false">IF(AA299="","N/A",IF(Z299&lt;&gt;"Current","Not tested / overdue",INDEX('Residual Config'!$B$11:$B$14,AA299)))</f>
        <v>Largely effective</v>
      </c>
      <c r="AC299" s="36" t="n">
        <f aca="false">IF(AA299="","",INDEX('Residual Config'!$D$11:$D$14,AA299))</f>
        <v>0.4</v>
      </c>
      <c r="AD299" s="7" t="str">
        <f aca="false">IF(OR(I299="N/A",P299="",Q299=""),"",IF(P299&gt;=Q299,"Yes","No"))</f>
        <v>Yes</v>
      </c>
      <c r="AE299" s="8"/>
    </row>
    <row r="300" customFormat="false" ht="15" hidden="false" customHeight="false" outlineLevel="0" collapsed="false">
      <c r="A300" s="12" t="s">
        <v>1459</v>
      </c>
      <c r="B300" s="26" t="str">
        <f aca="false">Entities!$A$11</f>
        <v>PS-INV</v>
      </c>
      <c r="C300" s="12" t="str">
        <f aca="false">INDEX(Entities!$B$5:$B$34,MATCH(B300,Entities!$A$5:$A$34,0))</f>
        <v>Al-Arabi Investment Group – Palestine</v>
      </c>
      <c r="D300" s="7" t="str">
        <f aca="false">INDEX(Entities!$F$5:$F$34,MATCH(B300,Entities!$A$5:$A$34,0))</f>
        <v>Tier 3</v>
      </c>
      <c r="E300" s="26" t="str">
        <f aca="false">'Control Library'!$A$42</f>
        <v>CTL-CY-01</v>
      </c>
      <c r="F300" s="12" t="str">
        <f aca="false">INDEX('Control Library'!$B$5:$B$47,MATCH(E300,'Control Library'!$A$5:$A$47,0))</f>
        <v>Vulnerability and patch management</v>
      </c>
      <c r="G300" s="7" t="str">
        <f aca="false">INDEX('Control Library'!$F$5:$F$47,MATCH(E300,'Control Library'!$A$5:$A$47,0))</f>
        <v>Y</v>
      </c>
      <c r="H300" s="12" t="str">
        <f aca="false">INDEX('Control Library'!$E$5:$E$47,MATCH(E300,'Control Library'!$A$5:$A$47,0))</f>
        <v>Monthly</v>
      </c>
      <c r="I300" s="7" t="str">
        <f aca="false">IF(INDEX('Control Library'!$I$5:$I$47,MATCH(E300,'Control Library'!$A$5:$A$47,0))="All","Y",IF(INDEX('Control Library'!$I$5:$I$47,MATCH(E300,'Control Library'!$A$5:$A$47,0))="Banks only",IF(COUNTIF('Residual Config'!$L$28:$L$30,INDEX(Entities!$E$5:$E$34,MATCH(B300,Entities!$A$5:$A$34,0)))&gt;0,"N/A","Y"),IF(INDEX(Entities!$G$5:$G$34,MATCH(B300,Entities!$A$5:$A$34,0))="Y","Y","N/A")))</f>
        <v>Y</v>
      </c>
      <c r="J300" s="8" t="s">
        <v>1400</v>
      </c>
      <c r="K300" s="8" t="s">
        <v>1377</v>
      </c>
      <c r="L300" s="7" t="str">
        <f aca="false">IF(OR(J300="",K300=""),"",IF(J300=K300,"Breach","OK"))</f>
        <v>OK</v>
      </c>
      <c r="M300" s="24" t="n">
        <v>2</v>
      </c>
      <c r="N300" s="50" t="n">
        <v>46153</v>
      </c>
      <c r="O300" s="8" t="s">
        <v>546</v>
      </c>
      <c r="P300" s="24" t="n">
        <v>3</v>
      </c>
      <c r="Q300" s="31" t="n">
        <f aca="false">IF(I300="N/A","",IFERROR(INDEX('Residual Config'!$B$35:$B$42,MATCH(H300,'Residual Config'!$A$35:$A$42,0)),""))</f>
        <v>3</v>
      </c>
      <c r="R300" s="24" t="n">
        <v>1</v>
      </c>
      <c r="S300" s="8" t="s">
        <v>521</v>
      </c>
      <c r="T300" s="31" t="n">
        <f aca="false">IF(S300="","",MATCH(S300,'Residual Config'!$L$9:$L$12,0))</f>
        <v>2</v>
      </c>
      <c r="U300" s="8" t="s">
        <v>1460</v>
      </c>
      <c r="V300" s="24" t="n">
        <v>2</v>
      </c>
      <c r="W300" s="33" t="s">
        <v>533</v>
      </c>
      <c r="X300" s="8" t="s">
        <v>754</v>
      </c>
      <c r="Y300" s="51" t="n">
        <f aca="false">IF(N300="","",EDATE(N300,IF(G300="N",INDEX('Residual Config'!$B$31:$D$31,1,MATCH(D300,'Residual Config'!$B$27:$D$27,0)),INDEX('Residual Config'!$B$28:$D$30,IF(T300=1,1,IF(T300=4,3,2)),MATCH(D300,'Residual Config'!$B$27:$D$27,0)))))</f>
        <v>46337</v>
      </c>
      <c r="Z300" s="7" t="str">
        <f aca="false">IF(I300="N/A","N/A",IF(N300="","Not tested",IF(W300="Rejected","Evidence rejected",IF(W300&lt;&gt;"Accepted","Evidence pending",IF(Y300&lt;'Residual Config'!$C$4,"Overdue","Current")))))</f>
        <v>Current</v>
      </c>
      <c r="AA300" s="34" t="n">
        <f aca="false">IF(I300="N/A","",IF(Z300&lt;&gt;"Current",4,IF(MAX(M300,T300)=0,4,MAX(M300,T300))))</f>
        <v>2</v>
      </c>
      <c r="AB300" s="7" t="str">
        <f aca="false">IF(AA300="","N/A",IF(Z300&lt;&gt;"Current","Not tested / overdue",INDEX('Residual Config'!$B$11:$B$14,AA300)))</f>
        <v>Largely effective</v>
      </c>
      <c r="AC300" s="36" t="n">
        <f aca="false">IF(AA300="","",INDEX('Residual Config'!$D$11:$D$14,AA300))</f>
        <v>0.4</v>
      </c>
      <c r="AD300" s="7" t="str">
        <f aca="false">IF(OR(I300="N/A",P300="",Q300=""),"",IF(P300&gt;=Q300,"Yes","No"))</f>
        <v>Yes</v>
      </c>
      <c r="AE300" s="8"/>
    </row>
    <row r="301" customFormat="false" ht="15" hidden="false" customHeight="false" outlineLevel="0" collapsed="false">
      <c r="A301" s="12" t="s">
        <v>1461</v>
      </c>
      <c r="B301" s="26" t="str">
        <f aca="false">Entities!$A$11</f>
        <v>PS-INV</v>
      </c>
      <c r="C301" s="12" t="str">
        <f aca="false">INDEX(Entities!$B$5:$B$34,MATCH(B301,Entities!$A$5:$A$34,0))</f>
        <v>Al-Arabi Investment Group – Palestine</v>
      </c>
      <c r="D301" s="7" t="str">
        <f aca="false">INDEX(Entities!$F$5:$F$34,MATCH(B301,Entities!$A$5:$A$34,0))</f>
        <v>Tier 3</v>
      </c>
      <c r="E301" s="26" t="str">
        <f aca="false">'Control Library'!$A$43</f>
        <v>CTL-CY-02</v>
      </c>
      <c r="F301" s="12" t="str">
        <f aca="false">INDEX('Control Library'!$B$5:$B$47,MATCH(E301,'Control Library'!$A$5:$A$47,0))</f>
        <v>Privileged access management and SOC monitoring</v>
      </c>
      <c r="G301" s="7" t="str">
        <f aca="false">INDEX('Control Library'!$F$5:$F$47,MATCH(E301,'Control Library'!$A$5:$A$47,0))</f>
        <v>Y</v>
      </c>
      <c r="H301" s="12" t="str">
        <f aca="false">INDEX('Control Library'!$E$5:$E$47,MATCH(E301,'Control Library'!$A$5:$A$47,0))</f>
        <v>Continuous</v>
      </c>
      <c r="I301" s="7" t="str">
        <f aca="false">IF(INDEX('Control Library'!$I$5:$I$47,MATCH(E301,'Control Library'!$A$5:$A$47,0))="All","Y",IF(INDEX('Control Library'!$I$5:$I$47,MATCH(E301,'Control Library'!$A$5:$A$47,0))="Banks only",IF(COUNTIF('Residual Config'!$L$28:$L$30,INDEX(Entities!$E$5:$E$34,MATCH(B301,Entities!$A$5:$A$34,0)))&gt;0,"N/A","Y"),IF(INDEX(Entities!$G$5:$G$34,MATCH(B301,Entities!$A$5:$A$34,0))="Y","Y","N/A")))</f>
        <v>Y</v>
      </c>
      <c r="J301" s="8" t="s">
        <v>1440</v>
      </c>
      <c r="K301" s="8" t="s">
        <v>1377</v>
      </c>
      <c r="L301" s="7" t="str">
        <f aca="false">IF(OR(J301="",K301=""),"",IF(J301=K301,"Breach","OK"))</f>
        <v>OK</v>
      </c>
      <c r="M301" s="24" t="n">
        <v>2</v>
      </c>
      <c r="N301" s="50" t="n">
        <v>46258</v>
      </c>
      <c r="O301" s="8" t="s">
        <v>547</v>
      </c>
      <c r="P301" s="24" t="n">
        <v>1</v>
      </c>
      <c r="Q301" s="31" t="n">
        <f aca="false">IF(I301="N/A","",IFERROR(INDEX('Residual Config'!$B$35:$B$42,MATCH(H301,'Residual Config'!$A$35:$A$42,0)),""))</f>
        <v>1</v>
      </c>
      <c r="R301" s="24" t="n">
        <v>0</v>
      </c>
      <c r="S301" s="8" t="s">
        <v>516</v>
      </c>
      <c r="T301" s="31" t="n">
        <f aca="false">IF(S301="","",MATCH(S301,'Residual Config'!$L$9:$L$12,0))</f>
        <v>1</v>
      </c>
      <c r="U301" s="8" t="s">
        <v>1462</v>
      </c>
      <c r="V301" s="24" t="n">
        <v>6</v>
      </c>
      <c r="W301" s="33" t="s">
        <v>533</v>
      </c>
      <c r="X301" s="8" t="s">
        <v>760</v>
      </c>
      <c r="Y301" s="51" t="n">
        <f aca="false">IF(N301="","",EDATE(N301,IF(G301="N",INDEX('Residual Config'!$B$31:$D$31,1,MATCH(D301,'Residual Config'!$B$27:$D$27,0)),INDEX('Residual Config'!$B$28:$D$30,IF(T301=1,1,IF(T301=4,3,2)),MATCH(D301,'Residual Config'!$B$27:$D$27,0)))))</f>
        <v>46623</v>
      </c>
      <c r="Z301" s="7" t="str">
        <f aca="false">IF(I301="N/A","N/A",IF(N301="","Not tested",IF(W301="Rejected","Evidence rejected",IF(W301&lt;&gt;"Accepted","Evidence pending",IF(Y301&lt;'Residual Config'!$C$4,"Overdue","Current")))))</f>
        <v>Current</v>
      </c>
      <c r="AA301" s="34" t="n">
        <f aca="false">IF(I301="N/A","",IF(Z301&lt;&gt;"Current",4,IF(MAX(M301,T301)=0,4,MAX(M301,T301))))</f>
        <v>2</v>
      </c>
      <c r="AB301" s="7" t="str">
        <f aca="false">IF(AA301="","N/A",IF(Z301&lt;&gt;"Current","Not tested / overdue",INDEX('Residual Config'!$B$11:$B$14,AA301)))</f>
        <v>Largely effective</v>
      </c>
      <c r="AC301" s="36" t="n">
        <f aca="false">IF(AA301="","",INDEX('Residual Config'!$D$11:$D$14,AA301))</f>
        <v>0.4</v>
      </c>
      <c r="AD301" s="7" t="str">
        <f aca="false">IF(OR(I301="N/A",P301="",Q301=""),"",IF(P301&gt;=Q301,"Yes","No"))</f>
        <v>Yes</v>
      </c>
      <c r="AE301" s="8"/>
    </row>
    <row r="302" customFormat="false" ht="15" hidden="false" customHeight="false" outlineLevel="0" collapsed="false">
      <c r="A302" s="12" t="s">
        <v>1463</v>
      </c>
      <c r="B302" s="26" t="str">
        <f aca="false">Entities!$A$11</f>
        <v>PS-INV</v>
      </c>
      <c r="C302" s="12" t="str">
        <f aca="false">INDEX(Entities!$B$5:$B$34,MATCH(B302,Entities!$A$5:$A$34,0))</f>
        <v>Al-Arabi Investment Group – Palestine</v>
      </c>
      <c r="D302" s="7" t="str">
        <f aca="false">INDEX(Entities!$F$5:$F$34,MATCH(B302,Entities!$A$5:$A$34,0))</f>
        <v>Tier 3</v>
      </c>
      <c r="E302" s="26" t="str">
        <f aca="false">'Control Library'!$A$44</f>
        <v>CTL-TP-01</v>
      </c>
      <c r="F302" s="12" t="str">
        <f aca="false">INDEX('Control Library'!$B$5:$B$47,MATCH(E302,'Control Library'!$A$5:$A$47,0))</f>
        <v>Critical vendor due diligence and tested exit plans</v>
      </c>
      <c r="G302" s="7" t="str">
        <f aca="false">INDEX('Control Library'!$F$5:$F$47,MATCH(E302,'Control Library'!$A$5:$A$47,0))</f>
        <v>Y</v>
      </c>
      <c r="H302" s="12" t="str">
        <f aca="false">INDEX('Control Library'!$E$5:$E$47,MATCH(E302,'Control Library'!$A$5:$A$47,0))</f>
        <v>Annual</v>
      </c>
      <c r="I302" s="7" t="str">
        <f aca="false">IF(INDEX('Control Library'!$I$5:$I$47,MATCH(E302,'Control Library'!$A$5:$A$47,0))="All","Y",IF(INDEX('Control Library'!$I$5:$I$47,MATCH(E302,'Control Library'!$A$5:$A$47,0))="Banks only",IF(COUNTIF('Residual Config'!$L$28:$L$30,INDEX(Entities!$E$5:$E$34,MATCH(B302,Entities!$A$5:$A$34,0)))&gt;0,"N/A","Y"),IF(INDEX(Entities!$G$5:$G$34,MATCH(B302,Entities!$A$5:$A$34,0))="Y","Y","N/A")))</f>
        <v>Y</v>
      </c>
      <c r="J302" s="8" t="s">
        <v>1410</v>
      </c>
      <c r="K302" s="8" t="s">
        <v>1377</v>
      </c>
      <c r="L302" s="7" t="str">
        <f aca="false">IF(OR(J302="",K302=""),"",IF(J302=K302,"Breach","OK"))</f>
        <v>OK</v>
      </c>
      <c r="M302" s="24" t="n">
        <v>2</v>
      </c>
      <c r="N302" s="50" t="n">
        <v>46194</v>
      </c>
      <c r="O302" s="8" t="s">
        <v>545</v>
      </c>
      <c r="P302" s="24" t="n">
        <v>1</v>
      </c>
      <c r="Q302" s="31" t="n">
        <f aca="false">IF(I302="N/A","",IFERROR(INDEX('Residual Config'!$B$35:$B$42,MATCH(H302,'Residual Config'!$A$35:$A$42,0)),""))</f>
        <v>1</v>
      </c>
      <c r="R302" s="24" t="n">
        <v>1</v>
      </c>
      <c r="S302" s="8" t="s">
        <v>521</v>
      </c>
      <c r="T302" s="31" t="n">
        <f aca="false">IF(S302="","",MATCH(S302,'Residual Config'!$L$9:$L$12,0))</f>
        <v>2</v>
      </c>
      <c r="U302" s="8" t="s">
        <v>1464</v>
      </c>
      <c r="V302" s="24" t="n">
        <v>6</v>
      </c>
      <c r="W302" s="33" t="s">
        <v>533</v>
      </c>
      <c r="X302" s="8" t="s">
        <v>754</v>
      </c>
      <c r="Y302" s="51" t="n">
        <f aca="false">IF(N302="","",EDATE(N302,IF(G302="N",INDEX('Residual Config'!$B$31:$D$31,1,MATCH(D302,'Residual Config'!$B$27:$D$27,0)),INDEX('Residual Config'!$B$28:$D$30,IF(T302=1,1,IF(T302=4,3,2)),MATCH(D302,'Residual Config'!$B$27:$D$27,0)))))</f>
        <v>46377</v>
      </c>
      <c r="Z302" s="7" t="str">
        <f aca="false">IF(I302="N/A","N/A",IF(N302="","Not tested",IF(W302="Rejected","Evidence rejected",IF(W302&lt;&gt;"Accepted","Evidence pending",IF(Y302&lt;'Residual Config'!$C$4,"Overdue","Current")))))</f>
        <v>Current</v>
      </c>
      <c r="AA302" s="34" t="n">
        <f aca="false">IF(I302="N/A","",IF(Z302&lt;&gt;"Current",4,IF(MAX(M302,T302)=0,4,MAX(M302,T302))))</f>
        <v>2</v>
      </c>
      <c r="AB302" s="7" t="str">
        <f aca="false">IF(AA302="","N/A",IF(Z302&lt;&gt;"Current","Not tested / overdue",INDEX('Residual Config'!$B$11:$B$14,AA302)))</f>
        <v>Largely effective</v>
      </c>
      <c r="AC302" s="36" t="n">
        <f aca="false">IF(AA302="","",INDEX('Residual Config'!$D$11:$D$14,AA302))</f>
        <v>0.4</v>
      </c>
      <c r="AD302" s="7" t="str">
        <f aca="false">IF(OR(I302="N/A",P302="",Q302=""),"",IF(P302&gt;=Q302,"Yes","No"))</f>
        <v>Yes</v>
      </c>
      <c r="AE302" s="8"/>
    </row>
    <row r="303" customFormat="false" ht="15" hidden="false" customHeight="false" outlineLevel="0" collapsed="false">
      <c r="A303" s="12" t="s">
        <v>1465</v>
      </c>
      <c r="B303" s="26" t="str">
        <f aca="false">Entities!$A$11</f>
        <v>PS-INV</v>
      </c>
      <c r="C303" s="12" t="str">
        <f aca="false">INDEX(Entities!$B$5:$B$34,MATCH(B303,Entities!$A$5:$A$34,0))</f>
        <v>Al-Arabi Investment Group – Palestine</v>
      </c>
      <c r="D303" s="7" t="str">
        <f aca="false">INDEX(Entities!$F$5:$F$34,MATCH(B303,Entities!$A$5:$A$34,0))</f>
        <v>Tier 3</v>
      </c>
      <c r="E303" s="26" t="str">
        <f aca="false">'Control Library'!$A$45</f>
        <v>CTL-LG-01</v>
      </c>
      <c r="F303" s="12" t="str">
        <f aca="false">INDEX('Control Library'!$B$5:$B$47,MATCH(E303,'Control Library'!$A$5:$A$47,0))</f>
        <v>Legal review of contracts and litigation register</v>
      </c>
      <c r="G303" s="7" t="str">
        <f aca="false">INDEX('Control Library'!$F$5:$F$47,MATCH(E303,'Control Library'!$A$5:$A$47,0))</f>
        <v>Y</v>
      </c>
      <c r="H303" s="12" t="str">
        <f aca="false">INDEX('Control Library'!$E$5:$E$47,MATCH(E303,'Control Library'!$A$5:$A$47,0))</f>
        <v>Event-driven</v>
      </c>
      <c r="I303" s="7" t="str">
        <f aca="false">IF(INDEX('Control Library'!$I$5:$I$47,MATCH(E303,'Control Library'!$A$5:$A$47,0))="All","Y",IF(INDEX('Control Library'!$I$5:$I$47,MATCH(E303,'Control Library'!$A$5:$A$47,0))="Banks only",IF(COUNTIF('Residual Config'!$L$28:$L$30,INDEX(Entities!$E$5:$E$34,MATCH(B303,Entities!$A$5:$A$34,0)))&gt;0,"N/A","Y"),IF(INDEX(Entities!$G$5:$G$34,MATCH(B303,Entities!$A$5:$A$34,0))="Y","Y","N/A")))</f>
        <v>Y</v>
      </c>
      <c r="J303" s="8" t="s">
        <v>1466</v>
      </c>
      <c r="K303" s="8" t="s">
        <v>1377</v>
      </c>
      <c r="L303" s="7" t="str">
        <f aca="false">IF(OR(J303="",K303=""),"",IF(J303=K303,"Breach","OK"))</f>
        <v>OK</v>
      </c>
      <c r="M303" s="24" t="n">
        <v>2</v>
      </c>
      <c r="N303" s="50" t="n">
        <v>46197</v>
      </c>
      <c r="O303" s="8" t="s">
        <v>546</v>
      </c>
      <c r="P303" s="24" t="n">
        <v>25</v>
      </c>
      <c r="Q303" s="31" t="n">
        <f aca="false">IF(I303="N/A","",IFERROR(INDEX('Residual Config'!$B$35:$B$42,MATCH(H303,'Residual Config'!$A$35:$A$42,0)),""))</f>
        <v>25</v>
      </c>
      <c r="R303" s="24" t="n">
        <v>0</v>
      </c>
      <c r="S303" s="8" t="s">
        <v>516</v>
      </c>
      <c r="T303" s="31" t="n">
        <f aca="false">IF(S303="","",MATCH(S303,'Residual Config'!$L$9:$L$12,0))</f>
        <v>1</v>
      </c>
      <c r="U303" s="8" t="s">
        <v>1467</v>
      </c>
      <c r="V303" s="24" t="n">
        <v>5</v>
      </c>
      <c r="W303" s="33" t="s">
        <v>536</v>
      </c>
      <c r="X303" s="8"/>
      <c r="Y303" s="51" t="n">
        <f aca="false">IF(N303="","",EDATE(N303,IF(G303="N",INDEX('Residual Config'!$B$31:$D$31,1,MATCH(D303,'Residual Config'!$B$27:$D$27,0)),INDEX('Residual Config'!$B$28:$D$30,IF(T303=1,1,IF(T303=4,3,2)),MATCH(D303,'Residual Config'!$B$27:$D$27,0)))))</f>
        <v>46562</v>
      </c>
      <c r="Z303" s="7" t="str">
        <f aca="false">IF(I303="N/A","N/A",IF(N303="","Not tested",IF(W303="Rejected","Evidence rejected",IF(W303&lt;&gt;"Accepted","Evidence pending",IF(Y303&lt;'Residual Config'!$C$4,"Overdue","Current")))))</f>
        <v>Evidence pending</v>
      </c>
      <c r="AA303" s="34" t="n">
        <f aca="false">IF(I303="N/A","",IF(Z303&lt;&gt;"Current",4,IF(MAX(M303,T303)=0,4,MAX(M303,T303))))</f>
        <v>4</v>
      </c>
      <c r="AB303" s="7" t="str">
        <f aca="false">IF(AA303="","N/A",IF(Z303&lt;&gt;"Current","Not tested / overdue",INDEX('Residual Config'!$B$11:$B$14,AA303)))</f>
        <v>Not tested / overdue</v>
      </c>
      <c r="AC303" s="36" t="n">
        <f aca="false">IF(AA303="","",INDEX('Residual Config'!$D$11:$D$14,AA303))</f>
        <v>0</v>
      </c>
      <c r="AD303" s="7" t="str">
        <f aca="false">IF(OR(I303="N/A",P303="",Q303=""),"",IF(P303&gt;=Q303,"Yes","No"))</f>
        <v>Yes</v>
      </c>
      <c r="AE303" s="8"/>
    </row>
    <row r="304" customFormat="false" ht="15" hidden="false" customHeight="false" outlineLevel="0" collapsed="false">
      <c r="A304" s="12" t="s">
        <v>1468</v>
      </c>
      <c r="B304" s="26" t="str">
        <f aca="false">Entities!$A$11</f>
        <v>PS-INV</v>
      </c>
      <c r="C304" s="12" t="str">
        <f aca="false">INDEX(Entities!$B$5:$B$34,MATCH(B304,Entities!$A$5:$A$34,0))</f>
        <v>Al-Arabi Investment Group – Palestine</v>
      </c>
      <c r="D304" s="7" t="str">
        <f aca="false">INDEX(Entities!$F$5:$F$34,MATCH(B304,Entities!$A$5:$A$34,0))</f>
        <v>Tier 3</v>
      </c>
      <c r="E304" s="26" t="str">
        <f aca="false">'Control Library'!$A$46</f>
        <v>CTL-RP-01</v>
      </c>
      <c r="F304" s="12" t="str">
        <f aca="false">INDEX('Control Library'!$B$5:$B$47,MATCH(E304,'Control Library'!$A$5:$A$47,0))</f>
        <v>Media monitoring and reputational-risk escalation</v>
      </c>
      <c r="G304" s="7" t="str">
        <f aca="false">INDEX('Control Library'!$F$5:$F$47,MATCH(E304,'Control Library'!$A$5:$A$47,0))</f>
        <v>Y</v>
      </c>
      <c r="H304" s="12" t="str">
        <f aca="false">INDEX('Control Library'!$E$5:$E$47,MATCH(E304,'Control Library'!$A$5:$A$47,0))</f>
        <v>Daily</v>
      </c>
      <c r="I304" s="7" t="str">
        <f aca="false">IF(INDEX('Control Library'!$I$5:$I$47,MATCH(E304,'Control Library'!$A$5:$A$47,0))="All","Y",IF(INDEX('Control Library'!$I$5:$I$47,MATCH(E304,'Control Library'!$A$5:$A$47,0))="Banks only",IF(COUNTIF('Residual Config'!$L$28:$L$30,INDEX(Entities!$E$5:$E$34,MATCH(B304,Entities!$A$5:$A$34,0)))&gt;0,"N/A","Y"),IF(INDEX(Entities!$G$5:$G$34,MATCH(B304,Entities!$A$5:$A$34,0))="Y","Y","N/A")))</f>
        <v>Y</v>
      </c>
      <c r="J304" s="8" t="s">
        <v>1469</v>
      </c>
      <c r="K304" s="8" t="s">
        <v>1377</v>
      </c>
      <c r="L304" s="7" t="str">
        <f aca="false">IF(OR(J304="",K304=""),"",IF(J304=K304,"Breach","OK"))</f>
        <v>OK</v>
      </c>
      <c r="M304" s="24" t="n">
        <v>3</v>
      </c>
      <c r="N304" s="50" t="n">
        <v>46212</v>
      </c>
      <c r="O304" s="8" t="s">
        <v>546</v>
      </c>
      <c r="P304" s="24" t="n">
        <v>25</v>
      </c>
      <c r="Q304" s="31" t="n">
        <f aca="false">IF(I304="N/A","",IFERROR(INDEX('Residual Config'!$B$35:$B$42,MATCH(H304,'Residual Config'!$A$35:$A$42,0)),""))</f>
        <v>25</v>
      </c>
      <c r="R304" s="24" t="n">
        <v>1</v>
      </c>
      <c r="S304" s="8" t="s">
        <v>521</v>
      </c>
      <c r="T304" s="31" t="n">
        <f aca="false">IF(S304="","",MATCH(S304,'Residual Config'!$L$9:$L$12,0))</f>
        <v>2</v>
      </c>
      <c r="U304" s="8" t="s">
        <v>1470</v>
      </c>
      <c r="V304" s="24" t="n">
        <v>1</v>
      </c>
      <c r="W304" s="33" t="s">
        <v>533</v>
      </c>
      <c r="X304" s="8" t="s">
        <v>760</v>
      </c>
      <c r="Y304" s="51" t="n">
        <f aca="false">IF(N304="","",EDATE(N304,IF(G304="N",INDEX('Residual Config'!$B$31:$D$31,1,MATCH(D304,'Residual Config'!$B$27:$D$27,0)),INDEX('Residual Config'!$B$28:$D$30,IF(T304=1,1,IF(T304=4,3,2)),MATCH(D304,'Residual Config'!$B$27:$D$27,0)))))</f>
        <v>46396</v>
      </c>
      <c r="Z304" s="7" t="str">
        <f aca="false">IF(I304="N/A","N/A",IF(N304="","Not tested",IF(W304="Rejected","Evidence rejected",IF(W304&lt;&gt;"Accepted","Evidence pending",IF(Y304&lt;'Residual Config'!$C$4,"Overdue","Current")))))</f>
        <v>Current</v>
      </c>
      <c r="AA304" s="34" t="n">
        <f aca="false">IF(I304="N/A","",IF(Z304&lt;&gt;"Current",4,IF(MAX(M304,T304)=0,4,MAX(M304,T304))))</f>
        <v>3</v>
      </c>
      <c r="AB304" s="7" t="str">
        <f aca="false">IF(AA304="","N/A",IF(Z304&lt;&gt;"Current","Not tested / overdue",INDEX('Residual Config'!$B$11:$B$14,AA304)))</f>
        <v>Partially effective</v>
      </c>
      <c r="AC304" s="36" t="n">
        <f aca="false">IF(AA304="","",INDEX('Residual Config'!$D$11:$D$14,AA304))</f>
        <v>0.2</v>
      </c>
      <c r="AD304" s="7" t="str">
        <f aca="false">IF(OR(I304="N/A",P304="",Q304=""),"",IF(P304&gt;=Q304,"Yes","No"))</f>
        <v>Yes</v>
      </c>
      <c r="AE304" s="8"/>
    </row>
    <row r="305" customFormat="false" ht="15" hidden="false" customHeight="false" outlineLevel="0" collapsed="false">
      <c r="A305" s="12" t="s">
        <v>1471</v>
      </c>
      <c r="B305" s="26" t="str">
        <f aca="false">Entities!$A$11</f>
        <v>PS-INV</v>
      </c>
      <c r="C305" s="12" t="str">
        <f aca="false">INDEX(Entities!$B$5:$B$34,MATCH(B305,Entities!$A$5:$A$34,0))</f>
        <v>Al-Arabi Investment Group – Palestine</v>
      </c>
      <c r="D305" s="7" t="str">
        <f aca="false">INDEX(Entities!$F$5:$F$34,MATCH(B305,Entities!$A$5:$A$34,0))</f>
        <v>Tier 3</v>
      </c>
      <c r="E305" s="26" t="str">
        <f aca="false">'Control Library'!$A$47</f>
        <v>CTL-ST-01</v>
      </c>
      <c r="F305" s="12" t="str">
        <f aca="false">INDEX('Control Library'!$B$5:$B$47,MATCH(E305,'Control Library'!$A$5:$A$47,0))</f>
        <v>Strategy execution monitoring and E&amp;S screening of lending</v>
      </c>
      <c r="G305" s="7" t="str">
        <f aca="false">INDEX('Control Library'!$F$5:$F$47,MATCH(E305,'Control Library'!$A$5:$A$47,0))</f>
        <v>Y</v>
      </c>
      <c r="H305" s="12" t="str">
        <f aca="false">INDEX('Control Library'!$E$5:$E$47,MATCH(E305,'Control Library'!$A$5:$A$47,0))</f>
        <v>Quarterly</v>
      </c>
      <c r="I305" s="7" t="str">
        <f aca="false">IF(INDEX('Control Library'!$I$5:$I$47,MATCH(E305,'Control Library'!$A$5:$A$47,0))="All","Y",IF(INDEX('Control Library'!$I$5:$I$47,MATCH(E305,'Control Library'!$A$5:$A$47,0))="Banks only",IF(COUNTIF('Residual Config'!$L$28:$L$30,INDEX(Entities!$E$5:$E$34,MATCH(B305,Entities!$A$5:$A$34,0)))&gt;0,"N/A","Y"),IF(INDEX(Entities!$G$5:$G$34,MATCH(B305,Entities!$A$5:$A$34,0))="Y","Y","N/A")))</f>
        <v>Y</v>
      </c>
      <c r="J305" s="8" t="s">
        <v>1472</v>
      </c>
      <c r="K305" s="8" t="s">
        <v>1377</v>
      </c>
      <c r="L305" s="7" t="str">
        <f aca="false">IF(OR(J305="",K305=""),"",IF(J305=K305,"Breach","OK"))</f>
        <v>OK</v>
      </c>
      <c r="M305" s="24" t="n">
        <v>2</v>
      </c>
      <c r="N305" s="50" t="n">
        <v>46178</v>
      </c>
      <c r="O305" s="8" t="s">
        <v>545</v>
      </c>
      <c r="P305" s="24" t="n">
        <v>2</v>
      </c>
      <c r="Q305" s="31" t="n">
        <f aca="false">IF(I305="N/A","",IFERROR(INDEX('Residual Config'!$B$35:$B$42,MATCH(H305,'Residual Config'!$A$35:$A$42,0)),""))</f>
        <v>2</v>
      </c>
      <c r="R305" s="24" t="n">
        <v>2</v>
      </c>
      <c r="S305" s="8" t="s">
        <v>524</v>
      </c>
      <c r="T305" s="31" t="n">
        <f aca="false">IF(S305="","",MATCH(S305,'Residual Config'!$L$9:$L$12,0))</f>
        <v>3</v>
      </c>
      <c r="U305" s="8" t="s">
        <v>1473</v>
      </c>
      <c r="V305" s="24" t="n">
        <v>6</v>
      </c>
      <c r="W305" s="33" t="s">
        <v>533</v>
      </c>
      <c r="X305" s="8" t="s">
        <v>754</v>
      </c>
      <c r="Y305" s="51" t="n">
        <f aca="false">IF(N305="","",EDATE(N305,IF(G305="N",INDEX('Residual Config'!$B$31:$D$31,1,MATCH(D305,'Residual Config'!$B$27:$D$27,0)),INDEX('Residual Config'!$B$28:$D$30,IF(T305=1,1,IF(T305=4,3,2)),MATCH(D305,'Residual Config'!$B$27:$D$27,0)))))</f>
        <v>46361</v>
      </c>
      <c r="Z305" s="7" t="str">
        <f aca="false">IF(I305="N/A","N/A",IF(N305="","Not tested",IF(W305="Rejected","Evidence rejected",IF(W305&lt;&gt;"Accepted","Evidence pending",IF(Y305&lt;'Residual Config'!$C$4,"Overdue","Current")))))</f>
        <v>Current</v>
      </c>
      <c r="AA305" s="34" t="n">
        <f aca="false">IF(I305="N/A","",IF(Z305&lt;&gt;"Current",4,IF(MAX(M305,T305)=0,4,MAX(M305,T305))))</f>
        <v>3</v>
      </c>
      <c r="AB305" s="7" t="str">
        <f aca="false">IF(AA305="","N/A",IF(Z305&lt;&gt;"Current","Not tested / overdue",INDEX('Residual Config'!$B$11:$B$14,AA305)))</f>
        <v>Partially effective</v>
      </c>
      <c r="AC305" s="36" t="n">
        <f aca="false">IF(AA305="","",INDEX('Residual Config'!$D$11:$D$14,AA305))</f>
        <v>0.2</v>
      </c>
      <c r="AD305" s="7" t="str">
        <f aca="false">IF(OR(I305="N/A",P305="",Q305=""),"",IF(P305&gt;=Q305,"Yes","No"))</f>
        <v>Yes</v>
      </c>
      <c r="AE305" s="8"/>
    </row>
    <row r="306" customFormat="false" ht="15" hidden="false" customHeight="false" outlineLevel="0" collapsed="false">
      <c r="A306" s="12" t="s">
        <v>1474</v>
      </c>
      <c r="B306" s="26" t="str">
        <f aca="false">Entities!$A$12</f>
        <v>LB</v>
      </c>
      <c r="C306" s="12" t="str">
        <f aca="false">INDEX(Entities!$B$5:$B$34,MATCH(B306,Entities!$A$5:$A$34,0))</f>
        <v>Arab Bank – Lebanon</v>
      </c>
      <c r="D306" s="7" t="str">
        <f aca="false">INDEX(Entities!$F$5:$F$34,MATCH(B306,Entities!$A$5:$A$34,0))</f>
        <v>Tier 2</v>
      </c>
      <c r="E306" s="26" t="str">
        <f aca="false">'Control Library'!$A$5</f>
        <v>CTL-KYC-01</v>
      </c>
      <c r="F306" s="12" t="str">
        <f aca="false">INDEX('Control Library'!$B$5:$B$47,MATCH(E306,'Control Library'!$A$5:$A$47,0))</f>
        <v>Customer due diligence and ID verification at onboarding</v>
      </c>
      <c r="G306" s="7" t="str">
        <f aca="false">INDEX('Control Library'!$F$5:$F$47,MATCH(E306,'Control Library'!$A$5:$A$47,0))</f>
        <v>Y</v>
      </c>
      <c r="H306" s="12" t="str">
        <f aca="false">INDEX('Control Library'!$E$5:$E$47,MATCH(E306,'Control Library'!$A$5:$A$47,0))</f>
        <v>Event-driven</v>
      </c>
      <c r="I306" s="7" t="str">
        <f aca="false">IF(INDEX('Control Library'!$I$5:$I$47,MATCH(E306,'Control Library'!$A$5:$A$47,0))="All","Y",IF(INDEX('Control Library'!$I$5:$I$47,MATCH(E306,'Control Library'!$A$5:$A$47,0))="Banks only",IF(COUNTIF('Residual Config'!$L$28:$L$30,INDEX(Entities!$E$5:$E$34,MATCH(B306,Entities!$A$5:$A$34,0)))&gt;0,"N/A","Y"),IF(INDEX(Entities!$G$5:$G$34,MATCH(B306,Entities!$A$5:$A$34,0))="Y","Y","N/A")))</f>
        <v>Y</v>
      </c>
      <c r="J306" s="8" t="s">
        <v>1475</v>
      </c>
      <c r="K306" s="8" t="s">
        <v>1476</v>
      </c>
      <c r="L306" s="7" t="str">
        <f aca="false">IF(OR(J306="",K306=""),"",IF(J306=K306,"Breach","OK"))</f>
        <v>OK</v>
      </c>
      <c r="M306" s="24" t="n">
        <v>2</v>
      </c>
      <c r="N306" s="50" t="n">
        <v>46166</v>
      </c>
      <c r="O306" s="8" t="s">
        <v>546</v>
      </c>
      <c r="P306" s="24" t="n">
        <v>20</v>
      </c>
      <c r="Q306" s="31" t="n">
        <f aca="false">IF(I306="N/A","",IFERROR(INDEX('Residual Config'!$B$35:$B$42,MATCH(H306,'Residual Config'!$A$35:$A$42,0)),""))</f>
        <v>25</v>
      </c>
      <c r="R306" s="24" t="n">
        <v>3</v>
      </c>
      <c r="S306" s="8" t="s">
        <v>524</v>
      </c>
      <c r="T306" s="31" t="n">
        <f aca="false">IF(S306="","",MATCH(S306,'Residual Config'!$L$9:$L$12,0))</f>
        <v>3</v>
      </c>
      <c r="U306" s="8" t="s">
        <v>1477</v>
      </c>
      <c r="V306" s="24" t="n">
        <v>1</v>
      </c>
      <c r="W306" s="33" t="s">
        <v>533</v>
      </c>
      <c r="X306" s="8" t="s">
        <v>754</v>
      </c>
      <c r="Y306" s="51" t="n">
        <f aca="false">IF(N306="","",EDATE(N306,IF(G306="N",INDEX('Residual Config'!$B$31:$D$31,1,MATCH(D306,'Residual Config'!$B$27:$D$27,0)),INDEX('Residual Config'!$B$28:$D$30,IF(T306=1,1,IF(T306=4,3,2)),MATCH(D306,'Residual Config'!$B$27:$D$27,0)))))</f>
        <v>46350</v>
      </c>
      <c r="Z306" s="7" t="str">
        <f aca="false">IF(I306="N/A","N/A",IF(N306="","Not tested",IF(W306="Rejected","Evidence rejected",IF(W306&lt;&gt;"Accepted","Evidence pending",IF(Y306&lt;'Residual Config'!$C$4,"Overdue","Current")))))</f>
        <v>Current</v>
      </c>
      <c r="AA306" s="34" t="n">
        <f aca="false">IF(I306="N/A","",IF(Z306&lt;&gt;"Current",4,IF(MAX(M306,T306)=0,4,MAX(M306,T306))))</f>
        <v>3</v>
      </c>
      <c r="AB306" s="7" t="str">
        <f aca="false">IF(AA306="","N/A",IF(Z306&lt;&gt;"Current","Not tested / overdue",INDEX('Residual Config'!$B$11:$B$14,AA306)))</f>
        <v>Partially effective</v>
      </c>
      <c r="AC306" s="36" t="n">
        <f aca="false">IF(AA306="","",INDEX('Residual Config'!$D$11:$D$14,AA306))</f>
        <v>0.2</v>
      </c>
      <c r="AD306" s="7" t="str">
        <f aca="false">IF(OR(I306="N/A",P306="",Q306=""),"",IF(P306&gt;=Q306,"Yes","No"))</f>
        <v>No</v>
      </c>
      <c r="AE306" s="8"/>
    </row>
    <row r="307" customFormat="false" ht="15" hidden="false" customHeight="false" outlineLevel="0" collapsed="false">
      <c r="A307" s="12" t="s">
        <v>1478</v>
      </c>
      <c r="B307" s="26" t="str">
        <f aca="false">Entities!$A$12</f>
        <v>LB</v>
      </c>
      <c r="C307" s="12" t="str">
        <f aca="false">INDEX(Entities!$B$5:$B$34,MATCH(B307,Entities!$A$5:$A$34,0))</f>
        <v>Arab Bank – Lebanon</v>
      </c>
      <c r="D307" s="7" t="str">
        <f aca="false">INDEX(Entities!$F$5:$F$34,MATCH(B307,Entities!$A$5:$A$34,0))</f>
        <v>Tier 2</v>
      </c>
      <c r="E307" s="26" t="str">
        <f aca="false">'Control Library'!$A$6</f>
        <v>CTL-KYC-02</v>
      </c>
      <c r="F307" s="12" t="str">
        <f aca="false">INDEX('Control Library'!$B$5:$B$47,MATCH(E307,'Control Library'!$A$5:$A$47,0))</f>
        <v>Enhanced due diligence for high-risk customers and PEPs, senior approval</v>
      </c>
      <c r="G307" s="7" t="str">
        <f aca="false">INDEX('Control Library'!$F$5:$F$47,MATCH(E307,'Control Library'!$A$5:$A$47,0))</f>
        <v>Y</v>
      </c>
      <c r="H307" s="12" t="str">
        <f aca="false">INDEX('Control Library'!$E$5:$E$47,MATCH(E307,'Control Library'!$A$5:$A$47,0))</f>
        <v>Event-driven</v>
      </c>
      <c r="I307" s="7" t="str">
        <f aca="false">IF(INDEX('Control Library'!$I$5:$I$47,MATCH(E307,'Control Library'!$A$5:$A$47,0))="All","Y",IF(INDEX('Control Library'!$I$5:$I$47,MATCH(E307,'Control Library'!$A$5:$A$47,0))="Banks only",IF(COUNTIF('Residual Config'!$L$28:$L$30,INDEX(Entities!$E$5:$E$34,MATCH(B307,Entities!$A$5:$A$34,0)))&gt;0,"N/A","Y"),IF(INDEX(Entities!$G$5:$G$34,MATCH(B307,Entities!$A$5:$A$34,0))="Y","Y","N/A")))</f>
        <v>Y</v>
      </c>
      <c r="J307" s="8" t="s">
        <v>1479</v>
      </c>
      <c r="K307" s="8" t="s">
        <v>1476</v>
      </c>
      <c r="L307" s="7" t="str">
        <f aca="false">IF(OR(J307="",K307=""),"",IF(J307=K307,"Breach","OK"))</f>
        <v>OK</v>
      </c>
      <c r="M307" s="24" t="n">
        <v>2</v>
      </c>
      <c r="N307" s="50" t="n">
        <v>46276</v>
      </c>
      <c r="O307" s="8" t="s">
        <v>546</v>
      </c>
      <c r="P307" s="24" t="n">
        <v>20</v>
      </c>
      <c r="Q307" s="31" t="n">
        <f aca="false">IF(I307="N/A","",IFERROR(INDEX('Residual Config'!$B$35:$B$42,MATCH(H307,'Residual Config'!$A$35:$A$42,0)),""))</f>
        <v>25</v>
      </c>
      <c r="R307" s="24" t="n">
        <v>1</v>
      </c>
      <c r="S307" s="8" t="s">
        <v>521</v>
      </c>
      <c r="T307" s="31" t="n">
        <f aca="false">IF(S307="","",MATCH(S307,'Residual Config'!$L$9:$L$12,0))</f>
        <v>2</v>
      </c>
      <c r="U307" s="8" t="s">
        <v>1480</v>
      </c>
      <c r="V307" s="24" t="n">
        <v>6</v>
      </c>
      <c r="W307" s="33" t="s">
        <v>533</v>
      </c>
      <c r="X307" s="8" t="s">
        <v>754</v>
      </c>
      <c r="Y307" s="51" t="n">
        <f aca="false">IF(N307="","",EDATE(N307,IF(G307="N",INDEX('Residual Config'!$B$31:$D$31,1,MATCH(D307,'Residual Config'!$B$27:$D$27,0)),INDEX('Residual Config'!$B$28:$D$30,IF(T307=1,1,IF(T307=4,3,2)),MATCH(D307,'Residual Config'!$B$27:$D$27,0)))))</f>
        <v>46457</v>
      </c>
      <c r="Z307" s="7" t="str">
        <f aca="false">IF(I307="N/A","N/A",IF(N307="","Not tested",IF(W307="Rejected","Evidence rejected",IF(W307&lt;&gt;"Accepted","Evidence pending",IF(Y307&lt;'Residual Config'!$C$4,"Overdue","Current")))))</f>
        <v>Current</v>
      </c>
      <c r="AA307" s="34" t="n">
        <f aca="false">IF(I307="N/A","",IF(Z307&lt;&gt;"Current",4,IF(MAX(M307,T307)=0,4,MAX(M307,T307))))</f>
        <v>2</v>
      </c>
      <c r="AB307" s="7" t="str">
        <f aca="false">IF(AA307="","N/A",IF(Z307&lt;&gt;"Current","Not tested / overdue",INDEX('Residual Config'!$B$11:$B$14,AA307)))</f>
        <v>Largely effective</v>
      </c>
      <c r="AC307" s="36" t="n">
        <f aca="false">IF(AA307="","",INDEX('Residual Config'!$D$11:$D$14,AA307))</f>
        <v>0.4</v>
      </c>
      <c r="AD307" s="7" t="str">
        <f aca="false">IF(OR(I307="N/A",P307="",Q307=""),"",IF(P307&gt;=Q307,"Yes","No"))</f>
        <v>No</v>
      </c>
      <c r="AE307" s="8"/>
    </row>
    <row r="308" customFormat="false" ht="15" hidden="false" customHeight="false" outlineLevel="0" collapsed="false">
      <c r="A308" s="12" t="s">
        <v>1481</v>
      </c>
      <c r="B308" s="26" t="str">
        <f aca="false">Entities!$A$12</f>
        <v>LB</v>
      </c>
      <c r="C308" s="12" t="str">
        <f aca="false">INDEX(Entities!$B$5:$B$34,MATCH(B308,Entities!$A$5:$A$34,0))</f>
        <v>Arab Bank – Lebanon</v>
      </c>
      <c r="D308" s="7" t="str">
        <f aca="false">INDEX(Entities!$F$5:$F$34,MATCH(B308,Entities!$A$5:$A$34,0))</f>
        <v>Tier 2</v>
      </c>
      <c r="E308" s="26" t="str">
        <f aca="false">'Control Library'!$A$7</f>
        <v>CTL-KYC-03</v>
      </c>
      <c r="F308" s="12" t="str">
        <f aca="false">INDEX('Control Library'!$B$5:$B$47,MATCH(E308,'Control Library'!$A$5:$A$47,0))</f>
        <v>Ultimate beneficial owner identification and verification</v>
      </c>
      <c r="G308" s="7" t="str">
        <f aca="false">INDEX('Control Library'!$F$5:$F$47,MATCH(E308,'Control Library'!$A$5:$A$47,0))</f>
        <v>Y</v>
      </c>
      <c r="H308" s="12" t="str">
        <f aca="false">INDEX('Control Library'!$E$5:$E$47,MATCH(E308,'Control Library'!$A$5:$A$47,0))</f>
        <v>Event-driven</v>
      </c>
      <c r="I308" s="7" t="str">
        <f aca="false">IF(INDEX('Control Library'!$I$5:$I$47,MATCH(E308,'Control Library'!$A$5:$A$47,0))="All","Y",IF(INDEX('Control Library'!$I$5:$I$47,MATCH(E308,'Control Library'!$A$5:$A$47,0))="Banks only",IF(COUNTIF('Residual Config'!$L$28:$L$30,INDEX(Entities!$E$5:$E$34,MATCH(B308,Entities!$A$5:$A$34,0)))&gt;0,"N/A","Y"),IF(INDEX(Entities!$G$5:$G$34,MATCH(B308,Entities!$A$5:$A$34,0))="Y","Y","N/A")))</f>
        <v>Y</v>
      </c>
      <c r="J308" s="8" t="s">
        <v>1475</v>
      </c>
      <c r="K308" s="8" t="s">
        <v>1476</v>
      </c>
      <c r="L308" s="7" t="str">
        <f aca="false">IF(OR(J308="",K308=""),"",IF(J308=K308,"Breach","OK"))</f>
        <v>OK</v>
      </c>
      <c r="M308" s="24" t="n">
        <v>2</v>
      </c>
      <c r="N308" s="50" t="n">
        <v>46211</v>
      </c>
      <c r="O308" s="8" t="s">
        <v>545</v>
      </c>
      <c r="P308" s="24" t="n">
        <v>30</v>
      </c>
      <c r="Q308" s="31" t="n">
        <f aca="false">IF(I308="N/A","",IFERROR(INDEX('Residual Config'!$B$35:$B$42,MATCH(H308,'Residual Config'!$A$35:$A$42,0)),""))</f>
        <v>25</v>
      </c>
      <c r="R308" s="24" t="n">
        <v>1</v>
      </c>
      <c r="S308" s="8" t="s">
        <v>521</v>
      </c>
      <c r="T308" s="31" t="n">
        <f aca="false">IF(S308="","",MATCH(S308,'Residual Config'!$L$9:$L$12,0))</f>
        <v>2</v>
      </c>
      <c r="U308" s="8" t="s">
        <v>1482</v>
      </c>
      <c r="V308" s="24" t="n">
        <v>3</v>
      </c>
      <c r="W308" s="33" t="s">
        <v>536</v>
      </c>
      <c r="X308" s="8"/>
      <c r="Y308" s="51" t="n">
        <f aca="false">IF(N308="","",EDATE(N308,IF(G308="N",INDEX('Residual Config'!$B$31:$D$31,1,MATCH(D308,'Residual Config'!$B$27:$D$27,0)),INDEX('Residual Config'!$B$28:$D$30,IF(T308=1,1,IF(T308=4,3,2)),MATCH(D308,'Residual Config'!$B$27:$D$27,0)))))</f>
        <v>46395</v>
      </c>
      <c r="Z308" s="7" t="str">
        <f aca="false">IF(I308="N/A","N/A",IF(N308="","Not tested",IF(W308="Rejected","Evidence rejected",IF(W308&lt;&gt;"Accepted","Evidence pending",IF(Y308&lt;'Residual Config'!$C$4,"Overdue","Current")))))</f>
        <v>Evidence pending</v>
      </c>
      <c r="AA308" s="34" t="n">
        <f aca="false">IF(I308="N/A","",IF(Z308&lt;&gt;"Current",4,IF(MAX(M308,T308)=0,4,MAX(M308,T308))))</f>
        <v>4</v>
      </c>
      <c r="AB308" s="7" t="str">
        <f aca="false">IF(AA308="","N/A",IF(Z308&lt;&gt;"Current","Not tested / overdue",INDEX('Residual Config'!$B$11:$B$14,AA308)))</f>
        <v>Not tested / overdue</v>
      </c>
      <c r="AC308" s="36" t="n">
        <f aca="false">IF(AA308="","",INDEX('Residual Config'!$D$11:$D$14,AA308))</f>
        <v>0</v>
      </c>
      <c r="AD308" s="7" t="str">
        <f aca="false">IF(OR(I308="N/A",P308="",Q308=""),"",IF(P308&gt;=Q308,"Yes","No"))</f>
        <v>Yes</v>
      </c>
      <c r="AE308" s="8"/>
    </row>
    <row r="309" customFormat="false" ht="15" hidden="false" customHeight="false" outlineLevel="0" collapsed="false">
      <c r="A309" s="12" t="s">
        <v>1483</v>
      </c>
      <c r="B309" s="26" t="str">
        <f aca="false">Entities!$A$12</f>
        <v>LB</v>
      </c>
      <c r="C309" s="12" t="str">
        <f aca="false">INDEX(Entities!$B$5:$B$34,MATCH(B309,Entities!$A$5:$A$34,0))</f>
        <v>Arab Bank – Lebanon</v>
      </c>
      <c r="D309" s="7" t="str">
        <f aca="false">INDEX(Entities!$F$5:$F$34,MATCH(B309,Entities!$A$5:$A$34,0))</f>
        <v>Tier 2</v>
      </c>
      <c r="E309" s="26" t="str">
        <f aca="false">'Control Library'!$A$8</f>
        <v>CTL-KYC-04</v>
      </c>
      <c r="F309" s="12" t="str">
        <f aca="false">INDEX('Control Library'!$B$5:$B$47,MATCH(E309,'Control Library'!$A$5:$A$47,0))</f>
        <v>Periodic KYC review by customer risk rating</v>
      </c>
      <c r="G309" s="7" t="str">
        <f aca="false">INDEX('Control Library'!$F$5:$F$47,MATCH(E309,'Control Library'!$A$5:$A$47,0))</f>
        <v>Y</v>
      </c>
      <c r="H309" s="12" t="str">
        <f aca="false">INDEX('Control Library'!$E$5:$E$47,MATCH(E309,'Control Library'!$A$5:$A$47,0))</f>
        <v>Monthly</v>
      </c>
      <c r="I309" s="7" t="str">
        <f aca="false">IF(INDEX('Control Library'!$I$5:$I$47,MATCH(E309,'Control Library'!$A$5:$A$47,0))="All","Y",IF(INDEX('Control Library'!$I$5:$I$47,MATCH(E309,'Control Library'!$A$5:$A$47,0))="Banks only",IF(COUNTIF('Residual Config'!$L$28:$L$30,INDEX(Entities!$E$5:$E$34,MATCH(B309,Entities!$A$5:$A$34,0)))&gt;0,"N/A","Y"),IF(INDEX(Entities!$G$5:$G$34,MATCH(B309,Entities!$A$5:$A$34,0))="Y","Y","N/A")))</f>
        <v>Y</v>
      </c>
      <c r="J309" s="8" t="s">
        <v>1475</v>
      </c>
      <c r="K309" s="8" t="s">
        <v>1476</v>
      </c>
      <c r="L309" s="7" t="str">
        <f aca="false">IF(OR(J309="",K309=""),"",IF(J309=K309,"Breach","OK"))</f>
        <v>OK</v>
      </c>
      <c r="M309" s="24" t="n">
        <v>3</v>
      </c>
      <c r="N309" s="50" t="n">
        <v>46154</v>
      </c>
      <c r="O309" s="8" t="s">
        <v>545</v>
      </c>
      <c r="P309" s="24" t="n">
        <v>3</v>
      </c>
      <c r="Q309" s="31" t="n">
        <f aca="false">IF(I309="N/A","",IFERROR(INDEX('Residual Config'!$B$35:$B$42,MATCH(H309,'Residual Config'!$A$35:$A$42,0)),""))</f>
        <v>3</v>
      </c>
      <c r="R309" s="24" t="n">
        <v>0</v>
      </c>
      <c r="S309" s="8" t="s">
        <v>516</v>
      </c>
      <c r="T309" s="31" t="n">
        <f aca="false">IF(S309="","",MATCH(S309,'Residual Config'!$L$9:$L$12,0))</f>
        <v>1</v>
      </c>
      <c r="U309" s="8" t="s">
        <v>1484</v>
      </c>
      <c r="V309" s="24" t="n">
        <v>3</v>
      </c>
      <c r="W309" s="33" t="s">
        <v>533</v>
      </c>
      <c r="X309" s="8" t="s">
        <v>760</v>
      </c>
      <c r="Y309" s="51" t="n">
        <f aca="false">IF(N309="","",EDATE(N309,IF(G309="N",INDEX('Residual Config'!$B$31:$D$31,1,MATCH(D309,'Residual Config'!$B$27:$D$27,0)),INDEX('Residual Config'!$B$28:$D$30,IF(T309=1,1,IF(T309=4,3,2)),MATCH(D309,'Residual Config'!$B$27:$D$27,0)))))</f>
        <v>46519</v>
      </c>
      <c r="Z309" s="7" t="str">
        <f aca="false">IF(I309="N/A","N/A",IF(N309="","Not tested",IF(W309="Rejected","Evidence rejected",IF(W309&lt;&gt;"Accepted","Evidence pending",IF(Y309&lt;'Residual Config'!$C$4,"Overdue","Current")))))</f>
        <v>Current</v>
      </c>
      <c r="AA309" s="34" t="n">
        <f aca="false">IF(I309="N/A","",IF(Z309&lt;&gt;"Current",4,IF(MAX(M309,T309)=0,4,MAX(M309,T309))))</f>
        <v>3</v>
      </c>
      <c r="AB309" s="7" t="str">
        <f aca="false">IF(AA309="","N/A",IF(Z309&lt;&gt;"Current","Not tested / overdue",INDEX('Residual Config'!$B$11:$B$14,AA309)))</f>
        <v>Partially effective</v>
      </c>
      <c r="AC309" s="36" t="n">
        <f aca="false">IF(AA309="","",INDEX('Residual Config'!$D$11:$D$14,AA309))</f>
        <v>0.2</v>
      </c>
      <c r="AD309" s="7" t="str">
        <f aca="false">IF(OR(I309="N/A",P309="",Q309=""),"",IF(P309&gt;=Q309,"Yes","No"))</f>
        <v>Yes</v>
      </c>
      <c r="AE309" s="8"/>
    </row>
    <row r="310" customFormat="false" ht="15" hidden="false" customHeight="false" outlineLevel="0" collapsed="false">
      <c r="A310" s="12" t="s">
        <v>1485</v>
      </c>
      <c r="B310" s="26" t="str">
        <f aca="false">Entities!$A$12</f>
        <v>LB</v>
      </c>
      <c r="C310" s="12" t="str">
        <f aca="false">INDEX(Entities!$B$5:$B$34,MATCH(B310,Entities!$A$5:$A$34,0))</f>
        <v>Arab Bank – Lebanon</v>
      </c>
      <c r="D310" s="7" t="str">
        <f aca="false">INDEX(Entities!$F$5:$F$34,MATCH(B310,Entities!$A$5:$A$34,0))</f>
        <v>Tier 2</v>
      </c>
      <c r="E310" s="26" t="str">
        <f aca="false">'Control Library'!$A$9</f>
        <v>CTL-CRR-01</v>
      </c>
      <c r="F310" s="12" t="str">
        <f aca="false">INDEX('Control Library'!$B$5:$B$47,MATCH(E310,'Control Library'!$A$5:$A$47,0))</f>
        <v>Customer risk rating model and annual validation</v>
      </c>
      <c r="G310" s="7" t="str">
        <f aca="false">INDEX('Control Library'!$F$5:$F$47,MATCH(E310,'Control Library'!$A$5:$A$47,0))</f>
        <v>N</v>
      </c>
      <c r="H310" s="12" t="str">
        <f aca="false">INDEX('Control Library'!$E$5:$E$47,MATCH(E310,'Control Library'!$A$5:$A$47,0))</f>
        <v>Annual</v>
      </c>
      <c r="I310" s="7" t="str">
        <f aca="false">IF(INDEX('Control Library'!$I$5:$I$47,MATCH(E310,'Control Library'!$A$5:$A$47,0))="All","Y",IF(INDEX('Control Library'!$I$5:$I$47,MATCH(E310,'Control Library'!$A$5:$A$47,0))="Banks only",IF(COUNTIF('Residual Config'!$L$28:$L$30,INDEX(Entities!$E$5:$E$34,MATCH(B310,Entities!$A$5:$A$34,0)))&gt;0,"N/A","Y"),IF(INDEX(Entities!$G$5:$G$34,MATCH(B310,Entities!$A$5:$A$34,0))="Y","Y","N/A")))</f>
        <v>Y</v>
      </c>
      <c r="J310" s="8" t="s">
        <v>1479</v>
      </c>
      <c r="K310" s="8" t="s">
        <v>1476</v>
      </c>
      <c r="L310" s="7" t="str">
        <f aca="false">IF(OR(J310="",K310=""),"",IF(J310=K310,"Breach","OK"))</f>
        <v>OK</v>
      </c>
      <c r="M310" s="24" t="n">
        <v>2</v>
      </c>
      <c r="N310" s="50" t="n">
        <v>45998</v>
      </c>
      <c r="O310" s="8" t="s">
        <v>546</v>
      </c>
      <c r="P310" s="24" t="n">
        <v>1</v>
      </c>
      <c r="Q310" s="31" t="n">
        <f aca="false">IF(I310="N/A","",IFERROR(INDEX('Residual Config'!$B$35:$B$42,MATCH(H310,'Residual Config'!$A$35:$A$42,0)),""))</f>
        <v>1</v>
      </c>
      <c r="R310" s="24" t="n">
        <v>1</v>
      </c>
      <c r="S310" s="8" t="s">
        <v>521</v>
      </c>
      <c r="T310" s="31" t="n">
        <f aca="false">IF(S310="","",MATCH(S310,'Residual Config'!$L$9:$L$12,0))</f>
        <v>2</v>
      </c>
      <c r="U310" s="8" t="s">
        <v>1486</v>
      </c>
      <c r="V310" s="24" t="n">
        <v>2</v>
      </c>
      <c r="W310" s="33" t="s">
        <v>536</v>
      </c>
      <c r="X310" s="8"/>
      <c r="Y310" s="51" t="n">
        <f aca="false">IF(N310="","",EDATE(N310,IF(G310="N",INDEX('Residual Config'!$B$31:$D$31,1,MATCH(D310,'Residual Config'!$B$27:$D$27,0)),INDEX('Residual Config'!$B$28:$D$30,IF(T310=1,1,IF(T310=4,3,2)),MATCH(D310,'Residual Config'!$B$27:$D$27,0)))))</f>
        <v>46363</v>
      </c>
      <c r="Z310" s="7" t="str">
        <f aca="false">IF(I310="N/A","N/A",IF(N310="","Not tested",IF(W310="Rejected","Evidence rejected",IF(W310&lt;&gt;"Accepted","Evidence pending",IF(Y310&lt;'Residual Config'!$C$4,"Overdue","Current")))))</f>
        <v>Evidence pending</v>
      </c>
      <c r="AA310" s="34" t="n">
        <f aca="false">IF(I310="N/A","",IF(Z310&lt;&gt;"Current",4,IF(MAX(M310,T310)=0,4,MAX(M310,T310))))</f>
        <v>4</v>
      </c>
      <c r="AB310" s="7" t="str">
        <f aca="false">IF(AA310="","N/A",IF(Z310&lt;&gt;"Current","Not tested / overdue",INDEX('Residual Config'!$B$11:$B$14,AA310)))</f>
        <v>Not tested / overdue</v>
      </c>
      <c r="AC310" s="36" t="n">
        <f aca="false">IF(AA310="","",INDEX('Residual Config'!$D$11:$D$14,AA310))</f>
        <v>0</v>
      </c>
      <c r="AD310" s="7" t="str">
        <f aca="false">IF(OR(I310="N/A",P310="",Q310=""),"",IF(P310&gt;=Q310,"Yes","No"))</f>
        <v>Yes</v>
      </c>
      <c r="AE310" s="8"/>
    </row>
    <row r="311" customFormat="false" ht="15" hidden="false" customHeight="false" outlineLevel="0" collapsed="false">
      <c r="A311" s="12" t="s">
        <v>1487</v>
      </c>
      <c r="B311" s="26" t="str">
        <f aca="false">Entities!$A$12</f>
        <v>LB</v>
      </c>
      <c r="C311" s="12" t="str">
        <f aca="false">INDEX(Entities!$B$5:$B$34,MATCH(B311,Entities!$A$5:$A$34,0))</f>
        <v>Arab Bank – Lebanon</v>
      </c>
      <c r="D311" s="7" t="str">
        <f aca="false">INDEX(Entities!$F$5:$F$34,MATCH(B311,Entities!$A$5:$A$34,0))</f>
        <v>Tier 2</v>
      </c>
      <c r="E311" s="26" t="str">
        <f aca="false">'Control Library'!$A$10</f>
        <v>CTL-TM-01</v>
      </c>
      <c r="F311" s="12" t="str">
        <f aca="false">INDEX('Control Library'!$B$5:$B$47,MATCH(E311,'Control Library'!$A$5:$A$47,0))</f>
        <v>Automated transaction monitoring scenarios and annual tuning</v>
      </c>
      <c r="G311" s="7" t="str">
        <f aca="false">INDEX('Control Library'!$F$5:$F$47,MATCH(E311,'Control Library'!$A$5:$A$47,0))</f>
        <v>Y</v>
      </c>
      <c r="H311" s="12" t="str">
        <f aca="false">INDEX('Control Library'!$E$5:$E$47,MATCH(E311,'Control Library'!$A$5:$A$47,0))</f>
        <v>Continuous</v>
      </c>
      <c r="I311" s="7" t="str">
        <f aca="false">IF(INDEX('Control Library'!$I$5:$I$47,MATCH(E311,'Control Library'!$A$5:$A$47,0))="All","Y",IF(INDEX('Control Library'!$I$5:$I$47,MATCH(E311,'Control Library'!$A$5:$A$47,0))="Banks only",IF(COUNTIF('Residual Config'!$L$28:$L$30,INDEX(Entities!$E$5:$E$34,MATCH(B311,Entities!$A$5:$A$34,0)))&gt;0,"N/A","Y"),IF(INDEX(Entities!$G$5:$G$34,MATCH(B311,Entities!$A$5:$A$34,0))="Y","Y","N/A")))</f>
        <v>Y</v>
      </c>
      <c r="J311" s="8" t="s">
        <v>1488</v>
      </c>
      <c r="K311" s="8" t="s">
        <v>1476</v>
      </c>
      <c r="L311" s="7" t="str">
        <f aca="false">IF(OR(J311="",K311=""),"",IF(J311=K311,"Breach","OK"))</f>
        <v>OK</v>
      </c>
      <c r="M311" s="24" t="n">
        <v>1</v>
      </c>
      <c r="N311" s="50" t="n">
        <v>46195</v>
      </c>
      <c r="O311" s="8" t="s">
        <v>546</v>
      </c>
      <c r="P311" s="24" t="n">
        <v>1</v>
      </c>
      <c r="Q311" s="31" t="n">
        <f aca="false">IF(I311="N/A","",IFERROR(INDEX('Residual Config'!$B$35:$B$42,MATCH(H311,'Residual Config'!$A$35:$A$42,0)),""))</f>
        <v>1</v>
      </c>
      <c r="R311" s="24" t="n">
        <v>1</v>
      </c>
      <c r="S311" s="8" t="s">
        <v>521</v>
      </c>
      <c r="T311" s="31" t="n">
        <f aca="false">IF(S311="","",MATCH(S311,'Residual Config'!$L$9:$L$12,0))</f>
        <v>2</v>
      </c>
      <c r="U311" s="8" t="s">
        <v>1489</v>
      </c>
      <c r="V311" s="24" t="n">
        <v>1</v>
      </c>
      <c r="W311" s="33" t="s">
        <v>533</v>
      </c>
      <c r="X311" s="8" t="s">
        <v>760</v>
      </c>
      <c r="Y311" s="51" t="n">
        <f aca="false">IF(N311="","",EDATE(N311,IF(G311="N",INDEX('Residual Config'!$B$31:$D$31,1,MATCH(D311,'Residual Config'!$B$27:$D$27,0)),INDEX('Residual Config'!$B$28:$D$30,IF(T311=1,1,IF(T311=4,3,2)),MATCH(D311,'Residual Config'!$B$27:$D$27,0)))))</f>
        <v>46378</v>
      </c>
      <c r="Z311" s="7" t="str">
        <f aca="false">IF(I311="N/A","N/A",IF(N311="","Not tested",IF(W311="Rejected","Evidence rejected",IF(W311&lt;&gt;"Accepted","Evidence pending",IF(Y311&lt;'Residual Config'!$C$4,"Overdue","Current")))))</f>
        <v>Current</v>
      </c>
      <c r="AA311" s="34" t="n">
        <f aca="false">IF(I311="N/A","",IF(Z311&lt;&gt;"Current",4,IF(MAX(M311,T311)=0,4,MAX(M311,T311))))</f>
        <v>2</v>
      </c>
      <c r="AB311" s="7" t="str">
        <f aca="false">IF(AA311="","N/A",IF(Z311&lt;&gt;"Current","Not tested / overdue",INDEX('Residual Config'!$B$11:$B$14,AA311)))</f>
        <v>Largely effective</v>
      </c>
      <c r="AC311" s="36" t="n">
        <f aca="false">IF(AA311="","",INDEX('Residual Config'!$D$11:$D$14,AA311))</f>
        <v>0.4</v>
      </c>
      <c r="AD311" s="7" t="str">
        <f aca="false">IF(OR(I311="N/A",P311="",Q311=""),"",IF(P311&gt;=Q311,"Yes","No"))</f>
        <v>Yes</v>
      </c>
      <c r="AE311" s="8"/>
    </row>
    <row r="312" customFormat="false" ht="15" hidden="false" customHeight="false" outlineLevel="0" collapsed="false">
      <c r="A312" s="12" t="s">
        <v>1490</v>
      </c>
      <c r="B312" s="26" t="str">
        <f aca="false">Entities!$A$12</f>
        <v>LB</v>
      </c>
      <c r="C312" s="12" t="str">
        <f aca="false">INDEX(Entities!$B$5:$B$34,MATCH(B312,Entities!$A$5:$A$34,0))</f>
        <v>Arab Bank – Lebanon</v>
      </c>
      <c r="D312" s="7" t="str">
        <f aca="false">INDEX(Entities!$F$5:$F$34,MATCH(B312,Entities!$A$5:$A$34,0))</f>
        <v>Tier 2</v>
      </c>
      <c r="E312" s="26" t="str">
        <f aca="false">'Control Library'!$A$11</f>
        <v>CTL-TM-02</v>
      </c>
      <c r="F312" s="12" t="str">
        <f aca="false">INDEX('Control Library'!$B$5:$B$47,MATCH(E312,'Control Library'!$A$5:$A$47,0))</f>
        <v>Alert investigation and quality assurance within SLA</v>
      </c>
      <c r="G312" s="7" t="str">
        <f aca="false">INDEX('Control Library'!$F$5:$F$47,MATCH(E312,'Control Library'!$A$5:$A$47,0))</f>
        <v>Y</v>
      </c>
      <c r="H312" s="12" t="str">
        <f aca="false">INDEX('Control Library'!$E$5:$E$47,MATCH(E312,'Control Library'!$A$5:$A$47,0))</f>
        <v>Daily</v>
      </c>
      <c r="I312" s="7" t="str">
        <f aca="false">IF(INDEX('Control Library'!$I$5:$I$47,MATCH(E312,'Control Library'!$A$5:$A$47,0))="All","Y",IF(INDEX('Control Library'!$I$5:$I$47,MATCH(E312,'Control Library'!$A$5:$A$47,0))="Banks only",IF(COUNTIF('Residual Config'!$L$28:$L$30,INDEX(Entities!$E$5:$E$34,MATCH(B312,Entities!$A$5:$A$34,0)))&gt;0,"N/A","Y"),IF(INDEX(Entities!$G$5:$G$34,MATCH(B312,Entities!$A$5:$A$34,0))="Y","Y","N/A")))</f>
        <v>Y</v>
      </c>
      <c r="J312" s="8" t="s">
        <v>1488</v>
      </c>
      <c r="K312" s="8" t="s">
        <v>1476</v>
      </c>
      <c r="L312" s="7" t="str">
        <f aca="false">IF(OR(J312="",K312=""),"",IF(J312=K312,"Breach","OK"))</f>
        <v>OK</v>
      </c>
      <c r="M312" s="24" t="n">
        <v>2</v>
      </c>
      <c r="N312" s="50" t="n">
        <v>46196</v>
      </c>
      <c r="O312" s="8" t="s">
        <v>546</v>
      </c>
      <c r="P312" s="24" t="n">
        <v>25</v>
      </c>
      <c r="Q312" s="31" t="n">
        <f aca="false">IF(I312="N/A","",IFERROR(INDEX('Residual Config'!$B$35:$B$42,MATCH(H312,'Residual Config'!$A$35:$A$42,0)),""))</f>
        <v>25</v>
      </c>
      <c r="R312" s="24" t="n">
        <v>1</v>
      </c>
      <c r="S312" s="8" t="s">
        <v>521</v>
      </c>
      <c r="T312" s="31" t="n">
        <f aca="false">IF(S312="","",MATCH(S312,'Residual Config'!$L$9:$L$12,0))</f>
        <v>2</v>
      </c>
      <c r="U312" s="8" t="s">
        <v>1491</v>
      </c>
      <c r="V312" s="24" t="n">
        <v>1</v>
      </c>
      <c r="W312" s="33" t="s">
        <v>533</v>
      </c>
      <c r="X312" s="8" t="s">
        <v>760</v>
      </c>
      <c r="Y312" s="51" t="n">
        <f aca="false">IF(N312="","",EDATE(N312,IF(G312="N",INDEX('Residual Config'!$B$31:$D$31,1,MATCH(D312,'Residual Config'!$B$27:$D$27,0)),INDEX('Residual Config'!$B$28:$D$30,IF(T312=1,1,IF(T312=4,3,2)),MATCH(D312,'Residual Config'!$B$27:$D$27,0)))))</f>
        <v>46379</v>
      </c>
      <c r="Z312" s="7" t="str">
        <f aca="false">IF(I312="N/A","N/A",IF(N312="","Not tested",IF(W312="Rejected","Evidence rejected",IF(W312&lt;&gt;"Accepted","Evidence pending",IF(Y312&lt;'Residual Config'!$C$4,"Overdue","Current")))))</f>
        <v>Current</v>
      </c>
      <c r="AA312" s="34" t="n">
        <f aca="false">IF(I312="N/A","",IF(Z312&lt;&gt;"Current",4,IF(MAX(M312,T312)=0,4,MAX(M312,T312))))</f>
        <v>2</v>
      </c>
      <c r="AB312" s="7" t="str">
        <f aca="false">IF(AA312="","N/A",IF(Z312&lt;&gt;"Current","Not tested / overdue",INDEX('Residual Config'!$B$11:$B$14,AA312)))</f>
        <v>Largely effective</v>
      </c>
      <c r="AC312" s="36" t="n">
        <f aca="false">IF(AA312="","",INDEX('Residual Config'!$D$11:$D$14,AA312))</f>
        <v>0.4</v>
      </c>
      <c r="AD312" s="7" t="str">
        <f aca="false">IF(OR(I312="N/A",P312="",Q312=""),"",IF(P312&gt;=Q312,"Yes","No"))</f>
        <v>Yes</v>
      </c>
      <c r="AE312" s="8"/>
    </row>
    <row r="313" customFormat="false" ht="15" hidden="false" customHeight="false" outlineLevel="0" collapsed="false">
      <c r="A313" s="12" t="s">
        <v>1492</v>
      </c>
      <c r="B313" s="26" t="str">
        <f aca="false">Entities!$A$12</f>
        <v>LB</v>
      </c>
      <c r="C313" s="12" t="str">
        <f aca="false">INDEX(Entities!$B$5:$B$34,MATCH(B313,Entities!$A$5:$A$34,0))</f>
        <v>Arab Bank – Lebanon</v>
      </c>
      <c r="D313" s="7" t="str">
        <f aca="false">INDEX(Entities!$F$5:$F$34,MATCH(B313,Entities!$A$5:$A$34,0))</f>
        <v>Tier 2</v>
      </c>
      <c r="E313" s="26" t="str">
        <f aca="false">'Control Library'!$A$12</f>
        <v>CTL-STR-01</v>
      </c>
      <c r="F313" s="12" t="str">
        <f aca="false">INDEX('Control Library'!$B$5:$B$47,MATCH(E313,'Control Library'!$A$5:$A$47,0))</f>
        <v>STR decision and filing within regulatory deadline</v>
      </c>
      <c r="G313" s="7" t="str">
        <f aca="false">INDEX('Control Library'!$F$5:$F$47,MATCH(E313,'Control Library'!$A$5:$A$47,0))</f>
        <v>Y</v>
      </c>
      <c r="H313" s="12" t="str">
        <f aca="false">INDEX('Control Library'!$E$5:$E$47,MATCH(E313,'Control Library'!$A$5:$A$47,0))</f>
        <v>Event-driven</v>
      </c>
      <c r="I313" s="7" t="str">
        <f aca="false">IF(INDEX('Control Library'!$I$5:$I$47,MATCH(E313,'Control Library'!$A$5:$A$47,0))="All","Y",IF(INDEX('Control Library'!$I$5:$I$47,MATCH(E313,'Control Library'!$A$5:$A$47,0))="Banks only",IF(COUNTIF('Residual Config'!$L$28:$L$30,INDEX(Entities!$E$5:$E$34,MATCH(B313,Entities!$A$5:$A$34,0)))&gt;0,"N/A","Y"),IF(INDEX(Entities!$G$5:$G$34,MATCH(B313,Entities!$A$5:$A$34,0))="Y","Y","N/A")))</f>
        <v>Y</v>
      </c>
      <c r="J313" s="8" t="s">
        <v>1488</v>
      </c>
      <c r="K313" s="8" t="s">
        <v>1476</v>
      </c>
      <c r="L313" s="7" t="str">
        <f aca="false">IF(OR(J313="",K313=""),"",IF(J313=K313,"Breach","OK"))</f>
        <v>OK</v>
      </c>
      <c r="M313" s="24" t="n">
        <v>2</v>
      </c>
      <c r="N313" s="50" t="n">
        <v>46178</v>
      </c>
      <c r="O313" s="8" t="s">
        <v>546</v>
      </c>
      <c r="P313" s="24" t="n">
        <v>25</v>
      </c>
      <c r="Q313" s="31" t="n">
        <f aca="false">IF(I313="N/A","",IFERROR(INDEX('Residual Config'!$B$35:$B$42,MATCH(H313,'Residual Config'!$A$35:$A$42,0)),""))</f>
        <v>25</v>
      </c>
      <c r="R313" s="24" t="n">
        <v>1</v>
      </c>
      <c r="S313" s="8" t="s">
        <v>521</v>
      </c>
      <c r="T313" s="31" t="n">
        <f aca="false">IF(S313="","",MATCH(S313,'Residual Config'!$L$9:$L$12,0))</f>
        <v>2</v>
      </c>
      <c r="U313" s="8" t="s">
        <v>1493</v>
      </c>
      <c r="V313" s="24" t="n">
        <v>1</v>
      </c>
      <c r="W313" s="33" t="s">
        <v>533</v>
      </c>
      <c r="X313" s="8" t="s">
        <v>760</v>
      </c>
      <c r="Y313" s="51" t="n">
        <f aca="false">IF(N313="","",EDATE(N313,IF(G313="N",INDEX('Residual Config'!$B$31:$D$31,1,MATCH(D313,'Residual Config'!$B$27:$D$27,0)),INDEX('Residual Config'!$B$28:$D$30,IF(T313=1,1,IF(T313=4,3,2)),MATCH(D313,'Residual Config'!$B$27:$D$27,0)))))</f>
        <v>46361</v>
      </c>
      <c r="Z313" s="7" t="str">
        <f aca="false">IF(I313="N/A","N/A",IF(N313="","Not tested",IF(W313="Rejected","Evidence rejected",IF(W313&lt;&gt;"Accepted","Evidence pending",IF(Y313&lt;'Residual Config'!$C$4,"Overdue","Current")))))</f>
        <v>Current</v>
      </c>
      <c r="AA313" s="34" t="n">
        <f aca="false">IF(I313="N/A","",IF(Z313&lt;&gt;"Current",4,IF(MAX(M313,T313)=0,4,MAX(M313,T313))))</f>
        <v>2</v>
      </c>
      <c r="AB313" s="7" t="str">
        <f aca="false">IF(AA313="","N/A",IF(Z313&lt;&gt;"Current","Not tested / overdue",INDEX('Residual Config'!$B$11:$B$14,AA313)))</f>
        <v>Largely effective</v>
      </c>
      <c r="AC313" s="36" t="n">
        <f aca="false">IF(AA313="","",INDEX('Residual Config'!$D$11:$D$14,AA313))</f>
        <v>0.4</v>
      </c>
      <c r="AD313" s="7" t="str">
        <f aca="false">IF(OR(I313="N/A",P313="",Q313=""),"",IF(P313&gt;=Q313,"Yes","No"))</f>
        <v>Yes</v>
      </c>
      <c r="AE313" s="8"/>
    </row>
    <row r="314" customFormat="false" ht="15" hidden="false" customHeight="false" outlineLevel="0" collapsed="false">
      <c r="A314" s="12" t="s">
        <v>1494</v>
      </c>
      <c r="B314" s="26" t="str">
        <f aca="false">Entities!$A$12</f>
        <v>LB</v>
      </c>
      <c r="C314" s="12" t="str">
        <f aca="false">INDEX(Entities!$B$5:$B$34,MATCH(B314,Entities!$A$5:$A$34,0))</f>
        <v>Arab Bank – Lebanon</v>
      </c>
      <c r="D314" s="7" t="str">
        <f aca="false">INDEX(Entities!$F$5:$F$34,MATCH(B314,Entities!$A$5:$A$34,0))</f>
        <v>Tier 2</v>
      </c>
      <c r="E314" s="26" t="str">
        <f aca="false">'Control Library'!$A$13</f>
        <v>CTL-SAN-01</v>
      </c>
      <c r="F314" s="12" t="str">
        <f aca="false">INDEX('Control Library'!$B$5:$B$47,MATCH(E314,'Control Library'!$A$5:$A$47,0))</f>
        <v>Real-time payment and transaction sanctions screening</v>
      </c>
      <c r="G314" s="7" t="str">
        <f aca="false">INDEX('Control Library'!$F$5:$F$47,MATCH(E314,'Control Library'!$A$5:$A$47,0))</f>
        <v>Y</v>
      </c>
      <c r="H314" s="12" t="str">
        <f aca="false">INDEX('Control Library'!$E$5:$E$47,MATCH(E314,'Control Library'!$A$5:$A$47,0))</f>
        <v>Continuous</v>
      </c>
      <c r="I314" s="7" t="str">
        <f aca="false">IF(INDEX('Control Library'!$I$5:$I$47,MATCH(E314,'Control Library'!$A$5:$A$47,0))="All","Y",IF(INDEX('Control Library'!$I$5:$I$47,MATCH(E314,'Control Library'!$A$5:$A$47,0))="Banks only",IF(COUNTIF('Residual Config'!$L$28:$L$30,INDEX(Entities!$E$5:$E$34,MATCH(B314,Entities!$A$5:$A$34,0)))&gt;0,"N/A","Y"),IF(INDEX(Entities!$G$5:$G$34,MATCH(B314,Entities!$A$5:$A$34,0))="Y","Y","N/A")))</f>
        <v>Y</v>
      </c>
      <c r="J314" s="8" t="s">
        <v>1495</v>
      </c>
      <c r="K314" s="8" t="s">
        <v>1476</v>
      </c>
      <c r="L314" s="7" t="str">
        <f aca="false">IF(OR(J314="",K314=""),"",IF(J314=K314,"Breach","OK"))</f>
        <v>OK</v>
      </c>
      <c r="M314" s="24" t="n">
        <v>2</v>
      </c>
      <c r="N314" s="50" t="n">
        <v>46242</v>
      </c>
      <c r="O314" s="8" t="s">
        <v>547</v>
      </c>
      <c r="P314" s="24" t="n">
        <v>1</v>
      </c>
      <c r="Q314" s="31" t="n">
        <f aca="false">IF(I314="N/A","",IFERROR(INDEX('Residual Config'!$B$35:$B$42,MATCH(H314,'Residual Config'!$A$35:$A$42,0)),""))</f>
        <v>1</v>
      </c>
      <c r="R314" s="24" t="n">
        <v>1</v>
      </c>
      <c r="S314" s="8" t="s">
        <v>521</v>
      </c>
      <c r="T314" s="31" t="n">
        <f aca="false">IF(S314="","",MATCH(S314,'Residual Config'!$L$9:$L$12,0))</f>
        <v>2</v>
      </c>
      <c r="U314" s="8" t="s">
        <v>1496</v>
      </c>
      <c r="V314" s="24" t="n">
        <v>3</v>
      </c>
      <c r="W314" s="33" t="s">
        <v>535</v>
      </c>
      <c r="X314" s="8" t="s">
        <v>760</v>
      </c>
      <c r="Y314" s="51" t="n">
        <f aca="false">IF(N314="","",EDATE(N314,IF(G314="N",INDEX('Residual Config'!$B$31:$D$31,1,MATCH(D314,'Residual Config'!$B$27:$D$27,0)),INDEX('Residual Config'!$B$28:$D$30,IF(T314=1,1,IF(T314=4,3,2)),MATCH(D314,'Residual Config'!$B$27:$D$27,0)))))</f>
        <v>46426</v>
      </c>
      <c r="Z314" s="7" t="str">
        <f aca="false">IF(I314="N/A","N/A",IF(N314="","Not tested",IF(W314="Rejected","Evidence rejected",IF(W314&lt;&gt;"Accepted","Evidence pending",IF(Y314&lt;'Residual Config'!$C$4,"Overdue","Current")))))</f>
        <v>Evidence rejected</v>
      </c>
      <c r="AA314" s="34" t="n">
        <f aca="false">IF(I314="N/A","",IF(Z314&lt;&gt;"Current",4,IF(MAX(M314,T314)=0,4,MAX(M314,T314))))</f>
        <v>4</v>
      </c>
      <c r="AB314" s="7" t="str">
        <f aca="false">IF(AA314="","N/A",IF(Z314&lt;&gt;"Current","Not tested / overdue",INDEX('Residual Config'!$B$11:$B$14,AA314)))</f>
        <v>Not tested / overdue</v>
      </c>
      <c r="AC314" s="36" t="n">
        <f aca="false">IF(AA314="","",INDEX('Residual Config'!$D$11:$D$14,AA314))</f>
        <v>0</v>
      </c>
      <c r="AD314" s="7" t="str">
        <f aca="false">IF(OR(I314="N/A",P314="",Q314=""),"",IF(P314&gt;=Q314,"Yes","No"))</f>
        <v>Yes</v>
      </c>
      <c r="AE314" s="8"/>
    </row>
    <row r="315" customFormat="false" ht="15" hidden="false" customHeight="false" outlineLevel="0" collapsed="false">
      <c r="A315" s="12" t="s">
        <v>1497</v>
      </c>
      <c r="B315" s="26" t="str">
        <f aca="false">Entities!$A$12</f>
        <v>LB</v>
      </c>
      <c r="C315" s="12" t="str">
        <f aca="false">INDEX(Entities!$B$5:$B$34,MATCH(B315,Entities!$A$5:$A$34,0))</f>
        <v>Arab Bank – Lebanon</v>
      </c>
      <c r="D315" s="7" t="str">
        <f aca="false">INDEX(Entities!$F$5:$F$34,MATCH(B315,Entities!$A$5:$A$34,0))</f>
        <v>Tier 2</v>
      </c>
      <c r="E315" s="26" t="str">
        <f aca="false">'Control Library'!$A$14</f>
        <v>CTL-SAN-02</v>
      </c>
      <c r="F315" s="12" t="str">
        <f aca="false">INDEX('Control Library'!$B$5:$B$47,MATCH(E315,'Control Library'!$A$5:$A$47,0))</f>
        <v>Customer and counterparty screening at onboarding and on list change</v>
      </c>
      <c r="G315" s="7" t="str">
        <f aca="false">INDEX('Control Library'!$F$5:$F$47,MATCH(E315,'Control Library'!$A$5:$A$47,0))</f>
        <v>Y</v>
      </c>
      <c r="H315" s="12" t="str">
        <f aca="false">INDEX('Control Library'!$E$5:$E$47,MATCH(E315,'Control Library'!$A$5:$A$47,0))</f>
        <v>Continuous</v>
      </c>
      <c r="I315" s="7" t="str">
        <f aca="false">IF(INDEX('Control Library'!$I$5:$I$47,MATCH(E315,'Control Library'!$A$5:$A$47,0))="All","Y",IF(INDEX('Control Library'!$I$5:$I$47,MATCH(E315,'Control Library'!$A$5:$A$47,0))="Banks only",IF(COUNTIF('Residual Config'!$L$28:$L$30,INDEX(Entities!$E$5:$E$34,MATCH(B315,Entities!$A$5:$A$34,0)))&gt;0,"N/A","Y"),IF(INDEX(Entities!$G$5:$G$34,MATCH(B315,Entities!$A$5:$A$34,0))="Y","Y","N/A")))</f>
        <v>Y</v>
      </c>
      <c r="J315" s="8" t="s">
        <v>1495</v>
      </c>
      <c r="K315" s="8" t="s">
        <v>1476</v>
      </c>
      <c r="L315" s="7" t="str">
        <f aca="false">IF(OR(J315="",K315=""),"",IF(J315=K315,"Breach","OK"))</f>
        <v>OK</v>
      </c>
      <c r="M315" s="24" t="n">
        <v>2</v>
      </c>
      <c r="N315" s="50" t="n">
        <v>46175</v>
      </c>
      <c r="O315" s="8" t="s">
        <v>546</v>
      </c>
      <c r="P315" s="24" t="n">
        <v>1</v>
      </c>
      <c r="Q315" s="31" t="n">
        <f aca="false">IF(I315="N/A","",IFERROR(INDEX('Residual Config'!$B$35:$B$42,MATCH(H315,'Residual Config'!$A$35:$A$42,0)),""))</f>
        <v>1</v>
      </c>
      <c r="R315" s="24" t="n">
        <v>1</v>
      </c>
      <c r="S315" s="8" t="s">
        <v>521</v>
      </c>
      <c r="T315" s="31" t="n">
        <f aca="false">IF(S315="","",MATCH(S315,'Residual Config'!$L$9:$L$12,0))</f>
        <v>2</v>
      </c>
      <c r="U315" s="8" t="s">
        <v>1498</v>
      </c>
      <c r="V315" s="24" t="n">
        <v>1</v>
      </c>
      <c r="W315" s="33" t="s">
        <v>533</v>
      </c>
      <c r="X315" s="8" t="s">
        <v>760</v>
      </c>
      <c r="Y315" s="51" t="n">
        <f aca="false">IF(N315="","",EDATE(N315,IF(G315="N",INDEX('Residual Config'!$B$31:$D$31,1,MATCH(D315,'Residual Config'!$B$27:$D$27,0)),INDEX('Residual Config'!$B$28:$D$30,IF(T315=1,1,IF(T315=4,3,2)),MATCH(D315,'Residual Config'!$B$27:$D$27,0)))))</f>
        <v>46358</v>
      </c>
      <c r="Z315" s="7" t="str">
        <f aca="false">IF(I315="N/A","N/A",IF(N315="","Not tested",IF(W315="Rejected","Evidence rejected",IF(W315&lt;&gt;"Accepted","Evidence pending",IF(Y315&lt;'Residual Config'!$C$4,"Overdue","Current")))))</f>
        <v>Current</v>
      </c>
      <c r="AA315" s="34" t="n">
        <f aca="false">IF(I315="N/A","",IF(Z315&lt;&gt;"Current",4,IF(MAX(M315,T315)=0,4,MAX(M315,T315))))</f>
        <v>2</v>
      </c>
      <c r="AB315" s="7" t="str">
        <f aca="false">IF(AA315="","N/A",IF(Z315&lt;&gt;"Current","Not tested / overdue",INDEX('Residual Config'!$B$11:$B$14,AA315)))</f>
        <v>Largely effective</v>
      </c>
      <c r="AC315" s="36" t="n">
        <f aca="false">IF(AA315="","",INDEX('Residual Config'!$D$11:$D$14,AA315))</f>
        <v>0.4</v>
      </c>
      <c r="AD315" s="7" t="str">
        <f aca="false">IF(OR(I315="N/A",P315="",Q315=""),"",IF(P315&gt;=Q315,"Yes","No"))</f>
        <v>Yes</v>
      </c>
      <c r="AE315" s="8"/>
    </row>
    <row r="316" customFormat="false" ht="15" hidden="false" customHeight="false" outlineLevel="0" collapsed="false">
      <c r="A316" s="12" t="s">
        <v>1499</v>
      </c>
      <c r="B316" s="26" t="str">
        <f aca="false">Entities!$A$12</f>
        <v>LB</v>
      </c>
      <c r="C316" s="12" t="str">
        <f aca="false">INDEX(Entities!$B$5:$B$34,MATCH(B316,Entities!$A$5:$A$34,0))</f>
        <v>Arab Bank – Lebanon</v>
      </c>
      <c r="D316" s="7" t="str">
        <f aca="false">INDEX(Entities!$F$5:$F$34,MATCH(B316,Entities!$A$5:$A$34,0))</f>
        <v>Tier 2</v>
      </c>
      <c r="E316" s="26" t="str">
        <f aca="false">'Control Library'!$A$15</f>
        <v>CTL-SAN-03</v>
      </c>
      <c r="F316" s="12" t="str">
        <f aca="false">INDEX('Control Library'!$B$5:$B$47,MATCH(E316,'Control Library'!$A$5:$A$47,0))</f>
        <v>Sanctions list updates applied within 24 hours</v>
      </c>
      <c r="G316" s="7" t="str">
        <f aca="false">INDEX('Control Library'!$F$5:$F$47,MATCH(E316,'Control Library'!$A$5:$A$47,0))</f>
        <v>N</v>
      </c>
      <c r="H316" s="12" t="str">
        <f aca="false">INDEX('Control Library'!$E$5:$E$47,MATCH(E316,'Control Library'!$A$5:$A$47,0))</f>
        <v>Daily</v>
      </c>
      <c r="I316" s="7" t="str">
        <f aca="false">IF(INDEX('Control Library'!$I$5:$I$47,MATCH(E316,'Control Library'!$A$5:$A$47,0))="All","Y",IF(INDEX('Control Library'!$I$5:$I$47,MATCH(E316,'Control Library'!$A$5:$A$47,0))="Banks only",IF(COUNTIF('Residual Config'!$L$28:$L$30,INDEX(Entities!$E$5:$E$34,MATCH(B316,Entities!$A$5:$A$34,0)))&gt;0,"N/A","Y"),IF(INDEX(Entities!$G$5:$G$34,MATCH(B316,Entities!$A$5:$A$34,0))="Y","Y","N/A")))</f>
        <v>Y</v>
      </c>
      <c r="J316" s="8" t="s">
        <v>1500</v>
      </c>
      <c r="K316" s="8" t="s">
        <v>1476</v>
      </c>
      <c r="L316" s="7" t="str">
        <f aca="false">IF(OR(J316="",K316=""),"",IF(J316=K316,"Breach","OK"))</f>
        <v>OK</v>
      </c>
      <c r="M316" s="24" t="n">
        <v>2</v>
      </c>
      <c r="N316" s="50" t="n">
        <v>45968</v>
      </c>
      <c r="O316" s="8" t="s">
        <v>545</v>
      </c>
      <c r="P316" s="24" t="n">
        <v>35</v>
      </c>
      <c r="Q316" s="31" t="n">
        <f aca="false">IF(I316="N/A","",IFERROR(INDEX('Residual Config'!$B$35:$B$42,MATCH(H316,'Residual Config'!$A$35:$A$42,0)),""))</f>
        <v>25</v>
      </c>
      <c r="R316" s="24" t="n">
        <v>1</v>
      </c>
      <c r="S316" s="8" t="s">
        <v>521</v>
      </c>
      <c r="T316" s="31" t="n">
        <f aca="false">IF(S316="","",MATCH(S316,'Residual Config'!$L$9:$L$12,0))</f>
        <v>2</v>
      </c>
      <c r="U316" s="8" t="s">
        <v>1501</v>
      </c>
      <c r="V316" s="24" t="n">
        <v>3</v>
      </c>
      <c r="W316" s="33" t="s">
        <v>533</v>
      </c>
      <c r="X316" s="8" t="s">
        <v>754</v>
      </c>
      <c r="Y316" s="51" t="n">
        <f aca="false">IF(N316="","",EDATE(N316,IF(G316="N",INDEX('Residual Config'!$B$31:$D$31,1,MATCH(D316,'Residual Config'!$B$27:$D$27,0)),INDEX('Residual Config'!$B$28:$D$30,IF(T316=1,1,IF(T316=4,3,2)),MATCH(D316,'Residual Config'!$B$27:$D$27,0)))))</f>
        <v>46333</v>
      </c>
      <c r="Z316" s="7" t="str">
        <f aca="false">IF(I316="N/A","N/A",IF(N316="","Not tested",IF(W316="Rejected","Evidence rejected",IF(W316&lt;&gt;"Accepted","Evidence pending",IF(Y316&lt;'Residual Config'!$C$4,"Overdue","Current")))))</f>
        <v>Current</v>
      </c>
      <c r="AA316" s="34" t="n">
        <f aca="false">IF(I316="N/A","",IF(Z316&lt;&gt;"Current",4,IF(MAX(M316,T316)=0,4,MAX(M316,T316))))</f>
        <v>2</v>
      </c>
      <c r="AB316" s="7" t="str">
        <f aca="false">IF(AA316="","N/A",IF(Z316&lt;&gt;"Current","Not tested / overdue",INDEX('Residual Config'!$B$11:$B$14,AA316)))</f>
        <v>Largely effective</v>
      </c>
      <c r="AC316" s="36" t="n">
        <f aca="false">IF(AA316="","",INDEX('Residual Config'!$D$11:$D$14,AA316))</f>
        <v>0.4</v>
      </c>
      <c r="AD316" s="7" t="str">
        <f aca="false">IF(OR(I316="N/A",P316="",Q316=""),"",IF(P316&gt;=Q316,"Yes","No"))</f>
        <v>Yes</v>
      </c>
      <c r="AE316" s="8"/>
    </row>
    <row r="317" customFormat="false" ht="15" hidden="false" customHeight="false" outlineLevel="0" collapsed="false">
      <c r="A317" s="12" t="s">
        <v>1502</v>
      </c>
      <c r="B317" s="26" t="str">
        <f aca="false">Entities!$A$12</f>
        <v>LB</v>
      </c>
      <c r="C317" s="12" t="str">
        <f aca="false">INDEX(Entities!$B$5:$B$34,MATCH(B317,Entities!$A$5:$A$34,0))</f>
        <v>Arab Bank – Lebanon</v>
      </c>
      <c r="D317" s="7" t="str">
        <f aca="false">INDEX(Entities!$F$5:$F$34,MATCH(B317,Entities!$A$5:$A$34,0))</f>
        <v>Tier 2</v>
      </c>
      <c r="E317" s="26" t="str">
        <f aca="false">'Control Library'!$A$16</f>
        <v>CTL-TF-01</v>
      </c>
      <c r="F317" s="12" t="str">
        <f aca="false">INDEX('Control Library'!$B$5:$B$47,MATCH(E317,'Control Library'!$A$5:$A$47,0))</f>
        <v>NPO and charity enhanced due diligence</v>
      </c>
      <c r="G317" s="7" t="str">
        <f aca="false">INDEX('Control Library'!$F$5:$F$47,MATCH(E317,'Control Library'!$A$5:$A$47,0))</f>
        <v>N</v>
      </c>
      <c r="H317" s="12" t="str">
        <f aca="false">INDEX('Control Library'!$E$5:$E$47,MATCH(E317,'Control Library'!$A$5:$A$47,0))</f>
        <v>Event-driven</v>
      </c>
      <c r="I317" s="7" t="str">
        <f aca="false">IF(INDEX('Control Library'!$I$5:$I$47,MATCH(E317,'Control Library'!$A$5:$A$47,0))="All","Y",IF(INDEX('Control Library'!$I$5:$I$47,MATCH(E317,'Control Library'!$A$5:$A$47,0))="Banks only",IF(COUNTIF('Residual Config'!$L$28:$L$30,INDEX(Entities!$E$5:$E$34,MATCH(B317,Entities!$A$5:$A$34,0)))&gt;0,"N/A","Y"),IF(INDEX(Entities!$G$5:$G$34,MATCH(B317,Entities!$A$5:$A$34,0))="Y","Y","N/A")))</f>
        <v>Y</v>
      </c>
      <c r="J317" s="8" t="s">
        <v>1503</v>
      </c>
      <c r="K317" s="8" t="s">
        <v>1476</v>
      </c>
      <c r="L317" s="7" t="str">
        <f aca="false">IF(OR(J317="",K317=""),"",IF(J317=K317,"Breach","OK"))</f>
        <v>OK</v>
      </c>
      <c r="M317" s="24" t="n">
        <v>3</v>
      </c>
      <c r="N317" s="50" t="n">
        <v>45839</v>
      </c>
      <c r="O317" s="8" t="s">
        <v>546</v>
      </c>
      <c r="P317" s="24" t="n">
        <v>35</v>
      </c>
      <c r="Q317" s="31" t="n">
        <f aca="false">IF(I317="N/A","",IFERROR(INDEX('Residual Config'!$B$35:$B$42,MATCH(H317,'Residual Config'!$A$35:$A$42,0)),""))</f>
        <v>25</v>
      </c>
      <c r="R317" s="24" t="n">
        <v>7</v>
      </c>
      <c r="S317" s="8" t="s">
        <v>527</v>
      </c>
      <c r="T317" s="31" t="n">
        <f aca="false">IF(S317="","",MATCH(S317,'Residual Config'!$L$9:$L$12,0))</f>
        <v>4</v>
      </c>
      <c r="U317" s="8" t="s">
        <v>1504</v>
      </c>
      <c r="V317" s="24" t="n">
        <v>4</v>
      </c>
      <c r="W317" s="33" t="s">
        <v>533</v>
      </c>
      <c r="X317" s="8" t="s">
        <v>754</v>
      </c>
      <c r="Y317" s="51" t="n">
        <f aca="false">IF(N317="","",EDATE(N317,IF(G317="N",INDEX('Residual Config'!$B$31:$D$31,1,MATCH(D317,'Residual Config'!$B$27:$D$27,0)),INDEX('Residual Config'!$B$28:$D$30,IF(T317=1,1,IF(T317=4,3,2)),MATCH(D317,'Residual Config'!$B$27:$D$27,0)))))</f>
        <v>46204</v>
      </c>
      <c r="Z317" s="7" t="str">
        <f aca="false">IF(I317="N/A","N/A",IF(N317="","Not tested",IF(W317="Rejected","Evidence rejected",IF(W317&lt;&gt;"Accepted","Evidence pending",IF(Y317&lt;'Residual Config'!$C$4,"Overdue","Current")))))</f>
        <v>Overdue</v>
      </c>
      <c r="AA317" s="34" t="n">
        <f aca="false">IF(I317="N/A","",IF(Z317&lt;&gt;"Current",4,IF(MAX(M317,T317)=0,4,MAX(M317,T317))))</f>
        <v>4</v>
      </c>
      <c r="AB317" s="7" t="str">
        <f aca="false">IF(AA317="","N/A",IF(Z317&lt;&gt;"Current","Not tested / overdue",INDEX('Residual Config'!$B$11:$B$14,AA317)))</f>
        <v>Not tested / overdue</v>
      </c>
      <c r="AC317" s="36" t="n">
        <f aca="false">IF(AA317="","",INDEX('Residual Config'!$D$11:$D$14,AA317))</f>
        <v>0</v>
      </c>
      <c r="AD317" s="7" t="str">
        <f aca="false">IF(OR(I317="N/A",P317="",Q317=""),"",IF(P317&gt;=Q317,"Yes","No"))</f>
        <v>Yes</v>
      </c>
      <c r="AE317" s="8"/>
    </row>
    <row r="318" customFormat="false" ht="15" hidden="false" customHeight="false" outlineLevel="0" collapsed="false">
      <c r="A318" s="12" t="s">
        <v>1505</v>
      </c>
      <c r="B318" s="26" t="str">
        <f aca="false">Entities!$A$12</f>
        <v>LB</v>
      </c>
      <c r="C318" s="12" t="str">
        <f aca="false">INDEX(Entities!$B$5:$B$34,MATCH(B318,Entities!$A$5:$A$34,0))</f>
        <v>Arab Bank – Lebanon</v>
      </c>
      <c r="D318" s="7" t="str">
        <f aca="false">INDEX(Entities!$F$5:$F$34,MATCH(B318,Entities!$A$5:$A$34,0))</f>
        <v>Tier 2</v>
      </c>
      <c r="E318" s="26" t="str">
        <f aca="false">'Control Library'!$A$17</f>
        <v>CTL-TBML-01</v>
      </c>
      <c r="F318" s="12" t="str">
        <f aca="false">INDEX('Control Library'!$B$5:$B$47,MATCH(E318,'Control Library'!$A$5:$A$47,0))</f>
        <v>Trade-based ML red-flag review and pricing checks</v>
      </c>
      <c r="G318" s="7" t="str">
        <f aca="false">INDEX('Control Library'!$F$5:$F$47,MATCH(E318,'Control Library'!$A$5:$A$47,0))</f>
        <v>Y</v>
      </c>
      <c r="H318" s="12" t="str">
        <f aca="false">INDEX('Control Library'!$E$5:$E$47,MATCH(E318,'Control Library'!$A$5:$A$47,0))</f>
        <v>Event-driven</v>
      </c>
      <c r="I318" s="7" t="str">
        <f aca="false">IF(INDEX('Control Library'!$I$5:$I$47,MATCH(E318,'Control Library'!$A$5:$A$47,0))="All","Y",IF(INDEX('Control Library'!$I$5:$I$47,MATCH(E318,'Control Library'!$A$5:$A$47,0))="Banks only",IF(COUNTIF('Residual Config'!$L$28:$L$30,INDEX(Entities!$E$5:$E$34,MATCH(B318,Entities!$A$5:$A$34,0)))&gt;0,"N/A","Y"),IF(INDEX(Entities!$G$5:$G$34,MATCH(B318,Entities!$A$5:$A$34,0))="Y","Y","N/A")))</f>
        <v>Y</v>
      </c>
      <c r="J318" s="8" t="s">
        <v>1506</v>
      </c>
      <c r="K318" s="8" t="s">
        <v>1476</v>
      </c>
      <c r="L318" s="7" t="str">
        <f aca="false">IF(OR(J318="",K318=""),"",IF(J318=K318,"Breach","OK"))</f>
        <v>OK</v>
      </c>
      <c r="M318" s="24" t="n">
        <v>2</v>
      </c>
      <c r="N318" s="50" t="n">
        <v>46271</v>
      </c>
      <c r="O318" s="8" t="s">
        <v>546</v>
      </c>
      <c r="P318" s="24" t="n">
        <v>30</v>
      </c>
      <c r="Q318" s="31" t="n">
        <f aca="false">IF(I318="N/A","",IFERROR(INDEX('Residual Config'!$B$35:$B$42,MATCH(H318,'Residual Config'!$A$35:$A$42,0)),""))</f>
        <v>25</v>
      </c>
      <c r="R318" s="24" t="n">
        <v>1</v>
      </c>
      <c r="S318" s="8" t="s">
        <v>521</v>
      </c>
      <c r="T318" s="31" t="n">
        <f aca="false">IF(S318="","",MATCH(S318,'Residual Config'!$L$9:$L$12,0))</f>
        <v>2</v>
      </c>
      <c r="U318" s="8" t="s">
        <v>1507</v>
      </c>
      <c r="V318" s="24" t="n">
        <v>5</v>
      </c>
      <c r="W318" s="33" t="s">
        <v>533</v>
      </c>
      <c r="X318" s="8" t="s">
        <v>754</v>
      </c>
      <c r="Y318" s="51" t="n">
        <f aca="false">IF(N318="","",EDATE(N318,IF(G318="N",INDEX('Residual Config'!$B$31:$D$31,1,MATCH(D318,'Residual Config'!$B$27:$D$27,0)),INDEX('Residual Config'!$B$28:$D$30,IF(T318=1,1,IF(T318=4,3,2)),MATCH(D318,'Residual Config'!$B$27:$D$27,0)))))</f>
        <v>46452</v>
      </c>
      <c r="Z318" s="7" t="str">
        <f aca="false">IF(I318="N/A","N/A",IF(N318="","Not tested",IF(W318="Rejected","Evidence rejected",IF(W318&lt;&gt;"Accepted","Evidence pending",IF(Y318&lt;'Residual Config'!$C$4,"Overdue","Current")))))</f>
        <v>Current</v>
      </c>
      <c r="AA318" s="34" t="n">
        <f aca="false">IF(I318="N/A","",IF(Z318&lt;&gt;"Current",4,IF(MAX(M318,T318)=0,4,MAX(M318,T318))))</f>
        <v>2</v>
      </c>
      <c r="AB318" s="7" t="str">
        <f aca="false">IF(AA318="","N/A",IF(Z318&lt;&gt;"Current","Not tested / overdue",INDEX('Residual Config'!$B$11:$B$14,AA318)))</f>
        <v>Largely effective</v>
      </c>
      <c r="AC318" s="36" t="n">
        <f aca="false">IF(AA318="","",INDEX('Residual Config'!$D$11:$D$14,AA318))</f>
        <v>0.4</v>
      </c>
      <c r="AD318" s="7" t="str">
        <f aca="false">IF(OR(I318="N/A",P318="",Q318=""),"",IF(P318&gt;=Q318,"Yes","No"))</f>
        <v>Yes</v>
      </c>
      <c r="AE318" s="8"/>
    </row>
    <row r="319" customFormat="false" ht="15" hidden="false" customHeight="false" outlineLevel="0" collapsed="false">
      <c r="A319" s="12" t="s">
        <v>1508</v>
      </c>
      <c r="B319" s="26" t="str">
        <f aca="false">Entities!$A$12</f>
        <v>LB</v>
      </c>
      <c r="C319" s="12" t="str">
        <f aca="false">INDEX(Entities!$B$5:$B$34,MATCH(B319,Entities!$A$5:$A$34,0))</f>
        <v>Arab Bank – Lebanon</v>
      </c>
      <c r="D319" s="7" t="str">
        <f aca="false">INDEX(Entities!$F$5:$F$34,MATCH(B319,Entities!$A$5:$A$34,0))</f>
        <v>Tier 2</v>
      </c>
      <c r="E319" s="26" t="str">
        <f aca="false">'Control Library'!$A$18</f>
        <v>CTL-PF-01</v>
      </c>
      <c r="F319" s="12" t="str">
        <f aca="false">INDEX('Control Library'!$B$5:$B$47,MATCH(E319,'Control Library'!$A$5:$A$47,0))</f>
        <v>Dual-use goods, vessel and port screening</v>
      </c>
      <c r="G319" s="7" t="str">
        <f aca="false">INDEX('Control Library'!$F$5:$F$47,MATCH(E319,'Control Library'!$A$5:$A$47,0))</f>
        <v>Y</v>
      </c>
      <c r="H319" s="12" t="str">
        <f aca="false">INDEX('Control Library'!$E$5:$E$47,MATCH(E319,'Control Library'!$A$5:$A$47,0))</f>
        <v>Event-driven</v>
      </c>
      <c r="I319" s="7" t="str">
        <f aca="false">IF(INDEX('Control Library'!$I$5:$I$47,MATCH(E319,'Control Library'!$A$5:$A$47,0))="All","Y",IF(INDEX('Control Library'!$I$5:$I$47,MATCH(E319,'Control Library'!$A$5:$A$47,0))="Banks only",IF(COUNTIF('Residual Config'!$L$28:$L$30,INDEX(Entities!$E$5:$E$34,MATCH(B319,Entities!$A$5:$A$34,0)))&gt;0,"N/A","Y"),IF(INDEX(Entities!$G$5:$G$34,MATCH(B319,Entities!$A$5:$A$34,0))="Y","Y","N/A")))</f>
        <v>Y</v>
      </c>
      <c r="J319" s="8" t="s">
        <v>1506</v>
      </c>
      <c r="K319" s="8" t="s">
        <v>1476</v>
      </c>
      <c r="L319" s="7" t="str">
        <f aca="false">IF(OR(J319="",K319=""),"",IF(J319=K319,"Breach","OK"))</f>
        <v>OK</v>
      </c>
      <c r="M319" s="24" t="n">
        <v>1</v>
      </c>
      <c r="N319" s="50" t="n">
        <v>46217</v>
      </c>
      <c r="O319" s="8" t="s">
        <v>545</v>
      </c>
      <c r="P319" s="24" t="n">
        <v>25</v>
      </c>
      <c r="Q319" s="31" t="n">
        <f aca="false">IF(I319="N/A","",IFERROR(INDEX('Residual Config'!$B$35:$B$42,MATCH(H319,'Residual Config'!$A$35:$A$42,0)),""))</f>
        <v>25</v>
      </c>
      <c r="R319" s="24" t="n">
        <v>1</v>
      </c>
      <c r="S319" s="8" t="s">
        <v>521</v>
      </c>
      <c r="T319" s="31" t="n">
        <f aca="false">IF(S319="","",MATCH(S319,'Residual Config'!$L$9:$L$12,0))</f>
        <v>2</v>
      </c>
      <c r="U319" s="8" t="s">
        <v>1509</v>
      </c>
      <c r="V319" s="24" t="n">
        <v>5</v>
      </c>
      <c r="W319" s="33" t="s">
        <v>533</v>
      </c>
      <c r="X319" s="8" t="s">
        <v>754</v>
      </c>
      <c r="Y319" s="51" t="n">
        <f aca="false">IF(N319="","",EDATE(N319,IF(G319="N",INDEX('Residual Config'!$B$31:$D$31,1,MATCH(D319,'Residual Config'!$B$27:$D$27,0)),INDEX('Residual Config'!$B$28:$D$30,IF(T319=1,1,IF(T319=4,3,2)),MATCH(D319,'Residual Config'!$B$27:$D$27,0)))))</f>
        <v>46401</v>
      </c>
      <c r="Z319" s="7" t="str">
        <f aca="false">IF(I319="N/A","N/A",IF(N319="","Not tested",IF(W319="Rejected","Evidence rejected",IF(W319&lt;&gt;"Accepted","Evidence pending",IF(Y319&lt;'Residual Config'!$C$4,"Overdue","Current")))))</f>
        <v>Current</v>
      </c>
      <c r="AA319" s="34" t="n">
        <f aca="false">IF(I319="N/A","",IF(Z319&lt;&gt;"Current",4,IF(MAX(M319,T319)=0,4,MAX(M319,T319))))</f>
        <v>2</v>
      </c>
      <c r="AB319" s="7" t="str">
        <f aca="false">IF(AA319="","N/A",IF(Z319&lt;&gt;"Current","Not tested / overdue",INDEX('Residual Config'!$B$11:$B$14,AA319)))</f>
        <v>Largely effective</v>
      </c>
      <c r="AC319" s="36" t="n">
        <f aca="false">IF(AA319="","",INDEX('Residual Config'!$D$11:$D$14,AA319))</f>
        <v>0.4</v>
      </c>
      <c r="AD319" s="7" t="str">
        <f aca="false">IF(OR(I319="N/A",P319="",Q319=""),"",IF(P319&gt;=Q319,"Yes","No"))</f>
        <v>Yes</v>
      </c>
      <c r="AE319" s="8"/>
    </row>
    <row r="320" customFormat="false" ht="15" hidden="false" customHeight="false" outlineLevel="0" collapsed="false">
      <c r="A320" s="12" t="s">
        <v>1510</v>
      </c>
      <c r="B320" s="26" t="str">
        <f aca="false">Entities!$A$12</f>
        <v>LB</v>
      </c>
      <c r="C320" s="12" t="str">
        <f aca="false">INDEX(Entities!$B$5:$B$34,MATCH(B320,Entities!$A$5:$A$34,0))</f>
        <v>Arab Bank – Lebanon</v>
      </c>
      <c r="D320" s="7" t="str">
        <f aca="false">INDEX(Entities!$F$5:$F$34,MATCH(B320,Entities!$A$5:$A$34,0))</f>
        <v>Tier 2</v>
      </c>
      <c r="E320" s="26" t="str">
        <f aca="false">'Control Library'!$A$19</f>
        <v>CTL-CB-01</v>
      </c>
      <c r="F320" s="12" t="str">
        <f aca="false">INDEX('Control Library'!$B$5:$B$47,MATCH(E320,'Control Library'!$A$5:$A$47,0))</f>
        <v>Correspondent bank due diligence (CBDDQ) and nesting detection</v>
      </c>
      <c r="G320" s="7" t="str">
        <f aca="false">INDEX('Control Library'!$F$5:$F$47,MATCH(E320,'Control Library'!$A$5:$A$47,0))</f>
        <v>Y</v>
      </c>
      <c r="H320" s="12" t="str">
        <f aca="false">INDEX('Control Library'!$E$5:$E$47,MATCH(E320,'Control Library'!$A$5:$A$47,0))</f>
        <v>Annual</v>
      </c>
      <c r="I320" s="7" t="str">
        <f aca="false">IF(INDEX('Control Library'!$I$5:$I$47,MATCH(E320,'Control Library'!$A$5:$A$47,0))="All","Y",IF(INDEX('Control Library'!$I$5:$I$47,MATCH(E320,'Control Library'!$A$5:$A$47,0))="Banks only",IF(COUNTIF('Residual Config'!$L$28:$L$30,INDEX(Entities!$E$5:$E$34,MATCH(B320,Entities!$A$5:$A$34,0)))&gt;0,"N/A","Y"),IF(INDEX(Entities!$G$5:$G$34,MATCH(B320,Entities!$A$5:$A$34,0))="Y","Y","N/A")))</f>
        <v>Y</v>
      </c>
      <c r="J320" s="8" t="s">
        <v>1511</v>
      </c>
      <c r="K320" s="8" t="s">
        <v>1476</v>
      </c>
      <c r="L320" s="7" t="str">
        <f aca="false">IF(OR(J320="",K320=""),"",IF(J320=K320,"Breach","OK"))</f>
        <v>OK</v>
      </c>
      <c r="M320" s="24" t="n">
        <v>3</v>
      </c>
      <c r="N320" s="50" t="n">
        <v>46288</v>
      </c>
      <c r="O320" s="8" t="s">
        <v>546</v>
      </c>
      <c r="P320" s="24" t="n">
        <v>1</v>
      </c>
      <c r="Q320" s="31" t="n">
        <f aca="false">IF(I320="N/A","",IFERROR(INDEX('Residual Config'!$B$35:$B$42,MATCH(H320,'Residual Config'!$A$35:$A$42,0)),""))</f>
        <v>1</v>
      </c>
      <c r="R320" s="24" t="n">
        <v>1</v>
      </c>
      <c r="S320" s="8" t="s">
        <v>521</v>
      </c>
      <c r="T320" s="31" t="n">
        <f aca="false">IF(S320="","",MATCH(S320,'Residual Config'!$L$9:$L$12,0))</f>
        <v>2</v>
      </c>
      <c r="U320" s="8" t="s">
        <v>1512</v>
      </c>
      <c r="V320" s="24" t="n">
        <v>4</v>
      </c>
      <c r="W320" s="33" t="s">
        <v>533</v>
      </c>
      <c r="X320" s="8" t="s">
        <v>760</v>
      </c>
      <c r="Y320" s="51" t="n">
        <f aca="false">IF(N320="","",EDATE(N320,IF(G320="N",INDEX('Residual Config'!$B$31:$D$31,1,MATCH(D320,'Residual Config'!$B$27:$D$27,0)),INDEX('Residual Config'!$B$28:$D$30,IF(T320=1,1,IF(T320=4,3,2)),MATCH(D320,'Residual Config'!$B$27:$D$27,0)))))</f>
        <v>46469</v>
      </c>
      <c r="Z320" s="7" t="str">
        <f aca="false">IF(I320="N/A","N/A",IF(N320="","Not tested",IF(W320="Rejected","Evidence rejected",IF(W320&lt;&gt;"Accepted","Evidence pending",IF(Y320&lt;'Residual Config'!$C$4,"Overdue","Current")))))</f>
        <v>Current</v>
      </c>
      <c r="AA320" s="34" t="n">
        <f aca="false">IF(I320="N/A","",IF(Z320&lt;&gt;"Current",4,IF(MAX(M320,T320)=0,4,MAX(M320,T320))))</f>
        <v>3</v>
      </c>
      <c r="AB320" s="7" t="str">
        <f aca="false">IF(AA320="","N/A",IF(Z320&lt;&gt;"Current","Not tested / overdue",INDEX('Residual Config'!$B$11:$B$14,AA320)))</f>
        <v>Partially effective</v>
      </c>
      <c r="AC320" s="36" t="n">
        <f aca="false">IF(AA320="","",INDEX('Residual Config'!$D$11:$D$14,AA320))</f>
        <v>0.2</v>
      </c>
      <c r="AD320" s="7" t="str">
        <f aca="false">IF(OR(I320="N/A",P320="",Q320=""),"",IF(P320&gt;=Q320,"Yes","No"))</f>
        <v>Yes</v>
      </c>
      <c r="AE320" s="8"/>
    </row>
    <row r="321" customFormat="false" ht="15" hidden="false" customHeight="false" outlineLevel="0" collapsed="false">
      <c r="A321" s="12" t="s">
        <v>1513</v>
      </c>
      <c r="B321" s="26" t="str">
        <f aca="false">Entities!$A$12</f>
        <v>LB</v>
      </c>
      <c r="C321" s="12" t="str">
        <f aca="false">INDEX(Entities!$B$5:$B$34,MATCH(B321,Entities!$A$5:$A$34,0))</f>
        <v>Arab Bank – Lebanon</v>
      </c>
      <c r="D321" s="7" t="str">
        <f aca="false">INDEX(Entities!$F$5:$F$34,MATCH(B321,Entities!$A$5:$A$34,0))</f>
        <v>Tier 2</v>
      </c>
      <c r="E321" s="26" t="str">
        <f aca="false">'Control Library'!$A$20</f>
        <v>CTL-PAY-01</v>
      </c>
      <c r="F321" s="12" t="str">
        <f aca="false">INDEX('Control Library'!$B$5:$B$47,MATCH(E321,'Control Library'!$A$5:$A$47,0))</f>
        <v>Payment transparency checks (FATF R.16)</v>
      </c>
      <c r="G321" s="7" t="str">
        <f aca="false">INDEX('Control Library'!$F$5:$F$47,MATCH(E321,'Control Library'!$A$5:$A$47,0))</f>
        <v>N</v>
      </c>
      <c r="H321" s="12" t="str">
        <f aca="false">INDEX('Control Library'!$E$5:$E$47,MATCH(E321,'Control Library'!$A$5:$A$47,0))</f>
        <v>Continuous</v>
      </c>
      <c r="I321" s="7" t="str">
        <f aca="false">IF(INDEX('Control Library'!$I$5:$I$47,MATCH(E321,'Control Library'!$A$5:$A$47,0))="All","Y",IF(INDEX('Control Library'!$I$5:$I$47,MATCH(E321,'Control Library'!$A$5:$A$47,0))="Banks only",IF(COUNTIF('Residual Config'!$L$28:$L$30,INDEX(Entities!$E$5:$E$34,MATCH(B321,Entities!$A$5:$A$34,0)))&gt;0,"N/A","Y"),IF(INDEX(Entities!$G$5:$G$34,MATCH(B321,Entities!$A$5:$A$34,0))="Y","Y","N/A")))</f>
        <v>Y</v>
      </c>
      <c r="J321" s="8" t="s">
        <v>1514</v>
      </c>
      <c r="K321" s="8" t="s">
        <v>1476</v>
      </c>
      <c r="L321" s="7" t="str">
        <f aca="false">IF(OR(J321="",K321=""),"",IF(J321=K321,"Breach","OK"))</f>
        <v>OK</v>
      </c>
      <c r="M321" s="24" t="n">
        <v>3</v>
      </c>
      <c r="N321" s="50" t="n">
        <v>46044</v>
      </c>
      <c r="O321" s="8" t="s">
        <v>547</v>
      </c>
      <c r="P321" s="24" t="n">
        <v>1</v>
      </c>
      <c r="Q321" s="31" t="n">
        <f aca="false">IF(I321="N/A","",IFERROR(INDEX('Residual Config'!$B$35:$B$42,MATCH(H321,'Residual Config'!$A$35:$A$42,0)),""))</f>
        <v>1</v>
      </c>
      <c r="R321" s="24" t="n">
        <v>1</v>
      </c>
      <c r="S321" s="8" t="s">
        <v>521</v>
      </c>
      <c r="T321" s="31" t="n">
        <f aca="false">IF(S321="","",MATCH(S321,'Residual Config'!$L$9:$L$12,0))</f>
        <v>2</v>
      </c>
      <c r="U321" s="8" t="s">
        <v>1515</v>
      </c>
      <c r="V321" s="24" t="n">
        <v>3</v>
      </c>
      <c r="W321" s="33" t="s">
        <v>533</v>
      </c>
      <c r="X321" s="8" t="s">
        <v>760</v>
      </c>
      <c r="Y321" s="51" t="n">
        <f aca="false">IF(N321="","",EDATE(N321,IF(G321="N",INDEX('Residual Config'!$B$31:$D$31,1,MATCH(D321,'Residual Config'!$B$27:$D$27,0)),INDEX('Residual Config'!$B$28:$D$30,IF(T321=1,1,IF(T321=4,3,2)),MATCH(D321,'Residual Config'!$B$27:$D$27,0)))))</f>
        <v>46409</v>
      </c>
      <c r="Z321" s="7" t="str">
        <f aca="false">IF(I321="N/A","N/A",IF(N321="","Not tested",IF(W321="Rejected","Evidence rejected",IF(W321&lt;&gt;"Accepted","Evidence pending",IF(Y321&lt;'Residual Config'!$C$4,"Overdue","Current")))))</f>
        <v>Current</v>
      </c>
      <c r="AA321" s="34" t="n">
        <f aca="false">IF(I321="N/A","",IF(Z321&lt;&gt;"Current",4,IF(MAX(M321,T321)=0,4,MAX(M321,T321))))</f>
        <v>3</v>
      </c>
      <c r="AB321" s="7" t="str">
        <f aca="false">IF(AA321="","N/A",IF(Z321&lt;&gt;"Current","Not tested / overdue",INDEX('Residual Config'!$B$11:$B$14,AA321)))</f>
        <v>Partially effective</v>
      </c>
      <c r="AC321" s="36" t="n">
        <f aca="false">IF(AA321="","",INDEX('Residual Config'!$D$11:$D$14,AA321))</f>
        <v>0.2</v>
      </c>
      <c r="AD321" s="7" t="str">
        <f aca="false">IF(OR(I321="N/A",P321="",Q321=""),"",IF(P321&gt;=Q321,"Yes","No"))</f>
        <v>Yes</v>
      </c>
      <c r="AE321" s="8"/>
    </row>
    <row r="322" customFormat="false" ht="15" hidden="false" customHeight="false" outlineLevel="0" collapsed="false">
      <c r="A322" s="12" t="s">
        <v>1516</v>
      </c>
      <c r="B322" s="26" t="str">
        <f aca="false">Entities!$A$12</f>
        <v>LB</v>
      </c>
      <c r="C322" s="12" t="str">
        <f aca="false">INDEX(Entities!$B$5:$B$34,MATCH(B322,Entities!$A$5:$A$34,0))</f>
        <v>Arab Bank – Lebanon</v>
      </c>
      <c r="D322" s="7" t="str">
        <f aca="false">INDEX(Entities!$F$5:$F$34,MATCH(B322,Entities!$A$5:$A$34,0))</f>
        <v>Tier 2</v>
      </c>
      <c r="E322" s="26" t="str">
        <f aca="false">'Control Library'!$A$21</f>
        <v>CTL-ABC-01</v>
      </c>
      <c r="F322" s="12" t="str">
        <f aca="false">INDEX('Control Library'!$B$5:$B$47,MATCH(E322,'Control Library'!$A$5:$A$47,0))</f>
        <v>Third-party and intermediary anti-bribery due diligence</v>
      </c>
      <c r="G322" s="7" t="str">
        <f aca="false">INDEX('Control Library'!$F$5:$F$47,MATCH(E322,'Control Library'!$A$5:$A$47,0))</f>
        <v>Y</v>
      </c>
      <c r="H322" s="12" t="str">
        <f aca="false">INDEX('Control Library'!$E$5:$E$47,MATCH(E322,'Control Library'!$A$5:$A$47,0))</f>
        <v>Event-driven</v>
      </c>
      <c r="I322" s="7" t="str">
        <f aca="false">IF(INDEX('Control Library'!$I$5:$I$47,MATCH(E322,'Control Library'!$A$5:$A$47,0))="All","Y",IF(INDEX('Control Library'!$I$5:$I$47,MATCH(E322,'Control Library'!$A$5:$A$47,0))="Banks only",IF(COUNTIF('Residual Config'!$L$28:$L$30,INDEX(Entities!$E$5:$E$34,MATCH(B322,Entities!$A$5:$A$34,0)))&gt;0,"N/A","Y"),IF(INDEX(Entities!$G$5:$G$34,MATCH(B322,Entities!$A$5:$A$34,0))="Y","Y","N/A")))</f>
        <v>Y</v>
      </c>
      <c r="J322" s="8" t="s">
        <v>1517</v>
      </c>
      <c r="K322" s="8" t="s">
        <v>1476</v>
      </c>
      <c r="L322" s="7" t="str">
        <f aca="false">IF(OR(J322="",K322=""),"",IF(J322=K322,"Breach","OK"))</f>
        <v>OK</v>
      </c>
      <c r="M322" s="24" t="n">
        <v>3</v>
      </c>
      <c r="N322" s="50" t="n">
        <v>46136</v>
      </c>
      <c r="O322" s="8" t="s">
        <v>545</v>
      </c>
      <c r="P322" s="24" t="n">
        <v>35</v>
      </c>
      <c r="Q322" s="31" t="n">
        <f aca="false">IF(I322="N/A","",IFERROR(INDEX('Residual Config'!$B$35:$B$42,MATCH(H322,'Residual Config'!$A$35:$A$42,0)),""))</f>
        <v>25</v>
      </c>
      <c r="R322" s="24" t="n">
        <v>1</v>
      </c>
      <c r="S322" s="8" t="s">
        <v>521</v>
      </c>
      <c r="T322" s="31" t="n">
        <f aca="false">IF(S322="","",MATCH(S322,'Residual Config'!$L$9:$L$12,0))</f>
        <v>2</v>
      </c>
      <c r="U322" s="8" t="s">
        <v>1518</v>
      </c>
      <c r="V322" s="24" t="n">
        <v>2</v>
      </c>
      <c r="W322" s="33" t="s">
        <v>533</v>
      </c>
      <c r="X322" s="8" t="s">
        <v>760</v>
      </c>
      <c r="Y322" s="51" t="n">
        <f aca="false">IF(N322="","",EDATE(N322,IF(G322="N",INDEX('Residual Config'!$B$31:$D$31,1,MATCH(D322,'Residual Config'!$B$27:$D$27,0)),INDEX('Residual Config'!$B$28:$D$30,IF(T322=1,1,IF(T322=4,3,2)),MATCH(D322,'Residual Config'!$B$27:$D$27,0)))))</f>
        <v>46319</v>
      </c>
      <c r="Z322" s="7" t="str">
        <f aca="false">IF(I322="N/A","N/A",IF(N322="","Not tested",IF(W322="Rejected","Evidence rejected",IF(W322&lt;&gt;"Accepted","Evidence pending",IF(Y322&lt;'Residual Config'!$C$4,"Overdue","Current")))))</f>
        <v>Current</v>
      </c>
      <c r="AA322" s="34" t="n">
        <f aca="false">IF(I322="N/A","",IF(Z322&lt;&gt;"Current",4,IF(MAX(M322,T322)=0,4,MAX(M322,T322))))</f>
        <v>3</v>
      </c>
      <c r="AB322" s="7" t="str">
        <f aca="false">IF(AA322="","N/A",IF(Z322&lt;&gt;"Current","Not tested / overdue",INDEX('Residual Config'!$B$11:$B$14,AA322)))</f>
        <v>Partially effective</v>
      </c>
      <c r="AC322" s="36" t="n">
        <f aca="false">IF(AA322="","",INDEX('Residual Config'!$D$11:$D$14,AA322))</f>
        <v>0.2</v>
      </c>
      <c r="AD322" s="7" t="str">
        <f aca="false">IF(OR(I322="N/A",P322="",Q322=""),"",IF(P322&gt;=Q322,"Yes","No"))</f>
        <v>Yes</v>
      </c>
      <c r="AE322" s="8"/>
    </row>
    <row r="323" customFormat="false" ht="15" hidden="false" customHeight="false" outlineLevel="0" collapsed="false">
      <c r="A323" s="12" t="s">
        <v>1519</v>
      </c>
      <c r="B323" s="26" t="str">
        <f aca="false">Entities!$A$12</f>
        <v>LB</v>
      </c>
      <c r="C323" s="12" t="str">
        <f aca="false">INDEX(Entities!$B$5:$B$34,MATCH(B323,Entities!$A$5:$A$34,0))</f>
        <v>Arab Bank – Lebanon</v>
      </c>
      <c r="D323" s="7" t="str">
        <f aca="false">INDEX(Entities!$F$5:$F$34,MATCH(B323,Entities!$A$5:$A$34,0))</f>
        <v>Tier 2</v>
      </c>
      <c r="E323" s="26" t="str">
        <f aca="false">'Control Library'!$A$22</f>
        <v>CTL-ABC-02</v>
      </c>
      <c r="F323" s="12" t="str">
        <f aca="false">INDEX('Control Library'!$B$5:$B$47,MATCH(E323,'Control Library'!$A$5:$A$47,0))</f>
        <v>Gifts, hospitality and donations register with pre-approval</v>
      </c>
      <c r="G323" s="7" t="str">
        <f aca="false">INDEX('Control Library'!$F$5:$F$47,MATCH(E323,'Control Library'!$A$5:$A$47,0))</f>
        <v>N</v>
      </c>
      <c r="H323" s="12" t="str">
        <f aca="false">INDEX('Control Library'!$E$5:$E$47,MATCH(E323,'Control Library'!$A$5:$A$47,0))</f>
        <v>Event-driven</v>
      </c>
      <c r="I323" s="7" t="str">
        <f aca="false">IF(INDEX('Control Library'!$I$5:$I$47,MATCH(E323,'Control Library'!$A$5:$A$47,0))="All","Y",IF(INDEX('Control Library'!$I$5:$I$47,MATCH(E323,'Control Library'!$A$5:$A$47,0))="Banks only",IF(COUNTIF('Residual Config'!$L$28:$L$30,INDEX(Entities!$E$5:$E$34,MATCH(B323,Entities!$A$5:$A$34,0)))&gt;0,"N/A","Y"),IF(INDEX(Entities!$G$5:$G$34,MATCH(B323,Entities!$A$5:$A$34,0))="Y","Y","N/A")))</f>
        <v>Y</v>
      </c>
      <c r="J323" s="8" t="s">
        <v>1479</v>
      </c>
      <c r="K323" s="8" t="s">
        <v>1476</v>
      </c>
      <c r="L323" s="7" t="str">
        <f aca="false">IF(OR(J323="",K323=""),"",IF(J323=K323,"Breach","OK"))</f>
        <v>OK</v>
      </c>
      <c r="M323" s="24" t="n">
        <v>2</v>
      </c>
      <c r="N323" s="50" t="n">
        <v>46149</v>
      </c>
      <c r="O323" s="8" t="s">
        <v>545</v>
      </c>
      <c r="P323" s="24" t="n">
        <v>30</v>
      </c>
      <c r="Q323" s="31" t="n">
        <f aca="false">IF(I323="N/A","",IFERROR(INDEX('Residual Config'!$B$35:$B$42,MATCH(H323,'Residual Config'!$A$35:$A$42,0)),""))</f>
        <v>25</v>
      </c>
      <c r="R323" s="24" t="n">
        <v>0</v>
      </c>
      <c r="S323" s="8" t="s">
        <v>516</v>
      </c>
      <c r="T323" s="31" t="n">
        <f aca="false">IF(S323="","",MATCH(S323,'Residual Config'!$L$9:$L$12,0))</f>
        <v>1</v>
      </c>
      <c r="U323" s="8" t="s">
        <v>1520</v>
      </c>
      <c r="V323" s="24" t="n">
        <v>2</v>
      </c>
      <c r="W323" s="33" t="s">
        <v>533</v>
      </c>
      <c r="X323" s="8" t="s">
        <v>760</v>
      </c>
      <c r="Y323" s="51" t="n">
        <f aca="false">IF(N323="","",EDATE(N323,IF(G323="N",INDEX('Residual Config'!$B$31:$D$31,1,MATCH(D323,'Residual Config'!$B$27:$D$27,0)),INDEX('Residual Config'!$B$28:$D$30,IF(T323=1,1,IF(T323=4,3,2)),MATCH(D323,'Residual Config'!$B$27:$D$27,0)))))</f>
        <v>46514</v>
      </c>
      <c r="Z323" s="7" t="str">
        <f aca="false">IF(I323="N/A","N/A",IF(N323="","Not tested",IF(W323="Rejected","Evidence rejected",IF(W323&lt;&gt;"Accepted","Evidence pending",IF(Y323&lt;'Residual Config'!$C$4,"Overdue","Current")))))</f>
        <v>Current</v>
      </c>
      <c r="AA323" s="34" t="n">
        <f aca="false">IF(I323="N/A","",IF(Z323&lt;&gt;"Current",4,IF(MAX(M323,T323)=0,4,MAX(M323,T323))))</f>
        <v>2</v>
      </c>
      <c r="AB323" s="7" t="str">
        <f aca="false">IF(AA323="","N/A",IF(Z323&lt;&gt;"Current","Not tested / overdue",INDEX('Residual Config'!$B$11:$B$14,AA323)))</f>
        <v>Largely effective</v>
      </c>
      <c r="AC323" s="36" t="n">
        <f aca="false">IF(AA323="","",INDEX('Residual Config'!$D$11:$D$14,AA323))</f>
        <v>0.4</v>
      </c>
      <c r="AD323" s="7" t="str">
        <f aca="false">IF(OR(I323="N/A",P323="",Q323=""),"",IF(P323&gt;=Q323,"Yes","No"))</f>
        <v>Yes</v>
      </c>
      <c r="AE323" s="8"/>
    </row>
    <row r="324" customFormat="false" ht="15" hidden="false" customHeight="false" outlineLevel="0" collapsed="false">
      <c r="A324" s="12" t="s">
        <v>1521</v>
      </c>
      <c r="B324" s="26" t="str">
        <f aca="false">Entities!$A$12</f>
        <v>LB</v>
      </c>
      <c r="C324" s="12" t="str">
        <f aca="false">INDEX(Entities!$B$5:$B$34,MATCH(B324,Entities!$A$5:$A$34,0))</f>
        <v>Arab Bank – Lebanon</v>
      </c>
      <c r="D324" s="7" t="str">
        <f aca="false">INDEX(Entities!$F$5:$F$34,MATCH(B324,Entities!$A$5:$A$34,0))</f>
        <v>Tier 2</v>
      </c>
      <c r="E324" s="26" t="str">
        <f aca="false">'Control Library'!$A$23</f>
        <v>CTL-FRD-01</v>
      </c>
      <c r="F324" s="12" t="str">
        <f aca="false">INDEX('Control Library'!$B$5:$B$47,MATCH(E324,'Control Library'!$A$5:$A$47,0))</f>
        <v>Real-time fraud monitoring for cards and digital channels</v>
      </c>
      <c r="G324" s="7" t="str">
        <f aca="false">INDEX('Control Library'!$F$5:$F$47,MATCH(E324,'Control Library'!$A$5:$A$47,0))</f>
        <v>Y</v>
      </c>
      <c r="H324" s="12" t="str">
        <f aca="false">INDEX('Control Library'!$E$5:$E$47,MATCH(E324,'Control Library'!$A$5:$A$47,0))</f>
        <v>Continuous</v>
      </c>
      <c r="I324" s="7" t="str">
        <f aca="false">IF(INDEX('Control Library'!$I$5:$I$47,MATCH(E324,'Control Library'!$A$5:$A$47,0))="All","Y",IF(INDEX('Control Library'!$I$5:$I$47,MATCH(E324,'Control Library'!$A$5:$A$47,0))="Banks only",IF(COUNTIF('Residual Config'!$L$28:$L$30,INDEX(Entities!$E$5:$E$34,MATCH(B324,Entities!$A$5:$A$34,0)))&gt;0,"N/A","Y"),IF(INDEX(Entities!$G$5:$G$34,MATCH(B324,Entities!$A$5:$A$34,0))="Y","Y","N/A")))</f>
        <v>Y</v>
      </c>
      <c r="J324" s="8" t="s">
        <v>1522</v>
      </c>
      <c r="K324" s="8" t="s">
        <v>1476</v>
      </c>
      <c r="L324" s="7" t="str">
        <f aca="false">IF(OR(J324="",K324=""),"",IF(J324=K324,"Breach","OK"))</f>
        <v>OK</v>
      </c>
      <c r="M324" s="24" t="n">
        <v>1</v>
      </c>
      <c r="N324" s="50" t="n">
        <v>45983</v>
      </c>
      <c r="O324" s="8" t="s">
        <v>547</v>
      </c>
      <c r="P324" s="24" t="n">
        <v>1</v>
      </c>
      <c r="Q324" s="31" t="n">
        <f aca="false">IF(I324="N/A","",IFERROR(INDEX('Residual Config'!$B$35:$B$42,MATCH(H324,'Residual Config'!$A$35:$A$42,0)),""))</f>
        <v>1</v>
      </c>
      <c r="R324" s="24" t="n">
        <v>0</v>
      </c>
      <c r="S324" s="8" t="s">
        <v>516</v>
      </c>
      <c r="T324" s="31" t="n">
        <f aca="false">IF(S324="","",MATCH(S324,'Residual Config'!$L$9:$L$12,0))</f>
        <v>1</v>
      </c>
      <c r="U324" s="8" t="s">
        <v>1523</v>
      </c>
      <c r="V324" s="24" t="n">
        <v>5</v>
      </c>
      <c r="W324" s="33" t="s">
        <v>533</v>
      </c>
      <c r="X324" s="8" t="s">
        <v>760</v>
      </c>
      <c r="Y324" s="51" t="n">
        <f aca="false">IF(N324="","",EDATE(N324,IF(G324="N",INDEX('Residual Config'!$B$31:$D$31,1,MATCH(D324,'Residual Config'!$B$27:$D$27,0)),INDEX('Residual Config'!$B$28:$D$30,IF(T324=1,1,IF(T324=4,3,2)),MATCH(D324,'Residual Config'!$B$27:$D$27,0)))))</f>
        <v>46348</v>
      </c>
      <c r="Z324" s="7" t="str">
        <f aca="false">IF(I324="N/A","N/A",IF(N324="","Not tested",IF(W324="Rejected","Evidence rejected",IF(W324&lt;&gt;"Accepted","Evidence pending",IF(Y324&lt;'Residual Config'!$C$4,"Overdue","Current")))))</f>
        <v>Current</v>
      </c>
      <c r="AA324" s="34" t="n">
        <f aca="false">IF(I324="N/A","",IF(Z324&lt;&gt;"Current",4,IF(MAX(M324,T324)=0,4,MAX(M324,T324))))</f>
        <v>1</v>
      </c>
      <c r="AB324" s="7" t="str">
        <f aca="false">IF(AA324="","N/A",IF(Z324&lt;&gt;"Current","Not tested / overdue",INDEX('Residual Config'!$B$11:$B$14,AA324)))</f>
        <v>Effective</v>
      </c>
      <c r="AC324" s="36" t="n">
        <f aca="false">IF(AA324="","",INDEX('Residual Config'!$D$11:$D$14,AA324))</f>
        <v>0.6</v>
      </c>
      <c r="AD324" s="7" t="str">
        <f aca="false">IF(OR(I324="N/A",P324="",Q324=""),"",IF(P324&gt;=Q324,"Yes","No"))</f>
        <v>Yes</v>
      </c>
      <c r="AE324" s="8"/>
    </row>
    <row r="325" customFormat="false" ht="15" hidden="false" customHeight="false" outlineLevel="0" collapsed="false">
      <c r="A325" s="12" t="s">
        <v>1524</v>
      </c>
      <c r="B325" s="26" t="str">
        <f aca="false">Entities!$A$12</f>
        <v>LB</v>
      </c>
      <c r="C325" s="12" t="str">
        <f aca="false">INDEX(Entities!$B$5:$B$34,MATCH(B325,Entities!$A$5:$A$34,0))</f>
        <v>Arab Bank – Lebanon</v>
      </c>
      <c r="D325" s="7" t="str">
        <f aca="false">INDEX(Entities!$F$5:$F$34,MATCH(B325,Entities!$A$5:$A$34,0))</f>
        <v>Tier 2</v>
      </c>
      <c r="E325" s="26" t="str">
        <f aca="false">'Control Library'!$A$24</f>
        <v>CTL-FRD-02</v>
      </c>
      <c r="F325" s="12" t="str">
        <f aca="false">INDEX('Control Library'!$B$5:$B$47,MATCH(E325,'Control Library'!$A$5:$A$47,0))</f>
        <v>Maker-checker and dual control on payments and static data</v>
      </c>
      <c r="G325" s="7" t="str">
        <f aca="false">INDEX('Control Library'!$F$5:$F$47,MATCH(E325,'Control Library'!$A$5:$A$47,0))</f>
        <v>Y</v>
      </c>
      <c r="H325" s="12" t="str">
        <f aca="false">INDEX('Control Library'!$E$5:$E$47,MATCH(E325,'Control Library'!$A$5:$A$47,0))</f>
        <v>Daily</v>
      </c>
      <c r="I325" s="7" t="str">
        <f aca="false">IF(INDEX('Control Library'!$I$5:$I$47,MATCH(E325,'Control Library'!$A$5:$A$47,0))="All","Y",IF(INDEX('Control Library'!$I$5:$I$47,MATCH(E325,'Control Library'!$A$5:$A$47,0))="Banks only",IF(COUNTIF('Residual Config'!$L$28:$L$30,INDEX(Entities!$E$5:$E$34,MATCH(B325,Entities!$A$5:$A$34,0)))&gt;0,"N/A","Y"),IF(INDEX(Entities!$G$5:$G$34,MATCH(B325,Entities!$A$5:$A$34,0))="Y","Y","N/A")))</f>
        <v>Y</v>
      </c>
      <c r="J325" s="8" t="s">
        <v>1475</v>
      </c>
      <c r="K325" s="8" t="s">
        <v>1476</v>
      </c>
      <c r="L325" s="7" t="str">
        <f aca="false">IF(OR(J325="",K325=""),"",IF(J325=K325,"Breach","OK"))</f>
        <v>OK</v>
      </c>
      <c r="M325" s="24" t="n">
        <v>2</v>
      </c>
      <c r="N325" s="50" t="n">
        <v>46215</v>
      </c>
      <c r="O325" s="8" t="s">
        <v>545</v>
      </c>
      <c r="P325" s="24" t="n">
        <v>30</v>
      </c>
      <c r="Q325" s="31" t="n">
        <f aca="false">IF(I325="N/A","",IFERROR(INDEX('Residual Config'!$B$35:$B$42,MATCH(H325,'Residual Config'!$A$35:$A$42,0)),""))</f>
        <v>25</v>
      </c>
      <c r="R325" s="24" t="n">
        <v>1</v>
      </c>
      <c r="S325" s="8" t="s">
        <v>521</v>
      </c>
      <c r="T325" s="31" t="n">
        <f aca="false">IF(S325="","",MATCH(S325,'Residual Config'!$L$9:$L$12,0))</f>
        <v>2</v>
      </c>
      <c r="U325" s="8" t="s">
        <v>1525</v>
      </c>
      <c r="V325" s="24" t="n">
        <v>2</v>
      </c>
      <c r="W325" s="33" t="s">
        <v>533</v>
      </c>
      <c r="X325" s="8" t="s">
        <v>760</v>
      </c>
      <c r="Y325" s="51" t="n">
        <f aca="false">IF(N325="","",EDATE(N325,IF(G325="N",INDEX('Residual Config'!$B$31:$D$31,1,MATCH(D325,'Residual Config'!$B$27:$D$27,0)),INDEX('Residual Config'!$B$28:$D$30,IF(T325=1,1,IF(T325=4,3,2)),MATCH(D325,'Residual Config'!$B$27:$D$27,0)))))</f>
        <v>46399</v>
      </c>
      <c r="Z325" s="7" t="str">
        <f aca="false">IF(I325="N/A","N/A",IF(N325="","Not tested",IF(W325="Rejected","Evidence rejected",IF(W325&lt;&gt;"Accepted","Evidence pending",IF(Y325&lt;'Residual Config'!$C$4,"Overdue","Current")))))</f>
        <v>Current</v>
      </c>
      <c r="AA325" s="34" t="n">
        <f aca="false">IF(I325="N/A","",IF(Z325&lt;&gt;"Current",4,IF(MAX(M325,T325)=0,4,MAX(M325,T325))))</f>
        <v>2</v>
      </c>
      <c r="AB325" s="7" t="str">
        <f aca="false">IF(AA325="","N/A",IF(Z325&lt;&gt;"Current","Not tested / overdue",INDEX('Residual Config'!$B$11:$B$14,AA325)))</f>
        <v>Largely effective</v>
      </c>
      <c r="AC325" s="36" t="n">
        <f aca="false">IF(AA325="","",INDEX('Residual Config'!$D$11:$D$14,AA325))</f>
        <v>0.4</v>
      </c>
      <c r="AD325" s="7" t="str">
        <f aca="false">IF(OR(I325="N/A",P325="",Q325=""),"",IF(P325&gt;=Q325,"Yes","No"))</f>
        <v>Yes</v>
      </c>
      <c r="AE325" s="8"/>
    </row>
    <row r="326" customFormat="false" ht="15" hidden="false" customHeight="false" outlineLevel="0" collapsed="false">
      <c r="A326" s="12" t="s">
        <v>1526</v>
      </c>
      <c r="B326" s="26" t="str">
        <f aca="false">Entities!$A$12</f>
        <v>LB</v>
      </c>
      <c r="C326" s="12" t="str">
        <f aca="false">INDEX(Entities!$B$5:$B$34,MATCH(B326,Entities!$A$5:$A$34,0))</f>
        <v>Arab Bank – Lebanon</v>
      </c>
      <c r="D326" s="7" t="str">
        <f aca="false">INDEX(Entities!$F$5:$F$34,MATCH(B326,Entities!$A$5:$A$34,0))</f>
        <v>Tier 2</v>
      </c>
      <c r="E326" s="26" t="str">
        <f aca="false">'Control Library'!$A$25</f>
        <v>CTL-FRD-03</v>
      </c>
      <c r="F326" s="12" t="str">
        <f aca="false">INDEX('Control Library'!$B$5:$B$47,MATCH(E326,'Control Library'!$A$5:$A$47,0))</f>
        <v>Mandatory consecutive leave and rotation for sensitive roles</v>
      </c>
      <c r="G326" s="7" t="str">
        <f aca="false">INDEX('Control Library'!$F$5:$F$47,MATCH(E326,'Control Library'!$A$5:$A$47,0))</f>
        <v>N</v>
      </c>
      <c r="H326" s="12" t="str">
        <f aca="false">INDEX('Control Library'!$E$5:$E$47,MATCH(E326,'Control Library'!$A$5:$A$47,0))</f>
        <v>Annual</v>
      </c>
      <c r="I326" s="7" t="str">
        <f aca="false">IF(INDEX('Control Library'!$I$5:$I$47,MATCH(E326,'Control Library'!$A$5:$A$47,0))="All","Y",IF(INDEX('Control Library'!$I$5:$I$47,MATCH(E326,'Control Library'!$A$5:$A$47,0))="Banks only",IF(COUNTIF('Residual Config'!$L$28:$L$30,INDEX(Entities!$E$5:$E$34,MATCH(B326,Entities!$A$5:$A$34,0)))&gt;0,"N/A","Y"),IF(INDEX(Entities!$G$5:$G$34,MATCH(B326,Entities!$A$5:$A$34,0))="Y","Y","N/A")))</f>
        <v>Y</v>
      </c>
      <c r="J326" s="8" t="s">
        <v>1527</v>
      </c>
      <c r="K326" s="8" t="s">
        <v>1476</v>
      </c>
      <c r="L326" s="7" t="str">
        <f aca="false">IF(OR(J326="",K326=""),"",IF(J326=K326,"Breach","OK"))</f>
        <v>OK</v>
      </c>
      <c r="M326" s="24" t="n">
        <v>2</v>
      </c>
      <c r="N326" s="50" t="n">
        <v>46278</v>
      </c>
      <c r="O326" s="8" t="s">
        <v>546</v>
      </c>
      <c r="P326" s="24" t="n">
        <v>1</v>
      </c>
      <c r="Q326" s="31" t="n">
        <f aca="false">IF(I326="N/A","",IFERROR(INDEX('Residual Config'!$B$35:$B$42,MATCH(H326,'Residual Config'!$A$35:$A$42,0)),""))</f>
        <v>1</v>
      </c>
      <c r="R326" s="24" t="n">
        <v>1</v>
      </c>
      <c r="S326" s="8" t="s">
        <v>521</v>
      </c>
      <c r="T326" s="31" t="n">
        <f aca="false">IF(S326="","",MATCH(S326,'Residual Config'!$L$9:$L$12,0))</f>
        <v>2</v>
      </c>
      <c r="U326" s="8" t="s">
        <v>1528</v>
      </c>
      <c r="V326" s="24" t="n">
        <v>1</v>
      </c>
      <c r="W326" s="33" t="s">
        <v>533</v>
      </c>
      <c r="X326" s="8" t="s">
        <v>760</v>
      </c>
      <c r="Y326" s="51" t="n">
        <f aca="false">IF(N326="","",EDATE(N326,IF(G326="N",INDEX('Residual Config'!$B$31:$D$31,1,MATCH(D326,'Residual Config'!$B$27:$D$27,0)),INDEX('Residual Config'!$B$28:$D$30,IF(T326=1,1,IF(T326=4,3,2)),MATCH(D326,'Residual Config'!$B$27:$D$27,0)))))</f>
        <v>46643</v>
      </c>
      <c r="Z326" s="7" t="str">
        <f aca="false">IF(I326="N/A","N/A",IF(N326="","Not tested",IF(W326="Rejected","Evidence rejected",IF(W326&lt;&gt;"Accepted","Evidence pending",IF(Y326&lt;'Residual Config'!$C$4,"Overdue","Current")))))</f>
        <v>Current</v>
      </c>
      <c r="AA326" s="34" t="n">
        <f aca="false">IF(I326="N/A","",IF(Z326&lt;&gt;"Current",4,IF(MAX(M326,T326)=0,4,MAX(M326,T326))))</f>
        <v>2</v>
      </c>
      <c r="AB326" s="7" t="str">
        <f aca="false">IF(AA326="","N/A",IF(Z326&lt;&gt;"Current","Not tested / overdue",INDEX('Residual Config'!$B$11:$B$14,AA326)))</f>
        <v>Largely effective</v>
      </c>
      <c r="AC326" s="36" t="n">
        <f aca="false">IF(AA326="","",INDEX('Residual Config'!$D$11:$D$14,AA326))</f>
        <v>0.4</v>
      </c>
      <c r="AD326" s="7" t="str">
        <f aca="false">IF(OR(I326="N/A",P326="",Q326=""),"",IF(P326&gt;=Q326,"Yes","No"))</f>
        <v>Yes</v>
      </c>
      <c r="AE326" s="8"/>
    </row>
    <row r="327" customFormat="false" ht="15" hidden="false" customHeight="false" outlineLevel="0" collapsed="false">
      <c r="A327" s="12" t="s">
        <v>1529</v>
      </c>
      <c r="B327" s="26" t="str">
        <f aca="false">Entities!$A$12</f>
        <v>LB</v>
      </c>
      <c r="C327" s="12" t="str">
        <f aca="false">INDEX(Entities!$B$5:$B$34,MATCH(B327,Entities!$A$5:$A$34,0))</f>
        <v>Arab Bank – Lebanon</v>
      </c>
      <c r="D327" s="7" t="str">
        <f aca="false">INDEX(Entities!$F$5:$F$34,MATCH(B327,Entities!$A$5:$A$34,0))</f>
        <v>Tier 2</v>
      </c>
      <c r="E327" s="26" t="str">
        <f aca="false">'Control Library'!$A$26</f>
        <v>CTL-TAX-01</v>
      </c>
      <c r="F327" s="12" t="str">
        <f aca="false">INDEX('Control Library'!$B$5:$B$47,MATCH(E327,'Control Library'!$A$5:$A$47,0))</f>
        <v>FATCA/CRS self-certification and classification</v>
      </c>
      <c r="G327" s="7" t="str">
        <f aca="false">INDEX('Control Library'!$F$5:$F$47,MATCH(E327,'Control Library'!$A$5:$A$47,0))</f>
        <v>Y</v>
      </c>
      <c r="H327" s="12" t="str">
        <f aca="false">INDEX('Control Library'!$E$5:$E$47,MATCH(E327,'Control Library'!$A$5:$A$47,0))</f>
        <v>Event-driven</v>
      </c>
      <c r="I327" s="7" t="str">
        <f aca="false">IF(INDEX('Control Library'!$I$5:$I$47,MATCH(E327,'Control Library'!$A$5:$A$47,0))="All","Y",IF(INDEX('Control Library'!$I$5:$I$47,MATCH(E327,'Control Library'!$A$5:$A$47,0))="Banks only",IF(COUNTIF('Residual Config'!$L$28:$L$30,INDEX(Entities!$E$5:$E$34,MATCH(B327,Entities!$A$5:$A$34,0)))&gt;0,"N/A","Y"),IF(INDEX(Entities!$G$5:$G$34,MATCH(B327,Entities!$A$5:$A$34,0))="Y","Y","N/A")))</f>
        <v>Y</v>
      </c>
      <c r="J327" s="8" t="s">
        <v>1475</v>
      </c>
      <c r="K327" s="8" t="s">
        <v>1476</v>
      </c>
      <c r="L327" s="7" t="str">
        <f aca="false">IF(OR(J327="",K327=""),"",IF(J327=K327,"Breach","OK"))</f>
        <v>OK</v>
      </c>
      <c r="M327" s="24" t="n">
        <v>3</v>
      </c>
      <c r="N327" s="50" t="n">
        <v>46274</v>
      </c>
      <c r="O327" s="8" t="s">
        <v>546</v>
      </c>
      <c r="P327" s="24" t="n">
        <v>30</v>
      </c>
      <c r="Q327" s="31" t="n">
        <f aca="false">IF(I327="N/A","",IFERROR(INDEX('Residual Config'!$B$35:$B$42,MATCH(H327,'Residual Config'!$A$35:$A$42,0)),""))</f>
        <v>25</v>
      </c>
      <c r="R327" s="24" t="n">
        <v>1</v>
      </c>
      <c r="S327" s="8" t="s">
        <v>521</v>
      </c>
      <c r="T327" s="31" t="n">
        <f aca="false">IF(S327="","",MATCH(S327,'Residual Config'!$L$9:$L$12,0))</f>
        <v>2</v>
      </c>
      <c r="U327" s="8" t="s">
        <v>1530</v>
      </c>
      <c r="V327" s="24" t="n">
        <v>5</v>
      </c>
      <c r="W327" s="33" t="s">
        <v>533</v>
      </c>
      <c r="X327" s="8" t="s">
        <v>760</v>
      </c>
      <c r="Y327" s="51" t="n">
        <f aca="false">IF(N327="","",EDATE(N327,IF(G327="N",INDEX('Residual Config'!$B$31:$D$31,1,MATCH(D327,'Residual Config'!$B$27:$D$27,0)),INDEX('Residual Config'!$B$28:$D$30,IF(T327=1,1,IF(T327=4,3,2)),MATCH(D327,'Residual Config'!$B$27:$D$27,0)))))</f>
        <v>46455</v>
      </c>
      <c r="Z327" s="7" t="str">
        <f aca="false">IF(I327="N/A","N/A",IF(N327="","Not tested",IF(W327="Rejected","Evidence rejected",IF(W327&lt;&gt;"Accepted","Evidence pending",IF(Y327&lt;'Residual Config'!$C$4,"Overdue","Current")))))</f>
        <v>Current</v>
      </c>
      <c r="AA327" s="34" t="n">
        <f aca="false">IF(I327="N/A","",IF(Z327&lt;&gt;"Current",4,IF(MAX(M327,T327)=0,4,MAX(M327,T327))))</f>
        <v>3</v>
      </c>
      <c r="AB327" s="7" t="str">
        <f aca="false">IF(AA327="","N/A",IF(Z327&lt;&gt;"Current","Not tested / overdue",INDEX('Residual Config'!$B$11:$B$14,AA327)))</f>
        <v>Partially effective</v>
      </c>
      <c r="AC327" s="36" t="n">
        <f aca="false">IF(AA327="","",INDEX('Residual Config'!$D$11:$D$14,AA327))</f>
        <v>0.2</v>
      </c>
      <c r="AD327" s="7" t="str">
        <f aca="false">IF(OR(I327="N/A",P327="",Q327=""),"",IF(P327&gt;=Q327,"Yes","No"))</f>
        <v>Yes</v>
      </c>
      <c r="AE327" s="8"/>
    </row>
    <row r="328" customFormat="false" ht="15" hidden="false" customHeight="false" outlineLevel="0" collapsed="false">
      <c r="A328" s="12" t="s">
        <v>1531</v>
      </c>
      <c r="B328" s="26" t="str">
        <f aca="false">Entities!$A$12</f>
        <v>LB</v>
      </c>
      <c r="C328" s="12" t="str">
        <f aca="false">INDEX(Entities!$B$5:$B$34,MATCH(B328,Entities!$A$5:$A$34,0))</f>
        <v>Arab Bank – Lebanon</v>
      </c>
      <c r="D328" s="7" t="str">
        <f aca="false">INDEX(Entities!$F$5:$F$34,MATCH(B328,Entities!$A$5:$A$34,0))</f>
        <v>Tier 2</v>
      </c>
      <c r="E328" s="26" t="str">
        <f aca="false">'Control Library'!$A$27</f>
        <v>CTL-TAX-02</v>
      </c>
      <c r="F328" s="12" t="str">
        <f aca="false">INDEX('Control Library'!$B$5:$B$47,MATCH(E328,'Control Library'!$A$5:$A$47,0))</f>
        <v>FATCA/CRS reporting reconciliation and timely filing</v>
      </c>
      <c r="G328" s="7" t="str">
        <f aca="false">INDEX('Control Library'!$F$5:$F$47,MATCH(E328,'Control Library'!$A$5:$A$47,0))</f>
        <v>N</v>
      </c>
      <c r="H328" s="12" t="str">
        <f aca="false">INDEX('Control Library'!$E$5:$E$47,MATCH(E328,'Control Library'!$A$5:$A$47,0))</f>
        <v>Annual</v>
      </c>
      <c r="I328" s="7" t="str">
        <f aca="false">IF(INDEX('Control Library'!$I$5:$I$47,MATCH(E328,'Control Library'!$A$5:$A$47,0))="All","Y",IF(INDEX('Control Library'!$I$5:$I$47,MATCH(E328,'Control Library'!$A$5:$A$47,0))="Banks only",IF(COUNTIF('Residual Config'!$L$28:$L$30,INDEX(Entities!$E$5:$E$34,MATCH(B328,Entities!$A$5:$A$34,0)))&gt;0,"N/A","Y"),IF(INDEX(Entities!$G$5:$G$34,MATCH(B328,Entities!$A$5:$A$34,0))="Y","Y","N/A")))</f>
        <v>Y</v>
      </c>
      <c r="J328" s="8" t="s">
        <v>1532</v>
      </c>
      <c r="K328" s="8" t="s">
        <v>1476</v>
      </c>
      <c r="L328" s="7" t="str">
        <f aca="false">IF(OR(J328="",K328=""),"",IF(J328=K328,"Breach","OK"))</f>
        <v>OK</v>
      </c>
      <c r="M328" s="24" t="n">
        <v>2</v>
      </c>
      <c r="N328" s="50" t="n">
        <v>46081</v>
      </c>
      <c r="O328" s="8" t="s">
        <v>545</v>
      </c>
      <c r="P328" s="24" t="n">
        <v>1</v>
      </c>
      <c r="Q328" s="31" t="n">
        <f aca="false">IF(I328="N/A","",IFERROR(INDEX('Residual Config'!$B$35:$B$42,MATCH(H328,'Residual Config'!$A$35:$A$42,0)),""))</f>
        <v>1</v>
      </c>
      <c r="R328" s="24" t="n">
        <v>0</v>
      </c>
      <c r="S328" s="8" t="s">
        <v>516</v>
      </c>
      <c r="T328" s="31" t="n">
        <f aca="false">IF(S328="","",MATCH(S328,'Residual Config'!$L$9:$L$12,0))</f>
        <v>1</v>
      </c>
      <c r="U328" s="8" t="s">
        <v>1533</v>
      </c>
      <c r="V328" s="24" t="n">
        <v>3</v>
      </c>
      <c r="W328" s="33" t="s">
        <v>533</v>
      </c>
      <c r="X328" s="8" t="s">
        <v>760</v>
      </c>
      <c r="Y328" s="51" t="n">
        <f aca="false">IF(N328="","",EDATE(N328,IF(G328="N",INDEX('Residual Config'!$B$31:$D$31,1,MATCH(D328,'Residual Config'!$B$27:$D$27,0)),INDEX('Residual Config'!$B$28:$D$30,IF(T328=1,1,IF(T328=4,3,2)),MATCH(D328,'Residual Config'!$B$27:$D$27,0)))))</f>
        <v>46446</v>
      </c>
      <c r="Z328" s="7" t="str">
        <f aca="false">IF(I328="N/A","N/A",IF(N328="","Not tested",IF(W328="Rejected","Evidence rejected",IF(W328&lt;&gt;"Accepted","Evidence pending",IF(Y328&lt;'Residual Config'!$C$4,"Overdue","Current")))))</f>
        <v>Current</v>
      </c>
      <c r="AA328" s="34" t="n">
        <f aca="false">IF(I328="N/A","",IF(Z328&lt;&gt;"Current",4,IF(MAX(M328,T328)=0,4,MAX(M328,T328))))</f>
        <v>2</v>
      </c>
      <c r="AB328" s="7" t="str">
        <f aca="false">IF(AA328="","N/A",IF(Z328&lt;&gt;"Current","Not tested / overdue",INDEX('Residual Config'!$B$11:$B$14,AA328)))</f>
        <v>Largely effective</v>
      </c>
      <c r="AC328" s="36" t="n">
        <f aca="false">IF(AA328="","",INDEX('Residual Config'!$D$11:$D$14,AA328))</f>
        <v>0.4</v>
      </c>
      <c r="AD328" s="7" t="str">
        <f aca="false">IF(OR(I328="N/A",P328="",Q328=""),"",IF(P328&gt;=Q328,"Yes","No"))</f>
        <v>Yes</v>
      </c>
      <c r="AE328" s="8"/>
    </row>
    <row r="329" customFormat="false" ht="15" hidden="false" customHeight="false" outlineLevel="0" collapsed="false">
      <c r="A329" s="12" t="s">
        <v>1534</v>
      </c>
      <c r="B329" s="26" t="str">
        <f aca="false">Entities!$A$12</f>
        <v>LB</v>
      </c>
      <c r="C329" s="12" t="str">
        <f aca="false">INDEX(Entities!$B$5:$B$34,MATCH(B329,Entities!$A$5:$A$34,0))</f>
        <v>Arab Bank – Lebanon</v>
      </c>
      <c r="D329" s="7" t="str">
        <f aca="false">INDEX(Entities!$F$5:$F$34,MATCH(B329,Entities!$A$5:$A$34,0))</f>
        <v>Tier 2</v>
      </c>
      <c r="E329" s="26" t="str">
        <f aca="false">'Control Library'!$A$28</f>
        <v>CTL-TRN-01</v>
      </c>
      <c r="F329" s="12" t="str">
        <f aca="false">INDEX('Control Library'!$B$5:$B$47,MATCH(E329,'Control Library'!$A$5:$A$47,0))</f>
        <v>Annual AML, sanctions and anti-bribery training</v>
      </c>
      <c r="G329" s="7" t="str">
        <f aca="false">INDEX('Control Library'!$F$5:$F$47,MATCH(E329,'Control Library'!$A$5:$A$47,0))</f>
        <v>N</v>
      </c>
      <c r="H329" s="12" t="str">
        <f aca="false">INDEX('Control Library'!$E$5:$E$47,MATCH(E329,'Control Library'!$A$5:$A$47,0))</f>
        <v>Annual</v>
      </c>
      <c r="I329" s="7" t="str">
        <f aca="false">IF(INDEX('Control Library'!$I$5:$I$47,MATCH(E329,'Control Library'!$A$5:$A$47,0))="All","Y",IF(INDEX('Control Library'!$I$5:$I$47,MATCH(E329,'Control Library'!$A$5:$A$47,0))="Banks only",IF(COUNTIF('Residual Config'!$L$28:$L$30,INDEX(Entities!$E$5:$E$34,MATCH(B329,Entities!$A$5:$A$34,0)))&gt;0,"N/A","Y"),IF(INDEX(Entities!$G$5:$G$34,MATCH(B329,Entities!$A$5:$A$34,0))="Y","Y","N/A")))</f>
        <v>Y</v>
      </c>
      <c r="J329" s="8" t="s">
        <v>1479</v>
      </c>
      <c r="K329" s="8" t="s">
        <v>1476</v>
      </c>
      <c r="L329" s="7" t="str">
        <f aca="false">IF(OR(J329="",K329=""),"",IF(J329=K329,"Breach","OK"))</f>
        <v>OK</v>
      </c>
      <c r="M329" s="24" t="n">
        <v>2</v>
      </c>
      <c r="N329" s="50" t="n">
        <v>46019</v>
      </c>
      <c r="O329" s="8" t="s">
        <v>545</v>
      </c>
      <c r="P329" s="24" t="n">
        <v>1</v>
      </c>
      <c r="Q329" s="31" t="n">
        <f aca="false">IF(I329="N/A","",IFERROR(INDEX('Residual Config'!$B$35:$B$42,MATCH(H329,'Residual Config'!$A$35:$A$42,0)),""))</f>
        <v>1</v>
      </c>
      <c r="R329" s="24" t="n">
        <v>1</v>
      </c>
      <c r="S329" s="8" t="s">
        <v>521</v>
      </c>
      <c r="T329" s="31" t="n">
        <f aca="false">IF(S329="","",MATCH(S329,'Residual Config'!$L$9:$L$12,0))</f>
        <v>2</v>
      </c>
      <c r="U329" s="8" t="s">
        <v>1535</v>
      </c>
      <c r="V329" s="24" t="n">
        <v>3</v>
      </c>
      <c r="W329" s="33" t="s">
        <v>533</v>
      </c>
      <c r="X329" s="8" t="s">
        <v>754</v>
      </c>
      <c r="Y329" s="51" t="n">
        <f aca="false">IF(N329="","",EDATE(N329,IF(G329="N",INDEX('Residual Config'!$B$31:$D$31,1,MATCH(D329,'Residual Config'!$B$27:$D$27,0)),INDEX('Residual Config'!$B$28:$D$30,IF(T329=1,1,IF(T329=4,3,2)),MATCH(D329,'Residual Config'!$B$27:$D$27,0)))))</f>
        <v>46384</v>
      </c>
      <c r="Z329" s="7" t="str">
        <f aca="false">IF(I329="N/A","N/A",IF(N329="","Not tested",IF(W329="Rejected","Evidence rejected",IF(W329&lt;&gt;"Accepted","Evidence pending",IF(Y329&lt;'Residual Config'!$C$4,"Overdue","Current")))))</f>
        <v>Current</v>
      </c>
      <c r="AA329" s="34" t="n">
        <f aca="false">IF(I329="N/A","",IF(Z329&lt;&gt;"Current",4,IF(MAX(M329,T329)=0,4,MAX(M329,T329))))</f>
        <v>2</v>
      </c>
      <c r="AB329" s="7" t="str">
        <f aca="false">IF(AA329="","N/A",IF(Z329&lt;&gt;"Current","Not tested / overdue",INDEX('Residual Config'!$B$11:$B$14,AA329)))</f>
        <v>Largely effective</v>
      </c>
      <c r="AC329" s="36" t="n">
        <f aca="false">IF(AA329="","",INDEX('Residual Config'!$D$11:$D$14,AA329))</f>
        <v>0.4</v>
      </c>
      <c r="AD329" s="7" t="str">
        <f aca="false">IF(OR(I329="N/A",P329="",Q329=""),"",IF(P329&gt;=Q329,"Yes","No"))</f>
        <v>Yes</v>
      </c>
      <c r="AE329" s="8"/>
    </row>
    <row r="330" customFormat="false" ht="15" hidden="false" customHeight="false" outlineLevel="0" collapsed="false">
      <c r="A330" s="12" t="s">
        <v>1536</v>
      </c>
      <c r="B330" s="26" t="str">
        <f aca="false">Entities!$A$12</f>
        <v>LB</v>
      </c>
      <c r="C330" s="12" t="str">
        <f aca="false">INDEX(Entities!$B$5:$B$34,MATCH(B330,Entities!$A$5:$A$34,0))</f>
        <v>Arab Bank – Lebanon</v>
      </c>
      <c r="D330" s="7" t="str">
        <f aca="false">INDEX(Entities!$F$5:$F$34,MATCH(B330,Entities!$A$5:$A$34,0))</f>
        <v>Tier 2</v>
      </c>
      <c r="E330" s="26" t="str">
        <f aca="false">'Control Library'!$A$29</f>
        <v>CTL-REG-01</v>
      </c>
      <c r="F330" s="12" t="str">
        <f aca="false">INDEX('Control Library'!$B$5:$B$47,MATCH(E330,'Control Library'!$A$5:$A$47,0))</f>
        <v>Regulatory change management and obligations register</v>
      </c>
      <c r="G330" s="7" t="str">
        <f aca="false">INDEX('Control Library'!$F$5:$F$47,MATCH(E330,'Control Library'!$A$5:$A$47,0))</f>
        <v>Y</v>
      </c>
      <c r="H330" s="12" t="str">
        <f aca="false">INDEX('Control Library'!$E$5:$E$47,MATCH(E330,'Control Library'!$A$5:$A$47,0))</f>
        <v>Monthly</v>
      </c>
      <c r="I330" s="7" t="str">
        <f aca="false">IF(INDEX('Control Library'!$I$5:$I$47,MATCH(E330,'Control Library'!$A$5:$A$47,0))="All","Y",IF(INDEX('Control Library'!$I$5:$I$47,MATCH(E330,'Control Library'!$A$5:$A$47,0))="Banks only",IF(COUNTIF('Residual Config'!$L$28:$L$30,INDEX(Entities!$E$5:$E$34,MATCH(B330,Entities!$A$5:$A$34,0)))&gt;0,"N/A","Y"),IF(INDEX(Entities!$G$5:$G$34,MATCH(B330,Entities!$A$5:$A$34,0))="Y","Y","N/A")))</f>
        <v>Y</v>
      </c>
      <c r="J330" s="8" t="s">
        <v>1479</v>
      </c>
      <c r="K330" s="8" t="s">
        <v>1476</v>
      </c>
      <c r="L330" s="7" t="str">
        <f aca="false">IF(OR(J330="",K330=""),"",IF(J330=K330,"Breach","OK"))</f>
        <v>OK</v>
      </c>
      <c r="M330" s="24" t="n">
        <v>2</v>
      </c>
      <c r="N330" s="50" t="n">
        <v>46253</v>
      </c>
      <c r="O330" s="8" t="s">
        <v>546</v>
      </c>
      <c r="P330" s="24" t="n">
        <v>3</v>
      </c>
      <c r="Q330" s="31" t="n">
        <f aca="false">IF(I330="N/A","",IFERROR(INDEX('Residual Config'!$B$35:$B$42,MATCH(H330,'Residual Config'!$A$35:$A$42,0)),""))</f>
        <v>3</v>
      </c>
      <c r="R330" s="24" t="n">
        <v>1</v>
      </c>
      <c r="S330" s="8" t="s">
        <v>521</v>
      </c>
      <c r="T330" s="31" t="n">
        <f aca="false">IF(S330="","",MATCH(S330,'Residual Config'!$L$9:$L$12,0))</f>
        <v>2</v>
      </c>
      <c r="U330" s="8" t="s">
        <v>1537</v>
      </c>
      <c r="V330" s="24" t="n">
        <v>1</v>
      </c>
      <c r="W330" s="33" t="s">
        <v>533</v>
      </c>
      <c r="X330" s="8" t="s">
        <v>754</v>
      </c>
      <c r="Y330" s="51" t="n">
        <f aca="false">IF(N330="","",EDATE(N330,IF(G330="N",INDEX('Residual Config'!$B$31:$D$31,1,MATCH(D330,'Residual Config'!$B$27:$D$27,0)),INDEX('Residual Config'!$B$28:$D$30,IF(T330=1,1,IF(T330=4,3,2)),MATCH(D330,'Residual Config'!$B$27:$D$27,0)))))</f>
        <v>46437</v>
      </c>
      <c r="Z330" s="7" t="str">
        <f aca="false">IF(I330="N/A","N/A",IF(N330="","Not tested",IF(W330="Rejected","Evidence rejected",IF(W330&lt;&gt;"Accepted","Evidence pending",IF(Y330&lt;'Residual Config'!$C$4,"Overdue","Current")))))</f>
        <v>Current</v>
      </c>
      <c r="AA330" s="34" t="n">
        <f aca="false">IF(I330="N/A","",IF(Z330&lt;&gt;"Current",4,IF(MAX(M330,T330)=0,4,MAX(M330,T330))))</f>
        <v>2</v>
      </c>
      <c r="AB330" s="7" t="str">
        <f aca="false">IF(AA330="","N/A",IF(Z330&lt;&gt;"Current","Not tested / overdue",INDEX('Residual Config'!$B$11:$B$14,AA330)))</f>
        <v>Largely effective</v>
      </c>
      <c r="AC330" s="36" t="n">
        <f aca="false">IF(AA330="","",INDEX('Residual Config'!$D$11:$D$14,AA330))</f>
        <v>0.4</v>
      </c>
      <c r="AD330" s="7" t="str">
        <f aca="false">IF(OR(I330="N/A",P330="",Q330=""),"",IF(P330&gt;=Q330,"Yes","No"))</f>
        <v>Yes</v>
      </c>
      <c r="AE330" s="8"/>
    </row>
    <row r="331" customFormat="false" ht="15" hidden="false" customHeight="false" outlineLevel="0" collapsed="false">
      <c r="A331" s="12" t="s">
        <v>1538</v>
      </c>
      <c r="B331" s="26" t="str">
        <f aca="false">Entities!$A$12</f>
        <v>LB</v>
      </c>
      <c r="C331" s="12" t="str">
        <f aca="false">INDEX(Entities!$B$5:$B$34,MATCH(B331,Entities!$A$5:$A$34,0))</f>
        <v>Arab Bank – Lebanon</v>
      </c>
      <c r="D331" s="7" t="str">
        <f aca="false">INDEX(Entities!$F$5:$F$34,MATCH(B331,Entities!$A$5:$A$34,0))</f>
        <v>Tier 2</v>
      </c>
      <c r="E331" s="26" t="str">
        <f aca="false">'Control Library'!$A$30</f>
        <v>CTL-REG-02</v>
      </c>
      <c r="F331" s="12" t="str">
        <f aca="false">INDEX('Control Library'!$B$5:$B$47,MATCH(E331,'Control Library'!$A$5:$A$47,0))</f>
        <v>Regulatory return review and senior sign-off</v>
      </c>
      <c r="G331" s="7" t="str">
        <f aca="false">INDEX('Control Library'!$F$5:$F$47,MATCH(E331,'Control Library'!$A$5:$A$47,0))</f>
        <v>Y</v>
      </c>
      <c r="H331" s="12" t="str">
        <f aca="false">INDEX('Control Library'!$E$5:$E$47,MATCH(E331,'Control Library'!$A$5:$A$47,0))</f>
        <v>Monthly</v>
      </c>
      <c r="I331" s="7" t="str">
        <f aca="false">IF(INDEX('Control Library'!$I$5:$I$47,MATCH(E331,'Control Library'!$A$5:$A$47,0))="All","Y",IF(INDEX('Control Library'!$I$5:$I$47,MATCH(E331,'Control Library'!$A$5:$A$47,0))="Banks only",IF(COUNTIF('Residual Config'!$L$28:$L$30,INDEX(Entities!$E$5:$E$34,MATCH(B331,Entities!$A$5:$A$34,0)))&gt;0,"N/A","Y"),IF(INDEX(Entities!$G$5:$G$34,MATCH(B331,Entities!$A$5:$A$34,0))="Y","Y","N/A")))</f>
        <v>Y</v>
      </c>
      <c r="J331" s="8" t="s">
        <v>1532</v>
      </c>
      <c r="K331" s="8" t="s">
        <v>1476</v>
      </c>
      <c r="L331" s="7" t="str">
        <f aca="false">IF(OR(J331="",K331=""),"",IF(J331=K331,"Breach","OK"))</f>
        <v>OK</v>
      </c>
      <c r="M331" s="24" t="n">
        <v>1</v>
      </c>
      <c r="N331" s="50" t="n">
        <v>46154</v>
      </c>
      <c r="O331" s="8" t="s">
        <v>545</v>
      </c>
      <c r="P331" s="24" t="n">
        <v>3</v>
      </c>
      <c r="Q331" s="31" t="n">
        <f aca="false">IF(I331="N/A","",IFERROR(INDEX('Residual Config'!$B$35:$B$42,MATCH(H331,'Residual Config'!$A$35:$A$42,0)),""))</f>
        <v>3</v>
      </c>
      <c r="R331" s="24" t="n">
        <v>2</v>
      </c>
      <c r="S331" s="8" t="s">
        <v>524</v>
      </c>
      <c r="T331" s="31" t="n">
        <f aca="false">IF(S331="","",MATCH(S331,'Residual Config'!$L$9:$L$12,0))</f>
        <v>3</v>
      </c>
      <c r="U331" s="8" t="s">
        <v>1539</v>
      </c>
      <c r="V331" s="24" t="n">
        <v>2</v>
      </c>
      <c r="W331" s="33" t="s">
        <v>533</v>
      </c>
      <c r="X331" s="8" t="s">
        <v>760</v>
      </c>
      <c r="Y331" s="51" t="n">
        <f aca="false">IF(N331="","",EDATE(N331,IF(G331="N",INDEX('Residual Config'!$B$31:$D$31,1,MATCH(D331,'Residual Config'!$B$27:$D$27,0)),INDEX('Residual Config'!$B$28:$D$30,IF(T331=1,1,IF(T331=4,3,2)),MATCH(D331,'Residual Config'!$B$27:$D$27,0)))))</f>
        <v>46338</v>
      </c>
      <c r="Z331" s="7" t="str">
        <f aca="false">IF(I331="N/A","N/A",IF(N331="","Not tested",IF(W331="Rejected","Evidence rejected",IF(W331&lt;&gt;"Accepted","Evidence pending",IF(Y331&lt;'Residual Config'!$C$4,"Overdue","Current")))))</f>
        <v>Current</v>
      </c>
      <c r="AA331" s="34" t="n">
        <f aca="false">IF(I331="N/A","",IF(Z331&lt;&gt;"Current",4,IF(MAX(M331,T331)=0,4,MAX(M331,T331))))</f>
        <v>3</v>
      </c>
      <c r="AB331" s="7" t="str">
        <f aca="false">IF(AA331="","N/A",IF(Z331&lt;&gt;"Current","Not tested / overdue",INDEX('Residual Config'!$B$11:$B$14,AA331)))</f>
        <v>Partially effective</v>
      </c>
      <c r="AC331" s="36" t="n">
        <f aca="false">IF(AA331="","",INDEX('Residual Config'!$D$11:$D$14,AA331))</f>
        <v>0.2</v>
      </c>
      <c r="AD331" s="7" t="str">
        <f aca="false">IF(OR(I331="N/A",P331="",Q331=""),"",IF(P331&gt;=Q331,"Yes","No"))</f>
        <v>Yes</v>
      </c>
      <c r="AE331" s="8"/>
    </row>
    <row r="332" customFormat="false" ht="15" hidden="false" customHeight="false" outlineLevel="0" collapsed="false">
      <c r="A332" s="12" t="s">
        <v>1540</v>
      </c>
      <c r="B332" s="26" t="str">
        <f aca="false">Entities!$A$12</f>
        <v>LB</v>
      </c>
      <c r="C332" s="12" t="str">
        <f aca="false">INDEX(Entities!$B$5:$B$34,MATCH(B332,Entities!$A$5:$A$34,0))</f>
        <v>Arab Bank – Lebanon</v>
      </c>
      <c r="D332" s="7" t="str">
        <f aca="false">INDEX(Entities!$F$5:$F$34,MATCH(B332,Entities!$A$5:$A$34,0))</f>
        <v>Tier 2</v>
      </c>
      <c r="E332" s="26" t="str">
        <f aca="false">'Control Library'!$A$31</f>
        <v>CTL-CON-01</v>
      </c>
      <c r="F332" s="12" t="str">
        <f aca="false">INDEX('Control Library'!$B$5:$B$47,MATCH(E332,'Control Library'!$A$5:$A$47,0))</f>
        <v>New product approval and suitability assessment</v>
      </c>
      <c r="G332" s="7" t="str">
        <f aca="false">INDEX('Control Library'!$F$5:$F$47,MATCH(E332,'Control Library'!$A$5:$A$47,0))</f>
        <v>Y</v>
      </c>
      <c r="H332" s="12" t="str">
        <f aca="false">INDEX('Control Library'!$E$5:$E$47,MATCH(E332,'Control Library'!$A$5:$A$47,0))</f>
        <v>Event-driven</v>
      </c>
      <c r="I332" s="7" t="str">
        <f aca="false">IF(INDEX('Control Library'!$I$5:$I$47,MATCH(E332,'Control Library'!$A$5:$A$47,0))="All","Y",IF(INDEX('Control Library'!$I$5:$I$47,MATCH(E332,'Control Library'!$A$5:$A$47,0))="Banks only",IF(COUNTIF('Residual Config'!$L$28:$L$30,INDEX(Entities!$E$5:$E$34,MATCH(B332,Entities!$A$5:$A$34,0)))&gt;0,"N/A","Y"),IF(INDEX(Entities!$G$5:$G$34,MATCH(B332,Entities!$A$5:$A$34,0))="Y","Y","N/A")))</f>
        <v>Y</v>
      </c>
      <c r="J332" s="8" t="s">
        <v>1479</v>
      </c>
      <c r="K332" s="8" t="s">
        <v>1476</v>
      </c>
      <c r="L332" s="7" t="str">
        <f aca="false">IF(OR(J332="",K332=""),"",IF(J332=K332,"Breach","OK"))</f>
        <v>OK</v>
      </c>
      <c r="M332" s="24" t="n">
        <v>2</v>
      </c>
      <c r="N332" s="50" t="n">
        <v>46136</v>
      </c>
      <c r="O332" s="8" t="s">
        <v>546</v>
      </c>
      <c r="P332" s="24" t="n">
        <v>35</v>
      </c>
      <c r="Q332" s="31" t="n">
        <f aca="false">IF(I332="N/A","",IFERROR(INDEX('Residual Config'!$B$35:$B$42,MATCH(H332,'Residual Config'!$A$35:$A$42,0)),""))</f>
        <v>25</v>
      </c>
      <c r="R332" s="24" t="n">
        <v>1</v>
      </c>
      <c r="S332" s="8" t="s">
        <v>521</v>
      </c>
      <c r="T332" s="31" t="n">
        <f aca="false">IF(S332="","",MATCH(S332,'Residual Config'!$L$9:$L$12,0))</f>
        <v>2</v>
      </c>
      <c r="U332" s="8" t="s">
        <v>1541</v>
      </c>
      <c r="V332" s="24" t="n">
        <v>3</v>
      </c>
      <c r="W332" s="33" t="s">
        <v>533</v>
      </c>
      <c r="X332" s="8" t="s">
        <v>754</v>
      </c>
      <c r="Y332" s="51" t="n">
        <f aca="false">IF(N332="","",EDATE(N332,IF(G332="N",INDEX('Residual Config'!$B$31:$D$31,1,MATCH(D332,'Residual Config'!$B$27:$D$27,0)),INDEX('Residual Config'!$B$28:$D$30,IF(T332=1,1,IF(T332=4,3,2)),MATCH(D332,'Residual Config'!$B$27:$D$27,0)))))</f>
        <v>46319</v>
      </c>
      <c r="Z332" s="7" t="str">
        <f aca="false">IF(I332="N/A","N/A",IF(N332="","Not tested",IF(W332="Rejected","Evidence rejected",IF(W332&lt;&gt;"Accepted","Evidence pending",IF(Y332&lt;'Residual Config'!$C$4,"Overdue","Current")))))</f>
        <v>Current</v>
      </c>
      <c r="AA332" s="34" t="n">
        <f aca="false">IF(I332="N/A","",IF(Z332&lt;&gt;"Current",4,IF(MAX(M332,T332)=0,4,MAX(M332,T332))))</f>
        <v>2</v>
      </c>
      <c r="AB332" s="7" t="str">
        <f aca="false">IF(AA332="","N/A",IF(Z332&lt;&gt;"Current","Not tested / overdue",INDEX('Residual Config'!$B$11:$B$14,AA332)))</f>
        <v>Largely effective</v>
      </c>
      <c r="AC332" s="36" t="n">
        <f aca="false">IF(AA332="","",INDEX('Residual Config'!$D$11:$D$14,AA332))</f>
        <v>0.4</v>
      </c>
      <c r="AD332" s="7" t="str">
        <f aca="false">IF(OR(I332="N/A",P332="",Q332=""),"",IF(P332&gt;=Q332,"Yes","No"))</f>
        <v>Yes</v>
      </c>
      <c r="AE332" s="8"/>
    </row>
    <row r="333" customFormat="false" ht="15" hidden="false" customHeight="false" outlineLevel="0" collapsed="false">
      <c r="A333" s="12" t="s">
        <v>1542</v>
      </c>
      <c r="B333" s="26" t="str">
        <f aca="false">Entities!$A$12</f>
        <v>LB</v>
      </c>
      <c r="C333" s="12" t="str">
        <f aca="false">INDEX(Entities!$B$5:$B$34,MATCH(B333,Entities!$A$5:$A$34,0))</f>
        <v>Arab Bank – Lebanon</v>
      </c>
      <c r="D333" s="7" t="str">
        <f aca="false">INDEX(Entities!$F$5:$F$34,MATCH(B333,Entities!$A$5:$A$34,0))</f>
        <v>Tier 2</v>
      </c>
      <c r="E333" s="26" t="str">
        <f aca="false">'Control Library'!$A$32</f>
        <v>CTL-CON-02</v>
      </c>
      <c r="F333" s="12" t="str">
        <f aca="false">INDEX('Control Library'!$B$5:$B$47,MATCH(E333,'Control Library'!$A$5:$A$47,0))</f>
        <v>Complaints handling and root-cause analysis</v>
      </c>
      <c r="G333" s="7" t="str">
        <f aca="false">INDEX('Control Library'!$F$5:$F$47,MATCH(E333,'Control Library'!$A$5:$A$47,0))</f>
        <v>N</v>
      </c>
      <c r="H333" s="12" t="str">
        <f aca="false">INDEX('Control Library'!$E$5:$E$47,MATCH(E333,'Control Library'!$A$5:$A$47,0))</f>
        <v>Monthly</v>
      </c>
      <c r="I333" s="7" t="str">
        <f aca="false">IF(INDEX('Control Library'!$I$5:$I$47,MATCH(E333,'Control Library'!$A$5:$A$47,0))="All","Y",IF(INDEX('Control Library'!$I$5:$I$47,MATCH(E333,'Control Library'!$A$5:$A$47,0))="Banks only",IF(COUNTIF('Residual Config'!$L$28:$L$30,INDEX(Entities!$E$5:$E$34,MATCH(B333,Entities!$A$5:$A$34,0)))&gt;0,"N/A","Y"),IF(INDEX(Entities!$G$5:$G$34,MATCH(B333,Entities!$A$5:$A$34,0))="Y","Y","N/A")))</f>
        <v>Y</v>
      </c>
      <c r="J333" s="8" t="s">
        <v>1543</v>
      </c>
      <c r="K333" s="8" t="s">
        <v>1476</v>
      </c>
      <c r="L333" s="7" t="str">
        <f aca="false">IF(OR(J333="",K333=""),"",IF(J333=K333,"Breach","OK"))</f>
        <v>OK</v>
      </c>
      <c r="M333" s="24" t="n">
        <v>1</v>
      </c>
      <c r="N333" s="50" t="n">
        <v>46003</v>
      </c>
      <c r="O333" s="8" t="s">
        <v>545</v>
      </c>
      <c r="P333" s="24" t="n">
        <v>3</v>
      </c>
      <c r="Q333" s="31" t="n">
        <f aca="false">IF(I333="N/A","",IFERROR(INDEX('Residual Config'!$B$35:$B$42,MATCH(H333,'Residual Config'!$A$35:$A$42,0)),""))</f>
        <v>3</v>
      </c>
      <c r="R333" s="24" t="n">
        <v>1</v>
      </c>
      <c r="S333" s="8" t="s">
        <v>521</v>
      </c>
      <c r="T333" s="31" t="n">
        <f aca="false">IF(S333="","",MATCH(S333,'Residual Config'!$L$9:$L$12,0))</f>
        <v>2</v>
      </c>
      <c r="U333" s="8" t="s">
        <v>1544</v>
      </c>
      <c r="V333" s="24" t="n">
        <v>1</v>
      </c>
      <c r="W333" s="33" t="s">
        <v>533</v>
      </c>
      <c r="X333" s="8" t="s">
        <v>760</v>
      </c>
      <c r="Y333" s="51" t="n">
        <f aca="false">IF(N333="","",EDATE(N333,IF(G333="N",INDEX('Residual Config'!$B$31:$D$31,1,MATCH(D333,'Residual Config'!$B$27:$D$27,0)),INDEX('Residual Config'!$B$28:$D$30,IF(T333=1,1,IF(T333=4,3,2)),MATCH(D333,'Residual Config'!$B$27:$D$27,0)))))</f>
        <v>46368</v>
      </c>
      <c r="Z333" s="7" t="str">
        <f aca="false">IF(I333="N/A","N/A",IF(N333="","Not tested",IF(W333="Rejected","Evidence rejected",IF(W333&lt;&gt;"Accepted","Evidence pending",IF(Y333&lt;'Residual Config'!$C$4,"Overdue","Current")))))</f>
        <v>Current</v>
      </c>
      <c r="AA333" s="34" t="n">
        <f aca="false">IF(I333="N/A","",IF(Z333&lt;&gt;"Current",4,IF(MAX(M333,T333)=0,4,MAX(M333,T333))))</f>
        <v>2</v>
      </c>
      <c r="AB333" s="7" t="str">
        <f aca="false">IF(AA333="","N/A",IF(Z333&lt;&gt;"Current","Not tested / overdue",INDEX('Residual Config'!$B$11:$B$14,AA333)))</f>
        <v>Largely effective</v>
      </c>
      <c r="AC333" s="36" t="n">
        <f aca="false">IF(AA333="","",INDEX('Residual Config'!$D$11:$D$14,AA333))</f>
        <v>0.4</v>
      </c>
      <c r="AD333" s="7" t="str">
        <f aca="false">IF(OR(I333="N/A",P333="",Q333=""),"",IF(P333&gt;=Q333,"Yes","No"))</f>
        <v>Yes</v>
      </c>
      <c r="AE333" s="8"/>
    </row>
    <row r="334" customFormat="false" ht="15" hidden="false" customHeight="false" outlineLevel="0" collapsed="false">
      <c r="A334" s="12" t="s">
        <v>1545</v>
      </c>
      <c r="B334" s="26" t="str">
        <f aca="false">Entities!$A$12</f>
        <v>LB</v>
      </c>
      <c r="C334" s="12" t="str">
        <f aca="false">INDEX(Entities!$B$5:$B$34,MATCH(B334,Entities!$A$5:$A$34,0))</f>
        <v>Arab Bank – Lebanon</v>
      </c>
      <c r="D334" s="7" t="str">
        <f aca="false">INDEX(Entities!$F$5:$F$34,MATCH(B334,Entities!$A$5:$A$34,0))</f>
        <v>Tier 2</v>
      </c>
      <c r="E334" s="26" t="str">
        <f aca="false">'Control Library'!$A$33</f>
        <v>CTL-DP-01</v>
      </c>
      <c r="F334" s="12" t="str">
        <f aca="false">INDEX('Control Library'!$B$5:$B$47,MATCH(E334,'Control Library'!$A$5:$A$47,0))</f>
        <v>Data protection impact assessments and processing records</v>
      </c>
      <c r="G334" s="7" t="str">
        <f aca="false">INDEX('Control Library'!$F$5:$F$47,MATCH(E334,'Control Library'!$A$5:$A$47,0))</f>
        <v>Y</v>
      </c>
      <c r="H334" s="12" t="str">
        <f aca="false">INDEX('Control Library'!$E$5:$E$47,MATCH(E334,'Control Library'!$A$5:$A$47,0))</f>
        <v>Event-driven</v>
      </c>
      <c r="I334" s="7" t="str">
        <f aca="false">IF(INDEX('Control Library'!$I$5:$I$47,MATCH(E334,'Control Library'!$A$5:$A$47,0))="All","Y",IF(INDEX('Control Library'!$I$5:$I$47,MATCH(E334,'Control Library'!$A$5:$A$47,0))="Banks only",IF(COUNTIF('Residual Config'!$L$28:$L$30,INDEX(Entities!$E$5:$E$34,MATCH(B334,Entities!$A$5:$A$34,0)))&gt;0,"N/A","Y"),IF(INDEX(Entities!$G$5:$G$34,MATCH(B334,Entities!$A$5:$A$34,0))="Y","Y","N/A")))</f>
        <v>Y</v>
      </c>
      <c r="J334" s="8" t="s">
        <v>1546</v>
      </c>
      <c r="K334" s="8" t="s">
        <v>1476</v>
      </c>
      <c r="L334" s="7" t="str">
        <f aca="false">IF(OR(J334="",K334=""),"",IF(J334=K334,"Breach","OK"))</f>
        <v>OK</v>
      </c>
      <c r="M334" s="24" t="n">
        <v>2</v>
      </c>
      <c r="N334" s="50" t="n">
        <v>46162</v>
      </c>
      <c r="O334" s="8" t="s">
        <v>546</v>
      </c>
      <c r="P334" s="24" t="n">
        <v>25</v>
      </c>
      <c r="Q334" s="31" t="n">
        <f aca="false">IF(I334="N/A","",IFERROR(INDEX('Residual Config'!$B$35:$B$42,MATCH(H334,'Residual Config'!$A$35:$A$42,0)),""))</f>
        <v>25</v>
      </c>
      <c r="R334" s="24" t="n">
        <v>3</v>
      </c>
      <c r="S334" s="8" t="s">
        <v>524</v>
      </c>
      <c r="T334" s="31" t="n">
        <f aca="false">IF(S334="","",MATCH(S334,'Residual Config'!$L$9:$L$12,0))</f>
        <v>3</v>
      </c>
      <c r="U334" s="8" t="s">
        <v>1547</v>
      </c>
      <c r="V334" s="24" t="n">
        <v>3</v>
      </c>
      <c r="W334" s="33" t="s">
        <v>533</v>
      </c>
      <c r="X334" s="8" t="s">
        <v>760</v>
      </c>
      <c r="Y334" s="51" t="n">
        <f aca="false">IF(N334="","",EDATE(N334,IF(G334="N",INDEX('Residual Config'!$B$31:$D$31,1,MATCH(D334,'Residual Config'!$B$27:$D$27,0)),INDEX('Residual Config'!$B$28:$D$30,IF(T334=1,1,IF(T334=4,3,2)),MATCH(D334,'Residual Config'!$B$27:$D$27,0)))))</f>
        <v>46346</v>
      </c>
      <c r="Z334" s="7" t="str">
        <f aca="false">IF(I334="N/A","N/A",IF(N334="","Not tested",IF(W334="Rejected","Evidence rejected",IF(W334&lt;&gt;"Accepted","Evidence pending",IF(Y334&lt;'Residual Config'!$C$4,"Overdue","Current")))))</f>
        <v>Current</v>
      </c>
      <c r="AA334" s="34" t="n">
        <f aca="false">IF(I334="N/A","",IF(Z334&lt;&gt;"Current",4,IF(MAX(M334,T334)=0,4,MAX(M334,T334))))</f>
        <v>3</v>
      </c>
      <c r="AB334" s="7" t="str">
        <f aca="false">IF(AA334="","N/A",IF(Z334&lt;&gt;"Current","Not tested / overdue",INDEX('Residual Config'!$B$11:$B$14,AA334)))</f>
        <v>Partially effective</v>
      </c>
      <c r="AC334" s="36" t="n">
        <f aca="false">IF(AA334="","",INDEX('Residual Config'!$D$11:$D$14,AA334))</f>
        <v>0.2</v>
      </c>
      <c r="AD334" s="7" t="str">
        <f aca="false">IF(OR(I334="N/A",P334="",Q334=""),"",IF(P334&gt;=Q334,"Yes","No"))</f>
        <v>Yes</v>
      </c>
      <c r="AE334" s="8"/>
    </row>
    <row r="335" customFormat="false" ht="15" hidden="false" customHeight="false" outlineLevel="0" collapsed="false">
      <c r="A335" s="12" t="s">
        <v>1548</v>
      </c>
      <c r="B335" s="26" t="str">
        <f aca="false">Entities!$A$12</f>
        <v>LB</v>
      </c>
      <c r="C335" s="12" t="str">
        <f aca="false">INDEX(Entities!$B$5:$B$34,MATCH(B335,Entities!$A$5:$A$34,0))</f>
        <v>Arab Bank – Lebanon</v>
      </c>
      <c r="D335" s="7" t="str">
        <f aca="false">INDEX(Entities!$F$5:$F$34,MATCH(B335,Entities!$A$5:$A$34,0))</f>
        <v>Tier 2</v>
      </c>
      <c r="E335" s="26" t="str">
        <f aca="false">'Control Library'!$A$34</f>
        <v>CTL-DP-02</v>
      </c>
      <c r="F335" s="12" t="str">
        <f aca="false">INDEX('Control Library'!$B$5:$B$47,MATCH(E335,'Control Library'!$A$5:$A$47,0))</f>
        <v>Data loss prevention and quarterly access recertification</v>
      </c>
      <c r="G335" s="7" t="str">
        <f aca="false">INDEX('Control Library'!$F$5:$F$47,MATCH(E335,'Control Library'!$A$5:$A$47,0))</f>
        <v>Y</v>
      </c>
      <c r="H335" s="12" t="str">
        <f aca="false">INDEX('Control Library'!$E$5:$E$47,MATCH(E335,'Control Library'!$A$5:$A$47,0))</f>
        <v>Quarterly</v>
      </c>
      <c r="I335" s="7" t="str">
        <f aca="false">IF(INDEX('Control Library'!$I$5:$I$47,MATCH(E335,'Control Library'!$A$5:$A$47,0))="All","Y",IF(INDEX('Control Library'!$I$5:$I$47,MATCH(E335,'Control Library'!$A$5:$A$47,0))="Banks only",IF(COUNTIF('Residual Config'!$L$28:$L$30,INDEX(Entities!$E$5:$E$34,MATCH(B335,Entities!$A$5:$A$34,0)))&gt;0,"N/A","Y"),IF(INDEX(Entities!$G$5:$G$34,MATCH(B335,Entities!$A$5:$A$34,0))="Y","Y","N/A")))</f>
        <v>Y</v>
      </c>
      <c r="J335" s="8" t="s">
        <v>1549</v>
      </c>
      <c r="K335" s="8" t="s">
        <v>1476</v>
      </c>
      <c r="L335" s="7" t="str">
        <f aca="false">IF(OR(J335="",K335=""),"",IF(J335=K335,"Breach","OK"))</f>
        <v>OK</v>
      </c>
      <c r="M335" s="24" t="n">
        <v>2</v>
      </c>
      <c r="N335" s="50" t="n">
        <v>46179</v>
      </c>
      <c r="O335" s="8" t="s">
        <v>545</v>
      </c>
      <c r="P335" s="24" t="n">
        <v>2</v>
      </c>
      <c r="Q335" s="31" t="n">
        <f aca="false">IF(I335="N/A","",IFERROR(INDEX('Residual Config'!$B$35:$B$42,MATCH(H335,'Residual Config'!$A$35:$A$42,0)),""))</f>
        <v>2</v>
      </c>
      <c r="R335" s="24" t="n">
        <v>1</v>
      </c>
      <c r="S335" s="8" t="s">
        <v>521</v>
      </c>
      <c r="T335" s="31" t="n">
        <f aca="false">IF(S335="","",MATCH(S335,'Residual Config'!$L$9:$L$12,0))</f>
        <v>2</v>
      </c>
      <c r="U335" s="8" t="s">
        <v>1550</v>
      </c>
      <c r="V335" s="24" t="n">
        <v>1</v>
      </c>
      <c r="W335" s="33" t="s">
        <v>533</v>
      </c>
      <c r="X335" s="8" t="s">
        <v>760</v>
      </c>
      <c r="Y335" s="51" t="n">
        <f aca="false">IF(N335="","",EDATE(N335,IF(G335="N",INDEX('Residual Config'!$B$31:$D$31,1,MATCH(D335,'Residual Config'!$B$27:$D$27,0)),INDEX('Residual Config'!$B$28:$D$30,IF(T335=1,1,IF(T335=4,3,2)),MATCH(D335,'Residual Config'!$B$27:$D$27,0)))))</f>
        <v>46362</v>
      </c>
      <c r="Z335" s="7" t="str">
        <f aca="false">IF(I335="N/A","N/A",IF(N335="","Not tested",IF(W335="Rejected","Evidence rejected",IF(W335&lt;&gt;"Accepted","Evidence pending",IF(Y335&lt;'Residual Config'!$C$4,"Overdue","Current")))))</f>
        <v>Current</v>
      </c>
      <c r="AA335" s="34" t="n">
        <f aca="false">IF(I335="N/A","",IF(Z335&lt;&gt;"Current",4,IF(MAX(M335,T335)=0,4,MAX(M335,T335))))</f>
        <v>2</v>
      </c>
      <c r="AB335" s="7" t="str">
        <f aca="false">IF(AA335="","N/A",IF(Z335&lt;&gt;"Current","Not tested / overdue",INDEX('Residual Config'!$B$11:$B$14,AA335)))</f>
        <v>Largely effective</v>
      </c>
      <c r="AC335" s="36" t="n">
        <f aca="false">IF(AA335="","",INDEX('Residual Config'!$D$11:$D$14,AA335))</f>
        <v>0.4</v>
      </c>
      <c r="AD335" s="7" t="str">
        <f aca="false">IF(OR(I335="N/A",P335="",Q335=""),"",IF(P335&gt;=Q335,"Yes","No"))</f>
        <v>Yes</v>
      </c>
      <c r="AE335" s="8"/>
    </row>
    <row r="336" customFormat="false" ht="15" hidden="false" customHeight="false" outlineLevel="0" collapsed="false">
      <c r="A336" s="12" t="s">
        <v>1551</v>
      </c>
      <c r="B336" s="26" t="str">
        <f aca="false">Entities!$A$12</f>
        <v>LB</v>
      </c>
      <c r="C336" s="12" t="str">
        <f aca="false">INDEX(Entities!$B$5:$B$34,MATCH(B336,Entities!$A$5:$A$34,0))</f>
        <v>Arab Bank – Lebanon</v>
      </c>
      <c r="D336" s="7" t="str">
        <f aca="false">INDEX(Entities!$F$5:$F$34,MATCH(B336,Entities!$A$5:$A$34,0))</f>
        <v>Tier 2</v>
      </c>
      <c r="E336" s="26" t="str">
        <f aca="false">'Control Library'!$A$35</f>
        <v>CTL-SH-01</v>
      </c>
      <c r="F336" s="12" t="str">
        <f aca="false">INDEX('Control Library'!$B$5:$B$47,MATCH(E336,'Control Library'!$A$5:$A$47,0))</f>
        <v>Shariah review of products and income purification</v>
      </c>
      <c r="G336" s="7" t="str">
        <f aca="false">INDEX('Control Library'!$F$5:$F$47,MATCH(E336,'Control Library'!$A$5:$A$47,0))</f>
        <v>Y</v>
      </c>
      <c r="H336" s="12" t="str">
        <f aca="false">INDEX('Control Library'!$E$5:$E$47,MATCH(E336,'Control Library'!$A$5:$A$47,0))</f>
        <v>Quarterly</v>
      </c>
      <c r="I336" s="7" t="str">
        <f aca="false">IF(INDEX('Control Library'!$I$5:$I$47,MATCH(E336,'Control Library'!$A$5:$A$47,0))="All","Y",IF(INDEX('Control Library'!$I$5:$I$47,MATCH(E336,'Control Library'!$A$5:$A$47,0))="Banks only",IF(COUNTIF('Residual Config'!$L$28:$L$30,INDEX(Entities!$E$5:$E$34,MATCH(B336,Entities!$A$5:$A$34,0)))&gt;0,"N/A","Y"),IF(INDEX(Entities!$G$5:$G$34,MATCH(B336,Entities!$A$5:$A$34,0))="Y","Y","N/A")))</f>
        <v>N/A</v>
      </c>
      <c r="J336" s="8"/>
      <c r="K336" s="8"/>
      <c r="L336" s="7" t="str">
        <f aca="false">IF(OR(J336="",K336=""),"",IF(J336=K336,"Breach","OK"))</f>
        <v/>
      </c>
      <c r="M336" s="24"/>
      <c r="N336" s="50"/>
      <c r="O336" s="8"/>
      <c r="P336" s="24"/>
      <c r="Q336" s="31" t="str">
        <f aca="false">IF(I336="N/A","",IFERROR(INDEX('Residual Config'!$B$35:$B$42,MATCH(H336,'Residual Config'!$A$35:$A$42,0)),""))</f>
        <v/>
      </c>
      <c r="R336" s="24"/>
      <c r="S336" s="8"/>
      <c r="T336" s="31" t="str">
        <f aca="false">IF(S336="","",MATCH(S336,'Residual Config'!$L$9:$L$12,0))</f>
        <v/>
      </c>
      <c r="U336" s="8"/>
      <c r="V336" s="24"/>
      <c r="W336" s="33"/>
      <c r="X336" s="8"/>
      <c r="Y336" s="51" t="str">
        <f aca="false">IF(N336="","",EDATE(N336,IF(G336="N",INDEX('Residual Config'!$B$31:$D$31,1,MATCH(D336,'Residual Config'!$B$27:$D$27,0)),INDEX('Residual Config'!$B$28:$D$30,IF(T336=1,1,IF(T336=4,3,2)),MATCH(D336,'Residual Config'!$B$27:$D$27,0)))))</f>
        <v/>
      </c>
      <c r="Z336" s="7" t="str">
        <f aca="false">IF(I336="N/A","N/A",IF(N336="","Not tested",IF(W336="Rejected","Evidence rejected",IF(W336&lt;&gt;"Accepted","Evidence pending",IF(Y336&lt;'Residual Config'!$C$4,"Overdue","Current")))))</f>
        <v>N/A</v>
      </c>
      <c r="AA336" s="34" t="str">
        <f aca="false">IF(I336="N/A","",IF(Z336&lt;&gt;"Current",4,IF(MAX(M336,T336)=0,4,MAX(M336,T336))))</f>
        <v/>
      </c>
      <c r="AB336" s="7" t="str">
        <f aca="false">IF(AA336="","N/A",IF(Z336&lt;&gt;"Current","Not tested / overdue",INDEX('Residual Config'!$B$11:$B$14,AA336)))</f>
        <v>N/A</v>
      </c>
      <c r="AC336" s="36" t="str">
        <f aca="false">IF(AA336="","",INDEX('Residual Config'!$D$11:$D$14,AA336))</f>
        <v/>
      </c>
      <c r="AD336" s="7" t="str">
        <f aca="false">IF(OR(I336="N/A",P336="",Q336=""),"",IF(P336&gt;=Q336,"Yes","No"))</f>
        <v/>
      </c>
      <c r="AE336" s="8"/>
    </row>
    <row r="337" customFormat="false" ht="15" hidden="false" customHeight="false" outlineLevel="0" collapsed="false">
      <c r="A337" s="12" t="s">
        <v>1552</v>
      </c>
      <c r="B337" s="26" t="str">
        <f aca="false">Entities!$A$12</f>
        <v>LB</v>
      </c>
      <c r="C337" s="12" t="str">
        <f aca="false">INDEX(Entities!$B$5:$B$34,MATCH(B337,Entities!$A$5:$A$34,0))</f>
        <v>Arab Bank – Lebanon</v>
      </c>
      <c r="D337" s="7" t="str">
        <f aca="false">INDEX(Entities!$F$5:$F$34,MATCH(B337,Entities!$A$5:$A$34,0))</f>
        <v>Tier 2</v>
      </c>
      <c r="E337" s="26" t="str">
        <f aca="false">'Control Library'!$A$36</f>
        <v>CTL-CR-01</v>
      </c>
      <c r="F337" s="12" t="str">
        <f aca="false">INDEX('Control Library'!$B$5:$B$47,MATCH(E337,'Control Library'!$A$5:$A$47,0))</f>
        <v>Credit approval authorities and committee review</v>
      </c>
      <c r="G337" s="7" t="str">
        <f aca="false">INDEX('Control Library'!$F$5:$F$47,MATCH(E337,'Control Library'!$A$5:$A$47,0))</f>
        <v>Y</v>
      </c>
      <c r="H337" s="12" t="str">
        <f aca="false">INDEX('Control Library'!$E$5:$E$47,MATCH(E337,'Control Library'!$A$5:$A$47,0))</f>
        <v>Event-driven</v>
      </c>
      <c r="I337" s="7" t="str">
        <f aca="false">IF(INDEX('Control Library'!$I$5:$I$47,MATCH(E337,'Control Library'!$A$5:$A$47,0))="All","Y",IF(INDEX('Control Library'!$I$5:$I$47,MATCH(E337,'Control Library'!$A$5:$A$47,0))="Banks only",IF(COUNTIF('Residual Config'!$L$28:$L$30,INDEX(Entities!$E$5:$E$34,MATCH(B337,Entities!$A$5:$A$34,0)))&gt;0,"N/A","Y"),IF(INDEX(Entities!$G$5:$G$34,MATCH(B337,Entities!$A$5:$A$34,0))="Y","Y","N/A")))</f>
        <v>Y</v>
      </c>
      <c r="J337" s="8" t="s">
        <v>1553</v>
      </c>
      <c r="K337" s="8" t="s">
        <v>1476</v>
      </c>
      <c r="L337" s="7" t="str">
        <f aca="false">IF(OR(J337="",K337=""),"",IF(J337=K337,"Breach","OK"))</f>
        <v>OK</v>
      </c>
      <c r="M337" s="24" t="n">
        <v>2</v>
      </c>
      <c r="N337" s="50" t="n">
        <v>46167</v>
      </c>
      <c r="O337" s="8" t="s">
        <v>546</v>
      </c>
      <c r="P337" s="24" t="n">
        <v>35</v>
      </c>
      <c r="Q337" s="31" t="n">
        <f aca="false">IF(I337="N/A","",IFERROR(INDEX('Residual Config'!$B$35:$B$42,MATCH(H337,'Residual Config'!$A$35:$A$42,0)),""))</f>
        <v>25</v>
      </c>
      <c r="R337" s="24" t="n">
        <v>1</v>
      </c>
      <c r="S337" s="8" t="s">
        <v>521</v>
      </c>
      <c r="T337" s="31" t="n">
        <f aca="false">IF(S337="","",MATCH(S337,'Residual Config'!$L$9:$L$12,0))</f>
        <v>2</v>
      </c>
      <c r="U337" s="8" t="s">
        <v>1554</v>
      </c>
      <c r="V337" s="24" t="n">
        <v>1</v>
      </c>
      <c r="W337" s="33" t="s">
        <v>533</v>
      </c>
      <c r="X337" s="8" t="s">
        <v>754</v>
      </c>
      <c r="Y337" s="51" t="n">
        <f aca="false">IF(N337="","",EDATE(N337,IF(G337="N",INDEX('Residual Config'!$B$31:$D$31,1,MATCH(D337,'Residual Config'!$B$27:$D$27,0)),INDEX('Residual Config'!$B$28:$D$30,IF(T337=1,1,IF(T337=4,3,2)),MATCH(D337,'Residual Config'!$B$27:$D$27,0)))))</f>
        <v>46351</v>
      </c>
      <c r="Z337" s="7" t="str">
        <f aca="false">IF(I337="N/A","N/A",IF(N337="","Not tested",IF(W337="Rejected","Evidence rejected",IF(W337&lt;&gt;"Accepted","Evidence pending",IF(Y337&lt;'Residual Config'!$C$4,"Overdue","Current")))))</f>
        <v>Current</v>
      </c>
      <c r="AA337" s="34" t="n">
        <f aca="false">IF(I337="N/A","",IF(Z337&lt;&gt;"Current",4,IF(MAX(M337,T337)=0,4,MAX(M337,T337))))</f>
        <v>2</v>
      </c>
      <c r="AB337" s="7" t="str">
        <f aca="false">IF(AA337="","N/A",IF(Z337&lt;&gt;"Current","Not tested / overdue",INDEX('Residual Config'!$B$11:$B$14,AA337)))</f>
        <v>Largely effective</v>
      </c>
      <c r="AC337" s="36" t="n">
        <f aca="false">IF(AA337="","",INDEX('Residual Config'!$D$11:$D$14,AA337))</f>
        <v>0.4</v>
      </c>
      <c r="AD337" s="7" t="str">
        <f aca="false">IF(OR(I337="N/A",P337="",Q337=""),"",IF(P337&gt;=Q337,"Yes","No"))</f>
        <v>Yes</v>
      </c>
      <c r="AE337" s="8"/>
    </row>
    <row r="338" customFormat="false" ht="15" hidden="false" customHeight="false" outlineLevel="0" collapsed="false">
      <c r="A338" s="12" t="s">
        <v>1555</v>
      </c>
      <c r="B338" s="26" t="str">
        <f aca="false">Entities!$A$12</f>
        <v>LB</v>
      </c>
      <c r="C338" s="12" t="str">
        <f aca="false">INDEX(Entities!$B$5:$B$34,MATCH(B338,Entities!$A$5:$A$34,0))</f>
        <v>Arab Bank – Lebanon</v>
      </c>
      <c r="D338" s="7" t="str">
        <f aca="false">INDEX(Entities!$F$5:$F$34,MATCH(B338,Entities!$A$5:$A$34,0))</f>
        <v>Tier 2</v>
      </c>
      <c r="E338" s="26" t="str">
        <f aca="false">'Control Library'!$A$37</f>
        <v>CTL-CR-02</v>
      </c>
      <c r="F338" s="12" t="str">
        <f aca="false">INDEX('Control Library'!$B$5:$B$47,MATCH(E338,'Control Library'!$A$5:$A$47,0))</f>
        <v>Collateral valuation and exposure limit monitoring</v>
      </c>
      <c r="G338" s="7" t="str">
        <f aca="false">INDEX('Control Library'!$F$5:$F$47,MATCH(E338,'Control Library'!$A$5:$A$47,0))</f>
        <v>N</v>
      </c>
      <c r="H338" s="12" t="str">
        <f aca="false">INDEX('Control Library'!$E$5:$E$47,MATCH(E338,'Control Library'!$A$5:$A$47,0))</f>
        <v>Monthly</v>
      </c>
      <c r="I338" s="7" t="str">
        <f aca="false">IF(INDEX('Control Library'!$I$5:$I$47,MATCH(E338,'Control Library'!$A$5:$A$47,0))="All","Y",IF(INDEX('Control Library'!$I$5:$I$47,MATCH(E338,'Control Library'!$A$5:$A$47,0))="Banks only",IF(COUNTIF('Residual Config'!$L$28:$L$30,INDEX(Entities!$E$5:$E$34,MATCH(B338,Entities!$A$5:$A$34,0)))&gt;0,"N/A","Y"),IF(INDEX(Entities!$G$5:$G$34,MATCH(B338,Entities!$A$5:$A$34,0))="Y","Y","N/A")))</f>
        <v>Y</v>
      </c>
      <c r="J338" s="8" t="s">
        <v>1556</v>
      </c>
      <c r="K338" s="8" t="s">
        <v>1476</v>
      </c>
      <c r="L338" s="7" t="str">
        <f aca="false">IF(OR(J338="",K338=""),"",IF(J338=K338,"Breach","OK"))</f>
        <v>OK</v>
      </c>
      <c r="M338" s="24" t="n">
        <v>2</v>
      </c>
      <c r="N338" s="50" t="n">
        <v>46218</v>
      </c>
      <c r="O338" s="8" t="s">
        <v>545</v>
      </c>
      <c r="P338" s="24" t="n">
        <v>3</v>
      </c>
      <c r="Q338" s="31" t="n">
        <f aca="false">IF(I338="N/A","",IFERROR(INDEX('Residual Config'!$B$35:$B$42,MATCH(H338,'Residual Config'!$A$35:$A$42,0)),""))</f>
        <v>3</v>
      </c>
      <c r="R338" s="24" t="n">
        <v>3</v>
      </c>
      <c r="S338" s="8" t="s">
        <v>524</v>
      </c>
      <c r="T338" s="31" t="n">
        <f aca="false">IF(S338="","",MATCH(S338,'Residual Config'!$L$9:$L$12,0))</f>
        <v>3</v>
      </c>
      <c r="U338" s="8" t="s">
        <v>1557</v>
      </c>
      <c r="V338" s="24" t="n">
        <v>6</v>
      </c>
      <c r="W338" s="33" t="s">
        <v>533</v>
      </c>
      <c r="X338" s="8" t="s">
        <v>754</v>
      </c>
      <c r="Y338" s="51" t="n">
        <f aca="false">IF(N338="","",EDATE(N338,IF(G338="N",INDEX('Residual Config'!$B$31:$D$31,1,MATCH(D338,'Residual Config'!$B$27:$D$27,0)),INDEX('Residual Config'!$B$28:$D$30,IF(T338=1,1,IF(T338=4,3,2)),MATCH(D338,'Residual Config'!$B$27:$D$27,0)))))</f>
        <v>46583</v>
      </c>
      <c r="Z338" s="7" t="str">
        <f aca="false">IF(I338="N/A","N/A",IF(N338="","Not tested",IF(W338="Rejected","Evidence rejected",IF(W338&lt;&gt;"Accepted","Evidence pending",IF(Y338&lt;'Residual Config'!$C$4,"Overdue","Current")))))</f>
        <v>Current</v>
      </c>
      <c r="AA338" s="34" t="n">
        <f aca="false">IF(I338="N/A","",IF(Z338&lt;&gt;"Current",4,IF(MAX(M338,T338)=0,4,MAX(M338,T338))))</f>
        <v>3</v>
      </c>
      <c r="AB338" s="7" t="str">
        <f aca="false">IF(AA338="","N/A",IF(Z338&lt;&gt;"Current","Not tested / overdue",INDEX('Residual Config'!$B$11:$B$14,AA338)))</f>
        <v>Partially effective</v>
      </c>
      <c r="AC338" s="36" t="n">
        <f aca="false">IF(AA338="","",INDEX('Residual Config'!$D$11:$D$14,AA338))</f>
        <v>0.2</v>
      </c>
      <c r="AD338" s="7" t="str">
        <f aca="false">IF(OR(I338="N/A",P338="",Q338=""),"",IF(P338&gt;=Q338,"Yes","No"))</f>
        <v>Yes</v>
      </c>
      <c r="AE338" s="8"/>
    </row>
    <row r="339" customFormat="false" ht="15" hidden="false" customHeight="false" outlineLevel="0" collapsed="false">
      <c r="A339" s="12" t="s">
        <v>1558</v>
      </c>
      <c r="B339" s="26" t="str">
        <f aca="false">Entities!$A$12</f>
        <v>LB</v>
      </c>
      <c r="C339" s="12" t="str">
        <f aca="false">INDEX(Entities!$B$5:$B$34,MATCH(B339,Entities!$A$5:$A$34,0))</f>
        <v>Arab Bank – Lebanon</v>
      </c>
      <c r="D339" s="7" t="str">
        <f aca="false">INDEX(Entities!$F$5:$F$34,MATCH(B339,Entities!$A$5:$A$34,0))</f>
        <v>Tier 2</v>
      </c>
      <c r="E339" s="26" t="str">
        <f aca="false">'Control Library'!$A$38</f>
        <v>CTL-MR-01</v>
      </c>
      <c r="F339" s="12" t="str">
        <f aca="false">INDEX('Control Library'!$B$5:$B$47,MATCH(E339,'Control Library'!$A$5:$A$47,0))</f>
        <v>Market risk limits and daily VaR monitoring</v>
      </c>
      <c r="G339" s="7" t="str">
        <f aca="false">INDEX('Control Library'!$F$5:$F$47,MATCH(E339,'Control Library'!$A$5:$A$47,0))</f>
        <v>Y</v>
      </c>
      <c r="H339" s="12" t="str">
        <f aca="false">INDEX('Control Library'!$E$5:$E$47,MATCH(E339,'Control Library'!$A$5:$A$47,0))</f>
        <v>Daily</v>
      </c>
      <c r="I339" s="7" t="str">
        <f aca="false">IF(INDEX('Control Library'!$I$5:$I$47,MATCH(E339,'Control Library'!$A$5:$A$47,0))="All","Y",IF(INDEX('Control Library'!$I$5:$I$47,MATCH(E339,'Control Library'!$A$5:$A$47,0))="Banks only",IF(COUNTIF('Residual Config'!$L$28:$L$30,INDEX(Entities!$E$5:$E$34,MATCH(B339,Entities!$A$5:$A$34,0)))&gt;0,"N/A","Y"),IF(INDEX(Entities!$G$5:$G$34,MATCH(B339,Entities!$A$5:$A$34,0))="Y","Y","N/A")))</f>
        <v>Y</v>
      </c>
      <c r="J339" s="8" t="s">
        <v>1556</v>
      </c>
      <c r="K339" s="8" t="s">
        <v>1476</v>
      </c>
      <c r="L339" s="7" t="str">
        <f aca="false">IF(OR(J339="",K339=""),"",IF(J339=K339,"Breach","OK"))</f>
        <v>OK</v>
      </c>
      <c r="M339" s="24" t="n">
        <v>2</v>
      </c>
      <c r="N339" s="50" t="n">
        <v>46280</v>
      </c>
      <c r="O339" s="8" t="s">
        <v>547</v>
      </c>
      <c r="P339" s="24" t="n">
        <v>25</v>
      </c>
      <c r="Q339" s="31" t="n">
        <f aca="false">IF(I339="N/A","",IFERROR(INDEX('Residual Config'!$B$35:$B$42,MATCH(H339,'Residual Config'!$A$35:$A$42,0)),""))</f>
        <v>25</v>
      </c>
      <c r="R339" s="24" t="n">
        <v>1</v>
      </c>
      <c r="S339" s="8" t="s">
        <v>521</v>
      </c>
      <c r="T339" s="31" t="n">
        <f aca="false">IF(S339="","",MATCH(S339,'Residual Config'!$L$9:$L$12,0))</f>
        <v>2</v>
      </c>
      <c r="U339" s="8" t="s">
        <v>1559</v>
      </c>
      <c r="V339" s="24" t="n">
        <v>2</v>
      </c>
      <c r="W339" s="33" t="s">
        <v>533</v>
      </c>
      <c r="X339" s="8" t="s">
        <v>754</v>
      </c>
      <c r="Y339" s="51" t="n">
        <f aca="false">IF(N339="","",EDATE(N339,IF(G339="N",INDEX('Residual Config'!$B$31:$D$31,1,MATCH(D339,'Residual Config'!$B$27:$D$27,0)),INDEX('Residual Config'!$B$28:$D$30,IF(T339=1,1,IF(T339=4,3,2)),MATCH(D339,'Residual Config'!$B$27:$D$27,0)))))</f>
        <v>46461</v>
      </c>
      <c r="Z339" s="7" t="str">
        <f aca="false">IF(I339="N/A","N/A",IF(N339="","Not tested",IF(W339="Rejected","Evidence rejected",IF(W339&lt;&gt;"Accepted","Evidence pending",IF(Y339&lt;'Residual Config'!$C$4,"Overdue","Current")))))</f>
        <v>Current</v>
      </c>
      <c r="AA339" s="34" t="n">
        <f aca="false">IF(I339="N/A","",IF(Z339&lt;&gt;"Current",4,IF(MAX(M339,T339)=0,4,MAX(M339,T339))))</f>
        <v>2</v>
      </c>
      <c r="AB339" s="7" t="str">
        <f aca="false">IF(AA339="","N/A",IF(Z339&lt;&gt;"Current","Not tested / overdue",INDEX('Residual Config'!$B$11:$B$14,AA339)))</f>
        <v>Largely effective</v>
      </c>
      <c r="AC339" s="36" t="n">
        <f aca="false">IF(AA339="","",INDEX('Residual Config'!$D$11:$D$14,AA339))</f>
        <v>0.4</v>
      </c>
      <c r="AD339" s="7" t="str">
        <f aca="false">IF(OR(I339="N/A",P339="",Q339=""),"",IF(P339&gt;=Q339,"Yes","No"))</f>
        <v>Yes</v>
      </c>
      <c r="AE339" s="8"/>
    </row>
    <row r="340" customFormat="false" ht="15" hidden="false" customHeight="false" outlineLevel="0" collapsed="false">
      <c r="A340" s="12" t="s">
        <v>1560</v>
      </c>
      <c r="B340" s="26" t="str">
        <f aca="false">Entities!$A$12</f>
        <v>LB</v>
      </c>
      <c r="C340" s="12" t="str">
        <f aca="false">INDEX(Entities!$B$5:$B$34,MATCH(B340,Entities!$A$5:$A$34,0))</f>
        <v>Arab Bank – Lebanon</v>
      </c>
      <c r="D340" s="7" t="str">
        <f aca="false">INDEX(Entities!$F$5:$F$34,MATCH(B340,Entities!$A$5:$A$34,0))</f>
        <v>Tier 2</v>
      </c>
      <c r="E340" s="26" t="str">
        <f aca="false">'Control Library'!$A$39</f>
        <v>CTL-LQ-01</v>
      </c>
      <c r="F340" s="12" t="str">
        <f aca="false">INDEX('Control Library'!$B$5:$B$47,MATCH(E340,'Control Library'!$A$5:$A$47,0))</f>
        <v>Liquidity buffers, LCR/NSFR monitoring and contingency funding plan</v>
      </c>
      <c r="G340" s="7" t="str">
        <f aca="false">INDEX('Control Library'!$F$5:$F$47,MATCH(E340,'Control Library'!$A$5:$A$47,0))</f>
        <v>Y</v>
      </c>
      <c r="H340" s="12" t="str">
        <f aca="false">INDEX('Control Library'!$E$5:$E$47,MATCH(E340,'Control Library'!$A$5:$A$47,0))</f>
        <v>Daily</v>
      </c>
      <c r="I340" s="7" t="str">
        <f aca="false">IF(INDEX('Control Library'!$I$5:$I$47,MATCH(E340,'Control Library'!$A$5:$A$47,0))="All","Y",IF(INDEX('Control Library'!$I$5:$I$47,MATCH(E340,'Control Library'!$A$5:$A$47,0))="Banks only",IF(COUNTIF('Residual Config'!$L$28:$L$30,INDEX(Entities!$E$5:$E$34,MATCH(B340,Entities!$A$5:$A$34,0)))&gt;0,"N/A","Y"),IF(INDEX(Entities!$G$5:$G$34,MATCH(B340,Entities!$A$5:$A$34,0))="Y","Y","N/A")))</f>
        <v>Y</v>
      </c>
      <c r="J340" s="8" t="s">
        <v>1561</v>
      </c>
      <c r="K340" s="8" t="s">
        <v>1476</v>
      </c>
      <c r="L340" s="7" t="str">
        <f aca="false">IF(OR(J340="",K340=""),"",IF(J340=K340,"Breach","OK"))</f>
        <v>OK</v>
      </c>
      <c r="M340" s="24" t="n">
        <v>2</v>
      </c>
      <c r="N340" s="50"/>
      <c r="O340" s="8"/>
      <c r="P340" s="24"/>
      <c r="Q340" s="31" t="n">
        <f aca="false">IF(I340="N/A","",IFERROR(INDEX('Residual Config'!$B$35:$B$42,MATCH(H340,'Residual Config'!$A$35:$A$42,0)),""))</f>
        <v>25</v>
      </c>
      <c r="R340" s="24"/>
      <c r="S340" s="8"/>
      <c r="T340" s="31" t="str">
        <f aca="false">IF(S340="","",MATCH(S340,'Residual Config'!$L$9:$L$12,0))</f>
        <v/>
      </c>
      <c r="U340" s="8"/>
      <c r="V340" s="24"/>
      <c r="W340" s="33"/>
      <c r="X340" s="8"/>
      <c r="Y340" s="51" t="str">
        <f aca="false">IF(N340="","",EDATE(N340,IF(G340="N",INDEX('Residual Config'!$B$31:$D$31,1,MATCH(D340,'Residual Config'!$B$27:$D$27,0)),INDEX('Residual Config'!$B$28:$D$30,IF(T340=1,1,IF(T340=4,3,2)),MATCH(D340,'Residual Config'!$B$27:$D$27,0)))))</f>
        <v/>
      </c>
      <c r="Z340" s="7" t="str">
        <f aca="false">IF(I340="N/A","N/A",IF(N340="","Not tested",IF(W340="Rejected","Evidence rejected",IF(W340&lt;&gt;"Accepted","Evidence pending",IF(Y340&lt;'Residual Config'!$C$4,"Overdue","Current")))))</f>
        <v>Not tested</v>
      </c>
      <c r="AA340" s="34" t="n">
        <f aca="false">IF(I340="N/A","",IF(Z340&lt;&gt;"Current",4,IF(MAX(M340,T340)=0,4,MAX(M340,T340))))</f>
        <v>4</v>
      </c>
      <c r="AB340" s="7" t="str">
        <f aca="false">IF(AA340="","N/A",IF(Z340&lt;&gt;"Current","Not tested / overdue",INDEX('Residual Config'!$B$11:$B$14,AA340)))</f>
        <v>Not tested / overdue</v>
      </c>
      <c r="AC340" s="36" t="n">
        <f aca="false">IF(AA340="","",INDEX('Residual Config'!$D$11:$D$14,AA340))</f>
        <v>0</v>
      </c>
      <c r="AD340" s="7" t="str">
        <f aca="false">IF(OR(I340="N/A",P340="",Q340=""),"",IF(P340&gt;=Q340,"Yes","No"))</f>
        <v/>
      </c>
      <c r="AE340" s="8"/>
    </row>
    <row r="341" customFormat="false" ht="15" hidden="false" customHeight="false" outlineLevel="0" collapsed="false">
      <c r="A341" s="12" t="s">
        <v>1562</v>
      </c>
      <c r="B341" s="26" t="str">
        <f aca="false">Entities!$A$12</f>
        <v>LB</v>
      </c>
      <c r="C341" s="12" t="str">
        <f aca="false">INDEX(Entities!$B$5:$B$34,MATCH(B341,Entities!$A$5:$A$34,0))</f>
        <v>Arab Bank – Lebanon</v>
      </c>
      <c r="D341" s="7" t="str">
        <f aca="false">INDEX(Entities!$F$5:$F$34,MATCH(B341,Entities!$A$5:$A$34,0))</f>
        <v>Tier 2</v>
      </c>
      <c r="E341" s="26" t="str">
        <f aca="false">'Control Library'!$A$40</f>
        <v>CTL-OR-01</v>
      </c>
      <c r="F341" s="12" t="str">
        <f aca="false">INDEX('Control Library'!$B$5:$B$47,MATCH(E341,'Control Library'!$A$5:$A$47,0))</f>
        <v>Business continuity plans and annual testing</v>
      </c>
      <c r="G341" s="7" t="str">
        <f aca="false">INDEX('Control Library'!$F$5:$F$47,MATCH(E341,'Control Library'!$A$5:$A$47,0))</f>
        <v>Y</v>
      </c>
      <c r="H341" s="12" t="str">
        <f aca="false">INDEX('Control Library'!$E$5:$E$47,MATCH(E341,'Control Library'!$A$5:$A$47,0))</f>
        <v>Annual</v>
      </c>
      <c r="I341" s="7" t="str">
        <f aca="false">IF(INDEX('Control Library'!$I$5:$I$47,MATCH(E341,'Control Library'!$A$5:$A$47,0))="All","Y",IF(INDEX('Control Library'!$I$5:$I$47,MATCH(E341,'Control Library'!$A$5:$A$47,0))="Banks only",IF(COUNTIF('Residual Config'!$L$28:$L$30,INDEX(Entities!$E$5:$E$34,MATCH(B341,Entities!$A$5:$A$34,0)))&gt;0,"N/A","Y"),IF(INDEX(Entities!$G$5:$G$34,MATCH(B341,Entities!$A$5:$A$34,0))="Y","Y","N/A")))</f>
        <v>Y</v>
      </c>
      <c r="J341" s="8" t="s">
        <v>1563</v>
      </c>
      <c r="K341" s="8" t="s">
        <v>1476</v>
      </c>
      <c r="L341" s="7" t="str">
        <f aca="false">IF(OR(J341="",K341=""),"",IF(J341=K341,"Breach","OK"))</f>
        <v>OK</v>
      </c>
      <c r="M341" s="24" t="n">
        <v>2</v>
      </c>
      <c r="N341" s="50" t="n">
        <v>46141</v>
      </c>
      <c r="O341" s="8" t="s">
        <v>546</v>
      </c>
      <c r="P341" s="24" t="n">
        <v>1</v>
      </c>
      <c r="Q341" s="31" t="n">
        <f aca="false">IF(I341="N/A","",IFERROR(INDEX('Residual Config'!$B$35:$B$42,MATCH(H341,'Residual Config'!$A$35:$A$42,0)),""))</f>
        <v>1</v>
      </c>
      <c r="R341" s="24" t="n">
        <v>1</v>
      </c>
      <c r="S341" s="8" t="s">
        <v>524</v>
      </c>
      <c r="T341" s="31" t="n">
        <f aca="false">IF(S341="","",MATCH(S341,'Residual Config'!$L$9:$L$12,0))</f>
        <v>3</v>
      </c>
      <c r="U341" s="8" t="s">
        <v>1564</v>
      </c>
      <c r="V341" s="24" t="n">
        <v>4</v>
      </c>
      <c r="W341" s="33" t="s">
        <v>533</v>
      </c>
      <c r="X341" s="8" t="s">
        <v>760</v>
      </c>
      <c r="Y341" s="51" t="n">
        <f aca="false">IF(N341="","",EDATE(N341,IF(G341="N",INDEX('Residual Config'!$B$31:$D$31,1,MATCH(D341,'Residual Config'!$B$27:$D$27,0)),INDEX('Residual Config'!$B$28:$D$30,IF(T341=1,1,IF(T341=4,3,2)),MATCH(D341,'Residual Config'!$B$27:$D$27,0)))))</f>
        <v>46324</v>
      </c>
      <c r="Z341" s="7" t="str">
        <f aca="false">IF(I341="N/A","N/A",IF(N341="","Not tested",IF(W341="Rejected","Evidence rejected",IF(W341&lt;&gt;"Accepted","Evidence pending",IF(Y341&lt;'Residual Config'!$C$4,"Overdue","Current")))))</f>
        <v>Current</v>
      </c>
      <c r="AA341" s="34" t="n">
        <f aca="false">IF(I341="N/A","",IF(Z341&lt;&gt;"Current",4,IF(MAX(M341,T341)=0,4,MAX(M341,T341))))</f>
        <v>3</v>
      </c>
      <c r="AB341" s="7" t="str">
        <f aca="false">IF(AA341="","N/A",IF(Z341&lt;&gt;"Current","Not tested / overdue",INDEX('Residual Config'!$B$11:$B$14,AA341)))</f>
        <v>Partially effective</v>
      </c>
      <c r="AC341" s="36" t="n">
        <f aca="false">IF(AA341="","",INDEX('Residual Config'!$D$11:$D$14,AA341))</f>
        <v>0.2</v>
      </c>
      <c r="AD341" s="7" t="str">
        <f aca="false">IF(OR(I341="N/A",P341="",Q341=""),"",IF(P341&gt;=Q341,"Yes","No"))</f>
        <v>Yes</v>
      </c>
      <c r="AE341" s="8"/>
    </row>
    <row r="342" customFormat="false" ht="15" hidden="false" customHeight="false" outlineLevel="0" collapsed="false">
      <c r="A342" s="12" t="s">
        <v>1565</v>
      </c>
      <c r="B342" s="26" t="str">
        <f aca="false">Entities!$A$12</f>
        <v>LB</v>
      </c>
      <c r="C342" s="12" t="str">
        <f aca="false">INDEX(Entities!$B$5:$B$34,MATCH(B342,Entities!$A$5:$A$34,0))</f>
        <v>Arab Bank – Lebanon</v>
      </c>
      <c r="D342" s="7" t="str">
        <f aca="false">INDEX(Entities!$F$5:$F$34,MATCH(B342,Entities!$A$5:$A$34,0))</f>
        <v>Tier 2</v>
      </c>
      <c r="E342" s="26" t="str">
        <f aca="false">'Control Library'!$A$41</f>
        <v>CTL-OR-02</v>
      </c>
      <c r="F342" s="12" t="str">
        <f aca="false">INDEX('Control Library'!$B$5:$B$47,MATCH(E342,'Control Library'!$A$5:$A$47,0))</f>
        <v>Operational loss event capture and RCSA</v>
      </c>
      <c r="G342" s="7" t="str">
        <f aca="false">INDEX('Control Library'!$F$5:$F$47,MATCH(E342,'Control Library'!$A$5:$A$47,0))</f>
        <v>N</v>
      </c>
      <c r="H342" s="12" t="str">
        <f aca="false">INDEX('Control Library'!$E$5:$E$47,MATCH(E342,'Control Library'!$A$5:$A$47,0))</f>
        <v>Quarterly</v>
      </c>
      <c r="I342" s="7" t="str">
        <f aca="false">IF(INDEX('Control Library'!$I$5:$I$47,MATCH(E342,'Control Library'!$A$5:$A$47,0))="All","Y",IF(INDEX('Control Library'!$I$5:$I$47,MATCH(E342,'Control Library'!$A$5:$A$47,0))="Banks only",IF(COUNTIF('Residual Config'!$L$28:$L$30,INDEX(Entities!$E$5:$E$34,MATCH(B342,Entities!$A$5:$A$34,0)))&gt;0,"N/A","Y"),IF(INDEX(Entities!$G$5:$G$34,MATCH(B342,Entities!$A$5:$A$34,0))="Y","Y","N/A")))</f>
        <v>Y</v>
      </c>
      <c r="J342" s="8" t="s">
        <v>1556</v>
      </c>
      <c r="K342" s="8" t="s">
        <v>1476</v>
      </c>
      <c r="L342" s="7" t="str">
        <f aca="false">IF(OR(J342="",K342=""),"",IF(J342=K342,"Breach","OK"))</f>
        <v>OK</v>
      </c>
      <c r="M342" s="24" t="n">
        <v>1</v>
      </c>
      <c r="N342" s="50" t="n">
        <v>45953</v>
      </c>
      <c r="O342" s="8" t="s">
        <v>546</v>
      </c>
      <c r="P342" s="24" t="n">
        <v>2</v>
      </c>
      <c r="Q342" s="31" t="n">
        <f aca="false">IF(I342="N/A","",IFERROR(INDEX('Residual Config'!$B$35:$B$42,MATCH(H342,'Residual Config'!$A$35:$A$42,0)),""))</f>
        <v>2</v>
      </c>
      <c r="R342" s="24" t="n">
        <v>2</v>
      </c>
      <c r="S342" s="8" t="s">
        <v>524</v>
      </c>
      <c r="T342" s="31" t="n">
        <f aca="false">IF(S342="","",MATCH(S342,'Residual Config'!$L$9:$L$12,0))</f>
        <v>3</v>
      </c>
      <c r="U342" s="8" t="s">
        <v>1566</v>
      </c>
      <c r="V342" s="24" t="n">
        <v>3</v>
      </c>
      <c r="W342" s="33" t="s">
        <v>533</v>
      </c>
      <c r="X342" s="8" t="s">
        <v>754</v>
      </c>
      <c r="Y342" s="51" t="n">
        <f aca="false">IF(N342="","",EDATE(N342,IF(G342="N",INDEX('Residual Config'!$B$31:$D$31,1,MATCH(D342,'Residual Config'!$B$27:$D$27,0)),INDEX('Residual Config'!$B$28:$D$30,IF(T342=1,1,IF(T342=4,3,2)),MATCH(D342,'Residual Config'!$B$27:$D$27,0)))))</f>
        <v>46318</v>
      </c>
      <c r="Z342" s="7" t="str">
        <f aca="false">IF(I342="N/A","N/A",IF(N342="","Not tested",IF(W342="Rejected","Evidence rejected",IF(W342&lt;&gt;"Accepted","Evidence pending",IF(Y342&lt;'Residual Config'!$C$4,"Overdue","Current")))))</f>
        <v>Current</v>
      </c>
      <c r="AA342" s="34" t="n">
        <f aca="false">IF(I342="N/A","",IF(Z342&lt;&gt;"Current",4,IF(MAX(M342,T342)=0,4,MAX(M342,T342))))</f>
        <v>3</v>
      </c>
      <c r="AB342" s="7" t="str">
        <f aca="false">IF(AA342="","N/A",IF(Z342&lt;&gt;"Current","Not tested / overdue",INDEX('Residual Config'!$B$11:$B$14,AA342)))</f>
        <v>Partially effective</v>
      </c>
      <c r="AC342" s="36" t="n">
        <f aca="false">IF(AA342="","",INDEX('Residual Config'!$D$11:$D$14,AA342))</f>
        <v>0.2</v>
      </c>
      <c r="AD342" s="7" t="str">
        <f aca="false">IF(OR(I342="N/A",P342="",Q342=""),"",IF(P342&gt;=Q342,"Yes","No"))</f>
        <v>Yes</v>
      </c>
      <c r="AE342" s="8"/>
    </row>
    <row r="343" customFormat="false" ht="15" hidden="false" customHeight="false" outlineLevel="0" collapsed="false">
      <c r="A343" s="12" t="s">
        <v>1567</v>
      </c>
      <c r="B343" s="26" t="str">
        <f aca="false">Entities!$A$12</f>
        <v>LB</v>
      </c>
      <c r="C343" s="12" t="str">
        <f aca="false">INDEX(Entities!$B$5:$B$34,MATCH(B343,Entities!$A$5:$A$34,0))</f>
        <v>Arab Bank – Lebanon</v>
      </c>
      <c r="D343" s="7" t="str">
        <f aca="false">INDEX(Entities!$F$5:$F$34,MATCH(B343,Entities!$A$5:$A$34,0))</f>
        <v>Tier 2</v>
      </c>
      <c r="E343" s="26" t="str">
        <f aca="false">'Control Library'!$A$42</f>
        <v>CTL-CY-01</v>
      </c>
      <c r="F343" s="12" t="str">
        <f aca="false">INDEX('Control Library'!$B$5:$B$47,MATCH(E343,'Control Library'!$A$5:$A$47,0))</f>
        <v>Vulnerability and patch management</v>
      </c>
      <c r="G343" s="7" t="str">
        <f aca="false">INDEX('Control Library'!$F$5:$F$47,MATCH(E343,'Control Library'!$A$5:$A$47,0))</f>
        <v>Y</v>
      </c>
      <c r="H343" s="12" t="str">
        <f aca="false">INDEX('Control Library'!$E$5:$E$47,MATCH(E343,'Control Library'!$A$5:$A$47,0))</f>
        <v>Monthly</v>
      </c>
      <c r="I343" s="7" t="str">
        <f aca="false">IF(INDEX('Control Library'!$I$5:$I$47,MATCH(E343,'Control Library'!$A$5:$A$47,0))="All","Y",IF(INDEX('Control Library'!$I$5:$I$47,MATCH(E343,'Control Library'!$A$5:$A$47,0))="Banks only",IF(COUNTIF('Residual Config'!$L$28:$L$30,INDEX(Entities!$E$5:$E$34,MATCH(B343,Entities!$A$5:$A$34,0)))&gt;0,"N/A","Y"),IF(INDEX(Entities!$G$5:$G$34,MATCH(B343,Entities!$A$5:$A$34,0))="Y","Y","N/A")))</f>
        <v>Y</v>
      </c>
      <c r="J343" s="8" t="s">
        <v>1500</v>
      </c>
      <c r="K343" s="8" t="s">
        <v>1476</v>
      </c>
      <c r="L343" s="7" t="str">
        <f aca="false">IF(OR(J343="",K343=""),"",IF(J343=K343,"Breach","OK"))</f>
        <v>OK</v>
      </c>
      <c r="M343" s="24" t="n">
        <v>2</v>
      </c>
      <c r="N343" s="50" t="n">
        <v>46154</v>
      </c>
      <c r="O343" s="8" t="s">
        <v>545</v>
      </c>
      <c r="P343" s="24" t="n">
        <v>3</v>
      </c>
      <c r="Q343" s="31" t="n">
        <f aca="false">IF(I343="N/A","",IFERROR(INDEX('Residual Config'!$B$35:$B$42,MATCH(H343,'Residual Config'!$A$35:$A$42,0)),""))</f>
        <v>3</v>
      </c>
      <c r="R343" s="24" t="n">
        <v>1</v>
      </c>
      <c r="S343" s="8" t="s">
        <v>521</v>
      </c>
      <c r="T343" s="31" t="n">
        <f aca="false">IF(S343="","",MATCH(S343,'Residual Config'!$L$9:$L$12,0))</f>
        <v>2</v>
      </c>
      <c r="U343" s="8" t="s">
        <v>1568</v>
      </c>
      <c r="V343" s="24" t="n">
        <v>4</v>
      </c>
      <c r="W343" s="33" t="s">
        <v>533</v>
      </c>
      <c r="X343" s="8" t="s">
        <v>760</v>
      </c>
      <c r="Y343" s="51" t="n">
        <f aca="false">IF(N343="","",EDATE(N343,IF(G343="N",INDEX('Residual Config'!$B$31:$D$31,1,MATCH(D343,'Residual Config'!$B$27:$D$27,0)),INDEX('Residual Config'!$B$28:$D$30,IF(T343=1,1,IF(T343=4,3,2)),MATCH(D343,'Residual Config'!$B$27:$D$27,0)))))</f>
        <v>46338</v>
      </c>
      <c r="Z343" s="7" t="str">
        <f aca="false">IF(I343="N/A","N/A",IF(N343="","Not tested",IF(W343="Rejected","Evidence rejected",IF(W343&lt;&gt;"Accepted","Evidence pending",IF(Y343&lt;'Residual Config'!$C$4,"Overdue","Current")))))</f>
        <v>Current</v>
      </c>
      <c r="AA343" s="34" t="n">
        <f aca="false">IF(I343="N/A","",IF(Z343&lt;&gt;"Current",4,IF(MAX(M343,T343)=0,4,MAX(M343,T343))))</f>
        <v>2</v>
      </c>
      <c r="AB343" s="7" t="str">
        <f aca="false">IF(AA343="","N/A",IF(Z343&lt;&gt;"Current","Not tested / overdue",INDEX('Residual Config'!$B$11:$B$14,AA343)))</f>
        <v>Largely effective</v>
      </c>
      <c r="AC343" s="36" t="n">
        <f aca="false">IF(AA343="","",INDEX('Residual Config'!$D$11:$D$14,AA343))</f>
        <v>0.4</v>
      </c>
      <c r="AD343" s="7" t="str">
        <f aca="false">IF(OR(I343="N/A",P343="",Q343=""),"",IF(P343&gt;=Q343,"Yes","No"))</f>
        <v>Yes</v>
      </c>
      <c r="AE343" s="8"/>
    </row>
    <row r="344" customFormat="false" ht="15" hidden="false" customHeight="false" outlineLevel="0" collapsed="false">
      <c r="A344" s="12" t="s">
        <v>1569</v>
      </c>
      <c r="B344" s="26" t="str">
        <f aca="false">Entities!$A$12</f>
        <v>LB</v>
      </c>
      <c r="C344" s="12" t="str">
        <f aca="false">INDEX(Entities!$B$5:$B$34,MATCH(B344,Entities!$A$5:$A$34,0))</f>
        <v>Arab Bank – Lebanon</v>
      </c>
      <c r="D344" s="7" t="str">
        <f aca="false">INDEX(Entities!$F$5:$F$34,MATCH(B344,Entities!$A$5:$A$34,0))</f>
        <v>Tier 2</v>
      </c>
      <c r="E344" s="26" t="str">
        <f aca="false">'Control Library'!$A$43</f>
        <v>CTL-CY-02</v>
      </c>
      <c r="F344" s="12" t="str">
        <f aca="false">INDEX('Control Library'!$B$5:$B$47,MATCH(E344,'Control Library'!$A$5:$A$47,0))</f>
        <v>Privileged access management and SOC monitoring</v>
      </c>
      <c r="G344" s="7" t="str">
        <f aca="false">INDEX('Control Library'!$F$5:$F$47,MATCH(E344,'Control Library'!$A$5:$A$47,0))</f>
        <v>Y</v>
      </c>
      <c r="H344" s="12" t="str">
        <f aca="false">INDEX('Control Library'!$E$5:$E$47,MATCH(E344,'Control Library'!$A$5:$A$47,0))</f>
        <v>Continuous</v>
      </c>
      <c r="I344" s="7" t="str">
        <f aca="false">IF(INDEX('Control Library'!$I$5:$I$47,MATCH(E344,'Control Library'!$A$5:$A$47,0))="All","Y",IF(INDEX('Control Library'!$I$5:$I$47,MATCH(E344,'Control Library'!$A$5:$A$47,0))="Banks only",IF(COUNTIF('Residual Config'!$L$28:$L$30,INDEX(Entities!$E$5:$E$34,MATCH(B344,Entities!$A$5:$A$34,0)))&gt;0,"N/A","Y"),IF(INDEX(Entities!$G$5:$G$34,MATCH(B344,Entities!$A$5:$A$34,0))="Y","Y","N/A")))</f>
        <v>Y</v>
      </c>
      <c r="J344" s="8" t="s">
        <v>1549</v>
      </c>
      <c r="K344" s="8" t="s">
        <v>1476</v>
      </c>
      <c r="L344" s="7" t="str">
        <f aca="false">IF(OR(J344="",K344=""),"",IF(J344=K344,"Breach","OK"))</f>
        <v>OK</v>
      </c>
      <c r="M344" s="24" t="n">
        <v>2</v>
      </c>
      <c r="N344" s="50" t="n">
        <v>46177</v>
      </c>
      <c r="O344" s="8" t="s">
        <v>546</v>
      </c>
      <c r="P344" s="24" t="n">
        <v>1</v>
      </c>
      <c r="Q344" s="31" t="n">
        <f aca="false">IF(I344="N/A","",IFERROR(INDEX('Residual Config'!$B$35:$B$42,MATCH(H344,'Residual Config'!$A$35:$A$42,0)),""))</f>
        <v>1</v>
      </c>
      <c r="R344" s="24" t="n">
        <v>1</v>
      </c>
      <c r="S344" s="8" t="s">
        <v>524</v>
      </c>
      <c r="T344" s="31" t="n">
        <f aca="false">IF(S344="","",MATCH(S344,'Residual Config'!$L$9:$L$12,0))</f>
        <v>3</v>
      </c>
      <c r="U344" s="8" t="s">
        <v>1570</v>
      </c>
      <c r="V344" s="24" t="n">
        <v>6</v>
      </c>
      <c r="W344" s="33" t="s">
        <v>533</v>
      </c>
      <c r="X344" s="8" t="s">
        <v>754</v>
      </c>
      <c r="Y344" s="51" t="n">
        <f aca="false">IF(N344="","",EDATE(N344,IF(G344="N",INDEX('Residual Config'!$B$31:$D$31,1,MATCH(D344,'Residual Config'!$B$27:$D$27,0)),INDEX('Residual Config'!$B$28:$D$30,IF(T344=1,1,IF(T344=4,3,2)),MATCH(D344,'Residual Config'!$B$27:$D$27,0)))))</f>
        <v>46360</v>
      </c>
      <c r="Z344" s="7" t="str">
        <f aca="false">IF(I344="N/A","N/A",IF(N344="","Not tested",IF(W344="Rejected","Evidence rejected",IF(W344&lt;&gt;"Accepted","Evidence pending",IF(Y344&lt;'Residual Config'!$C$4,"Overdue","Current")))))</f>
        <v>Current</v>
      </c>
      <c r="AA344" s="34" t="n">
        <f aca="false">IF(I344="N/A","",IF(Z344&lt;&gt;"Current",4,IF(MAX(M344,T344)=0,4,MAX(M344,T344))))</f>
        <v>3</v>
      </c>
      <c r="AB344" s="7" t="str">
        <f aca="false">IF(AA344="","N/A",IF(Z344&lt;&gt;"Current","Not tested / overdue",INDEX('Residual Config'!$B$11:$B$14,AA344)))</f>
        <v>Partially effective</v>
      </c>
      <c r="AC344" s="36" t="n">
        <f aca="false">IF(AA344="","",INDEX('Residual Config'!$D$11:$D$14,AA344))</f>
        <v>0.2</v>
      </c>
      <c r="AD344" s="7" t="str">
        <f aca="false">IF(OR(I344="N/A",P344="",Q344=""),"",IF(P344&gt;=Q344,"Yes","No"))</f>
        <v>Yes</v>
      </c>
      <c r="AE344" s="8"/>
    </row>
    <row r="345" customFormat="false" ht="15" hidden="false" customHeight="false" outlineLevel="0" collapsed="false">
      <c r="A345" s="12" t="s">
        <v>1571</v>
      </c>
      <c r="B345" s="26" t="str">
        <f aca="false">Entities!$A$12</f>
        <v>LB</v>
      </c>
      <c r="C345" s="12" t="str">
        <f aca="false">INDEX(Entities!$B$5:$B$34,MATCH(B345,Entities!$A$5:$A$34,0))</f>
        <v>Arab Bank – Lebanon</v>
      </c>
      <c r="D345" s="7" t="str">
        <f aca="false">INDEX(Entities!$F$5:$F$34,MATCH(B345,Entities!$A$5:$A$34,0))</f>
        <v>Tier 2</v>
      </c>
      <c r="E345" s="26" t="str">
        <f aca="false">'Control Library'!$A$44</f>
        <v>CTL-TP-01</v>
      </c>
      <c r="F345" s="12" t="str">
        <f aca="false">INDEX('Control Library'!$B$5:$B$47,MATCH(E345,'Control Library'!$A$5:$A$47,0))</f>
        <v>Critical vendor due diligence and tested exit plans</v>
      </c>
      <c r="G345" s="7" t="str">
        <f aca="false">INDEX('Control Library'!$F$5:$F$47,MATCH(E345,'Control Library'!$A$5:$A$47,0))</f>
        <v>Y</v>
      </c>
      <c r="H345" s="12" t="str">
        <f aca="false">INDEX('Control Library'!$E$5:$E$47,MATCH(E345,'Control Library'!$A$5:$A$47,0))</f>
        <v>Annual</v>
      </c>
      <c r="I345" s="7" t="str">
        <f aca="false">IF(INDEX('Control Library'!$I$5:$I$47,MATCH(E345,'Control Library'!$A$5:$A$47,0))="All","Y",IF(INDEX('Control Library'!$I$5:$I$47,MATCH(E345,'Control Library'!$A$5:$A$47,0))="Banks only",IF(COUNTIF('Residual Config'!$L$28:$L$30,INDEX(Entities!$E$5:$E$34,MATCH(B345,Entities!$A$5:$A$34,0)))&gt;0,"N/A","Y"),IF(INDEX(Entities!$G$5:$G$34,MATCH(B345,Entities!$A$5:$A$34,0))="Y","Y","N/A")))</f>
        <v>Y</v>
      </c>
      <c r="J345" s="8" t="s">
        <v>1517</v>
      </c>
      <c r="K345" s="8" t="s">
        <v>1476</v>
      </c>
      <c r="L345" s="7" t="str">
        <f aca="false">IF(OR(J345="",K345=""),"",IF(J345=K345,"Breach","OK"))</f>
        <v>OK</v>
      </c>
      <c r="M345" s="24" t="n">
        <v>3</v>
      </c>
      <c r="N345" s="50" t="n">
        <v>46252</v>
      </c>
      <c r="O345" s="8" t="s">
        <v>545</v>
      </c>
      <c r="P345" s="24" t="n">
        <v>1</v>
      </c>
      <c r="Q345" s="31" t="n">
        <f aca="false">IF(I345="N/A","",IFERROR(INDEX('Residual Config'!$B$35:$B$42,MATCH(H345,'Residual Config'!$A$35:$A$42,0)),""))</f>
        <v>1</v>
      </c>
      <c r="R345" s="24" t="n">
        <v>1</v>
      </c>
      <c r="S345" s="8" t="s">
        <v>521</v>
      </c>
      <c r="T345" s="31" t="n">
        <f aca="false">IF(S345="","",MATCH(S345,'Residual Config'!$L$9:$L$12,0))</f>
        <v>2</v>
      </c>
      <c r="U345" s="8" t="s">
        <v>1572</v>
      </c>
      <c r="V345" s="24" t="n">
        <v>6</v>
      </c>
      <c r="W345" s="33" t="s">
        <v>533</v>
      </c>
      <c r="X345" s="8" t="s">
        <v>760</v>
      </c>
      <c r="Y345" s="51" t="n">
        <f aca="false">IF(N345="","",EDATE(N345,IF(G345="N",INDEX('Residual Config'!$B$31:$D$31,1,MATCH(D345,'Residual Config'!$B$27:$D$27,0)),INDEX('Residual Config'!$B$28:$D$30,IF(T345=1,1,IF(T345=4,3,2)),MATCH(D345,'Residual Config'!$B$27:$D$27,0)))))</f>
        <v>46436</v>
      </c>
      <c r="Z345" s="7" t="str">
        <f aca="false">IF(I345="N/A","N/A",IF(N345="","Not tested",IF(W345="Rejected","Evidence rejected",IF(W345&lt;&gt;"Accepted","Evidence pending",IF(Y345&lt;'Residual Config'!$C$4,"Overdue","Current")))))</f>
        <v>Current</v>
      </c>
      <c r="AA345" s="34" t="n">
        <f aca="false">IF(I345="N/A","",IF(Z345&lt;&gt;"Current",4,IF(MAX(M345,T345)=0,4,MAX(M345,T345))))</f>
        <v>3</v>
      </c>
      <c r="AB345" s="7" t="str">
        <f aca="false">IF(AA345="","N/A",IF(Z345&lt;&gt;"Current","Not tested / overdue",INDEX('Residual Config'!$B$11:$B$14,AA345)))</f>
        <v>Partially effective</v>
      </c>
      <c r="AC345" s="36" t="n">
        <f aca="false">IF(AA345="","",INDEX('Residual Config'!$D$11:$D$14,AA345))</f>
        <v>0.2</v>
      </c>
      <c r="AD345" s="7" t="str">
        <f aca="false">IF(OR(I345="N/A",P345="",Q345=""),"",IF(P345&gt;=Q345,"Yes","No"))</f>
        <v>Yes</v>
      </c>
      <c r="AE345" s="8"/>
    </row>
    <row r="346" customFormat="false" ht="15" hidden="false" customHeight="false" outlineLevel="0" collapsed="false">
      <c r="A346" s="12" t="s">
        <v>1573</v>
      </c>
      <c r="B346" s="26" t="str">
        <f aca="false">Entities!$A$12</f>
        <v>LB</v>
      </c>
      <c r="C346" s="12" t="str">
        <f aca="false">INDEX(Entities!$B$5:$B$34,MATCH(B346,Entities!$A$5:$A$34,0))</f>
        <v>Arab Bank – Lebanon</v>
      </c>
      <c r="D346" s="7" t="str">
        <f aca="false">INDEX(Entities!$F$5:$F$34,MATCH(B346,Entities!$A$5:$A$34,0))</f>
        <v>Tier 2</v>
      </c>
      <c r="E346" s="26" t="str">
        <f aca="false">'Control Library'!$A$45</f>
        <v>CTL-LG-01</v>
      </c>
      <c r="F346" s="12" t="str">
        <f aca="false">INDEX('Control Library'!$B$5:$B$47,MATCH(E346,'Control Library'!$A$5:$A$47,0))</f>
        <v>Legal review of contracts and litigation register</v>
      </c>
      <c r="G346" s="7" t="str">
        <f aca="false">INDEX('Control Library'!$F$5:$F$47,MATCH(E346,'Control Library'!$A$5:$A$47,0))</f>
        <v>Y</v>
      </c>
      <c r="H346" s="12" t="str">
        <f aca="false">INDEX('Control Library'!$E$5:$E$47,MATCH(E346,'Control Library'!$A$5:$A$47,0))</f>
        <v>Event-driven</v>
      </c>
      <c r="I346" s="7" t="str">
        <f aca="false">IF(INDEX('Control Library'!$I$5:$I$47,MATCH(E346,'Control Library'!$A$5:$A$47,0))="All","Y",IF(INDEX('Control Library'!$I$5:$I$47,MATCH(E346,'Control Library'!$A$5:$A$47,0))="Banks only",IF(COUNTIF('Residual Config'!$L$28:$L$30,INDEX(Entities!$E$5:$E$34,MATCH(B346,Entities!$A$5:$A$34,0)))&gt;0,"N/A","Y"),IF(INDEX(Entities!$G$5:$G$34,MATCH(B346,Entities!$A$5:$A$34,0))="Y","Y","N/A")))</f>
        <v>Y</v>
      </c>
      <c r="J346" s="8" t="s">
        <v>1574</v>
      </c>
      <c r="K346" s="8" t="s">
        <v>1476</v>
      </c>
      <c r="L346" s="7" t="str">
        <f aca="false">IF(OR(J346="",K346=""),"",IF(J346=K346,"Breach","OK"))</f>
        <v>OK</v>
      </c>
      <c r="M346" s="24" t="n">
        <v>3</v>
      </c>
      <c r="N346" s="50" t="n">
        <v>46259</v>
      </c>
      <c r="O346" s="8" t="s">
        <v>545</v>
      </c>
      <c r="P346" s="24" t="n">
        <v>20</v>
      </c>
      <c r="Q346" s="31" t="n">
        <f aca="false">IF(I346="N/A","",IFERROR(INDEX('Residual Config'!$B$35:$B$42,MATCH(H346,'Residual Config'!$A$35:$A$42,0)),""))</f>
        <v>25</v>
      </c>
      <c r="R346" s="24" t="n">
        <v>1</v>
      </c>
      <c r="S346" s="8" t="s">
        <v>521</v>
      </c>
      <c r="T346" s="31" t="n">
        <f aca="false">IF(S346="","",MATCH(S346,'Residual Config'!$L$9:$L$12,0))</f>
        <v>2</v>
      </c>
      <c r="U346" s="8" t="s">
        <v>1575</v>
      </c>
      <c r="V346" s="24" t="n">
        <v>6</v>
      </c>
      <c r="W346" s="33" t="s">
        <v>533</v>
      </c>
      <c r="X346" s="8" t="s">
        <v>754</v>
      </c>
      <c r="Y346" s="51" t="n">
        <f aca="false">IF(N346="","",EDATE(N346,IF(G346="N",INDEX('Residual Config'!$B$31:$D$31,1,MATCH(D346,'Residual Config'!$B$27:$D$27,0)),INDEX('Residual Config'!$B$28:$D$30,IF(T346=1,1,IF(T346=4,3,2)),MATCH(D346,'Residual Config'!$B$27:$D$27,0)))))</f>
        <v>46443</v>
      </c>
      <c r="Z346" s="7" t="str">
        <f aca="false">IF(I346="N/A","N/A",IF(N346="","Not tested",IF(W346="Rejected","Evidence rejected",IF(W346&lt;&gt;"Accepted","Evidence pending",IF(Y346&lt;'Residual Config'!$C$4,"Overdue","Current")))))</f>
        <v>Current</v>
      </c>
      <c r="AA346" s="34" t="n">
        <f aca="false">IF(I346="N/A","",IF(Z346&lt;&gt;"Current",4,IF(MAX(M346,T346)=0,4,MAX(M346,T346))))</f>
        <v>3</v>
      </c>
      <c r="AB346" s="7" t="str">
        <f aca="false">IF(AA346="","N/A",IF(Z346&lt;&gt;"Current","Not tested / overdue",INDEX('Residual Config'!$B$11:$B$14,AA346)))</f>
        <v>Partially effective</v>
      </c>
      <c r="AC346" s="36" t="n">
        <f aca="false">IF(AA346="","",INDEX('Residual Config'!$D$11:$D$14,AA346))</f>
        <v>0.2</v>
      </c>
      <c r="AD346" s="7" t="str">
        <f aca="false">IF(OR(I346="N/A",P346="",Q346=""),"",IF(P346&gt;=Q346,"Yes","No"))</f>
        <v>No</v>
      </c>
      <c r="AE346" s="8"/>
    </row>
    <row r="347" customFormat="false" ht="15" hidden="false" customHeight="false" outlineLevel="0" collapsed="false">
      <c r="A347" s="12" t="s">
        <v>1576</v>
      </c>
      <c r="B347" s="26" t="str">
        <f aca="false">Entities!$A$12</f>
        <v>LB</v>
      </c>
      <c r="C347" s="12" t="str">
        <f aca="false">INDEX(Entities!$B$5:$B$34,MATCH(B347,Entities!$A$5:$A$34,0))</f>
        <v>Arab Bank – Lebanon</v>
      </c>
      <c r="D347" s="7" t="str">
        <f aca="false">INDEX(Entities!$F$5:$F$34,MATCH(B347,Entities!$A$5:$A$34,0))</f>
        <v>Tier 2</v>
      </c>
      <c r="E347" s="26" t="str">
        <f aca="false">'Control Library'!$A$46</f>
        <v>CTL-RP-01</v>
      </c>
      <c r="F347" s="12" t="str">
        <f aca="false">INDEX('Control Library'!$B$5:$B$47,MATCH(E347,'Control Library'!$A$5:$A$47,0))</f>
        <v>Media monitoring and reputational-risk escalation</v>
      </c>
      <c r="G347" s="7" t="str">
        <f aca="false">INDEX('Control Library'!$F$5:$F$47,MATCH(E347,'Control Library'!$A$5:$A$47,0))</f>
        <v>Y</v>
      </c>
      <c r="H347" s="12" t="str">
        <f aca="false">INDEX('Control Library'!$E$5:$E$47,MATCH(E347,'Control Library'!$A$5:$A$47,0))</f>
        <v>Daily</v>
      </c>
      <c r="I347" s="7" t="str">
        <f aca="false">IF(INDEX('Control Library'!$I$5:$I$47,MATCH(E347,'Control Library'!$A$5:$A$47,0))="All","Y",IF(INDEX('Control Library'!$I$5:$I$47,MATCH(E347,'Control Library'!$A$5:$A$47,0))="Banks only",IF(COUNTIF('Residual Config'!$L$28:$L$30,INDEX(Entities!$E$5:$E$34,MATCH(B347,Entities!$A$5:$A$34,0)))&gt;0,"N/A","Y"),IF(INDEX(Entities!$G$5:$G$34,MATCH(B347,Entities!$A$5:$A$34,0))="Y","Y","N/A")))</f>
        <v>Y</v>
      </c>
      <c r="J347" s="8" t="s">
        <v>1577</v>
      </c>
      <c r="K347" s="8" t="s">
        <v>1476</v>
      </c>
      <c r="L347" s="7" t="str">
        <f aca="false">IF(OR(J347="",K347=""),"",IF(J347=K347,"Breach","OK"))</f>
        <v>OK</v>
      </c>
      <c r="M347" s="24" t="n">
        <v>1</v>
      </c>
      <c r="N347" s="50" t="n">
        <v>46004</v>
      </c>
      <c r="O347" s="8" t="s">
        <v>545</v>
      </c>
      <c r="P347" s="24" t="n">
        <v>30</v>
      </c>
      <c r="Q347" s="31" t="n">
        <f aca="false">IF(I347="N/A","",IFERROR(INDEX('Residual Config'!$B$35:$B$42,MATCH(H347,'Residual Config'!$A$35:$A$42,0)),""))</f>
        <v>25</v>
      </c>
      <c r="R347" s="24" t="n">
        <v>0</v>
      </c>
      <c r="S347" s="8" t="s">
        <v>516</v>
      </c>
      <c r="T347" s="31" t="n">
        <f aca="false">IF(S347="","",MATCH(S347,'Residual Config'!$L$9:$L$12,0))</f>
        <v>1</v>
      </c>
      <c r="U347" s="8" t="s">
        <v>1578</v>
      </c>
      <c r="V347" s="24" t="n">
        <v>4</v>
      </c>
      <c r="W347" s="33" t="s">
        <v>536</v>
      </c>
      <c r="X347" s="8"/>
      <c r="Y347" s="51" t="n">
        <f aca="false">IF(N347="","",EDATE(N347,IF(G347="N",INDEX('Residual Config'!$B$31:$D$31,1,MATCH(D347,'Residual Config'!$B$27:$D$27,0)),INDEX('Residual Config'!$B$28:$D$30,IF(T347=1,1,IF(T347=4,3,2)),MATCH(D347,'Residual Config'!$B$27:$D$27,0)))))</f>
        <v>46369</v>
      </c>
      <c r="Z347" s="7" t="str">
        <f aca="false">IF(I347="N/A","N/A",IF(N347="","Not tested",IF(W347="Rejected","Evidence rejected",IF(W347&lt;&gt;"Accepted","Evidence pending",IF(Y347&lt;'Residual Config'!$C$4,"Overdue","Current")))))</f>
        <v>Evidence pending</v>
      </c>
      <c r="AA347" s="34" t="n">
        <f aca="false">IF(I347="N/A","",IF(Z347&lt;&gt;"Current",4,IF(MAX(M347,T347)=0,4,MAX(M347,T347))))</f>
        <v>4</v>
      </c>
      <c r="AB347" s="7" t="str">
        <f aca="false">IF(AA347="","N/A",IF(Z347&lt;&gt;"Current","Not tested / overdue",INDEX('Residual Config'!$B$11:$B$14,AA347)))</f>
        <v>Not tested / overdue</v>
      </c>
      <c r="AC347" s="36" t="n">
        <f aca="false">IF(AA347="","",INDEX('Residual Config'!$D$11:$D$14,AA347))</f>
        <v>0</v>
      </c>
      <c r="AD347" s="7" t="str">
        <f aca="false">IF(OR(I347="N/A",P347="",Q347=""),"",IF(P347&gt;=Q347,"Yes","No"))</f>
        <v>Yes</v>
      </c>
      <c r="AE347" s="8"/>
    </row>
    <row r="348" customFormat="false" ht="15" hidden="false" customHeight="false" outlineLevel="0" collapsed="false">
      <c r="A348" s="12" t="s">
        <v>1579</v>
      </c>
      <c r="B348" s="26" t="str">
        <f aca="false">Entities!$A$12</f>
        <v>LB</v>
      </c>
      <c r="C348" s="12" t="str">
        <f aca="false">INDEX(Entities!$B$5:$B$34,MATCH(B348,Entities!$A$5:$A$34,0))</f>
        <v>Arab Bank – Lebanon</v>
      </c>
      <c r="D348" s="7" t="str">
        <f aca="false">INDEX(Entities!$F$5:$F$34,MATCH(B348,Entities!$A$5:$A$34,0))</f>
        <v>Tier 2</v>
      </c>
      <c r="E348" s="26" t="str">
        <f aca="false">'Control Library'!$A$47</f>
        <v>CTL-ST-01</v>
      </c>
      <c r="F348" s="12" t="str">
        <f aca="false">INDEX('Control Library'!$B$5:$B$47,MATCH(E348,'Control Library'!$A$5:$A$47,0))</f>
        <v>Strategy execution monitoring and E&amp;S screening of lending</v>
      </c>
      <c r="G348" s="7" t="str">
        <f aca="false">INDEX('Control Library'!$F$5:$F$47,MATCH(E348,'Control Library'!$A$5:$A$47,0))</f>
        <v>Y</v>
      </c>
      <c r="H348" s="12" t="str">
        <f aca="false">INDEX('Control Library'!$E$5:$E$47,MATCH(E348,'Control Library'!$A$5:$A$47,0))</f>
        <v>Quarterly</v>
      </c>
      <c r="I348" s="7" t="str">
        <f aca="false">IF(INDEX('Control Library'!$I$5:$I$47,MATCH(E348,'Control Library'!$A$5:$A$47,0))="All","Y",IF(INDEX('Control Library'!$I$5:$I$47,MATCH(E348,'Control Library'!$A$5:$A$47,0))="Banks only",IF(COUNTIF('Residual Config'!$L$28:$L$30,INDEX(Entities!$E$5:$E$34,MATCH(B348,Entities!$A$5:$A$34,0)))&gt;0,"N/A","Y"),IF(INDEX(Entities!$G$5:$G$34,MATCH(B348,Entities!$A$5:$A$34,0))="Y","Y","N/A")))</f>
        <v>Y</v>
      </c>
      <c r="J348" s="8" t="s">
        <v>1580</v>
      </c>
      <c r="K348" s="8" t="s">
        <v>1476</v>
      </c>
      <c r="L348" s="7" t="str">
        <f aca="false">IF(OR(J348="",K348=""),"",IF(J348=K348,"Breach","OK"))</f>
        <v>OK</v>
      </c>
      <c r="M348" s="24" t="n">
        <v>2</v>
      </c>
      <c r="N348" s="50" t="n">
        <v>46154</v>
      </c>
      <c r="O348" s="8" t="s">
        <v>545</v>
      </c>
      <c r="P348" s="24" t="n">
        <v>2</v>
      </c>
      <c r="Q348" s="31" t="n">
        <f aca="false">IF(I348="N/A","",IFERROR(INDEX('Residual Config'!$B$35:$B$42,MATCH(H348,'Residual Config'!$A$35:$A$42,0)),""))</f>
        <v>2</v>
      </c>
      <c r="R348" s="24" t="n">
        <v>1</v>
      </c>
      <c r="S348" s="8" t="s">
        <v>521</v>
      </c>
      <c r="T348" s="31" t="n">
        <f aca="false">IF(S348="","",MATCH(S348,'Residual Config'!$L$9:$L$12,0))</f>
        <v>2</v>
      </c>
      <c r="U348" s="8" t="s">
        <v>1581</v>
      </c>
      <c r="V348" s="24" t="n">
        <v>6</v>
      </c>
      <c r="W348" s="33" t="s">
        <v>533</v>
      </c>
      <c r="X348" s="8" t="s">
        <v>760</v>
      </c>
      <c r="Y348" s="51" t="n">
        <f aca="false">IF(N348="","",EDATE(N348,IF(G348="N",INDEX('Residual Config'!$B$31:$D$31,1,MATCH(D348,'Residual Config'!$B$27:$D$27,0)),INDEX('Residual Config'!$B$28:$D$30,IF(T348=1,1,IF(T348=4,3,2)),MATCH(D348,'Residual Config'!$B$27:$D$27,0)))))</f>
        <v>46338</v>
      </c>
      <c r="Z348" s="7" t="str">
        <f aca="false">IF(I348="N/A","N/A",IF(N348="","Not tested",IF(W348="Rejected","Evidence rejected",IF(W348&lt;&gt;"Accepted","Evidence pending",IF(Y348&lt;'Residual Config'!$C$4,"Overdue","Current")))))</f>
        <v>Current</v>
      </c>
      <c r="AA348" s="34" t="n">
        <f aca="false">IF(I348="N/A","",IF(Z348&lt;&gt;"Current",4,IF(MAX(M348,T348)=0,4,MAX(M348,T348))))</f>
        <v>2</v>
      </c>
      <c r="AB348" s="7" t="str">
        <f aca="false">IF(AA348="","N/A",IF(Z348&lt;&gt;"Current","Not tested / overdue",INDEX('Residual Config'!$B$11:$B$14,AA348)))</f>
        <v>Largely effective</v>
      </c>
      <c r="AC348" s="36" t="n">
        <f aca="false">IF(AA348="","",INDEX('Residual Config'!$D$11:$D$14,AA348))</f>
        <v>0.4</v>
      </c>
      <c r="AD348" s="7" t="str">
        <f aca="false">IF(OR(I348="N/A",P348="",Q348=""),"",IF(P348&gt;=Q348,"Yes","No"))</f>
        <v>Yes</v>
      </c>
      <c r="AE348" s="8"/>
    </row>
    <row r="349" customFormat="false" ht="15" hidden="false" customHeight="false" outlineLevel="0" collapsed="false">
      <c r="A349" s="12" t="s">
        <v>1582</v>
      </c>
      <c r="B349" s="26" t="str">
        <f aca="false">Entities!$A$13</f>
        <v>SY</v>
      </c>
      <c r="C349" s="12" t="str">
        <f aca="false">INDEX(Entities!$B$5:$B$34,MATCH(B349,Entities!$A$5:$A$34,0))</f>
        <v>Arab Bank – Syria</v>
      </c>
      <c r="D349" s="7" t="str">
        <f aca="false">INDEX(Entities!$F$5:$F$34,MATCH(B349,Entities!$A$5:$A$34,0))</f>
        <v>Tier 2</v>
      </c>
      <c r="E349" s="26" t="str">
        <f aca="false">'Control Library'!$A$5</f>
        <v>CTL-KYC-01</v>
      </c>
      <c r="F349" s="12" t="str">
        <f aca="false">INDEX('Control Library'!$B$5:$B$47,MATCH(E349,'Control Library'!$A$5:$A$47,0))</f>
        <v>Customer due diligence and ID verification at onboarding</v>
      </c>
      <c r="G349" s="7" t="str">
        <f aca="false">INDEX('Control Library'!$F$5:$F$47,MATCH(E349,'Control Library'!$A$5:$A$47,0))</f>
        <v>Y</v>
      </c>
      <c r="H349" s="12" t="str">
        <f aca="false">INDEX('Control Library'!$E$5:$E$47,MATCH(E349,'Control Library'!$A$5:$A$47,0))</f>
        <v>Event-driven</v>
      </c>
      <c r="I349" s="7" t="str">
        <f aca="false">IF(INDEX('Control Library'!$I$5:$I$47,MATCH(E349,'Control Library'!$A$5:$A$47,0))="All","Y",IF(INDEX('Control Library'!$I$5:$I$47,MATCH(E349,'Control Library'!$A$5:$A$47,0))="Banks only",IF(COUNTIF('Residual Config'!$L$28:$L$30,INDEX(Entities!$E$5:$E$34,MATCH(B349,Entities!$A$5:$A$34,0)))&gt;0,"N/A","Y"),IF(INDEX(Entities!$G$5:$G$34,MATCH(B349,Entities!$A$5:$A$34,0))="Y","Y","N/A")))</f>
        <v>Y</v>
      </c>
      <c r="J349" s="8" t="s">
        <v>1583</v>
      </c>
      <c r="K349" s="8" t="s">
        <v>1584</v>
      </c>
      <c r="L349" s="7" t="str">
        <f aca="false">IF(OR(J349="",K349=""),"",IF(J349=K349,"Breach","OK"))</f>
        <v>OK</v>
      </c>
      <c r="M349" s="24" t="n">
        <v>2</v>
      </c>
      <c r="N349" s="50" t="n">
        <v>46212</v>
      </c>
      <c r="O349" s="8" t="s">
        <v>546</v>
      </c>
      <c r="P349" s="24" t="n">
        <v>35</v>
      </c>
      <c r="Q349" s="31" t="n">
        <f aca="false">IF(I349="N/A","",IFERROR(INDEX('Residual Config'!$B$35:$B$42,MATCH(H349,'Residual Config'!$A$35:$A$42,0)),""))</f>
        <v>25</v>
      </c>
      <c r="R349" s="24" t="n">
        <v>1</v>
      </c>
      <c r="S349" s="8" t="s">
        <v>521</v>
      </c>
      <c r="T349" s="31" t="n">
        <f aca="false">IF(S349="","",MATCH(S349,'Residual Config'!$L$9:$L$12,0))</f>
        <v>2</v>
      </c>
      <c r="U349" s="8" t="s">
        <v>1585</v>
      </c>
      <c r="V349" s="24" t="n">
        <v>6</v>
      </c>
      <c r="W349" s="33" t="s">
        <v>533</v>
      </c>
      <c r="X349" s="8" t="s">
        <v>760</v>
      </c>
      <c r="Y349" s="51" t="n">
        <f aca="false">IF(N349="","",EDATE(N349,IF(G349="N",INDEX('Residual Config'!$B$31:$D$31,1,MATCH(D349,'Residual Config'!$B$27:$D$27,0)),INDEX('Residual Config'!$B$28:$D$30,IF(T349=1,1,IF(T349=4,3,2)),MATCH(D349,'Residual Config'!$B$27:$D$27,0)))))</f>
        <v>46396</v>
      </c>
      <c r="Z349" s="7" t="str">
        <f aca="false">IF(I349="N/A","N/A",IF(N349="","Not tested",IF(W349="Rejected","Evidence rejected",IF(W349&lt;&gt;"Accepted","Evidence pending",IF(Y349&lt;'Residual Config'!$C$4,"Overdue","Current")))))</f>
        <v>Current</v>
      </c>
      <c r="AA349" s="34" t="n">
        <f aca="false">IF(I349="N/A","",IF(Z349&lt;&gt;"Current",4,IF(MAX(M349,T349)=0,4,MAX(M349,T349))))</f>
        <v>2</v>
      </c>
      <c r="AB349" s="7" t="str">
        <f aca="false">IF(AA349="","N/A",IF(Z349&lt;&gt;"Current","Not tested / overdue",INDEX('Residual Config'!$B$11:$B$14,AA349)))</f>
        <v>Largely effective</v>
      </c>
      <c r="AC349" s="36" t="n">
        <f aca="false">IF(AA349="","",INDEX('Residual Config'!$D$11:$D$14,AA349))</f>
        <v>0.4</v>
      </c>
      <c r="AD349" s="7" t="str">
        <f aca="false">IF(OR(I349="N/A",P349="",Q349=""),"",IF(P349&gt;=Q349,"Yes","No"))</f>
        <v>Yes</v>
      </c>
      <c r="AE349" s="8"/>
    </row>
    <row r="350" customFormat="false" ht="15" hidden="false" customHeight="false" outlineLevel="0" collapsed="false">
      <c r="A350" s="12" t="s">
        <v>1586</v>
      </c>
      <c r="B350" s="26" t="str">
        <f aca="false">Entities!$A$13</f>
        <v>SY</v>
      </c>
      <c r="C350" s="12" t="str">
        <f aca="false">INDEX(Entities!$B$5:$B$34,MATCH(B350,Entities!$A$5:$A$34,0))</f>
        <v>Arab Bank – Syria</v>
      </c>
      <c r="D350" s="7" t="str">
        <f aca="false">INDEX(Entities!$F$5:$F$34,MATCH(B350,Entities!$A$5:$A$34,0))</f>
        <v>Tier 2</v>
      </c>
      <c r="E350" s="26" t="str">
        <f aca="false">'Control Library'!$A$6</f>
        <v>CTL-KYC-02</v>
      </c>
      <c r="F350" s="12" t="str">
        <f aca="false">INDEX('Control Library'!$B$5:$B$47,MATCH(E350,'Control Library'!$A$5:$A$47,0))</f>
        <v>Enhanced due diligence for high-risk customers and PEPs, senior approval</v>
      </c>
      <c r="G350" s="7" t="str">
        <f aca="false">INDEX('Control Library'!$F$5:$F$47,MATCH(E350,'Control Library'!$A$5:$A$47,0))</f>
        <v>Y</v>
      </c>
      <c r="H350" s="12" t="str">
        <f aca="false">INDEX('Control Library'!$E$5:$E$47,MATCH(E350,'Control Library'!$A$5:$A$47,0))</f>
        <v>Event-driven</v>
      </c>
      <c r="I350" s="7" t="str">
        <f aca="false">IF(INDEX('Control Library'!$I$5:$I$47,MATCH(E350,'Control Library'!$A$5:$A$47,0))="All","Y",IF(INDEX('Control Library'!$I$5:$I$47,MATCH(E350,'Control Library'!$A$5:$A$47,0))="Banks only",IF(COUNTIF('Residual Config'!$L$28:$L$30,INDEX(Entities!$E$5:$E$34,MATCH(B350,Entities!$A$5:$A$34,0)))&gt;0,"N/A","Y"),IF(INDEX(Entities!$G$5:$G$34,MATCH(B350,Entities!$A$5:$A$34,0))="Y","Y","N/A")))</f>
        <v>Y</v>
      </c>
      <c r="J350" s="8" t="s">
        <v>1587</v>
      </c>
      <c r="K350" s="8" t="s">
        <v>1584</v>
      </c>
      <c r="L350" s="7" t="str">
        <f aca="false">IF(OR(J350="",K350=""),"",IF(J350=K350,"Breach","OK"))</f>
        <v>OK</v>
      </c>
      <c r="M350" s="24" t="n">
        <v>2</v>
      </c>
      <c r="N350" s="50" t="n">
        <v>46200</v>
      </c>
      <c r="O350" s="8" t="s">
        <v>545</v>
      </c>
      <c r="P350" s="24" t="n">
        <v>35</v>
      </c>
      <c r="Q350" s="31" t="n">
        <f aca="false">IF(I350="N/A","",IFERROR(INDEX('Residual Config'!$B$35:$B$42,MATCH(H350,'Residual Config'!$A$35:$A$42,0)),""))</f>
        <v>25</v>
      </c>
      <c r="R350" s="24" t="n">
        <v>1</v>
      </c>
      <c r="S350" s="8" t="s">
        <v>521</v>
      </c>
      <c r="T350" s="31" t="n">
        <f aca="false">IF(S350="","",MATCH(S350,'Residual Config'!$L$9:$L$12,0))</f>
        <v>2</v>
      </c>
      <c r="U350" s="8" t="s">
        <v>1588</v>
      </c>
      <c r="V350" s="24" t="n">
        <v>5</v>
      </c>
      <c r="W350" s="33" t="s">
        <v>533</v>
      </c>
      <c r="X350" s="8" t="s">
        <v>760</v>
      </c>
      <c r="Y350" s="51" t="n">
        <f aca="false">IF(N350="","",EDATE(N350,IF(G350="N",INDEX('Residual Config'!$B$31:$D$31,1,MATCH(D350,'Residual Config'!$B$27:$D$27,0)),INDEX('Residual Config'!$B$28:$D$30,IF(T350=1,1,IF(T350=4,3,2)),MATCH(D350,'Residual Config'!$B$27:$D$27,0)))))</f>
        <v>46383</v>
      </c>
      <c r="Z350" s="7" t="str">
        <f aca="false">IF(I350="N/A","N/A",IF(N350="","Not tested",IF(W350="Rejected","Evidence rejected",IF(W350&lt;&gt;"Accepted","Evidence pending",IF(Y350&lt;'Residual Config'!$C$4,"Overdue","Current")))))</f>
        <v>Current</v>
      </c>
      <c r="AA350" s="34" t="n">
        <f aca="false">IF(I350="N/A","",IF(Z350&lt;&gt;"Current",4,IF(MAX(M350,T350)=0,4,MAX(M350,T350))))</f>
        <v>2</v>
      </c>
      <c r="AB350" s="7" t="str">
        <f aca="false">IF(AA350="","N/A",IF(Z350&lt;&gt;"Current","Not tested / overdue",INDEX('Residual Config'!$B$11:$B$14,AA350)))</f>
        <v>Largely effective</v>
      </c>
      <c r="AC350" s="36" t="n">
        <f aca="false">IF(AA350="","",INDEX('Residual Config'!$D$11:$D$14,AA350))</f>
        <v>0.4</v>
      </c>
      <c r="AD350" s="7" t="str">
        <f aca="false">IF(OR(I350="N/A",P350="",Q350=""),"",IF(P350&gt;=Q350,"Yes","No"))</f>
        <v>Yes</v>
      </c>
      <c r="AE350" s="8"/>
    </row>
    <row r="351" customFormat="false" ht="15" hidden="false" customHeight="false" outlineLevel="0" collapsed="false">
      <c r="A351" s="12" t="s">
        <v>1589</v>
      </c>
      <c r="B351" s="26" t="str">
        <f aca="false">Entities!$A$13</f>
        <v>SY</v>
      </c>
      <c r="C351" s="12" t="str">
        <f aca="false">INDEX(Entities!$B$5:$B$34,MATCH(B351,Entities!$A$5:$A$34,0))</f>
        <v>Arab Bank – Syria</v>
      </c>
      <c r="D351" s="7" t="str">
        <f aca="false">INDEX(Entities!$F$5:$F$34,MATCH(B351,Entities!$A$5:$A$34,0))</f>
        <v>Tier 2</v>
      </c>
      <c r="E351" s="26" t="str">
        <f aca="false">'Control Library'!$A$7</f>
        <v>CTL-KYC-03</v>
      </c>
      <c r="F351" s="12" t="str">
        <f aca="false">INDEX('Control Library'!$B$5:$B$47,MATCH(E351,'Control Library'!$A$5:$A$47,0))</f>
        <v>Ultimate beneficial owner identification and verification</v>
      </c>
      <c r="G351" s="7" t="str">
        <f aca="false">INDEX('Control Library'!$F$5:$F$47,MATCH(E351,'Control Library'!$A$5:$A$47,0))</f>
        <v>Y</v>
      </c>
      <c r="H351" s="12" t="str">
        <f aca="false">INDEX('Control Library'!$E$5:$E$47,MATCH(E351,'Control Library'!$A$5:$A$47,0))</f>
        <v>Event-driven</v>
      </c>
      <c r="I351" s="7" t="str">
        <f aca="false">IF(INDEX('Control Library'!$I$5:$I$47,MATCH(E351,'Control Library'!$A$5:$A$47,0))="All","Y",IF(INDEX('Control Library'!$I$5:$I$47,MATCH(E351,'Control Library'!$A$5:$A$47,0))="Banks only",IF(COUNTIF('Residual Config'!$L$28:$L$30,INDEX(Entities!$E$5:$E$34,MATCH(B351,Entities!$A$5:$A$34,0)))&gt;0,"N/A","Y"),IF(INDEX(Entities!$G$5:$G$34,MATCH(B351,Entities!$A$5:$A$34,0))="Y","Y","N/A")))</f>
        <v>Y</v>
      </c>
      <c r="J351" s="8" t="s">
        <v>1583</v>
      </c>
      <c r="K351" s="8" t="s">
        <v>1584</v>
      </c>
      <c r="L351" s="7" t="str">
        <f aca="false">IF(OR(J351="",K351=""),"",IF(J351=K351,"Breach","OK"))</f>
        <v>OK</v>
      </c>
      <c r="M351" s="24" t="n">
        <v>2</v>
      </c>
      <c r="N351" s="50" t="n">
        <v>46252</v>
      </c>
      <c r="O351" s="8" t="s">
        <v>545</v>
      </c>
      <c r="P351" s="24" t="n">
        <v>25</v>
      </c>
      <c r="Q351" s="31" t="n">
        <f aca="false">IF(I351="N/A","",IFERROR(INDEX('Residual Config'!$B$35:$B$42,MATCH(H351,'Residual Config'!$A$35:$A$42,0)),""))</f>
        <v>25</v>
      </c>
      <c r="R351" s="24" t="n">
        <v>1</v>
      </c>
      <c r="S351" s="8" t="s">
        <v>521</v>
      </c>
      <c r="T351" s="31" t="n">
        <f aca="false">IF(S351="","",MATCH(S351,'Residual Config'!$L$9:$L$12,0))</f>
        <v>2</v>
      </c>
      <c r="U351" s="8" t="s">
        <v>1590</v>
      </c>
      <c r="V351" s="24" t="n">
        <v>1</v>
      </c>
      <c r="W351" s="33" t="s">
        <v>533</v>
      </c>
      <c r="X351" s="8" t="s">
        <v>754</v>
      </c>
      <c r="Y351" s="51" t="n">
        <f aca="false">IF(N351="","",EDATE(N351,IF(G351="N",INDEX('Residual Config'!$B$31:$D$31,1,MATCH(D351,'Residual Config'!$B$27:$D$27,0)),INDEX('Residual Config'!$B$28:$D$30,IF(T351=1,1,IF(T351=4,3,2)),MATCH(D351,'Residual Config'!$B$27:$D$27,0)))))</f>
        <v>46436</v>
      </c>
      <c r="Z351" s="7" t="str">
        <f aca="false">IF(I351="N/A","N/A",IF(N351="","Not tested",IF(W351="Rejected","Evidence rejected",IF(W351&lt;&gt;"Accepted","Evidence pending",IF(Y351&lt;'Residual Config'!$C$4,"Overdue","Current")))))</f>
        <v>Current</v>
      </c>
      <c r="AA351" s="34" t="n">
        <f aca="false">IF(I351="N/A","",IF(Z351&lt;&gt;"Current",4,IF(MAX(M351,T351)=0,4,MAX(M351,T351))))</f>
        <v>2</v>
      </c>
      <c r="AB351" s="7" t="str">
        <f aca="false">IF(AA351="","N/A",IF(Z351&lt;&gt;"Current","Not tested / overdue",INDEX('Residual Config'!$B$11:$B$14,AA351)))</f>
        <v>Largely effective</v>
      </c>
      <c r="AC351" s="36" t="n">
        <f aca="false">IF(AA351="","",INDEX('Residual Config'!$D$11:$D$14,AA351))</f>
        <v>0.4</v>
      </c>
      <c r="AD351" s="7" t="str">
        <f aca="false">IF(OR(I351="N/A",P351="",Q351=""),"",IF(P351&gt;=Q351,"Yes","No"))</f>
        <v>Yes</v>
      </c>
      <c r="AE351" s="8"/>
    </row>
    <row r="352" customFormat="false" ht="15" hidden="false" customHeight="false" outlineLevel="0" collapsed="false">
      <c r="A352" s="12" t="s">
        <v>1591</v>
      </c>
      <c r="B352" s="26" t="str">
        <f aca="false">Entities!$A$13</f>
        <v>SY</v>
      </c>
      <c r="C352" s="12" t="str">
        <f aca="false">INDEX(Entities!$B$5:$B$34,MATCH(B352,Entities!$A$5:$A$34,0))</f>
        <v>Arab Bank – Syria</v>
      </c>
      <c r="D352" s="7" t="str">
        <f aca="false">INDEX(Entities!$F$5:$F$34,MATCH(B352,Entities!$A$5:$A$34,0))</f>
        <v>Tier 2</v>
      </c>
      <c r="E352" s="26" t="str">
        <f aca="false">'Control Library'!$A$8</f>
        <v>CTL-KYC-04</v>
      </c>
      <c r="F352" s="12" t="str">
        <f aca="false">INDEX('Control Library'!$B$5:$B$47,MATCH(E352,'Control Library'!$A$5:$A$47,0))</f>
        <v>Periodic KYC review by customer risk rating</v>
      </c>
      <c r="G352" s="7" t="str">
        <f aca="false">INDEX('Control Library'!$F$5:$F$47,MATCH(E352,'Control Library'!$A$5:$A$47,0))</f>
        <v>Y</v>
      </c>
      <c r="H352" s="12" t="str">
        <f aca="false">INDEX('Control Library'!$E$5:$E$47,MATCH(E352,'Control Library'!$A$5:$A$47,0))</f>
        <v>Monthly</v>
      </c>
      <c r="I352" s="7" t="str">
        <f aca="false">IF(INDEX('Control Library'!$I$5:$I$47,MATCH(E352,'Control Library'!$A$5:$A$47,0))="All","Y",IF(INDEX('Control Library'!$I$5:$I$47,MATCH(E352,'Control Library'!$A$5:$A$47,0))="Banks only",IF(COUNTIF('Residual Config'!$L$28:$L$30,INDEX(Entities!$E$5:$E$34,MATCH(B352,Entities!$A$5:$A$34,0)))&gt;0,"N/A","Y"),IF(INDEX(Entities!$G$5:$G$34,MATCH(B352,Entities!$A$5:$A$34,0))="Y","Y","N/A")))</f>
        <v>Y</v>
      </c>
      <c r="J352" s="8" t="s">
        <v>1583</v>
      </c>
      <c r="K352" s="8" t="s">
        <v>1584</v>
      </c>
      <c r="L352" s="7" t="str">
        <f aca="false">IF(OR(J352="",K352=""),"",IF(J352=K352,"Breach","OK"))</f>
        <v>OK</v>
      </c>
      <c r="M352" s="24" t="n">
        <v>2</v>
      </c>
      <c r="N352" s="50" t="n">
        <v>46157</v>
      </c>
      <c r="O352" s="8" t="s">
        <v>545</v>
      </c>
      <c r="P352" s="24" t="n">
        <v>3</v>
      </c>
      <c r="Q352" s="31" t="n">
        <f aca="false">IF(I352="N/A","",IFERROR(INDEX('Residual Config'!$B$35:$B$42,MATCH(H352,'Residual Config'!$A$35:$A$42,0)),""))</f>
        <v>3</v>
      </c>
      <c r="R352" s="24" t="n">
        <v>1</v>
      </c>
      <c r="S352" s="8" t="s">
        <v>521</v>
      </c>
      <c r="T352" s="31" t="n">
        <f aca="false">IF(S352="","",MATCH(S352,'Residual Config'!$L$9:$L$12,0))</f>
        <v>2</v>
      </c>
      <c r="U352" s="8" t="s">
        <v>1592</v>
      </c>
      <c r="V352" s="24" t="n">
        <v>6</v>
      </c>
      <c r="W352" s="33" t="s">
        <v>533</v>
      </c>
      <c r="X352" s="8" t="s">
        <v>754</v>
      </c>
      <c r="Y352" s="51" t="n">
        <f aca="false">IF(N352="","",EDATE(N352,IF(G352="N",INDEX('Residual Config'!$B$31:$D$31,1,MATCH(D352,'Residual Config'!$B$27:$D$27,0)),INDEX('Residual Config'!$B$28:$D$30,IF(T352=1,1,IF(T352=4,3,2)),MATCH(D352,'Residual Config'!$B$27:$D$27,0)))))</f>
        <v>46341</v>
      </c>
      <c r="Z352" s="7" t="str">
        <f aca="false">IF(I352="N/A","N/A",IF(N352="","Not tested",IF(W352="Rejected","Evidence rejected",IF(W352&lt;&gt;"Accepted","Evidence pending",IF(Y352&lt;'Residual Config'!$C$4,"Overdue","Current")))))</f>
        <v>Current</v>
      </c>
      <c r="AA352" s="34" t="n">
        <f aca="false">IF(I352="N/A","",IF(Z352&lt;&gt;"Current",4,IF(MAX(M352,T352)=0,4,MAX(M352,T352))))</f>
        <v>2</v>
      </c>
      <c r="AB352" s="7" t="str">
        <f aca="false">IF(AA352="","N/A",IF(Z352&lt;&gt;"Current","Not tested / overdue",INDEX('Residual Config'!$B$11:$B$14,AA352)))</f>
        <v>Largely effective</v>
      </c>
      <c r="AC352" s="36" t="n">
        <f aca="false">IF(AA352="","",INDEX('Residual Config'!$D$11:$D$14,AA352))</f>
        <v>0.4</v>
      </c>
      <c r="AD352" s="7" t="str">
        <f aca="false">IF(OR(I352="N/A",P352="",Q352=""),"",IF(P352&gt;=Q352,"Yes","No"))</f>
        <v>Yes</v>
      </c>
      <c r="AE352" s="8"/>
    </row>
    <row r="353" customFormat="false" ht="15" hidden="false" customHeight="false" outlineLevel="0" collapsed="false">
      <c r="A353" s="12" t="s">
        <v>1593</v>
      </c>
      <c r="B353" s="26" t="str">
        <f aca="false">Entities!$A$13</f>
        <v>SY</v>
      </c>
      <c r="C353" s="12" t="str">
        <f aca="false">INDEX(Entities!$B$5:$B$34,MATCH(B353,Entities!$A$5:$A$34,0))</f>
        <v>Arab Bank – Syria</v>
      </c>
      <c r="D353" s="7" t="str">
        <f aca="false">INDEX(Entities!$F$5:$F$34,MATCH(B353,Entities!$A$5:$A$34,0))</f>
        <v>Tier 2</v>
      </c>
      <c r="E353" s="26" t="str">
        <f aca="false">'Control Library'!$A$9</f>
        <v>CTL-CRR-01</v>
      </c>
      <c r="F353" s="12" t="str">
        <f aca="false">INDEX('Control Library'!$B$5:$B$47,MATCH(E353,'Control Library'!$A$5:$A$47,0))</f>
        <v>Customer risk rating model and annual validation</v>
      </c>
      <c r="G353" s="7" t="str">
        <f aca="false">INDEX('Control Library'!$F$5:$F$47,MATCH(E353,'Control Library'!$A$5:$A$47,0))</f>
        <v>N</v>
      </c>
      <c r="H353" s="12" t="str">
        <f aca="false">INDEX('Control Library'!$E$5:$E$47,MATCH(E353,'Control Library'!$A$5:$A$47,0))</f>
        <v>Annual</v>
      </c>
      <c r="I353" s="7" t="str">
        <f aca="false">IF(INDEX('Control Library'!$I$5:$I$47,MATCH(E353,'Control Library'!$A$5:$A$47,0))="All","Y",IF(INDEX('Control Library'!$I$5:$I$47,MATCH(E353,'Control Library'!$A$5:$A$47,0))="Banks only",IF(COUNTIF('Residual Config'!$L$28:$L$30,INDEX(Entities!$E$5:$E$34,MATCH(B353,Entities!$A$5:$A$34,0)))&gt;0,"N/A","Y"),IF(INDEX(Entities!$G$5:$G$34,MATCH(B353,Entities!$A$5:$A$34,0))="Y","Y","N/A")))</f>
        <v>Y</v>
      </c>
      <c r="J353" s="8" t="s">
        <v>1587</v>
      </c>
      <c r="K353" s="8" t="s">
        <v>1584</v>
      </c>
      <c r="L353" s="7" t="str">
        <f aca="false">IF(OR(J353="",K353=""),"",IF(J353=K353,"Breach","OK"))</f>
        <v>OK</v>
      </c>
      <c r="M353" s="24" t="n">
        <v>2</v>
      </c>
      <c r="N353" s="50" t="n">
        <v>45959</v>
      </c>
      <c r="O353" s="8" t="s">
        <v>547</v>
      </c>
      <c r="P353" s="24" t="n">
        <v>1</v>
      </c>
      <c r="Q353" s="31" t="n">
        <f aca="false">IF(I353="N/A","",IFERROR(INDEX('Residual Config'!$B$35:$B$42,MATCH(H353,'Residual Config'!$A$35:$A$42,0)),""))</f>
        <v>1</v>
      </c>
      <c r="R353" s="24" t="n">
        <v>1</v>
      </c>
      <c r="S353" s="8" t="s">
        <v>521</v>
      </c>
      <c r="T353" s="31" t="n">
        <f aca="false">IF(S353="","",MATCH(S353,'Residual Config'!$L$9:$L$12,0))</f>
        <v>2</v>
      </c>
      <c r="U353" s="8" t="s">
        <v>1594</v>
      </c>
      <c r="V353" s="24" t="n">
        <v>4</v>
      </c>
      <c r="W353" s="33" t="s">
        <v>533</v>
      </c>
      <c r="X353" s="8" t="s">
        <v>754</v>
      </c>
      <c r="Y353" s="51" t="n">
        <f aca="false">IF(N353="","",EDATE(N353,IF(G353="N",INDEX('Residual Config'!$B$31:$D$31,1,MATCH(D353,'Residual Config'!$B$27:$D$27,0)),INDEX('Residual Config'!$B$28:$D$30,IF(T353=1,1,IF(T353=4,3,2)),MATCH(D353,'Residual Config'!$B$27:$D$27,0)))))</f>
        <v>46324</v>
      </c>
      <c r="Z353" s="7" t="str">
        <f aca="false">IF(I353="N/A","N/A",IF(N353="","Not tested",IF(W353="Rejected","Evidence rejected",IF(W353&lt;&gt;"Accepted","Evidence pending",IF(Y353&lt;'Residual Config'!$C$4,"Overdue","Current")))))</f>
        <v>Current</v>
      </c>
      <c r="AA353" s="34" t="n">
        <f aca="false">IF(I353="N/A","",IF(Z353&lt;&gt;"Current",4,IF(MAX(M353,T353)=0,4,MAX(M353,T353))))</f>
        <v>2</v>
      </c>
      <c r="AB353" s="7" t="str">
        <f aca="false">IF(AA353="","N/A",IF(Z353&lt;&gt;"Current","Not tested / overdue",INDEX('Residual Config'!$B$11:$B$14,AA353)))</f>
        <v>Largely effective</v>
      </c>
      <c r="AC353" s="36" t="n">
        <f aca="false">IF(AA353="","",INDEX('Residual Config'!$D$11:$D$14,AA353))</f>
        <v>0.4</v>
      </c>
      <c r="AD353" s="7" t="str">
        <f aca="false">IF(OR(I353="N/A",P353="",Q353=""),"",IF(P353&gt;=Q353,"Yes","No"))</f>
        <v>Yes</v>
      </c>
      <c r="AE353" s="8"/>
    </row>
    <row r="354" customFormat="false" ht="15" hidden="false" customHeight="false" outlineLevel="0" collapsed="false">
      <c r="A354" s="12" t="s">
        <v>1595</v>
      </c>
      <c r="B354" s="26" t="str">
        <f aca="false">Entities!$A$13</f>
        <v>SY</v>
      </c>
      <c r="C354" s="12" t="str">
        <f aca="false">INDEX(Entities!$B$5:$B$34,MATCH(B354,Entities!$A$5:$A$34,0))</f>
        <v>Arab Bank – Syria</v>
      </c>
      <c r="D354" s="7" t="str">
        <f aca="false">INDEX(Entities!$F$5:$F$34,MATCH(B354,Entities!$A$5:$A$34,0))</f>
        <v>Tier 2</v>
      </c>
      <c r="E354" s="26" t="str">
        <f aca="false">'Control Library'!$A$10</f>
        <v>CTL-TM-01</v>
      </c>
      <c r="F354" s="12" t="str">
        <f aca="false">INDEX('Control Library'!$B$5:$B$47,MATCH(E354,'Control Library'!$A$5:$A$47,0))</f>
        <v>Automated transaction monitoring scenarios and annual tuning</v>
      </c>
      <c r="G354" s="7" t="str">
        <f aca="false">INDEX('Control Library'!$F$5:$F$47,MATCH(E354,'Control Library'!$A$5:$A$47,0))</f>
        <v>Y</v>
      </c>
      <c r="H354" s="12" t="str">
        <f aca="false">INDEX('Control Library'!$E$5:$E$47,MATCH(E354,'Control Library'!$A$5:$A$47,0))</f>
        <v>Continuous</v>
      </c>
      <c r="I354" s="7" t="str">
        <f aca="false">IF(INDEX('Control Library'!$I$5:$I$47,MATCH(E354,'Control Library'!$A$5:$A$47,0))="All","Y",IF(INDEX('Control Library'!$I$5:$I$47,MATCH(E354,'Control Library'!$A$5:$A$47,0))="Banks only",IF(COUNTIF('Residual Config'!$L$28:$L$30,INDEX(Entities!$E$5:$E$34,MATCH(B354,Entities!$A$5:$A$34,0)))&gt;0,"N/A","Y"),IF(INDEX(Entities!$G$5:$G$34,MATCH(B354,Entities!$A$5:$A$34,0))="Y","Y","N/A")))</f>
        <v>Y</v>
      </c>
      <c r="J354" s="8" t="s">
        <v>1596</v>
      </c>
      <c r="K354" s="8" t="s">
        <v>1584</v>
      </c>
      <c r="L354" s="7" t="str">
        <f aca="false">IF(OR(J354="",K354=""),"",IF(J354=K354,"Breach","OK"))</f>
        <v>OK</v>
      </c>
      <c r="M354" s="24" t="n">
        <v>2</v>
      </c>
      <c r="N354" s="50" t="n">
        <v>46246</v>
      </c>
      <c r="O354" s="8" t="s">
        <v>546</v>
      </c>
      <c r="P354" s="24" t="n">
        <v>1</v>
      </c>
      <c r="Q354" s="31" t="n">
        <f aca="false">IF(I354="N/A","",IFERROR(INDEX('Residual Config'!$B$35:$B$42,MATCH(H354,'Residual Config'!$A$35:$A$42,0)),""))</f>
        <v>1</v>
      </c>
      <c r="R354" s="24" t="n">
        <v>1</v>
      </c>
      <c r="S354" s="8" t="s">
        <v>521</v>
      </c>
      <c r="T354" s="31" t="n">
        <f aca="false">IF(S354="","",MATCH(S354,'Residual Config'!$L$9:$L$12,0))</f>
        <v>2</v>
      </c>
      <c r="U354" s="8" t="s">
        <v>1597</v>
      </c>
      <c r="V354" s="24" t="n">
        <v>2</v>
      </c>
      <c r="W354" s="33" t="s">
        <v>533</v>
      </c>
      <c r="X354" s="8" t="s">
        <v>754</v>
      </c>
      <c r="Y354" s="51" t="n">
        <f aca="false">IF(N354="","",EDATE(N354,IF(G354="N",INDEX('Residual Config'!$B$31:$D$31,1,MATCH(D354,'Residual Config'!$B$27:$D$27,0)),INDEX('Residual Config'!$B$28:$D$30,IF(T354=1,1,IF(T354=4,3,2)),MATCH(D354,'Residual Config'!$B$27:$D$27,0)))))</f>
        <v>46430</v>
      </c>
      <c r="Z354" s="7" t="str">
        <f aca="false">IF(I354="N/A","N/A",IF(N354="","Not tested",IF(W354="Rejected","Evidence rejected",IF(W354&lt;&gt;"Accepted","Evidence pending",IF(Y354&lt;'Residual Config'!$C$4,"Overdue","Current")))))</f>
        <v>Current</v>
      </c>
      <c r="AA354" s="34" t="n">
        <f aca="false">IF(I354="N/A","",IF(Z354&lt;&gt;"Current",4,IF(MAX(M354,T354)=0,4,MAX(M354,T354))))</f>
        <v>2</v>
      </c>
      <c r="AB354" s="7" t="str">
        <f aca="false">IF(AA354="","N/A",IF(Z354&lt;&gt;"Current","Not tested / overdue",INDEX('Residual Config'!$B$11:$B$14,AA354)))</f>
        <v>Largely effective</v>
      </c>
      <c r="AC354" s="36" t="n">
        <f aca="false">IF(AA354="","",INDEX('Residual Config'!$D$11:$D$14,AA354))</f>
        <v>0.4</v>
      </c>
      <c r="AD354" s="7" t="str">
        <f aca="false">IF(OR(I354="N/A",P354="",Q354=""),"",IF(P354&gt;=Q354,"Yes","No"))</f>
        <v>Yes</v>
      </c>
      <c r="AE354" s="8"/>
    </row>
    <row r="355" customFormat="false" ht="15" hidden="false" customHeight="false" outlineLevel="0" collapsed="false">
      <c r="A355" s="12" t="s">
        <v>1598</v>
      </c>
      <c r="B355" s="26" t="str">
        <f aca="false">Entities!$A$13</f>
        <v>SY</v>
      </c>
      <c r="C355" s="12" t="str">
        <f aca="false">INDEX(Entities!$B$5:$B$34,MATCH(B355,Entities!$A$5:$A$34,0))</f>
        <v>Arab Bank – Syria</v>
      </c>
      <c r="D355" s="7" t="str">
        <f aca="false">INDEX(Entities!$F$5:$F$34,MATCH(B355,Entities!$A$5:$A$34,0))</f>
        <v>Tier 2</v>
      </c>
      <c r="E355" s="26" t="str">
        <f aca="false">'Control Library'!$A$11</f>
        <v>CTL-TM-02</v>
      </c>
      <c r="F355" s="12" t="str">
        <f aca="false">INDEX('Control Library'!$B$5:$B$47,MATCH(E355,'Control Library'!$A$5:$A$47,0))</f>
        <v>Alert investigation and quality assurance within SLA</v>
      </c>
      <c r="G355" s="7" t="str">
        <f aca="false">INDEX('Control Library'!$F$5:$F$47,MATCH(E355,'Control Library'!$A$5:$A$47,0))</f>
        <v>Y</v>
      </c>
      <c r="H355" s="12" t="str">
        <f aca="false">INDEX('Control Library'!$E$5:$E$47,MATCH(E355,'Control Library'!$A$5:$A$47,0))</f>
        <v>Daily</v>
      </c>
      <c r="I355" s="7" t="str">
        <f aca="false">IF(INDEX('Control Library'!$I$5:$I$47,MATCH(E355,'Control Library'!$A$5:$A$47,0))="All","Y",IF(INDEX('Control Library'!$I$5:$I$47,MATCH(E355,'Control Library'!$A$5:$A$47,0))="Banks only",IF(COUNTIF('Residual Config'!$L$28:$L$30,INDEX(Entities!$E$5:$E$34,MATCH(B355,Entities!$A$5:$A$34,0)))&gt;0,"N/A","Y"),IF(INDEX(Entities!$G$5:$G$34,MATCH(B355,Entities!$A$5:$A$34,0))="Y","Y","N/A")))</f>
        <v>Y</v>
      </c>
      <c r="J355" s="8" t="s">
        <v>1596</v>
      </c>
      <c r="K355" s="8" t="s">
        <v>1584</v>
      </c>
      <c r="L355" s="7" t="str">
        <f aca="false">IF(OR(J355="",K355=""),"",IF(J355=K355,"Breach","OK"))</f>
        <v>OK</v>
      </c>
      <c r="M355" s="24" t="n">
        <v>3</v>
      </c>
      <c r="N355" s="50" t="n">
        <v>46156</v>
      </c>
      <c r="O355" s="8" t="s">
        <v>545</v>
      </c>
      <c r="P355" s="24" t="n">
        <v>30</v>
      </c>
      <c r="Q355" s="31" t="n">
        <f aca="false">IF(I355="N/A","",IFERROR(INDEX('Residual Config'!$B$35:$B$42,MATCH(H355,'Residual Config'!$A$35:$A$42,0)),""))</f>
        <v>25</v>
      </c>
      <c r="R355" s="24" t="n">
        <v>0</v>
      </c>
      <c r="S355" s="8" t="s">
        <v>516</v>
      </c>
      <c r="T355" s="31" t="n">
        <f aca="false">IF(S355="","",MATCH(S355,'Residual Config'!$L$9:$L$12,0))</f>
        <v>1</v>
      </c>
      <c r="U355" s="8" t="s">
        <v>1599</v>
      </c>
      <c r="V355" s="24" t="n">
        <v>6</v>
      </c>
      <c r="W355" s="33" t="s">
        <v>533</v>
      </c>
      <c r="X355" s="8" t="s">
        <v>760</v>
      </c>
      <c r="Y355" s="51" t="n">
        <f aca="false">IF(N355="","",EDATE(N355,IF(G355="N",INDEX('Residual Config'!$B$31:$D$31,1,MATCH(D355,'Residual Config'!$B$27:$D$27,0)),INDEX('Residual Config'!$B$28:$D$30,IF(T355=1,1,IF(T355=4,3,2)),MATCH(D355,'Residual Config'!$B$27:$D$27,0)))))</f>
        <v>46521</v>
      </c>
      <c r="Z355" s="7" t="str">
        <f aca="false">IF(I355="N/A","N/A",IF(N355="","Not tested",IF(W355="Rejected","Evidence rejected",IF(W355&lt;&gt;"Accepted","Evidence pending",IF(Y355&lt;'Residual Config'!$C$4,"Overdue","Current")))))</f>
        <v>Current</v>
      </c>
      <c r="AA355" s="34" t="n">
        <f aca="false">IF(I355="N/A","",IF(Z355&lt;&gt;"Current",4,IF(MAX(M355,T355)=0,4,MAX(M355,T355))))</f>
        <v>3</v>
      </c>
      <c r="AB355" s="7" t="str">
        <f aca="false">IF(AA355="","N/A",IF(Z355&lt;&gt;"Current","Not tested / overdue",INDEX('Residual Config'!$B$11:$B$14,AA355)))</f>
        <v>Partially effective</v>
      </c>
      <c r="AC355" s="36" t="n">
        <f aca="false">IF(AA355="","",INDEX('Residual Config'!$D$11:$D$14,AA355))</f>
        <v>0.2</v>
      </c>
      <c r="AD355" s="7" t="str">
        <f aca="false">IF(OR(I355="N/A",P355="",Q355=""),"",IF(P355&gt;=Q355,"Yes","No"))</f>
        <v>Yes</v>
      </c>
      <c r="AE355" s="8"/>
    </row>
    <row r="356" customFormat="false" ht="15" hidden="false" customHeight="false" outlineLevel="0" collapsed="false">
      <c r="A356" s="12" t="s">
        <v>1600</v>
      </c>
      <c r="B356" s="26" t="str">
        <f aca="false">Entities!$A$13</f>
        <v>SY</v>
      </c>
      <c r="C356" s="12" t="str">
        <f aca="false">INDEX(Entities!$B$5:$B$34,MATCH(B356,Entities!$A$5:$A$34,0))</f>
        <v>Arab Bank – Syria</v>
      </c>
      <c r="D356" s="7" t="str">
        <f aca="false">INDEX(Entities!$F$5:$F$34,MATCH(B356,Entities!$A$5:$A$34,0))</f>
        <v>Tier 2</v>
      </c>
      <c r="E356" s="26" t="str">
        <f aca="false">'Control Library'!$A$12</f>
        <v>CTL-STR-01</v>
      </c>
      <c r="F356" s="12" t="str">
        <f aca="false">INDEX('Control Library'!$B$5:$B$47,MATCH(E356,'Control Library'!$A$5:$A$47,0))</f>
        <v>STR decision and filing within regulatory deadline</v>
      </c>
      <c r="G356" s="7" t="str">
        <f aca="false">INDEX('Control Library'!$F$5:$F$47,MATCH(E356,'Control Library'!$A$5:$A$47,0))</f>
        <v>Y</v>
      </c>
      <c r="H356" s="12" t="str">
        <f aca="false">INDEX('Control Library'!$E$5:$E$47,MATCH(E356,'Control Library'!$A$5:$A$47,0))</f>
        <v>Event-driven</v>
      </c>
      <c r="I356" s="7" t="str">
        <f aca="false">IF(INDEX('Control Library'!$I$5:$I$47,MATCH(E356,'Control Library'!$A$5:$A$47,0))="All","Y",IF(INDEX('Control Library'!$I$5:$I$47,MATCH(E356,'Control Library'!$A$5:$A$47,0))="Banks only",IF(COUNTIF('Residual Config'!$L$28:$L$30,INDEX(Entities!$E$5:$E$34,MATCH(B356,Entities!$A$5:$A$34,0)))&gt;0,"N/A","Y"),IF(INDEX(Entities!$G$5:$G$34,MATCH(B356,Entities!$A$5:$A$34,0))="Y","Y","N/A")))</f>
        <v>Y</v>
      </c>
      <c r="J356" s="8" t="s">
        <v>1596</v>
      </c>
      <c r="K356" s="8" t="s">
        <v>1584</v>
      </c>
      <c r="L356" s="7" t="str">
        <f aca="false">IF(OR(J356="",K356=""),"",IF(J356=K356,"Breach","OK"))</f>
        <v>OK</v>
      </c>
      <c r="M356" s="24" t="n">
        <v>2</v>
      </c>
      <c r="N356" s="50" t="n">
        <v>46187</v>
      </c>
      <c r="O356" s="8" t="s">
        <v>546</v>
      </c>
      <c r="P356" s="24" t="n">
        <v>25</v>
      </c>
      <c r="Q356" s="31" t="n">
        <f aca="false">IF(I356="N/A","",IFERROR(INDEX('Residual Config'!$B$35:$B$42,MATCH(H356,'Residual Config'!$A$35:$A$42,0)),""))</f>
        <v>25</v>
      </c>
      <c r="R356" s="24" t="n">
        <v>1</v>
      </c>
      <c r="S356" s="8" t="s">
        <v>521</v>
      </c>
      <c r="T356" s="31" t="n">
        <f aca="false">IF(S356="","",MATCH(S356,'Residual Config'!$L$9:$L$12,0))</f>
        <v>2</v>
      </c>
      <c r="U356" s="8" t="s">
        <v>1601</v>
      </c>
      <c r="V356" s="24" t="n">
        <v>2</v>
      </c>
      <c r="W356" s="33" t="s">
        <v>533</v>
      </c>
      <c r="X356" s="8" t="s">
        <v>760</v>
      </c>
      <c r="Y356" s="51" t="n">
        <f aca="false">IF(N356="","",EDATE(N356,IF(G356="N",INDEX('Residual Config'!$B$31:$D$31,1,MATCH(D356,'Residual Config'!$B$27:$D$27,0)),INDEX('Residual Config'!$B$28:$D$30,IF(T356=1,1,IF(T356=4,3,2)),MATCH(D356,'Residual Config'!$B$27:$D$27,0)))))</f>
        <v>46370</v>
      </c>
      <c r="Z356" s="7" t="str">
        <f aca="false">IF(I356="N/A","N/A",IF(N356="","Not tested",IF(W356="Rejected","Evidence rejected",IF(W356&lt;&gt;"Accepted","Evidence pending",IF(Y356&lt;'Residual Config'!$C$4,"Overdue","Current")))))</f>
        <v>Current</v>
      </c>
      <c r="AA356" s="34" t="n">
        <f aca="false">IF(I356="N/A","",IF(Z356&lt;&gt;"Current",4,IF(MAX(M356,T356)=0,4,MAX(M356,T356))))</f>
        <v>2</v>
      </c>
      <c r="AB356" s="7" t="str">
        <f aca="false">IF(AA356="","N/A",IF(Z356&lt;&gt;"Current","Not tested / overdue",INDEX('Residual Config'!$B$11:$B$14,AA356)))</f>
        <v>Largely effective</v>
      </c>
      <c r="AC356" s="36" t="n">
        <f aca="false">IF(AA356="","",INDEX('Residual Config'!$D$11:$D$14,AA356))</f>
        <v>0.4</v>
      </c>
      <c r="AD356" s="7" t="str">
        <f aca="false">IF(OR(I356="N/A",P356="",Q356=""),"",IF(P356&gt;=Q356,"Yes","No"))</f>
        <v>Yes</v>
      </c>
      <c r="AE356" s="8"/>
    </row>
    <row r="357" customFormat="false" ht="15" hidden="false" customHeight="false" outlineLevel="0" collapsed="false">
      <c r="A357" s="12" t="s">
        <v>1602</v>
      </c>
      <c r="B357" s="26" t="str">
        <f aca="false">Entities!$A$13</f>
        <v>SY</v>
      </c>
      <c r="C357" s="12" t="str">
        <f aca="false">INDEX(Entities!$B$5:$B$34,MATCH(B357,Entities!$A$5:$A$34,0))</f>
        <v>Arab Bank – Syria</v>
      </c>
      <c r="D357" s="7" t="str">
        <f aca="false">INDEX(Entities!$F$5:$F$34,MATCH(B357,Entities!$A$5:$A$34,0))</f>
        <v>Tier 2</v>
      </c>
      <c r="E357" s="26" t="str">
        <f aca="false">'Control Library'!$A$13</f>
        <v>CTL-SAN-01</v>
      </c>
      <c r="F357" s="12" t="str">
        <f aca="false">INDEX('Control Library'!$B$5:$B$47,MATCH(E357,'Control Library'!$A$5:$A$47,0))</f>
        <v>Real-time payment and transaction sanctions screening</v>
      </c>
      <c r="G357" s="7" t="str">
        <f aca="false">INDEX('Control Library'!$F$5:$F$47,MATCH(E357,'Control Library'!$A$5:$A$47,0))</f>
        <v>Y</v>
      </c>
      <c r="H357" s="12" t="str">
        <f aca="false">INDEX('Control Library'!$E$5:$E$47,MATCH(E357,'Control Library'!$A$5:$A$47,0))</f>
        <v>Continuous</v>
      </c>
      <c r="I357" s="7" t="str">
        <f aca="false">IF(INDEX('Control Library'!$I$5:$I$47,MATCH(E357,'Control Library'!$A$5:$A$47,0))="All","Y",IF(INDEX('Control Library'!$I$5:$I$47,MATCH(E357,'Control Library'!$A$5:$A$47,0))="Banks only",IF(COUNTIF('Residual Config'!$L$28:$L$30,INDEX(Entities!$E$5:$E$34,MATCH(B357,Entities!$A$5:$A$34,0)))&gt;0,"N/A","Y"),IF(INDEX(Entities!$G$5:$G$34,MATCH(B357,Entities!$A$5:$A$34,0))="Y","Y","N/A")))</f>
        <v>Y</v>
      </c>
      <c r="J357" s="8" t="s">
        <v>1603</v>
      </c>
      <c r="K357" s="8" t="s">
        <v>1584</v>
      </c>
      <c r="L357" s="7" t="str">
        <f aca="false">IF(OR(J357="",K357=""),"",IF(J357=K357,"Breach","OK"))</f>
        <v>OK</v>
      </c>
      <c r="M357" s="24" t="n">
        <v>2</v>
      </c>
      <c r="N357" s="50" t="n">
        <v>46193</v>
      </c>
      <c r="O357" s="8" t="s">
        <v>547</v>
      </c>
      <c r="P357" s="24" t="n">
        <v>1</v>
      </c>
      <c r="Q357" s="31" t="n">
        <f aca="false">IF(I357="N/A","",IFERROR(INDEX('Residual Config'!$B$35:$B$42,MATCH(H357,'Residual Config'!$A$35:$A$42,0)),""))</f>
        <v>1</v>
      </c>
      <c r="R357" s="24" t="n">
        <v>0</v>
      </c>
      <c r="S357" s="8" t="s">
        <v>516</v>
      </c>
      <c r="T357" s="31" t="n">
        <f aca="false">IF(S357="","",MATCH(S357,'Residual Config'!$L$9:$L$12,0))</f>
        <v>1</v>
      </c>
      <c r="U357" s="8" t="s">
        <v>1604</v>
      </c>
      <c r="V357" s="24" t="n">
        <v>6</v>
      </c>
      <c r="W357" s="33" t="s">
        <v>533</v>
      </c>
      <c r="X357" s="8" t="s">
        <v>754</v>
      </c>
      <c r="Y357" s="51" t="n">
        <f aca="false">IF(N357="","",EDATE(N357,IF(G357="N",INDEX('Residual Config'!$B$31:$D$31,1,MATCH(D357,'Residual Config'!$B$27:$D$27,0)),INDEX('Residual Config'!$B$28:$D$30,IF(T357=1,1,IF(T357=4,3,2)),MATCH(D357,'Residual Config'!$B$27:$D$27,0)))))</f>
        <v>46558</v>
      </c>
      <c r="Z357" s="7" t="str">
        <f aca="false">IF(I357="N/A","N/A",IF(N357="","Not tested",IF(W357="Rejected","Evidence rejected",IF(W357&lt;&gt;"Accepted","Evidence pending",IF(Y357&lt;'Residual Config'!$C$4,"Overdue","Current")))))</f>
        <v>Current</v>
      </c>
      <c r="AA357" s="34" t="n">
        <f aca="false">IF(I357="N/A","",IF(Z357&lt;&gt;"Current",4,IF(MAX(M357,T357)=0,4,MAX(M357,T357))))</f>
        <v>2</v>
      </c>
      <c r="AB357" s="7" t="str">
        <f aca="false">IF(AA357="","N/A",IF(Z357&lt;&gt;"Current","Not tested / overdue",INDEX('Residual Config'!$B$11:$B$14,AA357)))</f>
        <v>Largely effective</v>
      </c>
      <c r="AC357" s="36" t="n">
        <f aca="false">IF(AA357="","",INDEX('Residual Config'!$D$11:$D$14,AA357))</f>
        <v>0.4</v>
      </c>
      <c r="AD357" s="7" t="str">
        <f aca="false">IF(OR(I357="N/A",P357="",Q357=""),"",IF(P357&gt;=Q357,"Yes","No"))</f>
        <v>Yes</v>
      </c>
      <c r="AE357" s="8"/>
    </row>
    <row r="358" customFormat="false" ht="15" hidden="false" customHeight="false" outlineLevel="0" collapsed="false">
      <c r="A358" s="12" t="s">
        <v>1605</v>
      </c>
      <c r="B358" s="26" t="str">
        <f aca="false">Entities!$A$13</f>
        <v>SY</v>
      </c>
      <c r="C358" s="12" t="str">
        <f aca="false">INDEX(Entities!$B$5:$B$34,MATCH(B358,Entities!$A$5:$A$34,0))</f>
        <v>Arab Bank – Syria</v>
      </c>
      <c r="D358" s="7" t="str">
        <f aca="false">INDEX(Entities!$F$5:$F$34,MATCH(B358,Entities!$A$5:$A$34,0))</f>
        <v>Tier 2</v>
      </c>
      <c r="E358" s="26" t="str">
        <f aca="false">'Control Library'!$A$14</f>
        <v>CTL-SAN-02</v>
      </c>
      <c r="F358" s="12" t="str">
        <f aca="false">INDEX('Control Library'!$B$5:$B$47,MATCH(E358,'Control Library'!$A$5:$A$47,0))</f>
        <v>Customer and counterparty screening at onboarding and on list change</v>
      </c>
      <c r="G358" s="7" t="str">
        <f aca="false">INDEX('Control Library'!$F$5:$F$47,MATCH(E358,'Control Library'!$A$5:$A$47,0))</f>
        <v>Y</v>
      </c>
      <c r="H358" s="12" t="str">
        <f aca="false">INDEX('Control Library'!$E$5:$E$47,MATCH(E358,'Control Library'!$A$5:$A$47,0))</f>
        <v>Continuous</v>
      </c>
      <c r="I358" s="7" t="str">
        <f aca="false">IF(INDEX('Control Library'!$I$5:$I$47,MATCH(E358,'Control Library'!$A$5:$A$47,0))="All","Y",IF(INDEX('Control Library'!$I$5:$I$47,MATCH(E358,'Control Library'!$A$5:$A$47,0))="Banks only",IF(COUNTIF('Residual Config'!$L$28:$L$30,INDEX(Entities!$E$5:$E$34,MATCH(B358,Entities!$A$5:$A$34,0)))&gt;0,"N/A","Y"),IF(INDEX(Entities!$G$5:$G$34,MATCH(B358,Entities!$A$5:$A$34,0))="Y","Y","N/A")))</f>
        <v>Y</v>
      </c>
      <c r="J358" s="8" t="s">
        <v>1603</v>
      </c>
      <c r="K358" s="8" t="s">
        <v>1584</v>
      </c>
      <c r="L358" s="7" t="str">
        <f aca="false">IF(OR(J358="",K358=""),"",IF(J358=K358,"Breach","OK"))</f>
        <v>OK</v>
      </c>
      <c r="M358" s="24" t="n">
        <v>2</v>
      </c>
      <c r="N358" s="50" t="n">
        <v>46253</v>
      </c>
      <c r="O358" s="8" t="s">
        <v>547</v>
      </c>
      <c r="P358" s="24" t="n">
        <v>1</v>
      </c>
      <c r="Q358" s="31" t="n">
        <f aca="false">IF(I358="N/A","",IFERROR(INDEX('Residual Config'!$B$35:$B$42,MATCH(H358,'Residual Config'!$A$35:$A$42,0)),""))</f>
        <v>1</v>
      </c>
      <c r="R358" s="24" t="n">
        <v>0</v>
      </c>
      <c r="S358" s="8" t="s">
        <v>516</v>
      </c>
      <c r="T358" s="31" t="n">
        <f aca="false">IF(S358="","",MATCH(S358,'Residual Config'!$L$9:$L$12,0))</f>
        <v>1</v>
      </c>
      <c r="U358" s="8" t="s">
        <v>1606</v>
      </c>
      <c r="V358" s="24" t="n">
        <v>3</v>
      </c>
      <c r="W358" s="33" t="s">
        <v>533</v>
      </c>
      <c r="X358" s="8" t="s">
        <v>754</v>
      </c>
      <c r="Y358" s="51" t="n">
        <f aca="false">IF(N358="","",EDATE(N358,IF(G358="N",INDEX('Residual Config'!$B$31:$D$31,1,MATCH(D358,'Residual Config'!$B$27:$D$27,0)),INDEX('Residual Config'!$B$28:$D$30,IF(T358=1,1,IF(T358=4,3,2)),MATCH(D358,'Residual Config'!$B$27:$D$27,0)))))</f>
        <v>46618</v>
      </c>
      <c r="Z358" s="7" t="str">
        <f aca="false">IF(I358="N/A","N/A",IF(N358="","Not tested",IF(W358="Rejected","Evidence rejected",IF(W358&lt;&gt;"Accepted","Evidence pending",IF(Y358&lt;'Residual Config'!$C$4,"Overdue","Current")))))</f>
        <v>Current</v>
      </c>
      <c r="AA358" s="34" t="n">
        <f aca="false">IF(I358="N/A","",IF(Z358&lt;&gt;"Current",4,IF(MAX(M358,T358)=0,4,MAX(M358,T358))))</f>
        <v>2</v>
      </c>
      <c r="AB358" s="7" t="str">
        <f aca="false">IF(AA358="","N/A",IF(Z358&lt;&gt;"Current","Not tested / overdue",INDEX('Residual Config'!$B$11:$B$14,AA358)))</f>
        <v>Largely effective</v>
      </c>
      <c r="AC358" s="36" t="n">
        <f aca="false">IF(AA358="","",INDEX('Residual Config'!$D$11:$D$14,AA358))</f>
        <v>0.4</v>
      </c>
      <c r="AD358" s="7" t="str">
        <f aca="false">IF(OR(I358="N/A",P358="",Q358=""),"",IF(P358&gt;=Q358,"Yes","No"))</f>
        <v>Yes</v>
      </c>
      <c r="AE358" s="8"/>
    </row>
    <row r="359" customFormat="false" ht="15" hidden="false" customHeight="false" outlineLevel="0" collapsed="false">
      <c r="A359" s="12" t="s">
        <v>1607</v>
      </c>
      <c r="B359" s="26" t="str">
        <f aca="false">Entities!$A$13</f>
        <v>SY</v>
      </c>
      <c r="C359" s="12" t="str">
        <f aca="false">INDEX(Entities!$B$5:$B$34,MATCH(B359,Entities!$A$5:$A$34,0))</f>
        <v>Arab Bank – Syria</v>
      </c>
      <c r="D359" s="7" t="str">
        <f aca="false">INDEX(Entities!$F$5:$F$34,MATCH(B359,Entities!$A$5:$A$34,0))</f>
        <v>Tier 2</v>
      </c>
      <c r="E359" s="26" t="str">
        <f aca="false">'Control Library'!$A$15</f>
        <v>CTL-SAN-03</v>
      </c>
      <c r="F359" s="12" t="str">
        <f aca="false">INDEX('Control Library'!$B$5:$B$47,MATCH(E359,'Control Library'!$A$5:$A$47,0))</f>
        <v>Sanctions list updates applied within 24 hours</v>
      </c>
      <c r="G359" s="7" t="str">
        <f aca="false">INDEX('Control Library'!$F$5:$F$47,MATCH(E359,'Control Library'!$A$5:$A$47,0))</f>
        <v>N</v>
      </c>
      <c r="H359" s="12" t="str">
        <f aca="false">INDEX('Control Library'!$E$5:$E$47,MATCH(E359,'Control Library'!$A$5:$A$47,0))</f>
        <v>Daily</v>
      </c>
      <c r="I359" s="7" t="str">
        <f aca="false">IF(INDEX('Control Library'!$I$5:$I$47,MATCH(E359,'Control Library'!$A$5:$A$47,0))="All","Y",IF(INDEX('Control Library'!$I$5:$I$47,MATCH(E359,'Control Library'!$A$5:$A$47,0))="Banks only",IF(COUNTIF('Residual Config'!$L$28:$L$30,INDEX(Entities!$E$5:$E$34,MATCH(B359,Entities!$A$5:$A$34,0)))&gt;0,"N/A","Y"),IF(INDEX(Entities!$G$5:$G$34,MATCH(B359,Entities!$A$5:$A$34,0))="Y","Y","N/A")))</f>
        <v>Y</v>
      </c>
      <c r="J359" s="8" t="s">
        <v>1608</v>
      </c>
      <c r="K359" s="8" t="s">
        <v>1584</v>
      </c>
      <c r="L359" s="7" t="str">
        <f aca="false">IF(OR(J359="",K359=""),"",IF(J359=K359,"Breach","OK"))</f>
        <v>OK</v>
      </c>
      <c r="M359" s="24" t="n">
        <v>1</v>
      </c>
      <c r="N359" s="50" t="n">
        <v>46222</v>
      </c>
      <c r="O359" s="8" t="s">
        <v>545</v>
      </c>
      <c r="P359" s="24" t="n">
        <v>25</v>
      </c>
      <c r="Q359" s="31" t="n">
        <f aca="false">IF(I359="N/A","",IFERROR(INDEX('Residual Config'!$B$35:$B$42,MATCH(H359,'Residual Config'!$A$35:$A$42,0)),""))</f>
        <v>25</v>
      </c>
      <c r="R359" s="24" t="n">
        <v>3</v>
      </c>
      <c r="S359" s="8" t="s">
        <v>524</v>
      </c>
      <c r="T359" s="31" t="n">
        <f aca="false">IF(S359="","",MATCH(S359,'Residual Config'!$L$9:$L$12,0))</f>
        <v>3</v>
      </c>
      <c r="U359" s="8" t="s">
        <v>1609</v>
      </c>
      <c r="V359" s="24" t="n">
        <v>1</v>
      </c>
      <c r="W359" s="33" t="s">
        <v>533</v>
      </c>
      <c r="X359" s="8" t="s">
        <v>754</v>
      </c>
      <c r="Y359" s="51" t="n">
        <f aca="false">IF(N359="","",EDATE(N359,IF(G359="N",INDEX('Residual Config'!$B$31:$D$31,1,MATCH(D359,'Residual Config'!$B$27:$D$27,0)),INDEX('Residual Config'!$B$28:$D$30,IF(T359=1,1,IF(T359=4,3,2)),MATCH(D359,'Residual Config'!$B$27:$D$27,0)))))</f>
        <v>46587</v>
      </c>
      <c r="Z359" s="7" t="str">
        <f aca="false">IF(I359="N/A","N/A",IF(N359="","Not tested",IF(W359="Rejected","Evidence rejected",IF(W359&lt;&gt;"Accepted","Evidence pending",IF(Y359&lt;'Residual Config'!$C$4,"Overdue","Current")))))</f>
        <v>Current</v>
      </c>
      <c r="AA359" s="34" t="n">
        <f aca="false">IF(I359="N/A","",IF(Z359&lt;&gt;"Current",4,IF(MAX(M359,T359)=0,4,MAX(M359,T359))))</f>
        <v>3</v>
      </c>
      <c r="AB359" s="7" t="str">
        <f aca="false">IF(AA359="","N/A",IF(Z359&lt;&gt;"Current","Not tested / overdue",INDEX('Residual Config'!$B$11:$B$14,AA359)))</f>
        <v>Partially effective</v>
      </c>
      <c r="AC359" s="36" t="n">
        <f aca="false">IF(AA359="","",INDEX('Residual Config'!$D$11:$D$14,AA359))</f>
        <v>0.2</v>
      </c>
      <c r="AD359" s="7" t="str">
        <f aca="false">IF(OR(I359="N/A",P359="",Q359=""),"",IF(P359&gt;=Q359,"Yes","No"))</f>
        <v>Yes</v>
      </c>
      <c r="AE359" s="8"/>
    </row>
    <row r="360" customFormat="false" ht="15" hidden="false" customHeight="false" outlineLevel="0" collapsed="false">
      <c r="A360" s="12" t="s">
        <v>1610</v>
      </c>
      <c r="B360" s="26" t="str">
        <f aca="false">Entities!$A$13</f>
        <v>SY</v>
      </c>
      <c r="C360" s="12" t="str">
        <f aca="false">INDEX(Entities!$B$5:$B$34,MATCH(B360,Entities!$A$5:$A$34,0))</f>
        <v>Arab Bank – Syria</v>
      </c>
      <c r="D360" s="7" t="str">
        <f aca="false">INDEX(Entities!$F$5:$F$34,MATCH(B360,Entities!$A$5:$A$34,0))</f>
        <v>Tier 2</v>
      </c>
      <c r="E360" s="26" t="str">
        <f aca="false">'Control Library'!$A$16</f>
        <v>CTL-TF-01</v>
      </c>
      <c r="F360" s="12" t="str">
        <f aca="false">INDEX('Control Library'!$B$5:$B$47,MATCH(E360,'Control Library'!$A$5:$A$47,0))</f>
        <v>NPO and charity enhanced due diligence</v>
      </c>
      <c r="G360" s="7" t="str">
        <f aca="false">INDEX('Control Library'!$F$5:$F$47,MATCH(E360,'Control Library'!$A$5:$A$47,0))</f>
        <v>N</v>
      </c>
      <c r="H360" s="12" t="str">
        <f aca="false">INDEX('Control Library'!$E$5:$E$47,MATCH(E360,'Control Library'!$A$5:$A$47,0))</f>
        <v>Event-driven</v>
      </c>
      <c r="I360" s="7" t="str">
        <f aca="false">IF(INDEX('Control Library'!$I$5:$I$47,MATCH(E360,'Control Library'!$A$5:$A$47,0))="All","Y",IF(INDEX('Control Library'!$I$5:$I$47,MATCH(E360,'Control Library'!$A$5:$A$47,0))="Banks only",IF(COUNTIF('Residual Config'!$L$28:$L$30,INDEX(Entities!$E$5:$E$34,MATCH(B360,Entities!$A$5:$A$34,0)))&gt;0,"N/A","Y"),IF(INDEX(Entities!$G$5:$G$34,MATCH(B360,Entities!$A$5:$A$34,0))="Y","Y","N/A")))</f>
        <v>Y</v>
      </c>
      <c r="J360" s="8" t="s">
        <v>1611</v>
      </c>
      <c r="K360" s="8" t="s">
        <v>1584</v>
      </c>
      <c r="L360" s="7" t="str">
        <f aca="false">IF(OR(J360="",K360=""),"",IF(J360=K360,"Breach","OK"))</f>
        <v>OK</v>
      </c>
      <c r="M360" s="24" t="n">
        <v>2</v>
      </c>
      <c r="N360" s="50" t="n">
        <v>46195</v>
      </c>
      <c r="O360" s="8" t="s">
        <v>545</v>
      </c>
      <c r="P360" s="24" t="n">
        <v>30</v>
      </c>
      <c r="Q360" s="31" t="n">
        <f aca="false">IF(I360="N/A","",IFERROR(INDEX('Residual Config'!$B$35:$B$42,MATCH(H360,'Residual Config'!$A$35:$A$42,0)),""))</f>
        <v>25</v>
      </c>
      <c r="R360" s="24" t="n">
        <v>1</v>
      </c>
      <c r="S360" s="8" t="s">
        <v>521</v>
      </c>
      <c r="T360" s="31" t="n">
        <f aca="false">IF(S360="","",MATCH(S360,'Residual Config'!$L$9:$L$12,0))</f>
        <v>2</v>
      </c>
      <c r="U360" s="8" t="s">
        <v>1612</v>
      </c>
      <c r="V360" s="24" t="n">
        <v>2</v>
      </c>
      <c r="W360" s="33" t="s">
        <v>533</v>
      </c>
      <c r="X360" s="8" t="s">
        <v>754</v>
      </c>
      <c r="Y360" s="51" t="n">
        <f aca="false">IF(N360="","",EDATE(N360,IF(G360="N",INDEX('Residual Config'!$B$31:$D$31,1,MATCH(D360,'Residual Config'!$B$27:$D$27,0)),INDEX('Residual Config'!$B$28:$D$30,IF(T360=1,1,IF(T360=4,3,2)),MATCH(D360,'Residual Config'!$B$27:$D$27,0)))))</f>
        <v>46560</v>
      </c>
      <c r="Z360" s="7" t="str">
        <f aca="false">IF(I360="N/A","N/A",IF(N360="","Not tested",IF(W360="Rejected","Evidence rejected",IF(W360&lt;&gt;"Accepted","Evidence pending",IF(Y360&lt;'Residual Config'!$C$4,"Overdue","Current")))))</f>
        <v>Current</v>
      </c>
      <c r="AA360" s="34" t="n">
        <f aca="false">IF(I360="N/A","",IF(Z360&lt;&gt;"Current",4,IF(MAX(M360,T360)=0,4,MAX(M360,T360))))</f>
        <v>2</v>
      </c>
      <c r="AB360" s="7" t="str">
        <f aca="false">IF(AA360="","N/A",IF(Z360&lt;&gt;"Current","Not tested / overdue",INDEX('Residual Config'!$B$11:$B$14,AA360)))</f>
        <v>Largely effective</v>
      </c>
      <c r="AC360" s="36" t="n">
        <f aca="false">IF(AA360="","",INDEX('Residual Config'!$D$11:$D$14,AA360))</f>
        <v>0.4</v>
      </c>
      <c r="AD360" s="7" t="str">
        <f aca="false">IF(OR(I360="N/A",P360="",Q360=""),"",IF(P360&gt;=Q360,"Yes","No"))</f>
        <v>Yes</v>
      </c>
      <c r="AE360" s="8"/>
    </row>
    <row r="361" customFormat="false" ht="15" hidden="false" customHeight="false" outlineLevel="0" collapsed="false">
      <c r="A361" s="12" t="s">
        <v>1613</v>
      </c>
      <c r="B361" s="26" t="str">
        <f aca="false">Entities!$A$13</f>
        <v>SY</v>
      </c>
      <c r="C361" s="12" t="str">
        <f aca="false">INDEX(Entities!$B$5:$B$34,MATCH(B361,Entities!$A$5:$A$34,0))</f>
        <v>Arab Bank – Syria</v>
      </c>
      <c r="D361" s="7" t="str">
        <f aca="false">INDEX(Entities!$F$5:$F$34,MATCH(B361,Entities!$A$5:$A$34,0))</f>
        <v>Tier 2</v>
      </c>
      <c r="E361" s="26" t="str">
        <f aca="false">'Control Library'!$A$17</f>
        <v>CTL-TBML-01</v>
      </c>
      <c r="F361" s="12" t="str">
        <f aca="false">INDEX('Control Library'!$B$5:$B$47,MATCH(E361,'Control Library'!$A$5:$A$47,0))</f>
        <v>Trade-based ML red-flag review and pricing checks</v>
      </c>
      <c r="G361" s="7" t="str">
        <f aca="false">INDEX('Control Library'!$F$5:$F$47,MATCH(E361,'Control Library'!$A$5:$A$47,0))</f>
        <v>Y</v>
      </c>
      <c r="H361" s="12" t="str">
        <f aca="false">INDEX('Control Library'!$E$5:$E$47,MATCH(E361,'Control Library'!$A$5:$A$47,0))</f>
        <v>Event-driven</v>
      </c>
      <c r="I361" s="7" t="str">
        <f aca="false">IF(INDEX('Control Library'!$I$5:$I$47,MATCH(E361,'Control Library'!$A$5:$A$47,0))="All","Y",IF(INDEX('Control Library'!$I$5:$I$47,MATCH(E361,'Control Library'!$A$5:$A$47,0))="Banks only",IF(COUNTIF('Residual Config'!$L$28:$L$30,INDEX(Entities!$E$5:$E$34,MATCH(B361,Entities!$A$5:$A$34,0)))&gt;0,"N/A","Y"),IF(INDEX(Entities!$G$5:$G$34,MATCH(B361,Entities!$A$5:$A$34,0))="Y","Y","N/A")))</f>
        <v>Y</v>
      </c>
      <c r="J361" s="8" t="s">
        <v>1614</v>
      </c>
      <c r="K361" s="8" t="s">
        <v>1584</v>
      </c>
      <c r="L361" s="7" t="str">
        <f aca="false">IF(OR(J361="",K361=""),"",IF(J361=K361,"Breach","OK"))</f>
        <v>OK</v>
      </c>
      <c r="M361" s="24" t="n">
        <v>2</v>
      </c>
      <c r="N361" s="50" t="n">
        <v>46192</v>
      </c>
      <c r="O361" s="8" t="s">
        <v>545</v>
      </c>
      <c r="P361" s="24" t="n">
        <v>25</v>
      </c>
      <c r="Q361" s="31" t="n">
        <f aca="false">IF(I361="N/A","",IFERROR(INDEX('Residual Config'!$B$35:$B$42,MATCH(H361,'Residual Config'!$A$35:$A$42,0)),""))</f>
        <v>25</v>
      </c>
      <c r="R361" s="24" t="n">
        <v>3</v>
      </c>
      <c r="S361" s="8" t="s">
        <v>524</v>
      </c>
      <c r="T361" s="31" t="n">
        <f aca="false">IF(S361="","",MATCH(S361,'Residual Config'!$L$9:$L$12,0))</f>
        <v>3</v>
      </c>
      <c r="U361" s="8" t="s">
        <v>1615</v>
      </c>
      <c r="V361" s="24" t="n">
        <v>4</v>
      </c>
      <c r="W361" s="33" t="s">
        <v>533</v>
      </c>
      <c r="X361" s="8" t="s">
        <v>754</v>
      </c>
      <c r="Y361" s="51" t="n">
        <f aca="false">IF(N361="","",EDATE(N361,IF(G361="N",INDEX('Residual Config'!$B$31:$D$31,1,MATCH(D361,'Residual Config'!$B$27:$D$27,0)),INDEX('Residual Config'!$B$28:$D$30,IF(T361=1,1,IF(T361=4,3,2)),MATCH(D361,'Residual Config'!$B$27:$D$27,0)))))</f>
        <v>46375</v>
      </c>
      <c r="Z361" s="7" t="str">
        <f aca="false">IF(I361="N/A","N/A",IF(N361="","Not tested",IF(W361="Rejected","Evidence rejected",IF(W361&lt;&gt;"Accepted","Evidence pending",IF(Y361&lt;'Residual Config'!$C$4,"Overdue","Current")))))</f>
        <v>Current</v>
      </c>
      <c r="AA361" s="34" t="n">
        <f aca="false">IF(I361="N/A","",IF(Z361&lt;&gt;"Current",4,IF(MAX(M361,T361)=0,4,MAX(M361,T361))))</f>
        <v>3</v>
      </c>
      <c r="AB361" s="7" t="str">
        <f aca="false">IF(AA361="","N/A",IF(Z361&lt;&gt;"Current","Not tested / overdue",INDEX('Residual Config'!$B$11:$B$14,AA361)))</f>
        <v>Partially effective</v>
      </c>
      <c r="AC361" s="36" t="n">
        <f aca="false">IF(AA361="","",INDEX('Residual Config'!$D$11:$D$14,AA361))</f>
        <v>0.2</v>
      </c>
      <c r="AD361" s="7" t="str">
        <f aca="false">IF(OR(I361="N/A",P361="",Q361=""),"",IF(P361&gt;=Q361,"Yes","No"))</f>
        <v>Yes</v>
      </c>
      <c r="AE361" s="8"/>
    </row>
    <row r="362" customFormat="false" ht="15" hidden="false" customHeight="false" outlineLevel="0" collapsed="false">
      <c r="A362" s="12" t="s">
        <v>1616</v>
      </c>
      <c r="B362" s="26" t="str">
        <f aca="false">Entities!$A$13</f>
        <v>SY</v>
      </c>
      <c r="C362" s="12" t="str">
        <f aca="false">INDEX(Entities!$B$5:$B$34,MATCH(B362,Entities!$A$5:$A$34,0))</f>
        <v>Arab Bank – Syria</v>
      </c>
      <c r="D362" s="7" t="str">
        <f aca="false">INDEX(Entities!$F$5:$F$34,MATCH(B362,Entities!$A$5:$A$34,0))</f>
        <v>Tier 2</v>
      </c>
      <c r="E362" s="26" t="str">
        <f aca="false">'Control Library'!$A$18</f>
        <v>CTL-PF-01</v>
      </c>
      <c r="F362" s="12" t="str">
        <f aca="false">INDEX('Control Library'!$B$5:$B$47,MATCH(E362,'Control Library'!$A$5:$A$47,0))</f>
        <v>Dual-use goods, vessel and port screening</v>
      </c>
      <c r="G362" s="7" t="str">
        <f aca="false">INDEX('Control Library'!$F$5:$F$47,MATCH(E362,'Control Library'!$A$5:$A$47,0))</f>
        <v>Y</v>
      </c>
      <c r="H362" s="12" t="str">
        <f aca="false">INDEX('Control Library'!$E$5:$E$47,MATCH(E362,'Control Library'!$A$5:$A$47,0))</f>
        <v>Event-driven</v>
      </c>
      <c r="I362" s="7" t="str">
        <f aca="false">IF(INDEX('Control Library'!$I$5:$I$47,MATCH(E362,'Control Library'!$A$5:$A$47,0))="All","Y",IF(INDEX('Control Library'!$I$5:$I$47,MATCH(E362,'Control Library'!$A$5:$A$47,0))="Banks only",IF(COUNTIF('Residual Config'!$L$28:$L$30,INDEX(Entities!$E$5:$E$34,MATCH(B362,Entities!$A$5:$A$34,0)))&gt;0,"N/A","Y"),IF(INDEX(Entities!$G$5:$G$34,MATCH(B362,Entities!$A$5:$A$34,0))="Y","Y","N/A")))</f>
        <v>Y</v>
      </c>
      <c r="J362" s="8" t="s">
        <v>1614</v>
      </c>
      <c r="K362" s="8" t="s">
        <v>1584</v>
      </c>
      <c r="L362" s="7" t="str">
        <f aca="false">IF(OR(J362="",K362=""),"",IF(J362=K362,"Breach","OK"))</f>
        <v>OK</v>
      </c>
      <c r="M362" s="24" t="n">
        <v>2</v>
      </c>
      <c r="N362" s="50" t="n">
        <v>46231</v>
      </c>
      <c r="O362" s="8" t="s">
        <v>545</v>
      </c>
      <c r="P362" s="24" t="n">
        <v>25</v>
      </c>
      <c r="Q362" s="31" t="n">
        <f aca="false">IF(I362="N/A","",IFERROR(INDEX('Residual Config'!$B$35:$B$42,MATCH(H362,'Residual Config'!$A$35:$A$42,0)),""))</f>
        <v>25</v>
      </c>
      <c r="R362" s="24" t="n">
        <v>1</v>
      </c>
      <c r="S362" s="8" t="s">
        <v>521</v>
      </c>
      <c r="T362" s="31" t="n">
        <f aca="false">IF(S362="","",MATCH(S362,'Residual Config'!$L$9:$L$12,0))</f>
        <v>2</v>
      </c>
      <c r="U362" s="8" t="s">
        <v>1617</v>
      </c>
      <c r="V362" s="24" t="n">
        <v>3</v>
      </c>
      <c r="W362" s="33" t="s">
        <v>533</v>
      </c>
      <c r="X362" s="8" t="s">
        <v>760</v>
      </c>
      <c r="Y362" s="51" t="n">
        <f aca="false">IF(N362="","",EDATE(N362,IF(G362="N",INDEX('Residual Config'!$B$31:$D$31,1,MATCH(D362,'Residual Config'!$B$27:$D$27,0)),INDEX('Residual Config'!$B$28:$D$30,IF(T362=1,1,IF(T362=4,3,2)),MATCH(D362,'Residual Config'!$B$27:$D$27,0)))))</f>
        <v>46415</v>
      </c>
      <c r="Z362" s="7" t="str">
        <f aca="false">IF(I362="N/A","N/A",IF(N362="","Not tested",IF(W362="Rejected","Evidence rejected",IF(W362&lt;&gt;"Accepted","Evidence pending",IF(Y362&lt;'Residual Config'!$C$4,"Overdue","Current")))))</f>
        <v>Current</v>
      </c>
      <c r="AA362" s="34" t="n">
        <f aca="false">IF(I362="N/A","",IF(Z362&lt;&gt;"Current",4,IF(MAX(M362,T362)=0,4,MAX(M362,T362))))</f>
        <v>2</v>
      </c>
      <c r="AB362" s="7" t="str">
        <f aca="false">IF(AA362="","N/A",IF(Z362&lt;&gt;"Current","Not tested / overdue",INDEX('Residual Config'!$B$11:$B$14,AA362)))</f>
        <v>Largely effective</v>
      </c>
      <c r="AC362" s="36" t="n">
        <f aca="false">IF(AA362="","",INDEX('Residual Config'!$D$11:$D$14,AA362))</f>
        <v>0.4</v>
      </c>
      <c r="AD362" s="7" t="str">
        <f aca="false">IF(OR(I362="N/A",P362="",Q362=""),"",IF(P362&gt;=Q362,"Yes","No"))</f>
        <v>Yes</v>
      </c>
      <c r="AE362" s="8"/>
    </row>
    <row r="363" customFormat="false" ht="15" hidden="false" customHeight="false" outlineLevel="0" collapsed="false">
      <c r="A363" s="12" t="s">
        <v>1618</v>
      </c>
      <c r="B363" s="26" t="str">
        <f aca="false">Entities!$A$13</f>
        <v>SY</v>
      </c>
      <c r="C363" s="12" t="str">
        <f aca="false">INDEX(Entities!$B$5:$B$34,MATCH(B363,Entities!$A$5:$A$34,0))</f>
        <v>Arab Bank – Syria</v>
      </c>
      <c r="D363" s="7" t="str">
        <f aca="false">INDEX(Entities!$F$5:$F$34,MATCH(B363,Entities!$A$5:$A$34,0))</f>
        <v>Tier 2</v>
      </c>
      <c r="E363" s="26" t="str">
        <f aca="false">'Control Library'!$A$19</f>
        <v>CTL-CB-01</v>
      </c>
      <c r="F363" s="12" t="str">
        <f aca="false">INDEX('Control Library'!$B$5:$B$47,MATCH(E363,'Control Library'!$A$5:$A$47,0))</f>
        <v>Correspondent bank due diligence (CBDDQ) and nesting detection</v>
      </c>
      <c r="G363" s="7" t="str">
        <f aca="false">INDEX('Control Library'!$F$5:$F$47,MATCH(E363,'Control Library'!$A$5:$A$47,0))</f>
        <v>Y</v>
      </c>
      <c r="H363" s="12" t="str">
        <f aca="false">INDEX('Control Library'!$E$5:$E$47,MATCH(E363,'Control Library'!$A$5:$A$47,0))</f>
        <v>Annual</v>
      </c>
      <c r="I363" s="7" t="str">
        <f aca="false">IF(INDEX('Control Library'!$I$5:$I$47,MATCH(E363,'Control Library'!$A$5:$A$47,0))="All","Y",IF(INDEX('Control Library'!$I$5:$I$47,MATCH(E363,'Control Library'!$A$5:$A$47,0))="Banks only",IF(COUNTIF('Residual Config'!$L$28:$L$30,INDEX(Entities!$E$5:$E$34,MATCH(B363,Entities!$A$5:$A$34,0)))&gt;0,"N/A","Y"),IF(INDEX(Entities!$G$5:$G$34,MATCH(B363,Entities!$A$5:$A$34,0))="Y","Y","N/A")))</f>
        <v>Y</v>
      </c>
      <c r="J363" s="8" t="s">
        <v>1619</v>
      </c>
      <c r="K363" s="8" t="s">
        <v>1584</v>
      </c>
      <c r="L363" s="7" t="str">
        <f aca="false">IF(OR(J363="",K363=""),"",IF(J363=K363,"Breach","OK"))</f>
        <v>OK</v>
      </c>
      <c r="M363" s="24" t="n">
        <v>3</v>
      </c>
      <c r="N363" s="50" t="n">
        <v>46147</v>
      </c>
      <c r="O363" s="8" t="s">
        <v>545</v>
      </c>
      <c r="P363" s="24" t="n">
        <v>1</v>
      </c>
      <c r="Q363" s="31" t="n">
        <f aca="false">IF(I363="N/A","",IFERROR(INDEX('Residual Config'!$B$35:$B$42,MATCH(H363,'Residual Config'!$A$35:$A$42,0)),""))</f>
        <v>1</v>
      </c>
      <c r="R363" s="24" t="n">
        <v>1</v>
      </c>
      <c r="S363" s="8" t="s">
        <v>521</v>
      </c>
      <c r="T363" s="31" t="n">
        <f aca="false">IF(S363="","",MATCH(S363,'Residual Config'!$L$9:$L$12,0))</f>
        <v>2</v>
      </c>
      <c r="U363" s="8" t="s">
        <v>1620</v>
      </c>
      <c r="V363" s="24" t="n">
        <v>4</v>
      </c>
      <c r="W363" s="33" t="s">
        <v>533</v>
      </c>
      <c r="X363" s="8" t="s">
        <v>760</v>
      </c>
      <c r="Y363" s="51" t="n">
        <f aca="false">IF(N363="","",EDATE(N363,IF(G363="N",INDEX('Residual Config'!$B$31:$D$31,1,MATCH(D363,'Residual Config'!$B$27:$D$27,0)),INDEX('Residual Config'!$B$28:$D$30,IF(T363=1,1,IF(T363=4,3,2)),MATCH(D363,'Residual Config'!$B$27:$D$27,0)))))</f>
        <v>46331</v>
      </c>
      <c r="Z363" s="7" t="str">
        <f aca="false">IF(I363="N/A","N/A",IF(N363="","Not tested",IF(W363="Rejected","Evidence rejected",IF(W363&lt;&gt;"Accepted","Evidence pending",IF(Y363&lt;'Residual Config'!$C$4,"Overdue","Current")))))</f>
        <v>Current</v>
      </c>
      <c r="AA363" s="34" t="n">
        <f aca="false">IF(I363="N/A","",IF(Z363&lt;&gt;"Current",4,IF(MAX(M363,T363)=0,4,MAX(M363,T363))))</f>
        <v>3</v>
      </c>
      <c r="AB363" s="7" t="str">
        <f aca="false">IF(AA363="","N/A",IF(Z363&lt;&gt;"Current","Not tested / overdue",INDEX('Residual Config'!$B$11:$B$14,AA363)))</f>
        <v>Partially effective</v>
      </c>
      <c r="AC363" s="36" t="n">
        <f aca="false">IF(AA363="","",INDEX('Residual Config'!$D$11:$D$14,AA363))</f>
        <v>0.2</v>
      </c>
      <c r="AD363" s="7" t="str">
        <f aca="false">IF(OR(I363="N/A",P363="",Q363=""),"",IF(P363&gt;=Q363,"Yes","No"))</f>
        <v>Yes</v>
      </c>
      <c r="AE363" s="8"/>
    </row>
    <row r="364" customFormat="false" ht="15" hidden="false" customHeight="false" outlineLevel="0" collapsed="false">
      <c r="A364" s="12" t="s">
        <v>1621</v>
      </c>
      <c r="B364" s="26" t="str">
        <f aca="false">Entities!$A$13</f>
        <v>SY</v>
      </c>
      <c r="C364" s="12" t="str">
        <f aca="false">INDEX(Entities!$B$5:$B$34,MATCH(B364,Entities!$A$5:$A$34,0))</f>
        <v>Arab Bank – Syria</v>
      </c>
      <c r="D364" s="7" t="str">
        <f aca="false">INDEX(Entities!$F$5:$F$34,MATCH(B364,Entities!$A$5:$A$34,0))</f>
        <v>Tier 2</v>
      </c>
      <c r="E364" s="26" t="str">
        <f aca="false">'Control Library'!$A$20</f>
        <v>CTL-PAY-01</v>
      </c>
      <c r="F364" s="12" t="str">
        <f aca="false">INDEX('Control Library'!$B$5:$B$47,MATCH(E364,'Control Library'!$A$5:$A$47,0))</f>
        <v>Payment transparency checks (FATF R.16)</v>
      </c>
      <c r="G364" s="7" t="str">
        <f aca="false">INDEX('Control Library'!$F$5:$F$47,MATCH(E364,'Control Library'!$A$5:$A$47,0))</f>
        <v>N</v>
      </c>
      <c r="H364" s="12" t="str">
        <f aca="false">INDEX('Control Library'!$E$5:$E$47,MATCH(E364,'Control Library'!$A$5:$A$47,0))</f>
        <v>Continuous</v>
      </c>
      <c r="I364" s="7" t="str">
        <f aca="false">IF(INDEX('Control Library'!$I$5:$I$47,MATCH(E364,'Control Library'!$A$5:$A$47,0))="All","Y",IF(INDEX('Control Library'!$I$5:$I$47,MATCH(E364,'Control Library'!$A$5:$A$47,0))="Banks only",IF(COUNTIF('Residual Config'!$L$28:$L$30,INDEX(Entities!$E$5:$E$34,MATCH(B364,Entities!$A$5:$A$34,0)))&gt;0,"N/A","Y"),IF(INDEX(Entities!$G$5:$G$34,MATCH(B364,Entities!$A$5:$A$34,0))="Y","Y","N/A")))</f>
        <v>Y</v>
      </c>
      <c r="J364" s="8" t="s">
        <v>1622</v>
      </c>
      <c r="K364" s="8" t="s">
        <v>1584</v>
      </c>
      <c r="L364" s="7" t="str">
        <f aca="false">IF(OR(J364="",K364=""),"",IF(J364=K364,"Breach","OK"))</f>
        <v>OK</v>
      </c>
      <c r="M364" s="24" t="n">
        <v>3</v>
      </c>
      <c r="N364" s="50" t="n">
        <v>45959</v>
      </c>
      <c r="O364" s="8" t="s">
        <v>546</v>
      </c>
      <c r="P364" s="24" t="n">
        <v>1</v>
      </c>
      <c r="Q364" s="31" t="n">
        <f aca="false">IF(I364="N/A","",IFERROR(INDEX('Residual Config'!$B$35:$B$42,MATCH(H364,'Residual Config'!$A$35:$A$42,0)),""))</f>
        <v>1</v>
      </c>
      <c r="R364" s="24" t="n">
        <v>1</v>
      </c>
      <c r="S364" s="8" t="s">
        <v>521</v>
      </c>
      <c r="T364" s="31" t="n">
        <f aca="false">IF(S364="","",MATCH(S364,'Residual Config'!$L$9:$L$12,0))</f>
        <v>2</v>
      </c>
      <c r="U364" s="8" t="s">
        <v>1623</v>
      </c>
      <c r="V364" s="24" t="n">
        <v>2</v>
      </c>
      <c r="W364" s="33" t="s">
        <v>533</v>
      </c>
      <c r="X364" s="8" t="s">
        <v>760</v>
      </c>
      <c r="Y364" s="51" t="n">
        <f aca="false">IF(N364="","",EDATE(N364,IF(G364="N",INDEX('Residual Config'!$B$31:$D$31,1,MATCH(D364,'Residual Config'!$B$27:$D$27,0)),INDEX('Residual Config'!$B$28:$D$30,IF(T364=1,1,IF(T364=4,3,2)),MATCH(D364,'Residual Config'!$B$27:$D$27,0)))))</f>
        <v>46324</v>
      </c>
      <c r="Z364" s="7" t="str">
        <f aca="false">IF(I364="N/A","N/A",IF(N364="","Not tested",IF(W364="Rejected","Evidence rejected",IF(W364&lt;&gt;"Accepted","Evidence pending",IF(Y364&lt;'Residual Config'!$C$4,"Overdue","Current")))))</f>
        <v>Current</v>
      </c>
      <c r="AA364" s="34" t="n">
        <f aca="false">IF(I364="N/A","",IF(Z364&lt;&gt;"Current",4,IF(MAX(M364,T364)=0,4,MAX(M364,T364))))</f>
        <v>3</v>
      </c>
      <c r="AB364" s="7" t="str">
        <f aca="false">IF(AA364="","N/A",IF(Z364&lt;&gt;"Current","Not tested / overdue",INDEX('Residual Config'!$B$11:$B$14,AA364)))</f>
        <v>Partially effective</v>
      </c>
      <c r="AC364" s="36" t="n">
        <f aca="false">IF(AA364="","",INDEX('Residual Config'!$D$11:$D$14,AA364))</f>
        <v>0.2</v>
      </c>
      <c r="AD364" s="7" t="str">
        <f aca="false">IF(OR(I364="N/A",P364="",Q364=""),"",IF(P364&gt;=Q364,"Yes","No"))</f>
        <v>Yes</v>
      </c>
      <c r="AE364" s="8"/>
    </row>
    <row r="365" customFormat="false" ht="15" hidden="false" customHeight="false" outlineLevel="0" collapsed="false">
      <c r="A365" s="12" t="s">
        <v>1624</v>
      </c>
      <c r="B365" s="26" t="str">
        <f aca="false">Entities!$A$13</f>
        <v>SY</v>
      </c>
      <c r="C365" s="12" t="str">
        <f aca="false">INDEX(Entities!$B$5:$B$34,MATCH(B365,Entities!$A$5:$A$34,0))</f>
        <v>Arab Bank – Syria</v>
      </c>
      <c r="D365" s="7" t="str">
        <f aca="false">INDEX(Entities!$F$5:$F$34,MATCH(B365,Entities!$A$5:$A$34,0))</f>
        <v>Tier 2</v>
      </c>
      <c r="E365" s="26" t="str">
        <f aca="false">'Control Library'!$A$21</f>
        <v>CTL-ABC-01</v>
      </c>
      <c r="F365" s="12" t="str">
        <f aca="false">INDEX('Control Library'!$B$5:$B$47,MATCH(E365,'Control Library'!$A$5:$A$47,0))</f>
        <v>Third-party and intermediary anti-bribery due diligence</v>
      </c>
      <c r="G365" s="7" t="str">
        <f aca="false">INDEX('Control Library'!$F$5:$F$47,MATCH(E365,'Control Library'!$A$5:$A$47,0))</f>
        <v>Y</v>
      </c>
      <c r="H365" s="12" t="str">
        <f aca="false">INDEX('Control Library'!$E$5:$E$47,MATCH(E365,'Control Library'!$A$5:$A$47,0))</f>
        <v>Event-driven</v>
      </c>
      <c r="I365" s="7" t="str">
        <f aca="false">IF(INDEX('Control Library'!$I$5:$I$47,MATCH(E365,'Control Library'!$A$5:$A$47,0))="All","Y",IF(INDEX('Control Library'!$I$5:$I$47,MATCH(E365,'Control Library'!$A$5:$A$47,0))="Banks only",IF(COUNTIF('Residual Config'!$L$28:$L$30,INDEX(Entities!$E$5:$E$34,MATCH(B365,Entities!$A$5:$A$34,0)))&gt;0,"N/A","Y"),IF(INDEX(Entities!$G$5:$G$34,MATCH(B365,Entities!$A$5:$A$34,0))="Y","Y","N/A")))</f>
        <v>Y</v>
      </c>
      <c r="J365" s="8" t="s">
        <v>1625</v>
      </c>
      <c r="K365" s="8" t="s">
        <v>1584</v>
      </c>
      <c r="L365" s="7" t="str">
        <f aca="false">IF(OR(J365="",K365=""),"",IF(J365=K365,"Breach","OK"))</f>
        <v>OK</v>
      </c>
      <c r="M365" s="24" t="n">
        <v>2</v>
      </c>
      <c r="N365" s="50" t="n">
        <v>46168</v>
      </c>
      <c r="O365" s="8" t="s">
        <v>545</v>
      </c>
      <c r="P365" s="24" t="n">
        <v>35</v>
      </c>
      <c r="Q365" s="31" t="n">
        <f aca="false">IF(I365="N/A","",IFERROR(INDEX('Residual Config'!$B$35:$B$42,MATCH(H365,'Residual Config'!$A$35:$A$42,0)),""))</f>
        <v>25</v>
      </c>
      <c r="R365" s="24" t="n">
        <v>1</v>
      </c>
      <c r="S365" s="8" t="s">
        <v>521</v>
      </c>
      <c r="T365" s="31" t="n">
        <f aca="false">IF(S365="","",MATCH(S365,'Residual Config'!$L$9:$L$12,0))</f>
        <v>2</v>
      </c>
      <c r="U365" s="8" t="s">
        <v>1626</v>
      </c>
      <c r="V365" s="24" t="n">
        <v>2</v>
      </c>
      <c r="W365" s="33" t="s">
        <v>533</v>
      </c>
      <c r="X365" s="8" t="s">
        <v>754</v>
      </c>
      <c r="Y365" s="51" t="n">
        <f aca="false">IF(N365="","",EDATE(N365,IF(G365="N",INDEX('Residual Config'!$B$31:$D$31,1,MATCH(D365,'Residual Config'!$B$27:$D$27,0)),INDEX('Residual Config'!$B$28:$D$30,IF(T365=1,1,IF(T365=4,3,2)),MATCH(D365,'Residual Config'!$B$27:$D$27,0)))))</f>
        <v>46352</v>
      </c>
      <c r="Z365" s="7" t="str">
        <f aca="false">IF(I365="N/A","N/A",IF(N365="","Not tested",IF(W365="Rejected","Evidence rejected",IF(W365&lt;&gt;"Accepted","Evidence pending",IF(Y365&lt;'Residual Config'!$C$4,"Overdue","Current")))))</f>
        <v>Current</v>
      </c>
      <c r="AA365" s="34" t="n">
        <f aca="false">IF(I365="N/A","",IF(Z365&lt;&gt;"Current",4,IF(MAX(M365,T365)=0,4,MAX(M365,T365))))</f>
        <v>2</v>
      </c>
      <c r="AB365" s="7" t="str">
        <f aca="false">IF(AA365="","N/A",IF(Z365&lt;&gt;"Current","Not tested / overdue",INDEX('Residual Config'!$B$11:$B$14,AA365)))</f>
        <v>Largely effective</v>
      </c>
      <c r="AC365" s="36" t="n">
        <f aca="false">IF(AA365="","",INDEX('Residual Config'!$D$11:$D$14,AA365))</f>
        <v>0.4</v>
      </c>
      <c r="AD365" s="7" t="str">
        <f aca="false">IF(OR(I365="N/A",P365="",Q365=""),"",IF(P365&gt;=Q365,"Yes","No"))</f>
        <v>Yes</v>
      </c>
      <c r="AE365" s="8"/>
    </row>
    <row r="366" customFormat="false" ht="15" hidden="false" customHeight="false" outlineLevel="0" collapsed="false">
      <c r="A366" s="12" t="s">
        <v>1627</v>
      </c>
      <c r="B366" s="26" t="str">
        <f aca="false">Entities!$A$13</f>
        <v>SY</v>
      </c>
      <c r="C366" s="12" t="str">
        <f aca="false">INDEX(Entities!$B$5:$B$34,MATCH(B366,Entities!$A$5:$A$34,0))</f>
        <v>Arab Bank – Syria</v>
      </c>
      <c r="D366" s="7" t="str">
        <f aca="false">INDEX(Entities!$F$5:$F$34,MATCH(B366,Entities!$A$5:$A$34,0))</f>
        <v>Tier 2</v>
      </c>
      <c r="E366" s="26" t="str">
        <f aca="false">'Control Library'!$A$22</f>
        <v>CTL-ABC-02</v>
      </c>
      <c r="F366" s="12" t="str">
        <f aca="false">INDEX('Control Library'!$B$5:$B$47,MATCH(E366,'Control Library'!$A$5:$A$47,0))</f>
        <v>Gifts, hospitality and donations register with pre-approval</v>
      </c>
      <c r="G366" s="7" t="str">
        <f aca="false">INDEX('Control Library'!$F$5:$F$47,MATCH(E366,'Control Library'!$A$5:$A$47,0))</f>
        <v>N</v>
      </c>
      <c r="H366" s="12" t="str">
        <f aca="false">INDEX('Control Library'!$E$5:$E$47,MATCH(E366,'Control Library'!$A$5:$A$47,0))</f>
        <v>Event-driven</v>
      </c>
      <c r="I366" s="7" t="str">
        <f aca="false">IF(INDEX('Control Library'!$I$5:$I$47,MATCH(E366,'Control Library'!$A$5:$A$47,0))="All","Y",IF(INDEX('Control Library'!$I$5:$I$47,MATCH(E366,'Control Library'!$A$5:$A$47,0))="Banks only",IF(COUNTIF('Residual Config'!$L$28:$L$30,INDEX(Entities!$E$5:$E$34,MATCH(B366,Entities!$A$5:$A$34,0)))&gt;0,"N/A","Y"),IF(INDEX(Entities!$G$5:$G$34,MATCH(B366,Entities!$A$5:$A$34,0))="Y","Y","N/A")))</f>
        <v>Y</v>
      </c>
      <c r="J366" s="8" t="s">
        <v>1587</v>
      </c>
      <c r="K366" s="8" t="s">
        <v>1584</v>
      </c>
      <c r="L366" s="7" t="str">
        <f aca="false">IF(OR(J366="",K366=""),"",IF(J366=K366,"Breach","OK"))</f>
        <v>OK</v>
      </c>
      <c r="M366" s="24" t="n">
        <v>1</v>
      </c>
      <c r="N366" s="50" t="n">
        <v>46137</v>
      </c>
      <c r="O366" s="8" t="s">
        <v>545</v>
      </c>
      <c r="P366" s="24" t="n">
        <v>25</v>
      </c>
      <c r="Q366" s="31" t="n">
        <f aca="false">IF(I366="N/A","",IFERROR(INDEX('Residual Config'!$B$35:$B$42,MATCH(H366,'Residual Config'!$A$35:$A$42,0)),""))</f>
        <v>25</v>
      </c>
      <c r="R366" s="24" t="n">
        <v>1</v>
      </c>
      <c r="S366" s="8" t="s">
        <v>521</v>
      </c>
      <c r="T366" s="31" t="n">
        <f aca="false">IF(S366="","",MATCH(S366,'Residual Config'!$L$9:$L$12,0))</f>
        <v>2</v>
      </c>
      <c r="U366" s="8" t="s">
        <v>1628</v>
      </c>
      <c r="V366" s="24" t="n">
        <v>1</v>
      </c>
      <c r="W366" s="33" t="s">
        <v>533</v>
      </c>
      <c r="X366" s="8" t="s">
        <v>760</v>
      </c>
      <c r="Y366" s="51" t="n">
        <f aca="false">IF(N366="","",EDATE(N366,IF(G366="N",INDEX('Residual Config'!$B$31:$D$31,1,MATCH(D366,'Residual Config'!$B$27:$D$27,0)),INDEX('Residual Config'!$B$28:$D$30,IF(T366=1,1,IF(T366=4,3,2)),MATCH(D366,'Residual Config'!$B$27:$D$27,0)))))</f>
        <v>46502</v>
      </c>
      <c r="Z366" s="7" t="str">
        <f aca="false">IF(I366="N/A","N/A",IF(N366="","Not tested",IF(W366="Rejected","Evidence rejected",IF(W366&lt;&gt;"Accepted","Evidence pending",IF(Y366&lt;'Residual Config'!$C$4,"Overdue","Current")))))</f>
        <v>Current</v>
      </c>
      <c r="AA366" s="34" t="n">
        <f aca="false">IF(I366="N/A","",IF(Z366&lt;&gt;"Current",4,IF(MAX(M366,T366)=0,4,MAX(M366,T366))))</f>
        <v>2</v>
      </c>
      <c r="AB366" s="7" t="str">
        <f aca="false">IF(AA366="","N/A",IF(Z366&lt;&gt;"Current","Not tested / overdue",INDEX('Residual Config'!$B$11:$B$14,AA366)))</f>
        <v>Largely effective</v>
      </c>
      <c r="AC366" s="36" t="n">
        <f aca="false">IF(AA366="","",INDEX('Residual Config'!$D$11:$D$14,AA366))</f>
        <v>0.4</v>
      </c>
      <c r="AD366" s="7" t="str">
        <f aca="false">IF(OR(I366="N/A",P366="",Q366=""),"",IF(P366&gt;=Q366,"Yes","No"))</f>
        <v>Yes</v>
      </c>
      <c r="AE366" s="8"/>
    </row>
    <row r="367" customFormat="false" ht="15" hidden="false" customHeight="false" outlineLevel="0" collapsed="false">
      <c r="A367" s="12" t="s">
        <v>1629</v>
      </c>
      <c r="B367" s="26" t="str">
        <f aca="false">Entities!$A$13</f>
        <v>SY</v>
      </c>
      <c r="C367" s="12" t="str">
        <f aca="false">INDEX(Entities!$B$5:$B$34,MATCH(B367,Entities!$A$5:$A$34,0))</f>
        <v>Arab Bank – Syria</v>
      </c>
      <c r="D367" s="7" t="str">
        <f aca="false">INDEX(Entities!$F$5:$F$34,MATCH(B367,Entities!$A$5:$A$34,0))</f>
        <v>Tier 2</v>
      </c>
      <c r="E367" s="26" t="str">
        <f aca="false">'Control Library'!$A$23</f>
        <v>CTL-FRD-01</v>
      </c>
      <c r="F367" s="12" t="str">
        <f aca="false">INDEX('Control Library'!$B$5:$B$47,MATCH(E367,'Control Library'!$A$5:$A$47,0))</f>
        <v>Real-time fraud monitoring for cards and digital channels</v>
      </c>
      <c r="G367" s="7" t="str">
        <f aca="false">INDEX('Control Library'!$F$5:$F$47,MATCH(E367,'Control Library'!$A$5:$A$47,0))</f>
        <v>Y</v>
      </c>
      <c r="H367" s="12" t="str">
        <f aca="false">INDEX('Control Library'!$E$5:$E$47,MATCH(E367,'Control Library'!$A$5:$A$47,0))</f>
        <v>Continuous</v>
      </c>
      <c r="I367" s="7" t="str">
        <f aca="false">IF(INDEX('Control Library'!$I$5:$I$47,MATCH(E367,'Control Library'!$A$5:$A$47,0))="All","Y",IF(INDEX('Control Library'!$I$5:$I$47,MATCH(E367,'Control Library'!$A$5:$A$47,0))="Banks only",IF(COUNTIF('Residual Config'!$L$28:$L$30,INDEX(Entities!$E$5:$E$34,MATCH(B367,Entities!$A$5:$A$34,0)))&gt;0,"N/A","Y"),IF(INDEX(Entities!$G$5:$G$34,MATCH(B367,Entities!$A$5:$A$34,0))="Y","Y","N/A")))</f>
        <v>Y</v>
      </c>
      <c r="J367" s="8" t="s">
        <v>1630</v>
      </c>
      <c r="K367" s="8" t="s">
        <v>1584</v>
      </c>
      <c r="L367" s="7" t="str">
        <f aca="false">IF(OR(J367="",K367=""),"",IF(J367=K367,"Breach","OK"))</f>
        <v>OK</v>
      </c>
      <c r="M367" s="24" t="n">
        <v>3</v>
      </c>
      <c r="N367" s="50" t="n">
        <v>46256</v>
      </c>
      <c r="O367" s="8" t="s">
        <v>546</v>
      </c>
      <c r="P367" s="24" t="n">
        <v>1</v>
      </c>
      <c r="Q367" s="31" t="n">
        <f aca="false">IF(I367="N/A","",IFERROR(INDEX('Residual Config'!$B$35:$B$42,MATCH(H367,'Residual Config'!$A$35:$A$42,0)),""))</f>
        <v>1</v>
      </c>
      <c r="R367" s="24" t="n">
        <v>1</v>
      </c>
      <c r="S367" s="8" t="s">
        <v>521</v>
      </c>
      <c r="T367" s="31" t="n">
        <f aca="false">IF(S367="","",MATCH(S367,'Residual Config'!$L$9:$L$12,0))</f>
        <v>2</v>
      </c>
      <c r="U367" s="8" t="s">
        <v>1631</v>
      </c>
      <c r="V367" s="24" t="n">
        <v>2</v>
      </c>
      <c r="W367" s="33" t="s">
        <v>533</v>
      </c>
      <c r="X367" s="8" t="s">
        <v>760</v>
      </c>
      <c r="Y367" s="51" t="n">
        <f aca="false">IF(N367="","",EDATE(N367,IF(G367="N",INDEX('Residual Config'!$B$31:$D$31,1,MATCH(D367,'Residual Config'!$B$27:$D$27,0)),INDEX('Residual Config'!$B$28:$D$30,IF(T367=1,1,IF(T367=4,3,2)),MATCH(D367,'Residual Config'!$B$27:$D$27,0)))))</f>
        <v>46440</v>
      </c>
      <c r="Z367" s="7" t="str">
        <f aca="false">IF(I367="N/A","N/A",IF(N367="","Not tested",IF(W367="Rejected","Evidence rejected",IF(W367&lt;&gt;"Accepted","Evidence pending",IF(Y367&lt;'Residual Config'!$C$4,"Overdue","Current")))))</f>
        <v>Current</v>
      </c>
      <c r="AA367" s="34" t="n">
        <f aca="false">IF(I367="N/A","",IF(Z367&lt;&gt;"Current",4,IF(MAX(M367,T367)=0,4,MAX(M367,T367))))</f>
        <v>3</v>
      </c>
      <c r="AB367" s="7" t="str">
        <f aca="false">IF(AA367="","N/A",IF(Z367&lt;&gt;"Current","Not tested / overdue",INDEX('Residual Config'!$B$11:$B$14,AA367)))</f>
        <v>Partially effective</v>
      </c>
      <c r="AC367" s="36" t="n">
        <f aca="false">IF(AA367="","",INDEX('Residual Config'!$D$11:$D$14,AA367))</f>
        <v>0.2</v>
      </c>
      <c r="AD367" s="7" t="str">
        <f aca="false">IF(OR(I367="N/A",P367="",Q367=""),"",IF(P367&gt;=Q367,"Yes","No"))</f>
        <v>Yes</v>
      </c>
      <c r="AE367" s="8"/>
    </row>
    <row r="368" customFormat="false" ht="15" hidden="false" customHeight="false" outlineLevel="0" collapsed="false">
      <c r="A368" s="12" t="s">
        <v>1632</v>
      </c>
      <c r="B368" s="26" t="str">
        <f aca="false">Entities!$A$13</f>
        <v>SY</v>
      </c>
      <c r="C368" s="12" t="str">
        <f aca="false">INDEX(Entities!$B$5:$B$34,MATCH(B368,Entities!$A$5:$A$34,0))</f>
        <v>Arab Bank – Syria</v>
      </c>
      <c r="D368" s="7" t="str">
        <f aca="false">INDEX(Entities!$F$5:$F$34,MATCH(B368,Entities!$A$5:$A$34,0))</f>
        <v>Tier 2</v>
      </c>
      <c r="E368" s="26" t="str">
        <f aca="false">'Control Library'!$A$24</f>
        <v>CTL-FRD-02</v>
      </c>
      <c r="F368" s="12" t="str">
        <f aca="false">INDEX('Control Library'!$B$5:$B$47,MATCH(E368,'Control Library'!$A$5:$A$47,0))</f>
        <v>Maker-checker and dual control on payments and static data</v>
      </c>
      <c r="G368" s="7" t="str">
        <f aca="false">INDEX('Control Library'!$F$5:$F$47,MATCH(E368,'Control Library'!$A$5:$A$47,0))</f>
        <v>Y</v>
      </c>
      <c r="H368" s="12" t="str">
        <f aca="false">INDEX('Control Library'!$E$5:$E$47,MATCH(E368,'Control Library'!$A$5:$A$47,0))</f>
        <v>Daily</v>
      </c>
      <c r="I368" s="7" t="str">
        <f aca="false">IF(INDEX('Control Library'!$I$5:$I$47,MATCH(E368,'Control Library'!$A$5:$A$47,0))="All","Y",IF(INDEX('Control Library'!$I$5:$I$47,MATCH(E368,'Control Library'!$A$5:$A$47,0))="Banks only",IF(COUNTIF('Residual Config'!$L$28:$L$30,INDEX(Entities!$E$5:$E$34,MATCH(B368,Entities!$A$5:$A$34,0)))&gt;0,"N/A","Y"),IF(INDEX(Entities!$G$5:$G$34,MATCH(B368,Entities!$A$5:$A$34,0))="Y","Y","N/A")))</f>
        <v>Y</v>
      </c>
      <c r="J368" s="8" t="s">
        <v>1583</v>
      </c>
      <c r="K368" s="8" t="s">
        <v>1584</v>
      </c>
      <c r="L368" s="7" t="str">
        <f aca="false">IF(OR(J368="",K368=""),"",IF(J368=K368,"Breach","OK"))</f>
        <v>OK</v>
      </c>
      <c r="M368" s="24" t="n">
        <v>2</v>
      </c>
      <c r="N368" s="50" t="n">
        <v>46173</v>
      </c>
      <c r="O368" s="8" t="s">
        <v>545</v>
      </c>
      <c r="P368" s="24" t="n">
        <v>25</v>
      </c>
      <c r="Q368" s="31" t="n">
        <f aca="false">IF(I368="N/A","",IFERROR(INDEX('Residual Config'!$B$35:$B$42,MATCH(H368,'Residual Config'!$A$35:$A$42,0)),""))</f>
        <v>25</v>
      </c>
      <c r="R368" s="24" t="n">
        <v>1</v>
      </c>
      <c r="S368" s="8" t="s">
        <v>521</v>
      </c>
      <c r="T368" s="31" t="n">
        <f aca="false">IF(S368="","",MATCH(S368,'Residual Config'!$L$9:$L$12,0))</f>
        <v>2</v>
      </c>
      <c r="U368" s="8" t="s">
        <v>1633</v>
      </c>
      <c r="V368" s="24" t="n">
        <v>6</v>
      </c>
      <c r="W368" s="33" t="s">
        <v>533</v>
      </c>
      <c r="X368" s="8" t="s">
        <v>754</v>
      </c>
      <c r="Y368" s="51" t="n">
        <f aca="false">IF(N368="","",EDATE(N368,IF(G368="N",INDEX('Residual Config'!$B$31:$D$31,1,MATCH(D368,'Residual Config'!$B$27:$D$27,0)),INDEX('Residual Config'!$B$28:$D$30,IF(T368=1,1,IF(T368=4,3,2)),MATCH(D368,'Residual Config'!$B$27:$D$27,0)))))</f>
        <v>46356</v>
      </c>
      <c r="Z368" s="7" t="str">
        <f aca="false">IF(I368="N/A","N/A",IF(N368="","Not tested",IF(W368="Rejected","Evidence rejected",IF(W368&lt;&gt;"Accepted","Evidence pending",IF(Y368&lt;'Residual Config'!$C$4,"Overdue","Current")))))</f>
        <v>Current</v>
      </c>
      <c r="AA368" s="34" t="n">
        <f aca="false">IF(I368="N/A","",IF(Z368&lt;&gt;"Current",4,IF(MAX(M368,T368)=0,4,MAX(M368,T368))))</f>
        <v>2</v>
      </c>
      <c r="AB368" s="7" t="str">
        <f aca="false">IF(AA368="","N/A",IF(Z368&lt;&gt;"Current","Not tested / overdue",INDEX('Residual Config'!$B$11:$B$14,AA368)))</f>
        <v>Largely effective</v>
      </c>
      <c r="AC368" s="36" t="n">
        <f aca="false">IF(AA368="","",INDEX('Residual Config'!$D$11:$D$14,AA368))</f>
        <v>0.4</v>
      </c>
      <c r="AD368" s="7" t="str">
        <f aca="false">IF(OR(I368="N/A",P368="",Q368=""),"",IF(P368&gt;=Q368,"Yes","No"))</f>
        <v>Yes</v>
      </c>
      <c r="AE368" s="8"/>
    </row>
    <row r="369" customFormat="false" ht="15" hidden="false" customHeight="false" outlineLevel="0" collapsed="false">
      <c r="A369" s="12" t="s">
        <v>1634</v>
      </c>
      <c r="B369" s="26" t="str">
        <f aca="false">Entities!$A$13</f>
        <v>SY</v>
      </c>
      <c r="C369" s="12" t="str">
        <f aca="false">INDEX(Entities!$B$5:$B$34,MATCH(B369,Entities!$A$5:$A$34,0))</f>
        <v>Arab Bank – Syria</v>
      </c>
      <c r="D369" s="7" t="str">
        <f aca="false">INDEX(Entities!$F$5:$F$34,MATCH(B369,Entities!$A$5:$A$34,0))</f>
        <v>Tier 2</v>
      </c>
      <c r="E369" s="26" t="str">
        <f aca="false">'Control Library'!$A$25</f>
        <v>CTL-FRD-03</v>
      </c>
      <c r="F369" s="12" t="str">
        <f aca="false">INDEX('Control Library'!$B$5:$B$47,MATCH(E369,'Control Library'!$A$5:$A$47,0))</f>
        <v>Mandatory consecutive leave and rotation for sensitive roles</v>
      </c>
      <c r="G369" s="7" t="str">
        <f aca="false">INDEX('Control Library'!$F$5:$F$47,MATCH(E369,'Control Library'!$A$5:$A$47,0))</f>
        <v>N</v>
      </c>
      <c r="H369" s="12" t="str">
        <f aca="false">INDEX('Control Library'!$E$5:$E$47,MATCH(E369,'Control Library'!$A$5:$A$47,0))</f>
        <v>Annual</v>
      </c>
      <c r="I369" s="7" t="str">
        <f aca="false">IF(INDEX('Control Library'!$I$5:$I$47,MATCH(E369,'Control Library'!$A$5:$A$47,0))="All","Y",IF(INDEX('Control Library'!$I$5:$I$47,MATCH(E369,'Control Library'!$A$5:$A$47,0))="Banks only",IF(COUNTIF('Residual Config'!$L$28:$L$30,INDEX(Entities!$E$5:$E$34,MATCH(B369,Entities!$A$5:$A$34,0)))&gt;0,"N/A","Y"),IF(INDEX(Entities!$G$5:$G$34,MATCH(B369,Entities!$A$5:$A$34,0))="Y","Y","N/A")))</f>
        <v>Y</v>
      </c>
      <c r="J369" s="8" t="s">
        <v>1635</v>
      </c>
      <c r="K369" s="8" t="s">
        <v>1584</v>
      </c>
      <c r="L369" s="7" t="str">
        <f aca="false">IF(OR(J369="",K369=""),"",IF(J369=K369,"Breach","OK"))</f>
        <v>OK</v>
      </c>
      <c r="M369" s="24" t="n">
        <v>3</v>
      </c>
      <c r="N369" s="50" t="n">
        <v>46037</v>
      </c>
      <c r="O369" s="8" t="s">
        <v>545</v>
      </c>
      <c r="P369" s="24" t="n">
        <v>1</v>
      </c>
      <c r="Q369" s="31" t="n">
        <f aca="false">IF(I369="N/A","",IFERROR(INDEX('Residual Config'!$B$35:$B$42,MATCH(H369,'Residual Config'!$A$35:$A$42,0)),""))</f>
        <v>1</v>
      </c>
      <c r="R369" s="24" t="n">
        <v>1</v>
      </c>
      <c r="S369" s="8" t="s">
        <v>521</v>
      </c>
      <c r="T369" s="31" t="n">
        <f aca="false">IF(S369="","",MATCH(S369,'Residual Config'!$L$9:$L$12,0))</f>
        <v>2</v>
      </c>
      <c r="U369" s="8" t="s">
        <v>1636</v>
      </c>
      <c r="V369" s="24" t="n">
        <v>2</v>
      </c>
      <c r="W369" s="33" t="s">
        <v>533</v>
      </c>
      <c r="X369" s="8" t="s">
        <v>754</v>
      </c>
      <c r="Y369" s="51" t="n">
        <f aca="false">IF(N369="","",EDATE(N369,IF(G369="N",INDEX('Residual Config'!$B$31:$D$31,1,MATCH(D369,'Residual Config'!$B$27:$D$27,0)),INDEX('Residual Config'!$B$28:$D$30,IF(T369=1,1,IF(T369=4,3,2)),MATCH(D369,'Residual Config'!$B$27:$D$27,0)))))</f>
        <v>46402</v>
      </c>
      <c r="Z369" s="7" t="str">
        <f aca="false">IF(I369="N/A","N/A",IF(N369="","Not tested",IF(W369="Rejected","Evidence rejected",IF(W369&lt;&gt;"Accepted","Evidence pending",IF(Y369&lt;'Residual Config'!$C$4,"Overdue","Current")))))</f>
        <v>Current</v>
      </c>
      <c r="AA369" s="34" t="n">
        <f aca="false">IF(I369="N/A","",IF(Z369&lt;&gt;"Current",4,IF(MAX(M369,T369)=0,4,MAX(M369,T369))))</f>
        <v>3</v>
      </c>
      <c r="AB369" s="7" t="str">
        <f aca="false">IF(AA369="","N/A",IF(Z369&lt;&gt;"Current","Not tested / overdue",INDEX('Residual Config'!$B$11:$B$14,AA369)))</f>
        <v>Partially effective</v>
      </c>
      <c r="AC369" s="36" t="n">
        <f aca="false">IF(AA369="","",INDEX('Residual Config'!$D$11:$D$14,AA369))</f>
        <v>0.2</v>
      </c>
      <c r="AD369" s="7" t="str">
        <f aca="false">IF(OR(I369="N/A",P369="",Q369=""),"",IF(P369&gt;=Q369,"Yes","No"))</f>
        <v>Yes</v>
      </c>
      <c r="AE369" s="8"/>
    </row>
    <row r="370" customFormat="false" ht="15" hidden="false" customHeight="false" outlineLevel="0" collapsed="false">
      <c r="A370" s="12" t="s">
        <v>1637</v>
      </c>
      <c r="B370" s="26" t="str">
        <f aca="false">Entities!$A$13</f>
        <v>SY</v>
      </c>
      <c r="C370" s="12" t="str">
        <f aca="false">INDEX(Entities!$B$5:$B$34,MATCH(B370,Entities!$A$5:$A$34,0))</f>
        <v>Arab Bank – Syria</v>
      </c>
      <c r="D370" s="7" t="str">
        <f aca="false">INDEX(Entities!$F$5:$F$34,MATCH(B370,Entities!$A$5:$A$34,0))</f>
        <v>Tier 2</v>
      </c>
      <c r="E370" s="26" t="str">
        <f aca="false">'Control Library'!$A$26</f>
        <v>CTL-TAX-01</v>
      </c>
      <c r="F370" s="12" t="str">
        <f aca="false">INDEX('Control Library'!$B$5:$B$47,MATCH(E370,'Control Library'!$A$5:$A$47,0))</f>
        <v>FATCA/CRS self-certification and classification</v>
      </c>
      <c r="G370" s="7" t="str">
        <f aca="false">INDEX('Control Library'!$F$5:$F$47,MATCH(E370,'Control Library'!$A$5:$A$47,0))</f>
        <v>Y</v>
      </c>
      <c r="H370" s="12" t="str">
        <f aca="false">INDEX('Control Library'!$E$5:$E$47,MATCH(E370,'Control Library'!$A$5:$A$47,0))</f>
        <v>Event-driven</v>
      </c>
      <c r="I370" s="7" t="str">
        <f aca="false">IF(INDEX('Control Library'!$I$5:$I$47,MATCH(E370,'Control Library'!$A$5:$A$47,0))="All","Y",IF(INDEX('Control Library'!$I$5:$I$47,MATCH(E370,'Control Library'!$A$5:$A$47,0))="Banks only",IF(COUNTIF('Residual Config'!$L$28:$L$30,INDEX(Entities!$E$5:$E$34,MATCH(B370,Entities!$A$5:$A$34,0)))&gt;0,"N/A","Y"),IF(INDEX(Entities!$G$5:$G$34,MATCH(B370,Entities!$A$5:$A$34,0))="Y","Y","N/A")))</f>
        <v>Y</v>
      </c>
      <c r="J370" s="8" t="s">
        <v>1583</v>
      </c>
      <c r="K370" s="8" t="s">
        <v>1584</v>
      </c>
      <c r="L370" s="7" t="str">
        <f aca="false">IF(OR(J370="",K370=""),"",IF(J370=K370,"Breach","OK"))</f>
        <v>OK</v>
      </c>
      <c r="M370" s="24" t="n">
        <v>3</v>
      </c>
      <c r="N370" s="50" t="n">
        <v>45975</v>
      </c>
      <c r="O370" s="8" t="s">
        <v>546</v>
      </c>
      <c r="P370" s="24" t="n">
        <v>30</v>
      </c>
      <c r="Q370" s="31" t="n">
        <f aca="false">IF(I370="N/A","",IFERROR(INDEX('Residual Config'!$B$35:$B$42,MATCH(H370,'Residual Config'!$A$35:$A$42,0)),""))</f>
        <v>25</v>
      </c>
      <c r="R370" s="24" t="n">
        <v>0</v>
      </c>
      <c r="S370" s="8" t="s">
        <v>516</v>
      </c>
      <c r="T370" s="31" t="n">
        <f aca="false">IF(S370="","",MATCH(S370,'Residual Config'!$L$9:$L$12,0))</f>
        <v>1</v>
      </c>
      <c r="U370" s="8" t="s">
        <v>1638</v>
      </c>
      <c r="V370" s="24" t="n">
        <v>6</v>
      </c>
      <c r="W370" s="33" t="s">
        <v>533</v>
      </c>
      <c r="X370" s="8" t="s">
        <v>754</v>
      </c>
      <c r="Y370" s="51" t="n">
        <f aca="false">IF(N370="","",EDATE(N370,IF(G370="N",INDEX('Residual Config'!$B$31:$D$31,1,MATCH(D370,'Residual Config'!$B$27:$D$27,0)),INDEX('Residual Config'!$B$28:$D$30,IF(T370=1,1,IF(T370=4,3,2)),MATCH(D370,'Residual Config'!$B$27:$D$27,0)))))</f>
        <v>46340</v>
      </c>
      <c r="Z370" s="7" t="str">
        <f aca="false">IF(I370="N/A","N/A",IF(N370="","Not tested",IF(W370="Rejected","Evidence rejected",IF(W370&lt;&gt;"Accepted","Evidence pending",IF(Y370&lt;'Residual Config'!$C$4,"Overdue","Current")))))</f>
        <v>Current</v>
      </c>
      <c r="AA370" s="34" t="n">
        <f aca="false">IF(I370="N/A","",IF(Z370&lt;&gt;"Current",4,IF(MAX(M370,T370)=0,4,MAX(M370,T370))))</f>
        <v>3</v>
      </c>
      <c r="AB370" s="7" t="str">
        <f aca="false">IF(AA370="","N/A",IF(Z370&lt;&gt;"Current","Not tested / overdue",INDEX('Residual Config'!$B$11:$B$14,AA370)))</f>
        <v>Partially effective</v>
      </c>
      <c r="AC370" s="36" t="n">
        <f aca="false">IF(AA370="","",INDEX('Residual Config'!$D$11:$D$14,AA370))</f>
        <v>0.2</v>
      </c>
      <c r="AD370" s="7" t="str">
        <f aca="false">IF(OR(I370="N/A",P370="",Q370=""),"",IF(P370&gt;=Q370,"Yes","No"))</f>
        <v>Yes</v>
      </c>
      <c r="AE370" s="8"/>
    </row>
    <row r="371" customFormat="false" ht="15" hidden="false" customHeight="false" outlineLevel="0" collapsed="false">
      <c r="A371" s="12" t="s">
        <v>1639</v>
      </c>
      <c r="B371" s="26" t="str">
        <f aca="false">Entities!$A$13</f>
        <v>SY</v>
      </c>
      <c r="C371" s="12" t="str">
        <f aca="false">INDEX(Entities!$B$5:$B$34,MATCH(B371,Entities!$A$5:$A$34,0))</f>
        <v>Arab Bank – Syria</v>
      </c>
      <c r="D371" s="7" t="str">
        <f aca="false">INDEX(Entities!$F$5:$F$34,MATCH(B371,Entities!$A$5:$A$34,0))</f>
        <v>Tier 2</v>
      </c>
      <c r="E371" s="26" t="str">
        <f aca="false">'Control Library'!$A$27</f>
        <v>CTL-TAX-02</v>
      </c>
      <c r="F371" s="12" t="str">
        <f aca="false">INDEX('Control Library'!$B$5:$B$47,MATCH(E371,'Control Library'!$A$5:$A$47,0))</f>
        <v>FATCA/CRS reporting reconciliation and timely filing</v>
      </c>
      <c r="G371" s="7" t="str">
        <f aca="false">INDEX('Control Library'!$F$5:$F$47,MATCH(E371,'Control Library'!$A$5:$A$47,0))</f>
        <v>N</v>
      </c>
      <c r="H371" s="12" t="str">
        <f aca="false">INDEX('Control Library'!$E$5:$E$47,MATCH(E371,'Control Library'!$A$5:$A$47,0))</f>
        <v>Annual</v>
      </c>
      <c r="I371" s="7" t="str">
        <f aca="false">IF(INDEX('Control Library'!$I$5:$I$47,MATCH(E371,'Control Library'!$A$5:$A$47,0))="All","Y",IF(INDEX('Control Library'!$I$5:$I$47,MATCH(E371,'Control Library'!$A$5:$A$47,0))="Banks only",IF(COUNTIF('Residual Config'!$L$28:$L$30,INDEX(Entities!$E$5:$E$34,MATCH(B371,Entities!$A$5:$A$34,0)))&gt;0,"N/A","Y"),IF(INDEX(Entities!$G$5:$G$34,MATCH(B371,Entities!$A$5:$A$34,0))="Y","Y","N/A")))</f>
        <v>Y</v>
      </c>
      <c r="J371" s="8" t="s">
        <v>1640</v>
      </c>
      <c r="K371" s="8" t="s">
        <v>1584</v>
      </c>
      <c r="L371" s="7" t="str">
        <f aca="false">IF(OR(J371="",K371=""),"",IF(J371=K371,"Breach","OK"))</f>
        <v>OK</v>
      </c>
      <c r="M371" s="24" t="n">
        <v>1</v>
      </c>
      <c r="N371" s="50" t="n">
        <v>46034</v>
      </c>
      <c r="O371" s="8" t="s">
        <v>545</v>
      </c>
      <c r="P371" s="24" t="n">
        <v>1</v>
      </c>
      <c r="Q371" s="31" t="n">
        <f aca="false">IF(I371="N/A","",IFERROR(INDEX('Residual Config'!$B$35:$B$42,MATCH(H371,'Residual Config'!$A$35:$A$42,0)),""))</f>
        <v>1</v>
      </c>
      <c r="R371" s="24" t="n">
        <v>1</v>
      </c>
      <c r="S371" s="8" t="s">
        <v>524</v>
      </c>
      <c r="T371" s="31" t="n">
        <f aca="false">IF(S371="","",MATCH(S371,'Residual Config'!$L$9:$L$12,0))</f>
        <v>3</v>
      </c>
      <c r="U371" s="8" t="s">
        <v>1641</v>
      </c>
      <c r="V371" s="24" t="n">
        <v>3</v>
      </c>
      <c r="W371" s="33" t="s">
        <v>533</v>
      </c>
      <c r="X371" s="8" t="s">
        <v>754</v>
      </c>
      <c r="Y371" s="51" t="n">
        <f aca="false">IF(N371="","",EDATE(N371,IF(G371="N",INDEX('Residual Config'!$B$31:$D$31,1,MATCH(D371,'Residual Config'!$B$27:$D$27,0)),INDEX('Residual Config'!$B$28:$D$30,IF(T371=1,1,IF(T371=4,3,2)),MATCH(D371,'Residual Config'!$B$27:$D$27,0)))))</f>
        <v>46399</v>
      </c>
      <c r="Z371" s="7" t="str">
        <f aca="false">IF(I371="N/A","N/A",IF(N371="","Not tested",IF(W371="Rejected","Evidence rejected",IF(W371&lt;&gt;"Accepted","Evidence pending",IF(Y371&lt;'Residual Config'!$C$4,"Overdue","Current")))))</f>
        <v>Current</v>
      </c>
      <c r="AA371" s="34" t="n">
        <f aca="false">IF(I371="N/A","",IF(Z371&lt;&gt;"Current",4,IF(MAX(M371,T371)=0,4,MAX(M371,T371))))</f>
        <v>3</v>
      </c>
      <c r="AB371" s="7" t="str">
        <f aca="false">IF(AA371="","N/A",IF(Z371&lt;&gt;"Current","Not tested / overdue",INDEX('Residual Config'!$B$11:$B$14,AA371)))</f>
        <v>Partially effective</v>
      </c>
      <c r="AC371" s="36" t="n">
        <f aca="false">IF(AA371="","",INDEX('Residual Config'!$D$11:$D$14,AA371))</f>
        <v>0.2</v>
      </c>
      <c r="AD371" s="7" t="str">
        <f aca="false">IF(OR(I371="N/A",P371="",Q371=""),"",IF(P371&gt;=Q371,"Yes","No"))</f>
        <v>Yes</v>
      </c>
      <c r="AE371" s="8"/>
    </row>
    <row r="372" customFormat="false" ht="15" hidden="false" customHeight="false" outlineLevel="0" collapsed="false">
      <c r="A372" s="12" t="s">
        <v>1642</v>
      </c>
      <c r="B372" s="26" t="str">
        <f aca="false">Entities!$A$13</f>
        <v>SY</v>
      </c>
      <c r="C372" s="12" t="str">
        <f aca="false">INDEX(Entities!$B$5:$B$34,MATCH(B372,Entities!$A$5:$A$34,0))</f>
        <v>Arab Bank – Syria</v>
      </c>
      <c r="D372" s="7" t="str">
        <f aca="false">INDEX(Entities!$F$5:$F$34,MATCH(B372,Entities!$A$5:$A$34,0))</f>
        <v>Tier 2</v>
      </c>
      <c r="E372" s="26" t="str">
        <f aca="false">'Control Library'!$A$28</f>
        <v>CTL-TRN-01</v>
      </c>
      <c r="F372" s="12" t="str">
        <f aca="false">INDEX('Control Library'!$B$5:$B$47,MATCH(E372,'Control Library'!$A$5:$A$47,0))</f>
        <v>Annual AML, sanctions and anti-bribery training</v>
      </c>
      <c r="G372" s="7" t="str">
        <f aca="false">INDEX('Control Library'!$F$5:$F$47,MATCH(E372,'Control Library'!$A$5:$A$47,0))</f>
        <v>N</v>
      </c>
      <c r="H372" s="12" t="str">
        <f aca="false">INDEX('Control Library'!$E$5:$E$47,MATCH(E372,'Control Library'!$A$5:$A$47,0))</f>
        <v>Annual</v>
      </c>
      <c r="I372" s="7" t="str">
        <f aca="false">IF(INDEX('Control Library'!$I$5:$I$47,MATCH(E372,'Control Library'!$A$5:$A$47,0))="All","Y",IF(INDEX('Control Library'!$I$5:$I$47,MATCH(E372,'Control Library'!$A$5:$A$47,0))="Banks only",IF(COUNTIF('Residual Config'!$L$28:$L$30,INDEX(Entities!$E$5:$E$34,MATCH(B372,Entities!$A$5:$A$34,0)))&gt;0,"N/A","Y"),IF(INDEX(Entities!$G$5:$G$34,MATCH(B372,Entities!$A$5:$A$34,0))="Y","Y","N/A")))</f>
        <v>Y</v>
      </c>
      <c r="J372" s="8" t="s">
        <v>1587</v>
      </c>
      <c r="K372" s="8" t="s">
        <v>1584</v>
      </c>
      <c r="L372" s="7" t="str">
        <f aca="false">IF(OR(J372="",K372=""),"",IF(J372=K372,"Breach","OK"))</f>
        <v>OK</v>
      </c>
      <c r="M372" s="24" t="n">
        <v>2</v>
      </c>
      <c r="N372" s="50" t="n">
        <v>46214</v>
      </c>
      <c r="O372" s="8" t="s">
        <v>545</v>
      </c>
      <c r="P372" s="24" t="n">
        <v>1</v>
      </c>
      <c r="Q372" s="31" t="n">
        <f aca="false">IF(I372="N/A","",IFERROR(INDEX('Residual Config'!$B$35:$B$42,MATCH(H372,'Residual Config'!$A$35:$A$42,0)),""))</f>
        <v>1</v>
      </c>
      <c r="R372" s="24" t="n">
        <v>1</v>
      </c>
      <c r="S372" s="8" t="s">
        <v>521</v>
      </c>
      <c r="T372" s="31" t="n">
        <f aca="false">IF(S372="","",MATCH(S372,'Residual Config'!$L$9:$L$12,0))</f>
        <v>2</v>
      </c>
      <c r="U372" s="8" t="s">
        <v>1643</v>
      </c>
      <c r="V372" s="24" t="n">
        <v>5</v>
      </c>
      <c r="W372" s="33" t="s">
        <v>536</v>
      </c>
      <c r="X372" s="8"/>
      <c r="Y372" s="51" t="n">
        <f aca="false">IF(N372="","",EDATE(N372,IF(G372="N",INDEX('Residual Config'!$B$31:$D$31,1,MATCH(D372,'Residual Config'!$B$27:$D$27,0)),INDEX('Residual Config'!$B$28:$D$30,IF(T372=1,1,IF(T372=4,3,2)),MATCH(D372,'Residual Config'!$B$27:$D$27,0)))))</f>
        <v>46579</v>
      </c>
      <c r="Z372" s="7" t="str">
        <f aca="false">IF(I372="N/A","N/A",IF(N372="","Not tested",IF(W372="Rejected","Evidence rejected",IF(W372&lt;&gt;"Accepted","Evidence pending",IF(Y372&lt;'Residual Config'!$C$4,"Overdue","Current")))))</f>
        <v>Evidence pending</v>
      </c>
      <c r="AA372" s="34" t="n">
        <f aca="false">IF(I372="N/A","",IF(Z372&lt;&gt;"Current",4,IF(MAX(M372,T372)=0,4,MAX(M372,T372))))</f>
        <v>4</v>
      </c>
      <c r="AB372" s="7" t="str">
        <f aca="false">IF(AA372="","N/A",IF(Z372&lt;&gt;"Current","Not tested / overdue",INDEX('Residual Config'!$B$11:$B$14,AA372)))</f>
        <v>Not tested / overdue</v>
      </c>
      <c r="AC372" s="36" t="n">
        <f aca="false">IF(AA372="","",INDEX('Residual Config'!$D$11:$D$14,AA372))</f>
        <v>0</v>
      </c>
      <c r="AD372" s="7" t="str">
        <f aca="false">IF(OR(I372="N/A",P372="",Q372=""),"",IF(P372&gt;=Q372,"Yes","No"))</f>
        <v>Yes</v>
      </c>
      <c r="AE372" s="8"/>
    </row>
    <row r="373" customFormat="false" ht="15" hidden="false" customHeight="false" outlineLevel="0" collapsed="false">
      <c r="A373" s="12" t="s">
        <v>1644</v>
      </c>
      <c r="B373" s="26" t="str">
        <f aca="false">Entities!$A$13</f>
        <v>SY</v>
      </c>
      <c r="C373" s="12" t="str">
        <f aca="false">INDEX(Entities!$B$5:$B$34,MATCH(B373,Entities!$A$5:$A$34,0))</f>
        <v>Arab Bank – Syria</v>
      </c>
      <c r="D373" s="7" t="str">
        <f aca="false">INDEX(Entities!$F$5:$F$34,MATCH(B373,Entities!$A$5:$A$34,0))</f>
        <v>Tier 2</v>
      </c>
      <c r="E373" s="26" t="str">
        <f aca="false">'Control Library'!$A$29</f>
        <v>CTL-REG-01</v>
      </c>
      <c r="F373" s="12" t="str">
        <f aca="false">INDEX('Control Library'!$B$5:$B$47,MATCH(E373,'Control Library'!$A$5:$A$47,0))</f>
        <v>Regulatory change management and obligations register</v>
      </c>
      <c r="G373" s="7" t="str">
        <f aca="false">INDEX('Control Library'!$F$5:$F$47,MATCH(E373,'Control Library'!$A$5:$A$47,0))</f>
        <v>Y</v>
      </c>
      <c r="H373" s="12" t="str">
        <f aca="false">INDEX('Control Library'!$E$5:$E$47,MATCH(E373,'Control Library'!$A$5:$A$47,0))</f>
        <v>Monthly</v>
      </c>
      <c r="I373" s="7" t="str">
        <f aca="false">IF(INDEX('Control Library'!$I$5:$I$47,MATCH(E373,'Control Library'!$A$5:$A$47,0))="All","Y",IF(INDEX('Control Library'!$I$5:$I$47,MATCH(E373,'Control Library'!$A$5:$A$47,0))="Banks only",IF(COUNTIF('Residual Config'!$L$28:$L$30,INDEX(Entities!$E$5:$E$34,MATCH(B373,Entities!$A$5:$A$34,0)))&gt;0,"N/A","Y"),IF(INDEX(Entities!$G$5:$G$34,MATCH(B373,Entities!$A$5:$A$34,0))="Y","Y","N/A")))</f>
        <v>Y</v>
      </c>
      <c r="J373" s="8" t="s">
        <v>1587</v>
      </c>
      <c r="K373" s="8" t="s">
        <v>1584</v>
      </c>
      <c r="L373" s="7" t="str">
        <f aca="false">IF(OR(J373="",K373=""),"",IF(J373=K373,"Breach","OK"))</f>
        <v>OK</v>
      </c>
      <c r="M373" s="24" t="n">
        <v>3</v>
      </c>
      <c r="N373" s="50" t="n">
        <v>46195</v>
      </c>
      <c r="O373" s="8" t="s">
        <v>546</v>
      </c>
      <c r="P373" s="24" t="n">
        <v>3</v>
      </c>
      <c r="Q373" s="31" t="n">
        <f aca="false">IF(I373="N/A","",IFERROR(INDEX('Residual Config'!$B$35:$B$42,MATCH(H373,'Residual Config'!$A$35:$A$42,0)),""))</f>
        <v>3</v>
      </c>
      <c r="R373" s="24" t="n">
        <v>3</v>
      </c>
      <c r="S373" s="8" t="s">
        <v>524</v>
      </c>
      <c r="T373" s="31" t="n">
        <f aca="false">IF(S373="","",MATCH(S373,'Residual Config'!$L$9:$L$12,0))</f>
        <v>3</v>
      </c>
      <c r="U373" s="8" t="s">
        <v>1645</v>
      </c>
      <c r="V373" s="24" t="n">
        <v>5</v>
      </c>
      <c r="W373" s="33" t="s">
        <v>535</v>
      </c>
      <c r="X373" s="8" t="s">
        <v>754</v>
      </c>
      <c r="Y373" s="51" t="n">
        <f aca="false">IF(N373="","",EDATE(N373,IF(G373="N",INDEX('Residual Config'!$B$31:$D$31,1,MATCH(D373,'Residual Config'!$B$27:$D$27,0)),INDEX('Residual Config'!$B$28:$D$30,IF(T373=1,1,IF(T373=4,3,2)),MATCH(D373,'Residual Config'!$B$27:$D$27,0)))))</f>
        <v>46378</v>
      </c>
      <c r="Z373" s="7" t="str">
        <f aca="false">IF(I373="N/A","N/A",IF(N373="","Not tested",IF(W373="Rejected","Evidence rejected",IF(W373&lt;&gt;"Accepted","Evidence pending",IF(Y373&lt;'Residual Config'!$C$4,"Overdue","Current")))))</f>
        <v>Evidence rejected</v>
      </c>
      <c r="AA373" s="34" t="n">
        <f aca="false">IF(I373="N/A","",IF(Z373&lt;&gt;"Current",4,IF(MAX(M373,T373)=0,4,MAX(M373,T373))))</f>
        <v>4</v>
      </c>
      <c r="AB373" s="7" t="str">
        <f aca="false">IF(AA373="","N/A",IF(Z373&lt;&gt;"Current","Not tested / overdue",INDEX('Residual Config'!$B$11:$B$14,AA373)))</f>
        <v>Not tested / overdue</v>
      </c>
      <c r="AC373" s="36" t="n">
        <f aca="false">IF(AA373="","",INDEX('Residual Config'!$D$11:$D$14,AA373))</f>
        <v>0</v>
      </c>
      <c r="AD373" s="7" t="str">
        <f aca="false">IF(OR(I373="N/A",P373="",Q373=""),"",IF(P373&gt;=Q373,"Yes","No"))</f>
        <v>Yes</v>
      </c>
      <c r="AE373" s="8"/>
    </row>
    <row r="374" customFormat="false" ht="15" hidden="false" customHeight="false" outlineLevel="0" collapsed="false">
      <c r="A374" s="12" t="s">
        <v>1646</v>
      </c>
      <c r="B374" s="26" t="str">
        <f aca="false">Entities!$A$13</f>
        <v>SY</v>
      </c>
      <c r="C374" s="12" t="str">
        <f aca="false">INDEX(Entities!$B$5:$B$34,MATCH(B374,Entities!$A$5:$A$34,0))</f>
        <v>Arab Bank – Syria</v>
      </c>
      <c r="D374" s="7" t="str">
        <f aca="false">INDEX(Entities!$F$5:$F$34,MATCH(B374,Entities!$A$5:$A$34,0))</f>
        <v>Tier 2</v>
      </c>
      <c r="E374" s="26" t="str">
        <f aca="false">'Control Library'!$A$30</f>
        <v>CTL-REG-02</v>
      </c>
      <c r="F374" s="12" t="str">
        <f aca="false">INDEX('Control Library'!$B$5:$B$47,MATCH(E374,'Control Library'!$A$5:$A$47,0))</f>
        <v>Regulatory return review and senior sign-off</v>
      </c>
      <c r="G374" s="7" t="str">
        <f aca="false">INDEX('Control Library'!$F$5:$F$47,MATCH(E374,'Control Library'!$A$5:$A$47,0))</f>
        <v>Y</v>
      </c>
      <c r="H374" s="12" t="str">
        <f aca="false">INDEX('Control Library'!$E$5:$E$47,MATCH(E374,'Control Library'!$A$5:$A$47,0))</f>
        <v>Monthly</v>
      </c>
      <c r="I374" s="7" t="str">
        <f aca="false">IF(INDEX('Control Library'!$I$5:$I$47,MATCH(E374,'Control Library'!$A$5:$A$47,0))="All","Y",IF(INDEX('Control Library'!$I$5:$I$47,MATCH(E374,'Control Library'!$A$5:$A$47,0))="Banks only",IF(COUNTIF('Residual Config'!$L$28:$L$30,INDEX(Entities!$E$5:$E$34,MATCH(B374,Entities!$A$5:$A$34,0)))&gt;0,"N/A","Y"),IF(INDEX(Entities!$G$5:$G$34,MATCH(B374,Entities!$A$5:$A$34,0))="Y","Y","N/A")))</f>
        <v>Y</v>
      </c>
      <c r="J374" s="8" t="s">
        <v>1640</v>
      </c>
      <c r="K374" s="8" t="s">
        <v>1584</v>
      </c>
      <c r="L374" s="7" t="str">
        <f aca="false">IF(OR(J374="",K374=""),"",IF(J374=K374,"Breach","OK"))</f>
        <v>OK</v>
      </c>
      <c r="M374" s="24" t="n">
        <v>2</v>
      </c>
      <c r="N374" s="50" t="n">
        <v>46183</v>
      </c>
      <c r="O374" s="8" t="s">
        <v>546</v>
      </c>
      <c r="P374" s="24" t="n">
        <v>3</v>
      </c>
      <c r="Q374" s="31" t="n">
        <f aca="false">IF(I374="N/A","",IFERROR(INDEX('Residual Config'!$B$35:$B$42,MATCH(H374,'Residual Config'!$A$35:$A$42,0)),""))</f>
        <v>3</v>
      </c>
      <c r="R374" s="24" t="n">
        <v>1</v>
      </c>
      <c r="S374" s="8" t="s">
        <v>521</v>
      </c>
      <c r="T374" s="31" t="n">
        <f aca="false">IF(S374="","",MATCH(S374,'Residual Config'!$L$9:$L$12,0))</f>
        <v>2</v>
      </c>
      <c r="U374" s="8" t="s">
        <v>1647</v>
      </c>
      <c r="V374" s="24" t="n">
        <v>3</v>
      </c>
      <c r="W374" s="33" t="s">
        <v>533</v>
      </c>
      <c r="X374" s="8" t="s">
        <v>754</v>
      </c>
      <c r="Y374" s="51" t="n">
        <f aca="false">IF(N374="","",EDATE(N374,IF(G374="N",INDEX('Residual Config'!$B$31:$D$31,1,MATCH(D374,'Residual Config'!$B$27:$D$27,0)),INDEX('Residual Config'!$B$28:$D$30,IF(T374=1,1,IF(T374=4,3,2)),MATCH(D374,'Residual Config'!$B$27:$D$27,0)))))</f>
        <v>46366</v>
      </c>
      <c r="Z374" s="7" t="str">
        <f aca="false">IF(I374="N/A","N/A",IF(N374="","Not tested",IF(W374="Rejected","Evidence rejected",IF(W374&lt;&gt;"Accepted","Evidence pending",IF(Y374&lt;'Residual Config'!$C$4,"Overdue","Current")))))</f>
        <v>Current</v>
      </c>
      <c r="AA374" s="34" t="n">
        <f aca="false">IF(I374="N/A","",IF(Z374&lt;&gt;"Current",4,IF(MAX(M374,T374)=0,4,MAX(M374,T374))))</f>
        <v>2</v>
      </c>
      <c r="AB374" s="7" t="str">
        <f aca="false">IF(AA374="","N/A",IF(Z374&lt;&gt;"Current","Not tested / overdue",INDEX('Residual Config'!$B$11:$B$14,AA374)))</f>
        <v>Largely effective</v>
      </c>
      <c r="AC374" s="36" t="n">
        <f aca="false">IF(AA374="","",INDEX('Residual Config'!$D$11:$D$14,AA374))</f>
        <v>0.4</v>
      </c>
      <c r="AD374" s="7" t="str">
        <f aca="false">IF(OR(I374="N/A",P374="",Q374=""),"",IF(P374&gt;=Q374,"Yes","No"))</f>
        <v>Yes</v>
      </c>
      <c r="AE374" s="8"/>
    </row>
    <row r="375" customFormat="false" ht="15" hidden="false" customHeight="false" outlineLevel="0" collapsed="false">
      <c r="A375" s="12" t="s">
        <v>1648</v>
      </c>
      <c r="B375" s="26" t="str">
        <f aca="false">Entities!$A$13</f>
        <v>SY</v>
      </c>
      <c r="C375" s="12" t="str">
        <f aca="false">INDEX(Entities!$B$5:$B$34,MATCH(B375,Entities!$A$5:$A$34,0))</f>
        <v>Arab Bank – Syria</v>
      </c>
      <c r="D375" s="7" t="str">
        <f aca="false">INDEX(Entities!$F$5:$F$34,MATCH(B375,Entities!$A$5:$A$34,0))</f>
        <v>Tier 2</v>
      </c>
      <c r="E375" s="26" t="str">
        <f aca="false">'Control Library'!$A$31</f>
        <v>CTL-CON-01</v>
      </c>
      <c r="F375" s="12" t="str">
        <f aca="false">INDEX('Control Library'!$B$5:$B$47,MATCH(E375,'Control Library'!$A$5:$A$47,0))</f>
        <v>New product approval and suitability assessment</v>
      </c>
      <c r="G375" s="7" t="str">
        <f aca="false">INDEX('Control Library'!$F$5:$F$47,MATCH(E375,'Control Library'!$A$5:$A$47,0))</f>
        <v>Y</v>
      </c>
      <c r="H375" s="12" t="str">
        <f aca="false">INDEX('Control Library'!$E$5:$E$47,MATCH(E375,'Control Library'!$A$5:$A$47,0))</f>
        <v>Event-driven</v>
      </c>
      <c r="I375" s="7" t="str">
        <f aca="false">IF(INDEX('Control Library'!$I$5:$I$47,MATCH(E375,'Control Library'!$A$5:$A$47,0))="All","Y",IF(INDEX('Control Library'!$I$5:$I$47,MATCH(E375,'Control Library'!$A$5:$A$47,0))="Banks only",IF(COUNTIF('Residual Config'!$L$28:$L$30,INDEX(Entities!$E$5:$E$34,MATCH(B375,Entities!$A$5:$A$34,0)))&gt;0,"N/A","Y"),IF(INDEX(Entities!$G$5:$G$34,MATCH(B375,Entities!$A$5:$A$34,0))="Y","Y","N/A")))</f>
        <v>Y</v>
      </c>
      <c r="J375" s="8" t="s">
        <v>1587</v>
      </c>
      <c r="K375" s="8" t="s">
        <v>1584</v>
      </c>
      <c r="L375" s="7" t="str">
        <f aca="false">IF(OR(J375="",K375=""),"",IF(J375=K375,"Breach","OK"))</f>
        <v>OK</v>
      </c>
      <c r="M375" s="24" t="n">
        <v>2</v>
      </c>
      <c r="N375" s="50" t="n">
        <v>46183</v>
      </c>
      <c r="O375" s="8" t="s">
        <v>546</v>
      </c>
      <c r="P375" s="24" t="n">
        <v>25</v>
      </c>
      <c r="Q375" s="31" t="n">
        <f aca="false">IF(I375="N/A","",IFERROR(INDEX('Residual Config'!$B$35:$B$42,MATCH(H375,'Residual Config'!$A$35:$A$42,0)),""))</f>
        <v>25</v>
      </c>
      <c r="R375" s="24" t="n">
        <v>1</v>
      </c>
      <c r="S375" s="8" t="s">
        <v>521</v>
      </c>
      <c r="T375" s="31" t="n">
        <f aca="false">IF(S375="","",MATCH(S375,'Residual Config'!$L$9:$L$12,0))</f>
        <v>2</v>
      </c>
      <c r="U375" s="8" t="s">
        <v>1649</v>
      </c>
      <c r="V375" s="24" t="n">
        <v>3</v>
      </c>
      <c r="W375" s="33" t="s">
        <v>533</v>
      </c>
      <c r="X375" s="8" t="s">
        <v>754</v>
      </c>
      <c r="Y375" s="51" t="n">
        <f aca="false">IF(N375="","",EDATE(N375,IF(G375="N",INDEX('Residual Config'!$B$31:$D$31,1,MATCH(D375,'Residual Config'!$B$27:$D$27,0)),INDEX('Residual Config'!$B$28:$D$30,IF(T375=1,1,IF(T375=4,3,2)),MATCH(D375,'Residual Config'!$B$27:$D$27,0)))))</f>
        <v>46366</v>
      </c>
      <c r="Z375" s="7" t="str">
        <f aca="false">IF(I375="N/A","N/A",IF(N375="","Not tested",IF(W375="Rejected","Evidence rejected",IF(W375&lt;&gt;"Accepted","Evidence pending",IF(Y375&lt;'Residual Config'!$C$4,"Overdue","Current")))))</f>
        <v>Current</v>
      </c>
      <c r="AA375" s="34" t="n">
        <f aca="false">IF(I375="N/A","",IF(Z375&lt;&gt;"Current",4,IF(MAX(M375,T375)=0,4,MAX(M375,T375))))</f>
        <v>2</v>
      </c>
      <c r="AB375" s="7" t="str">
        <f aca="false">IF(AA375="","N/A",IF(Z375&lt;&gt;"Current","Not tested / overdue",INDEX('Residual Config'!$B$11:$B$14,AA375)))</f>
        <v>Largely effective</v>
      </c>
      <c r="AC375" s="36" t="n">
        <f aca="false">IF(AA375="","",INDEX('Residual Config'!$D$11:$D$14,AA375))</f>
        <v>0.4</v>
      </c>
      <c r="AD375" s="7" t="str">
        <f aca="false">IF(OR(I375="N/A",P375="",Q375=""),"",IF(P375&gt;=Q375,"Yes","No"))</f>
        <v>Yes</v>
      </c>
      <c r="AE375" s="8"/>
    </row>
    <row r="376" customFormat="false" ht="15" hidden="false" customHeight="false" outlineLevel="0" collapsed="false">
      <c r="A376" s="12" t="s">
        <v>1650</v>
      </c>
      <c r="B376" s="26" t="str">
        <f aca="false">Entities!$A$13</f>
        <v>SY</v>
      </c>
      <c r="C376" s="12" t="str">
        <f aca="false">INDEX(Entities!$B$5:$B$34,MATCH(B376,Entities!$A$5:$A$34,0))</f>
        <v>Arab Bank – Syria</v>
      </c>
      <c r="D376" s="7" t="str">
        <f aca="false">INDEX(Entities!$F$5:$F$34,MATCH(B376,Entities!$A$5:$A$34,0))</f>
        <v>Tier 2</v>
      </c>
      <c r="E376" s="26" t="str">
        <f aca="false">'Control Library'!$A$32</f>
        <v>CTL-CON-02</v>
      </c>
      <c r="F376" s="12" t="str">
        <f aca="false">INDEX('Control Library'!$B$5:$B$47,MATCH(E376,'Control Library'!$A$5:$A$47,0))</f>
        <v>Complaints handling and root-cause analysis</v>
      </c>
      <c r="G376" s="7" t="str">
        <f aca="false">INDEX('Control Library'!$F$5:$F$47,MATCH(E376,'Control Library'!$A$5:$A$47,0))</f>
        <v>N</v>
      </c>
      <c r="H376" s="12" t="str">
        <f aca="false">INDEX('Control Library'!$E$5:$E$47,MATCH(E376,'Control Library'!$A$5:$A$47,0))</f>
        <v>Monthly</v>
      </c>
      <c r="I376" s="7" t="str">
        <f aca="false">IF(INDEX('Control Library'!$I$5:$I$47,MATCH(E376,'Control Library'!$A$5:$A$47,0))="All","Y",IF(INDEX('Control Library'!$I$5:$I$47,MATCH(E376,'Control Library'!$A$5:$A$47,0))="Banks only",IF(COUNTIF('Residual Config'!$L$28:$L$30,INDEX(Entities!$E$5:$E$34,MATCH(B376,Entities!$A$5:$A$34,0)))&gt;0,"N/A","Y"),IF(INDEX(Entities!$G$5:$G$34,MATCH(B376,Entities!$A$5:$A$34,0))="Y","Y","N/A")))</f>
        <v>Y</v>
      </c>
      <c r="J376" s="8" t="s">
        <v>1651</v>
      </c>
      <c r="K376" s="8" t="s">
        <v>1584</v>
      </c>
      <c r="L376" s="7" t="str">
        <f aca="false">IF(OR(J376="",K376=""),"",IF(J376=K376,"Breach","OK"))</f>
        <v>OK</v>
      </c>
      <c r="M376" s="24" t="n">
        <v>2</v>
      </c>
      <c r="N376" s="50" t="n">
        <v>46206</v>
      </c>
      <c r="O376" s="8" t="s">
        <v>546</v>
      </c>
      <c r="P376" s="24" t="n">
        <v>3</v>
      </c>
      <c r="Q376" s="31" t="n">
        <f aca="false">IF(I376="N/A","",IFERROR(INDEX('Residual Config'!$B$35:$B$42,MATCH(H376,'Residual Config'!$A$35:$A$42,0)),""))</f>
        <v>3</v>
      </c>
      <c r="R376" s="24" t="n">
        <v>0</v>
      </c>
      <c r="S376" s="8" t="s">
        <v>516</v>
      </c>
      <c r="T376" s="31" t="n">
        <f aca="false">IF(S376="","",MATCH(S376,'Residual Config'!$L$9:$L$12,0))</f>
        <v>1</v>
      </c>
      <c r="U376" s="8" t="s">
        <v>1652</v>
      </c>
      <c r="V376" s="24" t="n">
        <v>1</v>
      </c>
      <c r="W376" s="33" t="s">
        <v>533</v>
      </c>
      <c r="X376" s="8" t="s">
        <v>760</v>
      </c>
      <c r="Y376" s="51" t="n">
        <f aca="false">IF(N376="","",EDATE(N376,IF(G376="N",INDEX('Residual Config'!$B$31:$D$31,1,MATCH(D376,'Residual Config'!$B$27:$D$27,0)),INDEX('Residual Config'!$B$28:$D$30,IF(T376=1,1,IF(T376=4,3,2)),MATCH(D376,'Residual Config'!$B$27:$D$27,0)))))</f>
        <v>46571</v>
      </c>
      <c r="Z376" s="7" t="str">
        <f aca="false">IF(I376="N/A","N/A",IF(N376="","Not tested",IF(W376="Rejected","Evidence rejected",IF(W376&lt;&gt;"Accepted","Evidence pending",IF(Y376&lt;'Residual Config'!$C$4,"Overdue","Current")))))</f>
        <v>Current</v>
      </c>
      <c r="AA376" s="34" t="n">
        <f aca="false">IF(I376="N/A","",IF(Z376&lt;&gt;"Current",4,IF(MAX(M376,T376)=0,4,MAX(M376,T376))))</f>
        <v>2</v>
      </c>
      <c r="AB376" s="7" t="str">
        <f aca="false">IF(AA376="","N/A",IF(Z376&lt;&gt;"Current","Not tested / overdue",INDEX('Residual Config'!$B$11:$B$14,AA376)))</f>
        <v>Largely effective</v>
      </c>
      <c r="AC376" s="36" t="n">
        <f aca="false">IF(AA376="","",INDEX('Residual Config'!$D$11:$D$14,AA376))</f>
        <v>0.4</v>
      </c>
      <c r="AD376" s="7" t="str">
        <f aca="false">IF(OR(I376="N/A",P376="",Q376=""),"",IF(P376&gt;=Q376,"Yes","No"))</f>
        <v>Yes</v>
      </c>
      <c r="AE376" s="8"/>
    </row>
    <row r="377" customFormat="false" ht="15" hidden="false" customHeight="false" outlineLevel="0" collapsed="false">
      <c r="A377" s="12" t="s">
        <v>1653</v>
      </c>
      <c r="B377" s="26" t="str">
        <f aca="false">Entities!$A$13</f>
        <v>SY</v>
      </c>
      <c r="C377" s="12" t="str">
        <f aca="false">INDEX(Entities!$B$5:$B$34,MATCH(B377,Entities!$A$5:$A$34,0))</f>
        <v>Arab Bank – Syria</v>
      </c>
      <c r="D377" s="7" t="str">
        <f aca="false">INDEX(Entities!$F$5:$F$34,MATCH(B377,Entities!$A$5:$A$34,0))</f>
        <v>Tier 2</v>
      </c>
      <c r="E377" s="26" t="str">
        <f aca="false">'Control Library'!$A$33</f>
        <v>CTL-DP-01</v>
      </c>
      <c r="F377" s="12" t="str">
        <f aca="false">INDEX('Control Library'!$B$5:$B$47,MATCH(E377,'Control Library'!$A$5:$A$47,0))</f>
        <v>Data protection impact assessments and processing records</v>
      </c>
      <c r="G377" s="7" t="str">
        <f aca="false">INDEX('Control Library'!$F$5:$F$47,MATCH(E377,'Control Library'!$A$5:$A$47,0))</f>
        <v>Y</v>
      </c>
      <c r="H377" s="12" t="str">
        <f aca="false">INDEX('Control Library'!$E$5:$E$47,MATCH(E377,'Control Library'!$A$5:$A$47,0))</f>
        <v>Event-driven</v>
      </c>
      <c r="I377" s="7" t="str">
        <f aca="false">IF(INDEX('Control Library'!$I$5:$I$47,MATCH(E377,'Control Library'!$A$5:$A$47,0))="All","Y",IF(INDEX('Control Library'!$I$5:$I$47,MATCH(E377,'Control Library'!$A$5:$A$47,0))="Banks only",IF(COUNTIF('Residual Config'!$L$28:$L$30,INDEX(Entities!$E$5:$E$34,MATCH(B377,Entities!$A$5:$A$34,0)))&gt;0,"N/A","Y"),IF(INDEX(Entities!$G$5:$G$34,MATCH(B377,Entities!$A$5:$A$34,0))="Y","Y","N/A")))</f>
        <v>Y</v>
      </c>
      <c r="J377" s="8" t="s">
        <v>1654</v>
      </c>
      <c r="K377" s="8" t="s">
        <v>1584</v>
      </c>
      <c r="L377" s="7" t="str">
        <f aca="false">IF(OR(J377="",K377=""),"",IF(J377=K377,"Breach","OK"))</f>
        <v>OK</v>
      </c>
      <c r="M377" s="24" t="n">
        <v>2</v>
      </c>
      <c r="N377" s="50" t="n">
        <v>46280</v>
      </c>
      <c r="O377" s="8" t="s">
        <v>545</v>
      </c>
      <c r="P377" s="24" t="n">
        <v>30</v>
      </c>
      <c r="Q377" s="31" t="n">
        <f aca="false">IF(I377="N/A","",IFERROR(INDEX('Residual Config'!$B$35:$B$42,MATCH(H377,'Residual Config'!$A$35:$A$42,0)),""))</f>
        <v>25</v>
      </c>
      <c r="R377" s="24" t="n">
        <v>1</v>
      </c>
      <c r="S377" s="8" t="s">
        <v>521</v>
      </c>
      <c r="T377" s="31" t="n">
        <f aca="false">IF(S377="","",MATCH(S377,'Residual Config'!$L$9:$L$12,0))</f>
        <v>2</v>
      </c>
      <c r="U377" s="8" t="s">
        <v>1655</v>
      </c>
      <c r="V377" s="24" t="n">
        <v>4</v>
      </c>
      <c r="W377" s="33" t="s">
        <v>533</v>
      </c>
      <c r="X377" s="8" t="s">
        <v>754</v>
      </c>
      <c r="Y377" s="51" t="n">
        <f aca="false">IF(N377="","",EDATE(N377,IF(G377="N",INDEX('Residual Config'!$B$31:$D$31,1,MATCH(D377,'Residual Config'!$B$27:$D$27,0)),INDEX('Residual Config'!$B$28:$D$30,IF(T377=1,1,IF(T377=4,3,2)),MATCH(D377,'Residual Config'!$B$27:$D$27,0)))))</f>
        <v>46461</v>
      </c>
      <c r="Z377" s="7" t="str">
        <f aca="false">IF(I377="N/A","N/A",IF(N377="","Not tested",IF(W377="Rejected","Evidence rejected",IF(W377&lt;&gt;"Accepted","Evidence pending",IF(Y377&lt;'Residual Config'!$C$4,"Overdue","Current")))))</f>
        <v>Current</v>
      </c>
      <c r="AA377" s="34" t="n">
        <f aca="false">IF(I377="N/A","",IF(Z377&lt;&gt;"Current",4,IF(MAX(M377,T377)=0,4,MAX(M377,T377))))</f>
        <v>2</v>
      </c>
      <c r="AB377" s="7" t="str">
        <f aca="false">IF(AA377="","N/A",IF(Z377&lt;&gt;"Current","Not tested / overdue",INDEX('Residual Config'!$B$11:$B$14,AA377)))</f>
        <v>Largely effective</v>
      </c>
      <c r="AC377" s="36" t="n">
        <f aca="false">IF(AA377="","",INDEX('Residual Config'!$D$11:$D$14,AA377))</f>
        <v>0.4</v>
      </c>
      <c r="AD377" s="7" t="str">
        <f aca="false">IF(OR(I377="N/A",P377="",Q377=""),"",IF(P377&gt;=Q377,"Yes","No"))</f>
        <v>Yes</v>
      </c>
      <c r="AE377" s="8"/>
    </row>
    <row r="378" customFormat="false" ht="15" hidden="false" customHeight="false" outlineLevel="0" collapsed="false">
      <c r="A378" s="12" t="s">
        <v>1656</v>
      </c>
      <c r="B378" s="26" t="str">
        <f aca="false">Entities!$A$13</f>
        <v>SY</v>
      </c>
      <c r="C378" s="12" t="str">
        <f aca="false">INDEX(Entities!$B$5:$B$34,MATCH(B378,Entities!$A$5:$A$34,0))</f>
        <v>Arab Bank – Syria</v>
      </c>
      <c r="D378" s="7" t="str">
        <f aca="false">INDEX(Entities!$F$5:$F$34,MATCH(B378,Entities!$A$5:$A$34,0))</f>
        <v>Tier 2</v>
      </c>
      <c r="E378" s="26" t="str">
        <f aca="false">'Control Library'!$A$34</f>
        <v>CTL-DP-02</v>
      </c>
      <c r="F378" s="12" t="str">
        <f aca="false">INDEX('Control Library'!$B$5:$B$47,MATCH(E378,'Control Library'!$A$5:$A$47,0))</f>
        <v>Data loss prevention and quarterly access recertification</v>
      </c>
      <c r="G378" s="7" t="str">
        <f aca="false">INDEX('Control Library'!$F$5:$F$47,MATCH(E378,'Control Library'!$A$5:$A$47,0))</f>
        <v>Y</v>
      </c>
      <c r="H378" s="12" t="str">
        <f aca="false">INDEX('Control Library'!$E$5:$E$47,MATCH(E378,'Control Library'!$A$5:$A$47,0))</f>
        <v>Quarterly</v>
      </c>
      <c r="I378" s="7" t="str">
        <f aca="false">IF(INDEX('Control Library'!$I$5:$I$47,MATCH(E378,'Control Library'!$A$5:$A$47,0))="All","Y",IF(INDEX('Control Library'!$I$5:$I$47,MATCH(E378,'Control Library'!$A$5:$A$47,0))="Banks only",IF(COUNTIF('Residual Config'!$L$28:$L$30,INDEX(Entities!$E$5:$E$34,MATCH(B378,Entities!$A$5:$A$34,0)))&gt;0,"N/A","Y"),IF(INDEX(Entities!$G$5:$G$34,MATCH(B378,Entities!$A$5:$A$34,0))="Y","Y","N/A")))</f>
        <v>Y</v>
      </c>
      <c r="J378" s="8" t="s">
        <v>1657</v>
      </c>
      <c r="K378" s="8" t="s">
        <v>1584</v>
      </c>
      <c r="L378" s="7" t="str">
        <f aca="false">IF(OR(J378="",K378=""),"",IF(J378=K378,"Breach","OK"))</f>
        <v>OK</v>
      </c>
      <c r="M378" s="24" t="n">
        <v>2</v>
      </c>
      <c r="N378" s="50" t="n">
        <v>46181</v>
      </c>
      <c r="O378" s="8" t="s">
        <v>545</v>
      </c>
      <c r="P378" s="24" t="n">
        <v>2</v>
      </c>
      <c r="Q378" s="31" t="n">
        <f aca="false">IF(I378="N/A","",IFERROR(INDEX('Residual Config'!$B$35:$B$42,MATCH(H378,'Residual Config'!$A$35:$A$42,0)),""))</f>
        <v>2</v>
      </c>
      <c r="R378" s="24" t="n">
        <v>2</v>
      </c>
      <c r="S378" s="8" t="s">
        <v>524</v>
      </c>
      <c r="T378" s="31" t="n">
        <f aca="false">IF(S378="","",MATCH(S378,'Residual Config'!$L$9:$L$12,0))</f>
        <v>3</v>
      </c>
      <c r="U378" s="8" t="s">
        <v>1658</v>
      </c>
      <c r="V378" s="24" t="n">
        <v>1</v>
      </c>
      <c r="W378" s="33" t="s">
        <v>533</v>
      </c>
      <c r="X378" s="8" t="s">
        <v>760</v>
      </c>
      <c r="Y378" s="51" t="n">
        <f aca="false">IF(N378="","",EDATE(N378,IF(G378="N",INDEX('Residual Config'!$B$31:$D$31,1,MATCH(D378,'Residual Config'!$B$27:$D$27,0)),INDEX('Residual Config'!$B$28:$D$30,IF(T378=1,1,IF(T378=4,3,2)),MATCH(D378,'Residual Config'!$B$27:$D$27,0)))))</f>
        <v>46364</v>
      </c>
      <c r="Z378" s="7" t="str">
        <f aca="false">IF(I378="N/A","N/A",IF(N378="","Not tested",IF(W378="Rejected","Evidence rejected",IF(W378&lt;&gt;"Accepted","Evidence pending",IF(Y378&lt;'Residual Config'!$C$4,"Overdue","Current")))))</f>
        <v>Current</v>
      </c>
      <c r="AA378" s="34" t="n">
        <f aca="false">IF(I378="N/A","",IF(Z378&lt;&gt;"Current",4,IF(MAX(M378,T378)=0,4,MAX(M378,T378))))</f>
        <v>3</v>
      </c>
      <c r="AB378" s="7" t="str">
        <f aca="false">IF(AA378="","N/A",IF(Z378&lt;&gt;"Current","Not tested / overdue",INDEX('Residual Config'!$B$11:$B$14,AA378)))</f>
        <v>Partially effective</v>
      </c>
      <c r="AC378" s="36" t="n">
        <f aca="false">IF(AA378="","",INDEX('Residual Config'!$D$11:$D$14,AA378))</f>
        <v>0.2</v>
      </c>
      <c r="AD378" s="7" t="str">
        <f aca="false">IF(OR(I378="N/A",P378="",Q378=""),"",IF(P378&gt;=Q378,"Yes","No"))</f>
        <v>Yes</v>
      </c>
      <c r="AE378" s="8"/>
    </row>
    <row r="379" customFormat="false" ht="15" hidden="false" customHeight="false" outlineLevel="0" collapsed="false">
      <c r="A379" s="12" t="s">
        <v>1659</v>
      </c>
      <c r="B379" s="26" t="str">
        <f aca="false">Entities!$A$13</f>
        <v>SY</v>
      </c>
      <c r="C379" s="12" t="str">
        <f aca="false">INDEX(Entities!$B$5:$B$34,MATCH(B379,Entities!$A$5:$A$34,0))</f>
        <v>Arab Bank – Syria</v>
      </c>
      <c r="D379" s="7" t="str">
        <f aca="false">INDEX(Entities!$F$5:$F$34,MATCH(B379,Entities!$A$5:$A$34,0))</f>
        <v>Tier 2</v>
      </c>
      <c r="E379" s="26" t="str">
        <f aca="false">'Control Library'!$A$35</f>
        <v>CTL-SH-01</v>
      </c>
      <c r="F379" s="12" t="str">
        <f aca="false">INDEX('Control Library'!$B$5:$B$47,MATCH(E379,'Control Library'!$A$5:$A$47,0))</f>
        <v>Shariah review of products and income purification</v>
      </c>
      <c r="G379" s="7" t="str">
        <f aca="false">INDEX('Control Library'!$F$5:$F$47,MATCH(E379,'Control Library'!$A$5:$A$47,0))</f>
        <v>Y</v>
      </c>
      <c r="H379" s="12" t="str">
        <f aca="false">INDEX('Control Library'!$E$5:$E$47,MATCH(E379,'Control Library'!$A$5:$A$47,0))</f>
        <v>Quarterly</v>
      </c>
      <c r="I379" s="7" t="str">
        <f aca="false">IF(INDEX('Control Library'!$I$5:$I$47,MATCH(E379,'Control Library'!$A$5:$A$47,0))="All","Y",IF(INDEX('Control Library'!$I$5:$I$47,MATCH(E379,'Control Library'!$A$5:$A$47,0))="Banks only",IF(COUNTIF('Residual Config'!$L$28:$L$30,INDEX(Entities!$E$5:$E$34,MATCH(B379,Entities!$A$5:$A$34,0)))&gt;0,"N/A","Y"),IF(INDEX(Entities!$G$5:$G$34,MATCH(B379,Entities!$A$5:$A$34,0))="Y","Y","N/A")))</f>
        <v>N/A</v>
      </c>
      <c r="J379" s="8"/>
      <c r="K379" s="8"/>
      <c r="L379" s="7" t="str">
        <f aca="false">IF(OR(J379="",K379=""),"",IF(J379=K379,"Breach","OK"))</f>
        <v/>
      </c>
      <c r="M379" s="24"/>
      <c r="N379" s="50"/>
      <c r="O379" s="8"/>
      <c r="P379" s="24"/>
      <c r="Q379" s="31" t="str">
        <f aca="false">IF(I379="N/A","",IFERROR(INDEX('Residual Config'!$B$35:$B$42,MATCH(H379,'Residual Config'!$A$35:$A$42,0)),""))</f>
        <v/>
      </c>
      <c r="R379" s="24"/>
      <c r="S379" s="8"/>
      <c r="T379" s="31" t="str">
        <f aca="false">IF(S379="","",MATCH(S379,'Residual Config'!$L$9:$L$12,0))</f>
        <v/>
      </c>
      <c r="U379" s="8"/>
      <c r="V379" s="24"/>
      <c r="W379" s="33"/>
      <c r="X379" s="8"/>
      <c r="Y379" s="51" t="str">
        <f aca="false">IF(N379="","",EDATE(N379,IF(G379="N",INDEX('Residual Config'!$B$31:$D$31,1,MATCH(D379,'Residual Config'!$B$27:$D$27,0)),INDEX('Residual Config'!$B$28:$D$30,IF(T379=1,1,IF(T379=4,3,2)),MATCH(D379,'Residual Config'!$B$27:$D$27,0)))))</f>
        <v/>
      </c>
      <c r="Z379" s="7" t="str">
        <f aca="false">IF(I379="N/A","N/A",IF(N379="","Not tested",IF(W379="Rejected","Evidence rejected",IF(W379&lt;&gt;"Accepted","Evidence pending",IF(Y379&lt;'Residual Config'!$C$4,"Overdue","Current")))))</f>
        <v>N/A</v>
      </c>
      <c r="AA379" s="34" t="str">
        <f aca="false">IF(I379="N/A","",IF(Z379&lt;&gt;"Current",4,IF(MAX(M379,T379)=0,4,MAX(M379,T379))))</f>
        <v/>
      </c>
      <c r="AB379" s="7" t="str">
        <f aca="false">IF(AA379="","N/A",IF(Z379&lt;&gt;"Current","Not tested / overdue",INDEX('Residual Config'!$B$11:$B$14,AA379)))</f>
        <v>N/A</v>
      </c>
      <c r="AC379" s="36" t="str">
        <f aca="false">IF(AA379="","",INDEX('Residual Config'!$D$11:$D$14,AA379))</f>
        <v/>
      </c>
      <c r="AD379" s="7" t="str">
        <f aca="false">IF(OR(I379="N/A",P379="",Q379=""),"",IF(P379&gt;=Q379,"Yes","No"))</f>
        <v/>
      </c>
      <c r="AE379" s="8"/>
    </row>
    <row r="380" customFormat="false" ht="15" hidden="false" customHeight="false" outlineLevel="0" collapsed="false">
      <c r="A380" s="12" t="s">
        <v>1660</v>
      </c>
      <c r="B380" s="26" t="str">
        <f aca="false">Entities!$A$13</f>
        <v>SY</v>
      </c>
      <c r="C380" s="12" t="str">
        <f aca="false">INDEX(Entities!$B$5:$B$34,MATCH(B380,Entities!$A$5:$A$34,0))</f>
        <v>Arab Bank – Syria</v>
      </c>
      <c r="D380" s="7" t="str">
        <f aca="false">INDEX(Entities!$F$5:$F$34,MATCH(B380,Entities!$A$5:$A$34,0))</f>
        <v>Tier 2</v>
      </c>
      <c r="E380" s="26" t="str">
        <f aca="false">'Control Library'!$A$36</f>
        <v>CTL-CR-01</v>
      </c>
      <c r="F380" s="12" t="str">
        <f aca="false">INDEX('Control Library'!$B$5:$B$47,MATCH(E380,'Control Library'!$A$5:$A$47,0))</f>
        <v>Credit approval authorities and committee review</v>
      </c>
      <c r="G380" s="7" t="str">
        <f aca="false">INDEX('Control Library'!$F$5:$F$47,MATCH(E380,'Control Library'!$A$5:$A$47,0))</f>
        <v>Y</v>
      </c>
      <c r="H380" s="12" t="str">
        <f aca="false">INDEX('Control Library'!$E$5:$E$47,MATCH(E380,'Control Library'!$A$5:$A$47,0))</f>
        <v>Event-driven</v>
      </c>
      <c r="I380" s="7" t="str">
        <f aca="false">IF(INDEX('Control Library'!$I$5:$I$47,MATCH(E380,'Control Library'!$A$5:$A$47,0))="All","Y",IF(INDEX('Control Library'!$I$5:$I$47,MATCH(E380,'Control Library'!$A$5:$A$47,0))="Banks only",IF(COUNTIF('Residual Config'!$L$28:$L$30,INDEX(Entities!$E$5:$E$34,MATCH(B380,Entities!$A$5:$A$34,0)))&gt;0,"N/A","Y"),IF(INDEX(Entities!$G$5:$G$34,MATCH(B380,Entities!$A$5:$A$34,0))="Y","Y","N/A")))</f>
        <v>Y</v>
      </c>
      <c r="J380" s="8" t="s">
        <v>1661</v>
      </c>
      <c r="K380" s="8" t="s">
        <v>1584</v>
      </c>
      <c r="L380" s="7" t="str">
        <f aca="false">IF(OR(J380="",K380=""),"",IF(J380=K380,"Breach","OK"))</f>
        <v>OK</v>
      </c>
      <c r="M380" s="24" t="n">
        <v>3</v>
      </c>
      <c r="N380" s="50" t="n">
        <v>46261</v>
      </c>
      <c r="O380" s="8" t="s">
        <v>545</v>
      </c>
      <c r="P380" s="24" t="n">
        <v>35</v>
      </c>
      <c r="Q380" s="31" t="n">
        <f aca="false">IF(I380="N/A","",IFERROR(INDEX('Residual Config'!$B$35:$B$42,MATCH(H380,'Residual Config'!$A$35:$A$42,0)),""))</f>
        <v>25</v>
      </c>
      <c r="R380" s="24" t="n">
        <v>1</v>
      </c>
      <c r="S380" s="8" t="s">
        <v>521</v>
      </c>
      <c r="T380" s="31" t="n">
        <f aca="false">IF(S380="","",MATCH(S380,'Residual Config'!$L$9:$L$12,0))</f>
        <v>2</v>
      </c>
      <c r="U380" s="8" t="s">
        <v>1662</v>
      </c>
      <c r="V380" s="24" t="n">
        <v>6</v>
      </c>
      <c r="W380" s="33" t="s">
        <v>533</v>
      </c>
      <c r="X380" s="8" t="s">
        <v>760</v>
      </c>
      <c r="Y380" s="51" t="n">
        <f aca="false">IF(N380="","",EDATE(N380,IF(G380="N",INDEX('Residual Config'!$B$31:$D$31,1,MATCH(D380,'Residual Config'!$B$27:$D$27,0)),INDEX('Residual Config'!$B$28:$D$30,IF(T380=1,1,IF(T380=4,3,2)),MATCH(D380,'Residual Config'!$B$27:$D$27,0)))))</f>
        <v>46445</v>
      </c>
      <c r="Z380" s="7" t="str">
        <f aca="false">IF(I380="N/A","N/A",IF(N380="","Not tested",IF(W380="Rejected","Evidence rejected",IF(W380&lt;&gt;"Accepted","Evidence pending",IF(Y380&lt;'Residual Config'!$C$4,"Overdue","Current")))))</f>
        <v>Current</v>
      </c>
      <c r="AA380" s="34" t="n">
        <f aca="false">IF(I380="N/A","",IF(Z380&lt;&gt;"Current",4,IF(MAX(M380,T380)=0,4,MAX(M380,T380))))</f>
        <v>3</v>
      </c>
      <c r="AB380" s="7" t="str">
        <f aca="false">IF(AA380="","N/A",IF(Z380&lt;&gt;"Current","Not tested / overdue",INDEX('Residual Config'!$B$11:$B$14,AA380)))</f>
        <v>Partially effective</v>
      </c>
      <c r="AC380" s="36" t="n">
        <f aca="false">IF(AA380="","",INDEX('Residual Config'!$D$11:$D$14,AA380))</f>
        <v>0.2</v>
      </c>
      <c r="AD380" s="7" t="str">
        <f aca="false">IF(OR(I380="N/A",P380="",Q380=""),"",IF(P380&gt;=Q380,"Yes","No"))</f>
        <v>Yes</v>
      </c>
      <c r="AE380" s="8"/>
    </row>
    <row r="381" customFormat="false" ht="15" hidden="false" customHeight="false" outlineLevel="0" collapsed="false">
      <c r="A381" s="12" t="s">
        <v>1663</v>
      </c>
      <c r="B381" s="26" t="str">
        <f aca="false">Entities!$A$13</f>
        <v>SY</v>
      </c>
      <c r="C381" s="12" t="str">
        <f aca="false">INDEX(Entities!$B$5:$B$34,MATCH(B381,Entities!$A$5:$A$34,0))</f>
        <v>Arab Bank – Syria</v>
      </c>
      <c r="D381" s="7" t="str">
        <f aca="false">INDEX(Entities!$F$5:$F$34,MATCH(B381,Entities!$A$5:$A$34,0))</f>
        <v>Tier 2</v>
      </c>
      <c r="E381" s="26" t="str">
        <f aca="false">'Control Library'!$A$37</f>
        <v>CTL-CR-02</v>
      </c>
      <c r="F381" s="12" t="str">
        <f aca="false">INDEX('Control Library'!$B$5:$B$47,MATCH(E381,'Control Library'!$A$5:$A$47,0))</f>
        <v>Collateral valuation and exposure limit monitoring</v>
      </c>
      <c r="G381" s="7" t="str">
        <f aca="false">INDEX('Control Library'!$F$5:$F$47,MATCH(E381,'Control Library'!$A$5:$A$47,0))</f>
        <v>N</v>
      </c>
      <c r="H381" s="12" t="str">
        <f aca="false">INDEX('Control Library'!$E$5:$E$47,MATCH(E381,'Control Library'!$A$5:$A$47,0))</f>
        <v>Monthly</v>
      </c>
      <c r="I381" s="7" t="str">
        <f aca="false">IF(INDEX('Control Library'!$I$5:$I$47,MATCH(E381,'Control Library'!$A$5:$A$47,0))="All","Y",IF(INDEX('Control Library'!$I$5:$I$47,MATCH(E381,'Control Library'!$A$5:$A$47,0))="Banks only",IF(COUNTIF('Residual Config'!$L$28:$L$30,INDEX(Entities!$E$5:$E$34,MATCH(B381,Entities!$A$5:$A$34,0)))&gt;0,"N/A","Y"),IF(INDEX(Entities!$G$5:$G$34,MATCH(B381,Entities!$A$5:$A$34,0))="Y","Y","N/A")))</f>
        <v>Y</v>
      </c>
      <c r="J381" s="8" t="s">
        <v>1664</v>
      </c>
      <c r="K381" s="8" t="s">
        <v>1584</v>
      </c>
      <c r="L381" s="7" t="str">
        <f aca="false">IF(OR(J381="",K381=""),"",IF(J381=K381,"Breach","OK"))</f>
        <v>OK</v>
      </c>
      <c r="M381" s="24" t="n">
        <v>2</v>
      </c>
      <c r="N381" s="50" t="n">
        <v>45996</v>
      </c>
      <c r="O381" s="8" t="s">
        <v>545</v>
      </c>
      <c r="P381" s="24" t="n">
        <v>3</v>
      </c>
      <c r="Q381" s="31" t="n">
        <f aca="false">IF(I381="N/A","",IFERROR(INDEX('Residual Config'!$B$35:$B$42,MATCH(H381,'Residual Config'!$A$35:$A$42,0)),""))</f>
        <v>3</v>
      </c>
      <c r="R381" s="24" t="n">
        <v>1</v>
      </c>
      <c r="S381" s="8" t="s">
        <v>521</v>
      </c>
      <c r="T381" s="31" t="n">
        <f aca="false">IF(S381="","",MATCH(S381,'Residual Config'!$L$9:$L$12,0))</f>
        <v>2</v>
      </c>
      <c r="U381" s="8" t="s">
        <v>1665</v>
      </c>
      <c r="V381" s="24" t="n">
        <v>5</v>
      </c>
      <c r="W381" s="33" t="s">
        <v>533</v>
      </c>
      <c r="X381" s="8" t="s">
        <v>760</v>
      </c>
      <c r="Y381" s="51" t="n">
        <f aca="false">IF(N381="","",EDATE(N381,IF(G381="N",INDEX('Residual Config'!$B$31:$D$31,1,MATCH(D381,'Residual Config'!$B$27:$D$27,0)),INDEX('Residual Config'!$B$28:$D$30,IF(T381=1,1,IF(T381=4,3,2)),MATCH(D381,'Residual Config'!$B$27:$D$27,0)))))</f>
        <v>46361</v>
      </c>
      <c r="Z381" s="7" t="str">
        <f aca="false">IF(I381="N/A","N/A",IF(N381="","Not tested",IF(W381="Rejected","Evidence rejected",IF(W381&lt;&gt;"Accepted","Evidence pending",IF(Y381&lt;'Residual Config'!$C$4,"Overdue","Current")))))</f>
        <v>Current</v>
      </c>
      <c r="AA381" s="34" t="n">
        <f aca="false">IF(I381="N/A","",IF(Z381&lt;&gt;"Current",4,IF(MAX(M381,T381)=0,4,MAX(M381,T381))))</f>
        <v>2</v>
      </c>
      <c r="AB381" s="7" t="str">
        <f aca="false">IF(AA381="","N/A",IF(Z381&lt;&gt;"Current","Not tested / overdue",INDEX('Residual Config'!$B$11:$B$14,AA381)))</f>
        <v>Largely effective</v>
      </c>
      <c r="AC381" s="36" t="n">
        <f aca="false">IF(AA381="","",INDEX('Residual Config'!$D$11:$D$14,AA381))</f>
        <v>0.4</v>
      </c>
      <c r="AD381" s="7" t="str">
        <f aca="false">IF(OR(I381="N/A",P381="",Q381=""),"",IF(P381&gt;=Q381,"Yes","No"))</f>
        <v>Yes</v>
      </c>
      <c r="AE381" s="8"/>
    </row>
    <row r="382" customFormat="false" ht="15" hidden="false" customHeight="false" outlineLevel="0" collapsed="false">
      <c r="A382" s="12" t="s">
        <v>1666</v>
      </c>
      <c r="B382" s="26" t="str">
        <f aca="false">Entities!$A$13</f>
        <v>SY</v>
      </c>
      <c r="C382" s="12" t="str">
        <f aca="false">INDEX(Entities!$B$5:$B$34,MATCH(B382,Entities!$A$5:$A$34,0))</f>
        <v>Arab Bank – Syria</v>
      </c>
      <c r="D382" s="7" t="str">
        <f aca="false">INDEX(Entities!$F$5:$F$34,MATCH(B382,Entities!$A$5:$A$34,0))</f>
        <v>Tier 2</v>
      </c>
      <c r="E382" s="26" t="str">
        <f aca="false">'Control Library'!$A$38</f>
        <v>CTL-MR-01</v>
      </c>
      <c r="F382" s="12" t="str">
        <f aca="false">INDEX('Control Library'!$B$5:$B$47,MATCH(E382,'Control Library'!$A$5:$A$47,0))</f>
        <v>Market risk limits and daily VaR monitoring</v>
      </c>
      <c r="G382" s="7" t="str">
        <f aca="false">INDEX('Control Library'!$F$5:$F$47,MATCH(E382,'Control Library'!$A$5:$A$47,0))</f>
        <v>Y</v>
      </c>
      <c r="H382" s="12" t="str">
        <f aca="false">INDEX('Control Library'!$E$5:$E$47,MATCH(E382,'Control Library'!$A$5:$A$47,0))</f>
        <v>Daily</v>
      </c>
      <c r="I382" s="7" t="str">
        <f aca="false">IF(INDEX('Control Library'!$I$5:$I$47,MATCH(E382,'Control Library'!$A$5:$A$47,0))="All","Y",IF(INDEX('Control Library'!$I$5:$I$47,MATCH(E382,'Control Library'!$A$5:$A$47,0))="Banks only",IF(COUNTIF('Residual Config'!$L$28:$L$30,INDEX(Entities!$E$5:$E$34,MATCH(B382,Entities!$A$5:$A$34,0)))&gt;0,"N/A","Y"),IF(INDEX(Entities!$G$5:$G$34,MATCH(B382,Entities!$A$5:$A$34,0))="Y","Y","N/A")))</f>
        <v>Y</v>
      </c>
      <c r="J382" s="8" t="s">
        <v>1664</v>
      </c>
      <c r="K382" s="8" t="s">
        <v>1584</v>
      </c>
      <c r="L382" s="7" t="str">
        <f aca="false">IF(OR(J382="",K382=""),"",IF(J382=K382,"Breach","OK"))</f>
        <v>OK</v>
      </c>
      <c r="M382" s="24" t="n">
        <v>2</v>
      </c>
      <c r="N382" s="50" t="n">
        <v>46202</v>
      </c>
      <c r="O382" s="8" t="s">
        <v>546</v>
      </c>
      <c r="P382" s="24" t="n">
        <v>35</v>
      </c>
      <c r="Q382" s="31" t="n">
        <f aca="false">IF(I382="N/A","",IFERROR(INDEX('Residual Config'!$B$35:$B$42,MATCH(H382,'Residual Config'!$A$35:$A$42,0)),""))</f>
        <v>25</v>
      </c>
      <c r="R382" s="24" t="n">
        <v>1</v>
      </c>
      <c r="S382" s="8" t="s">
        <v>521</v>
      </c>
      <c r="T382" s="31" t="n">
        <f aca="false">IF(S382="","",MATCH(S382,'Residual Config'!$L$9:$L$12,0))</f>
        <v>2</v>
      </c>
      <c r="U382" s="8" t="s">
        <v>1667</v>
      </c>
      <c r="V382" s="24" t="n">
        <v>6</v>
      </c>
      <c r="W382" s="33" t="s">
        <v>533</v>
      </c>
      <c r="X382" s="8" t="s">
        <v>754</v>
      </c>
      <c r="Y382" s="51" t="n">
        <f aca="false">IF(N382="","",EDATE(N382,IF(G382="N",INDEX('Residual Config'!$B$31:$D$31,1,MATCH(D382,'Residual Config'!$B$27:$D$27,0)),INDEX('Residual Config'!$B$28:$D$30,IF(T382=1,1,IF(T382=4,3,2)),MATCH(D382,'Residual Config'!$B$27:$D$27,0)))))</f>
        <v>46385</v>
      </c>
      <c r="Z382" s="7" t="str">
        <f aca="false">IF(I382="N/A","N/A",IF(N382="","Not tested",IF(W382="Rejected","Evidence rejected",IF(W382&lt;&gt;"Accepted","Evidence pending",IF(Y382&lt;'Residual Config'!$C$4,"Overdue","Current")))))</f>
        <v>Current</v>
      </c>
      <c r="AA382" s="34" t="n">
        <f aca="false">IF(I382="N/A","",IF(Z382&lt;&gt;"Current",4,IF(MAX(M382,T382)=0,4,MAX(M382,T382))))</f>
        <v>2</v>
      </c>
      <c r="AB382" s="7" t="str">
        <f aca="false">IF(AA382="","N/A",IF(Z382&lt;&gt;"Current","Not tested / overdue",INDEX('Residual Config'!$B$11:$B$14,AA382)))</f>
        <v>Largely effective</v>
      </c>
      <c r="AC382" s="36" t="n">
        <f aca="false">IF(AA382="","",INDEX('Residual Config'!$D$11:$D$14,AA382))</f>
        <v>0.4</v>
      </c>
      <c r="AD382" s="7" t="str">
        <f aca="false">IF(OR(I382="N/A",P382="",Q382=""),"",IF(P382&gt;=Q382,"Yes","No"))</f>
        <v>Yes</v>
      </c>
      <c r="AE382" s="8"/>
    </row>
    <row r="383" customFormat="false" ht="15" hidden="false" customHeight="false" outlineLevel="0" collapsed="false">
      <c r="A383" s="12" t="s">
        <v>1668</v>
      </c>
      <c r="B383" s="26" t="str">
        <f aca="false">Entities!$A$13</f>
        <v>SY</v>
      </c>
      <c r="C383" s="12" t="str">
        <f aca="false">INDEX(Entities!$B$5:$B$34,MATCH(B383,Entities!$A$5:$A$34,0))</f>
        <v>Arab Bank – Syria</v>
      </c>
      <c r="D383" s="7" t="str">
        <f aca="false">INDEX(Entities!$F$5:$F$34,MATCH(B383,Entities!$A$5:$A$34,0))</f>
        <v>Tier 2</v>
      </c>
      <c r="E383" s="26" t="str">
        <f aca="false">'Control Library'!$A$39</f>
        <v>CTL-LQ-01</v>
      </c>
      <c r="F383" s="12" t="str">
        <f aca="false">INDEX('Control Library'!$B$5:$B$47,MATCH(E383,'Control Library'!$A$5:$A$47,0))</f>
        <v>Liquidity buffers, LCR/NSFR monitoring and contingency funding plan</v>
      </c>
      <c r="G383" s="7" t="str">
        <f aca="false">INDEX('Control Library'!$F$5:$F$47,MATCH(E383,'Control Library'!$A$5:$A$47,0))</f>
        <v>Y</v>
      </c>
      <c r="H383" s="12" t="str">
        <f aca="false">INDEX('Control Library'!$E$5:$E$47,MATCH(E383,'Control Library'!$A$5:$A$47,0))</f>
        <v>Daily</v>
      </c>
      <c r="I383" s="7" t="str">
        <f aca="false">IF(INDEX('Control Library'!$I$5:$I$47,MATCH(E383,'Control Library'!$A$5:$A$47,0))="All","Y",IF(INDEX('Control Library'!$I$5:$I$47,MATCH(E383,'Control Library'!$A$5:$A$47,0))="Banks only",IF(COUNTIF('Residual Config'!$L$28:$L$30,INDEX(Entities!$E$5:$E$34,MATCH(B383,Entities!$A$5:$A$34,0)))&gt;0,"N/A","Y"),IF(INDEX(Entities!$G$5:$G$34,MATCH(B383,Entities!$A$5:$A$34,0))="Y","Y","N/A")))</f>
        <v>Y</v>
      </c>
      <c r="J383" s="8" t="s">
        <v>1669</v>
      </c>
      <c r="K383" s="8" t="s">
        <v>1584</v>
      </c>
      <c r="L383" s="7" t="str">
        <f aca="false">IF(OR(J383="",K383=""),"",IF(J383=K383,"Breach","OK"))</f>
        <v>OK</v>
      </c>
      <c r="M383" s="24" t="n">
        <v>2</v>
      </c>
      <c r="N383" s="50" t="n">
        <v>46174</v>
      </c>
      <c r="O383" s="8" t="s">
        <v>545</v>
      </c>
      <c r="P383" s="24" t="n">
        <v>30</v>
      </c>
      <c r="Q383" s="31" t="n">
        <f aca="false">IF(I383="N/A","",IFERROR(INDEX('Residual Config'!$B$35:$B$42,MATCH(H383,'Residual Config'!$A$35:$A$42,0)),""))</f>
        <v>25</v>
      </c>
      <c r="R383" s="24" t="n">
        <v>1</v>
      </c>
      <c r="S383" s="8" t="s">
        <v>521</v>
      </c>
      <c r="T383" s="31" t="n">
        <f aca="false">IF(S383="","",MATCH(S383,'Residual Config'!$L$9:$L$12,0))</f>
        <v>2</v>
      </c>
      <c r="U383" s="8" t="s">
        <v>1670</v>
      </c>
      <c r="V383" s="24" t="n">
        <v>3</v>
      </c>
      <c r="W383" s="33" t="s">
        <v>533</v>
      </c>
      <c r="X383" s="8" t="s">
        <v>754</v>
      </c>
      <c r="Y383" s="51" t="n">
        <f aca="false">IF(N383="","",EDATE(N383,IF(G383="N",INDEX('Residual Config'!$B$31:$D$31,1,MATCH(D383,'Residual Config'!$B$27:$D$27,0)),INDEX('Residual Config'!$B$28:$D$30,IF(T383=1,1,IF(T383=4,3,2)),MATCH(D383,'Residual Config'!$B$27:$D$27,0)))))</f>
        <v>46357</v>
      </c>
      <c r="Z383" s="7" t="str">
        <f aca="false">IF(I383="N/A","N/A",IF(N383="","Not tested",IF(W383="Rejected","Evidence rejected",IF(W383&lt;&gt;"Accepted","Evidence pending",IF(Y383&lt;'Residual Config'!$C$4,"Overdue","Current")))))</f>
        <v>Current</v>
      </c>
      <c r="AA383" s="34" t="n">
        <f aca="false">IF(I383="N/A","",IF(Z383&lt;&gt;"Current",4,IF(MAX(M383,T383)=0,4,MAX(M383,T383))))</f>
        <v>2</v>
      </c>
      <c r="AB383" s="7" t="str">
        <f aca="false">IF(AA383="","N/A",IF(Z383&lt;&gt;"Current","Not tested / overdue",INDEX('Residual Config'!$B$11:$B$14,AA383)))</f>
        <v>Largely effective</v>
      </c>
      <c r="AC383" s="36" t="n">
        <f aca="false">IF(AA383="","",INDEX('Residual Config'!$D$11:$D$14,AA383))</f>
        <v>0.4</v>
      </c>
      <c r="AD383" s="7" t="str">
        <f aca="false">IF(OR(I383="N/A",P383="",Q383=""),"",IF(P383&gt;=Q383,"Yes","No"))</f>
        <v>Yes</v>
      </c>
      <c r="AE383" s="8"/>
    </row>
    <row r="384" customFormat="false" ht="15" hidden="false" customHeight="false" outlineLevel="0" collapsed="false">
      <c r="A384" s="12" t="s">
        <v>1671</v>
      </c>
      <c r="B384" s="26" t="str">
        <f aca="false">Entities!$A$13</f>
        <v>SY</v>
      </c>
      <c r="C384" s="12" t="str">
        <f aca="false">INDEX(Entities!$B$5:$B$34,MATCH(B384,Entities!$A$5:$A$34,0))</f>
        <v>Arab Bank – Syria</v>
      </c>
      <c r="D384" s="7" t="str">
        <f aca="false">INDEX(Entities!$F$5:$F$34,MATCH(B384,Entities!$A$5:$A$34,0))</f>
        <v>Tier 2</v>
      </c>
      <c r="E384" s="26" t="str">
        <f aca="false">'Control Library'!$A$40</f>
        <v>CTL-OR-01</v>
      </c>
      <c r="F384" s="12" t="str">
        <f aca="false">INDEX('Control Library'!$B$5:$B$47,MATCH(E384,'Control Library'!$A$5:$A$47,0))</f>
        <v>Business continuity plans and annual testing</v>
      </c>
      <c r="G384" s="7" t="str">
        <f aca="false">INDEX('Control Library'!$F$5:$F$47,MATCH(E384,'Control Library'!$A$5:$A$47,0))</f>
        <v>Y</v>
      </c>
      <c r="H384" s="12" t="str">
        <f aca="false">INDEX('Control Library'!$E$5:$E$47,MATCH(E384,'Control Library'!$A$5:$A$47,0))</f>
        <v>Annual</v>
      </c>
      <c r="I384" s="7" t="str">
        <f aca="false">IF(INDEX('Control Library'!$I$5:$I$47,MATCH(E384,'Control Library'!$A$5:$A$47,0))="All","Y",IF(INDEX('Control Library'!$I$5:$I$47,MATCH(E384,'Control Library'!$A$5:$A$47,0))="Banks only",IF(COUNTIF('Residual Config'!$L$28:$L$30,INDEX(Entities!$E$5:$E$34,MATCH(B384,Entities!$A$5:$A$34,0)))&gt;0,"N/A","Y"),IF(INDEX(Entities!$G$5:$G$34,MATCH(B384,Entities!$A$5:$A$34,0))="Y","Y","N/A")))</f>
        <v>Y</v>
      </c>
      <c r="J384" s="8" t="s">
        <v>1672</v>
      </c>
      <c r="K384" s="8" t="s">
        <v>1584</v>
      </c>
      <c r="L384" s="7" t="str">
        <f aca="false">IF(OR(J384="",K384=""),"",IF(J384=K384,"Breach","OK"))</f>
        <v>OK</v>
      </c>
      <c r="M384" s="24" t="n">
        <v>1</v>
      </c>
      <c r="N384" s="50" t="n">
        <v>46217</v>
      </c>
      <c r="O384" s="8" t="s">
        <v>546</v>
      </c>
      <c r="P384" s="24" t="n">
        <v>1</v>
      </c>
      <c r="Q384" s="31" t="n">
        <f aca="false">IF(I384="N/A","",IFERROR(INDEX('Residual Config'!$B$35:$B$42,MATCH(H384,'Residual Config'!$A$35:$A$42,0)),""))</f>
        <v>1</v>
      </c>
      <c r="R384" s="24" t="n">
        <v>1</v>
      </c>
      <c r="S384" s="8" t="s">
        <v>521</v>
      </c>
      <c r="T384" s="31" t="n">
        <f aca="false">IF(S384="","",MATCH(S384,'Residual Config'!$L$9:$L$12,0))</f>
        <v>2</v>
      </c>
      <c r="U384" s="8" t="s">
        <v>1673</v>
      </c>
      <c r="V384" s="24" t="n">
        <v>1</v>
      </c>
      <c r="W384" s="33" t="s">
        <v>533</v>
      </c>
      <c r="X384" s="8" t="s">
        <v>754</v>
      </c>
      <c r="Y384" s="51" t="n">
        <f aca="false">IF(N384="","",EDATE(N384,IF(G384="N",INDEX('Residual Config'!$B$31:$D$31,1,MATCH(D384,'Residual Config'!$B$27:$D$27,0)),INDEX('Residual Config'!$B$28:$D$30,IF(T384=1,1,IF(T384=4,3,2)),MATCH(D384,'Residual Config'!$B$27:$D$27,0)))))</f>
        <v>46401</v>
      </c>
      <c r="Z384" s="7" t="str">
        <f aca="false">IF(I384="N/A","N/A",IF(N384="","Not tested",IF(W384="Rejected","Evidence rejected",IF(W384&lt;&gt;"Accepted","Evidence pending",IF(Y384&lt;'Residual Config'!$C$4,"Overdue","Current")))))</f>
        <v>Current</v>
      </c>
      <c r="AA384" s="34" t="n">
        <f aca="false">IF(I384="N/A","",IF(Z384&lt;&gt;"Current",4,IF(MAX(M384,T384)=0,4,MAX(M384,T384))))</f>
        <v>2</v>
      </c>
      <c r="AB384" s="7" t="str">
        <f aca="false">IF(AA384="","N/A",IF(Z384&lt;&gt;"Current","Not tested / overdue",INDEX('Residual Config'!$B$11:$B$14,AA384)))</f>
        <v>Largely effective</v>
      </c>
      <c r="AC384" s="36" t="n">
        <f aca="false">IF(AA384="","",INDEX('Residual Config'!$D$11:$D$14,AA384))</f>
        <v>0.4</v>
      </c>
      <c r="AD384" s="7" t="str">
        <f aca="false">IF(OR(I384="N/A",P384="",Q384=""),"",IF(P384&gt;=Q384,"Yes","No"))</f>
        <v>Yes</v>
      </c>
      <c r="AE384" s="8"/>
    </row>
    <row r="385" customFormat="false" ht="15" hidden="false" customHeight="false" outlineLevel="0" collapsed="false">
      <c r="A385" s="12" t="s">
        <v>1674</v>
      </c>
      <c r="B385" s="26" t="str">
        <f aca="false">Entities!$A$13</f>
        <v>SY</v>
      </c>
      <c r="C385" s="12" t="str">
        <f aca="false">INDEX(Entities!$B$5:$B$34,MATCH(B385,Entities!$A$5:$A$34,0))</f>
        <v>Arab Bank – Syria</v>
      </c>
      <c r="D385" s="7" t="str">
        <f aca="false">INDEX(Entities!$F$5:$F$34,MATCH(B385,Entities!$A$5:$A$34,0))</f>
        <v>Tier 2</v>
      </c>
      <c r="E385" s="26" t="str">
        <f aca="false">'Control Library'!$A$41</f>
        <v>CTL-OR-02</v>
      </c>
      <c r="F385" s="12" t="str">
        <f aca="false">INDEX('Control Library'!$B$5:$B$47,MATCH(E385,'Control Library'!$A$5:$A$47,0))</f>
        <v>Operational loss event capture and RCSA</v>
      </c>
      <c r="G385" s="7" t="str">
        <f aca="false">INDEX('Control Library'!$F$5:$F$47,MATCH(E385,'Control Library'!$A$5:$A$47,0))</f>
        <v>N</v>
      </c>
      <c r="H385" s="12" t="str">
        <f aca="false">INDEX('Control Library'!$E$5:$E$47,MATCH(E385,'Control Library'!$A$5:$A$47,0))</f>
        <v>Quarterly</v>
      </c>
      <c r="I385" s="7" t="str">
        <f aca="false">IF(INDEX('Control Library'!$I$5:$I$47,MATCH(E385,'Control Library'!$A$5:$A$47,0))="All","Y",IF(INDEX('Control Library'!$I$5:$I$47,MATCH(E385,'Control Library'!$A$5:$A$47,0))="Banks only",IF(COUNTIF('Residual Config'!$L$28:$L$30,INDEX(Entities!$E$5:$E$34,MATCH(B385,Entities!$A$5:$A$34,0)))&gt;0,"N/A","Y"),IF(INDEX(Entities!$G$5:$G$34,MATCH(B385,Entities!$A$5:$A$34,0))="Y","Y","N/A")))</f>
        <v>Y</v>
      </c>
      <c r="J385" s="8" t="s">
        <v>1664</v>
      </c>
      <c r="K385" s="8" t="s">
        <v>1584</v>
      </c>
      <c r="L385" s="7" t="str">
        <f aca="false">IF(OR(J385="",K385=""),"",IF(J385=K385,"Breach","OK"))</f>
        <v>OK</v>
      </c>
      <c r="M385" s="24" t="n">
        <v>2</v>
      </c>
      <c r="N385" s="50" t="n">
        <v>46218</v>
      </c>
      <c r="O385" s="8" t="s">
        <v>545</v>
      </c>
      <c r="P385" s="24" t="n">
        <v>2</v>
      </c>
      <c r="Q385" s="31" t="n">
        <f aca="false">IF(I385="N/A","",IFERROR(INDEX('Residual Config'!$B$35:$B$42,MATCH(H385,'Residual Config'!$A$35:$A$42,0)),""))</f>
        <v>2</v>
      </c>
      <c r="R385" s="24" t="n">
        <v>1</v>
      </c>
      <c r="S385" s="8" t="s">
        <v>521</v>
      </c>
      <c r="T385" s="31" t="n">
        <f aca="false">IF(S385="","",MATCH(S385,'Residual Config'!$L$9:$L$12,0))</f>
        <v>2</v>
      </c>
      <c r="U385" s="8" t="s">
        <v>1675</v>
      </c>
      <c r="V385" s="24" t="n">
        <v>6</v>
      </c>
      <c r="W385" s="33" t="s">
        <v>533</v>
      </c>
      <c r="X385" s="8" t="s">
        <v>760</v>
      </c>
      <c r="Y385" s="51" t="n">
        <f aca="false">IF(N385="","",EDATE(N385,IF(G385="N",INDEX('Residual Config'!$B$31:$D$31,1,MATCH(D385,'Residual Config'!$B$27:$D$27,0)),INDEX('Residual Config'!$B$28:$D$30,IF(T385=1,1,IF(T385=4,3,2)),MATCH(D385,'Residual Config'!$B$27:$D$27,0)))))</f>
        <v>46583</v>
      </c>
      <c r="Z385" s="7" t="str">
        <f aca="false">IF(I385="N/A","N/A",IF(N385="","Not tested",IF(W385="Rejected","Evidence rejected",IF(W385&lt;&gt;"Accepted","Evidence pending",IF(Y385&lt;'Residual Config'!$C$4,"Overdue","Current")))))</f>
        <v>Current</v>
      </c>
      <c r="AA385" s="34" t="n">
        <f aca="false">IF(I385="N/A","",IF(Z385&lt;&gt;"Current",4,IF(MAX(M385,T385)=0,4,MAX(M385,T385))))</f>
        <v>2</v>
      </c>
      <c r="AB385" s="7" t="str">
        <f aca="false">IF(AA385="","N/A",IF(Z385&lt;&gt;"Current","Not tested / overdue",INDEX('Residual Config'!$B$11:$B$14,AA385)))</f>
        <v>Largely effective</v>
      </c>
      <c r="AC385" s="36" t="n">
        <f aca="false">IF(AA385="","",INDEX('Residual Config'!$D$11:$D$14,AA385))</f>
        <v>0.4</v>
      </c>
      <c r="AD385" s="7" t="str">
        <f aca="false">IF(OR(I385="N/A",P385="",Q385=""),"",IF(P385&gt;=Q385,"Yes","No"))</f>
        <v>Yes</v>
      </c>
      <c r="AE385" s="8"/>
    </row>
    <row r="386" customFormat="false" ht="15" hidden="false" customHeight="false" outlineLevel="0" collapsed="false">
      <c r="A386" s="12" t="s">
        <v>1676</v>
      </c>
      <c r="B386" s="26" t="str">
        <f aca="false">Entities!$A$13</f>
        <v>SY</v>
      </c>
      <c r="C386" s="12" t="str">
        <f aca="false">INDEX(Entities!$B$5:$B$34,MATCH(B386,Entities!$A$5:$A$34,0))</f>
        <v>Arab Bank – Syria</v>
      </c>
      <c r="D386" s="7" t="str">
        <f aca="false">INDEX(Entities!$F$5:$F$34,MATCH(B386,Entities!$A$5:$A$34,0))</f>
        <v>Tier 2</v>
      </c>
      <c r="E386" s="26" t="str">
        <f aca="false">'Control Library'!$A$42</f>
        <v>CTL-CY-01</v>
      </c>
      <c r="F386" s="12" t="str">
        <f aca="false">INDEX('Control Library'!$B$5:$B$47,MATCH(E386,'Control Library'!$A$5:$A$47,0))</f>
        <v>Vulnerability and patch management</v>
      </c>
      <c r="G386" s="7" t="str">
        <f aca="false">INDEX('Control Library'!$F$5:$F$47,MATCH(E386,'Control Library'!$A$5:$A$47,0))</f>
        <v>Y</v>
      </c>
      <c r="H386" s="12" t="str">
        <f aca="false">INDEX('Control Library'!$E$5:$E$47,MATCH(E386,'Control Library'!$A$5:$A$47,0))</f>
        <v>Monthly</v>
      </c>
      <c r="I386" s="7" t="str">
        <f aca="false">IF(INDEX('Control Library'!$I$5:$I$47,MATCH(E386,'Control Library'!$A$5:$A$47,0))="All","Y",IF(INDEX('Control Library'!$I$5:$I$47,MATCH(E386,'Control Library'!$A$5:$A$47,0))="Banks only",IF(COUNTIF('Residual Config'!$L$28:$L$30,INDEX(Entities!$E$5:$E$34,MATCH(B386,Entities!$A$5:$A$34,0)))&gt;0,"N/A","Y"),IF(INDEX(Entities!$G$5:$G$34,MATCH(B386,Entities!$A$5:$A$34,0))="Y","Y","N/A")))</f>
        <v>Y</v>
      </c>
      <c r="J386" s="8" t="s">
        <v>1608</v>
      </c>
      <c r="K386" s="8" t="s">
        <v>1584</v>
      </c>
      <c r="L386" s="7" t="str">
        <f aca="false">IF(OR(J386="",K386=""),"",IF(J386=K386,"Breach","OK"))</f>
        <v>OK</v>
      </c>
      <c r="M386" s="24" t="n">
        <v>3</v>
      </c>
      <c r="N386" s="50" t="n">
        <v>46190</v>
      </c>
      <c r="O386" s="8" t="s">
        <v>546</v>
      </c>
      <c r="P386" s="24" t="n">
        <v>3</v>
      </c>
      <c r="Q386" s="31" t="n">
        <f aca="false">IF(I386="N/A","",IFERROR(INDEX('Residual Config'!$B$35:$B$42,MATCH(H386,'Residual Config'!$A$35:$A$42,0)),""))</f>
        <v>3</v>
      </c>
      <c r="R386" s="24" t="n">
        <v>1</v>
      </c>
      <c r="S386" s="8" t="s">
        <v>521</v>
      </c>
      <c r="T386" s="31" t="n">
        <f aca="false">IF(S386="","",MATCH(S386,'Residual Config'!$L$9:$L$12,0))</f>
        <v>2</v>
      </c>
      <c r="U386" s="8" t="s">
        <v>1677</v>
      </c>
      <c r="V386" s="24" t="n">
        <v>3</v>
      </c>
      <c r="W386" s="33" t="s">
        <v>533</v>
      </c>
      <c r="X386" s="8" t="s">
        <v>760</v>
      </c>
      <c r="Y386" s="51" t="n">
        <f aca="false">IF(N386="","",EDATE(N386,IF(G386="N",INDEX('Residual Config'!$B$31:$D$31,1,MATCH(D386,'Residual Config'!$B$27:$D$27,0)),INDEX('Residual Config'!$B$28:$D$30,IF(T386=1,1,IF(T386=4,3,2)),MATCH(D386,'Residual Config'!$B$27:$D$27,0)))))</f>
        <v>46373</v>
      </c>
      <c r="Z386" s="7" t="str">
        <f aca="false">IF(I386="N/A","N/A",IF(N386="","Not tested",IF(W386="Rejected","Evidence rejected",IF(W386&lt;&gt;"Accepted","Evidence pending",IF(Y386&lt;'Residual Config'!$C$4,"Overdue","Current")))))</f>
        <v>Current</v>
      </c>
      <c r="AA386" s="34" t="n">
        <f aca="false">IF(I386="N/A","",IF(Z386&lt;&gt;"Current",4,IF(MAX(M386,T386)=0,4,MAX(M386,T386))))</f>
        <v>3</v>
      </c>
      <c r="AB386" s="7" t="str">
        <f aca="false">IF(AA386="","N/A",IF(Z386&lt;&gt;"Current","Not tested / overdue",INDEX('Residual Config'!$B$11:$B$14,AA386)))</f>
        <v>Partially effective</v>
      </c>
      <c r="AC386" s="36" t="n">
        <f aca="false">IF(AA386="","",INDEX('Residual Config'!$D$11:$D$14,AA386))</f>
        <v>0.2</v>
      </c>
      <c r="AD386" s="7" t="str">
        <f aca="false">IF(OR(I386="N/A",P386="",Q386=""),"",IF(P386&gt;=Q386,"Yes","No"))</f>
        <v>Yes</v>
      </c>
      <c r="AE386" s="8"/>
    </row>
    <row r="387" customFormat="false" ht="15" hidden="false" customHeight="false" outlineLevel="0" collapsed="false">
      <c r="A387" s="12" t="s">
        <v>1678</v>
      </c>
      <c r="B387" s="26" t="str">
        <f aca="false">Entities!$A$13</f>
        <v>SY</v>
      </c>
      <c r="C387" s="12" t="str">
        <f aca="false">INDEX(Entities!$B$5:$B$34,MATCH(B387,Entities!$A$5:$A$34,0))</f>
        <v>Arab Bank – Syria</v>
      </c>
      <c r="D387" s="7" t="str">
        <f aca="false">INDEX(Entities!$F$5:$F$34,MATCH(B387,Entities!$A$5:$A$34,0))</f>
        <v>Tier 2</v>
      </c>
      <c r="E387" s="26" t="str">
        <f aca="false">'Control Library'!$A$43</f>
        <v>CTL-CY-02</v>
      </c>
      <c r="F387" s="12" t="str">
        <f aca="false">INDEX('Control Library'!$B$5:$B$47,MATCH(E387,'Control Library'!$A$5:$A$47,0))</f>
        <v>Privileged access management and SOC monitoring</v>
      </c>
      <c r="G387" s="7" t="str">
        <f aca="false">INDEX('Control Library'!$F$5:$F$47,MATCH(E387,'Control Library'!$A$5:$A$47,0))</f>
        <v>Y</v>
      </c>
      <c r="H387" s="12" t="str">
        <f aca="false">INDEX('Control Library'!$E$5:$E$47,MATCH(E387,'Control Library'!$A$5:$A$47,0))</f>
        <v>Continuous</v>
      </c>
      <c r="I387" s="7" t="str">
        <f aca="false">IF(INDEX('Control Library'!$I$5:$I$47,MATCH(E387,'Control Library'!$A$5:$A$47,0))="All","Y",IF(INDEX('Control Library'!$I$5:$I$47,MATCH(E387,'Control Library'!$A$5:$A$47,0))="Banks only",IF(COUNTIF('Residual Config'!$L$28:$L$30,INDEX(Entities!$E$5:$E$34,MATCH(B387,Entities!$A$5:$A$34,0)))&gt;0,"N/A","Y"),IF(INDEX(Entities!$G$5:$G$34,MATCH(B387,Entities!$A$5:$A$34,0))="Y","Y","N/A")))</f>
        <v>Y</v>
      </c>
      <c r="J387" s="8" t="s">
        <v>1657</v>
      </c>
      <c r="K387" s="8" t="s">
        <v>1584</v>
      </c>
      <c r="L387" s="7" t="str">
        <f aca="false">IF(OR(J387="",K387=""),"",IF(J387=K387,"Breach","OK"))</f>
        <v>OK</v>
      </c>
      <c r="M387" s="24" t="n">
        <v>2</v>
      </c>
      <c r="N387" s="50" t="n">
        <v>45951</v>
      </c>
      <c r="O387" s="8" t="s">
        <v>547</v>
      </c>
      <c r="P387" s="24" t="n">
        <v>1</v>
      </c>
      <c r="Q387" s="31" t="n">
        <f aca="false">IF(I387="N/A","",IFERROR(INDEX('Residual Config'!$B$35:$B$42,MATCH(H387,'Residual Config'!$A$35:$A$42,0)),""))</f>
        <v>1</v>
      </c>
      <c r="R387" s="24" t="n">
        <v>0</v>
      </c>
      <c r="S387" s="8" t="s">
        <v>516</v>
      </c>
      <c r="T387" s="31" t="n">
        <f aca="false">IF(S387="","",MATCH(S387,'Residual Config'!$L$9:$L$12,0))</f>
        <v>1</v>
      </c>
      <c r="U387" s="8" t="s">
        <v>1679</v>
      </c>
      <c r="V387" s="24" t="n">
        <v>5</v>
      </c>
      <c r="W387" s="33" t="s">
        <v>533</v>
      </c>
      <c r="X387" s="8" t="s">
        <v>754</v>
      </c>
      <c r="Y387" s="51" t="n">
        <f aca="false">IF(N387="","",EDATE(N387,IF(G387="N",INDEX('Residual Config'!$B$31:$D$31,1,MATCH(D387,'Residual Config'!$B$27:$D$27,0)),INDEX('Residual Config'!$B$28:$D$30,IF(T387=1,1,IF(T387=4,3,2)),MATCH(D387,'Residual Config'!$B$27:$D$27,0)))))</f>
        <v>46316</v>
      </c>
      <c r="Z387" s="7" t="str">
        <f aca="false">IF(I387="N/A","N/A",IF(N387="","Not tested",IF(W387="Rejected","Evidence rejected",IF(W387&lt;&gt;"Accepted","Evidence pending",IF(Y387&lt;'Residual Config'!$C$4,"Overdue","Current")))))</f>
        <v>Current</v>
      </c>
      <c r="AA387" s="34" t="n">
        <f aca="false">IF(I387="N/A","",IF(Z387&lt;&gt;"Current",4,IF(MAX(M387,T387)=0,4,MAX(M387,T387))))</f>
        <v>2</v>
      </c>
      <c r="AB387" s="7" t="str">
        <f aca="false">IF(AA387="","N/A",IF(Z387&lt;&gt;"Current","Not tested / overdue",INDEX('Residual Config'!$B$11:$B$14,AA387)))</f>
        <v>Largely effective</v>
      </c>
      <c r="AC387" s="36" t="n">
        <f aca="false">IF(AA387="","",INDEX('Residual Config'!$D$11:$D$14,AA387))</f>
        <v>0.4</v>
      </c>
      <c r="AD387" s="7" t="str">
        <f aca="false">IF(OR(I387="N/A",P387="",Q387=""),"",IF(P387&gt;=Q387,"Yes","No"))</f>
        <v>Yes</v>
      </c>
      <c r="AE387" s="8"/>
    </row>
    <row r="388" customFormat="false" ht="15" hidden="false" customHeight="false" outlineLevel="0" collapsed="false">
      <c r="A388" s="12" t="s">
        <v>1680</v>
      </c>
      <c r="B388" s="26" t="str">
        <f aca="false">Entities!$A$13</f>
        <v>SY</v>
      </c>
      <c r="C388" s="12" t="str">
        <f aca="false">INDEX(Entities!$B$5:$B$34,MATCH(B388,Entities!$A$5:$A$34,0))</f>
        <v>Arab Bank – Syria</v>
      </c>
      <c r="D388" s="7" t="str">
        <f aca="false">INDEX(Entities!$F$5:$F$34,MATCH(B388,Entities!$A$5:$A$34,0))</f>
        <v>Tier 2</v>
      </c>
      <c r="E388" s="26" t="str">
        <f aca="false">'Control Library'!$A$44</f>
        <v>CTL-TP-01</v>
      </c>
      <c r="F388" s="12" t="str">
        <f aca="false">INDEX('Control Library'!$B$5:$B$47,MATCH(E388,'Control Library'!$A$5:$A$47,0))</f>
        <v>Critical vendor due diligence and tested exit plans</v>
      </c>
      <c r="G388" s="7" t="str">
        <f aca="false">INDEX('Control Library'!$F$5:$F$47,MATCH(E388,'Control Library'!$A$5:$A$47,0))</f>
        <v>Y</v>
      </c>
      <c r="H388" s="12" t="str">
        <f aca="false">INDEX('Control Library'!$E$5:$E$47,MATCH(E388,'Control Library'!$A$5:$A$47,0))</f>
        <v>Annual</v>
      </c>
      <c r="I388" s="7" t="str">
        <f aca="false">IF(INDEX('Control Library'!$I$5:$I$47,MATCH(E388,'Control Library'!$A$5:$A$47,0))="All","Y",IF(INDEX('Control Library'!$I$5:$I$47,MATCH(E388,'Control Library'!$A$5:$A$47,0))="Banks only",IF(COUNTIF('Residual Config'!$L$28:$L$30,INDEX(Entities!$E$5:$E$34,MATCH(B388,Entities!$A$5:$A$34,0)))&gt;0,"N/A","Y"),IF(INDEX(Entities!$G$5:$G$34,MATCH(B388,Entities!$A$5:$A$34,0))="Y","Y","N/A")))</f>
        <v>Y</v>
      </c>
      <c r="J388" s="8" t="s">
        <v>1625</v>
      </c>
      <c r="K388" s="8" t="s">
        <v>1584</v>
      </c>
      <c r="L388" s="7" t="str">
        <f aca="false">IF(OR(J388="",K388=""),"",IF(J388=K388,"Breach","OK"))</f>
        <v>OK</v>
      </c>
      <c r="M388" s="24" t="n">
        <v>2</v>
      </c>
      <c r="N388" s="50" t="n">
        <v>46156</v>
      </c>
      <c r="O388" s="8" t="s">
        <v>546</v>
      </c>
      <c r="P388" s="24" t="n">
        <v>1</v>
      </c>
      <c r="Q388" s="31" t="n">
        <f aca="false">IF(I388="N/A","",IFERROR(INDEX('Residual Config'!$B$35:$B$42,MATCH(H388,'Residual Config'!$A$35:$A$42,0)),""))</f>
        <v>1</v>
      </c>
      <c r="R388" s="24" t="n">
        <v>1</v>
      </c>
      <c r="S388" s="8" t="s">
        <v>521</v>
      </c>
      <c r="T388" s="31" t="n">
        <f aca="false">IF(S388="","",MATCH(S388,'Residual Config'!$L$9:$L$12,0))</f>
        <v>2</v>
      </c>
      <c r="U388" s="8" t="s">
        <v>1681</v>
      </c>
      <c r="V388" s="24" t="n">
        <v>6</v>
      </c>
      <c r="W388" s="33" t="s">
        <v>533</v>
      </c>
      <c r="X388" s="8" t="s">
        <v>760</v>
      </c>
      <c r="Y388" s="51" t="n">
        <f aca="false">IF(N388="","",EDATE(N388,IF(G388="N",INDEX('Residual Config'!$B$31:$D$31,1,MATCH(D388,'Residual Config'!$B$27:$D$27,0)),INDEX('Residual Config'!$B$28:$D$30,IF(T388=1,1,IF(T388=4,3,2)),MATCH(D388,'Residual Config'!$B$27:$D$27,0)))))</f>
        <v>46340</v>
      </c>
      <c r="Z388" s="7" t="str">
        <f aca="false">IF(I388="N/A","N/A",IF(N388="","Not tested",IF(W388="Rejected","Evidence rejected",IF(W388&lt;&gt;"Accepted","Evidence pending",IF(Y388&lt;'Residual Config'!$C$4,"Overdue","Current")))))</f>
        <v>Current</v>
      </c>
      <c r="AA388" s="34" t="n">
        <f aca="false">IF(I388="N/A","",IF(Z388&lt;&gt;"Current",4,IF(MAX(M388,T388)=0,4,MAX(M388,T388))))</f>
        <v>2</v>
      </c>
      <c r="AB388" s="7" t="str">
        <f aca="false">IF(AA388="","N/A",IF(Z388&lt;&gt;"Current","Not tested / overdue",INDEX('Residual Config'!$B$11:$B$14,AA388)))</f>
        <v>Largely effective</v>
      </c>
      <c r="AC388" s="36" t="n">
        <f aca="false">IF(AA388="","",INDEX('Residual Config'!$D$11:$D$14,AA388))</f>
        <v>0.4</v>
      </c>
      <c r="AD388" s="7" t="str">
        <f aca="false">IF(OR(I388="N/A",P388="",Q388=""),"",IF(P388&gt;=Q388,"Yes","No"))</f>
        <v>Yes</v>
      </c>
      <c r="AE388" s="8"/>
    </row>
    <row r="389" customFormat="false" ht="15" hidden="false" customHeight="false" outlineLevel="0" collapsed="false">
      <c r="A389" s="12" t="s">
        <v>1682</v>
      </c>
      <c r="B389" s="26" t="str">
        <f aca="false">Entities!$A$13</f>
        <v>SY</v>
      </c>
      <c r="C389" s="12" t="str">
        <f aca="false">INDEX(Entities!$B$5:$B$34,MATCH(B389,Entities!$A$5:$A$34,0))</f>
        <v>Arab Bank – Syria</v>
      </c>
      <c r="D389" s="7" t="str">
        <f aca="false">INDEX(Entities!$F$5:$F$34,MATCH(B389,Entities!$A$5:$A$34,0))</f>
        <v>Tier 2</v>
      </c>
      <c r="E389" s="26" t="str">
        <f aca="false">'Control Library'!$A$45</f>
        <v>CTL-LG-01</v>
      </c>
      <c r="F389" s="12" t="str">
        <f aca="false">INDEX('Control Library'!$B$5:$B$47,MATCH(E389,'Control Library'!$A$5:$A$47,0))</f>
        <v>Legal review of contracts and litigation register</v>
      </c>
      <c r="G389" s="7" t="str">
        <f aca="false">INDEX('Control Library'!$F$5:$F$47,MATCH(E389,'Control Library'!$A$5:$A$47,0))</f>
        <v>Y</v>
      </c>
      <c r="H389" s="12" t="str">
        <f aca="false">INDEX('Control Library'!$E$5:$E$47,MATCH(E389,'Control Library'!$A$5:$A$47,0))</f>
        <v>Event-driven</v>
      </c>
      <c r="I389" s="7" t="str">
        <f aca="false">IF(INDEX('Control Library'!$I$5:$I$47,MATCH(E389,'Control Library'!$A$5:$A$47,0))="All","Y",IF(INDEX('Control Library'!$I$5:$I$47,MATCH(E389,'Control Library'!$A$5:$A$47,0))="Banks only",IF(COUNTIF('Residual Config'!$L$28:$L$30,INDEX(Entities!$E$5:$E$34,MATCH(B389,Entities!$A$5:$A$34,0)))&gt;0,"N/A","Y"),IF(INDEX(Entities!$G$5:$G$34,MATCH(B389,Entities!$A$5:$A$34,0))="Y","Y","N/A")))</f>
        <v>Y</v>
      </c>
      <c r="J389" s="8" t="s">
        <v>1683</v>
      </c>
      <c r="K389" s="8" t="s">
        <v>1584</v>
      </c>
      <c r="L389" s="7" t="str">
        <f aca="false">IF(OR(J389="",K389=""),"",IF(J389=K389,"Breach","OK"))</f>
        <v>OK</v>
      </c>
      <c r="M389" s="24" t="n">
        <v>2</v>
      </c>
      <c r="N389" s="50" t="n">
        <v>46212</v>
      </c>
      <c r="O389" s="8" t="s">
        <v>546</v>
      </c>
      <c r="P389" s="24" t="n">
        <v>25</v>
      </c>
      <c r="Q389" s="31" t="n">
        <f aca="false">IF(I389="N/A","",IFERROR(INDEX('Residual Config'!$B$35:$B$42,MATCH(H389,'Residual Config'!$A$35:$A$42,0)),""))</f>
        <v>25</v>
      </c>
      <c r="R389" s="24" t="n">
        <v>0</v>
      </c>
      <c r="S389" s="8" t="s">
        <v>516</v>
      </c>
      <c r="T389" s="31" t="n">
        <f aca="false">IF(S389="","",MATCH(S389,'Residual Config'!$L$9:$L$12,0))</f>
        <v>1</v>
      </c>
      <c r="U389" s="8" t="s">
        <v>1684</v>
      </c>
      <c r="V389" s="24" t="n">
        <v>5</v>
      </c>
      <c r="W389" s="33" t="s">
        <v>533</v>
      </c>
      <c r="X389" s="8" t="s">
        <v>760</v>
      </c>
      <c r="Y389" s="51" t="n">
        <f aca="false">IF(N389="","",EDATE(N389,IF(G389="N",INDEX('Residual Config'!$B$31:$D$31,1,MATCH(D389,'Residual Config'!$B$27:$D$27,0)),INDEX('Residual Config'!$B$28:$D$30,IF(T389=1,1,IF(T389=4,3,2)),MATCH(D389,'Residual Config'!$B$27:$D$27,0)))))</f>
        <v>46577</v>
      </c>
      <c r="Z389" s="7" t="str">
        <f aca="false">IF(I389="N/A","N/A",IF(N389="","Not tested",IF(W389="Rejected","Evidence rejected",IF(W389&lt;&gt;"Accepted","Evidence pending",IF(Y389&lt;'Residual Config'!$C$4,"Overdue","Current")))))</f>
        <v>Current</v>
      </c>
      <c r="AA389" s="34" t="n">
        <f aca="false">IF(I389="N/A","",IF(Z389&lt;&gt;"Current",4,IF(MAX(M389,T389)=0,4,MAX(M389,T389))))</f>
        <v>2</v>
      </c>
      <c r="AB389" s="7" t="str">
        <f aca="false">IF(AA389="","N/A",IF(Z389&lt;&gt;"Current","Not tested / overdue",INDEX('Residual Config'!$B$11:$B$14,AA389)))</f>
        <v>Largely effective</v>
      </c>
      <c r="AC389" s="36" t="n">
        <f aca="false">IF(AA389="","",INDEX('Residual Config'!$D$11:$D$14,AA389))</f>
        <v>0.4</v>
      </c>
      <c r="AD389" s="7" t="str">
        <f aca="false">IF(OR(I389="N/A",P389="",Q389=""),"",IF(P389&gt;=Q389,"Yes","No"))</f>
        <v>Yes</v>
      </c>
      <c r="AE389" s="8"/>
    </row>
    <row r="390" customFormat="false" ht="15" hidden="false" customHeight="false" outlineLevel="0" collapsed="false">
      <c r="A390" s="12" t="s">
        <v>1685</v>
      </c>
      <c r="B390" s="26" t="str">
        <f aca="false">Entities!$A$13</f>
        <v>SY</v>
      </c>
      <c r="C390" s="12" t="str">
        <f aca="false">INDEX(Entities!$B$5:$B$34,MATCH(B390,Entities!$A$5:$A$34,0))</f>
        <v>Arab Bank – Syria</v>
      </c>
      <c r="D390" s="7" t="str">
        <f aca="false">INDEX(Entities!$F$5:$F$34,MATCH(B390,Entities!$A$5:$A$34,0))</f>
        <v>Tier 2</v>
      </c>
      <c r="E390" s="26" t="str">
        <f aca="false">'Control Library'!$A$46</f>
        <v>CTL-RP-01</v>
      </c>
      <c r="F390" s="12" t="str">
        <f aca="false">INDEX('Control Library'!$B$5:$B$47,MATCH(E390,'Control Library'!$A$5:$A$47,0))</f>
        <v>Media monitoring and reputational-risk escalation</v>
      </c>
      <c r="G390" s="7" t="str">
        <f aca="false">INDEX('Control Library'!$F$5:$F$47,MATCH(E390,'Control Library'!$A$5:$A$47,0))</f>
        <v>Y</v>
      </c>
      <c r="H390" s="12" t="str">
        <f aca="false">INDEX('Control Library'!$E$5:$E$47,MATCH(E390,'Control Library'!$A$5:$A$47,0))</f>
        <v>Daily</v>
      </c>
      <c r="I390" s="7" t="str">
        <f aca="false">IF(INDEX('Control Library'!$I$5:$I$47,MATCH(E390,'Control Library'!$A$5:$A$47,0))="All","Y",IF(INDEX('Control Library'!$I$5:$I$47,MATCH(E390,'Control Library'!$A$5:$A$47,0))="Banks only",IF(COUNTIF('Residual Config'!$L$28:$L$30,INDEX(Entities!$E$5:$E$34,MATCH(B390,Entities!$A$5:$A$34,0)))&gt;0,"N/A","Y"),IF(INDEX(Entities!$G$5:$G$34,MATCH(B390,Entities!$A$5:$A$34,0))="Y","Y","N/A")))</f>
        <v>Y</v>
      </c>
      <c r="J390" s="8" t="s">
        <v>1686</v>
      </c>
      <c r="K390" s="8" t="s">
        <v>1584</v>
      </c>
      <c r="L390" s="7" t="str">
        <f aca="false">IF(OR(J390="",K390=""),"",IF(J390=K390,"Breach","OK"))</f>
        <v>OK</v>
      </c>
      <c r="M390" s="24" t="n">
        <v>1</v>
      </c>
      <c r="N390" s="50" t="n">
        <v>46189</v>
      </c>
      <c r="O390" s="8" t="s">
        <v>546</v>
      </c>
      <c r="P390" s="24" t="n">
        <v>30</v>
      </c>
      <c r="Q390" s="31" t="n">
        <f aca="false">IF(I390="N/A","",IFERROR(INDEX('Residual Config'!$B$35:$B$42,MATCH(H390,'Residual Config'!$A$35:$A$42,0)),""))</f>
        <v>25</v>
      </c>
      <c r="R390" s="24" t="n">
        <v>1</v>
      </c>
      <c r="S390" s="8" t="s">
        <v>521</v>
      </c>
      <c r="T390" s="31" t="n">
        <f aca="false">IF(S390="","",MATCH(S390,'Residual Config'!$L$9:$L$12,0))</f>
        <v>2</v>
      </c>
      <c r="U390" s="8" t="s">
        <v>1687</v>
      </c>
      <c r="V390" s="24" t="n">
        <v>2</v>
      </c>
      <c r="W390" s="33" t="s">
        <v>533</v>
      </c>
      <c r="X390" s="8" t="s">
        <v>754</v>
      </c>
      <c r="Y390" s="51" t="n">
        <f aca="false">IF(N390="","",EDATE(N390,IF(G390="N",INDEX('Residual Config'!$B$31:$D$31,1,MATCH(D390,'Residual Config'!$B$27:$D$27,0)),INDEX('Residual Config'!$B$28:$D$30,IF(T390=1,1,IF(T390=4,3,2)),MATCH(D390,'Residual Config'!$B$27:$D$27,0)))))</f>
        <v>46372</v>
      </c>
      <c r="Z390" s="7" t="str">
        <f aca="false">IF(I390="N/A","N/A",IF(N390="","Not tested",IF(W390="Rejected","Evidence rejected",IF(W390&lt;&gt;"Accepted","Evidence pending",IF(Y390&lt;'Residual Config'!$C$4,"Overdue","Current")))))</f>
        <v>Current</v>
      </c>
      <c r="AA390" s="34" t="n">
        <f aca="false">IF(I390="N/A","",IF(Z390&lt;&gt;"Current",4,IF(MAX(M390,T390)=0,4,MAX(M390,T390))))</f>
        <v>2</v>
      </c>
      <c r="AB390" s="7" t="str">
        <f aca="false">IF(AA390="","N/A",IF(Z390&lt;&gt;"Current","Not tested / overdue",INDEX('Residual Config'!$B$11:$B$14,AA390)))</f>
        <v>Largely effective</v>
      </c>
      <c r="AC390" s="36" t="n">
        <f aca="false">IF(AA390="","",INDEX('Residual Config'!$D$11:$D$14,AA390))</f>
        <v>0.4</v>
      </c>
      <c r="AD390" s="7" t="str">
        <f aca="false">IF(OR(I390="N/A",P390="",Q390=""),"",IF(P390&gt;=Q390,"Yes","No"))</f>
        <v>Yes</v>
      </c>
      <c r="AE390" s="8"/>
    </row>
    <row r="391" customFormat="false" ht="15" hidden="false" customHeight="false" outlineLevel="0" collapsed="false">
      <c r="A391" s="12" t="s">
        <v>1688</v>
      </c>
      <c r="B391" s="26" t="str">
        <f aca="false">Entities!$A$13</f>
        <v>SY</v>
      </c>
      <c r="C391" s="12" t="str">
        <f aca="false">INDEX(Entities!$B$5:$B$34,MATCH(B391,Entities!$A$5:$A$34,0))</f>
        <v>Arab Bank – Syria</v>
      </c>
      <c r="D391" s="7" t="str">
        <f aca="false">INDEX(Entities!$F$5:$F$34,MATCH(B391,Entities!$A$5:$A$34,0))</f>
        <v>Tier 2</v>
      </c>
      <c r="E391" s="26" t="str">
        <f aca="false">'Control Library'!$A$47</f>
        <v>CTL-ST-01</v>
      </c>
      <c r="F391" s="12" t="str">
        <f aca="false">INDEX('Control Library'!$B$5:$B$47,MATCH(E391,'Control Library'!$A$5:$A$47,0))</f>
        <v>Strategy execution monitoring and E&amp;S screening of lending</v>
      </c>
      <c r="G391" s="7" t="str">
        <f aca="false">INDEX('Control Library'!$F$5:$F$47,MATCH(E391,'Control Library'!$A$5:$A$47,0))</f>
        <v>Y</v>
      </c>
      <c r="H391" s="12" t="str">
        <f aca="false">INDEX('Control Library'!$E$5:$E$47,MATCH(E391,'Control Library'!$A$5:$A$47,0))</f>
        <v>Quarterly</v>
      </c>
      <c r="I391" s="7" t="str">
        <f aca="false">IF(INDEX('Control Library'!$I$5:$I$47,MATCH(E391,'Control Library'!$A$5:$A$47,0))="All","Y",IF(INDEX('Control Library'!$I$5:$I$47,MATCH(E391,'Control Library'!$A$5:$A$47,0))="Banks only",IF(COUNTIF('Residual Config'!$L$28:$L$30,INDEX(Entities!$E$5:$E$34,MATCH(B391,Entities!$A$5:$A$34,0)))&gt;0,"N/A","Y"),IF(INDEX(Entities!$G$5:$G$34,MATCH(B391,Entities!$A$5:$A$34,0))="Y","Y","N/A")))</f>
        <v>Y</v>
      </c>
      <c r="J391" s="8" t="s">
        <v>1689</v>
      </c>
      <c r="K391" s="8" t="s">
        <v>1584</v>
      </c>
      <c r="L391" s="7" t="str">
        <f aca="false">IF(OR(J391="",K391=""),"",IF(J391=K391,"Breach","OK"))</f>
        <v>OK</v>
      </c>
      <c r="M391" s="24" t="n">
        <v>3</v>
      </c>
      <c r="N391" s="50" t="n">
        <v>46159</v>
      </c>
      <c r="O391" s="8" t="s">
        <v>545</v>
      </c>
      <c r="P391" s="24" t="n">
        <v>2</v>
      </c>
      <c r="Q391" s="31" t="n">
        <f aca="false">IF(I391="N/A","",IFERROR(INDEX('Residual Config'!$B$35:$B$42,MATCH(H391,'Residual Config'!$A$35:$A$42,0)),""))</f>
        <v>2</v>
      </c>
      <c r="R391" s="24" t="n">
        <v>1</v>
      </c>
      <c r="S391" s="8" t="s">
        <v>521</v>
      </c>
      <c r="T391" s="31" t="n">
        <f aca="false">IF(S391="","",MATCH(S391,'Residual Config'!$L$9:$L$12,0))</f>
        <v>2</v>
      </c>
      <c r="U391" s="8" t="s">
        <v>1690</v>
      </c>
      <c r="V391" s="24" t="n">
        <v>5</v>
      </c>
      <c r="W391" s="33" t="s">
        <v>533</v>
      </c>
      <c r="X391" s="8" t="s">
        <v>760</v>
      </c>
      <c r="Y391" s="51" t="n">
        <f aca="false">IF(N391="","",EDATE(N391,IF(G391="N",INDEX('Residual Config'!$B$31:$D$31,1,MATCH(D391,'Residual Config'!$B$27:$D$27,0)),INDEX('Residual Config'!$B$28:$D$30,IF(T391=1,1,IF(T391=4,3,2)),MATCH(D391,'Residual Config'!$B$27:$D$27,0)))))</f>
        <v>46343</v>
      </c>
      <c r="Z391" s="7" t="str">
        <f aca="false">IF(I391="N/A","N/A",IF(N391="","Not tested",IF(W391="Rejected","Evidence rejected",IF(W391&lt;&gt;"Accepted","Evidence pending",IF(Y391&lt;'Residual Config'!$C$4,"Overdue","Current")))))</f>
        <v>Current</v>
      </c>
      <c r="AA391" s="34" t="n">
        <f aca="false">IF(I391="N/A","",IF(Z391&lt;&gt;"Current",4,IF(MAX(M391,T391)=0,4,MAX(M391,T391))))</f>
        <v>3</v>
      </c>
      <c r="AB391" s="7" t="str">
        <f aca="false">IF(AA391="","N/A",IF(Z391&lt;&gt;"Current","Not tested / overdue",INDEX('Residual Config'!$B$11:$B$14,AA391)))</f>
        <v>Partially effective</v>
      </c>
      <c r="AC391" s="36" t="n">
        <f aca="false">IF(AA391="","",INDEX('Residual Config'!$D$11:$D$14,AA391))</f>
        <v>0.2</v>
      </c>
      <c r="AD391" s="7" t="str">
        <f aca="false">IF(OR(I391="N/A",P391="",Q391=""),"",IF(P391&gt;=Q391,"Yes","No"))</f>
        <v>Yes</v>
      </c>
      <c r="AE391" s="8"/>
    </row>
    <row r="392" customFormat="false" ht="15" hidden="false" customHeight="false" outlineLevel="0" collapsed="false">
      <c r="A392" s="12" t="s">
        <v>1691</v>
      </c>
      <c r="B392" s="26" t="str">
        <f aca="false">Entities!$A$14</f>
        <v>AE</v>
      </c>
      <c r="C392" s="12" t="str">
        <f aca="false">INDEX(Entities!$B$5:$B$34,MATCH(B392,Entities!$A$5:$A$34,0))</f>
        <v>Arab Bank – UAE</v>
      </c>
      <c r="D392" s="7" t="str">
        <f aca="false">INDEX(Entities!$F$5:$F$34,MATCH(B392,Entities!$A$5:$A$34,0))</f>
        <v>Tier 1</v>
      </c>
      <c r="E392" s="26" t="str">
        <f aca="false">'Control Library'!$A$5</f>
        <v>CTL-KYC-01</v>
      </c>
      <c r="F392" s="12" t="str">
        <f aca="false">INDEX('Control Library'!$B$5:$B$47,MATCH(E392,'Control Library'!$A$5:$A$47,0))</f>
        <v>Customer due diligence and ID verification at onboarding</v>
      </c>
      <c r="G392" s="7" t="str">
        <f aca="false">INDEX('Control Library'!$F$5:$F$47,MATCH(E392,'Control Library'!$A$5:$A$47,0))</f>
        <v>Y</v>
      </c>
      <c r="H392" s="12" t="str">
        <f aca="false">INDEX('Control Library'!$E$5:$E$47,MATCH(E392,'Control Library'!$A$5:$A$47,0))</f>
        <v>Event-driven</v>
      </c>
      <c r="I392" s="7" t="str">
        <f aca="false">IF(INDEX('Control Library'!$I$5:$I$47,MATCH(E392,'Control Library'!$A$5:$A$47,0))="All","Y",IF(INDEX('Control Library'!$I$5:$I$47,MATCH(E392,'Control Library'!$A$5:$A$47,0))="Banks only",IF(COUNTIF('Residual Config'!$L$28:$L$30,INDEX(Entities!$E$5:$E$34,MATCH(B392,Entities!$A$5:$A$34,0)))&gt;0,"N/A","Y"),IF(INDEX(Entities!$G$5:$G$34,MATCH(B392,Entities!$A$5:$A$34,0))="Y","Y","N/A")))</f>
        <v>Y</v>
      </c>
      <c r="J392" s="8" t="s">
        <v>1692</v>
      </c>
      <c r="K392" s="8" t="s">
        <v>752</v>
      </c>
      <c r="L392" s="7" t="str">
        <f aca="false">IF(OR(J392="",K392=""),"",IF(J392=K392,"Breach","OK"))</f>
        <v>OK</v>
      </c>
      <c r="M392" s="24" t="n">
        <v>2</v>
      </c>
      <c r="N392" s="50" t="n">
        <v>46205</v>
      </c>
      <c r="O392" s="8" t="s">
        <v>545</v>
      </c>
      <c r="P392" s="24" t="n">
        <v>30</v>
      </c>
      <c r="Q392" s="31" t="n">
        <f aca="false">IF(I392="N/A","",IFERROR(INDEX('Residual Config'!$B$35:$B$42,MATCH(H392,'Residual Config'!$A$35:$A$42,0)),""))</f>
        <v>25</v>
      </c>
      <c r="R392" s="24" t="n">
        <v>0</v>
      </c>
      <c r="S392" s="8" t="s">
        <v>516</v>
      </c>
      <c r="T392" s="31" t="n">
        <f aca="false">IF(S392="","",MATCH(S392,'Residual Config'!$L$9:$L$12,0))</f>
        <v>1</v>
      </c>
      <c r="U392" s="8" t="s">
        <v>1693</v>
      </c>
      <c r="V392" s="24" t="n">
        <v>1</v>
      </c>
      <c r="W392" s="33" t="s">
        <v>533</v>
      </c>
      <c r="X392" s="8" t="s">
        <v>760</v>
      </c>
      <c r="Y392" s="51" t="n">
        <f aca="false">IF(N392="","",EDATE(N392,IF(G392="N",INDEX('Residual Config'!$B$31:$D$31,1,MATCH(D392,'Residual Config'!$B$27:$D$27,0)),INDEX('Residual Config'!$B$28:$D$30,IF(T392=1,1,IF(T392=4,3,2)),MATCH(D392,'Residual Config'!$B$27:$D$27,0)))))</f>
        <v>46389</v>
      </c>
      <c r="Z392" s="7" t="str">
        <f aca="false">IF(I392="N/A","N/A",IF(N392="","Not tested",IF(W392="Rejected","Evidence rejected",IF(W392&lt;&gt;"Accepted","Evidence pending",IF(Y392&lt;'Residual Config'!$C$4,"Overdue","Current")))))</f>
        <v>Current</v>
      </c>
      <c r="AA392" s="34" t="n">
        <f aca="false">IF(I392="N/A","",IF(Z392&lt;&gt;"Current",4,IF(MAX(M392,T392)=0,4,MAX(M392,T392))))</f>
        <v>2</v>
      </c>
      <c r="AB392" s="7" t="str">
        <f aca="false">IF(AA392="","N/A",IF(Z392&lt;&gt;"Current","Not tested / overdue",INDEX('Residual Config'!$B$11:$B$14,AA392)))</f>
        <v>Largely effective</v>
      </c>
      <c r="AC392" s="36" t="n">
        <f aca="false">IF(AA392="","",INDEX('Residual Config'!$D$11:$D$14,AA392))</f>
        <v>0.4</v>
      </c>
      <c r="AD392" s="7" t="str">
        <f aca="false">IF(OR(I392="N/A",P392="",Q392=""),"",IF(P392&gt;=Q392,"Yes","No"))</f>
        <v>Yes</v>
      </c>
      <c r="AE392" s="8"/>
    </row>
    <row r="393" customFormat="false" ht="15" hidden="false" customHeight="false" outlineLevel="0" collapsed="false">
      <c r="A393" s="12" t="s">
        <v>1694</v>
      </c>
      <c r="B393" s="26" t="str">
        <f aca="false">Entities!$A$14</f>
        <v>AE</v>
      </c>
      <c r="C393" s="12" t="str">
        <f aca="false">INDEX(Entities!$B$5:$B$34,MATCH(B393,Entities!$A$5:$A$34,0))</f>
        <v>Arab Bank – UAE</v>
      </c>
      <c r="D393" s="7" t="str">
        <f aca="false">INDEX(Entities!$F$5:$F$34,MATCH(B393,Entities!$A$5:$A$34,0))</f>
        <v>Tier 1</v>
      </c>
      <c r="E393" s="26" t="str">
        <f aca="false">'Control Library'!$A$6</f>
        <v>CTL-KYC-02</v>
      </c>
      <c r="F393" s="12" t="str">
        <f aca="false">INDEX('Control Library'!$B$5:$B$47,MATCH(E393,'Control Library'!$A$5:$A$47,0))</f>
        <v>Enhanced due diligence for high-risk customers and PEPs, senior approval</v>
      </c>
      <c r="G393" s="7" t="str">
        <f aca="false">INDEX('Control Library'!$F$5:$F$47,MATCH(E393,'Control Library'!$A$5:$A$47,0))</f>
        <v>Y</v>
      </c>
      <c r="H393" s="12" t="str">
        <f aca="false">INDEX('Control Library'!$E$5:$E$47,MATCH(E393,'Control Library'!$A$5:$A$47,0))</f>
        <v>Event-driven</v>
      </c>
      <c r="I393" s="7" t="str">
        <f aca="false">IF(INDEX('Control Library'!$I$5:$I$47,MATCH(E393,'Control Library'!$A$5:$A$47,0))="All","Y",IF(INDEX('Control Library'!$I$5:$I$47,MATCH(E393,'Control Library'!$A$5:$A$47,0))="Banks only",IF(COUNTIF('Residual Config'!$L$28:$L$30,INDEX(Entities!$E$5:$E$34,MATCH(B393,Entities!$A$5:$A$34,0)))&gt;0,"N/A","Y"),IF(INDEX(Entities!$G$5:$G$34,MATCH(B393,Entities!$A$5:$A$34,0))="Y","Y","N/A")))</f>
        <v>Y</v>
      </c>
      <c r="J393" s="8" t="s">
        <v>1695</v>
      </c>
      <c r="K393" s="8" t="s">
        <v>752</v>
      </c>
      <c r="L393" s="7" t="str">
        <f aca="false">IF(OR(J393="",K393=""),"",IF(J393=K393,"Breach","OK"))</f>
        <v>OK</v>
      </c>
      <c r="M393" s="24" t="n">
        <v>2</v>
      </c>
      <c r="N393" s="50" t="n">
        <v>46187</v>
      </c>
      <c r="O393" s="8" t="s">
        <v>545</v>
      </c>
      <c r="P393" s="24" t="n">
        <v>25</v>
      </c>
      <c r="Q393" s="31" t="n">
        <f aca="false">IF(I393="N/A","",IFERROR(INDEX('Residual Config'!$B$35:$B$42,MATCH(H393,'Residual Config'!$A$35:$A$42,0)),""))</f>
        <v>25</v>
      </c>
      <c r="R393" s="24" t="n">
        <v>0</v>
      </c>
      <c r="S393" s="8" t="s">
        <v>516</v>
      </c>
      <c r="T393" s="31" t="n">
        <f aca="false">IF(S393="","",MATCH(S393,'Residual Config'!$L$9:$L$12,0))</f>
        <v>1</v>
      </c>
      <c r="U393" s="8" t="s">
        <v>1696</v>
      </c>
      <c r="V393" s="24" t="n">
        <v>2</v>
      </c>
      <c r="W393" s="33" t="s">
        <v>533</v>
      </c>
      <c r="X393" s="8" t="s">
        <v>754</v>
      </c>
      <c r="Y393" s="51" t="n">
        <f aca="false">IF(N393="","",EDATE(N393,IF(G393="N",INDEX('Residual Config'!$B$31:$D$31,1,MATCH(D393,'Residual Config'!$B$27:$D$27,0)),INDEX('Residual Config'!$B$28:$D$30,IF(T393=1,1,IF(T393=4,3,2)),MATCH(D393,'Residual Config'!$B$27:$D$27,0)))))</f>
        <v>46370</v>
      </c>
      <c r="Z393" s="7" t="str">
        <f aca="false">IF(I393="N/A","N/A",IF(N393="","Not tested",IF(W393="Rejected","Evidence rejected",IF(W393&lt;&gt;"Accepted","Evidence pending",IF(Y393&lt;'Residual Config'!$C$4,"Overdue","Current")))))</f>
        <v>Current</v>
      </c>
      <c r="AA393" s="34" t="n">
        <f aca="false">IF(I393="N/A","",IF(Z393&lt;&gt;"Current",4,IF(MAX(M393,T393)=0,4,MAX(M393,T393))))</f>
        <v>2</v>
      </c>
      <c r="AB393" s="7" t="str">
        <f aca="false">IF(AA393="","N/A",IF(Z393&lt;&gt;"Current","Not tested / overdue",INDEX('Residual Config'!$B$11:$B$14,AA393)))</f>
        <v>Largely effective</v>
      </c>
      <c r="AC393" s="36" t="n">
        <f aca="false">IF(AA393="","",INDEX('Residual Config'!$D$11:$D$14,AA393))</f>
        <v>0.4</v>
      </c>
      <c r="AD393" s="7" t="str">
        <f aca="false">IF(OR(I393="N/A",P393="",Q393=""),"",IF(P393&gt;=Q393,"Yes","No"))</f>
        <v>Yes</v>
      </c>
      <c r="AE393" s="8"/>
    </row>
    <row r="394" customFormat="false" ht="15" hidden="false" customHeight="false" outlineLevel="0" collapsed="false">
      <c r="A394" s="12" t="s">
        <v>1697</v>
      </c>
      <c r="B394" s="26" t="str">
        <f aca="false">Entities!$A$14</f>
        <v>AE</v>
      </c>
      <c r="C394" s="12" t="str">
        <f aca="false">INDEX(Entities!$B$5:$B$34,MATCH(B394,Entities!$A$5:$A$34,0))</f>
        <v>Arab Bank – UAE</v>
      </c>
      <c r="D394" s="7" t="str">
        <f aca="false">INDEX(Entities!$F$5:$F$34,MATCH(B394,Entities!$A$5:$A$34,0))</f>
        <v>Tier 1</v>
      </c>
      <c r="E394" s="26" t="str">
        <f aca="false">'Control Library'!$A$7</f>
        <v>CTL-KYC-03</v>
      </c>
      <c r="F394" s="12" t="str">
        <f aca="false">INDEX('Control Library'!$B$5:$B$47,MATCH(E394,'Control Library'!$A$5:$A$47,0))</f>
        <v>Ultimate beneficial owner identification and verification</v>
      </c>
      <c r="G394" s="7" t="str">
        <f aca="false">INDEX('Control Library'!$F$5:$F$47,MATCH(E394,'Control Library'!$A$5:$A$47,0))</f>
        <v>Y</v>
      </c>
      <c r="H394" s="12" t="str">
        <f aca="false">INDEX('Control Library'!$E$5:$E$47,MATCH(E394,'Control Library'!$A$5:$A$47,0))</f>
        <v>Event-driven</v>
      </c>
      <c r="I394" s="7" t="str">
        <f aca="false">IF(INDEX('Control Library'!$I$5:$I$47,MATCH(E394,'Control Library'!$A$5:$A$47,0))="All","Y",IF(INDEX('Control Library'!$I$5:$I$47,MATCH(E394,'Control Library'!$A$5:$A$47,0))="Banks only",IF(COUNTIF('Residual Config'!$L$28:$L$30,INDEX(Entities!$E$5:$E$34,MATCH(B394,Entities!$A$5:$A$34,0)))&gt;0,"N/A","Y"),IF(INDEX(Entities!$G$5:$G$34,MATCH(B394,Entities!$A$5:$A$34,0))="Y","Y","N/A")))</f>
        <v>Y</v>
      </c>
      <c r="J394" s="8" t="s">
        <v>1692</v>
      </c>
      <c r="K394" s="8" t="s">
        <v>752</v>
      </c>
      <c r="L394" s="7" t="str">
        <f aca="false">IF(OR(J394="",K394=""),"",IF(J394=K394,"Breach","OK"))</f>
        <v>OK</v>
      </c>
      <c r="M394" s="24" t="n">
        <v>1</v>
      </c>
      <c r="N394" s="50" t="n">
        <v>46251</v>
      </c>
      <c r="O394" s="8" t="s">
        <v>545</v>
      </c>
      <c r="P394" s="24" t="n">
        <v>35</v>
      </c>
      <c r="Q394" s="31" t="n">
        <f aca="false">IF(I394="N/A","",IFERROR(INDEX('Residual Config'!$B$35:$B$42,MATCH(H394,'Residual Config'!$A$35:$A$42,0)),""))</f>
        <v>25</v>
      </c>
      <c r="R394" s="24" t="n">
        <v>0</v>
      </c>
      <c r="S394" s="8" t="s">
        <v>516</v>
      </c>
      <c r="T394" s="31" t="n">
        <f aca="false">IF(S394="","",MATCH(S394,'Residual Config'!$L$9:$L$12,0))</f>
        <v>1</v>
      </c>
      <c r="U394" s="8" t="s">
        <v>1698</v>
      </c>
      <c r="V394" s="24" t="n">
        <v>6</v>
      </c>
      <c r="W394" s="33" t="s">
        <v>533</v>
      </c>
      <c r="X394" s="8" t="s">
        <v>754</v>
      </c>
      <c r="Y394" s="51" t="n">
        <f aca="false">IF(N394="","",EDATE(N394,IF(G394="N",INDEX('Residual Config'!$B$31:$D$31,1,MATCH(D394,'Residual Config'!$B$27:$D$27,0)),INDEX('Residual Config'!$B$28:$D$30,IF(T394=1,1,IF(T394=4,3,2)),MATCH(D394,'Residual Config'!$B$27:$D$27,0)))))</f>
        <v>46435</v>
      </c>
      <c r="Z394" s="7" t="str">
        <f aca="false">IF(I394="N/A","N/A",IF(N394="","Not tested",IF(W394="Rejected","Evidence rejected",IF(W394&lt;&gt;"Accepted","Evidence pending",IF(Y394&lt;'Residual Config'!$C$4,"Overdue","Current")))))</f>
        <v>Current</v>
      </c>
      <c r="AA394" s="34" t="n">
        <f aca="false">IF(I394="N/A","",IF(Z394&lt;&gt;"Current",4,IF(MAX(M394,T394)=0,4,MAX(M394,T394))))</f>
        <v>1</v>
      </c>
      <c r="AB394" s="7" t="str">
        <f aca="false">IF(AA394="","N/A",IF(Z394&lt;&gt;"Current","Not tested / overdue",INDEX('Residual Config'!$B$11:$B$14,AA394)))</f>
        <v>Effective</v>
      </c>
      <c r="AC394" s="36" t="n">
        <f aca="false">IF(AA394="","",INDEX('Residual Config'!$D$11:$D$14,AA394))</f>
        <v>0.6</v>
      </c>
      <c r="AD394" s="7" t="str">
        <f aca="false">IF(OR(I394="N/A",P394="",Q394=""),"",IF(P394&gt;=Q394,"Yes","No"))</f>
        <v>Yes</v>
      </c>
      <c r="AE394" s="8"/>
    </row>
    <row r="395" customFormat="false" ht="15" hidden="false" customHeight="false" outlineLevel="0" collapsed="false">
      <c r="A395" s="12" t="s">
        <v>1699</v>
      </c>
      <c r="B395" s="26" t="str">
        <f aca="false">Entities!$A$14</f>
        <v>AE</v>
      </c>
      <c r="C395" s="12" t="str">
        <f aca="false">INDEX(Entities!$B$5:$B$34,MATCH(B395,Entities!$A$5:$A$34,0))</f>
        <v>Arab Bank – UAE</v>
      </c>
      <c r="D395" s="7" t="str">
        <f aca="false">INDEX(Entities!$F$5:$F$34,MATCH(B395,Entities!$A$5:$A$34,0))</f>
        <v>Tier 1</v>
      </c>
      <c r="E395" s="26" t="str">
        <f aca="false">'Control Library'!$A$8</f>
        <v>CTL-KYC-04</v>
      </c>
      <c r="F395" s="12" t="str">
        <f aca="false">INDEX('Control Library'!$B$5:$B$47,MATCH(E395,'Control Library'!$A$5:$A$47,0))</f>
        <v>Periodic KYC review by customer risk rating</v>
      </c>
      <c r="G395" s="7" t="str">
        <f aca="false">INDEX('Control Library'!$F$5:$F$47,MATCH(E395,'Control Library'!$A$5:$A$47,0))</f>
        <v>Y</v>
      </c>
      <c r="H395" s="12" t="str">
        <f aca="false">INDEX('Control Library'!$E$5:$E$47,MATCH(E395,'Control Library'!$A$5:$A$47,0))</f>
        <v>Monthly</v>
      </c>
      <c r="I395" s="7" t="str">
        <f aca="false">IF(INDEX('Control Library'!$I$5:$I$47,MATCH(E395,'Control Library'!$A$5:$A$47,0))="All","Y",IF(INDEX('Control Library'!$I$5:$I$47,MATCH(E395,'Control Library'!$A$5:$A$47,0))="Banks only",IF(COUNTIF('Residual Config'!$L$28:$L$30,INDEX(Entities!$E$5:$E$34,MATCH(B395,Entities!$A$5:$A$34,0)))&gt;0,"N/A","Y"),IF(INDEX(Entities!$G$5:$G$34,MATCH(B395,Entities!$A$5:$A$34,0))="Y","Y","N/A")))</f>
        <v>Y</v>
      </c>
      <c r="J395" s="8" t="s">
        <v>1692</v>
      </c>
      <c r="K395" s="8" t="s">
        <v>752</v>
      </c>
      <c r="L395" s="7" t="str">
        <f aca="false">IF(OR(J395="",K395=""),"",IF(J395=K395,"Breach","OK"))</f>
        <v>OK</v>
      </c>
      <c r="M395" s="24" t="n">
        <v>1</v>
      </c>
      <c r="N395" s="50" t="n">
        <v>46261</v>
      </c>
      <c r="O395" s="8" t="s">
        <v>546</v>
      </c>
      <c r="P395" s="24" t="n">
        <v>3</v>
      </c>
      <c r="Q395" s="31" t="n">
        <f aca="false">IF(I395="N/A","",IFERROR(INDEX('Residual Config'!$B$35:$B$42,MATCH(H395,'Residual Config'!$A$35:$A$42,0)),""))</f>
        <v>3</v>
      </c>
      <c r="R395" s="24" t="n">
        <v>1</v>
      </c>
      <c r="S395" s="8" t="s">
        <v>521</v>
      </c>
      <c r="T395" s="31" t="n">
        <f aca="false">IF(S395="","",MATCH(S395,'Residual Config'!$L$9:$L$12,0))</f>
        <v>2</v>
      </c>
      <c r="U395" s="8" t="s">
        <v>1700</v>
      </c>
      <c r="V395" s="24" t="n">
        <v>5</v>
      </c>
      <c r="W395" s="33" t="s">
        <v>533</v>
      </c>
      <c r="X395" s="8" t="s">
        <v>754</v>
      </c>
      <c r="Y395" s="51" t="n">
        <f aca="false">IF(N395="","",EDATE(N395,IF(G395="N",INDEX('Residual Config'!$B$31:$D$31,1,MATCH(D395,'Residual Config'!$B$27:$D$27,0)),INDEX('Residual Config'!$B$28:$D$30,IF(T395=1,1,IF(T395=4,3,2)),MATCH(D395,'Residual Config'!$B$27:$D$27,0)))))</f>
        <v>46353</v>
      </c>
      <c r="Z395" s="7" t="str">
        <f aca="false">IF(I395="N/A","N/A",IF(N395="","Not tested",IF(W395="Rejected","Evidence rejected",IF(W395&lt;&gt;"Accepted","Evidence pending",IF(Y395&lt;'Residual Config'!$C$4,"Overdue","Current")))))</f>
        <v>Current</v>
      </c>
      <c r="AA395" s="34" t="n">
        <f aca="false">IF(I395="N/A","",IF(Z395&lt;&gt;"Current",4,IF(MAX(M395,T395)=0,4,MAX(M395,T395))))</f>
        <v>2</v>
      </c>
      <c r="AB395" s="7" t="str">
        <f aca="false">IF(AA395="","N/A",IF(Z395&lt;&gt;"Current","Not tested / overdue",INDEX('Residual Config'!$B$11:$B$14,AA395)))</f>
        <v>Largely effective</v>
      </c>
      <c r="AC395" s="36" t="n">
        <f aca="false">IF(AA395="","",INDEX('Residual Config'!$D$11:$D$14,AA395))</f>
        <v>0.4</v>
      </c>
      <c r="AD395" s="7" t="str">
        <f aca="false">IF(OR(I395="N/A",P395="",Q395=""),"",IF(P395&gt;=Q395,"Yes","No"))</f>
        <v>Yes</v>
      </c>
      <c r="AE395" s="8"/>
    </row>
    <row r="396" customFormat="false" ht="15" hidden="false" customHeight="false" outlineLevel="0" collapsed="false">
      <c r="A396" s="12" t="s">
        <v>1701</v>
      </c>
      <c r="B396" s="26" t="str">
        <f aca="false">Entities!$A$14</f>
        <v>AE</v>
      </c>
      <c r="C396" s="12" t="str">
        <f aca="false">INDEX(Entities!$B$5:$B$34,MATCH(B396,Entities!$A$5:$A$34,0))</f>
        <v>Arab Bank – UAE</v>
      </c>
      <c r="D396" s="7" t="str">
        <f aca="false">INDEX(Entities!$F$5:$F$34,MATCH(B396,Entities!$A$5:$A$34,0))</f>
        <v>Tier 1</v>
      </c>
      <c r="E396" s="26" t="str">
        <f aca="false">'Control Library'!$A$9</f>
        <v>CTL-CRR-01</v>
      </c>
      <c r="F396" s="12" t="str">
        <f aca="false">INDEX('Control Library'!$B$5:$B$47,MATCH(E396,'Control Library'!$A$5:$A$47,0))</f>
        <v>Customer risk rating model and annual validation</v>
      </c>
      <c r="G396" s="7" t="str">
        <f aca="false">INDEX('Control Library'!$F$5:$F$47,MATCH(E396,'Control Library'!$A$5:$A$47,0))</f>
        <v>N</v>
      </c>
      <c r="H396" s="12" t="str">
        <f aca="false">INDEX('Control Library'!$E$5:$E$47,MATCH(E396,'Control Library'!$A$5:$A$47,0))</f>
        <v>Annual</v>
      </c>
      <c r="I396" s="7" t="str">
        <f aca="false">IF(INDEX('Control Library'!$I$5:$I$47,MATCH(E396,'Control Library'!$A$5:$A$47,0))="All","Y",IF(INDEX('Control Library'!$I$5:$I$47,MATCH(E396,'Control Library'!$A$5:$A$47,0))="Banks only",IF(COUNTIF('Residual Config'!$L$28:$L$30,INDEX(Entities!$E$5:$E$34,MATCH(B396,Entities!$A$5:$A$34,0)))&gt;0,"N/A","Y"),IF(INDEX(Entities!$G$5:$G$34,MATCH(B396,Entities!$A$5:$A$34,0))="Y","Y","N/A")))</f>
        <v>Y</v>
      </c>
      <c r="J396" s="8" t="s">
        <v>1695</v>
      </c>
      <c r="K396" s="8" t="s">
        <v>1702</v>
      </c>
      <c r="L396" s="7" t="str">
        <f aca="false">IF(OR(J396="",K396=""),"",IF(J396=K396,"Breach","OK"))</f>
        <v>OK</v>
      </c>
      <c r="M396" s="24" t="n">
        <v>1</v>
      </c>
      <c r="N396" s="50" t="n">
        <v>46115</v>
      </c>
      <c r="O396" s="8" t="s">
        <v>546</v>
      </c>
      <c r="P396" s="24" t="n">
        <v>1</v>
      </c>
      <c r="Q396" s="31" t="n">
        <f aca="false">IF(I396="N/A","",IFERROR(INDEX('Residual Config'!$B$35:$B$42,MATCH(H396,'Residual Config'!$A$35:$A$42,0)),""))</f>
        <v>1</v>
      </c>
      <c r="R396" s="24" t="n">
        <v>0</v>
      </c>
      <c r="S396" s="8" t="s">
        <v>516</v>
      </c>
      <c r="T396" s="31" t="n">
        <f aca="false">IF(S396="","",MATCH(S396,'Residual Config'!$L$9:$L$12,0))</f>
        <v>1</v>
      </c>
      <c r="U396" s="8" t="s">
        <v>1703</v>
      </c>
      <c r="V396" s="24" t="n">
        <v>5</v>
      </c>
      <c r="W396" s="33" t="s">
        <v>533</v>
      </c>
      <c r="X396" s="8" t="s">
        <v>760</v>
      </c>
      <c r="Y396" s="51" t="n">
        <f aca="false">IF(N396="","",EDATE(N396,IF(G396="N",INDEX('Residual Config'!$B$31:$D$31,1,MATCH(D396,'Residual Config'!$B$27:$D$27,0)),INDEX('Residual Config'!$B$28:$D$30,IF(T396=1,1,IF(T396=4,3,2)),MATCH(D396,'Residual Config'!$B$27:$D$27,0)))))</f>
        <v>46480</v>
      </c>
      <c r="Z396" s="7" t="str">
        <f aca="false">IF(I396="N/A","N/A",IF(N396="","Not tested",IF(W396="Rejected","Evidence rejected",IF(W396&lt;&gt;"Accepted","Evidence pending",IF(Y396&lt;'Residual Config'!$C$4,"Overdue","Current")))))</f>
        <v>Current</v>
      </c>
      <c r="AA396" s="34" t="n">
        <f aca="false">IF(I396="N/A","",IF(Z396&lt;&gt;"Current",4,IF(MAX(M396,T396)=0,4,MAX(M396,T396))))</f>
        <v>1</v>
      </c>
      <c r="AB396" s="7" t="str">
        <f aca="false">IF(AA396="","N/A",IF(Z396&lt;&gt;"Current","Not tested / overdue",INDEX('Residual Config'!$B$11:$B$14,AA396)))</f>
        <v>Effective</v>
      </c>
      <c r="AC396" s="36" t="n">
        <f aca="false">IF(AA396="","",INDEX('Residual Config'!$D$11:$D$14,AA396))</f>
        <v>0.6</v>
      </c>
      <c r="AD396" s="7" t="str">
        <f aca="false">IF(OR(I396="N/A",P396="",Q396=""),"",IF(P396&gt;=Q396,"Yes","No"))</f>
        <v>Yes</v>
      </c>
      <c r="AE396" s="8"/>
    </row>
    <row r="397" customFormat="false" ht="15" hidden="false" customHeight="false" outlineLevel="0" collapsed="false">
      <c r="A397" s="12" t="s">
        <v>1704</v>
      </c>
      <c r="B397" s="26" t="str">
        <f aca="false">Entities!$A$14</f>
        <v>AE</v>
      </c>
      <c r="C397" s="12" t="str">
        <f aca="false">INDEX(Entities!$B$5:$B$34,MATCH(B397,Entities!$A$5:$A$34,0))</f>
        <v>Arab Bank – UAE</v>
      </c>
      <c r="D397" s="7" t="str">
        <f aca="false">INDEX(Entities!$F$5:$F$34,MATCH(B397,Entities!$A$5:$A$34,0))</f>
        <v>Tier 1</v>
      </c>
      <c r="E397" s="26" t="str">
        <f aca="false">'Control Library'!$A$10</f>
        <v>CTL-TM-01</v>
      </c>
      <c r="F397" s="12" t="str">
        <f aca="false">INDEX('Control Library'!$B$5:$B$47,MATCH(E397,'Control Library'!$A$5:$A$47,0))</f>
        <v>Automated transaction monitoring scenarios and annual tuning</v>
      </c>
      <c r="G397" s="7" t="str">
        <f aca="false">INDEX('Control Library'!$F$5:$F$47,MATCH(E397,'Control Library'!$A$5:$A$47,0))</f>
        <v>Y</v>
      </c>
      <c r="H397" s="12" t="str">
        <f aca="false">INDEX('Control Library'!$E$5:$E$47,MATCH(E397,'Control Library'!$A$5:$A$47,0))</f>
        <v>Continuous</v>
      </c>
      <c r="I397" s="7" t="str">
        <f aca="false">IF(INDEX('Control Library'!$I$5:$I$47,MATCH(E397,'Control Library'!$A$5:$A$47,0))="All","Y",IF(INDEX('Control Library'!$I$5:$I$47,MATCH(E397,'Control Library'!$A$5:$A$47,0))="Banks only",IF(COUNTIF('Residual Config'!$L$28:$L$30,INDEX(Entities!$E$5:$E$34,MATCH(B397,Entities!$A$5:$A$34,0)))&gt;0,"N/A","Y"),IF(INDEX(Entities!$G$5:$G$34,MATCH(B397,Entities!$A$5:$A$34,0))="Y","Y","N/A")))</f>
        <v>Y</v>
      </c>
      <c r="J397" s="8" t="s">
        <v>1705</v>
      </c>
      <c r="K397" s="8" t="s">
        <v>752</v>
      </c>
      <c r="L397" s="7" t="str">
        <f aca="false">IF(OR(J397="",K397=""),"",IF(J397=K397,"Breach","OK"))</f>
        <v>OK</v>
      </c>
      <c r="M397" s="24" t="n">
        <v>1</v>
      </c>
      <c r="N397" s="50" t="n">
        <v>46231</v>
      </c>
      <c r="O397" s="8" t="s">
        <v>546</v>
      </c>
      <c r="P397" s="24" t="n">
        <v>1</v>
      </c>
      <c r="Q397" s="31" t="n">
        <f aca="false">IF(I397="N/A","",IFERROR(INDEX('Residual Config'!$B$35:$B$42,MATCH(H397,'Residual Config'!$A$35:$A$42,0)),""))</f>
        <v>1</v>
      </c>
      <c r="R397" s="24" t="n">
        <v>1</v>
      </c>
      <c r="S397" s="8" t="s">
        <v>521</v>
      </c>
      <c r="T397" s="31" t="n">
        <f aca="false">IF(S397="","",MATCH(S397,'Residual Config'!$L$9:$L$12,0))</f>
        <v>2</v>
      </c>
      <c r="U397" s="8" t="s">
        <v>1706</v>
      </c>
      <c r="V397" s="24" t="n">
        <v>5</v>
      </c>
      <c r="W397" s="33" t="s">
        <v>533</v>
      </c>
      <c r="X397" s="8" t="s">
        <v>760</v>
      </c>
      <c r="Y397" s="51" t="n">
        <f aca="false">IF(N397="","",EDATE(N397,IF(G397="N",INDEX('Residual Config'!$B$31:$D$31,1,MATCH(D397,'Residual Config'!$B$27:$D$27,0)),INDEX('Residual Config'!$B$28:$D$30,IF(T397=1,1,IF(T397=4,3,2)),MATCH(D397,'Residual Config'!$B$27:$D$27,0)))))</f>
        <v>46323</v>
      </c>
      <c r="Z397" s="7" t="str">
        <f aca="false">IF(I397="N/A","N/A",IF(N397="","Not tested",IF(W397="Rejected","Evidence rejected",IF(W397&lt;&gt;"Accepted","Evidence pending",IF(Y397&lt;'Residual Config'!$C$4,"Overdue","Current")))))</f>
        <v>Current</v>
      </c>
      <c r="AA397" s="34" t="n">
        <f aca="false">IF(I397="N/A","",IF(Z397&lt;&gt;"Current",4,IF(MAX(M397,T397)=0,4,MAX(M397,T397))))</f>
        <v>2</v>
      </c>
      <c r="AB397" s="7" t="str">
        <f aca="false">IF(AA397="","N/A",IF(Z397&lt;&gt;"Current","Not tested / overdue",INDEX('Residual Config'!$B$11:$B$14,AA397)))</f>
        <v>Largely effective</v>
      </c>
      <c r="AC397" s="36" t="n">
        <f aca="false">IF(AA397="","",INDEX('Residual Config'!$D$11:$D$14,AA397))</f>
        <v>0.4</v>
      </c>
      <c r="AD397" s="7" t="str">
        <f aca="false">IF(OR(I397="N/A",P397="",Q397=""),"",IF(P397&gt;=Q397,"Yes","No"))</f>
        <v>Yes</v>
      </c>
      <c r="AE397" s="8"/>
    </row>
    <row r="398" customFormat="false" ht="15" hidden="false" customHeight="false" outlineLevel="0" collapsed="false">
      <c r="A398" s="12" t="s">
        <v>1707</v>
      </c>
      <c r="B398" s="26" t="str">
        <f aca="false">Entities!$A$14</f>
        <v>AE</v>
      </c>
      <c r="C398" s="12" t="str">
        <f aca="false">INDEX(Entities!$B$5:$B$34,MATCH(B398,Entities!$A$5:$A$34,0))</f>
        <v>Arab Bank – UAE</v>
      </c>
      <c r="D398" s="7" t="str">
        <f aca="false">INDEX(Entities!$F$5:$F$34,MATCH(B398,Entities!$A$5:$A$34,0))</f>
        <v>Tier 1</v>
      </c>
      <c r="E398" s="26" t="str">
        <f aca="false">'Control Library'!$A$11</f>
        <v>CTL-TM-02</v>
      </c>
      <c r="F398" s="12" t="str">
        <f aca="false">INDEX('Control Library'!$B$5:$B$47,MATCH(E398,'Control Library'!$A$5:$A$47,0))</f>
        <v>Alert investigation and quality assurance within SLA</v>
      </c>
      <c r="G398" s="7" t="str">
        <f aca="false">INDEX('Control Library'!$F$5:$F$47,MATCH(E398,'Control Library'!$A$5:$A$47,0))</f>
        <v>Y</v>
      </c>
      <c r="H398" s="12" t="str">
        <f aca="false">INDEX('Control Library'!$E$5:$E$47,MATCH(E398,'Control Library'!$A$5:$A$47,0))</f>
        <v>Daily</v>
      </c>
      <c r="I398" s="7" t="str">
        <f aca="false">IF(INDEX('Control Library'!$I$5:$I$47,MATCH(E398,'Control Library'!$A$5:$A$47,0))="All","Y",IF(INDEX('Control Library'!$I$5:$I$47,MATCH(E398,'Control Library'!$A$5:$A$47,0))="Banks only",IF(COUNTIF('Residual Config'!$L$28:$L$30,INDEX(Entities!$E$5:$E$34,MATCH(B398,Entities!$A$5:$A$34,0)))&gt;0,"N/A","Y"),IF(INDEX(Entities!$G$5:$G$34,MATCH(B398,Entities!$A$5:$A$34,0))="Y","Y","N/A")))</f>
        <v>Y</v>
      </c>
      <c r="J398" s="8" t="s">
        <v>1705</v>
      </c>
      <c r="K398" s="8" t="s">
        <v>752</v>
      </c>
      <c r="L398" s="7" t="str">
        <f aca="false">IF(OR(J398="",K398=""),"",IF(J398=K398,"Breach","OK"))</f>
        <v>OK</v>
      </c>
      <c r="M398" s="24" t="n">
        <v>1</v>
      </c>
      <c r="N398" s="50" t="n">
        <v>46228</v>
      </c>
      <c r="O398" s="8" t="s">
        <v>546</v>
      </c>
      <c r="P398" s="24" t="n">
        <v>25</v>
      </c>
      <c r="Q398" s="31" t="n">
        <f aca="false">IF(I398="N/A","",IFERROR(INDEX('Residual Config'!$B$35:$B$42,MATCH(H398,'Residual Config'!$A$35:$A$42,0)),""))</f>
        <v>25</v>
      </c>
      <c r="R398" s="24" t="n">
        <v>1</v>
      </c>
      <c r="S398" s="8" t="s">
        <v>521</v>
      </c>
      <c r="T398" s="31" t="n">
        <f aca="false">IF(S398="","",MATCH(S398,'Residual Config'!$L$9:$L$12,0))</f>
        <v>2</v>
      </c>
      <c r="U398" s="8" t="s">
        <v>1708</v>
      </c>
      <c r="V398" s="24" t="n">
        <v>2</v>
      </c>
      <c r="W398" s="33" t="s">
        <v>533</v>
      </c>
      <c r="X398" s="8" t="s">
        <v>760</v>
      </c>
      <c r="Y398" s="51" t="n">
        <f aca="false">IF(N398="","",EDATE(N398,IF(G398="N",INDEX('Residual Config'!$B$31:$D$31,1,MATCH(D398,'Residual Config'!$B$27:$D$27,0)),INDEX('Residual Config'!$B$28:$D$30,IF(T398=1,1,IF(T398=4,3,2)),MATCH(D398,'Residual Config'!$B$27:$D$27,0)))))</f>
        <v>46320</v>
      </c>
      <c r="Z398" s="7" t="str">
        <f aca="false">IF(I398="N/A","N/A",IF(N398="","Not tested",IF(W398="Rejected","Evidence rejected",IF(W398&lt;&gt;"Accepted","Evidence pending",IF(Y398&lt;'Residual Config'!$C$4,"Overdue","Current")))))</f>
        <v>Current</v>
      </c>
      <c r="AA398" s="34" t="n">
        <f aca="false">IF(I398="N/A","",IF(Z398&lt;&gt;"Current",4,IF(MAX(M398,T398)=0,4,MAX(M398,T398))))</f>
        <v>2</v>
      </c>
      <c r="AB398" s="7" t="str">
        <f aca="false">IF(AA398="","N/A",IF(Z398&lt;&gt;"Current","Not tested / overdue",INDEX('Residual Config'!$B$11:$B$14,AA398)))</f>
        <v>Largely effective</v>
      </c>
      <c r="AC398" s="36" t="n">
        <f aca="false">IF(AA398="","",INDEX('Residual Config'!$D$11:$D$14,AA398))</f>
        <v>0.4</v>
      </c>
      <c r="AD398" s="7" t="str">
        <f aca="false">IF(OR(I398="N/A",P398="",Q398=""),"",IF(P398&gt;=Q398,"Yes","No"))</f>
        <v>Yes</v>
      </c>
      <c r="AE398" s="8"/>
    </row>
    <row r="399" customFormat="false" ht="15" hidden="false" customHeight="false" outlineLevel="0" collapsed="false">
      <c r="A399" s="12" t="s">
        <v>1709</v>
      </c>
      <c r="B399" s="26" t="str">
        <f aca="false">Entities!$A$14</f>
        <v>AE</v>
      </c>
      <c r="C399" s="12" t="str">
        <f aca="false">INDEX(Entities!$B$5:$B$34,MATCH(B399,Entities!$A$5:$A$34,0))</f>
        <v>Arab Bank – UAE</v>
      </c>
      <c r="D399" s="7" t="str">
        <f aca="false">INDEX(Entities!$F$5:$F$34,MATCH(B399,Entities!$A$5:$A$34,0))</f>
        <v>Tier 1</v>
      </c>
      <c r="E399" s="26" t="str">
        <f aca="false">'Control Library'!$A$12</f>
        <v>CTL-STR-01</v>
      </c>
      <c r="F399" s="12" t="str">
        <f aca="false">INDEX('Control Library'!$B$5:$B$47,MATCH(E399,'Control Library'!$A$5:$A$47,0))</f>
        <v>STR decision and filing within regulatory deadline</v>
      </c>
      <c r="G399" s="7" t="str">
        <f aca="false">INDEX('Control Library'!$F$5:$F$47,MATCH(E399,'Control Library'!$A$5:$A$47,0))</f>
        <v>Y</v>
      </c>
      <c r="H399" s="12" t="str">
        <f aca="false">INDEX('Control Library'!$E$5:$E$47,MATCH(E399,'Control Library'!$A$5:$A$47,0))</f>
        <v>Event-driven</v>
      </c>
      <c r="I399" s="7" t="str">
        <f aca="false">IF(INDEX('Control Library'!$I$5:$I$47,MATCH(E399,'Control Library'!$A$5:$A$47,0))="All","Y",IF(INDEX('Control Library'!$I$5:$I$47,MATCH(E399,'Control Library'!$A$5:$A$47,0))="Banks only",IF(COUNTIF('Residual Config'!$L$28:$L$30,INDEX(Entities!$E$5:$E$34,MATCH(B399,Entities!$A$5:$A$34,0)))&gt;0,"N/A","Y"),IF(INDEX(Entities!$G$5:$G$34,MATCH(B399,Entities!$A$5:$A$34,0))="Y","Y","N/A")))</f>
        <v>Y</v>
      </c>
      <c r="J399" s="8" t="s">
        <v>1705</v>
      </c>
      <c r="K399" s="8" t="s">
        <v>752</v>
      </c>
      <c r="L399" s="7" t="str">
        <f aca="false">IF(OR(J399="",K399=""),"",IF(J399=K399,"Breach","OK"))</f>
        <v>OK</v>
      </c>
      <c r="M399" s="24" t="n">
        <v>2</v>
      </c>
      <c r="N399" s="50" t="n">
        <v>46266</v>
      </c>
      <c r="O399" s="8" t="s">
        <v>545</v>
      </c>
      <c r="P399" s="24" t="n">
        <v>25</v>
      </c>
      <c r="Q399" s="31" t="n">
        <f aca="false">IF(I399="N/A","",IFERROR(INDEX('Residual Config'!$B$35:$B$42,MATCH(H399,'Residual Config'!$A$35:$A$42,0)),""))</f>
        <v>25</v>
      </c>
      <c r="R399" s="24" t="n">
        <v>1</v>
      </c>
      <c r="S399" s="8" t="s">
        <v>521</v>
      </c>
      <c r="T399" s="31" t="n">
        <f aca="false">IF(S399="","",MATCH(S399,'Residual Config'!$L$9:$L$12,0))</f>
        <v>2</v>
      </c>
      <c r="U399" s="8" t="s">
        <v>1710</v>
      </c>
      <c r="V399" s="24" t="n">
        <v>4</v>
      </c>
      <c r="W399" s="33" t="s">
        <v>533</v>
      </c>
      <c r="X399" s="8" t="s">
        <v>760</v>
      </c>
      <c r="Y399" s="51" t="n">
        <f aca="false">IF(N399="","",EDATE(N399,IF(G399="N",INDEX('Residual Config'!$B$31:$D$31,1,MATCH(D399,'Residual Config'!$B$27:$D$27,0)),INDEX('Residual Config'!$B$28:$D$30,IF(T399=1,1,IF(T399=4,3,2)),MATCH(D399,'Residual Config'!$B$27:$D$27,0)))))</f>
        <v>46357</v>
      </c>
      <c r="Z399" s="7" t="str">
        <f aca="false">IF(I399="N/A","N/A",IF(N399="","Not tested",IF(W399="Rejected","Evidence rejected",IF(W399&lt;&gt;"Accepted","Evidence pending",IF(Y399&lt;'Residual Config'!$C$4,"Overdue","Current")))))</f>
        <v>Current</v>
      </c>
      <c r="AA399" s="34" t="n">
        <f aca="false">IF(I399="N/A","",IF(Z399&lt;&gt;"Current",4,IF(MAX(M399,T399)=0,4,MAX(M399,T399))))</f>
        <v>2</v>
      </c>
      <c r="AB399" s="7" t="str">
        <f aca="false">IF(AA399="","N/A",IF(Z399&lt;&gt;"Current","Not tested / overdue",INDEX('Residual Config'!$B$11:$B$14,AA399)))</f>
        <v>Largely effective</v>
      </c>
      <c r="AC399" s="36" t="n">
        <f aca="false">IF(AA399="","",INDEX('Residual Config'!$D$11:$D$14,AA399))</f>
        <v>0.4</v>
      </c>
      <c r="AD399" s="7" t="str">
        <f aca="false">IF(OR(I399="N/A",P399="",Q399=""),"",IF(P399&gt;=Q399,"Yes","No"))</f>
        <v>Yes</v>
      </c>
      <c r="AE399" s="8"/>
    </row>
    <row r="400" customFormat="false" ht="15" hidden="false" customHeight="false" outlineLevel="0" collapsed="false">
      <c r="A400" s="12" t="s">
        <v>1711</v>
      </c>
      <c r="B400" s="26" t="str">
        <f aca="false">Entities!$A$14</f>
        <v>AE</v>
      </c>
      <c r="C400" s="12" t="str">
        <f aca="false">INDEX(Entities!$B$5:$B$34,MATCH(B400,Entities!$A$5:$A$34,0))</f>
        <v>Arab Bank – UAE</v>
      </c>
      <c r="D400" s="7" t="str">
        <f aca="false">INDEX(Entities!$F$5:$F$34,MATCH(B400,Entities!$A$5:$A$34,0))</f>
        <v>Tier 1</v>
      </c>
      <c r="E400" s="26" t="str">
        <f aca="false">'Control Library'!$A$13</f>
        <v>CTL-SAN-01</v>
      </c>
      <c r="F400" s="12" t="str">
        <f aca="false">INDEX('Control Library'!$B$5:$B$47,MATCH(E400,'Control Library'!$A$5:$A$47,0))</f>
        <v>Real-time payment and transaction sanctions screening</v>
      </c>
      <c r="G400" s="7" t="str">
        <f aca="false">INDEX('Control Library'!$F$5:$F$47,MATCH(E400,'Control Library'!$A$5:$A$47,0))</f>
        <v>Y</v>
      </c>
      <c r="H400" s="12" t="str">
        <f aca="false">INDEX('Control Library'!$E$5:$E$47,MATCH(E400,'Control Library'!$A$5:$A$47,0))</f>
        <v>Continuous</v>
      </c>
      <c r="I400" s="7" t="str">
        <f aca="false">IF(INDEX('Control Library'!$I$5:$I$47,MATCH(E400,'Control Library'!$A$5:$A$47,0))="All","Y",IF(INDEX('Control Library'!$I$5:$I$47,MATCH(E400,'Control Library'!$A$5:$A$47,0))="Banks only",IF(COUNTIF('Residual Config'!$L$28:$L$30,INDEX(Entities!$E$5:$E$34,MATCH(B400,Entities!$A$5:$A$34,0)))&gt;0,"N/A","Y"),IF(INDEX(Entities!$G$5:$G$34,MATCH(B400,Entities!$A$5:$A$34,0))="Y","Y","N/A")))</f>
        <v>Y</v>
      </c>
      <c r="J400" s="8" t="s">
        <v>1712</v>
      </c>
      <c r="K400" s="8" t="s">
        <v>752</v>
      </c>
      <c r="L400" s="7" t="str">
        <f aca="false">IF(OR(J400="",K400=""),"",IF(J400=K400,"Breach","OK"))</f>
        <v>OK</v>
      </c>
      <c r="M400" s="24" t="n">
        <v>2</v>
      </c>
      <c r="N400" s="50" t="n">
        <v>46286</v>
      </c>
      <c r="O400" s="8" t="s">
        <v>547</v>
      </c>
      <c r="P400" s="24" t="n">
        <v>1</v>
      </c>
      <c r="Q400" s="31" t="n">
        <f aca="false">IF(I400="N/A","",IFERROR(INDEX('Residual Config'!$B$35:$B$42,MATCH(H400,'Residual Config'!$A$35:$A$42,0)),""))</f>
        <v>1</v>
      </c>
      <c r="R400" s="24" t="n">
        <v>1</v>
      </c>
      <c r="S400" s="8" t="s">
        <v>521</v>
      </c>
      <c r="T400" s="31" t="n">
        <f aca="false">IF(S400="","",MATCH(S400,'Residual Config'!$L$9:$L$12,0))</f>
        <v>2</v>
      </c>
      <c r="U400" s="8" t="s">
        <v>1713</v>
      </c>
      <c r="V400" s="24" t="n">
        <v>2</v>
      </c>
      <c r="W400" s="33" t="s">
        <v>533</v>
      </c>
      <c r="X400" s="8" t="s">
        <v>754</v>
      </c>
      <c r="Y400" s="51" t="n">
        <f aca="false">IF(N400="","",EDATE(N400,IF(G400="N",INDEX('Residual Config'!$B$31:$D$31,1,MATCH(D400,'Residual Config'!$B$27:$D$27,0)),INDEX('Residual Config'!$B$28:$D$30,IF(T400=1,1,IF(T400=4,3,2)),MATCH(D400,'Residual Config'!$B$27:$D$27,0)))))</f>
        <v>46377</v>
      </c>
      <c r="Z400" s="7" t="str">
        <f aca="false">IF(I400="N/A","N/A",IF(N400="","Not tested",IF(W400="Rejected","Evidence rejected",IF(W400&lt;&gt;"Accepted","Evidence pending",IF(Y400&lt;'Residual Config'!$C$4,"Overdue","Current")))))</f>
        <v>Current</v>
      </c>
      <c r="AA400" s="34" t="n">
        <f aca="false">IF(I400="N/A","",IF(Z400&lt;&gt;"Current",4,IF(MAX(M400,T400)=0,4,MAX(M400,T400))))</f>
        <v>2</v>
      </c>
      <c r="AB400" s="7" t="str">
        <f aca="false">IF(AA400="","N/A",IF(Z400&lt;&gt;"Current","Not tested / overdue",INDEX('Residual Config'!$B$11:$B$14,AA400)))</f>
        <v>Largely effective</v>
      </c>
      <c r="AC400" s="36" t="n">
        <f aca="false">IF(AA400="","",INDEX('Residual Config'!$D$11:$D$14,AA400))</f>
        <v>0.4</v>
      </c>
      <c r="AD400" s="7" t="str">
        <f aca="false">IF(OR(I400="N/A",P400="",Q400=""),"",IF(P400&gt;=Q400,"Yes","No"))</f>
        <v>Yes</v>
      </c>
      <c r="AE400" s="8"/>
    </row>
    <row r="401" customFormat="false" ht="15" hidden="false" customHeight="false" outlineLevel="0" collapsed="false">
      <c r="A401" s="12" t="s">
        <v>1714</v>
      </c>
      <c r="B401" s="26" t="str">
        <f aca="false">Entities!$A$14</f>
        <v>AE</v>
      </c>
      <c r="C401" s="12" t="str">
        <f aca="false">INDEX(Entities!$B$5:$B$34,MATCH(B401,Entities!$A$5:$A$34,0))</f>
        <v>Arab Bank – UAE</v>
      </c>
      <c r="D401" s="7" t="str">
        <f aca="false">INDEX(Entities!$F$5:$F$34,MATCH(B401,Entities!$A$5:$A$34,0))</f>
        <v>Tier 1</v>
      </c>
      <c r="E401" s="26" t="str">
        <f aca="false">'Control Library'!$A$14</f>
        <v>CTL-SAN-02</v>
      </c>
      <c r="F401" s="12" t="str">
        <f aca="false">INDEX('Control Library'!$B$5:$B$47,MATCH(E401,'Control Library'!$A$5:$A$47,0))</f>
        <v>Customer and counterparty screening at onboarding and on list change</v>
      </c>
      <c r="G401" s="7" t="str">
        <f aca="false">INDEX('Control Library'!$F$5:$F$47,MATCH(E401,'Control Library'!$A$5:$A$47,0))</f>
        <v>Y</v>
      </c>
      <c r="H401" s="12" t="str">
        <f aca="false">INDEX('Control Library'!$E$5:$E$47,MATCH(E401,'Control Library'!$A$5:$A$47,0))</f>
        <v>Continuous</v>
      </c>
      <c r="I401" s="7" t="str">
        <f aca="false">IF(INDEX('Control Library'!$I$5:$I$47,MATCH(E401,'Control Library'!$A$5:$A$47,0))="All","Y",IF(INDEX('Control Library'!$I$5:$I$47,MATCH(E401,'Control Library'!$A$5:$A$47,0))="Banks only",IF(COUNTIF('Residual Config'!$L$28:$L$30,INDEX(Entities!$E$5:$E$34,MATCH(B401,Entities!$A$5:$A$34,0)))&gt;0,"N/A","Y"),IF(INDEX(Entities!$G$5:$G$34,MATCH(B401,Entities!$A$5:$A$34,0))="Y","Y","N/A")))</f>
        <v>Y</v>
      </c>
      <c r="J401" s="8" t="s">
        <v>1712</v>
      </c>
      <c r="K401" s="8" t="s">
        <v>752</v>
      </c>
      <c r="L401" s="7" t="str">
        <f aca="false">IF(OR(J401="",K401=""),"",IF(J401=K401,"Breach","OK"))</f>
        <v>OK</v>
      </c>
      <c r="M401" s="24" t="n">
        <v>1</v>
      </c>
      <c r="N401" s="50" t="n">
        <v>46194</v>
      </c>
      <c r="O401" s="8" t="s">
        <v>547</v>
      </c>
      <c r="P401" s="24" t="n">
        <v>1</v>
      </c>
      <c r="Q401" s="31" t="n">
        <f aca="false">IF(I401="N/A","",IFERROR(INDEX('Residual Config'!$B$35:$B$42,MATCH(H401,'Residual Config'!$A$35:$A$42,0)),""))</f>
        <v>1</v>
      </c>
      <c r="R401" s="24" t="n">
        <v>0</v>
      </c>
      <c r="S401" s="8" t="s">
        <v>516</v>
      </c>
      <c r="T401" s="31" t="n">
        <f aca="false">IF(S401="","",MATCH(S401,'Residual Config'!$L$9:$L$12,0))</f>
        <v>1</v>
      </c>
      <c r="U401" s="8" t="s">
        <v>1715</v>
      </c>
      <c r="V401" s="24" t="n">
        <v>4</v>
      </c>
      <c r="W401" s="33" t="s">
        <v>536</v>
      </c>
      <c r="X401" s="8"/>
      <c r="Y401" s="51" t="n">
        <f aca="false">IF(N401="","",EDATE(N401,IF(G401="N",INDEX('Residual Config'!$B$31:$D$31,1,MATCH(D401,'Residual Config'!$B$27:$D$27,0)),INDEX('Residual Config'!$B$28:$D$30,IF(T401=1,1,IF(T401=4,3,2)),MATCH(D401,'Residual Config'!$B$27:$D$27,0)))))</f>
        <v>46377</v>
      </c>
      <c r="Z401" s="7" t="str">
        <f aca="false">IF(I401="N/A","N/A",IF(N401="","Not tested",IF(W401="Rejected","Evidence rejected",IF(W401&lt;&gt;"Accepted","Evidence pending",IF(Y401&lt;'Residual Config'!$C$4,"Overdue","Current")))))</f>
        <v>Evidence pending</v>
      </c>
      <c r="AA401" s="34" t="n">
        <f aca="false">IF(I401="N/A","",IF(Z401&lt;&gt;"Current",4,IF(MAX(M401,T401)=0,4,MAX(M401,T401))))</f>
        <v>4</v>
      </c>
      <c r="AB401" s="7" t="str">
        <f aca="false">IF(AA401="","N/A",IF(Z401&lt;&gt;"Current","Not tested / overdue",INDEX('Residual Config'!$B$11:$B$14,AA401)))</f>
        <v>Not tested / overdue</v>
      </c>
      <c r="AC401" s="36" t="n">
        <f aca="false">IF(AA401="","",INDEX('Residual Config'!$D$11:$D$14,AA401))</f>
        <v>0</v>
      </c>
      <c r="AD401" s="7" t="str">
        <f aca="false">IF(OR(I401="N/A",P401="",Q401=""),"",IF(P401&gt;=Q401,"Yes","No"))</f>
        <v>Yes</v>
      </c>
      <c r="AE401" s="8"/>
    </row>
    <row r="402" customFormat="false" ht="15" hidden="false" customHeight="false" outlineLevel="0" collapsed="false">
      <c r="A402" s="12" t="s">
        <v>1716</v>
      </c>
      <c r="B402" s="26" t="str">
        <f aca="false">Entities!$A$14</f>
        <v>AE</v>
      </c>
      <c r="C402" s="12" t="str">
        <f aca="false">INDEX(Entities!$B$5:$B$34,MATCH(B402,Entities!$A$5:$A$34,0))</f>
        <v>Arab Bank – UAE</v>
      </c>
      <c r="D402" s="7" t="str">
        <f aca="false">INDEX(Entities!$F$5:$F$34,MATCH(B402,Entities!$A$5:$A$34,0))</f>
        <v>Tier 1</v>
      </c>
      <c r="E402" s="26" t="str">
        <f aca="false">'Control Library'!$A$15</f>
        <v>CTL-SAN-03</v>
      </c>
      <c r="F402" s="12" t="str">
        <f aca="false">INDEX('Control Library'!$B$5:$B$47,MATCH(E402,'Control Library'!$A$5:$A$47,0))</f>
        <v>Sanctions list updates applied within 24 hours</v>
      </c>
      <c r="G402" s="7" t="str">
        <f aca="false">INDEX('Control Library'!$F$5:$F$47,MATCH(E402,'Control Library'!$A$5:$A$47,0))</f>
        <v>N</v>
      </c>
      <c r="H402" s="12" t="str">
        <f aca="false">INDEX('Control Library'!$E$5:$E$47,MATCH(E402,'Control Library'!$A$5:$A$47,0))</f>
        <v>Daily</v>
      </c>
      <c r="I402" s="7" t="str">
        <f aca="false">IF(INDEX('Control Library'!$I$5:$I$47,MATCH(E402,'Control Library'!$A$5:$A$47,0))="All","Y",IF(INDEX('Control Library'!$I$5:$I$47,MATCH(E402,'Control Library'!$A$5:$A$47,0))="Banks only",IF(COUNTIF('Residual Config'!$L$28:$L$30,INDEX(Entities!$E$5:$E$34,MATCH(B402,Entities!$A$5:$A$34,0)))&gt;0,"N/A","Y"),IF(INDEX(Entities!$G$5:$G$34,MATCH(B402,Entities!$A$5:$A$34,0))="Y","Y","N/A")))</f>
        <v>Y</v>
      </c>
      <c r="J402" s="8" t="s">
        <v>1717</v>
      </c>
      <c r="K402" s="8" t="s">
        <v>1702</v>
      </c>
      <c r="L402" s="7" t="str">
        <f aca="false">IF(OR(J402="",K402=""),"",IF(J402=K402,"Breach","OK"))</f>
        <v>OK</v>
      </c>
      <c r="M402" s="24" t="n">
        <v>2</v>
      </c>
      <c r="N402" s="50" t="n">
        <v>46018</v>
      </c>
      <c r="O402" s="8" t="s">
        <v>545</v>
      </c>
      <c r="P402" s="24" t="n">
        <v>30</v>
      </c>
      <c r="Q402" s="31" t="n">
        <f aca="false">IF(I402="N/A","",IFERROR(INDEX('Residual Config'!$B$35:$B$42,MATCH(H402,'Residual Config'!$A$35:$A$42,0)),""))</f>
        <v>25</v>
      </c>
      <c r="R402" s="24" t="n">
        <v>0</v>
      </c>
      <c r="S402" s="8" t="s">
        <v>516</v>
      </c>
      <c r="T402" s="31" t="n">
        <f aca="false">IF(S402="","",MATCH(S402,'Residual Config'!$L$9:$L$12,0))</f>
        <v>1</v>
      </c>
      <c r="U402" s="8" t="s">
        <v>1718</v>
      </c>
      <c r="V402" s="24" t="n">
        <v>2</v>
      </c>
      <c r="W402" s="33" t="s">
        <v>533</v>
      </c>
      <c r="X402" s="8" t="s">
        <v>754</v>
      </c>
      <c r="Y402" s="51" t="n">
        <f aca="false">IF(N402="","",EDATE(N402,IF(G402="N",INDEX('Residual Config'!$B$31:$D$31,1,MATCH(D402,'Residual Config'!$B$27:$D$27,0)),INDEX('Residual Config'!$B$28:$D$30,IF(T402=1,1,IF(T402=4,3,2)),MATCH(D402,'Residual Config'!$B$27:$D$27,0)))))</f>
        <v>46383</v>
      </c>
      <c r="Z402" s="7" t="str">
        <f aca="false">IF(I402="N/A","N/A",IF(N402="","Not tested",IF(W402="Rejected","Evidence rejected",IF(W402&lt;&gt;"Accepted","Evidence pending",IF(Y402&lt;'Residual Config'!$C$4,"Overdue","Current")))))</f>
        <v>Current</v>
      </c>
      <c r="AA402" s="34" t="n">
        <f aca="false">IF(I402="N/A","",IF(Z402&lt;&gt;"Current",4,IF(MAX(M402,T402)=0,4,MAX(M402,T402))))</f>
        <v>2</v>
      </c>
      <c r="AB402" s="7" t="str">
        <f aca="false">IF(AA402="","N/A",IF(Z402&lt;&gt;"Current","Not tested / overdue",INDEX('Residual Config'!$B$11:$B$14,AA402)))</f>
        <v>Largely effective</v>
      </c>
      <c r="AC402" s="36" t="n">
        <f aca="false">IF(AA402="","",INDEX('Residual Config'!$D$11:$D$14,AA402))</f>
        <v>0.4</v>
      </c>
      <c r="AD402" s="7" t="str">
        <f aca="false">IF(OR(I402="N/A",P402="",Q402=""),"",IF(P402&gt;=Q402,"Yes","No"))</f>
        <v>Yes</v>
      </c>
      <c r="AE402" s="8"/>
    </row>
    <row r="403" customFormat="false" ht="15" hidden="false" customHeight="false" outlineLevel="0" collapsed="false">
      <c r="A403" s="12" t="s">
        <v>1719</v>
      </c>
      <c r="B403" s="26" t="str">
        <f aca="false">Entities!$A$14</f>
        <v>AE</v>
      </c>
      <c r="C403" s="12" t="str">
        <f aca="false">INDEX(Entities!$B$5:$B$34,MATCH(B403,Entities!$A$5:$A$34,0))</f>
        <v>Arab Bank – UAE</v>
      </c>
      <c r="D403" s="7" t="str">
        <f aca="false">INDEX(Entities!$F$5:$F$34,MATCH(B403,Entities!$A$5:$A$34,0))</f>
        <v>Tier 1</v>
      </c>
      <c r="E403" s="26" t="str">
        <f aca="false">'Control Library'!$A$16</f>
        <v>CTL-TF-01</v>
      </c>
      <c r="F403" s="12" t="str">
        <f aca="false">INDEX('Control Library'!$B$5:$B$47,MATCH(E403,'Control Library'!$A$5:$A$47,0))</f>
        <v>NPO and charity enhanced due diligence</v>
      </c>
      <c r="G403" s="7" t="str">
        <f aca="false">INDEX('Control Library'!$F$5:$F$47,MATCH(E403,'Control Library'!$A$5:$A$47,0))</f>
        <v>N</v>
      </c>
      <c r="H403" s="12" t="str">
        <f aca="false">INDEX('Control Library'!$E$5:$E$47,MATCH(E403,'Control Library'!$A$5:$A$47,0))</f>
        <v>Event-driven</v>
      </c>
      <c r="I403" s="7" t="str">
        <f aca="false">IF(INDEX('Control Library'!$I$5:$I$47,MATCH(E403,'Control Library'!$A$5:$A$47,0))="All","Y",IF(INDEX('Control Library'!$I$5:$I$47,MATCH(E403,'Control Library'!$A$5:$A$47,0))="Banks only",IF(COUNTIF('Residual Config'!$L$28:$L$30,INDEX(Entities!$E$5:$E$34,MATCH(B403,Entities!$A$5:$A$34,0)))&gt;0,"N/A","Y"),IF(INDEX(Entities!$G$5:$G$34,MATCH(B403,Entities!$A$5:$A$34,0))="Y","Y","N/A")))</f>
        <v>Y</v>
      </c>
      <c r="J403" s="8" t="s">
        <v>1720</v>
      </c>
      <c r="K403" s="8" t="s">
        <v>1702</v>
      </c>
      <c r="L403" s="7" t="str">
        <f aca="false">IF(OR(J403="",K403=""),"",IF(J403=K403,"Breach","OK"))</f>
        <v>OK</v>
      </c>
      <c r="M403" s="24" t="n">
        <v>2</v>
      </c>
      <c r="N403" s="50" t="n">
        <v>46051</v>
      </c>
      <c r="O403" s="8" t="s">
        <v>545</v>
      </c>
      <c r="P403" s="24" t="n">
        <v>30</v>
      </c>
      <c r="Q403" s="31" t="n">
        <f aca="false">IF(I403="N/A","",IFERROR(INDEX('Residual Config'!$B$35:$B$42,MATCH(H403,'Residual Config'!$A$35:$A$42,0)),""))</f>
        <v>25</v>
      </c>
      <c r="R403" s="24" t="n">
        <v>1</v>
      </c>
      <c r="S403" s="8" t="s">
        <v>521</v>
      </c>
      <c r="T403" s="31" t="n">
        <f aca="false">IF(S403="","",MATCH(S403,'Residual Config'!$L$9:$L$12,0))</f>
        <v>2</v>
      </c>
      <c r="U403" s="8" t="s">
        <v>1721</v>
      </c>
      <c r="V403" s="24" t="n">
        <v>3</v>
      </c>
      <c r="W403" s="33" t="s">
        <v>533</v>
      </c>
      <c r="X403" s="8" t="s">
        <v>760</v>
      </c>
      <c r="Y403" s="51" t="n">
        <f aca="false">IF(N403="","",EDATE(N403,IF(G403="N",INDEX('Residual Config'!$B$31:$D$31,1,MATCH(D403,'Residual Config'!$B$27:$D$27,0)),INDEX('Residual Config'!$B$28:$D$30,IF(T403=1,1,IF(T403=4,3,2)),MATCH(D403,'Residual Config'!$B$27:$D$27,0)))))</f>
        <v>46416</v>
      </c>
      <c r="Z403" s="7" t="str">
        <f aca="false">IF(I403="N/A","N/A",IF(N403="","Not tested",IF(W403="Rejected","Evidence rejected",IF(W403&lt;&gt;"Accepted","Evidence pending",IF(Y403&lt;'Residual Config'!$C$4,"Overdue","Current")))))</f>
        <v>Current</v>
      </c>
      <c r="AA403" s="34" t="n">
        <f aca="false">IF(I403="N/A","",IF(Z403&lt;&gt;"Current",4,IF(MAX(M403,T403)=0,4,MAX(M403,T403))))</f>
        <v>2</v>
      </c>
      <c r="AB403" s="7" t="str">
        <f aca="false">IF(AA403="","N/A",IF(Z403&lt;&gt;"Current","Not tested / overdue",INDEX('Residual Config'!$B$11:$B$14,AA403)))</f>
        <v>Largely effective</v>
      </c>
      <c r="AC403" s="36" t="n">
        <f aca="false">IF(AA403="","",INDEX('Residual Config'!$D$11:$D$14,AA403))</f>
        <v>0.4</v>
      </c>
      <c r="AD403" s="7" t="str">
        <f aca="false">IF(OR(I403="N/A",P403="",Q403=""),"",IF(P403&gt;=Q403,"Yes","No"))</f>
        <v>Yes</v>
      </c>
      <c r="AE403" s="8"/>
    </row>
    <row r="404" customFormat="false" ht="15" hidden="false" customHeight="false" outlineLevel="0" collapsed="false">
      <c r="A404" s="12" t="s">
        <v>1722</v>
      </c>
      <c r="B404" s="26" t="str">
        <f aca="false">Entities!$A$14</f>
        <v>AE</v>
      </c>
      <c r="C404" s="12" t="str">
        <f aca="false">INDEX(Entities!$B$5:$B$34,MATCH(B404,Entities!$A$5:$A$34,0))</f>
        <v>Arab Bank – UAE</v>
      </c>
      <c r="D404" s="7" t="str">
        <f aca="false">INDEX(Entities!$F$5:$F$34,MATCH(B404,Entities!$A$5:$A$34,0))</f>
        <v>Tier 1</v>
      </c>
      <c r="E404" s="26" t="str">
        <f aca="false">'Control Library'!$A$17</f>
        <v>CTL-TBML-01</v>
      </c>
      <c r="F404" s="12" t="str">
        <f aca="false">INDEX('Control Library'!$B$5:$B$47,MATCH(E404,'Control Library'!$A$5:$A$47,0))</f>
        <v>Trade-based ML red-flag review and pricing checks</v>
      </c>
      <c r="G404" s="7" t="str">
        <f aca="false">INDEX('Control Library'!$F$5:$F$47,MATCH(E404,'Control Library'!$A$5:$A$47,0))</f>
        <v>Y</v>
      </c>
      <c r="H404" s="12" t="str">
        <f aca="false">INDEX('Control Library'!$E$5:$E$47,MATCH(E404,'Control Library'!$A$5:$A$47,0))</f>
        <v>Event-driven</v>
      </c>
      <c r="I404" s="7" t="str">
        <f aca="false">IF(INDEX('Control Library'!$I$5:$I$47,MATCH(E404,'Control Library'!$A$5:$A$47,0))="All","Y",IF(INDEX('Control Library'!$I$5:$I$47,MATCH(E404,'Control Library'!$A$5:$A$47,0))="Banks only",IF(COUNTIF('Residual Config'!$L$28:$L$30,INDEX(Entities!$E$5:$E$34,MATCH(B404,Entities!$A$5:$A$34,0)))&gt;0,"N/A","Y"),IF(INDEX(Entities!$G$5:$G$34,MATCH(B404,Entities!$A$5:$A$34,0))="Y","Y","N/A")))</f>
        <v>Y</v>
      </c>
      <c r="J404" s="8" t="s">
        <v>1723</v>
      </c>
      <c r="K404" s="8" t="s">
        <v>752</v>
      </c>
      <c r="L404" s="7" t="str">
        <f aca="false">IF(OR(J404="",K404=""),"",IF(J404=K404,"Breach","OK"))</f>
        <v>OK</v>
      </c>
      <c r="M404" s="24" t="n">
        <v>1</v>
      </c>
      <c r="N404" s="50" t="n">
        <v>46174</v>
      </c>
      <c r="O404" s="8" t="s">
        <v>546</v>
      </c>
      <c r="P404" s="24" t="n">
        <v>30</v>
      </c>
      <c r="Q404" s="31" t="n">
        <f aca="false">IF(I404="N/A","",IFERROR(INDEX('Residual Config'!$B$35:$B$42,MATCH(H404,'Residual Config'!$A$35:$A$42,0)),""))</f>
        <v>25</v>
      </c>
      <c r="R404" s="24" t="n">
        <v>1</v>
      </c>
      <c r="S404" s="8" t="s">
        <v>521</v>
      </c>
      <c r="T404" s="31" t="n">
        <f aca="false">IF(S404="","",MATCH(S404,'Residual Config'!$L$9:$L$12,0))</f>
        <v>2</v>
      </c>
      <c r="U404" s="8" t="s">
        <v>1724</v>
      </c>
      <c r="V404" s="24" t="n">
        <v>2</v>
      </c>
      <c r="W404" s="33" t="s">
        <v>533</v>
      </c>
      <c r="X404" s="8" t="s">
        <v>754</v>
      </c>
      <c r="Y404" s="51" t="n">
        <f aca="false">IF(N404="","",EDATE(N404,IF(G404="N",INDEX('Residual Config'!$B$31:$D$31,1,MATCH(D404,'Residual Config'!$B$27:$D$27,0)),INDEX('Residual Config'!$B$28:$D$30,IF(T404=1,1,IF(T404=4,3,2)),MATCH(D404,'Residual Config'!$B$27:$D$27,0)))))</f>
        <v>46266</v>
      </c>
      <c r="Z404" s="7" t="str">
        <f aca="false">IF(I404="N/A","N/A",IF(N404="","Not tested",IF(W404="Rejected","Evidence rejected",IF(W404&lt;&gt;"Accepted","Evidence pending",IF(Y404&lt;'Residual Config'!$C$4,"Overdue","Current")))))</f>
        <v>Overdue</v>
      </c>
      <c r="AA404" s="34" t="n">
        <f aca="false">IF(I404="N/A","",IF(Z404&lt;&gt;"Current",4,IF(MAX(M404,T404)=0,4,MAX(M404,T404))))</f>
        <v>4</v>
      </c>
      <c r="AB404" s="7" t="str">
        <f aca="false">IF(AA404="","N/A",IF(Z404&lt;&gt;"Current","Not tested / overdue",INDEX('Residual Config'!$B$11:$B$14,AA404)))</f>
        <v>Not tested / overdue</v>
      </c>
      <c r="AC404" s="36" t="n">
        <f aca="false">IF(AA404="","",INDEX('Residual Config'!$D$11:$D$14,AA404))</f>
        <v>0</v>
      </c>
      <c r="AD404" s="7" t="str">
        <f aca="false">IF(OR(I404="N/A",P404="",Q404=""),"",IF(P404&gt;=Q404,"Yes","No"))</f>
        <v>Yes</v>
      </c>
      <c r="AE404" s="8"/>
    </row>
    <row r="405" customFormat="false" ht="15" hidden="false" customHeight="false" outlineLevel="0" collapsed="false">
      <c r="A405" s="12" t="s">
        <v>1725</v>
      </c>
      <c r="B405" s="26" t="str">
        <f aca="false">Entities!$A$14</f>
        <v>AE</v>
      </c>
      <c r="C405" s="12" t="str">
        <f aca="false">INDEX(Entities!$B$5:$B$34,MATCH(B405,Entities!$A$5:$A$34,0))</f>
        <v>Arab Bank – UAE</v>
      </c>
      <c r="D405" s="7" t="str">
        <f aca="false">INDEX(Entities!$F$5:$F$34,MATCH(B405,Entities!$A$5:$A$34,0))</f>
        <v>Tier 1</v>
      </c>
      <c r="E405" s="26" t="str">
        <f aca="false">'Control Library'!$A$18</f>
        <v>CTL-PF-01</v>
      </c>
      <c r="F405" s="12" t="str">
        <f aca="false">INDEX('Control Library'!$B$5:$B$47,MATCH(E405,'Control Library'!$A$5:$A$47,0))</f>
        <v>Dual-use goods, vessel and port screening</v>
      </c>
      <c r="G405" s="7" t="str">
        <f aca="false">INDEX('Control Library'!$F$5:$F$47,MATCH(E405,'Control Library'!$A$5:$A$47,0))</f>
        <v>Y</v>
      </c>
      <c r="H405" s="12" t="str">
        <f aca="false">INDEX('Control Library'!$E$5:$E$47,MATCH(E405,'Control Library'!$A$5:$A$47,0))</f>
        <v>Event-driven</v>
      </c>
      <c r="I405" s="7" t="str">
        <f aca="false">IF(INDEX('Control Library'!$I$5:$I$47,MATCH(E405,'Control Library'!$A$5:$A$47,0))="All","Y",IF(INDEX('Control Library'!$I$5:$I$47,MATCH(E405,'Control Library'!$A$5:$A$47,0))="Banks only",IF(COUNTIF('Residual Config'!$L$28:$L$30,INDEX(Entities!$E$5:$E$34,MATCH(B405,Entities!$A$5:$A$34,0)))&gt;0,"N/A","Y"),IF(INDEX(Entities!$G$5:$G$34,MATCH(B405,Entities!$A$5:$A$34,0))="Y","Y","N/A")))</f>
        <v>Y</v>
      </c>
      <c r="J405" s="8" t="s">
        <v>1723</v>
      </c>
      <c r="K405" s="8" t="s">
        <v>752</v>
      </c>
      <c r="L405" s="7" t="str">
        <f aca="false">IF(OR(J405="",K405=""),"",IF(J405=K405,"Breach","OK"))</f>
        <v>OK</v>
      </c>
      <c r="M405" s="24" t="n">
        <v>2</v>
      </c>
      <c r="N405" s="50" t="n">
        <v>46258</v>
      </c>
      <c r="O405" s="8" t="s">
        <v>545</v>
      </c>
      <c r="P405" s="24" t="n">
        <v>25</v>
      </c>
      <c r="Q405" s="31" t="n">
        <f aca="false">IF(I405="N/A","",IFERROR(INDEX('Residual Config'!$B$35:$B$42,MATCH(H405,'Residual Config'!$A$35:$A$42,0)),""))</f>
        <v>25</v>
      </c>
      <c r="R405" s="24" t="n">
        <v>1</v>
      </c>
      <c r="S405" s="8" t="s">
        <v>521</v>
      </c>
      <c r="T405" s="31" t="n">
        <f aca="false">IF(S405="","",MATCH(S405,'Residual Config'!$L$9:$L$12,0))</f>
        <v>2</v>
      </c>
      <c r="U405" s="8" t="s">
        <v>1726</v>
      </c>
      <c r="V405" s="24" t="n">
        <v>1</v>
      </c>
      <c r="W405" s="33" t="s">
        <v>533</v>
      </c>
      <c r="X405" s="8" t="s">
        <v>754</v>
      </c>
      <c r="Y405" s="51" t="n">
        <f aca="false">IF(N405="","",EDATE(N405,IF(G405="N",INDEX('Residual Config'!$B$31:$D$31,1,MATCH(D405,'Residual Config'!$B$27:$D$27,0)),INDEX('Residual Config'!$B$28:$D$30,IF(T405=1,1,IF(T405=4,3,2)),MATCH(D405,'Residual Config'!$B$27:$D$27,0)))))</f>
        <v>46350</v>
      </c>
      <c r="Z405" s="7" t="str">
        <f aca="false">IF(I405="N/A","N/A",IF(N405="","Not tested",IF(W405="Rejected","Evidence rejected",IF(W405&lt;&gt;"Accepted","Evidence pending",IF(Y405&lt;'Residual Config'!$C$4,"Overdue","Current")))))</f>
        <v>Current</v>
      </c>
      <c r="AA405" s="34" t="n">
        <f aca="false">IF(I405="N/A","",IF(Z405&lt;&gt;"Current",4,IF(MAX(M405,T405)=0,4,MAX(M405,T405))))</f>
        <v>2</v>
      </c>
      <c r="AB405" s="7" t="str">
        <f aca="false">IF(AA405="","N/A",IF(Z405&lt;&gt;"Current","Not tested / overdue",INDEX('Residual Config'!$B$11:$B$14,AA405)))</f>
        <v>Largely effective</v>
      </c>
      <c r="AC405" s="36" t="n">
        <f aca="false">IF(AA405="","",INDEX('Residual Config'!$D$11:$D$14,AA405))</f>
        <v>0.4</v>
      </c>
      <c r="AD405" s="7" t="str">
        <f aca="false">IF(OR(I405="N/A",P405="",Q405=""),"",IF(P405&gt;=Q405,"Yes","No"))</f>
        <v>Yes</v>
      </c>
      <c r="AE405" s="8"/>
    </row>
    <row r="406" customFormat="false" ht="15" hidden="false" customHeight="false" outlineLevel="0" collapsed="false">
      <c r="A406" s="12" t="s">
        <v>1727</v>
      </c>
      <c r="B406" s="26" t="str">
        <f aca="false">Entities!$A$14</f>
        <v>AE</v>
      </c>
      <c r="C406" s="12" t="str">
        <f aca="false">INDEX(Entities!$B$5:$B$34,MATCH(B406,Entities!$A$5:$A$34,0))</f>
        <v>Arab Bank – UAE</v>
      </c>
      <c r="D406" s="7" t="str">
        <f aca="false">INDEX(Entities!$F$5:$F$34,MATCH(B406,Entities!$A$5:$A$34,0))</f>
        <v>Tier 1</v>
      </c>
      <c r="E406" s="26" t="str">
        <f aca="false">'Control Library'!$A$19</f>
        <v>CTL-CB-01</v>
      </c>
      <c r="F406" s="12" t="str">
        <f aca="false">INDEX('Control Library'!$B$5:$B$47,MATCH(E406,'Control Library'!$A$5:$A$47,0))</f>
        <v>Correspondent bank due diligence (CBDDQ) and nesting detection</v>
      </c>
      <c r="G406" s="7" t="str">
        <f aca="false">INDEX('Control Library'!$F$5:$F$47,MATCH(E406,'Control Library'!$A$5:$A$47,0))</f>
        <v>Y</v>
      </c>
      <c r="H406" s="12" t="str">
        <f aca="false">INDEX('Control Library'!$E$5:$E$47,MATCH(E406,'Control Library'!$A$5:$A$47,0))</f>
        <v>Annual</v>
      </c>
      <c r="I406" s="7" t="str">
        <f aca="false">IF(INDEX('Control Library'!$I$5:$I$47,MATCH(E406,'Control Library'!$A$5:$A$47,0))="All","Y",IF(INDEX('Control Library'!$I$5:$I$47,MATCH(E406,'Control Library'!$A$5:$A$47,0))="Banks only",IF(COUNTIF('Residual Config'!$L$28:$L$30,INDEX(Entities!$E$5:$E$34,MATCH(B406,Entities!$A$5:$A$34,0)))&gt;0,"N/A","Y"),IF(INDEX(Entities!$G$5:$G$34,MATCH(B406,Entities!$A$5:$A$34,0))="Y","Y","N/A")))</f>
        <v>Y</v>
      </c>
      <c r="J406" s="8" t="s">
        <v>1728</v>
      </c>
      <c r="K406" s="8" t="s">
        <v>752</v>
      </c>
      <c r="L406" s="7" t="str">
        <f aca="false">IF(OR(J406="",K406=""),"",IF(J406=K406,"Breach","OK"))</f>
        <v>OK</v>
      </c>
      <c r="M406" s="24" t="n">
        <v>2</v>
      </c>
      <c r="N406" s="50" t="n">
        <v>46153</v>
      </c>
      <c r="O406" s="8" t="s">
        <v>545</v>
      </c>
      <c r="P406" s="24" t="n">
        <v>1</v>
      </c>
      <c r="Q406" s="31" t="n">
        <f aca="false">IF(I406="N/A","",IFERROR(INDEX('Residual Config'!$B$35:$B$42,MATCH(H406,'Residual Config'!$A$35:$A$42,0)),""))</f>
        <v>1</v>
      </c>
      <c r="R406" s="24" t="n">
        <v>0</v>
      </c>
      <c r="S406" s="8" t="s">
        <v>516</v>
      </c>
      <c r="T406" s="31" t="n">
        <f aca="false">IF(S406="","",MATCH(S406,'Residual Config'!$L$9:$L$12,0))</f>
        <v>1</v>
      </c>
      <c r="U406" s="8" t="s">
        <v>1729</v>
      </c>
      <c r="V406" s="24" t="n">
        <v>1</v>
      </c>
      <c r="W406" s="33" t="s">
        <v>533</v>
      </c>
      <c r="X406" s="8" t="s">
        <v>760</v>
      </c>
      <c r="Y406" s="51" t="n">
        <f aca="false">IF(N406="","",EDATE(N406,IF(G406="N",INDEX('Residual Config'!$B$31:$D$31,1,MATCH(D406,'Residual Config'!$B$27:$D$27,0)),INDEX('Residual Config'!$B$28:$D$30,IF(T406=1,1,IF(T406=4,3,2)),MATCH(D406,'Residual Config'!$B$27:$D$27,0)))))</f>
        <v>46337</v>
      </c>
      <c r="Z406" s="7" t="str">
        <f aca="false">IF(I406="N/A","N/A",IF(N406="","Not tested",IF(W406="Rejected","Evidence rejected",IF(W406&lt;&gt;"Accepted","Evidence pending",IF(Y406&lt;'Residual Config'!$C$4,"Overdue","Current")))))</f>
        <v>Current</v>
      </c>
      <c r="AA406" s="34" t="n">
        <f aca="false">IF(I406="N/A","",IF(Z406&lt;&gt;"Current",4,IF(MAX(M406,T406)=0,4,MAX(M406,T406))))</f>
        <v>2</v>
      </c>
      <c r="AB406" s="7" t="str">
        <f aca="false">IF(AA406="","N/A",IF(Z406&lt;&gt;"Current","Not tested / overdue",INDEX('Residual Config'!$B$11:$B$14,AA406)))</f>
        <v>Largely effective</v>
      </c>
      <c r="AC406" s="36" t="n">
        <f aca="false">IF(AA406="","",INDEX('Residual Config'!$D$11:$D$14,AA406))</f>
        <v>0.4</v>
      </c>
      <c r="AD406" s="7" t="str">
        <f aca="false">IF(OR(I406="N/A",P406="",Q406=""),"",IF(P406&gt;=Q406,"Yes","No"))</f>
        <v>Yes</v>
      </c>
      <c r="AE406" s="8"/>
    </row>
    <row r="407" customFormat="false" ht="15" hidden="false" customHeight="false" outlineLevel="0" collapsed="false">
      <c r="A407" s="12" t="s">
        <v>1730</v>
      </c>
      <c r="B407" s="26" t="str">
        <f aca="false">Entities!$A$14</f>
        <v>AE</v>
      </c>
      <c r="C407" s="12" t="str">
        <f aca="false">INDEX(Entities!$B$5:$B$34,MATCH(B407,Entities!$A$5:$A$34,0))</f>
        <v>Arab Bank – UAE</v>
      </c>
      <c r="D407" s="7" t="str">
        <f aca="false">INDEX(Entities!$F$5:$F$34,MATCH(B407,Entities!$A$5:$A$34,0))</f>
        <v>Tier 1</v>
      </c>
      <c r="E407" s="26" t="str">
        <f aca="false">'Control Library'!$A$20</f>
        <v>CTL-PAY-01</v>
      </c>
      <c r="F407" s="12" t="str">
        <f aca="false">INDEX('Control Library'!$B$5:$B$47,MATCH(E407,'Control Library'!$A$5:$A$47,0))</f>
        <v>Payment transparency checks (FATF R.16)</v>
      </c>
      <c r="G407" s="7" t="str">
        <f aca="false">INDEX('Control Library'!$F$5:$F$47,MATCH(E407,'Control Library'!$A$5:$A$47,0))</f>
        <v>N</v>
      </c>
      <c r="H407" s="12" t="str">
        <f aca="false">INDEX('Control Library'!$E$5:$E$47,MATCH(E407,'Control Library'!$A$5:$A$47,0))</f>
        <v>Continuous</v>
      </c>
      <c r="I407" s="7" t="str">
        <f aca="false">IF(INDEX('Control Library'!$I$5:$I$47,MATCH(E407,'Control Library'!$A$5:$A$47,0))="All","Y",IF(INDEX('Control Library'!$I$5:$I$47,MATCH(E407,'Control Library'!$A$5:$A$47,0))="Banks only",IF(COUNTIF('Residual Config'!$L$28:$L$30,INDEX(Entities!$E$5:$E$34,MATCH(B407,Entities!$A$5:$A$34,0)))&gt;0,"N/A","Y"),IF(INDEX(Entities!$G$5:$G$34,MATCH(B407,Entities!$A$5:$A$34,0))="Y","Y","N/A")))</f>
        <v>Y</v>
      </c>
      <c r="J407" s="8" t="s">
        <v>1731</v>
      </c>
      <c r="K407" s="8" t="s">
        <v>1702</v>
      </c>
      <c r="L407" s="7" t="str">
        <f aca="false">IF(OR(J407="",K407=""),"",IF(J407=K407,"Breach","OK"))</f>
        <v>OK</v>
      </c>
      <c r="M407" s="24" t="n">
        <v>1</v>
      </c>
      <c r="N407" s="50" t="n">
        <v>46281</v>
      </c>
      <c r="O407" s="8" t="s">
        <v>546</v>
      </c>
      <c r="P407" s="24" t="n">
        <v>1</v>
      </c>
      <c r="Q407" s="31" t="n">
        <f aca="false">IF(I407="N/A","",IFERROR(INDEX('Residual Config'!$B$35:$B$42,MATCH(H407,'Residual Config'!$A$35:$A$42,0)),""))</f>
        <v>1</v>
      </c>
      <c r="R407" s="24" t="n">
        <v>0</v>
      </c>
      <c r="S407" s="8" t="s">
        <v>516</v>
      </c>
      <c r="T407" s="31" t="n">
        <f aca="false">IF(S407="","",MATCH(S407,'Residual Config'!$L$9:$L$12,0))</f>
        <v>1</v>
      </c>
      <c r="U407" s="8" t="s">
        <v>1732</v>
      </c>
      <c r="V407" s="24" t="n">
        <v>4</v>
      </c>
      <c r="W407" s="33" t="s">
        <v>533</v>
      </c>
      <c r="X407" s="8" t="s">
        <v>754</v>
      </c>
      <c r="Y407" s="51" t="n">
        <f aca="false">IF(N407="","",EDATE(N407,IF(G407="N",INDEX('Residual Config'!$B$31:$D$31,1,MATCH(D407,'Residual Config'!$B$27:$D$27,0)),INDEX('Residual Config'!$B$28:$D$30,IF(T407=1,1,IF(T407=4,3,2)),MATCH(D407,'Residual Config'!$B$27:$D$27,0)))))</f>
        <v>46646</v>
      </c>
      <c r="Z407" s="7" t="str">
        <f aca="false">IF(I407="N/A","N/A",IF(N407="","Not tested",IF(W407="Rejected","Evidence rejected",IF(W407&lt;&gt;"Accepted","Evidence pending",IF(Y407&lt;'Residual Config'!$C$4,"Overdue","Current")))))</f>
        <v>Current</v>
      </c>
      <c r="AA407" s="34" t="n">
        <f aca="false">IF(I407="N/A","",IF(Z407&lt;&gt;"Current",4,IF(MAX(M407,T407)=0,4,MAX(M407,T407))))</f>
        <v>1</v>
      </c>
      <c r="AB407" s="7" t="str">
        <f aca="false">IF(AA407="","N/A",IF(Z407&lt;&gt;"Current","Not tested / overdue",INDEX('Residual Config'!$B$11:$B$14,AA407)))</f>
        <v>Effective</v>
      </c>
      <c r="AC407" s="36" t="n">
        <f aca="false">IF(AA407="","",INDEX('Residual Config'!$D$11:$D$14,AA407))</f>
        <v>0.6</v>
      </c>
      <c r="AD407" s="7" t="str">
        <f aca="false">IF(OR(I407="N/A",P407="",Q407=""),"",IF(P407&gt;=Q407,"Yes","No"))</f>
        <v>Yes</v>
      </c>
      <c r="AE407" s="8"/>
    </row>
    <row r="408" customFormat="false" ht="15" hidden="false" customHeight="false" outlineLevel="0" collapsed="false">
      <c r="A408" s="12" t="s">
        <v>1733</v>
      </c>
      <c r="B408" s="26" t="str">
        <f aca="false">Entities!$A$14</f>
        <v>AE</v>
      </c>
      <c r="C408" s="12" t="str">
        <f aca="false">INDEX(Entities!$B$5:$B$34,MATCH(B408,Entities!$A$5:$A$34,0))</f>
        <v>Arab Bank – UAE</v>
      </c>
      <c r="D408" s="7" t="str">
        <f aca="false">INDEX(Entities!$F$5:$F$34,MATCH(B408,Entities!$A$5:$A$34,0))</f>
        <v>Tier 1</v>
      </c>
      <c r="E408" s="26" t="str">
        <f aca="false">'Control Library'!$A$21</f>
        <v>CTL-ABC-01</v>
      </c>
      <c r="F408" s="12" t="str">
        <f aca="false">INDEX('Control Library'!$B$5:$B$47,MATCH(E408,'Control Library'!$A$5:$A$47,0))</f>
        <v>Third-party and intermediary anti-bribery due diligence</v>
      </c>
      <c r="G408" s="7" t="str">
        <f aca="false">INDEX('Control Library'!$F$5:$F$47,MATCH(E408,'Control Library'!$A$5:$A$47,0))</f>
        <v>Y</v>
      </c>
      <c r="H408" s="12" t="str">
        <f aca="false">INDEX('Control Library'!$E$5:$E$47,MATCH(E408,'Control Library'!$A$5:$A$47,0))</f>
        <v>Event-driven</v>
      </c>
      <c r="I408" s="7" t="str">
        <f aca="false">IF(INDEX('Control Library'!$I$5:$I$47,MATCH(E408,'Control Library'!$A$5:$A$47,0))="All","Y",IF(INDEX('Control Library'!$I$5:$I$47,MATCH(E408,'Control Library'!$A$5:$A$47,0))="Banks only",IF(COUNTIF('Residual Config'!$L$28:$L$30,INDEX(Entities!$E$5:$E$34,MATCH(B408,Entities!$A$5:$A$34,0)))&gt;0,"N/A","Y"),IF(INDEX(Entities!$G$5:$G$34,MATCH(B408,Entities!$A$5:$A$34,0))="Y","Y","N/A")))</f>
        <v>Y</v>
      </c>
      <c r="J408" s="8" t="s">
        <v>1734</v>
      </c>
      <c r="K408" s="8" t="s">
        <v>752</v>
      </c>
      <c r="L408" s="7" t="str">
        <f aca="false">IF(OR(J408="",K408=""),"",IF(J408=K408,"Breach","OK"))</f>
        <v>OK</v>
      </c>
      <c r="M408" s="24" t="n">
        <v>1</v>
      </c>
      <c r="N408" s="50" t="n">
        <v>46224</v>
      </c>
      <c r="O408" s="8" t="s">
        <v>546</v>
      </c>
      <c r="P408" s="24" t="n">
        <v>30</v>
      </c>
      <c r="Q408" s="31" t="n">
        <f aca="false">IF(I408="N/A","",IFERROR(INDEX('Residual Config'!$B$35:$B$42,MATCH(H408,'Residual Config'!$A$35:$A$42,0)),""))</f>
        <v>25</v>
      </c>
      <c r="R408" s="24" t="n">
        <v>1</v>
      </c>
      <c r="S408" s="8" t="s">
        <v>521</v>
      </c>
      <c r="T408" s="31" t="n">
        <f aca="false">IF(S408="","",MATCH(S408,'Residual Config'!$L$9:$L$12,0))</f>
        <v>2</v>
      </c>
      <c r="U408" s="8" t="s">
        <v>1735</v>
      </c>
      <c r="V408" s="24" t="n">
        <v>4</v>
      </c>
      <c r="W408" s="33" t="s">
        <v>536</v>
      </c>
      <c r="X408" s="8"/>
      <c r="Y408" s="51" t="n">
        <f aca="false">IF(N408="","",EDATE(N408,IF(G408="N",INDEX('Residual Config'!$B$31:$D$31,1,MATCH(D408,'Residual Config'!$B$27:$D$27,0)),INDEX('Residual Config'!$B$28:$D$30,IF(T408=1,1,IF(T408=4,3,2)),MATCH(D408,'Residual Config'!$B$27:$D$27,0)))))</f>
        <v>46316</v>
      </c>
      <c r="Z408" s="7" t="str">
        <f aca="false">IF(I408="N/A","N/A",IF(N408="","Not tested",IF(W408="Rejected","Evidence rejected",IF(W408&lt;&gt;"Accepted","Evidence pending",IF(Y408&lt;'Residual Config'!$C$4,"Overdue","Current")))))</f>
        <v>Evidence pending</v>
      </c>
      <c r="AA408" s="34" t="n">
        <f aca="false">IF(I408="N/A","",IF(Z408&lt;&gt;"Current",4,IF(MAX(M408,T408)=0,4,MAX(M408,T408))))</f>
        <v>4</v>
      </c>
      <c r="AB408" s="7" t="str">
        <f aca="false">IF(AA408="","N/A",IF(Z408&lt;&gt;"Current","Not tested / overdue",INDEX('Residual Config'!$B$11:$B$14,AA408)))</f>
        <v>Not tested / overdue</v>
      </c>
      <c r="AC408" s="36" t="n">
        <f aca="false">IF(AA408="","",INDEX('Residual Config'!$D$11:$D$14,AA408))</f>
        <v>0</v>
      </c>
      <c r="AD408" s="7" t="str">
        <f aca="false">IF(OR(I408="N/A",P408="",Q408=""),"",IF(P408&gt;=Q408,"Yes","No"))</f>
        <v>Yes</v>
      </c>
      <c r="AE408" s="8"/>
    </row>
    <row r="409" customFormat="false" ht="15" hidden="false" customHeight="false" outlineLevel="0" collapsed="false">
      <c r="A409" s="12" t="s">
        <v>1736</v>
      </c>
      <c r="B409" s="26" t="str">
        <f aca="false">Entities!$A$14</f>
        <v>AE</v>
      </c>
      <c r="C409" s="12" t="str">
        <f aca="false">INDEX(Entities!$B$5:$B$34,MATCH(B409,Entities!$A$5:$A$34,0))</f>
        <v>Arab Bank – UAE</v>
      </c>
      <c r="D409" s="7" t="str">
        <f aca="false">INDEX(Entities!$F$5:$F$34,MATCH(B409,Entities!$A$5:$A$34,0))</f>
        <v>Tier 1</v>
      </c>
      <c r="E409" s="26" t="str">
        <f aca="false">'Control Library'!$A$22</f>
        <v>CTL-ABC-02</v>
      </c>
      <c r="F409" s="12" t="str">
        <f aca="false">INDEX('Control Library'!$B$5:$B$47,MATCH(E409,'Control Library'!$A$5:$A$47,0))</f>
        <v>Gifts, hospitality and donations register with pre-approval</v>
      </c>
      <c r="G409" s="7" t="str">
        <f aca="false">INDEX('Control Library'!$F$5:$F$47,MATCH(E409,'Control Library'!$A$5:$A$47,0))</f>
        <v>N</v>
      </c>
      <c r="H409" s="12" t="str">
        <f aca="false">INDEX('Control Library'!$E$5:$E$47,MATCH(E409,'Control Library'!$A$5:$A$47,0))</f>
        <v>Event-driven</v>
      </c>
      <c r="I409" s="7" t="str">
        <f aca="false">IF(INDEX('Control Library'!$I$5:$I$47,MATCH(E409,'Control Library'!$A$5:$A$47,0))="All","Y",IF(INDEX('Control Library'!$I$5:$I$47,MATCH(E409,'Control Library'!$A$5:$A$47,0))="Banks only",IF(COUNTIF('Residual Config'!$L$28:$L$30,INDEX(Entities!$E$5:$E$34,MATCH(B409,Entities!$A$5:$A$34,0)))&gt;0,"N/A","Y"),IF(INDEX(Entities!$G$5:$G$34,MATCH(B409,Entities!$A$5:$A$34,0))="Y","Y","N/A")))</f>
        <v>Y</v>
      </c>
      <c r="J409" s="8" t="s">
        <v>1695</v>
      </c>
      <c r="K409" s="8" t="s">
        <v>1702</v>
      </c>
      <c r="L409" s="7" t="str">
        <f aca="false">IF(OR(J409="",K409=""),"",IF(J409=K409,"Breach","OK"))</f>
        <v>OK</v>
      </c>
      <c r="M409" s="24" t="n">
        <v>2</v>
      </c>
      <c r="N409" s="50" t="n">
        <v>46249</v>
      </c>
      <c r="O409" s="8" t="s">
        <v>545</v>
      </c>
      <c r="P409" s="24" t="n">
        <v>25</v>
      </c>
      <c r="Q409" s="31" t="n">
        <f aca="false">IF(I409="N/A","",IFERROR(INDEX('Residual Config'!$B$35:$B$42,MATCH(H409,'Residual Config'!$A$35:$A$42,0)),""))</f>
        <v>25</v>
      </c>
      <c r="R409" s="24" t="n">
        <v>0</v>
      </c>
      <c r="S409" s="8" t="s">
        <v>516</v>
      </c>
      <c r="T409" s="31" t="n">
        <f aca="false">IF(S409="","",MATCH(S409,'Residual Config'!$L$9:$L$12,0))</f>
        <v>1</v>
      </c>
      <c r="U409" s="8" t="s">
        <v>1737</v>
      </c>
      <c r="V409" s="24" t="n">
        <v>6</v>
      </c>
      <c r="W409" s="33" t="s">
        <v>533</v>
      </c>
      <c r="X409" s="8" t="s">
        <v>760</v>
      </c>
      <c r="Y409" s="51" t="n">
        <f aca="false">IF(N409="","",EDATE(N409,IF(G409="N",INDEX('Residual Config'!$B$31:$D$31,1,MATCH(D409,'Residual Config'!$B$27:$D$27,0)),INDEX('Residual Config'!$B$28:$D$30,IF(T409=1,1,IF(T409=4,3,2)),MATCH(D409,'Residual Config'!$B$27:$D$27,0)))))</f>
        <v>46614</v>
      </c>
      <c r="Z409" s="7" t="str">
        <f aca="false">IF(I409="N/A","N/A",IF(N409="","Not tested",IF(W409="Rejected","Evidence rejected",IF(W409&lt;&gt;"Accepted","Evidence pending",IF(Y409&lt;'Residual Config'!$C$4,"Overdue","Current")))))</f>
        <v>Current</v>
      </c>
      <c r="AA409" s="34" t="n">
        <f aca="false">IF(I409="N/A","",IF(Z409&lt;&gt;"Current",4,IF(MAX(M409,T409)=0,4,MAX(M409,T409))))</f>
        <v>2</v>
      </c>
      <c r="AB409" s="7" t="str">
        <f aca="false">IF(AA409="","N/A",IF(Z409&lt;&gt;"Current","Not tested / overdue",INDEX('Residual Config'!$B$11:$B$14,AA409)))</f>
        <v>Largely effective</v>
      </c>
      <c r="AC409" s="36" t="n">
        <f aca="false">IF(AA409="","",INDEX('Residual Config'!$D$11:$D$14,AA409))</f>
        <v>0.4</v>
      </c>
      <c r="AD409" s="7" t="str">
        <f aca="false">IF(OR(I409="N/A",P409="",Q409=""),"",IF(P409&gt;=Q409,"Yes","No"))</f>
        <v>Yes</v>
      </c>
      <c r="AE409" s="8"/>
    </row>
    <row r="410" customFormat="false" ht="15" hidden="false" customHeight="false" outlineLevel="0" collapsed="false">
      <c r="A410" s="12" t="s">
        <v>1738</v>
      </c>
      <c r="B410" s="26" t="str">
        <f aca="false">Entities!$A$14</f>
        <v>AE</v>
      </c>
      <c r="C410" s="12" t="str">
        <f aca="false">INDEX(Entities!$B$5:$B$34,MATCH(B410,Entities!$A$5:$A$34,0))</f>
        <v>Arab Bank – UAE</v>
      </c>
      <c r="D410" s="7" t="str">
        <f aca="false">INDEX(Entities!$F$5:$F$34,MATCH(B410,Entities!$A$5:$A$34,0))</f>
        <v>Tier 1</v>
      </c>
      <c r="E410" s="26" t="str">
        <f aca="false">'Control Library'!$A$23</f>
        <v>CTL-FRD-01</v>
      </c>
      <c r="F410" s="12" t="str">
        <f aca="false">INDEX('Control Library'!$B$5:$B$47,MATCH(E410,'Control Library'!$A$5:$A$47,0))</f>
        <v>Real-time fraud monitoring for cards and digital channels</v>
      </c>
      <c r="G410" s="7" t="str">
        <f aca="false">INDEX('Control Library'!$F$5:$F$47,MATCH(E410,'Control Library'!$A$5:$A$47,0))</f>
        <v>Y</v>
      </c>
      <c r="H410" s="12" t="str">
        <f aca="false">INDEX('Control Library'!$E$5:$E$47,MATCH(E410,'Control Library'!$A$5:$A$47,0))</f>
        <v>Continuous</v>
      </c>
      <c r="I410" s="7" t="str">
        <f aca="false">IF(INDEX('Control Library'!$I$5:$I$47,MATCH(E410,'Control Library'!$A$5:$A$47,0))="All","Y",IF(INDEX('Control Library'!$I$5:$I$47,MATCH(E410,'Control Library'!$A$5:$A$47,0))="Banks only",IF(COUNTIF('Residual Config'!$L$28:$L$30,INDEX(Entities!$E$5:$E$34,MATCH(B410,Entities!$A$5:$A$34,0)))&gt;0,"N/A","Y"),IF(INDEX(Entities!$G$5:$G$34,MATCH(B410,Entities!$A$5:$A$34,0))="Y","Y","N/A")))</f>
        <v>Y</v>
      </c>
      <c r="J410" s="8" t="s">
        <v>1739</v>
      </c>
      <c r="K410" s="8" t="s">
        <v>752</v>
      </c>
      <c r="L410" s="7" t="str">
        <f aca="false">IF(OR(J410="",K410=""),"",IF(J410=K410,"Breach","OK"))</f>
        <v>OK</v>
      </c>
      <c r="M410" s="24" t="n">
        <v>1</v>
      </c>
      <c r="N410" s="50" t="n">
        <v>46253</v>
      </c>
      <c r="O410" s="8" t="s">
        <v>547</v>
      </c>
      <c r="P410" s="24" t="n">
        <v>1</v>
      </c>
      <c r="Q410" s="31" t="n">
        <f aca="false">IF(I410="N/A","",IFERROR(INDEX('Residual Config'!$B$35:$B$42,MATCH(H410,'Residual Config'!$A$35:$A$42,0)),""))</f>
        <v>1</v>
      </c>
      <c r="R410" s="24" t="n">
        <v>1</v>
      </c>
      <c r="S410" s="8" t="s">
        <v>521</v>
      </c>
      <c r="T410" s="31" t="n">
        <f aca="false">IF(S410="","",MATCH(S410,'Residual Config'!$L$9:$L$12,0))</f>
        <v>2</v>
      </c>
      <c r="U410" s="8" t="s">
        <v>1740</v>
      </c>
      <c r="V410" s="24" t="n">
        <v>4</v>
      </c>
      <c r="W410" s="33" t="s">
        <v>533</v>
      </c>
      <c r="X410" s="8" t="s">
        <v>754</v>
      </c>
      <c r="Y410" s="51" t="n">
        <f aca="false">IF(N410="","",EDATE(N410,IF(G410="N",INDEX('Residual Config'!$B$31:$D$31,1,MATCH(D410,'Residual Config'!$B$27:$D$27,0)),INDEX('Residual Config'!$B$28:$D$30,IF(T410=1,1,IF(T410=4,3,2)),MATCH(D410,'Residual Config'!$B$27:$D$27,0)))))</f>
        <v>46345</v>
      </c>
      <c r="Z410" s="7" t="str">
        <f aca="false">IF(I410="N/A","N/A",IF(N410="","Not tested",IF(W410="Rejected","Evidence rejected",IF(W410&lt;&gt;"Accepted","Evidence pending",IF(Y410&lt;'Residual Config'!$C$4,"Overdue","Current")))))</f>
        <v>Current</v>
      </c>
      <c r="AA410" s="34" t="n">
        <f aca="false">IF(I410="N/A","",IF(Z410&lt;&gt;"Current",4,IF(MAX(M410,T410)=0,4,MAX(M410,T410))))</f>
        <v>2</v>
      </c>
      <c r="AB410" s="7" t="str">
        <f aca="false">IF(AA410="","N/A",IF(Z410&lt;&gt;"Current","Not tested / overdue",INDEX('Residual Config'!$B$11:$B$14,AA410)))</f>
        <v>Largely effective</v>
      </c>
      <c r="AC410" s="36" t="n">
        <f aca="false">IF(AA410="","",INDEX('Residual Config'!$D$11:$D$14,AA410))</f>
        <v>0.4</v>
      </c>
      <c r="AD410" s="7" t="str">
        <f aca="false">IF(OR(I410="N/A",P410="",Q410=""),"",IF(P410&gt;=Q410,"Yes","No"))</f>
        <v>Yes</v>
      </c>
      <c r="AE410" s="8"/>
    </row>
    <row r="411" customFormat="false" ht="15" hidden="false" customHeight="false" outlineLevel="0" collapsed="false">
      <c r="A411" s="12" t="s">
        <v>1741</v>
      </c>
      <c r="B411" s="26" t="str">
        <f aca="false">Entities!$A$14</f>
        <v>AE</v>
      </c>
      <c r="C411" s="12" t="str">
        <f aca="false">INDEX(Entities!$B$5:$B$34,MATCH(B411,Entities!$A$5:$A$34,0))</f>
        <v>Arab Bank – UAE</v>
      </c>
      <c r="D411" s="7" t="str">
        <f aca="false">INDEX(Entities!$F$5:$F$34,MATCH(B411,Entities!$A$5:$A$34,0))</f>
        <v>Tier 1</v>
      </c>
      <c r="E411" s="26" t="str">
        <f aca="false">'Control Library'!$A$24</f>
        <v>CTL-FRD-02</v>
      </c>
      <c r="F411" s="12" t="str">
        <f aca="false">INDEX('Control Library'!$B$5:$B$47,MATCH(E411,'Control Library'!$A$5:$A$47,0))</f>
        <v>Maker-checker and dual control on payments and static data</v>
      </c>
      <c r="G411" s="7" t="str">
        <f aca="false">INDEX('Control Library'!$F$5:$F$47,MATCH(E411,'Control Library'!$A$5:$A$47,0))</f>
        <v>Y</v>
      </c>
      <c r="H411" s="12" t="str">
        <f aca="false">INDEX('Control Library'!$E$5:$E$47,MATCH(E411,'Control Library'!$A$5:$A$47,0))</f>
        <v>Daily</v>
      </c>
      <c r="I411" s="7" t="str">
        <f aca="false">IF(INDEX('Control Library'!$I$5:$I$47,MATCH(E411,'Control Library'!$A$5:$A$47,0))="All","Y",IF(INDEX('Control Library'!$I$5:$I$47,MATCH(E411,'Control Library'!$A$5:$A$47,0))="Banks only",IF(COUNTIF('Residual Config'!$L$28:$L$30,INDEX(Entities!$E$5:$E$34,MATCH(B411,Entities!$A$5:$A$34,0)))&gt;0,"N/A","Y"),IF(INDEX(Entities!$G$5:$G$34,MATCH(B411,Entities!$A$5:$A$34,0))="Y","Y","N/A")))</f>
        <v>Y</v>
      </c>
      <c r="J411" s="8" t="s">
        <v>1692</v>
      </c>
      <c r="K411" s="8" t="s">
        <v>752</v>
      </c>
      <c r="L411" s="7" t="str">
        <f aca="false">IF(OR(J411="",K411=""),"",IF(J411=K411,"Breach","OK"))</f>
        <v>OK</v>
      </c>
      <c r="M411" s="24" t="n">
        <v>1</v>
      </c>
      <c r="N411" s="50" t="n">
        <v>46228</v>
      </c>
      <c r="O411" s="8" t="s">
        <v>545</v>
      </c>
      <c r="P411" s="24" t="n">
        <v>20</v>
      </c>
      <c r="Q411" s="31" t="n">
        <f aca="false">IF(I411="N/A","",IFERROR(INDEX('Residual Config'!$B$35:$B$42,MATCH(H411,'Residual Config'!$A$35:$A$42,0)),""))</f>
        <v>25</v>
      </c>
      <c r="R411" s="24" t="n">
        <v>1</v>
      </c>
      <c r="S411" s="8" t="s">
        <v>521</v>
      </c>
      <c r="T411" s="31" t="n">
        <f aca="false">IF(S411="","",MATCH(S411,'Residual Config'!$L$9:$L$12,0))</f>
        <v>2</v>
      </c>
      <c r="U411" s="8" t="s">
        <v>1742</v>
      </c>
      <c r="V411" s="24" t="n">
        <v>2</v>
      </c>
      <c r="W411" s="33" t="s">
        <v>533</v>
      </c>
      <c r="X411" s="8" t="s">
        <v>754</v>
      </c>
      <c r="Y411" s="51" t="n">
        <f aca="false">IF(N411="","",EDATE(N411,IF(G411="N",INDEX('Residual Config'!$B$31:$D$31,1,MATCH(D411,'Residual Config'!$B$27:$D$27,0)),INDEX('Residual Config'!$B$28:$D$30,IF(T411=1,1,IF(T411=4,3,2)),MATCH(D411,'Residual Config'!$B$27:$D$27,0)))))</f>
        <v>46320</v>
      </c>
      <c r="Z411" s="7" t="str">
        <f aca="false">IF(I411="N/A","N/A",IF(N411="","Not tested",IF(W411="Rejected","Evidence rejected",IF(W411&lt;&gt;"Accepted","Evidence pending",IF(Y411&lt;'Residual Config'!$C$4,"Overdue","Current")))))</f>
        <v>Current</v>
      </c>
      <c r="AA411" s="34" t="n">
        <f aca="false">IF(I411="N/A","",IF(Z411&lt;&gt;"Current",4,IF(MAX(M411,T411)=0,4,MAX(M411,T411))))</f>
        <v>2</v>
      </c>
      <c r="AB411" s="7" t="str">
        <f aca="false">IF(AA411="","N/A",IF(Z411&lt;&gt;"Current","Not tested / overdue",INDEX('Residual Config'!$B$11:$B$14,AA411)))</f>
        <v>Largely effective</v>
      </c>
      <c r="AC411" s="36" t="n">
        <f aca="false">IF(AA411="","",INDEX('Residual Config'!$D$11:$D$14,AA411))</f>
        <v>0.4</v>
      </c>
      <c r="AD411" s="7" t="str">
        <f aca="false">IF(OR(I411="N/A",P411="",Q411=""),"",IF(P411&gt;=Q411,"Yes","No"))</f>
        <v>No</v>
      </c>
      <c r="AE411" s="8"/>
    </row>
    <row r="412" customFormat="false" ht="15" hidden="false" customHeight="false" outlineLevel="0" collapsed="false">
      <c r="A412" s="12" t="s">
        <v>1743</v>
      </c>
      <c r="B412" s="26" t="str">
        <f aca="false">Entities!$A$14</f>
        <v>AE</v>
      </c>
      <c r="C412" s="12" t="str">
        <f aca="false">INDEX(Entities!$B$5:$B$34,MATCH(B412,Entities!$A$5:$A$34,0))</f>
        <v>Arab Bank – UAE</v>
      </c>
      <c r="D412" s="7" t="str">
        <f aca="false">INDEX(Entities!$F$5:$F$34,MATCH(B412,Entities!$A$5:$A$34,0))</f>
        <v>Tier 1</v>
      </c>
      <c r="E412" s="26" t="str">
        <f aca="false">'Control Library'!$A$25</f>
        <v>CTL-FRD-03</v>
      </c>
      <c r="F412" s="12" t="str">
        <f aca="false">INDEX('Control Library'!$B$5:$B$47,MATCH(E412,'Control Library'!$A$5:$A$47,0))</f>
        <v>Mandatory consecutive leave and rotation for sensitive roles</v>
      </c>
      <c r="G412" s="7" t="str">
        <f aca="false">INDEX('Control Library'!$F$5:$F$47,MATCH(E412,'Control Library'!$A$5:$A$47,0))</f>
        <v>N</v>
      </c>
      <c r="H412" s="12" t="str">
        <f aca="false">INDEX('Control Library'!$E$5:$E$47,MATCH(E412,'Control Library'!$A$5:$A$47,0))</f>
        <v>Annual</v>
      </c>
      <c r="I412" s="7" t="str">
        <f aca="false">IF(INDEX('Control Library'!$I$5:$I$47,MATCH(E412,'Control Library'!$A$5:$A$47,0))="All","Y",IF(INDEX('Control Library'!$I$5:$I$47,MATCH(E412,'Control Library'!$A$5:$A$47,0))="Banks only",IF(COUNTIF('Residual Config'!$L$28:$L$30,INDEX(Entities!$E$5:$E$34,MATCH(B412,Entities!$A$5:$A$34,0)))&gt;0,"N/A","Y"),IF(INDEX(Entities!$G$5:$G$34,MATCH(B412,Entities!$A$5:$A$34,0))="Y","Y","N/A")))</f>
        <v>Y</v>
      </c>
      <c r="J412" s="8" t="s">
        <v>1744</v>
      </c>
      <c r="K412" s="8" t="s">
        <v>1702</v>
      </c>
      <c r="L412" s="7" t="str">
        <f aca="false">IF(OR(J412="",K412=""),"",IF(J412=K412,"Breach","OK"))</f>
        <v>OK</v>
      </c>
      <c r="M412" s="24" t="n">
        <v>2</v>
      </c>
      <c r="N412" s="50" t="n">
        <v>46225</v>
      </c>
      <c r="O412" s="8" t="s">
        <v>546</v>
      </c>
      <c r="P412" s="24" t="n">
        <v>1</v>
      </c>
      <c r="Q412" s="31" t="n">
        <f aca="false">IF(I412="N/A","",IFERROR(INDEX('Residual Config'!$B$35:$B$42,MATCH(H412,'Residual Config'!$A$35:$A$42,0)),""))</f>
        <v>1</v>
      </c>
      <c r="R412" s="24" t="n">
        <v>0</v>
      </c>
      <c r="S412" s="8" t="s">
        <v>516</v>
      </c>
      <c r="T412" s="31" t="n">
        <f aca="false">IF(S412="","",MATCH(S412,'Residual Config'!$L$9:$L$12,0))</f>
        <v>1</v>
      </c>
      <c r="U412" s="8" t="s">
        <v>1745</v>
      </c>
      <c r="V412" s="24" t="n">
        <v>4</v>
      </c>
      <c r="W412" s="33" t="s">
        <v>533</v>
      </c>
      <c r="X412" s="8" t="s">
        <v>760</v>
      </c>
      <c r="Y412" s="51" t="n">
        <f aca="false">IF(N412="","",EDATE(N412,IF(G412="N",INDEX('Residual Config'!$B$31:$D$31,1,MATCH(D412,'Residual Config'!$B$27:$D$27,0)),INDEX('Residual Config'!$B$28:$D$30,IF(T412=1,1,IF(T412=4,3,2)),MATCH(D412,'Residual Config'!$B$27:$D$27,0)))))</f>
        <v>46590</v>
      </c>
      <c r="Z412" s="7" t="str">
        <f aca="false">IF(I412="N/A","N/A",IF(N412="","Not tested",IF(W412="Rejected","Evidence rejected",IF(W412&lt;&gt;"Accepted","Evidence pending",IF(Y412&lt;'Residual Config'!$C$4,"Overdue","Current")))))</f>
        <v>Current</v>
      </c>
      <c r="AA412" s="34" t="n">
        <f aca="false">IF(I412="N/A","",IF(Z412&lt;&gt;"Current",4,IF(MAX(M412,T412)=0,4,MAX(M412,T412))))</f>
        <v>2</v>
      </c>
      <c r="AB412" s="7" t="str">
        <f aca="false">IF(AA412="","N/A",IF(Z412&lt;&gt;"Current","Not tested / overdue",INDEX('Residual Config'!$B$11:$B$14,AA412)))</f>
        <v>Largely effective</v>
      </c>
      <c r="AC412" s="36" t="n">
        <f aca="false">IF(AA412="","",INDEX('Residual Config'!$D$11:$D$14,AA412))</f>
        <v>0.4</v>
      </c>
      <c r="AD412" s="7" t="str">
        <f aca="false">IF(OR(I412="N/A",P412="",Q412=""),"",IF(P412&gt;=Q412,"Yes","No"))</f>
        <v>Yes</v>
      </c>
      <c r="AE412" s="8"/>
    </row>
    <row r="413" customFormat="false" ht="15" hidden="false" customHeight="false" outlineLevel="0" collapsed="false">
      <c r="A413" s="12" t="s">
        <v>1746</v>
      </c>
      <c r="B413" s="26" t="str">
        <f aca="false">Entities!$A$14</f>
        <v>AE</v>
      </c>
      <c r="C413" s="12" t="str">
        <f aca="false">INDEX(Entities!$B$5:$B$34,MATCH(B413,Entities!$A$5:$A$34,0))</f>
        <v>Arab Bank – UAE</v>
      </c>
      <c r="D413" s="7" t="str">
        <f aca="false">INDEX(Entities!$F$5:$F$34,MATCH(B413,Entities!$A$5:$A$34,0))</f>
        <v>Tier 1</v>
      </c>
      <c r="E413" s="26" t="str">
        <f aca="false">'Control Library'!$A$26</f>
        <v>CTL-TAX-01</v>
      </c>
      <c r="F413" s="12" t="str">
        <f aca="false">INDEX('Control Library'!$B$5:$B$47,MATCH(E413,'Control Library'!$A$5:$A$47,0))</f>
        <v>FATCA/CRS self-certification and classification</v>
      </c>
      <c r="G413" s="7" t="str">
        <f aca="false">INDEX('Control Library'!$F$5:$F$47,MATCH(E413,'Control Library'!$A$5:$A$47,0))</f>
        <v>Y</v>
      </c>
      <c r="H413" s="12" t="str">
        <f aca="false">INDEX('Control Library'!$E$5:$E$47,MATCH(E413,'Control Library'!$A$5:$A$47,0))</f>
        <v>Event-driven</v>
      </c>
      <c r="I413" s="7" t="str">
        <f aca="false">IF(INDEX('Control Library'!$I$5:$I$47,MATCH(E413,'Control Library'!$A$5:$A$47,0))="All","Y",IF(INDEX('Control Library'!$I$5:$I$47,MATCH(E413,'Control Library'!$A$5:$A$47,0))="Banks only",IF(COUNTIF('Residual Config'!$L$28:$L$30,INDEX(Entities!$E$5:$E$34,MATCH(B413,Entities!$A$5:$A$34,0)))&gt;0,"N/A","Y"),IF(INDEX(Entities!$G$5:$G$34,MATCH(B413,Entities!$A$5:$A$34,0))="Y","Y","N/A")))</f>
        <v>Y</v>
      </c>
      <c r="J413" s="8" t="s">
        <v>1692</v>
      </c>
      <c r="K413" s="8" t="s">
        <v>752</v>
      </c>
      <c r="L413" s="7" t="str">
        <f aca="false">IF(OR(J413="",K413=""),"",IF(J413=K413,"Breach","OK"))</f>
        <v>OK</v>
      </c>
      <c r="M413" s="24" t="n">
        <v>1</v>
      </c>
      <c r="N413" s="50" t="n">
        <v>46234</v>
      </c>
      <c r="O413" s="8" t="s">
        <v>545</v>
      </c>
      <c r="P413" s="24" t="n">
        <v>25</v>
      </c>
      <c r="Q413" s="31" t="n">
        <f aca="false">IF(I413="N/A","",IFERROR(INDEX('Residual Config'!$B$35:$B$42,MATCH(H413,'Residual Config'!$A$35:$A$42,0)),""))</f>
        <v>25</v>
      </c>
      <c r="R413" s="24" t="n">
        <v>0</v>
      </c>
      <c r="S413" s="8" t="s">
        <v>516</v>
      </c>
      <c r="T413" s="31" t="n">
        <f aca="false">IF(S413="","",MATCH(S413,'Residual Config'!$L$9:$L$12,0))</f>
        <v>1</v>
      </c>
      <c r="U413" s="8" t="s">
        <v>1747</v>
      </c>
      <c r="V413" s="24" t="n">
        <v>3</v>
      </c>
      <c r="W413" s="33" t="s">
        <v>533</v>
      </c>
      <c r="X413" s="8" t="s">
        <v>754</v>
      </c>
      <c r="Y413" s="51" t="n">
        <f aca="false">IF(N413="","",EDATE(N413,IF(G413="N",INDEX('Residual Config'!$B$31:$D$31,1,MATCH(D413,'Residual Config'!$B$27:$D$27,0)),INDEX('Residual Config'!$B$28:$D$30,IF(T413=1,1,IF(T413=4,3,2)),MATCH(D413,'Residual Config'!$B$27:$D$27,0)))))</f>
        <v>46418</v>
      </c>
      <c r="Z413" s="7" t="str">
        <f aca="false">IF(I413="N/A","N/A",IF(N413="","Not tested",IF(W413="Rejected","Evidence rejected",IF(W413&lt;&gt;"Accepted","Evidence pending",IF(Y413&lt;'Residual Config'!$C$4,"Overdue","Current")))))</f>
        <v>Current</v>
      </c>
      <c r="AA413" s="34" t="n">
        <f aca="false">IF(I413="N/A","",IF(Z413&lt;&gt;"Current",4,IF(MAX(M413,T413)=0,4,MAX(M413,T413))))</f>
        <v>1</v>
      </c>
      <c r="AB413" s="7" t="str">
        <f aca="false">IF(AA413="","N/A",IF(Z413&lt;&gt;"Current","Not tested / overdue",INDEX('Residual Config'!$B$11:$B$14,AA413)))</f>
        <v>Effective</v>
      </c>
      <c r="AC413" s="36" t="n">
        <f aca="false">IF(AA413="","",INDEX('Residual Config'!$D$11:$D$14,AA413))</f>
        <v>0.6</v>
      </c>
      <c r="AD413" s="7" t="str">
        <f aca="false">IF(OR(I413="N/A",P413="",Q413=""),"",IF(P413&gt;=Q413,"Yes","No"))</f>
        <v>Yes</v>
      </c>
      <c r="AE413" s="8"/>
    </row>
    <row r="414" customFormat="false" ht="15" hidden="false" customHeight="false" outlineLevel="0" collapsed="false">
      <c r="A414" s="12" t="s">
        <v>1748</v>
      </c>
      <c r="B414" s="26" t="str">
        <f aca="false">Entities!$A$14</f>
        <v>AE</v>
      </c>
      <c r="C414" s="12" t="str">
        <f aca="false">INDEX(Entities!$B$5:$B$34,MATCH(B414,Entities!$A$5:$A$34,0))</f>
        <v>Arab Bank – UAE</v>
      </c>
      <c r="D414" s="7" t="str">
        <f aca="false">INDEX(Entities!$F$5:$F$34,MATCH(B414,Entities!$A$5:$A$34,0))</f>
        <v>Tier 1</v>
      </c>
      <c r="E414" s="26" t="str">
        <f aca="false">'Control Library'!$A$27</f>
        <v>CTL-TAX-02</v>
      </c>
      <c r="F414" s="12" t="str">
        <f aca="false">INDEX('Control Library'!$B$5:$B$47,MATCH(E414,'Control Library'!$A$5:$A$47,0))</f>
        <v>FATCA/CRS reporting reconciliation and timely filing</v>
      </c>
      <c r="G414" s="7" t="str">
        <f aca="false">INDEX('Control Library'!$F$5:$F$47,MATCH(E414,'Control Library'!$A$5:$A$47,0))</f>
        <v>N</v>
      </c>
      <c r="H414" s="12" t="str">
        <f aca="false">INDEX('Control Library'!$E$5:$E$47,MATCH(E414,'Control Library'!$A$5:$A$47,0))</f>
        <v>Annual</v>
      </c>
      <c r="I414" s="7" t="str">
        <f aca="false">IF(INDEX('Control Library'!$I$5:$I$47,MATCH(E414,'Control Library'!$A$5:$A$47,0))="All","Y",IF(INDEX('Control Library'!$I$5:$I$47,MATCH(E414,'Control Library'!$A$5:$A$47,0))="Banks only",IF(COUNTIF('Residual Config'!$L$28:$L$30,INDEX(Entities!$E$5:$E$34,MATCH(B414,Entities!$A$5:$A$34,0)))&gt;0,"N/A","Y"),IF(INDEX(Entities!$G$5:$G$34,MATCH(B414,Entities!$A$5:$A$34,0))="Y","Y","N/A")))</f>
        <v>Y</v>
      </c>
      <c r="J414" s="8" t="s">
        <v>1749</v>
      </c>
      <c r="K414" s="8" t="s">
        <v>1702</v>
      </c>
      <c r="L414" s="7" t="str">
        <f aca="false">IF(OR(J414="",K414=""),"",IF(J414=K414,"Breach","OK"))</f>
        <v>OK</v>
      </c>
      <c r="M414" s="24" t="n">
        <v>1</v>
      </c>
      <c r="N414" s="50" t="n">
        <v>46108</v>
      </c>
      <c r="O414" s="8" t="s">
        <v>545</v>
      </c>
      <c r="P414" s="24" t="n">
        <v>1</v>
      </c>
      <c r="Q414" s="31" t="n">
        <f aca="false">IF(I414="N/A","",IFERROR(INDEX('Residual Config'!$B$35:$B$42,MATCH(H414,'Residual Config'!$A$35:$A$42,0)),""))</f>
        <v>1</v>
      </c>
      <c r="R414" s="24" t="n">
        <v>1</v>
      </c>
      <c r="S414" s="8" t="s">
        <v>521</v>
      </c>
      <c r="T414" s="31" t="n">
        <f aca="false">IF(S414="","",MATCH(S414,'Residual Config'!$L$9:$L$12,0))</f>
        <v>2</v>
      </c>
      <c r="U414" s="8" t="s">
        <v>1750</v>
      </c>
      <c r="V414" s="24" t="n">
        <v>1</v>
      </c>
      <c r="W414" s="33" t="s">
        <v>533</v>
      </c>
      <c r="X414" s="8" t="s">
        <v>760</v>
      </c>
      <c r="Y414" s="51" t="n">
        <f aca="false">IF(N414="","",EDATE(N414,IF(G414="N",INDEX('Residual Config'!$B$31:$D$31,1,MATCH(D414,'Residual Config'!$B$27:$D$27,0)),INDEX('Residual Config'!$B$28:$D$30,IF(T414=1,1,IF(T414=4,3,2)),MATCH(D414,'Residual Config'!$B$27:$D$27,0)))))</f>
        <v>46473</v>
      </c>
      <c r="Z414" s="7" t="str">
        <f aca="false">IF(I414="N/A","N/A",IF(N414="","Not tested",IF(W414="Rejected","Evidence rejected",IF(W414&lt;&gt;"Accepted","Evidence pending",IF(Y414&lt;'Residual Config'!$C$4,"Overdue","Current")))))</f>
        <v>Current</v>
      </c>
      <c r="AA414" s="34" t="n">
        <f aca="false">IF(I414="N/A","",IF(Z414&lt;&gt;"Current",4,IF(MAX(M414,T414)=0,4,MAX(M414,T414))))</f>
        <v>2</v>
      </c>
      <c r="AB414" s="7" t="str">
        <f aca="false">IF(AA414="","N/A",IF(Z414&lt;&gt;"Current","Not tested / overdue",INDEX('Residual Config'!$B$11:$B$14,AA414)))</f>
        <v>Largely effective</v>
      </c>
      <c r="AC414" s="36" t="n">
        <f aca="false">IF(AA414="","",INDEX('Residual Config'!$D$11:$D$14,AA414))</f>
        <v>0.4</v>
      </c>
      <c r="AD414" s="7" t="str">
        <f aca="false">IF(OR(I414="N/A",P414="",Q414=""),"",IF(P414&gt;=Q414,"Yes","No"))</f>
        <v>Yes</v>
      </c>
      <c r="AE414" s="8"/>
    </row>
    <row r="415" customFormat="false" ht="15" hidden="false" customHeight="false" outlineLevel="0" collapsed="false">
      <c r="A415" s="12" t="s">
        <v>1751</v>
      </c>
      <c r="B415" s="26" t="str">
        <f aca="false">Entities!$A$14</f>
        <v>AE</v>
      </c>
      <c r="C415" s="12" t="str">
        <f aca="false">INDEX(Entities!$B$5:$B$34,MATCH(B415,Entities!$A$5:$A$34,0))</f>
        <v>Arab Bank – UAE</v>
      </c>
      <c r="D415" s="7" t="str">
        <f aca="false">INDEX(Entities!$F$5:$F$34,MATCH(B415,Entities!$A$5:$A$34,0))</f>
        <v>Tier 1</v>
      </c>
      <c r="E415" s="26" t="str">
        <f aca="false">'Control Library'!$A$28</f>
        <v>CTL-TRN-01</v>
      </c>
      <c r="F415" s="12" t="str">
        <f aca="false">INDEX('Control Library'!$B$5:$B$47,MATCH(E415,'Control Library'!$A$5:$A$47,0))</f>
        <v>Annual AML, sanctions and anti-bribery training</v>
      </c>
      <c r="G415" s="7" t="str">
        <f aca="false">INDEX('Control Library'!$F$5:$F$47,MATCH(E415,'Control Library'!$A$5:$A$47,0))</f>
        <v>N</v>
      </c>
      <c r="H415" s="12" t="str">
        <f aca="false">INDEX('Control Library'!$E$5:$E$47,MATCH(E415,'Control Library'!$A$5:$A$47,0))</f>
        <v>Annual</v>
      </c>
      <c r="I415" s="7" t="str">
        <f aca="false">IF(INDEX('Control Library'!$I$5:$I$47,MATCH(E415,'Control Library'!$A$5:$A$47,0))="All","Y",IF(INDEX('Control Library'!$I$5:$I$47,MATCH(E415,'Control Library'!$A$5:$A$47,0))="Banks only",IF(COUNTIF('Residual Config'!$L$28:$L$30,INDEX(Entities!$E$5:$E$34,MATCH(B415,Entities!$A$5:$A$34,0)))&gt;0,"N/A","Y"),IF(INDEX(Entities!$G$5:$G$34,MATCH(B415,Entities!$A$5:$A$34,0))="Y","Y","N/A")))</f>
        <v>Y</v>
      </c>
      <c r="J415" s="8" t="s">
        <v>1695</v>
      </c>
      <c r="K415" s="8" t="s">
        <v>1702</v>
      </c>
      <c r="L415" s="7" t="str">
        <f aca="false">IF(OR(J415="",K415=""),"",IF(J415=K415,"Breach","OK"))</f>
        <v>OK</v>
      </c>
      <c r="M415" s="24" t="n">
        <v>1</v>
      </c>
      <c r="N415" s="50" t="n">
        <v>46260</v>
      </c>
      <c r="O415" s="8" t="s">
        <v>545</v>
      </c>
      <c r="P415" s="24" t="n">
        <v>1</v>
      </c>
      <c r="Q415" s="31" t="n">
        <f aca="false">IF(I415="N/A","",IFERROR(INDEX('Residual Config'!$B$35:$B$42,MATCH(H415,'Residual Config'!$A$35:$A$42,0)),""))</f>
        <v>1</v>
      </c>
      <c r="R415" s="24" t="n">
        <v>1</v>
      </c>
      <c r="S415" s="8" t="s">
        <v>521</v>
      </c>
      <c r="T415" s="31" t="n">
        <f aca="false">IF(S415="","",MATCH(S415,'Residual Config'!$L$9:$L$12,0))</f>
        <v>2</v>
      </c>
      <c r="U415" s="8" t="s">
        <v>1752</v>
      </c>
      <c r="V415" s="24" t="n">
        <v>5</v>
      </c>
      <c r="W415" s="33" t="s">
        <v>533</v>
      </c>
      <c r="X415" s="8" t="s">
        <v>754</v>
      </c>
      <c r="Y415" s="51" t="n">
        <f aca="false">IF(N415="","",EDATE(N415,IF(G415="N",INDEX('Residual Config'!$B$31:$D$31,1,MATCH(D415,'Residual Config'!$B$27:$D$27,0)),INDEX('Residual Config'!$B$28:$D$30,IF(T415=1,1,IF(T415=4,3,2)),MATCH(D415,'Residual Config'!$B$27:$D$27,0)))))</f>
        <v>46625</v>
      </c>
      <c r="Z415" s="7" t="str">
        <f aca="false">IF(I415="N/A","N/A",IF(N415="","Not tested",IF(W415="Rejected","Evidence rejected",IF(W415&lt;&gt;"Accepted","Evidence pending",IF(Y415&lt;'Residual Config'!$C$4,"Overdue","Current")))))</f>
        <v>Current</v>
      </c>
      <c r="AA415" s="34" t="n">
        <f aca="false">IF(I415="N/A","",IF(Z415&lt;&gt;"Current",4,IF(MAX(M415,T415)=0,4,MAX(M415,T415))))</f>
        <v>2</v>
      </c>
      <c r="AB415" s="7" t="str">
        <f aca="false">IF(AA415="","N/A",IF(Z415&lt;&gt;"Current","Not tested / overdue",INDEX('Residual Config'!$B$11:$B$14,AA415)))</f>
        <v>Largely effective</v>
      </c>
      <c r="AC415" s="36" t="n">
        <f aca="false">IF(AA415="","",INDEX('Residual Config'!$D$11:$D$14,AA415))</f>
        <v>0.4</v>
      </c>
      <c r="AD415" s="7" t="str">
        <f aca="false">IF(OR(I415="N/A",P415="",Q415=""),"",IF(P415&gt;=Q415,"Yes","No"))</f>
        <v>Yes</v>
      </c>
      <c r="AE415" s="8"/>
    </row>
    <row r="416" customFormat="false" ht="15" hidden="false" customHeight="false" outlineLevel="0" collapsed="false">
      <c r="A416" s="12" t="s">
        <v>1753</v>
      </c>
      <c r="B416" s="26" t="str">
        <f aca="false">Entities!$A$14</f>
        <v>AE</v>
      </c>
      <c r="C416" s="12" t="str">
        <f aca="false">INDEX(Entities!$B$5:$B$34,MATCH(B416,Entities!$A$5:$A$34,0))</f>
        <v>Arab Bank – UAE</v>
      </c>
      <c r="D416" s="7" t="str">
        <f aca="false">INDEX(Entities!$F$5:$F$34,MATCH(B416,Entities!$A$5:$A$34,0))</f>
        <v>Tier 1</v>
      </c>
      <c r="E416" s="26" t="str">
        <f aca="false">'Control Library'!$A$29</f>
        <v>CTL-REG-01</v>
      </c>
      <c r="F416" s="12" t="str">
        <f aca="false">INDEX('Control Library'!$B$5:$B$47,MATCH(E416,'Control Library'!$A$5:$A$47,0))</f>
        <v>Regulatory change management and obligations register</v>
      </c>
      <c r="G416" s="7" t="str">
        <f aca="false">INDEX('Control Library'!$F$5:$F$47,MATCH(E416,'Control Library'!$A$5:$A$47,0))</f>
        <v>Y</v>
      </c>
      <c r="H416" s="12" t="str">
        <f aca="false">INDEX('Control Library'!$E$5:$E$47,MATCH(E416,'Control Library'!$A$5:$A$47,0))</f>
        <v>Monthly</v>
      </c>
      <c r="I416" s="7" t="str">
        <f aca="false">IF(INDEX('Control Library'!$I$5:$I$47,MATCH(E416,'Control Library'!$A$5:$A$47,0))="All","Y",IF(INDEX('Control Library'!$I$5:$I$47,MATCH(E416,'Control Library'!$A$5:$A$47,0))="Banks only",IF(COUNTIF('Residual Config'!$L$28:$L$30,INDEX(Entities!$E$5:$E$34,MATCH(B416,Entities!$A$5:$A$34,0)))&gt;0,"N/A","Y"),IF(INDEX(Entities!$G$5:$G$34,MATCH(B416,Entities!$A$5:$A$34,0))="Y","Y","N/A")))</f>
        <v>Y</v>
      </c>
      <c r="J416" s="8" t="s">
        <v>1695</v>
      </c>
      <c r="K416" s="8" t="s">
        <v>752</v>
      </c>
      <c r="L416" s="7" t="str">
        <f aca="false">IF(OR(J416="",K416=""),"",IF(J416=K416,"Breach","OK"))</f>
        <v>OK</v>
      </c>
      <c r="M416" s="24" t="n">
        <v>1</v>
      </c>
      <c r="N416" s="50" t="n">
        <v>46223</v>
      </c>
      <c r="O416" s="8" t="s">
        <v>545</v>
      </c>
      <c r="P416" s="24" t="n">
        <v>3</v>
      </c>
      <c r="Q416" s="31" t="n">
        <f aca="false">IF(I416="N/A","",IFERROR(INDEX('Residual Config'!$B$35:$B$42,MATCH(H416,'Residual Config'!$A$35:$A$42,0)),""))</f>
        <v>3</v>
      </c>
      <c r="R416" s="24" t="n">
        <v>1</v>
      </c>
      <c r="S416" s="8" t="s">
        <v>521</v>
      </c>
      <c r="T416" s="31" t="n">
        <f aca="false">IF(S416="","",MATCH(S416,'Residual Config'!$L$9:$L$12,0))</f>
        <v>2</v>
      </c>
      <c r="U416" s="8" t="s">
        <v>1754</v>
      </c>
      <c r="V416" s="24" t="n">
        <v>4</v>
      </c>
      <c r="W416" s="33" t="s">
        <v>533</v>
      </c>
      <c r="X416" s="8" t="s">
        <v>754</v>
      </c>
      <c r="Y416" s="51" t="n">
        <f aca="false">IF(N416="","",EDATE(N416,IF(G416="N",INDEX('Residual Config'!$B$31:$D$31,1,MATCH(D416,'Residual Config'!$B$27:$D$27,0)),INDEX('Residual Config'!$B$28:$D$30,IF(T416=1,1,IF(T416=4,3,2)),MATCH(D416,'Residual Config'!$B$27:$D$27,0)))))</f>
        <v>46315</v>
      </c>
      <c r="Z416" s="7" t="str">
        <f aca="false">IF(I416="N/A","N/A",IF(N416="","Not tested",IF(W416="Rejected","Evidence rejected",IF(W416&lt;&gt;"Accepted","Evidence pending",IF(Y416&lt;'Residual Config'!$C$4,"Overdue","Current")))))</f>
        <v>Current</v>
      </c>
      <c r="AA416" s="34" t="n">
        <f aca="false">IF(I416="N/A","",IF(Z416&lt;&gt;"Current",4,IF(MAX(M416,T416)=0,4,MAX(M416,T416))))</f>
        <v>2</v>
      </c>
      <c r="AB416" s="7" t="str">
        <f aca="false">IF(AA416="","N/A",IF(Z416&lt;&gt;"Current","Not tested / overdue",INDEX('Residual Config'!$B$11:$B$14,AA416)))</f>
        <v>Largely effective</v>
      </c>
      <c r="AC416" s="36" t="n">
        <f aca="false">IF(AA416="","",INDEX('Residual Config'!$D$11:$D$14,AA416))</f>
        <v>0.4</v>
      </c>
      <c r="AD416" s="7" t="str">
        <f aca="false">IF(OR(I416="N/A",P416="",Q416=""),"",IF(P416&gt;=Q416,"Yes","No"))</f>
        <v>Yes</v>
      </c>
      <c r="AE416" s="8"/>
    </row>
    <row r="417" customFormat="false" ht="15" hidden="false" customHeight="false" outlineLevel="0" collapsed="false">
      <c r="A417" s="12" t="s">
        <v>1755</v>
      </c>
      <c r="B417" s="26" t="str">
        <f aca="false">Entities!$A$14</f>
        <v>AE</v>
      </c>
      <c r="C417" s="12" t="str">
        <f aca="false">INDEX(Entities!$B$5:$B$34,MATCH(B417,Entities!$A$5:$A$34,0))</f>
        <v>Arab Bank – UAE</v>
      </c>
      <c r="D417" s="7" t="str">
        <f aca="false">INDEX(Entities!$F$5:$F$34,MATCH(B417,Entities!$A$5:$A$34,0))</f>
        <v>Tier 1</v>
      </c>
      <c r="E417" s="26" t="str">
        <f aca="false">'Control Library'!$A$30</f>
        <v>CTL-REG-02</v>
      </c>
      <c r="F417" s="12" t="str">
        <f aca="false">INDEX('Control Library'!$B$5:$B$47,MATCH(E417,'Control Library'!$A$5:$A$47,0))</f>
        <v>Regulatory return review and senior sign-off</v>
      </c>
      <c r="G417" s="7" t="str">
        <f aca="false">INDEX('Control Library'!$F$5:$F$47,MATCH(E417,'Control Library'!$A$5:$A$47,0))</f>
        <v>Y</v>
      </c>
      <c r="H417" s="12" t="str">
        <f aca="false">INDEX('Control Library'!$E$5:$E$47,MATCH(E417,'Control Library'!$A$5:$A$47,0))</f>
        <v>Monthly</v>
      </c>
      <c r="I417" s="7" t="str">
        <f aca="false">IF(INDEX('Control Library'!$I$5:$I$47,MATCH(E417,'Control Library'!$A$5:$A$47,0))="All","Y",IF(INDEX('Control Library'!$I$5:$I$47,MATCH(E417,'Control Library'!$A$5:$A$47,0))="Banks only",IF(COUNTIF('Residual Config'!$L$28:$L$30,INDEX(Entities!$E$5:$E$34,MATCH(B417,Entities!$A$5:$A$34,0)))&gt;0,"N/A","Y"),IF(INDEX(Entities!$G$5:$G$34,MATCH(B417,Entities!$A$5:$A$34,0))="Y","Y","N/A")))</f>
        <v>Y</v>
      </c>
      <c r="J417" s="8" t="s">
        <v>1749</v>
      </c>
      <c r="K417" s="8" t="s">
        <v>752</v>
      </c>
      <c r="L417" s="7" t="str">
        <f aca="false">IF(OR(J417="",K417=""),"",IF(J417=K417,"Breach","OK"))</f>
        <v>OK</v>
      </c>
      <c r="M417" s="24" t="n">
        <v>2</v>
      </c>
      <c r="N417" s="50" t="n">
        <v>46174</v>
      </c>
      <c r="O417" s="8" t="s">
        <v>546</v>
      </c>
      <c r="P417" s="24" t="n">
        <v>3</v>
      </c>
      <c r="Q417" s="31" t="n">
        <f aca="false">IF(I417="N/A","",IFERROR(INDEX('Residual Config'!$B$35:$B$42,MATCH(H417,'Residual Config'!$A$35:$A$42,0)),""))</f>
        <v>3</v>
      </c>
      <c r="R417" s="24" t="n">
        <v>1</v>
      </c>
      <c r="S417" s="8" t="s">
        <v>521</v>
      </c>
      <c r="T417" s="31" t="n">
        <f aca="false">IF(S417="","",MATCH(S417,'Residual Config'!$L$9:$L$12,0))</f>
        <v>2</v>
      </c>
      <c r="U417" s="8" t="s">
        <v>1756</v>
      </c>
      <c r="V417" s="24" t="n">
        <v>6</v>
      </c>
      <c r="W417" s="33" t="s">
        <v>533</v>
      </c>
      <c r="X417" s="8" t="s">
        <v>754</v>
      </c>
      <c r="Y417" s="51" t="n">
        <f aca="false">IF(N417="","",EDATE(N417,IF(G417="N",INDEX('Residual Config'!$B$31:$D$31,1,MATCH(D417,'Residual Config'!$B$27:$D$27,0)),INDEX('Residual Config'!$B$28:$D$30,IF(T417=1,1,IF(T417=4,3,2)),MATCH(D417,'Residual Config'!$B$27:$D$27,0)))))</f>
        <v>46266</v>
      </c>
      <c r="Z417" s="7" t="str">
        <f aca="false">IF(I417="N/A","N/A",IF(N417="","Not tested",IF(W417="Rejected","Evidence rejected",IF(W417&lt;&gt;"Accepted","Evidence pending",IF(Y417&lt;'Residual Config'!$C$4,"Overdue","Current")))))</f>
        <v>Overdue</v>
      </c>
      <c r="AA417" s="34" t="n">
        <f aca="false">IF(I417="N/A","",IF(Z417&lt;&gt;"Current",4,IF(MAX(M417,T417)=0,4,MAX(M417,T417))))</f>
        <v>4</v>
      </c>
      <c r="AB417" s="7" t="str">
        <f aca="false">IF(AA417="","N/A",IF(Z417&lt;&gt;"Current","Not tested / overdue",INDEX('Residual Config'!$B$11:$B$14,AA417)))</f>
        <v>Not tested / overdue</v>
      </c>
      <c r="AC417" s="36" t="n">
        <f aca="false">IF(AA417="","",INDEX('Residual Config'!$D$11:$D$14,AA417))</f>
        <v>0</v>
      </c>
      <c r="AD417" s="7" t="str">
        <f aca="false">IF(OR(I417="N/A",P417="",Q417=""),"",IF(P417&gt;=Q417,"Yes","No"))</f>
        <v>Yes</v>
      </c>
      <c r="AE417" s="8"/>
    </row>
    <row r="418" customFormat="false" ht="15" hidden="false" customHeight="false" outlineLevel="0" collapsed="false">
      <c r="A418" s="12" t="s">
        <v>1757</v>
      </c>
      <c r="B418" s="26" t="str">
        <f aca="false">Entities!$A$14</f>
        <v>AE</v>
      </c>
      <c r="C418" s="12" t="str">
        <f aca="false">INDEX(Entities!$B$5:$B$34,MATCH(B418,Entities!$A$5:$A$34,0))</f>
        <v>Arab Bank – UAE</v>
      </c>
      <c r="D418" s="7" t="str">
        <f aca="false">INDEX(Entities!$F$5:$F$34,MATCH(B418,Entities!$A$5:$A$34,0))</f>
        <v>Tier 1</v>
      </c>
      <c r="E418" s="26" t="str">
        <f aca="false">'Control Library'!$A$31</f>
        <v>CTL-CON-01</v>
      </c>
      <c r="F418" s="12" t="str">
        <f aca="false">INDEX('Control Library'!$B$5:$B$47,MATCH(E418,'Control Library'!$A$5:$A$47,0))</f>
        <v>New product approval and suitability assessment</v>
      </c>
      <c r="G418" s="7" t="str">
        <f aca="false">INDEX('Control Library'!$F$5:$F$47,MATCH(E418,'Control Library'!$A$5:$A$47,0))</f>
        <v>Y</v>
      </c>
      <c r="H418" s="12" t="str">
        <f aca="false">INDEX('Control Library'!$E$5:$E$47,MATCH(E418,'Control Library'!$A$5:$A$47,0))</f>
        <v>Event-driven</v>
      </c>
      <c r="I418" s="7" t="str">
        <f aca="false">IF(INDEX('Control Library'!$I$5:$I$47,MATCH(E418,'Control Library'!$A$5:$A$47,0))="All","Y",IF(INDEX('Control Library'!$I$5:$I$47,MATCH(E418,'Control Library'!$A$5:$A$47,0))="Banks only",IF(COUNTIF('Residual Config'!$L$28:$L$30,INDEX(Entities!$E$5:$E$34,MATCH(B418,Entities!$A$5:$A$34,0)))&gt;0,"N/A","Y"),IF(INDEX(Entities!$G$5:$G$34,MATCH(B418,Entities!$A$5:$A$34,0))="Y","Y","N/A")))</f>
        <v>Y</v>
      </c>
      <c r="J418" s="8" t="s">
        <v>1695</v>
      </c>
      <c r="K418" s="8" t="s">
        <v>752</v>
      </c>
      <c r="L418" s="7" t="str">
        <f aca="false">IF(OR(J418="",K418=""),"",IF(J418=K418,"Breach","OK"))</f>
        <v>OK</v>
      </c>
      <c r="M418" s="24" t="n">
        <v>3</v>
      </c>
      <c r="N418" s="50" t="n">
        <v>46236</v>
      </c>
      <c r="O418" s="8" t="s">
        <v>545</v>
      </c>
      <c r="P418" s="24" t="n">
        <v>30</v>
      </c>
      <c r="Q418" s="31" t="n">
        <f aca="false">IF(I418="N/A","",IFERROR(INDEX('Residual Config'!$B$35:$B$42,MATCH(H418,'Residual Config'!$A$35:$A$42,0)),""))</f>
        <v>25</v>
      </c>
      <c r="R418" s="24" t="n">
        <v>0</v>
      </c>
      <c r="S418" s="8" t="s">
        <v>516</v>
      </c>
      <c r="T418" s="31" t="n">
        <f aca="false">IF(S418="","",MATCH(S418,'Residual Config'!$L$9:$L$12,0))</f>
        <v>1</v>
      </c>
      <c r="U418" s="8" t="s">
        <v>1758</v>
      </c>
      <c r="V418" s="24" t="n">
        <v>4</v>
      </c>
      <c r="W418" s="33" t="s">
        <v>536</v>
      </c>
      <c r="X418" s="8"/>
      <c r="Y418" s="51" t="n">
        <f aca="false">IF(N418="","",EDATE(N418,IF(G418="N",INDEX('Residual Config'!$B$31:$D$31,1,MATCH(D418,'Residual Config'!$B$27:$D$27,0)),INDEX('Residual Config'!$B$28:$D$30,IF(T418=1,1,IF(T418=4,3,2)),MATCH(D418,'Residual Config'!$B$27:$D$27,0)))))</f>
        <v>46420</v>
      </c>
      <c r="Z418" s="7" t="str">
        <f aca="false">IF(I418="N/A","N/A",IF(N418="","Not tested",IF(W418="Rejected","Evidence rejected",IF(W418&lt;&gt;"Accepted","Evidence pending",IF(Y418&lt;'Residual Config'!$C$4,"Overdue","Current")))))</f>
        <v>Evidence pending</v>
      </c>
      <c r="AA418" s="34" t="n">
        <f aca="false">IF(I418="N/A","",IF(Z418&lt;&gt;"Current",4,IF(MAX(M418,T418)=0,4,MAX(M418,T418))))</f>
        <v>4</v>
      </c>
      <c r="AB418" s="7" t="str">
        <f aca="false">IF(AA418="","N/A",IF(Z418&lt;&gt;"Current","Not tested / overdue",INDEX('Residual Config'!$B$11:$B$14,AA418)))</f>
        <v>Not tested / overdue</v>
      </c>
      <c r="AC418" s="36" t="n">
        <f aca="false">IF(AA418="","",INDEX('Residual Config'!$D$11:$D$14,AA418))</f>
        <v>0</v>
      </c>
      <c r="AD418" s="7" t="str">
        <f aca="false">IF(OR(I418="N/A",P418="",Q418=""),"",IF(P418&gt;=Q418,"Yes","No"))</f>
        <v>Yes</v>
      </c>
      <c r="AE418" s="8"/>
    </row>
    <row r="419" customFormat="false" ht="15" hidden="false" customHeight="false" outlineLevel="0" collapsed="false">
      <c r="A419" s="12" t="s">
        <v>1759</v>
      </c>
      <c r="B419" s="26" t="str">
        <f aca="false">Entities!$A$14</f>
        <v>AE</v>
      </c>
      <c r="C419" s="12" t="str">
        <f aca="false">INDEX(Entities!$B$5:$B$34,MATCH(B419,Entities!$A$5:$A$34,0))</f>
        <v>Arab Bank – UAE</v>
      </c>
      <c r="D419" s="7" t="str">
        <f aca="false">INDEX(Entities!$F$5:$F$34,MATCH(B419,Entities!$A$5:$A$34,0))</f>
        <v>Tier 1</v>
      </c>
      <c r="E419" s="26" t="str">
        <f aca="false">'Control Library'!$A$32</f>
        <v>CTL-CON-02</v>
      </c>
      <c r="F419" s="12" t="str">
        <f aca="false">INDEX('Control Library'!$B$5:$B$47,MATCH(E419,'Control Library'!$A$5:$A$47,0))</f>
        <v>Complaints handling and root-cause analysis</v>
      </c>
      <c r="G419" s="7" t="str">
        <f aca="false">INDEX('Control Library'!$F$5:$F$47,MATCH(E419,'Control Library'!$A$5:$A$47,0))</f>
        <v>N</v>
      </c>
      <c r="H419" s="12" t="str">
        <f aca="false">INDEX('Control Library'!$E$5:$E$47,MATCH(E419,'Control Library'!$A$5:$A$47,0))</f>
        <v>Monthly</v>
      </c>
      <c r="I419" s="7" t="str">
        <f aca="false">IF(INDEX('Control Library'!$I$5:$I$47,MATCH(E419,'Control Library'!$A$5:$A$47,0))="All","Y",IF(INDEX('Control Library'!$I$5:$I$47,MATCH(E419,'Control Library'!$A$5:$A$47,0))="Banks only",IF(COUNTIF('Residual Config'!$L$28:$L$30,INDEX(Entities!$E$5:$E$34,MATCH(B419,Entities!$A$5:$A$34,0)))&gt;0,"N/A","Y"),IF(INDEX(Entities!$G$5:$G$34,MATCH(B419,Entities!$A$5:$A$34,0))="Y","Y","N/A")))</f>
        <v>Y</v>
      </c>
      <c r="J419" s="8" t="s">
        <v>1760</v>
      </c>
      <c r="K419" s="8" t="s">
        <v>1702</v>
      </c>
      <c r="L419" s="7" t="str">
        <f aca="false">IF(OR(J419="",K419=""),"",IF(J419=K419,"Breach","OK"))</f>
        <v>OK</v>
      </c>
      <c r="M419" s="24" t="n">
        <v>1</v>
      </c>
      <c r="N419" s="50" t="n">
        <v>46108</v>
      </c>
      <c r="O419" s="8" t="s">
        <v>545</v>
      </c>
      <c r="P419" s="24" t="n">
        <v>3</v>
      </c>
      <c r="Q419" s="31" t="n">
        <f aca="false">IF(I419="N/A","",IFERROR(INDEX('Residual Config'!$B$35:$B$42,MATCH(H419,'Residual Config'!$A$35:$A$42,0)),""))</f>
        <v>3</v>
      </c>
      <c r="R419" s="24" t="n">
        <v>0</v>
      </c>
      <c r="S419" s="8" t="s">
        <v>516</v>
      </c>
      <c r="T419" s="31" t="n">
        <f aca="false">IF(S419="","",MATCH(S419,'Residual Config'!$L$9:$L$12,0))</f>
        <v>1</v>
      </c>
      <c r="U419" s="8" t="s">
        <v>1761</v>
      </c>
      <c r="V419" s="24" t="n">
        <v>4</v>
      </c>
      <c r="W419" s="33" t="s">
        <v>533</v>
      </c>
      <c r="X419" s="8" t="s">
        <v>760</v>
      </c>
      <c r="Y419" s="51" t="n">
        <f aca="false">IF(N419="","",EDATE(N419,IF(G419="N",INDEX('Residual Config'!$B$31:$D$31,1,MATCH(D419,'Residual Config'!$B$27:$D$27,0)),INDEX('Residual Config'!$B$28:$D$30,IF(T419=1,1,IF(T419=4,3,2)),MATCH(D419,'Residual Config'!$B$27:$D$27,0)))))</f>
        <v>46473</v>
      </c>
      <c r="Z419" s="7" t="str">
        <f aca="false">IF(I419="N/A","N/A",IF(N419="","Not tested",IF(W419="Rejected","Evidence rejected",IF(W419&lt;&gt;"Accepted","Evidence pending",IF(Y419&lt;'Residual Config'!$C$4,"Overdue","Current")))))</f>
        <v>Current</v>
      </c>
      <c r="AA419" s="34" t="n">
        <f aca="false">IF(I419="N/A","",IF(Z419&lt;&gt;"Current",4,IF(MAX(M419,T419)=0,4,MAX(M419,T419))))</f>
        <v>1</v>
      </c>
      <c r="AB419" s="7" t="str">
        <f aca="false">IF(AA419="","N/A",IF(Z419&lt;&gt;"Current","Not tested / overdue",INDEX('Residual Config'!$B$11:$B$14,AA419)))</f>
        <v>Effective</v>
      </c>
      <c r="AC419" s="36" t="n">
        <f aca="false">IF(AA419="","",INDEX('Residual Config'!$D$11:$D$14,AA419))</f>
        <v>0.6</v>
      </c>
      <c r="AD419" s="7" t="str">
        <f aca="false">IF(OR(I419="N/A",P419="",Q419=""),"",IF(P419&gt;=Q419,"Yes","No"))</f>
        <v>Yes</v>
      </c>
      <c r="AE419" s="8"/>
    </row>
    <row r="420" customFormat="false" ht="15" hidden="false" customHeight="false" outlineLevel="0" collapsed="false">
      <c r="A420" s="12" t="s">
        <v>1762</v>
      </c>
      <c r="B420" s="26" t="str">
        <f aca="false">Entities!$A$14</f>
        <v>AE</v>
      </c>
      <c r="C420" s="12" t="str">
        <f aca="false">INDEX(Entities!$B$5:$B$34,MATCH(B420,Entities!$A$5:$A$34,0))</f>
        <v>Arab Bank – UAE</v>
      </c>
      <c r="D420" s="7" t="str">
        <f aca="false">INDEX(Entities!$F$5:$F$34,MATCH(B420,Entities!$A$5:$A$34,0))</f>
        <v>Tier 1</v>
      </c>
      <c r="E420" s="26" t="str">
        <f aca="false">'Control Library'!$A$33</f>
        <v>CTL-DP-01</v>
      </c>
      <c r="F420" s="12" t="str">
        <f aca="false">INDEX('Control Library'!$B$5:$B$47,MATCH(E420,'Control Library'!$A$5:$A$47,0))</f>
        <v>Data protection impact assessments and processing records</v>
      </c>
      <c r="G420" s="7" t="str">
        <f aca="false">INDEX('Control Library'!$F$5:$F$47,MATCH(E420,'Control Library'!$A$5:$A$47,0))</f>
        <v>Y</v>
      </c>
      <c r="H420" s="12" t="str">
        <f aca="false">INDEX('Control Library'!$E$5:$E$47,MATCH(E420,'Control Library'!$A$5:$A$47,0))</f>
        <v>Event-driven</v>
      </c>
      <c r="I420" s="7" t="str">
        <f aca="false">IF(INDEX('Control Library'!$I$5:$I$47,MATCH(E420,'Control Library'!$A$5:$A$47,0))="All","Y",IF(INDEX('Control Library'!$I$5:$I$47,MATCH(E420,'Control Library'!$A$5:$A$47,0))="Banks only",IF(COUNTIF('Residual Config'!$L$28:$L$30,INDEX(Entities!$E$5:$E$34,MATCH(B420,Entities!$A$5:$A$34,0)))&gt;0,"N/A","Y"),IF(INDEX(Entities!$G$5:$G$34,MATCH(B420,Entities!$A$5:$A$34,0))="Y","Y","N/A")))</f>
        <v>Y</v>
      </c>
      <c r="J420" s="8" t="s">
        <v>1763</v>
      </c>
      <c r="K420" s="8" t="s">
        <v>752</v>
      </c>
      <c r="L420" s="7" t="str">
        <f aca="false">IF(OR(J420="",K420=""),"",IF(J420=K420,"Breach","OK"))</f>
        <v>OK</v>
      </c>
      <c r="M420" s="24" t="n">
        <v>3</v>
      </c>
      <c r="N420" s="50" t="n">
        <v>46227</v>
      </c>
      <c r="O420" s="8" t="s">
        <v>546</v>
      </c>
      <c r="P420" s="24" t="n">
        <v>35</v>
      </c>
      <c r="Q420" s="31" t="n">
        <f aca="false">IF(I420="N/A","",IFERROR(INDEX('Residual Config'!$B$35:$B$42,MATCH(H420,'Residual Config'!$A$35:$A$42,0)),""))</f>
        <v>25</v>
      </c>
      <c r="R420" s="24" t="n">
        <v>1</v>
      </c>
      <c r="S420" s="8" t="s">
        <v>521</v>
      </c>
      <c r="T420" s="31" t="n">
        <f aca="false">IF(S420="","",MATCH(S420,'Residual Config'!$L$9:$L$12,0))</f>
        <v>2</v>
      </c>
      <c r="U420" s="8" t="s">
        <v>1764</v>
      </c>
      <c r="V420" s="24" t="n">
        <v>2</v>
      </c>
      <c r="W420" s="33" t="s">
        <v>533</v>
      </c>
      <c r="X420" s="8" t="s">
        <v>760</v>
      </c>
      <c r="Y420" s="51" t="n">
        <f aca="false">IF(N420="","",EDATE(N420,IF(G420="N",INDEX('Residual Config'!$B$31:$D$31,1,MATCH(D420,'Residual Config'!$B$27:$D$27,0)),INDEX('Residual Config'!$B$28:$D$30,IF(T420=1,1,IF(T420=4,3,2)),MATCH(D420,'Residual Config'!$B$27:$D$27,0)))))</f>
        <v>46319</v>
      </c>
      <c r="Z420" s="7" t="str">
        <f aca="false">IF(I420="N/A","N/A",IF(N420="","Not tested",IF(W420="Rejected","Evidence rejected",IF(W420&lt;&gt;"Accepted","Evidence pending",IF(Y420&lt;'Residual Config'!$C$4,"Overdue","Current")))))</f>
        <v>Current</v>
      </c>
      <c r="AA420" s="34" t="n">
        <f aca="false">IF(I420="N/A","",IF(Z420&lt;&gt;"Current",4,IF(MAX(M420,T420)=0,4,MAX(M420,T420))))</f>
        <v>3</v>
      </c>
      <c r="AB420" s="7" t="str">
        <f aca="false">IF(AA420="","N/A",IF(Z420&lt;&gt;"Current","Not tested / overdue",INDEX('Residual Config'!$B$11:$B$14,AA420)))</f>
        <v>Partially effective</v>
      </c>
      <c r="AC420" s="36" t="n">
        <f aca="false">IF(AA420="","",INDEX('Residual Config'!$D$11:$D$14,AA420))</f>
        <v>0.2</v>
      </c>
      <c r="AD420" s="7" t="str">
        <f aca="false">IF(OR(I420="N/A",P420="",Q420=""),"",IF(P420&gt;=Q420,"Yes","No"))</f>
        <v>Yes</v>
      </c>
      <c r="AE420" s="8"/>
    </row>
    <row r="421" customFormat="false" ht="15" hidden="false" customHeight="false" outlineLevel="0" collapsed="false">
      <c r="A421" s="12" t="s">
        <v>1765</v>
      </c>
      <c r="B421" s="26" t="str">
        <f aca="false">Entities!$A$14</f>
        <v>AE</v>
      </c>
      <c r="C421" s="12" t="str">
        <f aca="false">INDEX(Entities!$B$5:$B$34,MATCH(B421,Entities!$A$5:$A$34,0))</f>
        <v>Arab Bank – UAE</v>
      </c>
      <c r="D421" s="7" t="str">
        <f aca="false">INDEX(Entities!$F$5:$F$34,MATCH(B421,Entities!$A$5:$A$34,0))</f>
        <v>Tier 1</v>
      </c>
      <c r="E421" s="26" t="str">
        <f aca="false">'Control Library'!$A$34</f>
        <v>CTL-DP-02</v>
      </c>
      <c r="F421" s="12" t="str">
        <f aca="false">INDEX('Control Library'!$B$5:$B$47,MATCH(E421,'Control Library'!$A$5:$A$47,0))</f>
        <v>Data loss prevention and quarterly access recertification</v>
      </c>
      <c r="G421" s="7" t="str">
        <f aca="false">INDEX('Control Library'!$F$5:$F$47,MATCH(E421,'Control Library'!$A$5:$A$47,0))</f>
        <v>Y</v>
      </c>
      <c r="H421" s="12" t="str">
        <f aca="false">INDEX('Control Library'!$E$5:$E$47,MATCH(E421,'Control Library'!$A$5:$A$47,0))</f>
        <v>Quarterly</v>
      </c>
      <c r="I421" s="7" t="str">
        <f aca="false">IF(INDEX('Control Library'!$I$5:$I$47,MATCH(E421,'Control Library'!$A$5:$A$47,0))="All","Y",IF(INDEX('Control Library'!$I$5:$I$47,MATCH(E421,'Control Library'!$A$5:$A$47,0))="Banks only",IF(COUNTIF('Residual Config'!$L$28:$L$30,INDEX(Entities!$E$5:$E$34,MATCH(B421,Entities!$A$5:$A$34,0)))&gt;0,"N/A","Y"),IF(INDEX(Entities!$G$5:$G$34,MATCH(B421,Entities!$A$5:$A$34,0))="Y","Y","N/A")))</f>
        <v>Y</v>
      </c>
      <c r="J421" s="8" t="s">
        <v>1766</v>
      </c>
      <c r="K421" s="8" t="s">
        <v>752</v>
      </c>
      <c r="L421" s="7" t="str">
        <f aca="false">IF(OR(J421="",K421=""),"",IF(J421=K421,"Breach","OK"))</f>
        <v>OK</v>
      </c>
      <c r="M421" s="24" t="n">
        <v>1</v>
      </c>
      <c r="N421" s="50" t="n">
        <v>46257</v>
      </c>
      <c r="O421" s="8" t="s">
        <v>546</v>
      </c>
      <c r="P421" s="24" t="n">
        <v>2</v>
      </c>
      <c r="Q421" s="31" t="n">
        <f aca="false">IF(I421="N/A","",IFERROR(INDEX('Residual Config'!$B$35:$B$42,MATCH(H421,'Residual Config'!$A$35:$A$42,0)),""))</f>
        <v>2</v>
      </c>
      <c r="R421" s="24" t="n">
        <v>0</v>
      </c>
      <c r="S421" s="8" t="s">
        <v>516</v>
      </c>
      <c r="T421" s="31" t="n">
        <f aca="false">IF(S421="","",MATCH(S421,'Residual Config'!$L$9:$L$12,0))</f>
        <v>1</v>
      </c>
      <c r="U421" s="8" t="s">
        <v>1767</v>
      </c>
      <c r="V421" s="24" t="n">
        <v>4</v>
      </c>
      <c r="W421" s="33" t="s">
        <v>535</v>
      </c>
      <c r="X421" s="8" t="s">
        <v>754</v>
      </c>
      <c r="Y421" s="51" t="n">
        <f aca="false">IF(N421="","",EDATE(N421,IF(G421="N",INDEX('Residual Config'!$B$31:$D$31,1,MATCH(D421,'Residual Config'!$B$27:$D$27,0)),INDEX('Residual Config'!$B$28:$D$30,IF(T421=1,1,IF(T421=4,3,2)),MATCH(D421,'Residual Config'!$B$27:$D$27,0)))))</f>
        <v>46441</v>
      </c>
      <c r="Z421" s="7" t="str">
        <f aca="false">IF(I421="N/A","N/A",IF(N421="","Not tested",IF(W421="Rejected","Evidence rejected",IF(W421&lt;&gt;"Accepted","Evidence pending",IF(Y421&lt;'Residual Config'!$C$4,"Overdue","Current")))))</f>
        <v>Evidence rejected</v>
      </c>
      <c r="AA421" s="34" t="n">
        <f aca="false">IF(I421="N/A","",IF(Z421&lt;&gt;"Current",4,IF(MAX(M421,T421)=0,4,MAX(M421,T421))))</f>
        <v>4</v>
      </c>
      <c r="AB421" s="7" t="str">
        <f aca="false">IF(AA421="","N/A",IF(Z421&lt;&gt;"Current","Not tested / overdue",INDEX('Residual Config'!$B$11:$B$14,AA421)))</f>
        <v>Not tested / overdue</v>
      </c>
      <c r="AC421" s="36" t="n">
        <f aca="false">IF(AA421="","",INDEX('Residual Config'!$D$11:$D$14,AA421))</f>
        <v>0</v>
      </c>
      <c r="AD421" s="7" t="str">
        <f aca="false">IF(OR(I421="N/A",P421="",Q421=""),"",IF(P421&gt;=Q421,"Yes","No"))</f>
        <v>Yes</v>
      </c>
      <c r="AE421" s="8"/>
    </row>
    <row r="422" customFormat="false" ht="15" hidden="false" customHeight="false" outlineLevel="0" collapsed="false">
      <c r="A422" s="12" t="s">
        <v>1768</v>
      </c>
      <c r="B422" s="26" t="str">
        <f aca="false">Entities!$A$14</f>
        <v>AE</v>
      </c>
      <c r="C422" s="12" t="str">
        <f aca="false">INDEX(Entities!$B$5:$B$34,MATCH(B422,Entities!$A$5:$A$34,0))</f>
        <v>Arab Bank – UAE</v>
      </c>
      <c r="D422" s="7" t="str">
        <f aca="false">INDEX(Entities!$F$5:$F$34,MATCH(B422,Entities!$A$5:$A$34,0))</f>
        <v>Tier 1</v>
      </c>
      <c r="E422" s="26" t="str">
        <f aca="false">'Control Library'!$A$35</f>
        <v>CTL-SH-01</v>
      </c>
      <c r="F422" s="12" t="str">
        <f aca="false">INDEX('Control Library'!$B$5:$B$47,MATCH(E422,'Control Library'!$A$5:$A$47,0))</f>
        <v>Shariah review of products and income purification</v>
      </c>
      <c r="G422" s="7" t="str">
        <f aca="false">INDEX('Control Library'!$F$5:$F$47,MATCH(E422,'Control Library'!$A$5:$A$47,0))</f>
        <v>Y</v>
      </c>
      <c r="H422" s="12" t="str">
        <f aca="false">INDEX('Control Library'!$E$5:$E$47,MATCH(E422,'Control Library'!$A$5:$A$47,0))</f>
        <v>Quarterly</v>
      </c>
      <c r="I422" s="7" t="str">
        <f aca="false">IF(INDEX('Control Library'!$I$5:$I$47,MATCH(E422,'Control Library'!$A$5:$A$47,0))="All","Y",IF(INDEX('Control Library'!$I$5:$I$47,MATCH(E422,'Control Library'!$A$5:$A$47,0))="Banks only",IF(COUNTIF('Residual Config'!$L$28:$L$30,INDEX(Entities!$E$5:$E$34,MATCH(B422,Entities!$A$5:$A$34,0)))&gt;0,"N/A","Y"),IF(INDEX(Entities!$G$5:$G$34,MATCH(B422,Entities!$A$5:$A$34,0))="Y","Y","N/A")))</f>
        <v>N/A</v>
      </c>
      <c r="J422" s="8"/>
      <c r="K422" s="8"/>
      <c r="L422" s="7" t="str">
        <f aca="false">IF(OR(J422="",K422=""),"",IF(J422=K422,"Breach","OK"))</f>
        <v/>
      </c>
      <c r="M422" s="24"/>
      <c r="N422" s="50"/>
      <c r="O422" s="8"/>
      <c r="P422" s="24"/>
      <c r="Q422" s="31" t="str">
        <f aca="false">IF(I422="N/A","",IFERROR(INDEX('Residual Config'!$B$35:$B$42,MATCH(H422,'Residual Config'!$A$35:$A$42,0)),""))</f>
        <v/>
      </c>
      <c r="R422" s="24"/>
      <c r="S422" s="8"/>
      <c r="T422" s="31" t="str">
        <f aca="false">IF(S422="","",MATCH(S422,'Residual Config'!$L$9:$L$12,0))</f>
        <v/>
      </c>
      <c r="U422" s="8"/>
      <c r="V422" s="24"/>
      <c r="W422" s="33"/>
      <c r="X422" s="8"/>
      <c r="Y422" s="51" t="str">
        <f aca="false">IF(N422="","",EDATE(N422,IF(G422="N",INDEX('Residual Config'!$B$31:$D$31,1,MATCH(D422,'Residual Config'!$B$27:$D$27,0)),INDEX('Residual Config'!$B$28:$D$30,IF(T422=1,1,IF(T422=4,3,2)),MATCH(D422,'Residual Config'!$B$27:$D$27,0)))))</f>
        <v/>
      </c>
      <c r="Z422" s="7" t="str">
        <f aca="false">IF(I422="N/A","N/A",IF(N422="","Not tested",IF(W422="Rejected","Evidence rejected",IF(W422&lt;&gt;"Accepted","Evidence pending",IF(Y422&lt;'Residual Config'!$C$4,"Overdue","Current")))))</f>
        <v>N/A</v>
      </c>
      <c r="AA422" s="34" t="str">
        <f aca="false">IF(I422="N/A","",IF(Z422&lt;&gt;"Current",4,IF(MAX(M422,T422)=0,4,MAX(M422,T422))))</f>
        <v/>
      </c>
      <c r="AB422" s="7" t="str">
        <f aca="false">IF(AA422="","N/A",IF(Z422&lt;&gt;"Current","Not tested / overdue",INDEX('Residual Config'!$B$11:$B$14,AA422)))</f>
        <v>N/A</v>
      </c>
      <c r="AC422" s="36" t="str">
        <f aca="false">IF(AA422="","",INDEX('Residual Config'!$D$11:$D$14,AA422))</f>
        <v/>
      </c>
      <c r="AD422" s="7" t="str">
        <f aca="false">IF(OR(I422="N/A",P422="",Q422=""),"",IF(P422&gt;=Q422,"Yes","No"))</f>
        <v/>
      </c>
      <c r="AE422" s="8"/>
    </row>
    <row r="423" customFormat="false" ht="15" hidden="false" customHeight="false" outlineLevel="0" collapsed="false">
      <c r="A423" s="12" t="s">
        <v>1769</v>
      </c>
      <c r="B423" s="26" t="str">
        <f aca="false">Entities!$A$14</f>
        <v>AE</v>
      </c>
      <c r="C423" s="12" t="str">
        <f aca="false">INDEX(Entities!$B$5:$B$34,MATCH(B423,Entities!$A$5:$A$34,0))</f>
        <v>Arab Bank – UAE</v>
      </c>
      <c r="D423" s="7" t="str">
        <f aca="false">INDEX(Entities!$F$5:$F$34,MATCH(B423,Entities!$A$5:$A$34,0))</f>
        <v>Tier 1</v>
      </c>
      <c r="E423" s="26" t="str">
        <f aca="false">'Control Library'!$A$36</f>
        <v>CTL-CR-01</v>
      </c>
      <c r="F423" s="12" t="str">
        <f aca="false">INDEX('Control Library'!$B$5:$B$47,MATCH(E423,'Control Library'!$A$5:$A$47,0))</f>
        <v>Credit approval authorities and committee review</v>
      </c>
      <c r="G423" s="7" t="str">
        <f aca="false">INDEX('Control Library'!$F$5:$F$47,MATCH(E423,'Control Library'!$A$5:$A$47,0))</f>
        <v>Y</v>
      </c>
      <c r="H423" s="12" t="str">
        <f aca="false">INDEX('Control Library'!$E$5:$E$47,MATCH(E423,'Control Library'!$A$5:$A$47,0))</f>
        <v>Event-driven</v>
      </c>
      <c r="I423" s="7" t="str">
        <f aca="false">IF(INDEX('Control Library'!$I$5:$I$47,MATCH(E423,'Control Library'!$A$5:$A$47,0))="All","Y",IF(INDEX('Control Library'!$I$5:$I$47,MATCH(E423,'Control Library'!$A$5:$A$47,0))="Banks only",IF(COUNTIF('Residual Config'!$L$28:$L$30,INDEX(Entities!$E$5:$E$34,MATCH(B423,Entities!$A$5:$A$34,0)))&gt;0,"N/A","Y"),IF(INDEX(Entities!$G$5:$G$34,MATCH(B423,Entities!$A$5:$A$34,0))="Y","Y","N/A")))</f>
        <v>Y</v>
      </c>
      <c r="J423" s="8" t="s">
        <v>1770</v>
      </c>
      <c r="K423" s="8" t="s">
        <v>752</v>
      </c>
      <c r="L423" s="7" t="str">
        <f aca="false">IF(OR(J423="",K423=""),"",IF(J423=K423,"Breach","OK"))</f>
        <v>OK</v>
      </c>
      <c r="M423" s="24" t="n">
        <v>2</v>
      </c>
      <c r="N423" s="50" t="n">
        <v>46197</v>
      </c>
      <c r="O423" s="8" t="s">
        <v>545</v>
      </c>
      <c r="P423" s="24" t="n">
        <v>30</v>
      </c>
      <c r="Q423" s="31" t="n">
        <f aca="false">IF(I423="N/A","",IFERROR(INDEX('Residual Config'!$B$35:$B$42,MATCH(H423,'Residual Config'!$A$35:$A$42,0)),""))</f>
        <v>25</v>
      </c>
      <c r="R423" s="24" t="n">
        <v>0</v>
      </c>
      <c r="S423" s="8" t="s">
        <v>516</v>
      </c>
      <c r="T423" s="31" t="n">
        <f aca="false">IF(S423="","",MATCH(S423,'Residual Config'!$L$9:$L$12,0))</f>
        <v>1</v>
      </c>
      <c r="U423" s="8" t="s">
        <v>1771</v>
      </c>
      <c r="V423" s="24" t="n">
        <v>6</v>
      </c>
      <c r="W423" s="33" t="s">
        <v>533</v>
      </c>
      <c r="X423" s="8" t="s">
        <v>754</v>
      </c>
      <c r="Y423" s="51" t="n">
        <f aca="false">IF(N423="","",EDATE(N423,IF(G423="N",INDEX('Residual Config'!$B$31:$D$31,1,MATCH(D423,'Residual Config'!$B$27:$D$27,0)),INDEX('Residual Config'!$B$28:$D$30,IF(T423=1,1,IF(T423=4,3,2)),MATCH(D423,'Residual Config'!$B$27:$D$27,0)))))</f>
        <v>46380</v>
      </c>
      <c r="Z423" s="7" t="str">
        <f aca="false">IF(I423="N/A","N/A",IF(N423="","Not tested",IF(W423="Rejected","Evidence rejected",IF(W423&lt;&gt;"Accepted","Evidence pending",IF(Y423&lt;'Residual Config'!$C$4,"Overdue","Current")))))</f>
        <v>Current</v>
      </c>
      <c r="AA423" s="34" t="n">
        <f aca="false">IF(I423="N/A","",IF(Z423&lt;&gt;"Current",4,IF(MAX(M423,T423)=0,4,MAX(M423,T423))))</f>
        <v>2</v>
      </c>
      <c r="AB423" s="7" t="str">
        <f aca="false">IF(AA423="","N/A",IF(Z423&lt;&gt;"Current","Not tested / overdue",INDEX('Residual Config'!$B$11:$B$14,AA423)))</f>
        <v>Largely effective</v>
      </c>
      <c r="AC423" s="36" t="n">
        <f aca="false">IF(AA423="","",INDEX('Residual Config'!$D$11:$D$14,AA423))</f>
        <v>0.4</v>
      </c>
      <c r="AD423" s="7" t="str">
        <f aca="false">IF(OR(I423="N/A",P423="",Q423=""),"",IF(P423&gt;=Q423,"Yes","No"))</f>
        <v>Yes</v>
      </c>
      <c r="AE423" s="8"/>
    </row>
    <row r="424" customFormat="false" ht="15" hidden="false" customHeight="false" outlineLevel="0" collapsed="false">
      <c r="A424" s="12" t="s">
        <v>1772</v>
      </c>
      <c r="B424" s="26" t="str">
        <f aca="false">Entities!$A$14</f>
        <v>AE</v>
      </c>
      <c r="C424" s="12" t="str">
        <f aca="false">INDEX(Entities!$B$5:$B$34,MATCH(B424,Entities!$A$5:$A$34,0))</f>
        <v>Arab Bank – UAE</v>
      </c>
      <c r="D424" s="7" t="str">
        <f aca="false">INDEX(Entities!$F$5:$F$34,MATCH(B424,Entities!$A$5:$A$34,0))</f>
        <v>Tier 1</v>
      </c>
      <c r="E424" s="26" t="str">
        <f aca="false">'Control Library'!$A$37</f>
        <v>CTL-CR-02</v>
      </c>
      <c r="F424" s="12" t="str">
        <f aca="false">INDEX('Control Library'!$B$5:$B$47,MATCH(E424,'Control Library'!$A$5:$A$47,0))</f>
        <v>Collateral valuation and exposure limit monitoring</v>
      </c>
      <c r="G424" s="7" t="str">
        <f aca="false">INDEX('Control Library'!$F$5:$F$47,MATCH(E424,'Control Library'!$A$5:$A$47,0))</f>
        <v>N</v>
      </c>
      <c r="H424" s="12" t="str">
        <f aca="false">INDEX('Control Library'!$E$5:$E$47,MATCH(E424,'Control Library'!$A$5:$A$47,0))</f>
        <v>Monthly</v>
      </c>
      <c r="I424" s="7" t="str">
        <f aca="false">IF(INDEX('Control Library'!$I$5:$I$47,MATCH(E424,'Control Library'!$A$5:$A$47,0))="All","Y",IF(INDEX('Control Library'!$I$5:$I$47,MATCH(E424,'Control Library'!$A$5:$A$47,0))="Banks only",IF(COUNTIF('Residual Config'!$L$28:$L$30,INDEX(Entities!$E$5:$E$34,MATCH(B424,Entities!$A$5:$A$34,0)))&gt;0,"N/A","Y"),IF(INDEX(Entities!$G$5:$G$34,MATCH(B424,Entities!$A$5:$A$34,0))="Y","Y","N/A")))</f>
        <v>Y</v>
      </c>
      <c r="J424" s="8" t="s">
        <v>1773</v>
      </c>
      <c r="K424" s="8" t="s">
        <v>1702</v>
      </c>
      <c r="L424" s="7" t="str">
        <f aca="false">IF(OR(J424="",K424=""),"",IF(J424=K424,"Breach","OK"))</f>
        <v>OK</v>
      </c>
      <c r="M424" s="24" t="n">
        <v>1</v>
      </c>
      <c r="N424" s="50" t="n">
        <v>46203</v>
      </c>
      <c r="O424" s="8" t="s">
        <v>545</v>
      </c>
      <c r="P424" s="24" t="n">
        <v>3</v>
      </c>
      <c r="Q424" s="31" t="n">
        <f aca="false">IF(I424="N/A","",IFERROR(INDEX('Residual Config'!$B$35:$B$42,MATCH(H424,'Residual Config'!$A$35:$A$42,0)),""))</f>
        <v>3</v>
      </c>
      <c r="R424" s="24" t="n">
        <v>0</v>
      </c>
      <c r="S424" s="8" t="s">
        <v>516</v>
      </c>
      <c r="T424" s="31" t="n">
        <f aca="false">IF(S424="","",MATCH(S424,'Residual Config'!$L$9:$L$12,0))</f>
        <v>1</v>
      </c>
      <c r="U424" s="8" t="s">
        <v>1774</v>
      </c>
      <c r="V424" s="24" t="n">
        <v>3</v>
      </c>
      <c r="W424" s="33" t="s">
        <v>533</v>
      </c>
      <c r="X424" s="8" t="s">
        <v>760</v>
      </c>
      <c r="Y424" s="51" t="n">
        <f aca="false">IF(N424="","",EDATE(N424,IF(G424="N",INDEX('Residual Config'!$B$31:$D$31,1,MATCH(D424,'Residual Config'!$B$27:$D$27,0)),INDEX('Residual Config'!$B$28:$D$30,IF(T424=1,1,IF(T424=4,3,2)),MATCH(D424,'Residual Config'!$B$27:$D$27,0)))))</f>
        <v>46568</v>
      </c>
      <c r="Z424" s="7" t="str">
        <f aca="false">IF(I424="N/A","N/A",IF(N424="","Not tested",IF(W424="Rejected","Evidence rejected",IF(W424&lt;&gt;"Accepted","Evidence pending",IF(Y424&lt;'Residual Config'!$C$4,"Overdue","Current")))))</f>
        <v>Current</v>
      </c>
      <c r="AA424" s="34" t="n">
        <f aca="false">IF(I424="N/A","",IF(Z424&lt;&gt;"Current",4,IF(MAX(M424,T424)=0,4,MAX(M424,T424))))</f>
        <v>1</v>
      </c>
      <c r="AB424" s="7" t="str">
        <f aca="false">IF(AA424="","N/A",IF(Z424&lt;&gt;"Current","Not tested / overdue",INDEX('Residual Config'!$B$11:$B$14,AA424)))</f>
        <v>Effective</v>
      </c>
      <c r="AC424" s="36" t="n">
        <f aca="false">IF(AA424="","",INDEX('Residual Config'!$D$11:$D$14,AA424))</f>
        <v>0.6</v>
      </c>
      <c r="AD424" s="7" t="str">
        <f aca="false">IF(OR(I424="N/A",P424="",Q424=""),"",IF(P424&gt;=Q424,"Yes","No"))</f>
        <v>Yes</v>
      </c>
      <c r="AE424" s="8"/>
    </row>
    <row r="425" customFormat="false" ht="15" hidden="false" customHeight="false" outlineLevel="0" collapsed="false">
      <c r="A425" s="12" t="s">
        <v>1775</v>
      </c>
      <c r="B425" s="26" t="str">
        <f aca="false">Entities!$A$14</f>
        <v>AE</v>
      </c>
      <c r="C425" s="12" t="str">
        <f aca="false">INDEX(Entities!$B$5:$B$34,MATCH(B425,Entities!$A$5:$A$34,0))</f>
        <v>Arab Bank – UAE</v>
      </c>
      <c r="D425" s="7" t="str">
        <f aca="false">INDEX(Entities!$F$5:$F$34,MATCH(B425,Entities!$A$5:$A$34,0))</f>
        <v>Tier 1</v>
      </c>
      <c r="E425" s="26" t="str">
        <f aca="false">'Control Library'!$A$38</f>
        <v>CTL-MR-01</v>
      </c>
      <c r="F425" s="12" t="str">
        <f aca="false">INDEX('Control Library'!$B$5:$B$47,MATCH(E425,'Control Library'!$A$5:$A$47,0))</f>
        <v>Market risk limits and daily VaR monitoring</v>
      </c>
      <c r="G425" s="7" t="str">
        <f aca="false">INDEX('Control Library'!$F$5:$F$47,MATCH(E425,'Control Library'!$A$5:$A$47,0))</f>
        <v>Y</v>
      </c>
      <c r="H425" s="12" t="str">
        <f aca="false">INDEX('Control Library'!$E$5:$E$47,MATCH(E425,'Control Library'!$A$5:$A$47,0))</f>
        <v>Daily</v>
      </c>
      <c r="I425" s="7" t="str">
        <f aca="false">IF(INDEX('Control Library'!$I$5:$I$47,MATCH(E425,'Control Library'!$A$5:$A$47,0))="All","Y",IF(INDEX('Control Library'!$I$5:$I$47,MATCH(E425,'Control Library'!$A$5:$A$47,0))="Banks only",IF(COUNTIF('Residual Config'!$L$28:$L$30,INDEX(Entities!$E$5:$E$34,MATCH(B425,Entities!$A$5:$A$34,0)))&gt;0,"N/A","Y"),IF(INDEX(Entities!$G$5:$G$34,MATCH(B425,Entities!$A$5:$A$34,0))="Y","Y","N/A")))</f>
        <v>Y</v>
      </c>
      <c r="J425" s="8" t="s">
        <v>1773</v>
      </c>
      <c r="K425" s="8" t="s">
        <v>752</v>
      </c>
      <c r="L425" s="7" t="str">
        <f aca="false">IF(OR(J425="",K425=""),"",IF(J425=K425,"Breach","OK"))</f>
        <v>OK</v>
      </c>
      <c r="M425" s="24" t="n">
        <v>1</v>
      </c>
      <c r="N425" s="50" t="n">
        <v>46244</v>
      </c>
      <c r="O425" s="8" t="s">
        <v>547</v>
      </c>
      <c r="P425" s="24" t="n">
        <v>35</v>
      </c>
      <c r="Q425" s="31" t="n">
        <f aca="false">IF(I425="N/A","",IFERROR(INDEX('Residual Config'!$B$35:$B$42,MATCH(H425,'Residual Config'!$A$35:$A$42,0)),""))</f>
        <v>25</v>
      </c>
      <c r="R425" s="24" t="n">
        <v>1</v>
      </c>
      <c r="S425" s="8" t="s">
        <v>521</v>
      </c>
      <c r="T425" s="31" t="n">
        <f aca="false">IF(S425="","",MATCH(S425,'Residual Config'!$L$9:$L$12,0))</f>
        <v>2</v>
      </c>
      <c r="U425" s="8" t="s">
        <v>1776</v>
      </c>
      <c r="V425" s="24" t="n">
        <v>1</v>
      </c>
      <c r="W425" s="33" t="s">
        <v>533</v>
      </c>
      <c r="X425" s="8" t="s">
        <v>760</v>
      </c>
      <c r="Y425" s="51" t="n">
        <f aca="false">IF(N425="","",EDATE(N425,IF(G425="N",INDEX('Residual Config'!$B$31:$D$31,1,MATCH(D425,'Residual Config'!$B$27:$D$27,0)),INDEX('Residual Config'!$B$28:$D$30,IF(T425=1,1,IF(T425=4,3,2)),MATCH(D425,'Residual Config'!$B$27:$D$27,0)))))</f>
        <v>46336</v>
      </c>
      <c r="Z425" s="7" t="str">
        <f aca="false">IF(I425="N/A","N/A",IF(N425="","Not tested",IF(W425="Rejected","Evidence rejected",IF(W425&lt;&gt;"Accepted","Evidence pending",IF(Y425&lt;'Residual Config'!$C$4,"Overdue","Current")))))</f>
        <v>Current</v>
      </c>
      <c r="AA425" s="34" t="n">
        <f aca="false">IF(I425="N/A","",IF(Z425&lt;&gt;"Current",4,IF(MAX(M425,T425)=0,4,MAX(M425,T425))))</f>
        <v>2</v>
      </c>
      <c r="AB425" s="7" t="str">
        <f aca="false">IF(AA425="","N/A",IF(Z425&lt;&gt;"Current","Not tested / overdue",INDEX('Residual Config'!$B$11:$B$14,AA425)))</f>
        <v>Largely effective</v>
      </c>
      <c r="AC425" s="36" t="n">
        <f aca="false">IF(AA425="","",INDEX('Residual Config'!$D$11:$D$14,AA425))</f>
        <v>0.4</v>
      </c>
      <c r="AD425" s="7" t="str">
        <f aca="false">IF(OR(I425="N/A",P425="",Q425=""),"",IF(P425&gt;=Q425,"Yes","No"))</f>
        <v>Yes</v>
      </c>
      <c r="AE425" s="8"/>
    </row>
    <row r="426" customFormat="false" ht="15" hidden="false" customHeight="false" outlineLevel="0" collapsed="false">
      <c r="A426" s="12" t="s">
        <v>1777</v>
      </c>
      <c r="B426" s="26" t="str">
        <f aca="false">Entities!$A$14</f>
        <v>AE</v>
      </c>
      <c r="C426" s="12" t="str">
        <f aca="false">INDEX(Entities!$B$5:$B$34,MATCH(B426,Entities!$A$5:$A$34,0))</f>
        <v>Arab Bank – UAE</v>
      </c>
      <c r="D426" s="7" t="str">
        <f aca="false">INDEX(Entities!$F$5:$F$34,MATCH(B426,Entities!$A$5:$A$34,0))</f>
        <v>Tier 1</v>
      </c>
      <c r="E426" s="26" t="str">
        <f aca="false">'Control Library'!$A$39</f>
        <v>CTL-LQ-01</v>
      </c>
      <c r="F426" s="12" t="str">
        <f aca="false">INDEX('Control Library'!$B$5:$B$47,MATCH(E426,'Control Library'!$A$5:$A$47,0))</f>
        <v>Liquidity buffers, LCR/NSFR monitoring and contingency funding plan</v>
      </c>
      <c r="G426" s="7" t="str">
        <f aca="false">INDEX('Control Library'!$F$5:$F$47,MATCH(E426,'Control Library'!$A$5:$A$47,0))</f>
        <v>Y</v>
      </c>
      <c r="H426" s="12" t="str">
        <f aca="false">INDEX('Control Library'!$E$5:$E$47,MATCH(E426,'Control Library'!$A$5:$A$47,0))</f>
        <v>Daily</v>
      </c>
      <c r="I426" s="7" t="str">
        <f aca="false">IF(INDEX('Control Library'!$I$5:$I$47,MATCH(E426,'Control Library'!$A$5:$A$47,0))="All","Y",IF(INDEX('Control Library'!$I$5:$I$47,MATCH(E426,'Control Library'!$A$5:$A$47,0))="Banks only",IF(COUNTIF('Residual Config'!$L$28:$L$30,INDEX(Entities!$E$5:$E$34,MATCH(B426,Entities!$A$5:$A$34,0)))&gt;0,"N/A","Y"),IF(INDEX(Entities!$G$5:$G$34,MATCH(B426,Entities!$A$5:$A$34,0))="Y","Y","N/A")))</f>
        <v>Y</v>
      </c>
      <c r="J426" s="8" t="s">
        <v>1778</v>
      </c>
      <c r="K426" s="8" t="s">
        <v>752</v>
      </c>
      <c r="L426" s="7" t="str">
        <f aca="false">IF(OR(J426="",K426=""),"",IF(J426=K426,"Breach","OK"))</f>
        <v>OK</v>
      </c>
      <c r="M426" s="24" t="n">
        <v>1</v>
      </c>
      <c r="N426" s="50" t="n">
        <v>46233</v>
      </c>
      <c r="O426" s="8" t="s">
        <v>546</v>
      </c>
      <c r="P426" s="24" t="n">
        <v>25</v>
      </c>
      <c r="Q426" s="31" t="n">
        <f aca="false">IF(I426="N/A","",IFERROR(INDEX('Residual Config'!$B$35:$B$42,MATCH(H426,'Residual Config'!$A$35:$A$42,0)),""))</f>
        <v>25</v>
      </c>
      <c r="R426" s="24" t="n">
        <v>0</v>
      </c>
      <c r="S426" s="8" t="s">
        <v>516</v>
      </c>
      <c r="T426" s="31" t="n">
        <f aca="false">IF(S426="","",MATCH(S426,'Residual Config'!$L$9:$L$12,0))</f>
        <v>1</v>
      </c>
      <c r="U426" s="8" t="s">
        <v>1779</v>
      </c>
      <c r="V426" s="24" t="n">
        <v>6</v>
      </c>
      <c r="W426" s="33" t="s">
        <v>533</v>
      </c>
      <c r="X426" s="8" t="s">
        <v>760</v>
      </c>
      <c r="Y426" s="51" t="n">
        <f aca="false">IF(N426="","",EDATE(N426,IF(G426="N",INDEX('Residual Config'!$B$31:$D$31,1,MATCH(D426,'Residual Config'!$B$27:$D$27,0)),INDEX('Residual Config'!$B$28:$D$30,IF(T426=1,1,IF(T426=4,3,2)),MATCH(D426,'Residual Config'!$B$27:$D$27,0)))))</f>
        <v>46417</v>
      </c>
      <c r="Z426" s="7" t="str">
        <f aca="false">IF(I426="N/A","N/A",IF(N426="","Not tested",IF(W426="Rejected","Evidence rejected",IF(W426&lt;&gt;"Accepted","Evidence pending",IF(Y426&lt;'Residual Config'!$C$4,"Overdue","Current")))))</f>
        <v>Current</v>
      </c>
      <c r="AA426" s="34" t="n">
        <f aca="false">IF(I426="N/A","",IF(Z426&lt;&gt;"Current",4,IF(MAX(M426,T426)=0,4,MAX(M426,T426))))</f>
        <v>1</v>
      </c>
      <c r="AB426" s="7" t="str">
        <f aca="false">IF(AA426="","N/A",IF(Z426&lt;&gt;"Current","Not tested / overdue",INDEX('Residual Config'!$B$11:$B$14,AA426)))</f>
        <v>Effective</v>
      </c>
      <c r="AC426" s="36" t="n">
        <f aca="false">IF(AA426="","",INDEX('Residual Config'!$D$11:$D$14,AA426))</f>
        <v>0.6</v>
      </c>
      <c r="AD426" s="7" t="str">
        <f aca="false">IF(OR(I426="N/A",P426="",Q426=""),"",IF(P426&gt;=Q426,"Yes","No"))</f>
        <v>Yes</v>
      </c>
      <c r="AE426" s="8"/>
    </row>
    <row r="427" customFormat="false" ht="15" hidden="false" customHeight="false" outlineLevel="0" collapsed="false">
      <c r="A427" s="12" t="s">
        <v>1780</v>
      </c>
      <c r="B427" s="26" t="str">
        <f aca="false">Entities!$A$14</f>
        <v>AE</v>
      </c>
      <c r="C427" s="12" t="str">
        <f aca="false">INDEX(Entities!$B$5:$B$34,MATCH(B427,Entities!$A$5:$A$34,0))</f>
        <v>Arab Bank – UAE</v>
      </c>
      <c r="D427" s="7" t="str">
        <f aca="false">INDEX(Entities!$F$5:$F$34,MATCH(B427,Entities!$A$5:$A$34,0))</f>
        <v>Tier 1</v>
      </c>
      <c r="E427" s="26" t="str">
        <f aca="false">'Control Library'!$A$40</f>
        <v>CTL-OR-01</v>
      </c>
      <c r="F427" s="12" t="str">
        <f aca="false">INDEX('Control Library'!$B$5:$B$47,MATCH(E427,'Control Library'!$A$5:$A$47,0))</f>
        <v>Business continuity plans and annual testing</v>
      </c>
      <c r="G427" s="7" t="str">
        <f aca="false">INDEX('Control Library'!$F$5:$F$47,MATCH(E427,'Control Library'!$A$5:$A$47,0))</f>
        <v>Y</v>
      </c>
      <c r="H427" s="12" t="str">
        <f aca="false">INDEX('Control Library'!$E$5:$E$47,MATCH(E427,'Control Library'!$A$5:$A$47,0))</f>
        <v>Annual</v>
      </c>
      <c r="I427" s="7" t="str">
        <f aca="false">IF(INDEX('Control Library'!$I$5:$I$47,MATCH(E427,'Control Library'!$A$5:$A$47,0))="All","Y",IF(INDEX('Control Library'!$I$5:$I$47,MATCH(E427,'Control Library'!$A$5:$A$47,0))="Banks only",IF(COUNTIF('Residual Config'!$L$28:$L$30,INDEX(Entities!$E$5:$E$34,MATCH(B427,Entities!$A$5:$A$34,0)))&gt;0,"N/A","Y"),IF(INDEX(Entities!$G$5:$G$34,MATCH(B427,Entities!$A$5:$A$34,0))="Y","Y","N/A")))</f>
        <v>Y</v>
      </c>
      <c r="J427" s="8" t="s">
        <v>1781</v>
      </c>
      <c r="K427" s="8" t="s">
        <v>752</v>
      </c>
      <c r="L427" s="7" t="str">
        <f aca="false">IF(OR(J427="",K427=""),"",IF(J427=K427,"Breach","OK"))</f>
        <v>OK</v>
      </c>
      <c r="M427" s="24" t="n">
        <v>2</v>
      </c>
      <c r="N427" s="50" t="n">
        <v>46276</v>
      </c>
      <c r="O427" s="8" t="s">
        <v>545</v>
      </c>
      <c r="P427" s="24" t="n">
        <v>1</v>
      </c>
      <c r="Q427" s="31" t="n">
        <f aca="false">IF(I427="N/A","",IFERROR(INDEX('Residual Config'!$B$35:$B$42,MATCH(H427,'Residual Config'!$A$35:$A$42,0)),""))</f>
        <v>1</v>
      </c>
      <c r="R427" s="24" t="n">
        <v>1</v>
      </c>
      <c r="S427" s="8" t="s">
        <v>521</v>
      </c>
      <c r="T427" s="31" t="n">
        <f aca="false">IF(S427="","",MATCH(S427,'Residual Config'!$L$9:$L$12,0))</f>
        <v>2</v>
      </c>
      <c r="U427" s="8" t="s">
        <v>1782</v>
      </c>
      <c r="V427" s="24" t="n">
        <v>6</v>
      </c>
      <c r="W427" s="33" t="s">
        <v>533</v>
      </c>
      <c r="X427" s="8" t="s">
        <v>760</v>
      </c>
      <c r="Y427" s="51" t="n">
        <f aca="false">IF(N427="","",EDATE(N427,IF(G427="N",INDEX('Residual Config'!$B$31:$D$31,1,MATCH(D427,'Residual Config'!$B$27:$D$27,0)),INDEX('Residual Config'!$B$28:$D$30,IF(T427=1,1,IF(T427=4,3,2)),MATCH(D427,'Residual Config'!$B$27:$D$27,0)))))</f>
        <v>46367</v>
      </c>
      <c r="Z427" s="7" t="str">
        <f aca="false">IF(I427="N/A","N/A",IF(N427="","Not tested",IF(W427="Rejected","Evidence rejected",IF(W427&lt;&gt;"Accepted","Evidence pending",IF(Y427&lt;'Residual Config'!$C$4,"Overdue","Current")))))</f>
        <v>Current</v>
      </c>
      <c r="AA427" s="34" t="n">
        <f aca="false">IF(I427="N/A","",IF(Z427&lt;&gt;"Current",4,IF(MAX(M427,T427)=0,4,MAX(M427,T427))))</f>
        <v>2</v>
      </c>
      <c r="AB427" s="7" t="str">
        <f aca="false">IF(AA427="","N/A",IF(Z427&lt;&gt;"Current","Not tested / overdue",INDEX('Residual Config'!$B$11:$B$14,AA427)))</f>
        <v>Largely effective</v>
      </c>
      <c r="AC427" s="36" t="n">
        <f aca="false">IF(AA427="","",INDEX('Residual Config'!$D$11:$D$14,AA427))</f>
        <v>0.4</v>
      </c>
      <c r="AD427" s="7" t="str">
        <f aca="false">IF(OR(I427="N/A",P427="",Q427=""),"",IF(P427&gt;=Q427,"Yes","No"))</f>
        <v>Yes</v>
      </c>
      <c r="AE427" s="8"/>
    </row>
    <row r="428" customFormat="false" ht="15" hidden="false" customHeight="false" outlineLevel="0" collapsed="false">
      <c r="A428" s="12" t="s">
        <v>1783</v>
      </c>
      <c r="B428" s="26" t="str">
        <f aca="false">Entities!$A$14</f>
        <v>AE</v>
      </c>
      <c r="C428" s="12" t="str">
        <f aca="false">INDEX(Entities!$B$5:$B$34,MATCH(B428,Entities!$A$5:$A$34,0))</f>
        <v>Arab Bank – UAE</v>
      </c>
      <c r="D428" s="7" t="str">
        <f aca="false">INDEX(Entities!$F$5:$F$34,MATCH(B428,Entities!$A$5:$A$34,0))</f>
        <v>Tier 1</v>
      </c>
      <c r="E428" s="26" t="str">
        <f aca="false">'Control Library'!$A$41</f>
        <v>CTL-OR-02</v>
      </c>
      <c r="F428" s="12" t="str">
        <f aca="false">INDEX('Control Library'!$B$5:$B$47,MATCH(E428,'Control Library'!$A$5:$A$47,0))</f>
        <v>Operational loss event capture and RCSA</v>
      </c>
      <c r="G428" s="7" t="str">
        <f aca="false">INDEX('Control Library'!$F$5:$F$47,MATCH(E428,'Control Library'!$A$5:$A$47,0))</f>
        <v>N</v>
      </c>
      <c r="H428" s="12" t="str">
        <f aca="false">INDEX('Control Library'!$E$5:$E$47,MATCH(E428,'Control Library'!$A$5:$A$47,0))</f>
        <v>Quarterly</v>
      </c>
      <c r="I428" s="7" t="str">
        <f aca="false">IF(INDEX('Control Library'!$I$5:$I$47,MATCH(E428,'Control Library'!$A$5:$A$47,0))="All","Y",IF(INDEX('Control Library'!$I$5:$I$47,MATCH(E428,'Control Library'!$A$5:$A$47,0))="Banks only",IF(COUNTIF('Residual Config'!$L$28:$L$30,INDEX(Entities!$E$5:$E$34,MATCH(B428,Entities!$A$5:$A$34,0)))&gt;0,"N/A","Y"),IF(INDEX(Entities!$G$5:$G$34,MATCH(B428,Entities!$A$5:$A$34,0))="Y","Y","N/A")))</f>
        <v>Y</v>
      </c>
      <c r="J428" s="8" t="s">
        <v>1773</v>
      </c>
      <c r="K428" s="8" t="s">
        <v>1702</v>
      </c>
      <c r="L428" s="7" t="str">
        <f aca="false">IF(OR(J428="",K428=""),"",IF(J428=K428,"Breach","OK"))</f>
        <v>OK</v>
      </c>
      <c r="M428" s="24" t="n">
        <v>3</v>
      </c>
      <c r="N428" s="50" t="n">
        <v>45956</v>
      </c>
      <c r="O428" s="8" t="s">
        <v>546</v>
      </c>
      <c r="P428" s="24" t="n">
        <v>2</v>
      </c>
      <c r="Q428" s="31" t="n">
        <f aca="false">IF(I428="N/A","",IFERROR(INDEX('Residual Config'!$B$35:$B$42,MATCH(H428,'Residual Config'!$A$35:$A$42,0)),""))</f>
        <v>2</v>
      </c>
      <c r="R428" s="24" t="n">
        <v>1</v>
      </c>
      <c r="S428" s="8" t="s">
        <v>521</v>
      </c>
      <c r="T428" s="31" t="n">
        <f aca="false">IF(S428="","",MATCH(S428,'Residual Config'!$L$9:$L$12,0))</f>
        <v>2</v>
      </c>
      <c r="U428" s="8" t="s">
        <v>1784</v>
      </c>
      <c r="V428" s="24" t="n">
        <v>4</v>
      </c>
      <c r="W428" s="33" t="s">
        <v>533</v>
      </c>
      <c r="X428" s="8" t="s">
        <v>754</v>
      </c>
      <c r="Y428" s="51" t="n">
        <f aca="false">IF(N428="","",EDATE(N428,IF(G428="N",INDEX('Residual Config'!$B$31:$D$31,1,MATCH(D428,'Residual Config'!$B$27:$D$27,0)),INDEX('Residual Config'!$B$28:$D$30,IF(T428=1,1,IF(T428=4,3,2)),MATCH(D428,'Residual Config'!$B$27:$D$27,0)))))</f>
        <v>46321</v>
      </c>
      <c r="Z428" s="7" t="str">
        <f aca="false">IF(I428="N/A","N/A",IF(N428="","Not tested",IF(W428="Rejected","Evidence rejected",IF(W428&lt;&gt;"Accepted","Evidence pending",IF(Y428&lt;'Residual Config'!$C$4,"Overdue","Current")))))</f>
        <v>Current</v>
      </c>
      <c r="AA428" s="34" t="n">
        <f aca="false">IF(I428="N/A","",IF(Z428&lt;&gt;"Current",4,IF(MAX(M428,T428)=0,4,MAX(M428,T428))))</f>
        <v>3</v>
      </c>
      <c r="AB428" s="7" t="str">
        <f aca="false">IF(AA428="","N/A",IF(Z428&lt;&gt;"Current","Not tested / overdue",INDEX('Residual Config'!$B$11:$B$14,AA428)))</f>
        <v>Partially effective</v>
      </c>
      <c r="AC428" s="36" t="n">
        <f aca="false">IF(AA428="","",INDEX('Residual Config'!$D$11:$D$14,AA428))</f>
        <v>0.2</v>
      </c>
      <c r="AD428" s="7" t="str">
        <f aca="false">IF(OR(I428="N/A",P428="",Q428=""),"",IF(P428&gt;=Q428,"Yes","No"))</f>
        <v>Yes</v>
      </c>
      <c r="AE428" s="8"/>
    </row>
    <row r="429" customFormat="false" ht="15" hidden="false" customHeight="false" outlineLevel="0" collapsed="false">
      <c r="A429" s="12" t="s">
        <v>1785</v>
      </c>
      <c r="B429" s="26" t="str">
        <f aca="false">Entities!$A$14</f>
        <v>AE</v>
      </c>
      <c r="C429" s="12" t="str">
        <f aca="false">INDEX(Entities!$B$5:$B$34,MATCH(B429,Entities!$A$5:$A$34,0))</f>
        <v>Arab Bank – UAE</v>
      </c>
      <c r="D429" s="7" t="str">
        <f aca="false">INDEX(Entities!$F$5:$F$34,MATCH(B429,Entities!$A$5:$A$34,0))</f>
        <v>Tier 1</v>
      </c>
      <c r="E429" s="26" t="str">
        <f aca="false">'Control Library'!$A$42</f>
        <v>CTL-CY-01</v>
      </c>
      <c r="F429" s="12" t="str">
        <f aca="false">INDEX('Control Library'!$B$5:$B$47,MATCH(E429,'Control Library'!$A$5:$A$47,0))</f>
        <v>Vulnerability and patch management</v>
      </c>
      <c r="G429" s="7" t="str">
        <f aca="false">INDEX('Control Library'!$F$5:$F$47,MATCH(E429,'Control Library'!$A$5:$A$47,0))</f>
        <v>Y</v>
      </c>
      <c r="H429" s="12" t="str">
        <f aca="false">INDEX('Control Library'!$E$5:$E$47,MATCH(E429,'Control Library'!$A$5:$A$47,0))</f>
        <v>Monthly</v>
      </c>
      <c r="I429" s="7" t="str">
        <f aca="false">IF(INDEX('Control Library'!$I$5:$I$47,MATCH(E429,'Control Library'!$A$5:$A$47,0))="All","Y",IF(INDEX('Control Library'!$I$5:$I$47,MATCH(E429,'Control Library'!$A$5:$A$47,0))="Banks only",IF(COUNTIF('Residual Config'!$L$28:$L$30,INDEX(Entities!$E$5:$E$34,MATCH(B429,Entities!$A$5:$A$34,0)))&gt;0,"N/A","Y"),IF(INDEX(Entities!$G$5:$G$34,MATCH(B429,Entities!$A$5:$A$34,0))="Y","Y","N/A")))</f>
        <v>Y</v>
      </c>
      <c r="J429" s="8" t="s">
        <v>1717</v>
      </c>
      <c r="K429" s="8" t="s">
        <v>752</v>
      </c>
      <c r="L429" s="7" t="str">
        <f aca="false">IF(OR(J429="",K429=""),"",IF(J429=K429,"Breach","OK"))</f>
        <v>OK</v>
      </c>
      <c r="M429" s="24" t="n">
        <v>2</v>
      </c>
      <c r="N429" s="50" t="n">
        <v>46253</v>
      </c>
      <c r="O429" s="8" t="s">
        <v>546</v>
      </c>
      <c r="P429" s="24" t="n">
        <v>3</v>
      </c>
      <c r="Q429" s="31" t="n">
        <f aca="false">IF(I429="N/A","",IFERROR(INDEX('Residual Config'!$B$35:$B$42,MATCH(H429,'Residual Config'!$A$35:$A$42,0)),""))</f>
        <v>3</v>
      </c>
      <c r="R429" s="24" t="n">
        <v>1</v>
      </c>
      <c r="S429" s="8" t="s">
        <v>521</v>
      </c>
      <c r="T429" s="31" t="n">
        <f aca="false">IF(S429="","",MATCH(S429,'Residual Config'!$L$9:$L$12,0))</f>
        <v>2</v>
      </c>
      <c r="U429" s="8" t="s">
        <v>1786</v>
      </c>
      <c r="V429" s="24" t="n">
        <v>4</v>
      </c>
      <c r="W429" s="33" t="s">
        <v>533</v>
      </c>
      <c r="X429" s="8" t="s">
        <v>754</v>
      </c>
      <c r="Y429" s="51" t="n">
        <f aca="false">IF(N429="","",EDATE(N429,IF(G429="N",INDEX('Residual Config'!$B$31:$D$31,1,MATCH(D429,'Residual Config'!$B$27:$D$27,0)),INDEX('Residual Config'!$B$28:$D$30,IF(T429=1,1,IF(T429=4,3,2)),MATCH(D429,'Residual Config'!$B$27:$D$27,0)))))</f>
        <v>46345</v>
      </c>
      <c r="Z429" s="7" t="str">
        <f aca="false">IF(I429="N/A","N/A",IF(N429="","Not tested",IF(W429="Rejected","Evidence rejected",IF(W429&lt;&gt;"Accepted","Evidence pending",IF(Y429&lt;'Residual Config'!$C$4,"Overdue","Current")))))</f>
        <v>Current</v>
      </c>
      <c r="AA429" s="34" t="n">
        <f aca="false">IF(I429="N/A","",IF(Z429&lt;&gt;"Current",4,IF(MAX(M429,T429)=0,4,MAX(M429,T429))))</f>
        <v>2</v>
      </c>
      <c r="AB429" s="7" t="str">
        <f aca="false">IF(AA429="","N/A",IF(Z429&lt;&gt;"Current","Not tested / overdue",INDEX('Residual Config'!$B$11:$B$14,AA429)))</f>
        <v>Largely effective</v>
      </c>
      <c r="AC429" s="36" t="n">
        <f aca="false">IF(AA429="","",INDEX('Residual Config'!$D$11:$D$14,AA429))</f>
        <v>0.4</v>
      </c>
      <c r="AD429" s="7" t="str">
        <f aca="false">IF(OR(I429="N/A",P429="",Q429=""),"",IF(P429&gt;=Q429,"Yes","No"))</f>
        <v>Yes</v>
      </c>
      <c r="AE429" s="8"/>
    </row>
    <row r="430" customFormat="false" ht="15" hidden="false" customHeight="false" outlineLevel="0" collapsed="false">
      <c r="A430" s="12" t="s">
        <v>1787</v>
      </c>
      <c r="B430" s="26" t="str">
        <f aca="false">Entities!$A$14</f>
        <v>AE</v>
      </c>
      <c r="C430" s="12" t="str">
        <f aca="false">INDEX(Entities!$B$5:$B$34,MATCH(B430,Entities!$A$5:$A$34,0))</f>
        <v>Arab Bank – UAE</v>
      </c>
      <c r="D430" s="7" t="str">
        <f aca="false">INDEX(Entities!$F$5:$F$34,MATCH(B430,Entities!$A$5:$A$34,0))</f>
        <v>Tier 1</v>
      </c>
      <c r="E430" s="26" t="str">
        <f aca="false">'Control Library'!$A$43</f>
        <v>CTL-CY-02</v>
      </c>
      <c r="F430" s="12" t="str">
        <f aca="false">INDEX('Control Library'!$B$5:$B$47,MATCH(E430,'Control Library'!$A$5:$A$47,0))</f>
        <v>Privileged access management and SOC monitoring</v>
      </c>
      <c r="G430" s="7" t="str">
        <f aca="false">INDEX('Control Library'!$F$5:$F$47,MATCH(E430,'Control Library'!$A$5:$A$47,0))</f>
        <v>Y</v>
      </c>
      <c r="H430" s="12" t="str">
        <f aca="false">INDEX('Control Library'!$E$5:$E$47,MATCH(E430,'Control Library'!$A$5:$A$47,0))</f>
        <v>Continuous</v>
      </c>
      <c r="I430" s="7" t="str">
        <f aca="false">IF(INDEX('Control Library'!$I$5:$I$47,MATCH(E430,'Control Library'!$A$5:$A$47,0))="All","Y",IF(INDEX('Control Library'!$I$5:$I$47,MATCH(E430,'Control Library'!$A$5:$A$47,0))="Banks only",IF(COUNTIF('Residual Config'!$L$28:$L$30,INDEX(Entities!$E$5:$E$34,MATCH(B430,Entities!$A$5:$A$34,0)))&gt;0,"N/A","Y"),IF(INDEX(Entities!$G$5:$G$34,MATCH(B430,Entities!$A$5:$A$34,0))="Y","Y","N/A")))</f>
        <v>Y</v>
      </c>
      <c r="J430" s="8" t="s">
        <v>1766</v>
      </c>
      <c r="K430" s="8" t="s">
        <v>752</v>
      </c>
      <c r="L430" s="7" t="str">
        <f aca="false">IF(OR(J430="",K430=""),"",IF(J430=K430,"Breach","OK"))</f>
        <v>OK</v>
      </c>
      <c r="M430" s="24" t="n">
        <v>2</v>
      </c>
      <c r="N430" s="50" t="n">
        <v>46236</v>
      </c>
      <c r="O430" s="8" t="s">
        <v>547</v>
      </c>
      <c r="P430" s="24" t="n">
        <v>1</v>
      </c>
      <c r="Q430" s="31" t="n">
        <f aca="false">IF(I430="N/A","",IFERROR(INDEX('Residual Config'!$B$35:$B$42,MATCH(H430,'Residual Config'!$A$35:$A$42,0)),""))</f>
        <v>1</v>
      </c>
      <c r="R430" s="24" t="n">
        <v>0</v>
      </c>
      <c r="S430" s="8" t="s">
        <v>516</v>
      </c>
      <c r="T430" s="31" t="n">
        <f aca="false">IF(S430="","",MATCH(S430,'Residual Config'!$L$9:$L$12,0))</f>
        <v>1</v>
      </c>
      <c r="U430" s="8" t="s">
        <v>1788</v>
      </c>
      <c r="V430" s="24" t="n">
        <v>3</v>
      </c>
      <c r="W430" s="33" t="s">
        <v>533</v>
      </c>
      <c r="X430" s="8" t="s">
        <v>760</v>
      </c>
      <c r="Y430" s="51" t="n">
        <f aca="false">IF(N430="","",EDATE(N430,IF(G430="N",INDEX('Residual Config'!$B$31:$D$31,1,MATCH(D430,'Residual Config'!$B$27:$D$27,0)),INDEX('Residual Config'!$B$28:$D$30,IF(T430=1,1,IF(T430=4,3,2)),MATCH(D430,'Residual Config'!$B$27:$D$27,0)))))</f>
        <v>46420</v>
      </c>
      <c r="Z430" s="7" t="str">
        <f aca="false">IF(I430="N/A","N/A",IF(N430="","Not tested",IF(W430="Rejected","Evidence rejected",IF(W430&lt;&gt;"Accepted","Evidence pending",IF(Y430&lt;'Residual Config'!$C$4,"Overdue","Current")))))</f>
        <v>Current</v>
      </c>
      <c r="AA430" s="34" t="n">
        <f aca="false">IF(I430="N/A","",IF(Z430&lt;&gt;"Current",4,IF(MAX(M430,T430)=0,4,MAX(M430,T430))))</f>
        <v>2</v>
      </c>
      <c r="AB430" s="7" t="str">
        <f aca="false">IF(AA430="","N/A",IF(Z430&lt;&gt;"Current","Not tested / overdue",INDEX('Residual Config'!$B$11:$B$14,AA430)))</f>
        <v>Largely effective</v>
      </c>
      <c r="AC430" s="36" t="n">
        <f aca="false">IF(AA430="","",INDEX('Residual Config'!$D$11:$D$14,AA430))</f>
        <v>0.4</v>
      </c>
      <c r="AD430" s="7" t="str">
        <f aca="false">IF(OR(I430="N/A",P430="",Q430=""),"",IF(P430&gt;=Q430,"Yes","No"))</f>
        <v>Yes</v>
      </c>
      <c r="AE430" s="8"/>
    </row>
    <row r="431" customFormat="false" ht="15" hidden="false" customHeight="false" outlineLevel="0" collapsed="false">
      <c r="A431" s="12" t="s">
        <v>1789</v>
      </c>
      <c r="B431" s="26" t="str">
        <f aca="false">Entities!$A$14</f>
        <v>AE</v>
      </c>
      <c r="C431" s="12" t="str">
        <f aca="false">INDEX(Entities!$B$5:$B$34,MATCH(B431,Entities!$A$5:$A$34,0))</f>
        <v>Arab Bank – UAE</v>
      </c>
      <c r="D431" s="7" t="str">
        <f aca="false">INDEX(Entities!$F$5:$F$34,MATCH(B431,Entities!$A$5:$A$34,0))</f>
        <v>Tier 1</v>
      </c>
      <c r="E431" s="26" t="str">
        <f aca="false">'Control Library'!$A$44</f>
        <v>CTL-TP-01</v>
      </c>
      <c r="F431" s="12" t="str">
        <f aca="false">INDEX('Control Library'!$B$5:$B$47,MATCH(E431,'Control Library'!$A$5:$A$47,0))</f>
        <v>Critical vendor due diligence and tested exit plans</v>
      </c>
      <c r="G431" s="7" t="str">
        <f aca="false">INDEX('Control Library'!$F$5:$F$47,MATCH(E431,'Control Library'!$A$5:$A$47,0))</f>
        <v>Y</v>
      </c>
      <c r="H431" s="12" t="str">
        <f aca="false">INDEX('Control Library'!$E$5:$E$47,MATCH(E431,'Control Library'!$A$5:$A$47,0))</f>
        <v>Annual</v>
      </c>
      <c r="I431" s="7" t="str">
        <f aca="false">IF(INDEX('Control Library'!$I$5:$I$47,MATCH(E431,'Control Library'!$A$5:$A$47,0))="All","Y",IF(INDEX('Control Library'!$I$5:$I$47,MATCH(E431,'Control Library'!$A$5:$A$47,0))="Banks only",IF(COUNTIF('Residual Config'!$L$28:$L$30,INDEX(Entities!$E$5:$E$34,MATCH(B431,Entities!$A$5:$A$34,0)))&gt;0,"N/A","Y"),IF(INDEX(Entities!$G$5:$G$34,MATCH(B431,Entities!$A$5:$A$34,0))="Y","Y","N/A")))</f>
        <v>Y</v>
      </c>
      <c r="J431" s="8" t="s">
        <v>1734</v>
      </c>
      <c r="K431" s="8" t="s">
        <v>752</v>
      </c>
      <c r="L431" s="7" t="str">
        <f aca="false">IF(OR(J431="",K431=""),"",IF(J431=K431,"Breach","OK"))</f>
        <v>OK</v>
      </c>
      <c r="M431" s="24" t="n">
        <v>2</v>
      </c>
      <c r="N431" s="50" t="n">
        <v>46272</v>
      </c>
      <c r="O431" s="8" t="s">
        <v>545</v>
      </c>
      <c r="P431" s="24" t="n">
        <v>1</v>
      </c>
      <c r="Q431" s="31" t="n">
        <f aca="false">IF(I431="N/A","",IFERROR(INDEX('Residual Config'!$B$35:$B$42,MATCH(H431,'Residual Config'!$A$35:$A$42,0)),""))</f>
        <v>1</v>
      </c>
      <c r="R431" s="24" t="n">
        <v>1</v>
      </c>
      <c r="S431" s="8" t="s">
        <v>521</v>
      </c>
      <c r="T431" s="31" t="n">
        <f aca="false">IF(S431="","",MATCH(S431,'Residual Config'!$L$9:$L$12,0))</f>
        <v>2</v>
      </c>
      <c r="U431" s="8" t="s">
        <v>1790</v>
      </c>
      <c r="V431" s="24" t="n">
        <v>6</v>
      </c>
      <c r="W431" s="33" t="s">
        <v>533</v>
      </c>
      <c r="X431" s="8" t="s">
        <v>754</v>
      </c>
      <c r="Y431" s="51" t="n">
        <f aca="false">IF(N431="","",EDATE(N431,IF(G431="N",INDEX('Residual Config'!$B$31:$D$31,1,MATCH(D431,'Residual Config'!$B$27:$D$27,0)),INDEX('Residual Config'!$B$28:$D$30,IF(T431=1,1,IF(T431=4,3,2)),MATCH(D431,'Residual Config'!$B$27:$D$27,0)))))</f>
        <v>46363</v>
      </c>
      <c r="Z431" s="7" t="str">
        <f aca="false">IF(I431="N/A","N/A",IF(N431="","Not tested",IF(W431="Rejected","Evidence rejected",IF(W431&lt;&gt;"Accepted","Evidence pending",IF(Y431&lt;'Residual Config'!$C$4,"Overdue","Current")))))</f>
        <v>Current</v>
      </c>
      <c r="AA431" s="34" t="n">
        <f aca="false">IF(I431="N/A","",IF(Z431&lt;&gt;"Current",4,IF(MAX(M431,T431)=0,4,MAX(M431,T431))))</f>
        <v>2</v>
      </c>
      <c r="AB431" s="7" t="str">
        <f aca="false">IF(AA431="","N/A",IF(Z431&lt;&gt;"Current","Not tested / overdue",INDEX('Residual Config'!$B$11:$B$14,AA431)))</f>
        <v>Largely effective</v>
      </c>
      <c r="AC431" s="36" t="n">
        <f aca="false">IF(AA431="","",INDEX('Residual Config'!$D$11:$D$14,AA431))</f>
        <v>0.4</v>
      </c>
      <c r="AD431" s="7" t="str">
        <f aca="false">IF(OR(I431="N/A",P431="",Q431=""),"",IF(P431&gt;=Q431,"Yes","No"))</f>
        <v>Yes</v>
      </c>
      <c r="AE431" s="8"/>
    </row>
    <row r="432" customFormat="false" ht="15" hidden="false" customHeight="false" outlineLevel="0" collapsed="false">
      <c r="A432" s="12" t="s">
        <v>1791</v>
      </c>
      <c r="B432" s="26" t="str">
        <f aca="false">Entities!$A$14</f>
        <v>AE</v>
      </c>
      <c r="C432" s="12" t="str">
        <f aca="false">INDEX(Entities!$B$5:$B$34,MATCH(B432,Entities!$A$5:$A$34,0))</f>
        <v>Arab Bank – UAE</v>
      </c>
      <c r="D432" s="7" t="str">
        <f aca="false">INDEX(Entities!$F$5:$F$34,MATCH(B432,Entities!$A$5:$A$34,0))</f>
        <v>Tier 1</v>
      </c>
      <c r="E432" s="26" t="str">
        <f aca="false">'Control Library'!$A$45</f>
        <v>CTL-LG-01</v>
      </c>
      <c r="F432" s="12" t="str">
        <f aca="false">INDEX('Control Library'!$B$5:$B$47,MATCH(E432,'Control Library'!$A$5:$A$47,0))</f>
        <v>Legal review of contracts and litigation register</v>
      </c>
      <c r="G432" s="7" t="str">
        <f aca="false">INDEX('Control Library'!$F$5:$F$47,MATCH(E432,'Control Library'!$A$5:$A$47,0))</f>
        <v>Y</v>
      </c>
      <c r="H432" s="12" t="str">
        <f aca="false">INDEX('Control Library'!$E$5:$E$47,MATCH(E432,'Control Library'!$A$5:$A$47,0))</f>
        <v>Event-driven</v>
      </c>
      <c r="I432" s="7" t="str">
        <f aca="false">IF(INDEX('Control Library'!$I$5:$I$47,MATCH(E432,'Control Library'!$A$5:$A$47,0))="All","Y",IF(INDEX('Control Library'!$I$5:$I$47,MATCH(E432,'Control Library'!$A$5:$A$47,0))="Banks only",IF(COUNTIF('Residual Config'!$L$28:$L$30,INDEX(Entities!$E$5:$E$34,MATCH(B432,Entities!$A$5:$A$34,0)))&gt;0,"N/A","Y"),IF(INDEX(Entities!$G$5:$G$34,MATCH(B432,Entities!$A$5:$A$34,0))="Y","Y","N/A")))</f>
        <v>Y</v>
      </c>
      <c r="J432" s="8" t="s">
        <v>1792</v>
      </c>
      <c r="K432" s="8" t="s">
        <v>752</v>
      </c>
      <c r="L432" s="7" t="str">
        <f aca="false">IF(OR(J432="",K432=""),"",IF(J432=K432,"Breach","OK"))</f>
        <v>OK</v>
      </c>
      <c r="M432" s="24" t="n">
        <v>2</v>
      </c>
      <c r="N432" s="50" t="n">
        <v>46258</v>
      </c>
      <c r="O432" s="8" t="s">
        <v>545</v>
      </c>
      <c r="P432" s="24" t="n">
        <v>30</v>
      </c>
      <c r="Q432" s="31" t="n">
        <f aca="false">IF(I432="N/A","",IFERROR(INDEX('Residual Config'!$B$35:$B$42,MATCH(H432,'Residual Config'!$A$35:$A$42,0)),""))</f>
        <v>25</v>
      </c>
      <c r="R432" s="24" t="n">
        <v>3</v>
      </c>
      <c r="S432" s="8" t="s">
        <v>524</v>
      </c>
      <c r="T432" s="31" t="n">
        <f aca="false">IF(S432="","",MATCH(S432,'Residual Config'!$L$9:$L$12,0))</f>
        <v>3</v>
      </c>
      <c r="U432" s="8" t="s">
        <v>1793</v>
      </c>
      <c r="V432" s="24" t="n">
        <v>5</v>
      </c>
      <c r="W432" s="33" t="s">
        <v>533</v>
      </c>
      <c r="X432" s="8" t="s">
        <v>754</v>
      </c>
      <c r="Y432" s="51" t="n">
        <f aca="false">IF(N432="","",EDATE(N432,IF(G432="N",INDEX('Residual Config'!$B$31:$D$31,1,MATCH(D432,'Residual Config'!$B$27:$D$27,0)),INDEX('Residual Config'!$B$28:$D$30,IF(T432=1,1,IF(T432=4,3,2)),MATCH(D432,'Residual Config'!$B$27:$D$27,0)))))</f>
        <v>46350</v>
      </c>
      <c r="Z432" s="7" t="str">
        <f aca="false">IF(I432="N/A","N/A",IF(N432="","Not tested",IF(W432="Rejected","Evidence rejected",IF(W432&lt;&gt;"Accepted","Evidence pending",IF(Y432&lt;'Residual Config'!$C$4,"Overdue","Current")))))</f>
        <v>Current</v>
      </c>
      <c r="AA432" s="34" t="n">
        <f aca="false">IF(I432="N/A","",IF(Z432&lt;&gt;"Current",4,IF(MAX(M432,T432)=0,4,MAX(M432,T432))))</f>
        <v>3</v>
      </c>
      <c r="AB432" s="7" t="str">
        <f aca="false">IF(AA432="","N/A",IF(Z432&lt;&gt;"Current","Not tested / overdue",INDEX('Residual Config'!$B$11:$B$14,AA432)))</f>
        <v>Partially effective</v>
      </c>
      <c r="AC432" s="36" t="n">
        <f aca="false">IF(AA432="","",INDEX('Residual Config'!$D$11:$D$14,AA432))</f>
        <v>0.2</v>
      </c>
      <c r="AD432" s="7" t="str">
        <f aca="false">IF(OR(I432="N/A",P432="",Q432=""),"",IF(P432&gt;=Q432,"Yes","No"))</f>
        <v>Yes</v>
      </c>
      <c r="AE432" s="8"/>
    </row>
    <row r="433" customFormat="false" ht="15" hidden="false" customHeight="false" outlineLevel="0" collapsed="false">
      <c r="A433" s="12" t="s">
        <v>1794</v>
      </c>
      <c r="B433" s="26" t="str">
        <f aca="false">Entities!$A$14</f>
        <v>AE</v>
      </c>
      <c r="C433" s="12" t="str">
        <f aca="false">INDEX(Entities!$B$5:$B$34,MATCH(B433,Entities!$A$5:$A$34,0))</f>
        <v>Arab Bank – UAE</v>
      </c>
      <c r="D433" s="7" t="str">
        <f aca="false">INDEX(Entities!$F$5:$F$34,MATCH(B433,Entities!$A$5:$A$34,0))</f>
        <v>Tier 1</v>
      </c>
      <c r="E433" s="26" t="str">
        <f aca="false">'Control Library'!$A$46</f>
        <v>CTL-RP-01</v>
      </c>
      <c r="F433" s="12" t="str">
        <f aca="false">INDEX('Control Library'!$B$5:$B$47,MATCH(E433,'Control Library'!$A$5:$A$47,0))</f>
        <v>Media monitoring and reputational-risk escalation</v>
      </c>
      <c r="G433" s="7" t="str">
        <f aca="false">INDEX('Control Library'!$F$5:$F$47,MATCH(E433,'Control Library'!$A$5:$A$47,0))</f>
        <v>Y</v>
      </c>
      <c r="H433" s="12" t="str">
        <f aca="false">INDEX('Control Library'!$E$5:$E$47,MATCH(E433,'Control Library'!$A$5:$A$47,0))</f>
        <v>Daily</v>
      </c>
      <c r="I433" s="7" t="str">
        <f aca="false">IF(INDEX('Control Library'!$I$5:$I$47,MATCH(E433,'Control Library'!$A$5:$A$47,0))="All","Y",IF(INDEX('Control Library'!$I$5:$I$47,MATCH(E433,'Control Library'!$A$5:$A$47,0))="Banks only",IF(COUNTIF('Residual Config'!$L$28:$L$30,INDEX(Entities!$E$5:$E$34,MATCH(B433,Entities!$A$5:$A$34,0)))&gt;0,"N/A","Y"),IF(INDEX(Entities!$G$5:$G$34,MATCH(B433,Entities!$A$5:$A$34,0))="Y","Y","N/A")))</f>
        <v>Y</v>
      </c>
      <c r="J433" s="8" t="s">
        <v>1795</v>
      </c>
      <c r="K433" s="8" t="s">
        <v>752</v>
      </c>
      <c r="L433" s="7" t="str">
        <f aca="false">IF(OR(J433="",K433=""),"",IF(J433=K433,"Breach","OK"))</f>
        <v>OK</v>
      </c>
      <c r="M433" s="24" t="n">
        <v>1</v>
      </c>
      <c r="N433" s="50" t="n">
        <v>46253</v>
      </c>
      <c r="O433" s="8" t="s">
        <v>546</v>
      </c>
      <c r="P433" s="24" t="n">
        <v>25</v>
      </c>
      <c r="Q433" s="31" t="n">
        <f aca="false">IF(I433="N/A","",IFERROR(INDEX('Residual Config'!$B$35:$B$42,MATCH(H433,'Residual Config'!$A$35:$A$42,0)),""))</f>
        <v>25</v>
      </c>
      <c r="R433" s="24" t="n">
        <v>1</v>
      </c>
      <c r="S433" s="8" t="s">
        <v>521</v>
      </c>
      <c r="T433" s="31" t="n">
        <f aca="false">IF(S433="","",MATCH(S433,'Residual Config'!$L$9:$L$12,0))</f>
        <v>2</v>
      </c>
      <c r="U433" s="8" t="s">
        <v>1796</v>
      </c>
      <c r="V433" s="24" t="n">
        <v>3</v>
      </c>
      <c r="W433" s="33" t="s">
        <v>533</v>
      </c>
      <c r="X433" s="8" t="s">
        <v>760</v>
      </c>
      <c r="Y433" s="51" t="n">
        <f aca="false">IF(N433="","",EDATE(N433,IF(G433="N",INDEX('Residual Config'!$B$31:$D$31,1,MATCH(D433,'Residual Config'!$B$27:$D$27,0)),INDEX('Residual Config'!$B$28:$D$30,IF(T433=1,1,IF(T433=4,3,2)),MATCH(D433,'Residual Config'!$B$27:$D$27,0)))))</f>
        <v>46345</v>
      </c>
      <c r="Z433" s="7" t="str">
        <f aca="false">IF(I433="N/A","N/A",IF(N433="","Not tested",IF(W433="Rejected","Evidence rejected",IF(W433&lt;&gt;"Accepted","Evidence pending",IF(Y433&lt;'Residual Config'!$C$4,"Overdue","Current")))))</f>
        <v>Current</v>
      </c>
      <c r="AA433" s="34" t="n">
        <f aca="false">IF(I433="N/A","",IF(Z433&lt;&gt;"Current",4,IF(MAX(M433,T433)=0,4,MAX(M433,T433))))</f>
        <v>2</v>
      </c>
      <c r="AB433" s="7" t="str">
        <f aca="false">IF(AA433="","N/A",IF(Z433&lt;&gt;"Current","Not tested / overdue",INDEX('Residual Config'!$B$11:$B$14,AA433)))</f>
        <v>Largely effective</v>
      </c>
      <c r="AC433" s="36" t="n">
        <f aca="false">IF(AA433="","",INDEX('Residual Config'!$D$11:$D$14,AA433))</f>
        <v>0.4</v>
      </c>
      <c r="AD433" s="7" t="str">
        <f aca="false">IF(OR(I433="N/A",P433="",Q433=""),"",IF(P433&gt;=Q433,"Yes","No"))</f>
        <v>Yes</v>
      </c>
      <c r="AE433" s="8"/>
    </row>
    <row r="434" customFormat="false" ht="15" hidden="false" customHeight="false" outlineLevel="0" collapsed="false">
      <c r="A434" s="12" t="s">
        <v>1797</v>
      </c>
      <c r="B434" s="26" t="str">
        <f aca="false">Entities!$A$14</f>
        <v>AE</v>
      </c>
      <c r="C434" s="12" t="str">
        <f aca="false">INDEX(Entities!$B$5:$B$34,MATCH(B434,Entities!$A$5:$A$34,0))</f>
        <v>Arab Bank – UAE</v>
      </c>
      <c r="D434" s="7" t="str">
        <f aca="false">INDEX(Entities!$F$5:$F$34,MATCH(B434,Entities!$A$5:$A$34,0))</f>
        <v>Tier 1</v>
      </c>
      <c r="E434" s="26" t="str">
        <f aca="false">'Control Library'!$A$47</f>
        <v>CTL-ST-01</v>
      </c>
      <c r="F434" s="12" t="str">
        <f aca="false">INDEX('Control Library'!$B$5:$B$47,MATCH(E434,'Control Library'!$A$5:$A$47,0))</f>
        <v>Strategy execution monitoring and E&amp;S screening of lending</v>
      </c>
      <c r="G434" s="7" t="str">
        <f aca="false">INDEX('Control Library'!$F$5:$F$47,MATCH(E434,'Control Library'!$A$5:$A$47,0))</f>
        <v>Y</v>
      </c>
      <c r="H434" s="12" t="str">
        <f aca="false">INDEX('Control Library'!$E$5:$E$47,MATCH(E434,'Control Library'!$A$5:$A$47,0))</f>
        <v>Quarterly</v>
      </c>
      <c r="I434" s="7" t="str">
        <f aca="false">IF(INDEX('Control Library'!$I$5:$I$47,MATCH(E434,'Control Library'!$A$5:$A$47,0))="All","Y",IF(INDEX('Control Library'!$I$5:$I$47,MATCH(E434,'Control Library'!$A$5:$A$47,0))="Banks only",IF(COUNTIF('Residual Config'!$L$28:$L$30,INDEX(Entities!$E$5:$E$34,MATCH(B434,Entities!$A$5:$A$34,0)))&gt;0,"N/A","Y"),IF(INDEX(Entities!$G$5:$G$34,MATCH(B434,Entities!$A$5:$A$34,0))="Y","Y","N/A")))</f>
        <v>Y</v>
      </c>
      <c r="J434" s="8" t="s">
        <v>1798</v>
      </c>
      <c r="K434" s="8" t="s">
        <v>752</v>
      </c>
      <c r="L434" s="7" t="str">
        <f aca="false">IF(OR(J434="",K434=""),"",IF(J434=K434,"Breach","OK"))</f>
        <v>OK</v>
      </c>
      <c r="M434" s="24" t="n">
        <v>1</v>
      </c>
      <c r="N434" s="50" t="n">
        <v>46276</v>
      </c>
      <c r="O434" s="8" t="s">
        <v>545</v>
      </c>
      <c r="P434" s="24" t="n">
        <v>2</v>
      </c>
      <c r="Q434" s="31" t="n">
        <f aca="false">IF(I434="N/A","",IFERROR(INDEX('Residual Config'!$B$35:$B$42,MATCH(H434,'Residual Config'!$A$35:$A$42,0)),""))</f>
        <v>2</v>
      </c>
      <c r="R434" s="24" t="n">
        <v>1</v>
      </c>
      <c r="S434" s="8" t="s">
        <v>521</v>
      </c>
      <c r="T434" s="31" t="n">
        <f aca="false">IF(S434="","",MATCH(S434,'Residual Config'!$L$9:$L$12,0))</f>
        <v>2</v>
      </c>
      <c r="U434" s="8" t="s">
        <v>1799</v>
      </c>
      <c r="V434" s="24" t="n">
        <v>6</v>
      </c>
      <c r="W434" s="33" t="s">
        <v>533</v>
      </c>
      <c r="X434" s="8" t="s">
        <v>754</v>
      </c>
      <c r="Y434" s="51" t="n">
        <f aca="false">IF(N434="","",EDATE(N434,IF(G434="N",INDEX('Residual Config'!$B$31:$D$31,1,MATCH(D434,'Residual Config'!$B$27:$D$27,0)),INDEX('Residual Config'!$B$28:$D$30,IF(T434=1,1,IF(T434=4,3,2)),MATCH(D434,'Residual Config'!$B$27:$D$27,0)))))</f>
        <v>46367</v>
      </c>
      <c r="Z434" s="7" t="str">
        <f aca="false">IF(I434="N/A","N/A",IF(N434="","Not tested",IF(W434="Rejected","Evidence rejected",IF(W434&lt;&gt;"Accepted","Evidence pending",IF(Y434&lt;'Residual Config'!$C$4,"Overdue","Current")))))</f>
        <v>Current</v>
      </c>
      <c r="AA434" s="34" t="n">
        <f aca="false">IF(I434="N/A","",IF(Z434&lt;&gt;"Current",4,IF(MAX(M434,T434)=0,4,MAX(M434,T434))))</f>
        <v>2</v>
      </c>
      <c r="AB434" s="7" t="str">
        <f aca="false">IF(AA434="","N/A",IF(Z434&lt;&gt;"Current","Not tested / overdue",INDEX('Residual Config'!$B$11:$B$14,AA434)))</f>
        <v>Largely effective</v>
      </c>
      <c r="AC434" s="36" t="n">
        <f aca="false">IF(AA434="","",INDEX('Residual Config'!$D$11:$D$14,AA434))</f>
        <v>0.4</v>
      </c>
      <c r="AD434" s="7" t="str">
        <f aca="false">IF(OR(I434="N/A",P434="",Q434=""),"",IF(P434&gt;=Q434,"Yes","No"))</f>
        <v>Yes</v>
      </c>
      <c r="AE434" s="8"/>
    </row>
    <row r="435" customFormat="false" ht="15" hidden="false" customHeight="false" outlineLevel="0" collapsed="false">
      <c r="A435" s="12" t="s">
        <v>1800</v>
      </c>
      <c r="B435" s="26" t="str">
        <f aca="false">Entities!$A$15</f>
        <v>BH</v>
      </c>
      <c r="C435" s="12" t="str">
        <f aca="false">INDEX(Entities!$B$5:$B$34,MATCH(B435,Entities!$A$5:$A$34,0))</f>
        <v>Arab Bank – Bahrain</v>
      </c>
      <c r="D435" s="7" t="str">
        <f aca="false">INDEX(Entities!$F$5:$F$34,MATCH(B435,Entities!$A$5:$A$34,0))</f>
        <v>Tier 2</v>
      </c>
      <c r="E435" s="26" t="str">
        <f aca="false">'Control Library'!$A$5</f>
        <v>CTL-KYC-01</v>
      </c>
      <c r="F435" s="12" t="str">
        <f aca="false">INDEX('Control Library'!$B$5:$B$47,MATCH(E435,'Control Library'!$A$5:$A$47,0))</f>
        <v>Customer due diligence and ID verification at onboarding</v>
      </c>
      <c r="G435" s="7" t="str">
        <f aca="false">INDEX('Control Library'!$F$5:$F$47,MATCH(E435,'Control Library'!$A$5:$A$47,0))</f>
        <v>Y</v>
      </c>
      <c r="H435" s="12" t="str">
        <f aca="false">INDEX('Control Library'!$E$5:$E$47,MATCH(E435,'Control Library'!$A$5:$A$47,0))</f>
        <v>Event-driven</v>
      </c>
      <c r="I435" s="7" t="str">
        <f aca="false">IF(INDEX('Control Library'!$I$5:$I$47,MATCH(E435,'Control Library'!$A$5:$A$47,0))="All","Y",IF(INDEX('Control Library'!$I$5:$I$47,MATCH(E435,'Control Library'!$A$5:$A$47,0))="Banks only",IF(COUNTIF('Residual Config'!$L$28:$L$30,INDEX(Entities!$E$5:$E$34,MATCH(B435,Entities!$A$5:$A$34,0)))&gt;0,"N/A","Y"),IF(INDEX(Entities!$G$5:$G$34,MATCH(B435,Entities!$A$5:$A$34,0))="Y","Y","N/A")))</f>
        <v>Y</v>
      </c>
      <c r="J435" s="8" t="s">
        <v>1801</v>
      </c>
      <c r="K435" s="8" t="s">
        <v>1802</v>
      </c>
      <c r="L435" s="7" t="str">
        <f aca="false">IF(OR(J435="",K435=""),"",IF(J435=K435,"Breach","OK"))</f>
        <v>OK</v>
      </c>
      <c r="M435" s="24" t="n">
        <v>2</v>
      </c>
      <c r="N435" s="50" t="n">
        <v>46281</v>
      </c>
      <c r="O435" s="8" t="s">
        <v>545</v>
      </c>
      <c r="P435" s="24" t="n">
        <v>25</v>
      </c>
      <c r="Q435" s="31" t="n">
        <f aca="false">IF(I435="N/A","",IFERROR(INDEX('Residual Config'!$B$35:$B$42,MATCH(H435,'Residual Config'!$A$35:$A$42,0)),""))</f>
        <v>25</v>
      </c>
      <c r="R435" s="24" t="n">
        <v>1</v>
      </c>
      <c r="S435" s="8" t="s">
        <v>521</v>
      </c>
      <c r="T435" s="31" t="n">
        <f aca="false">IF(S435="","",MATCH(S435,'Residual Config'!$L$9:$L$12,0))</f>
        <v>2</v>
      </c>
      <c r="U435" s="8" t="s">
        <v>1803</v>
      </c>
      <c r="V435" s="24" t="n">
        <v>1</v>
      </c>
      <c r="W435" s="33" t="s">
        <v>533</v>
      </c>
      <c r="X435" s="8" t="s">
        <v>760</v>
      </c>
      <c r="Y435" s="51" t="n">
        <f aca="false">IF(N435="","",EDATE(N435,IF(G435="N",INDEX('Residual Config'!$B$31:$D$31,1,MATCH(D435,'Residual Config'!$B$27:$D$27,0)),INDEX('Residual Config'!$B$28:$D$30,IF(T435=1,1,IF(T435=4,3,2)),MATCH(D435,'Residual Config'!$B$27:$D$27,0)))))</f>
        <v>46462</v>
      </c>
      <c r="Z435" s="7" t="str">
        <f aca="false">IF(I435="N/A","N/A",IF(N435="","Not tested",IF(W435="Rejected","Evidence rejected",IF(W435&lt;&gt;"Accepted","Evidence pending",IF(Y435&lt;'Residual Config'!$C$4,"Overdue","Current")))))</f>
        <v>Current</v>
      </c>
      <c r="AA435" s="34" t="n">
        <f aca="false">IF(I435="N/A","",IF(Z435&lt;&gt;"Current",4,IF(MAX(M435,T435)=0,4,MAX(M435,T435))))</f>
        <v>2</v>
      </c>
      <c r="AB435" s="7" t="str">
        <f aca="false">IF(AA435="","N/A",IF(Z435&lt;&gt;"Current","Not tested / overdue",INDEX('Residual Config'!$B$11:$B$14,AA435)))</f>
        <v>Largely effective</v>
      </c>
      <c r="AC435" s="36" t="n">
        <f aca="false">IF(AA435="","",INDEX('Residual Config'!$D$11:$D$14,AA435))</f>
        <v>0.4</v>
      </c>
      <c r="AD435" s="7" t="str">
        <f aca="false">IF(OR(I435="N/A",P435="",Q435=""),"",IF(P435&gt;=Q435,"Yes","No"))</f>
        <v>Yes</v>
      </c>
      <c r="AE435" s="8"/>
    </row>
    <row r="436" customFormat="false" ht="15" hidden="false" customHeight="false" outlineLevel="0" collapsed="false">
      <c r="A436" s="12" t="s">
        <v>1804</v>
      </c>
      <c r="B436" s="26" t="str">
        <f aca="false">Entities!$A$15</f>
        <v>BH</v>
      </c>
      <c r="C436" s="12" t="str">
        <f aca="false">INDEX(Entities!$B$5:$B$34,MATCH(B436,Entities!$A$5:$A$34,0))</f>
        <v>Arab Bank – Bahrain</v>
      </c>
      <c r="D436" s="7" t="str">
        <f aca="false">INDEX(Entities!$F$5:$F$34,MATCH(B436,Entities!$A$5:$A$34,0))</f>
        <v>Tier 2</v>
      </c>
      <c r="E436" s="26" t="str">
        <f aca="false">'Control Library'!$A$6</f>
        <v>CTL-KYC-02</v>
      </c>
      <c r="F436" s="12" t="str">
        <f aca="false">INDEX('Control Library'!$B$5:$B$47,MATCH(E436,'Control Library'!$A$5:$A$47,0))</f>
        <v>Enhanced due diligence for high-risk customers and PEPs, senior approval</v>
      </c>
      <c r="G436" s="7" t="str">
        <f aca="false">INDEX('Control Library'!$F$5:$F$47,MATCH(E436,'Control Library'!$A$5:$A$47,0))</f>
        <v>Y</v>
      </c>
      <c r="H436" s="12" t="str">
        <f aca="false">INDEX('Control Library'!$E$5:$E$47,MATCH(E436,'Control Library'!$A$5:$A$47,0))</f>
        <v>Event-driven</v>
      </c>
      <c r="I436" s="7" t="str">
        <f aca="false">IF(INDEX('Control Library'!$I$5:$I$47,MATCH(E436,'Control Library'!$A$5:$A$47,0))="All","Y",IF(INDEX('Control Library'!$I$5:$I$47,MATCH(E436,'Control Library'!$A$5:$A$47,0))="Banks only",IF(COUNTIF('Residual Config'!$L$28:$L$30,INDEX(Entities!$E$5:$E$34,MATCH(B436,Entities!$A$5:$A$34,0)))&gt;0,"N/A","Y"),IF(INDEX(Entities!$G$5:$G$34,MATCH(B436,Entities!$A$5:$A$34,0))="Y","Y","N/A")))</f>
        <v>Y</v>
      </c>
      <c r="J436" s="8" t="s">
        <v>1805</v>
      </c>
      <c r="K436" s="8" t="s">
        <v>1802</v>
      </c>
      <c r="L436" s="7" t="str">
        <f aca="false">IF(OR(J436="",K436=""),"",IF(J436=K436,"Breach","OK"))</f>
        <v>OK</v>
      </c>
      <c r="M436" s="24" t="n">
        <v>2</v>
      </c>
      <c r="N436" s="50" t="n">
        <v>46262</v>
      </c>
      <c r="O436" s="8" t="s">
        <v>545</v>
      </c>
      <c r="P436" s="24" t="n">
        <v>25</v>
      </c>
      <c r="Q436" s="31" t="n">
        <f aca="false">IF(I436="N/A","",IFERROR(INDEX('Residual Config'!$B$35:$B$42,MATCH(H436,'Residual Config'!$A$35:$A$42,0)),""))</f>
        <v>25</v>
      </c>
      <c r="R436" s="24" t="n">
        <v>1</v>
      </c>
      <c r="S436" s="8" t="s">
        <v>521</v>
      </c>
      <c r="T436" s="31" t="n">
        <f aca="false">IF(S436="","",MATCH(S436,'Residual Config'!$L$9:$L$12,0))</f>
        <v>2</v>
      </c>
      <c r="U436" s="8" t="s">
        <v>1806</v>
      </c>
      <c r="V436" s="24" t="n">
        <v>5</v>
      </c>
      <c r="W436" s="33" t="s">
        <v>533</v>
      </c>
      <c r="X436" s="8" t="s">
        <v>754</v>
      </c>
      <c r="Y436" s="51" t="n">
        <f aca="false">IF(N436="","",EDATE(N436,IF(G436="N",INDEX('Residual Config'!$B$31:$D$31,1,MATCH(D436,'Residual Config'!$B$27:$D$27,0)),INDEX('Residual Config'!$B$28:$D$30,IF(T436=1,1,IF(T436=4,3,2)),MATCH(D436,'Residual Config'!$B$27:$D$27,0)))))</f>
        <v>46446</v>
      </c>
      <c r="Z436" s="7" t="str">
        <f aca="false">IF(I436="N/A","N/A",IF(N436="","Not tested",IF(W436="Rejected","Evidence rejected",IF(W436&lt;&gt;"Accepted","Evidence pending",IF(Y436&lt;'Residual Config'!$C$4,"Overdue","Current")))))</f>
        <v>Current</v>
      </c>
      <c r="AA436" s="34" t="n">
        <f aca="false">IF(I436="N/A","",IF(Z436&lt;&gt;"Current",4,IF(MAX(M436,T436)=0,4,MAX(M436,T436))))</f>
        <v>2</v>
      </c>
      <c r="AB436" s="7" t="str">
        <f aca="false">IF(AA436="","N/A",IF(Z436&lt;&gt;"Current","Not tested / overdue",INDEX('Residual Config'!$B$11:$B$14,AA436)))</f>
        <v>Largely effective</v>
      </c>
      <c r="AC436" s="36" t="n">
        <f aca="false">IF(AA436="","",INDEX('Residual Config'!$D$11:$D$14,AA436))</f>
        <v>0.4</v>
      </c>
      <c r="AD436" s="7" t="str">
        <f aca="false">IF(OR(I436="N/A",P436="",Q436=""),"",IF(P436&gt;=Q436,"Yes","No"))</f>
        <v>Yes</v>
      </c>
      <c r="AE436" s="8"/>
    </row>
    <row r="437" customFormat="false" ht="15" hidden="false" customHeight="false" outlineLevel="0" collapsed="false">
      <c r="A437" s="12" t="s">
        <v>1807</v>
      </c>
      <c r="B437" s="26" t="str">
        <f aca="false">Entities!$A$15</f>
        <v>BH</v>
      </c>
      <c r="C437" s="12" t="str">
        <f aca="false">INDEX(Entities!$B$5:$B$34,MATCH(B437,Entities!$A$5:$A$34,0))</f>
        <v>Arab Bank – Bahrain</v>
      </c>
      <c r="D437" s="7" t="str">
        <f aca="false">INDEX(Entities!$F$5:$F$34,MATCH(B437,Entities!$A$5:$A$34,0))</f>
        <v>Tier 2</v>
      </c>
      <c r="E437" s="26" t="str">
        <f aca="false">'Control Library'!$A$7</f>
        <v>CTL-KYC-03</v>
      </c>
      <c r="F437" s="12" t="str">
        <f aca="false">INDEX('Control Library'!$B$5:$B$47,MATCH(E437,'Control Library'!$A$5:$A$47,0))</f>
        <v>Ultimate beneficial owner identification and verification</v>
      </c>
      <c r="G437" s="7" t="str">
        <f aca="false">INDEX('Control Library'!$F$5:$F$47,MATCH(E437,'Control Library'!$A$5:$A$47,0))</f>
        <v>Y</v>
      </c>
      <c r="H437" s="12" t="str">
        <f aca="false">INDEX('Control Library'!$E$5:$E$47,MATCH(E437,'Control Library'!$A$5:$A$47,0))</f>
        <v>Event-driven</v>
      </c>
      <c r="I437" s="7" t="str">
        <f aca="false">IF(INDEX('Control Library'!$I$5:$I$47,MATCH(E437,'Control Library'!$A$5:$A$47,0))="All","Y",IF(INDEX('Control Library'!$I$5:$I$47,MATCH(E437,'Control Library'!$A$5:$A$47,0))="Banks only",IF(COUNTIF('Residual Config'!$L$28:$L$30,INDEX(Entities!$E$5:$E$34,MATCH(B437,Entities!$A$5:$A$34,0)))&gt;0,"N/A","Y"),IF(INDEX(Entities!$G$5:$G$34,MATCH(B437,Entities!$A$5:$A$34,0))="Y","Y","N/A")))</f>
        <v>Y</v>
      </c>
      <c r="J437" s="8" t="s">
        <v>1801</v>
      </c>
      <c r="K437" s="8" t="s">
        <v>1802</v>
      </c>
      <c r="L437" s="7" t="str">
        <f aca="false">IF(OR(J437="",K437=""),"",IF(J437=K437,"Breach","OK"))</f>
        <v>OK</v>
      </c>
      <c r="M437" s="24" t="n">
        <v>2</v>
      </c>
      <c r="N437" s="50" t="n">
        <v>46163</v>
      </c>
      <c r="O437" s="8" t="s">
        <v>546</v>
      </c>
      <c r="P437" s="24" t="n">
        <v>35</v>
      </c>
      <c r="Q437" s="31" t="n">
        <f aca="false">IF(I437="N/A","",IFERROR(INDEX('Residual Config'!$B$35:$B$42,MATCH(H437,'Residual Config'!$A$35:$A$42,0)),""))</f>
        <v>25</v>
      </c>
      <c r="R437" s="24" t="n">
        <v>1</v>
      </c>
      <c r="S437" s="8" t="s">
        <v>521</v>
      </c>
      <c r="T437" s="31" t="n">
        <f aca="false">IF(S437="","",MATCH(S437,'Residual Config'!$L$9:$L$12,0))</f>
        <v>2</v>
      </c>
      <c r="U437" s="8" t="s">
        <v>1808</v>
      </c>
      <c r="V437" s="24" t="n">
        <v>2</v>
      </c>
      <c r="W437" s="33" t="s">
        <v>533</v>
      </c>
      <c r="X437" s="8" t="s">
        <v>760</v>
      </c>
      <c r="Y437" s="51" t="n">
        <f aca="false">IF(N437="","",EDATE(N437,IF(G437="N",INDEX('Residual Config'!$B$31:$D$31,1,MATCH(D437,'Residual Config'!$B$27:$D$27,0)),INDEX('Residual Config'!$B$28:$D$30,IF(T437=1,1,IF(T437=4,3,2)),MATCH(D437,'Residual Config'!$B$27:$D$27,0)))))</f>
        <v>46347</v>
      </c>
      <c r="Z437" s="7" t="str">
        <f aca="false">IF(I437="N/A","N/A",IF(N437="","Not tested",IF(W437="Rejected","Evidence rejected",IF(W437&lt;&gt;"Accepted","Evidence pending",IF(Y437&lt;'Residual Config'!$C$4,"Overdue","Current")))))</f>
        <v>Current</v>
      </c>
      <c r="AA437" s="34" t="n">
        <f aca="false">IF(I437="N/A","",IF(Z437&lt;&gt;"Current",4,IF(MAX(M437,T437)=0,4,MAX(M437,T437))))</f>
        <v>2</v>
      </c>
      <c r="AB437" s="7" t="str">
        <f aca="false">IF(AA437="","N/A",IF(Z437&lt;&gt;"Current","Not tested / overdue",INDEX('Residual Config'!$B$11:$B$14,AA437)))</f>
        <v>Largely effective</v>
      </c>
      <c r="AC437" s="36" t="n">
        <f aca="false">IF(AA437="","",INDEX('Residual Config'!$D$11:$D$14,AA437))</f>
        <v>0.4</v>
      </c>
      <c r="AD437" s="7" t="str">
        <f aca="false">IF(OR(I437="N/A",P437="",Q437=""),"",IF(P437&gt;=Q437,"Yes","No"))</f>
        <v>Yes</v>
      </c>
      <c r="AE437" s="8"/>
    </row>
    <row r="438" customFormat="false" ht="15" hidden="false" customHeight="false" outlineLevel="0" collapsed="false">
      <c r="A438" s="12" t="s">
        <v>1809</v>
      </c>
      <c r="B438" s="26" t="str">
        <f aca="false">Entities!$A$15</f>
        <v>BH</v>
      </c>
      <c r="C438" s="12" t="str">
        <f aca="false">INDEX(Entities!$B$5:$B$34,MATCH(B438,Entities!$A$5:$A$34,0))</f>
        <v>Arab Bank – Bahrain</v>
      </c>
      <c r="D438" s="7" t="str">
        <f aca="false">INDEX(Entities!$F$5:$F$34,MATCH(B438,Entities!$A$5:$A$34,0))</f>
        <v>Tier 2</v>
      </c>
      <c r="E438" s="26" t="str">
        <f aca="false">'Control Library'!$A$8</f>
        <v>CTL-KYC-04</v>
      </c>
      <c r="F438" s="12" t="str">
        <f aca="false">INDEX('Control Library'!$B$5:$B$47,MATCH(E438,'Control Library'!$A$5:$A$47,0))</f>
        <v>Periodic KYC review by customer risk rating</v>
      </c>
      <c r="G438" s="7" t="str">
        <f aca="false">INDEX('Control Library'!$F$5:$F$47,MATCH(E438,'Control Library'!$A$5:$A$47,0))</f>
        <v>Y</v>
      </c>
      <c r="H438" s="12" t="str">
        <f aca="false">INDEX('Control Library'!$E$5:$E$47,MATCH(E438,'Control Library'!$A$5:$A$47,0))</f>
        <v>Monthly</v>
      </c>
      <c r="I438" s="7" t="str">
        <f aca="false">IF(INDEX('Control Library'!$I$5:$I$47,MATCH(E438,'Control Library'!$A$5:$A$47,0))="All","Y",IF(INDEX('Control Library'!$I$5:$I$47,MATCH(E438,'Control Library'!$A$5:$A$47,0))="Banks only",IF(COUNTIF('Residual Config'!$L$28:$L$30,INDEX(Entities!$E$5:$E$34,MATCH(B438,Entities!$A$5:$A$34,0)))&gt;0,"N/A","Y"),IF(INDEX(Entities!$G$5:$G$34,MATCH(B438,Entities!$A$5:$A$34,0))="Y","Y","N/A")))</f>
        <v>Y</v>
      </c>
      <c r="J438" s="8" t="s">
        <v>1801</v>
      </c>
      <c r="K438" s="8" t="s">
        <v>1802</v>
      </c>
      <c r="L438" s="7" t="str">
        <f aca="false">IF(OR(J438="",K438=""),"",IF(J438=K438,"Breach","OK"))</f>
        <v>OK</v>
      </c>
      <c r="M438" s="24" t="n">
        <v>2</v>
      </c>
      <c r="N438" s="50" t="n">
        <v>46223</v>
      </c>
      <c r="O438" s="8" t="s">
        <v>546</v>
      </c>
      <c r="P438" s="24" t="n">
        <v>3</v>
      </c>
      <c r="Q438" s="31" t="n">
        <f aca="false">IF(I438="N/A","",IFERROR(INDEX('Residual Config'!$B$35:$B$42,MATCH(H438,'Residual Config'!$A$35:$A$42,0)),""))</f>
        <v>3</v>
      </c>
      <c r="R438" s="24" t="n">
        <v>0</v>
      </c>
      <c r="S438" s="8" t="s">
        <v>516</v>
      </c>
      <c r="T438" s="31" t="n">
        <f aca="false">IF(S438="","",MATCH(S438,'Residual Config'!$L$9:$L$12,0))</f>
        <v>1</v>
      </c>
      <c r="U438" s="8" t="s">
        <v>1810</v>
      </c>
      <c r="V438" s="24" t="n">
        <v>5</v>
      </c>
      <c r="W438" s="33" t="s">
        <v>533</v>
      </c>
      <c r="X438" s="8" t="s">
        <v>760</v>
      </c>
      <c r="Y438" s="51" t="n">
        <f aca="false">IF(N438="","",EDATE(N438,IF(G438="N",INDEX('Residual Config'!$B$31:$D$31,1,MATCH(D438,'Residual Config'!$B$27:$D$27,0)),INDEX('Residual Config'!$B$28:$D$30,IF(T438=1,1,IF(T438=4,3,2)),MATCH(D438,'Residual Config'!$B$27:$D$27,0)))))</f>
        <v>46588</v>
      </c>
      <c r="Z438" s="7" t="str">
        <f aca="false">IF(I438="N/A","N/A",IF(N438="","Not tested",IF(W438="Rejected","Evidence rejected",IF(W438&lt;&gt;"Accepted","Evidence pending",IF(Y438&lt;'Residual Config'!$C$4,"Overdue","Current")))))</f>
        <v>Current</v>
      </c>
      <c r="AA438" s="34" t="n">
        <f aca="false">IF(I438="N/A","",IF(Z438&lt;&gt;"Current",4,IF(MAX(M438,T438)=0,4,MAX(M438,T438))))</f>
        <v>2</v>
      </c>
      <c r="AB438" s="7" t="str">
        <f aca="false">IF(AA438="","N/A",IF(Z438&lt;&gt;"Current","Not tested / overdue",INDEX('Residual Config'!$B$11:$B$14,AA438)))</f>
        <v>Largely effective</v>
      </c>
      <c r="AC438" s="36" t="n">
        <f aca="false">IF(AA438="","",INDEX('Residual Config'!$D$11:$D$14,AA438))</f>
        <v>0.4</v>
      </c>
      <c r="AD438" s="7" t="str">
        <f aca="false">IF(OR(I438="N/A",P438="",Q438=""),"",IF(P438&gt;=Q438,"Yes","No"))</f>
        <v>Yes</v>
      </c>
      <c r="AE438" s="8"/>
    </row>
    <row r="439" customFormat="false" ht="15" hidden="false" customHeight="false" outlineLevel="0" collapsed="false">
      <c r="A439" s="12" t="s">
        <v>1811</v>
      </c>
      <c r="B439" s="26" t="str">
        <f aca="false">Entities!$A$15</f>
        <v>BH</v>
      </c>
      <c r="C439" s="12" t="str">
        <f aca="false">INDEX(Entities!$B$5:$B$34,MATCH(B439,Entities!$A$5:$A$34,0))</f>
        <v>Arab Bank – Bahrain</v>
      </c>
      <c r="D439" s="7" t="str">
        <f aca="false">INDEX(Entities!$F$5:$F$34,MATCH(B439,Entities!$A$5:$A$34,0))</f>
        <v>Tier 2</v>
      </c>
      <c r="E439" s="26" t="str">
        <f aca="false">'Control Library'!$A$9</f>
        <v>CTL-CRR-01</v>
      </c>
      <c r="F439" s="12" t="str">
        <f aca="false">INDEX('Control Library'!$B$5:$B$47,MATCH(E439,'Control Library'!$A$5:$A$47,0))</f>
        <v>Customer risk rating model and annual validation</v>
      </c>
      <c r="G439" s="7" t="str">
        <f aca="false">INDEX('Control Library'!$F$5:$F$47,MATCH(E439,'Control Library'!$A$5:$A$47,0))</f>
        <v>N</v>
      </c>
      <c r="H439" s="12" t="str">
        <f aca="false">INDEX('Control Library'!$E$5:$E$47,MATCH(E439,'Control Library'!$A$5:$A$47,0))</f>
        <v>Annual</v>
      </c>
      <c r="I439" s="7" t="str">
        <f aca="false">IF(INDEX('Control Library'!$I$5:$I$47,MATCH(E439,'Control Library'!$A$5:$A$47,0))="All","Y",IF(INDEX('Control Library'!$I$5:$I$47,MATCH(E439,'Control Library'!$A$5:$A$47,0))="Banks only",IF(COUNTIF('Residual Config'!$L$28:$L$30,INDEX(Entities!$E$5:$E$34,MATCH(B439,Entities!$A$5:$A$34,0)))&gt;0,"N/A","Y"),IF(INDEX(Entities!$G$5:$G$34,MATCH(B439,Entities!$A$5:$A$34,0))="Y","Y","N/A")))</f>
        <v>Y</v>
      </c>
      <c r="J439" s="8" t="s">
        <v>1805</v>
      </c>
      <c r="K439" s="8" t="s">
        <v>1802</v>
      </c>
      <c r="L439" s="7" t="str">
        <f aca="false">IF(OR(J439="",K439=""),"",IF(J439=K439,"Breach","OK"))</f>
        <v>OK</v>
      </c>
      <c r="M439" s="24" t="n">
        <v>2</v>
      </c>
      <c r="N439" s="50" t="n">
        <v>46097</v>
      </c>
      <c r="O439" s="8" t="s">
        <v>547</v>
      </c>
      <c r="P439" s="24" t="n">
        <v>1</v>
      </c>
      <c r="Q439" s="31" t="n">
        <f aca="false">IF(I439="N/A","",IFERROR(INDEX('Residual Config'!$B$35:$B$42,MATCH(H439,'Residual Config'!$A$35:$A$42,0)),""))</f>
        <v>1</v>
      </c>
      <c r="R439" s="24" t="n">
        <v>0</v>
      </c>
      <c r="S439" s="8" t="s">
        <v>516</v>
      </c>
      <c r="T439" s="31" t="n">
        <f aca="false">IF(S439="","",MATCH(S439,'Residual Config'!$L$9:$L$12,0))</f>
        <v>1</v>
      </c>
      <c r="U439" s="8" t="s">
        <v>1812</v>
      </c>
      <c r="V439" s="24" t="n">
        <v>4</v>
      </c>
      <c r="W439" s="33" t="s">
        <v>533</v>
      </c>
      <c r="X439" s="8" t="s">
        <v>760</v>
      </c>
      <c r="Y439" s="51" t="n">
        <f aca="false">IF(N439="","",EDATE(N439,IF(G439="N",INDEX('Residual Config'!$B$31:$D$31,1,MATCH(D439,'Residual Config'!$B$27:$D$27,0)),INDEX('Residual Config'!$B$28:$D$30,IF(T439=1,1,IF(T439=4,3,2)),MATCH(D439,'Residual Config'!$B$27:$D$27,0)))))</f>
        <v>46462</v>
      </c>
      <c r="Z439" s="7" t="str">
        <f aca="false">IF(I439="N/A","N/A",IF(N439="","Not tested",IF(W439="Rejected","Evidence rejected",IF(W439&lt;&gt;"Accepted","Evidence pending",IF(Y439&lt;'Residual Config'!$C$4,"Overdue","Current")))))</f>
        <v>Current</v>
      </c>
      <c r="AA439" s="34" t="n">
        <f aca="false">IF(I439="N/A","",IF(Z439&lt;&gt;"Current",4,IF(MAX(M439,T439)=0,4,MAX(M439,T439))))</f>
        <v>2</v>
      </c>
      <c r="AB439" s="7" t="str">
        <f aca="false">IF(AA439="","N/A",IF(Z439&lt;&gt;"Current","Not tested / overdue",INDEX('Residual Config'!$B$11:$B$14,AA439)))</f>
        <v>Largely effective</v>
      </c>
      <c r="AC439" s="36" t="n">
        <f aca="false">IF(AA439="","",INDEX('Residual Config'!$D$11:$D$14,AA439))</f>
        <v>0.4</v>
      </c>
      <c r="AD439" s="7" t="str">
        <f aca="false">IF(OR(I439="N/A",P439="",Q439=""),"",IF(P439&gt;=Q439,"Yes","No"))</f>
        <v>Yes</v>
      </c>
      <c r="AE439" s="8"/>
    </row>
    <row r="440" customFormat="false" ht="15" hidden="false" customHeight="false" outlineLevel="0" collapsed="false">
      <c r="A440" s="12" t="s">
        <v>1813</v>
      </c>
      <c r="B440" s="26" t="str">
        <f aca="false">Entities!$A$15</f>
        <v>BH</v>
      </c>
      <c r="C440" s="12" t="str">
        <f aca="false">INDEX(Entities!$B$5:$B$34,MATCH(B440,Entities!$A$5:$A$34,0))</f>
        <v>Arab Bank – Bahrain</v>
      </c>
      <c r="D440" s="7" t="str">
        <f aca="false">INDEX(Entities!$F$5:$F$34,MATCH(B440,Entities!$A$5:$A$34,0))</f>
        <v>Tier 2</v>
      </c>
      <c r="E440" s="26" t="str">
        <f aca="false">'Control Library'!$A$10</f>
        <v>CTL-TM-01</v>
      </c>
      <c r="F440" s="12" t="str">
        <f aca="false">INDEX('Control Library'!$B$5:$B$47,MATCH(E440,'Control Library'!$A$5:$A$47,0))</f>
        <v>Automated transaction monitoring scenarios and annual tuning</v>
      </c>
      <c r="G440" s="7" t="str">
        <f aca="false">INDEX('Control Library'!$F$5:$F$47,MATCH(E440,'Control Library'!$A$5:$A$47,0))</f>
        <v>Y</v>
      </c>
      <c r="H440" s="12" t="str">
        <f aca="false">INDEX('Control Library'!$E$5:$E$47,MATCH(E440,'Control Library'!$A$5:$A$47,0))</f>
        <v>Continuous</v>
      </c>
      <c r="I440" s="7" t="str">
        <f aca="false">IF(INDEX('Control Library'!$I$5:$I$47,MATCH(E440,'Control Library'!$A$5:$A$47,0))="All","Y",IF(INDEX('Control Library'!$I$5:$I$47,MATCH(E440,'Control Library'!$A$5:$A$47,0))="Banks only",IF(COUNTIF('Residual Config'!$L$28:$L$30,INDEX(Entities!$E$5:$E$34,MATCH(B440,Entities!$A$5:$A$34,0)))&gt;0,"N/A","Y"),IF(INDEX(Entities!$G$5:$G$34,MATCH(B440,Entities!$A$5:$A$34,0))="Y","Y","N/A")))</f>
        <v>Y</v>
      </c>
      <c r="J440" s="8" t="s">
        <v>1814</v>
      </c>
      <c r="K440" s="8" t="s">
        <v>1802</v>
      </c>
      <c r="L440" s="7" t="str">
        <f aca="false">IF(OR(J440="",K440=""),"",IF(J440=K440,"Breach","OK"))</f>
        <v>OK</v>
      </c>
      <c r="M440" s="24" t="n">
        <v>2</v>
      </c>
      <c r="N440" s="50" t="n">
        <v>46250</v>
      </c>
      <c r="O440" s="8" t="s">
        <v>547</v>
      </c>
      <c r="P440" s="24" t="n">
        <v>1</v>
      </c>
      <c r="Q440" s="31" t="n">
        <f aca="false">IF(I440="N/A","",IFERROR(INDEX('Residual Config'!$B$35:$B$42,MATCH(H440,'Residual Config'!$A$35:$A$42,0)),""))</f>
        <v>1</v>
      </c>
      <c r="R440" s="24" t="n">
        <v>1</v>
      </c>
      <c r="S440" s="8" t="s">
        <v>521</v>
      </c>
      <c r="T440" s="31" t="n">
        <f aca="false">IF(S440="","",MATCH(S440,'Residual Config'!$L$9:$L$12,0))</f>
        <v>2</v>
      </c>
      <c r="U440" s="8" t="s">
        <v>1815</v>
      </c>
      <c r="V440" s="24" t="n">
        <v>6</v>
      </c>
      <c r="W440" s="33" t="s">
        <v>533</v>
      </c>
      <c r="X440" s="8" t="s">
        <v>754</v>
      </c>
      <c r="Y440" s="51" t="n">
        <f aca="false">IF(N440="","",EDATE(N440,IF(G440="N",INDEX('Residual Config'!$B$31:$D$31,1,MATCH(D440,'Residual Config'!$B$27:$D$27,0)),INDEX('Residual Config'!$B$28:$D$30,IF(T440=1,1,IF(T440=4,3,2)),MATCH(D440,'Residual Config'!$B$27:$D$27,0)))))</f>
        <v>46434</v>
      </c>
      <c r="Z440" s="7" t="str">
        <f aca="false">IF(I440="N/A","N/A",IF(N440="","Not tested",IF(W440="Rejected","Evidence rejected",IF(W440&lt;&gt;"Accepted","Evidence pending",IF(Y440&lt;'Residual Config'!$C$4,"Overdue","Current")))))</f>
        <v>Current</v>
      </c>
      <c r="AA440" s="34" t="n">
        <f aca="false">IF(I440="N/A","",IF(Z440&lt;&gt;"Current",4,IF(MAX(M440,T440)=0,4,MAX(M440,T440))))</f>
        <v>2</v>
      </c>
      <c r="AB440" s="7" t="str">
        <f aca="false">IF(AA440="","N/A",IF(Z440&lt;&gt;"Current","Not tested / overdue",INDEX('Residual Config'!$B$11:$B$14,AA440)))</f>
        <v>Largely effective</v>
      </c>
      <c r="AC440" s="36" t="n">
        <f aca="false">IF(AA440="","",INDEX('Residual Config'!$D$11:$D$14,AA440))</f>
        <v>0.4</v>
      </c>
      <c r="AD440" s="7" t="str">
        <f aca="false">IF(OR(I440="N/A",P440="",Q440=""),"",IF(P440&gt;=Q440,"Yes","No"))</f>
        <v>Yes</v>
      </c>
      <c r="AE440" s="8"/>
    </row>
    <row r="441" customFormat="false" ht="15" hidden="false" customHeight="false" outlineLevel="0" collapsed="false">
      <c r="A441" s="12" t="s">
        <v>1816</v>
      </c>
      <c r="B441" s="26" t="str">
        <f aca="false">Entities!$A$15</f>
        <v>BH</v>
      </c>
      <c r="C441" s="12" t="str">
        <f aca="false">INDEX(Entities!$B$5:$B$34,MATCH(B441,Entities!$A$5:$A$34,0))</f>
        <v>Arab Bank – Bahrain</v>
      </c>
      <c r="D441" s="7" t="str">
        <f aca="false">INDEX(Entities!$F$5:$F$34,MATCH(B441,Entities!$A$5:$A$34,0))</f>
        <v>Tier 2</v>
      </c>
      <c r="E441" s="26" t="str">
        <f aca="false">'Control Library'!$A$11</f>
        <v>CTL-TM-02</v>
      </c>
      <c r="F441" s="12" t="str">
        <f aca="false">INDEX('Control Library'!$B$5:$B$47,MATCH(E441,'Control Library'!$A$5:$A$47,0))</f>
        <v>Alert investigation and quality assurance within SLA</v>
      </c>
      <c r="G441" s="7" t="str">
        <f aca="false">INDEX('Control Library'!$F$5:$F$47,MATCH(E441,'Control Library'!$A$5:$A$47,0))</f>
        <v>Y</v>
      </c>
      <c r="H441" s="12" t="str">
        <f aca="false">INDEX('Control Library'!$E$5:$E$47,MATCH(E441,'Control Library'!$A$5:$A$47,0))</f>
        <v>Daily</v>
      </c>
      <c r="I441" s="7" t="str">
        <f aca="false">IF(INDEX('Control Library'!$I$5:$I$47,MATCH(E441,'Control Library'!$A$5:$A$47,0))="All","Y",IF(INDEX('Control Library'!$I$5:$I$47,MATCH(E441,'Control Library'!$A$5:$A$47,0))="Banks only",IF(COUNTIF('Residual Config'!$L$28:$L$30,INDEX(Entities!$E$5:$E$34,MATCH(B441,Entities!$A$5:$A$34,0)))&gt;0,"N/A","Y"),IF(INDEX(Entities!$G$5:$G$34,MATCH(B441,Entities!$A$5:$A$34,0))="Y","Y","N/A")))</f>
        <v>Y</v>
      </c>
      <c r="J441" s="8" t="s">
        <v>1814</v>
      </c>
      <c r="K441" s="8" t="s">
        <v>1802</v>
      </c>
      <c r="L441" s="7" t="str">
        <f aca="false">IF(OR(J441="",K441=""),"",IF(J441=K441,"Breach","OK"))</f>
        <v>OK</v>
      </c>
      <c r="M441" s="24" t="n">
        <v>2</v>
      </c>
      <c r="N441" s="50" t="n">
        <v>46230</v>
      </c>
      <c r="O441" s="8" t="s">
        <v>546</v>
      </c>
      <c r="P441" s="24" t="n">
        <v>25</v>
      </c>
      <c r="Q441" s="31" t="n">
        <f aca="false">IF(I441="N/A","",IFERROR(INDEX('Residual Config'!$B$35:$B$42,MATCH(H441,'Residual Config'!$A$35:$A$42,0)),""))</f>
        <v>25</v>
      </c>
      <c r="R441" s="24" t="n">
        <v>0</v>
      </c>
      <c r="S441" s="8" t="s">
        <v>516</v>
      </c>
      <c r="T441" s="31" t="n">
        <f aca="false">IF(S441="","",MATCH(S441,'Residual Config'!$L$9:$L$12,0))</f>
        <v>1</v>
      </c>
      <c r="U441" s="8" t="s">
        <v>1817</v>
      </c>
      <c r="V441" s="24" t="n">
        <v>3</v>
      </c>
      <c r="W441" s="33" t="s">
        <v>533</v>
      </c>
      <c r="X441" s="8" t="s">
        <v>754</v>
      </c>
      <c r="Y441" s="51" t="n">
        <f aca="false">IF(N441="","",EDATE(N441,IF(G441="N",INDEX('Residual Config'!$B$31:$D$31,1,MATCH(D441,'Residual Config'!$B$27:$D$27,0)),INDEX('Residual Config'!$B$28:$D$30,IF(T441=1,1,IF(T441=4,3,2)),MATCH(D441,'Residual Config'!$B$27:$D$27,0)))))</f>
        <v>46595</v>
      </c>
      <c r="Z441" s="7" t="str">
        <f aca="false">IF(I441="N/A","N/A",IF(N441="","Not tested",IF(W441="Rejected","Evidence rejected",IF(W441&lt;&gt;"Accepted","Evidence pending",IF(Y441&lt;'Residual Config'!$C$4,"Overdue","Current")))))</f>
        <v>Current</v>
      </c>
      <c r="AA441" s="34" t="n">
        <f aca="false">IF(I441="N/A","",IF(Z441&lt;&gt;"Current",4,IF(MAX(M441,T441)=0,4,MAX(M441,T441))))</f>
        <v>2</v>
      </c>
      <c r="AB441" s="7" t="str">
        <f aca="false">IF(AA441="","N/A",IF(Z441&lt;&gt;"Current","Not tested / overdue",INDEX('Residual Config'!$B$11:$B$14,AA441)))</f>
        <v>Largely effective</v>
      </c>
      <c r="AC441" s="36" t="n">
        <f aca="false">IF(AA441="","",INDEX('Residual Config'!$D$11:$D$14,AA441))</f>
        <v>0.4</v>
      </c>
      <c r="AD441" s="7" t="str">
        <f aca="false">IF(OR(I441="N/A",P441="",Q441=""),"",IF(P441&gt;=Q441,"Yes","No"))</f>
        <v>Yes</v>
      </c>
      <c r="AE441" s="8"/>
    </row>
    <row r="442" customFormat="false" ht="15" hidden="false" customHeight="false" outlineLevel="0" collapsed="false">
      <c r="A442" s="12" t="s">
        <v>1818</v>
      </c>
      <c r="B442" s="26" t="str">
        <f aca="false">Entities!$A$15</f>
        <v>BH</v>
      </c>
      <c r="C442" s="12" t="str">
        <f aca="false">INDEX(Entities!$B$5:$B$34,MATCH(B442,Entities!$A$5:$A$34,0))</f>
        <v>Arab Bank – Bahrain</v>
      </c>
      <c r="D442" s="7" t="str">
        <f aca="false">INDEX(Entities!$F$5:$F$34,MATCH(B442,Entities!$A$5:$A$34,0))</f>
        <v>Tier 2</v>
      </c>
      <c r="E442" s="26" t="str">
        <f aca="false">'Control Library'!$A$12</f>
        <v>CTL-STR-01</v>
      </c>
      <c r="F442" s="12" t="str">
        <f aca="false">INDEX('Control Library'!$B$5:$B$47,MATCH(E442,'Control Library'!$A$5:$A$47,0))</f>
        <v>STR decision and filing within regulatory deadline</v>
      </c>
      <c r="G442" s="7" t="str">
        <f aca="false">INDEX('Control Library'!$F$5:$F$47,MATCH(E442,'Control Library'!$A$5:$A$47,0))</f>
        <v>Y</v>
      </c>
      <c r="H442" s="12" t="str">
        <f aca="false">INDEX('Control Library'!$E$5:$E$47,MATCH(E442,'Control Library'!$A$5:$A$47,0))</f>
        <v>Event-driven</v>
      </c>
      <c r="I442" s="7" t="str">
        <f aca="false">IF(INDEX('Control Library'!$I$5:$I$47,MATCH(E442,'Control Library'!$A$5:$A$47,0))="All","Y",IF(INDEX('Control Library'!$I$5:$I$47,MATCH(E442,'Control Library'!$A$5:$A$47,0))="Banks only",IF(COUNTIF('Residual Config'!$L$28:$L$30,INDEX(Entities!$E$5:$E$34,MATCH(B442,Entities!$A$5:$A$34,0)))&gt;0,"N/A","Y"),IF(INDEX(Entities!$G$5:$G$34,MATCH(B442,Entities!$A$5:$A$34,0))="Y","Y","N/A")))</f>
        <v>Y</v>
      </c>
      <c r="J442" s="8" t="s">
        <v>1814</v>
      </c>
      <c r="K442" s="8" t="s">
        <v>1802</v>
      </c>
      <c r="L442" s="7" t="str">
        <f aca="false">IF(OR(J442="",K442=""),"",IF(J442=K442,"Breach","OK"))</f>
        <v>OK</v>
      </c>
      <c r="M442" s="24" t="n">
        <v>2</v>
      </c>
      <c r="N442" s="50" t="n">
        <v>46177</v>
      </c>
      <c r="O442" s="8" t="s">
        <v>545</v>
      </c>
      <c r="P442" s="24" t="n">
        <v>25</v>
      </c>
      <c r="Q442" s="31" t="n">
        <f aca="false">IF(I442="N/A","",IFERROR(INDEX('Residual Config'!$B$35:$B$42,MATCH(H442,'Residual Config'!$A$35:$A$42,0)),""))</f>
        <v>25</v>
      </c>
      <c r="R442" s="24" t="n">
        <v>0</v>
      </c>
      <c r="S442" s="8" t="s">
        <v>516</v>
      </c>
      <c r="T442" s="31" t="n">
        <f aca="false">IF(S442="","",MATCH(S442,'Residual Config'!$L$9:$L$12,0))</f>
        <v>1</v>
      </c>
      <c r="U442" s="8" t="s">
        <v>1819</v>
      </c>
      <c r="V442" s="24" t="n">
        <v>1</v>
      </c>
      <c r="W442" s="33" t="s">
        <v>533</v>
      </c>
      <c r="X442" s="8" t="s">
        <v>754</v>
      </c>
      <c r="Y442" s="51" t="n">
        <f aca="false">IF(N442="","",EDATE(N442,IF(G442="N",INDEX('Residual Config'!$B$31:$D$31,1,MATCH(D442,'Residual Config'!$B$27:$D$27,0)),INDEX('Residual Config'!$B$28:$D$30,IF(T442=1,1,IF(T442=4,3,2)),MATCH(D442,'Residual Config'!$B$27:$D$27,0)))))</f>
        <v>46542</v>
      </c>
      <c r="Z442" s="7" t="str">
        <f aca="false">IF(I442="N/A","N/A",IF(N442="","Not tested",IF(W442="Rejected","Evidence rejected",IF(W442&lt;&gt;"Accepted","Evidence pending",IF(Y442&lt;'Residual Config'!$C$4,"Overdue","Current")))))</f>
        <v>Current</v>
      </c>
      <c r="AA442" s="34" t="n">
        <f aca="false">IF(I442="N/A","",IF(Z442&lt;&gt;"Current",4,IF(MAX(M442,T442)=0,4,MAX(M442,T442))))</f>
        <v>2</v>
      </c>
      <c r="AB442" s="7" t="str">
        <f aca="false">IF(AA442="","N/A",IF(Z442&lt;&gt;"Current","Not tested / overdue",INDEX('Residual Config'!$B$11:$B$14,AA442)))</f>
        <v>Largely effective</v>
      </c>
      <c r="AC442" s="36" t="n">
        <f aca="false">IF(AA442="","",INDEX('Residual Config'!$D$11:$D$14,AA442))</f>
        <v>0.4</v>
      </c>
      <c r="AD442" s="7" t="str">
        <f aca="false">IF(OR(I442="N/A",P442="",Q442=""),"",IF(P442&gt;=Q442,"Yes","No"))</f>
        <v>Yes</v>
      </c>
      <c r="AE442" s="8"/>
    </row>
    <row r="443" customFormat="false" ht="15" hidden="false" customHeight="false" outlineLevel="0" collapsed="false">
      <c r="A443" s="12" t="s">
        <v>1820</v>
      </c>
      <c r="B443" s="26" t="str">
        <f aca="false">Entities!$A$15</f>
        <v>BH</v>
      </c>
      <c r="C443" s="12" t="str">
        <f aca="false">INDEX(Entities!$B$5:$B$34,MATCH(B443,Entities!$A$5:$A$34,0))</f>
        <v>Arab Bank – Bahrain</v>
      </c>
      <c r="D443" s="7" t="str">
        <f aca="false">INDEX(Entities!$F$5:$F$34,MATCH(B443,Entities!$A$5:$A$34,0))</f>
        <v>Tier 2</v>
      </c>
      <c r="E443" s="26" t="str">
        <f aca="false">'Control Library'!$A$13</f>
        <v>CTL-SAN-01</v>
      </c>
      <c r="F443" s="12" t="str">
        <f aca="false">INDEX('Control Library'!$B$5:$B$47,MATCH(E443,'Control Library'!$A$5:$A$47,0))</f>
        <v>Real-time payment and transaction sanctions screening</v>
      </c>
      <c r="G443" s="7" t="str">
        <f aca="false">INDEX('Control Library'!$F$5:$F$47,MATCH(E443,'Control Library'!$A$5:$A$47,0))</f>
        <v>Y</v>
      </c>
      <c r="H443" s="12" t="str">
        <f aca="false">INDEX('Control Library'!$E$5:$E$47,MATCH(E443,'Control Library'!$A$5:$A$47,0))</f>
        <v>Continuous</v>
      </c>
      <c r="I443" s="7" t="str">
        <f aca="false">IF(INDEX('Control Library'!$I$5:$I$47,MATCH(E443,'Control Library'!$A$5:$A$47,0))="All","Y",IF(INDEX('Control Library'!$I$5:$I$47,MATCH(E443,'Control Library'!$A$5:$A$47,0))="Banks only",IF(COUNTIF('Residual Config'!$L$28:$L$30,INDEX(Entities!$E$5:$E$34,MATCH(B443,Entities!$A$5:$A$34,0)))&gt;0,"N/A","Y"),IF(INDEX(Entities!$G$5:$G$34,MATCH(B443,Entities!$A$5:$A$34,0))="Y","Y","N/A")))</f>
        <v>Y</v>
      </c>
      <c r="J443" s="8" t="s">
        <v>1821</v>
      </c>
      <c r="K443" s="8" t="s">
        <v>1802</v>
      </c>
      <c r="L443" s="7" t="str">
        <f aca="false">IF(OR(J443="",K443=""),"",IF(J443=K443,"Breach","OK"))</f>
        <v>OK</v>
      </c>
      <c r="M443" s="24" t="n">
        <v>2</v>
      </c>
      <c r="N443" s="50" t="n">
        <v>46279</v>
      </c>
      <c r="O443" s="8" t="s">
        <v>546</v>
      </c>
      <c r="P443" s="24" t="n">
        <v>1</v>
      </c>
      <c r="Q443" s="31" t="n">
        <f aca="false">IF(I443="N/A","",IFERROR(INDEX('Residual Config'!$B$35:$B$42,MATCH(H443,'Residual Config'!$A$35:$A$42,0)),""))</f>
        <v>1</v>
      </c>
      <c r="R443" s="24" t="n">
        <v>1</v>
      </c>
      <c r="S443" s="8" t="s">
        <v>521</v>
      </c>
      <c r="T443" s="31" t="n">
        <f aca="false">IF(S443="","",MATCH(S443,'Residual Config'!$L$9:$L$12,0))</f>
        <v>2</v>
      </c>
      <c r="U443" s="8" t="s">
        <v>1822</v>
      </c>
      <c r="V443" s="24" t="n">
        <v>4</v>
      </c>
      <c r="W443" s="33" t="s">
        <v>533</v>
      </c>
      <c r="X443" s="8" t="s">
        <v>754</v>
      </c>
      <c r="Y443" s="51" t="n">
        <f aca="false">IF(N443="","",EDATE(N443,IF(G443="N",INDEX('Residual Config'!$B$31:$D$31,1,MATCH(D443,'Residual Config'!$B$27:$D$27,0)),INDEX('Residual Config'!$B$28:$D$30,IF(T443=1,1,IF(T443=4,3,2)),MATCH(D443,'Residual Config'!$B$27:$D$27,0)))))</f>
        <v>46460</v>
      </c>
      <c r="Z443" s="7" t="str">
        <f aca="false">IF(I443="N/A","N/A",IF(N443="","Not tested",IF(W443="Rejected","Evidence rejected",IF(W443&lt;&gt;"Accepted","Evidence pending",IF(Y443&lt;'Residual Config'!$C$4,"Overdue","Current")))))</f>
        <v>Current</v>
      </c>
      <c r="AA443" s="34" t="n">
        <f aca="false">IF(I443="N/A","",IF(Z443&lt;&gt;"Current",4,IF(MAX(M443,T443)=0,4,MAX(M443,T443))))</f>
        <v>2</v>
      </c>
      <c r="AB443" s="7" t="str">
        <f aca="false">IF(AA443="","N/A",IF(Z443&lt;&gt;"Current","Not tested / overdue",INDEX('Residual Config'!$B$11:$B$14,AA443)))</f>
        <v>Largely effective</v>
      </c>
      <c r="AC443" s="36" t="n">
        <f aca="false">IF(AA443="","",INDEX('Residual Config'!$D$11:$D$14,AA443))</f>
        <v>0.4</v>
      </c>
      <c r="AD443" s="7" t="str">
        <f aca="false">IF(OR(I443="N/A",P443="",Q443=""),"",IF(P443&gt;=Q443,"Yes","No"))</f>
        <v>Yes</v>
      </c>
      <c r="AE443" s="8"/>
    </row>
    <row r="444" customFormat="false" ht="15" hidden="false" customHeight="false" outlineLevel="0" collapsed="false">
      <c r="A444" s="12" t="s">
        <v>1823</v>
      </c>
      <c r="B444" s="26" t="str">
        <f aca="false">Entities!$A$15</f>
        <v>BH</v>
      </c>
      <c r="C444" s="12" t="str">
        <f aca="false">INDEX(Entities!$B$5:$B$34,MATCH(B444,Entities!$A$5:$A$34,0))</f>
        <v>Arab Bank – Bahrain</v>
      </c>
      <c r="D444" s="7" t="str">
        <f aca="false">INDEX(Entities!$F$5:$F$34,MATCH(B444,Entities!$A$5:$A$34,0))</f>
        <v>Tier 2</v>
      </c>
      <c r="E444" s="26" t="str">
        <f aca="false">'Control Library'!$A$14</f>
        <v>CTL-SAN-02</v>
      </c>
      <c r="F444" s="12" t="str">
        <f aca="false">INDEX('Control Library'!$B$5:$B$47,MATCH(E444,'Control Library'!$A$5:$A$47,0))</f>
        <v>Customer and counterparty screening at onboarding and on list change</v>
      </c>
      <c r="G444" s="7" t="str">
        <f aca="false">INDEX('Control Library'!$F$5:$F$47,MATCH(E444,'Control Library'!$A$5:$A$47,0))</f>
        <v>Y</v>
      </c>
      <c r="H444" s="12" t="str">
        <f aca="false">INDEX('Control Library'!$E$5:$E$47,MATCH(E444,'Control Library'!$A$5:$A$47,0))</f>
        <v>Continuous</v>
      </c>
      <c r="I444" s="7" t="str">
        <f aca="false">IF(INDEX('Control Library'!$I$5:$I$47,MATCH(E444,'Control Library'!$A$5:$A$47,0))="All","Y",IF(INDEX('Control Library'!$I$5:$I$47,MATCH(E444,'Control Library'!$A$5:$A$47,0))="Banks only",IF(COUNTIF('Residual Config'!$L$28:$L$30,INDEX(Entities!$E$5:$E$34,MATCH(B444,Entities!$A$5:$A$34,0)))&gt;0,"N/A","Y"),IF(INDEX(Entities!$G$5:$G$34,MATCH(B444,Entities!$A$5:$A$34,0))="Y","Y","N/A")))</f>
        <v>Y</v>
      </c>
      <c r="J444" s="8" t="s">
        <v>1821</v>
      </c>
      <c r="K444" s="8" t="s">
        <v>1802</v>
      </c>
      <c r="L444" s="7" t="str">
        <f aca="false">IF(OR(J444="",K444=""),"",IF(J444=K444,"Breach","OK"))</f>
        <v>OK</v>
      </c>
      <c r="M444" s="24" t="n">
        <v>2</v>
      </c>
      <c r="N444" s="50" t="n">
        <v>46239</v>
      </c>
      <c r="O444" s="8" t="s">
        <v>547</v>
      </c>
      <c r="P444" s="24" t="n">
        <v>1</v>
      </c>
      <c r="Q444" s="31" t="n">
        <f aca="false">IF(I444="N/A","",IFERROR(INDEX('Residual Config'!$B$35:$B$42,MATCH(H444,'Residual Config'!$A$35:$A$42,0)),""))</f>
        <v>1</v>
      </c>
      <c r="R444" s="24" t="n">
        <v>1</v>
      </c>
      <c r="S444" s="8" t="s">
        <v>521</v>
      </c>
      <c r="T444" s="31" t="n">
        <f aca="false">IF(S444="","",MATCH(S444,'Residual Config'!$L$9:$L$12,0))</f>
        <v>2</v>
      </c>
      <c r="U444" s="8" t="s">
        <v>1824</v>
      </c>
      <c r="V444" s="24" t="n">
        <v>5</v>
      </c>
      <c r="W444" s="33" t="s">
        <v>533</v>
      </c>
      <c r="X444" s="8" t="s">
        <v>754</v>
      </c>
      <c r="Y444" s="51" t="n">
        <f aca="false">IF(N444="","",EDATE(N444,IF(G444="N",INDEX('Residual Config'!$B$31:$D$31,1,MATCH(D444,'Residual Config'!$B$27:$D$27,0)),INDEX('Residual Config'!$B$28:$D$30,IF(T444=1,1,IF(T444=4,3,2)),MATCH(D444,'Residual Config'!$B$27:$D$27,0)))))</f>
        <v>46423</v>
      </c>
      <c r="Z444" s="7" t="str">
        <f aca="false">IF(I444="N/A","N/A",IF(N444="","Not tested",IF(W444="Rejected","Evidence rejected",IF(W444&lt;&gt;"Accepted","Evidence pending",IF(Y444&lt;'Residual Config'!$C$4,"Overdue","Current")))))</f>
        <v>Current</v>
      </c>
      <c r="AA444" s="34" t="n">
        <f aca="false">IF(I444="N/A","",IF(Z444&lt;&gt;"Current",4,IF(MAX(M444,T444)=0,4,MAX(M444,T444))))</f>
        <v>2</v>
      </c>
      <c r="AB444" s="7" t="str">
        <f aca="false">IF(AA444="","N/A",IF(Z444&lt;&gt;"Current","Not tested / overdue",INDEX('Residual Config'!$B$11:$B$14,AA444)))</f>
        <v>Largely effective</v>
      </c>
      <c r="AC444" s="36" t="n">
        <f aca="false">IF(AA444="","",INDEX('Residual Config'!$D$11:$D$14,AA444))</f>
        <v>0.4</v>
      </c>
      <c r="AD444" s="7" t="str">
        <f aca="false">IF(OR(I444="N/A",P444="",Q444=""),"",IF(P444&gt;=Q444,"Yes","No"))</f>
        <v>Yes</v>
      </c>
      <c r="AE444" s="8"/>
    </row>
    <row r="445" customFormat="false" ht="15" hidden="false" customHeight="false" outlineLevel="0" collapsed="false">
      <c r="A445" s="12" t="s">
        <v>1825</v>
      </c>
      <c r="B445" s="26" t="str">
        <f aca="false">Entities!$A$15</f>
        <v>BH</v>
      </c>
      <c r="C445" s="12" t="str">
        <f aca="false">INDEX(Entities!$B$5:$B$34,MATCH(B445,Entities!$A$5:$A$34,0))</f>
        <v>Arab Bank – Bahrain</v>
      </c>
      <c r="D445" s="7" t="str">
        <f aca="false">INDEX(Entities!$F$5:$F$34,MATCH(B445,Entities!$A$5:$A$34,0))</f>
        <v>Tier 2</v>
      </c>
      <c r="E445" s="26" t="str">
        <f aca="false">'Control Library'!$A$15</f>
        <v>CTL-SAN-03</v>
      </c>
      <c r="F445" s="12" t="str">
        <f aca="false">INDEX('Control Library'!$B$5:$B$47,MATCH(E445,'Control Library'!$A$5:$A$47,0))</f>
        <v>Sanctions list updates applied within 24 hours</v>
      </c>
      <c r="G445" s="7" t="str">
        <f aca="false">INDEX('Control Library'!$F$5:$F$47,MATCH(E445,'Control Library'!$A$5:$A$47,0))</f>
        <v>N</v>
      </c>
      <c r="H445" s="12" t="str">
        <f aca="false">INDEX('Control Library'!$E$5:$E$47,MATCH(E445,'Control Library'!$A$5:$A$47,0))</f>
        <v>Daily</v>
      </c>
      <c r="I445" s="7" t="str">
        <f aca="false">IF(INDEX('Control Library'!$I$5:$I$47,MATCH(E445,'Control Library'!$A$5:$A$47,0))="All","Y",IF(INDEX('Control Library'!$I$5:$I$47,MATCH(E445,'Control Library'!$A$5:$A$47,0))="Banks only",IF(COUNTIF('Residual Config'!$L$28:$L$30,INDEX(Entities!$E$5:$E$34,MATCH(B445,Entities!$A$5:$A$34,0)))&gt;0,"N/A","Y"),IF(INDEX(Entities!$G$5:$G$34,MATCH(B445,Entities!$A$5:$A$34,0))="Y","Y","N/A")))</f>
        <v>Y</v>
      </c>
      <c r="J445" s="8" t="s">
        <v>1826</v>
      </c>
      <c r="K445" s="8" t="s">
        <v>1802</v>
      </c>
      <c r="L445" s="7" t="str">
        <f aca="false">IF(OR(J445="",K445=""),"",IF(J445=K445,"Breach","OK"))</f>
        <v>OK</v>
      </c>
      <c r="M445" s="24" t="n">
        <v>2</v>
      </c>
      <c r="N445" s="50" t="n">
        <v>46060</v>
      </c>
      <c r="O445" s="8" t="s">
        <v>545</v>
      </c>
      <c r="P445" s="24" t="n">
        <v>20</v>
      </c>
      <c r="Q445" s="31" t="n">
        <f aca="false">IF(I445="N/A","",IFERROR(INDEX('Residual Config'!$B$35:$B$42,MATCH(H445,'Residual Config'!$A$35:$A$42,0)),""))</f>
        <v>25</v>
      </c>
      <c r="R445" s="24" t="n">
        <v>1</v>
      </c>
      <c r="S445" s="8" t="s">
        <v>521</v>
      </c>
      <c r="T445" s="31" t="n">
        <f aca="false">IF(S445="","",MATCH(S445,'Residual Config'!$L$9:$L$12,0))</f>
        <v>2</v>
      </c>
      <c r="U445" s="8" t="s">
        <v>1827</v>
      </c>
      <c r="V445" s="24" t="n">
        <v>1</v>
      </c>
      <c r="W445" s="33" t="s">
        <v>533</v>
      </c>
      <c r="X445" s="8" t="s">
        <v>760</v>
      </c>
      <c r="Y445" s="51" t="n">
        <f aca="false">IF(N445="","",EDATE(N445,IF(G445="N",INDEX('Residual Config'!$B$31:$D$31,1,MATCH(D445,'Residual Config'!$B$27:$D$27,0)),INDEX('Residual Config'!$B$28:$D$30,IF(T445=1,1,IF(T445=4,3,2)),MATCH(D445,'Residual Config'!$B$27:$D$27,0)))))</f>
        <v>46425</v>
      </c>
      <c r="Z445" s="7" t="str">
        <f aca="false">IF(I445="N/A","N/A",IF(N445="","Not tested",IF(W445="Rejected","Evidence rejected",IF(W445&lt;&gt;"Accepted","Evidence pending",IF(Y445&lt;'Residual Config'!$C$4,"Overdue","Current")))))</f>
        <v>Current</v>
      </c>
      <c r="AA445" s="34" t="n">
        <f aca="false">IF(I445="N/A","",IF(Z445&lt;&gt;"Current",4,IF(MAX(M445,T445)=0,4,MAX(M445,T445))))</f>
        <v>2</v>
      </c>
      <c r="AB445" s="7" t="str">
        <f aca="false">IF(AA445="","N/A",IF(Z445&lt;&gt;"Current","Not tested / overdue",INDEX('Residual Config'!$B$11:$B$14,AA445)))</f>
        <v>Largely effective</v>
      </c>
      <c r="AC445" s="36" t="n">
        <f aca="false">IF(AA445="","",INDEX('Residual Config'!$D$11:$D$14,AA445))</f>
        <v>0.4</v>
      </c>
      <c r="AD445" s="7" t="str">
        <f aca="false">IF(OR(I445="N/A",P445="",Q445=""),"",IF(P445&gt;=Q445,"Yes","No"))</f>
        <v>No</v>
      </c>
      <c r="AE445" s="8"/>
    </row>
    <row r="446" customFormat="false" ht="15" hidden="false" customHeight="false" outlineLevel="0" collapsed="false">
      <c r="A446" s="12" t="s">
        <v>1828</v>
      </c>
      <c r="B446" s="26" t="str">
        <f aca="false">Entities!$A$15</f>
        <v>BH</v>
      </c>
      <c r="C446" s="12" t="str">
        <f aca="false">INDEX(Entities!$B$5:$B$34,MATCH(B446,Entities!$A$5:$A$34,0))</f>
        <v>Arab Bank – Bahrain</v>
      </c>
      <c r="D446" s="7" t="str">
        <f aca="false">INDEX(Entities!$F$5:$F$34,MATCH(B446,Entities!$A$5:$A$34,0))</f>
        <v>Tier 2</v>
      </c>
      <c r="E446" s="26" t="str">
        <f aca="false">'Control Library'!$A$16</f>
        <v>CTL-TF-01</v>
      </c>
      <c r="F446" s="12" t="str">
        <f aca="false">INDEX('Control Library'!$B$5:$B$47,MATCH(E446,'Control Library'!$A$5:$A$47,0))</f>
        <v>NPO and charity enhanced due diligence</v>
      </c>
      <c r="G446" s="7" t="str">
        <f aca="false">INDEX('Control Library'!$F$5:$F$47,MATCH(E446,'Control Library'!$A$5:$A$47,0))</f>
        <v>N</v>
      </c>
      <c r="H446" s="12" t="str">
        <f aca="false">INDEX('Control Library'!$E$5:$E$47,MATCH(E446,'Control Library'!$A$5:$A$47,0))</f>
        <v>Event-driven</v>
      </c>
      <c r="I446" s="7" t="str">
        <f aca="false">IF(INDEX('Control Library'!$I$5:$I$47,MATCH(E446,'Control Library'!$A$5:$A$47,0))="All","Y",IF(INDEX('Control Library'!$I$5:$I$47,MATCH(E446,'Control Library'!$A$5:$A$47,0))="Banks only",IF(COUNTIF('Residual Config'!$L$28:$L$30,INDEX(Entities!$E$5:$E$34,MATCH(B446,Entities!$A$5:$A$34,0)))&gt;0,"N/A","Y"),IF(INDEX(Entities!$G$5:$G$34,MATCH(B446,Entities!$A$5:$A$34,0))="Y","Y","N/A")))</f>
        <v>Y</v>
      </c>
      <c r="J446" s="8" t="s">
        <v>1829</v>
      </c>
      <c r="K446" s="8" t="s">
        <v>1802</v>
      </c>
      <c r="L446" s="7" t="str">
        <f aca="false">IF(OR(J446="",K446=""),"",IF(J446=K446,"Breach","OK"))</f>
        <v>OK</v>
      </c>
      <c r="M446" s="24" t="n">
        <v>1</v>
      </c>
      <c r="N446" s="50" t="n">
        <v>46021</v>
      </c>
      <c r="O446" s="8" t="s">
        <v>545</v>
      </c>
      <c r="P446" s="24" t="n">
        <v>25</v>
      </c>
      <c r="Q446" s="31" t="n">
        <f aca="false">IF(I446="N/A","",IFERROR(INDEX('Residual Config'!$B$35:$B$42,MATCH(H446,'Residual Config'!$A$35:$A$42,0)),""))</f>
        <v>25</v>
      </c>
      <c r="R446" s="24" t="n">
        <v>1</v>
      </c>
      <c r="S446" s="8" t="s">
        <v>521</v>
      </c>
      <c r="T446" s="31" t="n">
        <f aca="false">IF(S446="","",MATCH(S446,'Residual Config'!$L$9:$L$12,0))</f>
        <v>2</v>
      </c>
      <c r="U446" s="8" t="s">
        <v>1830</v>
      </c>
      <c r="V446" s="24" t="n">
        <v>1</v>
      </c>
      <c r="W446" s="33" t="s">
        <v>533</v>
      </c>
      <c r="X446" s="8" t="s">
        <v>760</v>
      </c>
      <c r="Y446" s="51" t="n">
        <f aca="false">IF(N446="","",EDATE(N446,IF(G446="N",INDEX('Residual Config'!$B$31:$D$31,1,MATCH(D446,'Residual Config'!$B$27:$D$27,0)),INDEX('Residual Config'!$B$28:$D$30,IF(T446=1,1,IF(T446=4,3,2)),MATCH(D446,'Residual Config'!$B$27:$D$27,0)))))</f>
        <v>46386</v>
      </c>
      <c r="Z446" s="7" t="str">
        <f aca="false">IF(I446="N/A","N/A",IF(N446="","Not tested",IF(W446="Rejected","Evidence rejected",IF(W446&lt;&gt;"Accepted","Evidence pending",IF(Y446&lt;'Residual Config'!$C$4,"Overdue","Current")))))</f>
        <v>Current</v>
      </c>
      <c r="AA446" s="34" t="n">
        <f aca="false">IF(I446="N/A","",IF(Z446&lt;&gt;"Current",4,IF(MAX(M446,T446)=0,4,MAX(M446,T446))))</f>
        <v>2</v>
      </c>
      <c r="AB446" s="7" t="str">
        <f aca="false">IF(AA446="","N/A",IF(Z446&lt;&gt;"Current","Not tested / overdue",INDEX('Residual Config'!$B$11:$B$14,AA446)))</f>
        <v>Largely effective</v>
      </c>
      <c r="AC446" s="36" t="n">
        <f aca="false">IF(AA446="","",INDEX('Residual Config'!$D$11:$D$14,AA446))</f>
        <v>0.4</v>
      </c>
      <c r="AD446" s="7" t="str">
        <f aca="false">IF(OR(I446="N/A",P446="",Q446=""),"",IF(P446&gt;=Q446,"Yes","No"))</f>
        <v>Yes</v>
      </c>
      <c r="AE446" s="8"/>
    </row>
    <row r="447" customFormat="false" ht="15" hidden="false" customHeight="false" outlineLevel="0" collapsed="false">
      <c r="A447" s="12" t="s">
        <v>1831</v>
      </c>
      <c r="B447" s="26" t="str">
        <f aca="false">Entities!$A$15</f>
        <v>BH</v>
      </c>
      <c r="C447" s="12" t="str">
        <f aca="false">INDEX(Entities!$B$5:$B$34,MATCH(B447,Entities!$A$5:$A$34,0))</f>
        <v>Arab Bank – Bahrain</v>
      </c>
      <c r="D447" s="7" t="str">
        <f aca="false">INDEX(Entities!$F$5:$F$34,MATCH(B447,Entities!$A$5:$A$34,0))</f>
        <v>Tier 2</v>
      </c>
      <c r="E447" s="26" t="str">
        <f aca="false">'Control Library'!$A$17</f>
        <v>CTL-TBML-01</v>
      </c>
      <c r="F447" s="12" t="str">
        <f aca="false">INDEX('Control Library'!$B$5:$B$47,MATCH(E447,'Control Library'!$A$5:$A$47,0))</f>
        <v>Trade-based ML red-flag review and pricing checks</v>
      </c>
      <c r="G447" s="7" t="str">
        <f aca="false">INDEX('Control Library'!$F$5:$F$47,MATCH(E447,'Control Library'!$A$5:$A$47,0))</f>
        <v>Y</v>
      </c>
      <c r="H447" s="12" t="str">
        <f aca="false">INDEX('Control Library'!$E$5:$E$47,MATCH(E447,'Control Library'!$A$5:$A$47,0))</f>
        <v>Event-driven</v>
      </c>
      <c r="I447" s="7" t="str">
        <f aca="false">IF(INDEX('Control Library'!$I$5:$I$47,MATCH(E447,'Control Library'!$A$5:$A$47,0))="All","Y",IF(INDEX('Control Library'!$I$5:$I$47,MATCH(E447,'Control Library'!$A$5:$A$47,0))="Banks only",IF(COUNTIF('Residual Config'!$L$28:$L$30,INDEX(Entities!$E$5:$E$34,MATCH(B447,Entities!$A$5:$A$34,0)))&gt;0,"N/A","Y"),IF(INDEX(Entities!$G$5:$G$34,MATCH(B447,Entities!$A$5:$A$34,0))="Y","Y","N/A")))</f>
        <v>Y</v>
      </c>
      <c r="J447" s="8" t="s">
        <v>1832</v>
      </c>
      <c r="K447" s="8" t="s">
        <v>1802</v>
      </c>
      <c r="L447" s="7" t="str">
        <f aca="false">IF(OR(J447="",K447=""),"",IF(J447=K447,"Breach","OK"))</f>
        <v>OK</v>
      </c>
      <c r="M447" s="24" t="n">
        <v>2</v>
      </c>
      <c r="N447" s="50" t="n">
        <v>46168</v>
      </c>
      <c r="O447" s="8" t="s">
        <v>546</v>
      </c>
      <c r="P447" s="24" t="n">
        <v>25</v>
      </c>
      <c r="Q447" s="31" t="n">
        <f aca="false">IF(I447="N/A","",IFERROR(INDEX('Residual Config'!$B$35:$B$42,MATCH(H447,'Residual Config'!$A$35:$A$42,0)),""))</f>
        <v>25</v>
      </c>
      <c r="R447" s="24" t="n">
        <v>0</v>
      </c>
      <c r="S447" s="8" t="s">
        <v>516</v>
      </c>
      <c r="T447" s="31" t="n">
        <f aca="false">IF(S447="","",MATCH(S447,'Residual Config'!$L$9:$L$12,0))</f>
        <v>1</v>
      </c>
      <c r="U447" s="8" t="s">
        <v>1833</v>
      </c>
      <c r="V447" s="24" t="n">
        <v>4</v>
      </c>
      <c r="W447" s="33" t="s">
        <v>533</v>
      </c>
      <c r="X447" s="8" t="s">
        <v>760</v>
      </c>
      <c r="Y447" s="51" t="n">
        <f aca="false">IF(N447="","",EDATE(N447,IF(G447="N",INDEX('Residual Config'!$B$31:$D$31,1,MATCH(D447,'Residual Config'!$B$27:$D$27,0)),INDEX('Residual Config'!$B$28:$D$30,IF(T447=1,1,IF(T447=4,3,2)),MATCH(D447,'Residual Config'!$B$27:$D$27,0)))))</f>
        <v>46533</v>
      </c>
      <c r="Z447" s="7" t="str">
        <f aca="false">IF(I447="N/A","N/A",IF(N447="","Not tested",IF(W447="Rejected","Evidence rejected",IF(W447&lt;&gt;"Accepted","Evidence pending",IF(Y447&lt;'Residual Config'!$C$4,"Overdue","Current")))))</f>
        <v>Current</v>
      </c>
      <c r="AA447" s="34" t="n">
        <f aca="false">IF(I447="N/A","",IF(Z447&lt;&gt;"Current",4,IF(MAX(M447,T447)=0,4,MAX(M447,T447))))</f>
        <v>2</v>
      </c>
      <c r="AB447" s="7" t="str">
        <f aca="false">IF(AA447="","N/A",IF(Z447&lt;&gt;"Current","Not tested / overdue",INDEX('Residual Config'!$B$11:$B$14,AA447)))</f>
        <v>Largely effective</v>
      </c>
      <c r="AC447" s="36" t="n">
        <f aca="false">IF(AA447="","",INDEX('Residual Config'!$D$11:$D$14,AA447))</f>
        <v>0.4</v>
      </c>
      <c r="AD447" s="7" t="str">
        <f aca="false">IF(OR(I447="N/A",P447="",Q447=""),"",IF(P447&gt;=Q447,"Yes","No"))</f>
        <v>Yes</v>
      </c>
      <c r="AE447" s="8"/>
    </row>
    <row r="448" customFormat="false" ht="15" hidden="false" customHeight="false" outlineLevel="0" collapsed="false">
      <c r="A448" s="12" t="s">
        <v>1834</v>
      </c>
      <c r="B448" s="26" t="str">
        <f aca="false">Entities!$A$15</f>
        <v>BH</v>
      </c>
      <c r="C448" s="12" t="str">
        <f aca="false">INDEX(Entities!$B$5:$B$34,MATCH(B448,Entities!$A$5:$A$34,0))</f>
        <v>Arab Bank – Bahrain</v>
      </c>
      <c r="D448" s="7" t="str">
        <f aca="false">INDEX(Entities!$F$5:$F$34,MATCH(B448,Entities!$A$5:$A$34,0))</f>
        <v>Tier 2</v>
      </c>
      <c r="E448" s="26" t="str">
        <f aca="false">'Control Library'!$A$18</f>
        <v>CTL-PF-01</v>
      </c>
      <c r="F448" s="12" t="str">
        <f aca="false">INDEX('Control Library'!$B$5:$B$47,MATCH(E448,'Control Library'!$A$5:$A$47,0))</f>
        <v>Dual-use goods, vessel and port screening</v>
      </c>
      <c r="G448" s="7" t="str">
        <f aca="false">INDEX('Control Library'!$F$5:$F$47,MATCH(E448,'Control Library'!$A$5:$A$47,0))</f>
        <v>Y</v>
      </c>
      <c r="H448" s="12" t="str">
        <f aca="false">INDEX('Control Library'!$E$5:$E$47,MATCH(E448,'Control Library'!$A$5:$A$47,0))</f>
        <v>Event-driven</v>
      </c>
      <c r="I448" s="7" t="str">
        <f aca="false">IF(INDEX('Control Library'!$I$5:$I$47,MATCH(E448,'Control Library'!$A$5:$A$47,0))="All","Y",IF(INDEX('Control Library'!$I$5:$I$47,MATCH(E448,'Control Library'!$A$5:$A$47,0))="Banks only",IF(COUNTIF('Residual Config'!$L$28:$L$30,INDEX(Entities!$E$5:$E$34,MATCH(B448,Entities!$A$5:$A$34,0)))&gt;0,"N/A","Y"),IF(INDEX(Entities!$G$5:$G$34,MATCH(B448,Entities!$A$5:$A$34,0))="Y","Y","N/A")))</f>
        <v>Y</v>
      </c>
      <c r="J448" s="8" t="s">
        <v>1832</v>
      </c>
      <c r="K448" s="8" t="s">
        <v>1802</v>
      </c>
      <c r="L448" s="7" t="str">
        <f aca="false">IF(OR(J448="",K448=""),"",IF(J448=K448,"Breach","OK"))</f>
        <v>OK</v>
      </c>
      <c r="M448" s="24" t="n">
        <v>1</v>
      </c>
      <c r="N448" s="50" t="n">
        <v>46197</v>
      </c>
      <c r="O448" s="8" t="s">
        <v>545</v>
      </c>
      <c r="P448" s="24" t="n">
        <v>25</v>
      </c>
      <c r="Q448" s="31" t="n">
        <f aca="false">IF(I448="N/A","",IFERROR(INDEX('Residual Config'!$B$35:$B$42,MATCH(H448,'Residual Config'!$A$35:$A$42,0)),""))</f>
        <v>25</v>
      </c>
      <c r="R448" s="24" t="n">
        <v>1</v>
      </c>
      <c r="S448" s="8" t="s">
        <v>521</v>
      </c>
      <c r="T448" s="31" t="n">
        <f aca="false">IF(S448="","",MATCH(S448,'Residual Config'!$L$9:$L$12,0))</f>
        <v>2</v>
      </c>
      <c r="U448" s="8" t="s">
        <v>1835</v>
      </c>
      <c r="V448" s="24" t="n">
        <v>2</v>
      </c>
      <c r="W448" s="33" t="s">
        <v>533</v>
      </c>
      <c r="X448" s="8" t="s">
        <v>754</v>
      </c>
      <c r="Y448" s="51" t="n">
        <f aca="false">IF(N448="","",EDATE(N448,IF(G448="N",INDEX('Residual Config'!$B$31:$D$31,1,MATCH(D448,'Residual Config'!$B$27:$D$27,0)),INDEX('Residual Config'!$B$28:$D$30,IF(T448=1,1,IF(T448=4,3,2)),MATCH(D448,'Residual Config'!$B$27:$D$27,0)))))</f>
        <v>46380</v>
      </c>
      <c r="Z448" s="7" t="str">
        <f aca="false">IF(I448="N/A","N/A",IF(N448="","Not tested",IF(W448="Rejected","Evidence rejected",IF(W448&lt;&gt;"Accepted","Evidence pending",IF(Y448&lt;'Residual Config'!$C$4,"Overdue","Current")))))</f>
        <v>Current</v>
      </c>
      <c r="AA448" s="34" t="n">
        <f aca="false">IF(I448="N/A","",IF(Z448&lt;&gt;"Current",4,IF(MAX(M448,T448)=0,4,MAX(M448,T448))))</f>
        <v>2</v>
      </c>
      <c r="AB448" s="7" t="str">
        <f aca="false">IF(AA448="","N/A",IF(Z448&lt;&gt;"Current","Not tested / overdue",INDEX('Residual Config'!$B$11:$B$14,AA448)))</f>
        <v>Largely effective</v>
      </c>
      <c r="AC448" s="36" t="n">
        <f aca="false">IF(AA448="","",INDEX('Residual Config'!$D$11:$D$14,AA448))</f>
        <v>0.4</v>
      </c>
      <c r="AD448" s="7" t="str">
        <f aca="false">IF(OR(I448="N/A",P448="",Q448=""),"",IF(P448&gt;=Q448,"Yes","No"))</f>
        <v>Yes</v>
      </c>
      <c r="AE448" s="8"/>
    </row>
    <row r="449" customFormat="false" ht="15" hidden="false" customHeight="false" outlineLevel="0" collapsed="false">
      <c r="A449" s="12" t="s">
        <v>1836</v>
      </c>
      <c r="B449" s="26" t="str">
        <f aca="false">Entities!$A$15</f>
        <v>BH</v>
      </c>
      <c r="C449" s="12" t="str">
        <f aca="false">INDEX(Entities!$B$5:$B$34,MATCH(B449,Entities!$A$5:$A$34,0))</f>
        <v>Arab Bank – Bahrain</v>
      </c>
      <c r="D449" s="7" t="str">
        <f aca="false">INDEX(Entities!$F$5:$F$34,MATCH(B449,Entities!$A$5:$A$34,0))</f>
        <v>Tier 2</v>
      </c>
      <c r="E449" s="26" t="str">
        <f aca="false">'Control Library'!$A$19</f>
        <v>CTL-CB-01</v>
      </c>
      <c r="F449" s="12" t="str">
        <f aca="false">INDEX('Control Library'!$B$5:$B$47,MATCH(E449,'Control Library'!$A$5:$A$47,0))</f>
        <v>Correspondent bank due diligence (CBDDQ) and nesting detection</v>
      </c>
      <c r="G449" s="7" t="str">
        <f aca="false">INDEX('Control Library'!$F$5:$F$47,MATCH(E449,'Control Library'!$A$5:$A$47,0))</f>
        <v>Y</v>
      </c>
      <c r="H449" s="12" t="str">
        <f aca="false">INDEX('Control Library'!$E$5:$E$47,MATCH(E449,'Control Library'!$A$5:$A$47,0))</f>
        <v>Annual</v>
      </c>
      <c r="I449" s="7" t="str">
        <f aca="false">IF(INDEX('Control Library'!$I$5:$I$47,MATCH(E449,'Control Library'!$A$5:$A$47,0))="All","Y",IF(INDEX('Control Library'!$I$5:$I$47,MATCH(E449,'Control Library'!$A$5:$A$47,0))="Banks only",IF(COUNTIF('Residual Config'!$L$28:$L$30,INDEX(Entities!$E$5:$E$34,MATCH(B449,Entities!$A$5:$A$34,0)))&gt;0,"N/A","Y"),IF(INDEX(Entities!$G$5:$G$34,MATCH(B449,Entities!$A$5:$A$34,0))="Y","Y","N/A")))</f>
        <v>Y</v>
      </c>
      <c r="J449" s="8" t="s">
        <v>1837</v>
      </c>
      <c r="K449" s="8" t="s">
        <v>1802</v>
      </c>
      <c r="L449" s="7" t="str">
        <f aca="false">IF(OR(J449="",K449=""),"",IF(J449=K449,"Breach","OK"))</f>
        <v>OK</v>
      </c>
      <c r="M449" s="24" t="n">
        <v>1</v>
      </c>
      <c r="N449" s="50" t="n">
        <v>46236</v>
      </c>
      <c r="O449" s="8" t="s">
        <v>545</v>
      </c>
      <c r="P449" s="24" t="n">
        <v>1</v>
      </c>
      <c r="Q449" s="31" t="n">
        <f aca="false">IF(I449="N/A","",IFERROR(INDEX('Residual Config'!$B$35:$B$42,MATCH(H449,'Residual Config'!$A$35:$A$42,0)),""))</f>
        <v>1</v>
      </c>
      <c r="R449" s="24" t="n">
        <v>1</v>
      </c>
      <c r="S449" s="8" t="s">
        <v>521</v>
      </c>
      <c r="T449" s="31" t="n">
        <f aca="false">IF(S449="","",MATCH(S449,'Residual Config'!$L$9:$L$12,0))</f>
        <v>2</v>
      </c>
      <c r="U449" s="8" t="s">
        <v>1838</v>
      </c>
      <c r="V449" s="24" t="n">
        <v>1</v>
      </c>
      <c r="W449" s="33" t="s">
        <v>533</v>
      </c>
      <c r="X449" s="8" t="s">
        <v>760</v>
      </c>
      <c r="Y449" s="51" t="n">
        <f aca="false">IF(N449="","",EDATE(N449,IF(G449="N",INDEX('Residual Config'!$B$31:$D$31,1,MATCH(D449,'Residual Config'!$B$27:$D$27,0)),INDEX('Residual Config'!$B$28:$D$30,IF(T449=1,1,IF(T449=4,3,2)),MATCH(D449,'Residual Config'!$B$27:$D$27,0)))))</f>
        <v>46420</v>
      </c>
      <c r="Z449" s="7" t="str">
        <f aca="false">IF(I449="N/A","N/A",IF(N449="","Not tested",IF(W449="Rejected","Evidence rejected",IF(W449&lt;&gt;"Accepted","Evidence pending",IF(Y449&lt;'Residual Config'!$C$4,"Overdue","Current")))))</f>
        <v>Current</v>
      </c>
      <c r="AA449" s="34" t="n">
        <f aca="false">IF(I449="N/A","",IF(Z449&lt;&gt;"Current",4,IF(MAX(M449,T449)=0,4,MAX(M449,T449))))</f>
        <v>2</v>
      </c>
      <c r="AB449" s="7" t="str">
        <f aca="false">IF(AA449="","N/A",IF(Z449&lt;&gt;"Current","Not tested / overdue",INDEX('Residual Config'!$B$11:$B$14,AA449)))</f>
        <v>Largely effective</v>
      </c>
      <c r="AC449" s="36" t="n">
        <f aca="false">IF(AA449="","",INDEX('Residual Config'!$D$11:$D$14,AA449))</f>
        <v>0.4</v>
      </c>
      <c r="AD449" s="7" t="str">
        <f aca="false">IF(OR(I449="N/A",P449="",Q449=""),"",IF(P449&gt;=Q449,"Yes","No"))</f>
        <v>Yes</v>
      </c>
      <c r="AE449" s="8"/>
    </row>
    <row r="450" customFormat="false" ht="15" hidden="false" customHeight="false" outlineLevel="0" collapsed="false">
      <c r="A450" s="12" t="s">
        <v>1839</v>
      </c>
      <c r="B450" s="26" t="str">
        <f aca="false">Entities!$A$15</f>
        <v>BH</v>
      </c>
      <c r="C450" s="12" t="str">
        <f aca="false">INDEX(Entities!$B$5:$B$34,MATCH(B450,Entities!$A$5:$A$34,0))</f>
        <v>Arab Bank – Bahrain</v>
      </c>
      <c r="D450" s="7" t="str">
        <f aca="false">INDEX(Entities!$F$5:$F$34,MATCH(B450,Entities!$A$5:$A$34,0))</f>
        <v>Tier 2</v>
      </c>
      <c r="E450" s="26" t="str">
        <f aca="false">'Control Library'!$A$20</f>
        <v>CTL-PAY-01</v>
      </c>
      <c r="F450" s="12" t="str">
        <f aca="false">INDEX('Control Library'!$B$5:$B$47,MATCH(E450,'Control Library'!$A$5:$A$47,0))</f>
        <v>Payment transparency checks (FATF R.16)</v>
      </c>
      <c r="G450" s="7" t="str">
        <f aca="false">INDEX('Control Library'!$F$5:$F$47,MATCH(E450,'Control Library'!$A$5:$A$47,0))</f>
        <v>N</v>
      </c>
      <c r="H450" s="12" t="str">
        <f aca="false">INDEX('Control Library'!$E$5:$E$47,MATCH(E450,'Control Library'!$A$5:$A$47,0))</f>
        <v>Continuous</v>
      </c>
      <c r="I450" s="7" t="str">
        <f aca="false">IF(INDEX('Control Library'!$I$5:$I$47,MATCH(E450,'Control Library'!$A$5:$A$47,0))="All","Y",IF(INDEX('Control Library'!$I$5:$I$47,MATCH(E450,'Control Library'!$A$5:$A$47,0))="Banks only",IF(COUNTIF('Residual Config'!$L$28:$L$30,INDEX(Entities!$E$5:$E$34,MATCH(B450,Entities!$A$5:$A$34,0)))&gt;0,"N/A","Y"),IF(INDEX(Entities!$G$5:$G$34,MATCH(B450,Entities!$A$5:$A$34,0))="Y","Y","N/A")))</f>
        <v>Y</v>
      </c>
      <c r="J450" s="8" t="s">
        <v>1840</v>
      </c>
      <c r="K450" s="8" t="s">
        <v>1802</v>
      </c>
      <c r="L450" s="7" t="str">
        <f aca="false">IF(OR(J450="",K450=""),"",IF(J450=K450,"Breach","OK"))</f>
        <v>OK</v>
      </c>
      <c r="M450" s="24" t="n">
        <v>2</v>
      </c>
      <c r="N450" s="50" t="n">
        <v>46047</v>
      </c>
      <c r="O450" s="8" t="s">
        <v>547</v>
      </c>
      <c r="P450" s="24" t="n">
        <v>1</v>
      </c>
      <c r="Q450" s="31" t="n">
        <f aca="false">IF(I450="N/A","",IFERROR(INDEX('Residual Config'!$B$35:$B$42,MATCH(H450,'Residual Config'!$A$35:$A$42,0)),""))</f>
        <v>1</v>
      </c>
      <c r="R450" s="24" t="n">
        <v>0</v>
      </c>
      <c r="S450" s="8" t="s">
        <v>516</v>
      </c>
      <c r="T450" s="31" t="n">
        <f aca="false">IF(S450="","",MATCH(S450,'Residual Config'!$L$9:$L$12,0))</f>
        <v>1</v>
      </c>
      <c r="U450" s="8" t="s">
        <v>1841</v>
      </c>
      <c r="V450" s="24" t="n">
        <v>4</v>
      </c>
      <c r="W450" s="33" t="s">
        <v>533</v>
      </c>
      <c r="X450" s="8" t="s">
        <v>754</v>
      </c>
      <c r="Y450" s="51" t="n">
        <f aca="false">IF(N450="","",EDATE(N450,IF(G450="N",INDEX('Residual Config'!$B$31:$D$31,1,MATCH(D450,'Residual Config'!$B$27:$D$27,0)),INDEX('Residual Config'!$B$28:$D$30,IF(T450=1,1,IF(T450=4,3,2)),MATCH(D450,'Residual Config'!$B$27:$D$27,0)))))</f>
        <v>46412</v>
      </c>
      <c r="Z450" s="7" t="str">
        <f aca="false">IF(I450="N/A","N/A",IF(N450="","Not tested",IF(W450="Rejected","Evidence rejected",IF(W450&lt;&gt;"Accepted","Evidence pending",IF(Y450&lt;'Residual Config'!$C$4,"Overdue","Current")))))</f>
        <v>Current</v>
      </c>
      <c r="AA450" s="34" t="n">
        <f aca="false">IF(I450="N/A","",IF(Z450&lt;&gt;"Current",4,IF(MAX(M450,T450)=0,4,MAX(M450,T450))))</f>
        <v>2</v>
      </c>
      <c r="AB450" s="7" t="str">
        <f aca="false">IF(AA450="","N/A",IF(Z450&lt;&gt;"Current","Not tested / overdue",INDEX('Residual Config'!$B$11:$B$14,AA450)))</f>
        <v>Largely effective</v>
      </c>
      <c r="AC450" s="36" t="n">
        <f aca="false">IF(AA450="","",INDEX('Residual Config'!$D$11:$D$14,AA450))</f>
        <v>0.4</v>
      </c>
      <c r="AD450" s="7" t="str">
        <f aca="false">IF(OR(I450="N/A",P450="",Q450=""),"",IF(P450&gt;=Q450,"Yes","No"))</f>
        <v>Yes</v>
      </c>
      <c r="AE450" s="8"/>
    </row>
    <row r="451" customFormat="false" ht="15" hidden="false" customHeight="false" outlineLevel="0" collapsed="false">
      <c r="A451" s="12" t="s">
        <v>1842</v>
      </c>
      <c r="B451" s="26" t="str">
        <f aca="false">Entities!$A$15</f>
        <v>BH</v>
      </c>
      <c r="C451" s="12" t="str">
        <f aca="false">INDEX(Entities!$B$5:$B$34,MATCH(B451,Entities!$A$5:$A$34,0))</f>
        <v>Arab Bank – Bahrain</v>
      </c>
      <c r="D451" s="7" t="str">
        <f aca="false">INDEX(Entities!$F$5:$F$34,MATCH(B451,Entities!$A$5:$A$34,0))</f>
        <v>Tier 2</v>
      </c>
      <c r="E451" s="26" t="str">
        <f aca="false">'Control Library'!$A$21</f>
        <v>CTL-ABC-01</v>
      </c>
      <c r="F451" s="12" t="str">
        <f aca="false">INDEX('Control Library'!$B$5:$B$47,MATCH(E451,'Control Library'!$A$5:$A$47,0))</f>
        <v>Third-party and intermediary anti-bribery due diligence</v>
      </c>
      <c r="G451" s="7" t="str">
        <f aca="false">INDEX('Control Library'!$F$5:$F$47,MATCH(E451,'Control Library'!$A$5:$A$47,0))</f>
        <v>Y</v>
      </c>
      <c r="H451" s="12" t="str">
        <f aca="false">INDEX('Control Library'!$E$5:$E$47,MATCH(E451,'Control Library'!$A$5:$A$47,0))</f>
        <v>Event-driven</v>
      </c>
      <c r="I451" s="7" t="str">
        <f aca="false">IF(INDEX('Control Library'!$I$5:$I$47,MATCH(E451,'Control Library'!$A$5:$A$47,0))="All","Y",IF(INDEX('Control Library'!$I$5:$I$47,MATCH(E451,'Control Library'!$A$5:$A$47,0))="Banks only",IF(COUNTIF('Residual Config'!$L$28:$L$30,INDEX(Entities!$E$5:$E$34,MATCH(B451,Entities!$A$5:$A$34,0)))&gt;0,"N/A","Y"),IF(INDEX(Entities!$G$5:$G$34,MATCH(B451,Entities!$A$5:$A$34,0))="Y","Y","N/A")))</f>
        <v>Y</v>
      </c>
      <c r="J451" s="8" t="s">
        <v>1843</v>
      </c>
      <c r="K451" s="8" t="s">
        <v>1802</v>
      </c>
      <c r="L451" s="7" t="str">
        <f aca="false">IF(OR(J451="",K451=""),"",IF(J451=K451,"Breach","OK"))</f>
        <v>OK</v>
      </c>
      <c r="M451" s="24" t="n">
        <v>2</v>
      </c>
      <c r="N451" s="50" t="n">
        <v>46174</v>
      </c>
      <c r="O451" s="8" t="s">
        <v>546</v>
      </c>
      <c r="P451" s="24" t="n">
        <v>25</v>
      </c>
      <c r="Q451" s="31" t="n">
        <f aca="false">IF(I451="N/A","",IFERROR(INDEX('Residual Config'!$B$35:$B$42,MATCH(H451,'Residual Config'!$A$35:$A$42,0)),""))</f>
        <v>25</v>
      </c>
      <c r="R451" s="24" t="n">
        <v>1</v>
      </c>
      <c r="S451" s="8" t="s">
        <v>521</v>
      </c>
      <c r="T451" s="31" t="n">
        <f aca="false">IF(S451="","",MATCH(S451,'Residual Config'!$L$9:$L$12,0))</f>
        <v>2</v>
      </c>
      <c r="U451" s="8" t="s">
        <v>1844</v>
      </c>
      <c r="V451" s="24" t="n">
        <v>6</v>
      </c>
      <c r="W451" s="33" t="s">
        <v>536</v>
      </c>
      <c r="X451" s="8"/>
      <c r="Y451" s="51" t="n">
        <f aca="false">IF(N451="","",EDATE(N451,IF(G451="N",INDEX('Residual Config'!$B$31:$D$31,1,MATCH(D451,'Residual Config'!$B$27:$D$27,0)),INDEX('Residual Config'!$B$28:$D$30,IF(T451=1,1,IF(T451=4,3,2)),MATCH(D451,'Residual Config'!$B$27:$D$27,0)))))</f>
        <v>46357</v>
      </c>
      <c r="Z451" s="7" t="str">
        <f aca="false">IF(I451="N/A","N/A",IF(N451="","Not tested",IF(W451="Rejected","Evidence rejected",IF(W451&lt;&gt;"Accepted","Evidence pending",IF(Y451&lt;'Residual Config'!$C$4,"Overdue","Current")))))</f>
        <v>Evidence pending</v>
      </c>
      <c r="AA451" s="34" t="n">
        <f aca="false">IF(I451="N/A","",IF(Z451&lt;&gt;"Current",4,IF(MAX(M451,T451)=0,4,MAX(M451,T451))))</f>
        <v>4</v>
      </c>
      <c r="AB451" s="7" t="str">
        <f aca="false">IF(AA451="","N/A",IF(Z451&lt;&gt;"Current","Not tested / overdue",INDEX('Residual Config'!$B$11:$B$14,AA451)))</f>
        <v>Not tested / overdue</v>
      </c>
      <c r="AC451" s="36" t="n">
        <f aca="false">IF(AA451="","",INDEX('Residual Config'!$D$11:$D$14,AA451))</f>
        <v>0</v>
      </c>
      <c r="AD451" s="7" t="str">
        <f aca="false">IF(OR(I451="N/A",P451="",Q451=""),"",IF(P451&gt;=Q451,"Yes","No"))</f>
        <v>Yes</v>
      </c>
      <c r="AE451" s="8"/>
    </row>
    <row r="452" customFormat="false" ht="15" hidden="false" customHeight="false" outlineLevel="0" collapsed="false">
      <c r="A452" s="12" t="s">
        <v>1845</v>
      </c>
      <c r="B452" s="26" t="str">
        <f aca="false">Entities!$A$15</f>
        <v>BH</v>
      </c>
      <c r="C452" s="12" t="str">
        <f aca="false">INDEX(Entities!$B$5:$B$34,MATCH(B452,Entities!$A$5:$A$34,0))</f>
        <v>Arab Bank – Bahrain</v>
      </c>
      <c r="D452" s="7" t="str">
        <f aca="false">INDEX(Entities!$F$5:$F$34,MATCH(B452,Entities!$A$5:$A$34,0))</f>
        <v>Tier 2</v>
      </c>
      <c r="E452" s="26" t="str">
        <f aca="false">'Control Library'!$A$22</f>
        <v>CTL-ABC-02</v>
      </c>
      <c r="F452" s="12" t="str">
        <f aca="false">INDEX('Control Library'!$B$5:$B$47,MATCH(E452,'Control Library'!$A$5:$A$47,0))</f>
        <v>Gifts, hospitality and donations register with pre-approval</v>
      </c>
      <c r="G452" s="7" t="str">
        <f aca="false">INDEX('Control Library'!$F$5:$F$47,MATCH(E452,'Control Library'!$A$5:$A$47,0))</f>
        <v>N</v>
      </c>
      <c r="H452" s="12" t="str">
        <f aca="false">INDEX('Control Library'!$E$5:$E$47,MATCH(E452,'Control Library'!$A$5:$A$47,0))</f>
        <v>Event-driven</v>
      </c>
      <c r="I452" s="7" t="str">
        <f aca="false">IF(INDEX('Control Library'!$I$5:$I$47,MATCH(E452,'Control Library'!$A$5:$A$47,0))="All","Y",IF(INDEX('Control Library'!$I$5:$I$47,MATCH(E452,'Control Library'!$A$5:$A$47,0))="Banks only",IF(COUNTIF('Residual Config'!$L$28:$L$30,INDEX(Entities!$E$5:$E$34,MATCH(B452,Entities!$A$5:$A$34,0)))&gt;0,"N/A","Y"),IF(INDEX(Entities!$G$5:$G$34,MATCH(B452,Entities!$A$5:$A$34,0))="Y","Y","N/A")))</f>
        <v>Y</v>
      </c>
      <c r="J452" s="8" t="s">
        <v>1805</v>
      </c>
      <c r="K452" s="8" t="s">
        <v>1802</v>
      </c>
      <c r="L452" s="7" t="str">
        <f aca="false">IF(OR(J452="",K452=""),"",IF(J452=K452,"Breach","OK"))</f>
        <v>OK</v>
      </c>
      <c r="M452" s="24" t="n">
        <v>1</v>
      </c>
      <c r="N452" s="50" t="n">
        <v>46238</v>
      </c>
      <c r="O452" s="8" t="s">
        <v>546</v>
      </c>
      <c r="P452" s="24" t="n">
        <v>25</v>
      </c>
      <c r="Q452" s="31" t="n">
        <f aca="false">IF(I452="N/A","",IFERROR(INDEX('Residual Config'!$B$35:$B$42,MATCH(H452,'Residual Config'!$A$35:$A$42,0)),""))</f>
        <v>25</v>
      </c>
      <c r="R452" s="24" t="n">
        <v>0</v>
      </c>
      <c r="S452" s="8" t="s">
        <v>516</v>
      </c>
      <c r="T452" s="31" t="n">
        <f aca="false">IF(S452="","",MATCH(S452,'Residual Config'!$L$9:$L$12,0))</f>
        <v>1</v>
      </c>
      <c r="U452" s="8" t="s">
        <v>1846</v>
      </c>
      <c r="V452" s="24" t="n">
        <v>2</v>
      </c>
      <c r="W452" s="33" t="s">
        <v>533</v>
      </c>
      <c r="X452" s="8" t="s">
        <v>754</v>
      </c>
      <c r="Y452" s="51" t="n">
        <f aca="false">IF(N452="","",EDATE(N452,IF(G452="N",INDEX('Residual Config'!$B$31:$D$31,1,MATCH(D452,'Residual Config'!$B$27:$D$27,0)),INDEX('Residual Config'!$B$28:$D$30,IF(T452=1,1,IF(T452=4,3,2)),MATCH(D452,'Residual Config'!$B$27:$D$27,0)))))</f>
        <v>46603</v>
      </c>
      <c r="Z452" s="7" t="str">
        <f aca="false">IF(I452="N/A","N/A",IF(N452="","Not tested",IF(W452="Rejected","Evidence rejected",IF(W452&lt;&gt;"Accepted","Evidence pending",IF(Y452&lt;'Residual Config'!$C$4,"Overdue","Current")))))</f>
        <v>Current</v>
      </c>
      <c r="AA452" s="34" t="n">
        <f aca="false">IF(I452="N/A","",IF(Z452&lt;&gt;"Current",4,IF(MAX(M452,T452)=0,4,MAX(M452,T452))))</f>
        <v>1</v>
      </c>
      <c r="AB452" s="7" t="str">
        <f aca="false">IF(AA452="","N/A",IF(Z452&lt;&gt;"Current","Not tested / overdue",INDEX('Residual Config'!$B$11:$B$14,AA452)))</f>
        <v>Effective</v>
      </c>
      <c r="AC452" s="36" t="n">
        <f aca="false">IF(AA452="","",INDEX('Residual Config'!$D$11:$D$14,AA452))</f>
        <v>0.6</v>
      </c>
      <c r="AD452" s="7" t="str">
        <f aca="false">IF(OR(I452="N/A",P452="",Q452=""),"",IF(P452&gt;=Q452,"Yes","No"))</f>
        <v>Yes</v>
      </c>
      <c r="AE452" s="8"/>
    </row>
    <row r="453" customFormat="false" ht="15" hidden="false" customHeight="false" outlineLevel="0" collapsed="false">
      <c r="A453" s="12" t="s">
        <v>1847</v>
      </c>
      <c r="B453" s="26" t="str">
        <f aca="false">Entities!$A$15</f>
        <v>BH</v>
      </c>
      <c r="C453" s="12" t="str">
        <f aca="false">INDEX(Entities!$B$5:$B$34,MATCH(B453,Entities!$A$5:$A$34,0))</f>
        <v>Arab Bank – Bahrain</v>
      </c>
      <c r="D453" s="7" t="str">
        <f aca="false">INDEX(Entities!$F$5:$F$34,MATCH(B453,Entities!$A$5:$A$34,0))</f>
        <v>Tier 2</v>
      </c>
      <c r="E453" s="26" t="str">
        <f aca="false">'Control Library'!$A$23</f>
        <v>CTL-FRD-01</v>
      </c>
      <c r="F453" s="12" t="str">
        <f aca="false">INDEX('Control Library'!$B$5:$B$47,MATCH(E453,'Control Library'!$A$5:$A$47,0))</f>
        <v>Real-time fraud monitoring for cards and digital channels</v>
      </c>
      <c r="G453" s="7" t="str">
        <f aca="false">INDEX('Control Library'!$F$5:$F$47,MATCH(E453,'Control Library'!$A$5:$A$47,0))</f>
        <v>Y</v>
      </c>
      <c r="H453" s="12" t="str">
        <f aca="false">INDEX('Control Library'!$E$5:$E$47,MATCH(E453,'Control Library'!$A$5:$A$47,0))</f>
        <v>Continuous</v>
      </c>
      <c r="I453" s="7" t="str">
        <f aca="false">IF(INDEX('Control Library'!$I$5:$I$47,MATCH(E453,'Control Library'!$A$5:$A$47,0))="All","Y",IF(INDEX('Control Library'!$I$5:$I$47,MATCH(E453,'Control Library'!$A$5:$A$47,0))="Banks only",IF(COUNTIF('Residual Config'!$L$28:$L$30,INDEX(Entities!$E$5:$E$34,MATCH(B453,Entities!$A$5:$A$34,0)))&gt;0,"N/A","Y"),IF(INDEX(Entities!$G$5:$G$34,MATCH(B453,Entities!$A$5:$A$34,0))="Y","Y","N/A")))</f>
        <v>Y</v>
      </c>
      <c r="J453" s="8" t="s">
        <v>1848</v>
      </c>
      <c r="K453" s="8" t="s">
        <v>1802</v>
      </c>
      <c r="L453" s="7" t="str">
        <f aca="false">IF(OR(J453="",K453=""),"",IF(J453=K453,"Breach","OK"))</f>
        <v>OK</v>
      </c>
      <c r="M453" s="24" t="n">
        <v>1</v>
      </c>
      <c r="N453" s="50" t="n">
        <v>46052</v>
      </c>
      <c r="O453" s="8" t="s">
        <v>546</v>
      </c>
      <c r="P453" s="24" t="n">
        <v>1</v>
      </c>
      <c r="Q453" s="31" t="n">
        <f aca="false">IF(I453="N/A","",IFERROR(INDEX('Residual Config'!$B$35:$B$42,MATCH(H453,'Residual Config'!$A$35:$A$42,0)),""))</f>
        <v>1</v>
      </c>
      <c r="R453" s="24" t="n">
        <v>1</v>
      </c>
      <c r="S453" s="8" t="s">
        <v>521</v>
      </c>
      <c r="T453" s="31" t="n">
        <f aca="false">IF(S453="","",MATCH(S453,'Residual Config'!$L$9:$L$12,0))</f>
        <v>2</v>
      </c>
      <c r="U453" s="8" t="s">
        <v>1849</v>
      </c>
      <c r="V453" s="24" t="n">
        <v>2</v>
      </c>
      <c r="W453" s="33" t="s">
        <v>533</v>
      </c>
      <c r="X453" s="8" t="s">
        <v>760</v>
      </c>
      <c r="Y453" s="51" t="n">
        <f aca="false">IF(N453="","",EDATE(N453,IF(G453="N",INDEX('Residual Config'!$B$31:$D$31,1,MATCH(D453,'Residual Config'!$B$27:$D$27,0)),INDEX('Residual Config'!$B$28:$D$30,IF(T453=1,1,IF(T453=4,3,2)),MATCH(D453,'Residual Config'!$B$27:$D$27,0)))))</f>
        <v>46233</v>
      </c>
      <c r="Z453" s="7" t="str">
        <f aca="false">IF(I453="N/A","N/A",IF(N453="","Not tested",IF(W453="Rejected","Evidence rejected",IF(W453&lt;&gt;"Accepted","Evidence pending",IF(Y453&lt;'Residual Config'!$C$4,"Overdue","Current")))))</f>
        <v>Overdue</v>
      </c>
      <c r="AA453" s="34" t="n">
        <f aca="false">IF(I453="N/A","",IF(Z453&lt;&gt;"Current",4,IF(MAX(M453,T453)=0,4,MAX(M453,T453))))</f>
        <v>4</v>
      </c>
      <c r="AB453" s="7" t="str">
        <f aca="false">IF(AA453="","N/A",IF(Z453&lt;&gt;"Current","Not tested / overdue",INDEX('Residual Config'!$B$11:$B$14,AA453)))</f>
        <v>Not tested / overdue</v>
      </c>
      <c r="AC453" s="36" t="n">
        <f aca="false">IF(AA453="","",INDEX('Residual Config'!$D$11:$D$14,AA453))</f>
        <v>0</v>
      </c>
      <c r="AD453" s="7" t="str">
        <f aca="false">IF(OR(I453="N/A",P453="",Q453=""),"",IF(P453&gt;=Q453,"Yes","No"))</f>
        <v>Yes</v>
      </c>
      <c r="AE453" s="8"/>
    </row>
    <row r="454" customFormat="false" ht="15" hidden="false" customHeight="false" outlineLevel="0" collapsed="false">
      <c r="A454" s="12" t="s">
        <v>1850</v>
      </c>
      <c r="B454" s="26" t="str">
        <f aca="false">Entities!$A$15</f>
        <v>BH</v>
      </c>
      <c r="C454" s="12" t="str">
        <f aca="false">INDEX(Entities!$B$5:$B$34,MATCH(B454,Entities!$A$5:$A$34,0))</f>
        <v>Arab Bank – Bahrain</v>
      </c>
      <c r="D454" s="7" t="str">
        <f aca="false">INDEX(Entities!$F$5:$F$34,MATCH(B454,Entities!$A$5:$A$34,0))</f>
        <v>Tier 2</v>
      </c>
      <c r="E454" s="26" t="str">
        <f aca="false">'Control Library'!$A$24</f>
        <v>CTL-FRD-02</v>
      </c>
      <c r="F454" s="12" t="str">
        <f aca="false">INDEX('Control Library'!$B$5:$B$47,MATCH(E454,'Control Library'!$A$5:$A$47,0))</f>
        <v>Maker-checker and dual control on payments and static data</v>
      </c>
      <c r="G454" s="7" t="str">
        <f aca="false">INDEX('Control Library'!$F$5:$F$47,MATCH(E454,'Control Library'!$A$5:$A$47,0))</f>
        <v>Y</v>
      </c>
      <c r="H454" s="12" t="str">
        <f aca="false">INDEX('Control Library'!$E$5:$E$47,MATCH(E454,'Control Library'!$A$5:$A$47,0))</f>
        <v>Daily</v>
      </c>
      <c r="I454" s="7" t="str">
        <f aca="false">IF(INDEX('Control Library'!$I$5:$I$47,MATCH(E454,'Control Library'!$A$5:$A$47,0))="All","Y",IF(INDEX('Control Library'!$I$5:$I$47,MATCH(E454,'Control Library'!$A$5:$A$47,0))="Banks only",IF(COUNTIF('Residual Config'!$L$28:$L$30,INDEX(Entities!$E$5:$E$34,MATCH(B454,Entities!$A$5:$A$34,0)))&gt;0,"N/A","Y"),IF(INDEX(Entities!$G$5:$G$34,MATCH(B454,Entities!$A$5:$A$34,0))="Y","Y","N/A")))</f>
        <v>Y</v>
      </c>
      <c r="J454" s="8" t="s">
        <v>1801</v>
      </c>
      <c r="K454" s="8" t="s">
        <v>1802</v>
      </c>
      <c r="L454" s="7" t="str">
        <f aca="false">IF(OR(J454="",K454=""),"",IF(J454=K454,"Breach","OK"))</f>
        <v>OK</v>
      </c>
      <c r="M454" s="24" t="n">
        <v>1</v>
      </c>
      <c r="N454" s="50" t="n">
        <v>45981</v>
      </c>
      <c r="O454" s="8" t="s">
        <v>545</v>
      </c>
      <c r="P454" s="24" t="n">
        <v>25</v>
      </c>
      <c r="Q454" s="31" t="n">
        <f aca="false">IF(I454="N/A","",IFERROR(INDEX('Residual Config'!$B$35:$B$42,MATCH(H454,'Residual Config'!$A$35:$A$42,0)),""))</f>
        <v>25</v>
      </c>
      <c r="R454" s="24" t="n">
        <v>0</v>
      </c>
      <c r="S454" s="8" t="s">
        <v>516</v>
      </c>
      <c r="T454" s="31" t="n">
        <f aca="false">IF(S454="","",MATCH(S454,'Residual Config'!$L$9:$L$12,0))</f>
        <v>1</v>
      </c>
      <c r="U454" s="8" t="s">
        <v>1851</v>
      </c>
      <c r="V454" s="24" t="n">
        <v>5</v>
      </c>
      <c r="W454" s="33" t="s">
        <v>533</v>
      </c>
      <c r="X454" s="8" t="s">
        <v>754</v>
      </c>
      <c r="Y454" s="51" t="n">
        <f aca="false">IF(N454="","",EDATE(N454,IF(G454="N",INDEX('Residual Config'!$B$31:$D$31,1,MATCH(D454,'Residual Config'!$B$27:$D$27,0)),INDEX('Residual Config'!$B$28:$D$30,IF(T454=1,1,IF(T454=4,3,2)),MATCH(D454,'Residual Config'!$B$27:$D$27,0)))))</f>
        <v>46346</v>
      </c>
      <c r="Z454" s="7" t="str">
        <f aca="false">IF(I454="N/A","N/A",IF(N454="","Not tested",IF(W454="Rejected","Evidence rejected",IF(W454&lt;&gt;"Accepted","Evidence pending",IF(Y454&lt;'Residual Config'!$C$4,"Overdue","Current")))))</f>
        <v>Current</v>
      </c>
      <c r="AA454" s="34" t="n">
        <f aca="false">IF(I454="N/A","",IF(Z454&lt;&gt;"Current",4,IF(MAX(M454,T454)=0,4,MAX(M454,T454))))</f>
        <v>1</v>
      </c>
      <c r="AB454" s="7" t="str">
        <f aca="false">IF(AA454="","N/A",IF(Z454&lt;&gt;"Current","Not tested / overdue",INDEX('Residual Config'!$B$11:$B$14,AA454)))</f>
        <v>Effective</v>
      </c>
      <c r="AC454" s="36" t="n">
        <f aca="false">IF(AA454="","",INDEX('Residual Config'!$D$11:$D$14,AA454))</f>
        <v>0.6</v>
      </c>
      <c r="AD454" s="7" t="str">
        <f aca="false">IF(OR(I454="N/A",P454="",Q454=""),"",IF(P454&gt;=Q454,"Yes","No"))</f>
        <v>Yes</v>
      </c>
      <c r="AE454" s="8"/>
    </row>
    <row r="455" customFormat="false" ht="15" hidden="false" customHeight="false" outlineLevel="0" collapsed="false">
      <c r="A455" s="12" t="s">
        <v>1852</v>
      </c>
      <c r="B455" s="26" t="str">
        <f aca="false">Entities!$A$15</f>
        <v>BH</v>
      </c>
      <c r="C455" s="12" t="str">
        <f aca="false">INDEX(Entities!$B$5:$B$34,MATCH(B455,Entities!$A$5:$A$34,0))</f>
        <v>Arab Bank – Bahrain</v>
      </c>
      <c r="D455" s="7" t="str">
        <f aca="false">INDEX(Entities!$F$5:$F$34,MATCH(B455,Entities!$A$5:$A$34,0))</f>
        <v>Tier 2</v>
      </c>
      <c r="E455" s="26" t="str">
        <f aca="false">'Control Library'!$A$25</f>
        <v>CTL-FRD-03</v>
      </c>
      <c r="F455" s="12" t="str">
        <f aca="false">INDEX('Control Library'!$B$5:$B$47,MATCH(E455,'Control Library'!$A$5:$A$47,0))</f>
        <v>Mandatory consecutive leave and rotation for sensitive roles</v>
      </c>
      <c r="G455" s="7" t="str">
        <f aca="false">INDEX('Control Library'!$F$5:$F$47,MATCH(E455,'Control Library'!$A$5:$A$47,0))</f>
        <v>N</v>
      </c>
      <c r="H455" s="12" t="str">
        <f aca="false">INDEX('Control Library'!$E$5:$E$47,MATCH(E455,'Control Library'!$A$5:$A$47,0))</f>
        <v>Annual</v>
      </c>
      <c r="I455" s="7" t="str">
        <f aca="false">IF(INDEX('Control Library'!$I$5:$I$47,MATCH(E455,'Control Library'!$A$5:$A$47,0))="All","Y",IF(INDEX('Control Library'!$I$5:$I$47,MATCH(E455,'Control Library'!$A$5:$A$47,0))="Banks only",IF(COUNTIF('Residual Config'!$L$28:$L$30,INDEX(Entities!$E$5:$E$34,MATCH(B455,Entities!$A$5:$A$34,0)))&gt;0,"N/A","Y"),IF(INDEX(Entities!$G$5:$G$34,MATCH(B455,Entities!$A$5:$A$34,0))="Y","Y","N/A")))</f>
        <v>Y</v>
      </c>
      <c r="J455" s="8" t="s">
        <v>1853</v>
      </c>
      <c r="K455" s="8" t="s">
        <v>1802</v>
      </c>
      <c r="L455" s="7" t="str">
        <f aca="false">IF(OR(J455="",K455=""),"",IF(J455=K455,"Breach","OK"))</f>
        <v>OK</v>
      </c>
      <c r="M455" s="24" t="n">
        <v>1</v>
      </c>
      <c r="N455" s="50" t="n">
        <v>46266</v>
      </c>
      <c r="O455" s="8" t="s">
        <v>546</v>
      </c>
      <c r="P455" s="24" t="n">
        <v>1</v>
      </c>
      <c r="Q455" s="31" t="n">
        <f aca="false">IF(I455="N/A","",IFERROR(INDEX('Residual Config'!$B$35:$B$42,MATCH(H455,'Residual Config'!$A$35:$A$42,0)),""))</f>
        <v>1</v>
      </c>
      <c r="R455" s="24" t="n">
        <v>0</v>
      </c>
      <c r="S455" s="8" t="s">
        <v>516</v>
      </c>
      <c r="T455" s="31" t="n">
        <f aca="false">IF(S455="","",MATCH(S455,'Residual Config'!$L$9:$L$12,0))</f>
        <v>1</v>
      </c>
      <c r="U455" s="8" t="s">
        <v>1854</v>
      </c>
      <c r="V455" s="24" t="n">
        <v>3</v>
      </c>
      <c r="W455" s="33" t="s">
        <v>533</v>
      </c>
      <c r="X455" s="8" t="s">
        <v>760</v>
      </c>
      <c r="Y455" s="51" t="n">
        <f aca="false">IF(N455="","",EDATE(N455,IF(G455="N",INDEX('Residual Config'!$B$31:$D$31,1,MATCH(D455,'Residual Config'!$B$27:$D$27,0)),INDEX('Residual Config'!$B$28:$D$30,IF(T455=1,1,IF(T455=4,3,2)),MATCH(D455,'Residual Config'!$B$27:$D$27,0)))))</f>
        <v>46631</v>
      </c>
      <c r="Z455" s="7" t="str">
        <f aca="false">IF(I455="N/A","N/A",IF(N455="","Not tested",IF(W455="Rejected","Evidence rejected",IF(W455&lt;&gt;"Accepted","Evidence pending",IF(Y455&lt;'Residual Config'!$C$4,"Overdue","Current")))))</f>
        <v>Current</v>
      </c>
      <c r="AA455" s="34" t="n">
        <f aca="false">IF(I455="N/A","",IF(Z455&lt;&gt;"Current",4,IF(MAX(M455,T455)=0,4,MAX(M455,T455))))</f>
        <v>1</v>
      </c>
      <c r="AB455" s="7" t="str">
        <f aca="false">IF(AA455="","N/A",IF(Z455&lt;&gt;"Current","Not tested / overdue",INDEX('Residual Config'!$B$11:$B$14,AA455)))</f>
        <v>Effective</v>
      </c>
      <c r="AC455" s="36" t="n">
        <f aca="false">IF(AA455="","",INDEX('Residual Config'!$D$11:$D$14,AA455))</f>
        <v>0.6</v>
      </c>
      <c r="AD455" s="7" t="str">
        <f aca="false">IF(OR(I455="N/A",P455="",Q455=""),"",IF(P455&gt;=Q455,"Yes","No"))</f>
        <v>Yes</v>
      </c>
      <c r="AE455" s="8"/>
    </row>
    <row r="456" customFormat="false" ht="15" hidden="false" customHeight="false" outlineLevel="0" collapsed="false">
      <c r="A456" s="12" t="s">
        <v>1855</v>
      </c>
      <c r="B456" s="26" t="str">
        <f aca="false">Entities!$A$15</f>
        <v>BH</v>
      </c>
      <c r="C456" s="12" t="str">
        <f aca="false">INDEX(Entities!$B$5:$B$34,MATCH(B456,Entities!$A$5:$A$34,0))</f>
        <v>Arab Bank – Bahrain</v>
      </c>
      <c r="D456" s="7" t="str">
        <f aca="false">INDEX(Entities!$F$5:$F$34,MATCH(B456,Entities!$A$5:$A$34,0))</f>
        <v>Tier 2</v>
      </c>
      <c r="E456" s="26" t="str">
        <f aca="false">'Control Library'!$A$26</f>
        <v>CTL-TAX-01</v>
      </c>
      <c r="F456" s="12" t="str">
        <f aca="false">INDEX('Control Library'!$B$5:$B$47,MATCH(E456,'Control Library'!$A$5:$A$47,0))</f>
        <v>FATCA/CRS self-certification and classification</v>
      </c>
      <c r="G456" s="7" t="str">
        <f aca="false">INDEX('Control Library'!$F$5:$F$47,MATCH(E456,'Control Library'!$A$5:$A$47,0))</f>
        <v>Y</v>
      </c>
      <c r="H456" s="12" t="str">
        <f aca="false">INDEX('Control Library'!$E$5:$E$47,MATCH(E456,'Control Library'!$A$5:$A$47,0))</f>
        <v>Event-driven</v>
      </c>
      <c r="I456" s="7" t="str">
        <f aca="false">IF(INDEX('Control Library'!$I$5:$I$47,MATCH(E456,'Control Library'!$A$5:$A$47,0))="All","Y",IF(INDEX('Control Library'!$I$5:$I$47,MATCH(E456,'Control Library'!$A$5:$A$47,0))="Banks only",IF(COUNTIF('Residual Config'!$L$28:$L$30,INDEX(Entities!$E$5:$E$34,MATCH(B456,Entities!$A$5:$A$34,0)))&gt;0,"N/A","Y"),IF(INDEX(Entities!$G$5:$G$34,MATCH(B456,Entities!$A$5:$A$34,0))="Y","Y","N/A")))</f>
        <v>Y</v>
      </c>
      <c r="J456" s="8" t="s">
        <v>1801</v>
      </c>
      <c r="K456" s="8" t="s">
        <v>1802</v>
      </c>
      <c r="L456" s="7" t="str">
        <f aca="false">IF(OR(J456="",K456=""),"",IF(J456=K456,"Breach","OK"))</f>
        <v>OK</v>
      </c>
      <c r="M456" s="24" t="n">
        <v>2</v>
      </c>
      <c r="N456" s="50" t="n">
        <v>46187</v>
      </c>
      <c r="O456" s="8" t="s">
        <v>545</v>
      </c>
      <c r="P456" s="24" t="n">
        <v>35</v>
      </c>
      <c r="Q456" s="31" t="n">
        <f aca="false">IF(I456="N/A","",IFERROR(INDEX('Residual Config'!$B$35:$B$42,MATCH(H456,'Residual Config'!$A$35:$A$42,0)),""))</f>
        <v>25</v>
      </c>
      <c r="R456" s="24" t="n">
        <v>1</v>
      </c>
      <c r="S456" s="8" t="s">
        <v>521</v>
      </c>
      <c r="T456" s="31" t="n">
        <f aca="false">IF(S456="","",MATCH(S456,'Residual Config'!$L$9:$L$12,0))</f>
        <v>2</v>
      </c>
      <c r="U456" s="8" t="s">
        <v>1856</v>
      </c>
      <c r="V456" s="24" t="n">
        <v>6</v>
      </c>
      <c r="W456" s="33" t="s">
        <v>533</v>
      </c>
      <c r="X456" s="8" t="s">
        <v>754</v>
      </c>
      <c r="Y456" s="51" t="n">
        <f aca="false">IF(N456="","",EDATE(N456,IF(G456="N",INDEX('Residual Config'!$B$31:$D$31,1,MATCH(D456,'Residual Config'!$B$27:$D$27,0)),INDEX('Residual Config'!$B$28:$D$30,IF(T456=1,1,IF(T456=4,3,2)),MATCH(D456,'Residual Config'!$B$27:$D$27,0)))))</f>
        <v>46370</v>
      </c>
      <c r="Z456" s="7" t="str">
        <f aca="false">IF(I456="N/A","N/A",IF(N456="","Not tested",IF(W456="Rejected","Evidence rejected",IF(W456&lt;&gt;"Accepted","Evidence pending",IF(Y456&lt;'Residual Config'!$C$4,"Overdue","Current")))))</f>
        <v>Current</v>
      </c>
      <c r="AA456" s="34" t="n">
        <f aca="false">IF(I456="N/A","",IF(Z456&lt;&gt;"Current",4,IF(MAX(M456,T456)=0,4,MAX(M456,T456))))</f>
        <v>2</v>
      </c>
      <c r="AB456" s="7" t="str">
        <f aca="false">IF(AA456="","N/A",IF(Z456&lt;&gt;"Current","Not tested / overdue",INDEX('Residual Config'!$B$11:$B$14,AA456)))</f>
        <v>Largely effective</v>
      </c>
      <c r="AC456" s="36" t="n">
        <f aca="false">IF(AA456="","",INDEX('Residual Config'!$D$11:$D$14,AA456))</f>
        <v>0.4</v>
      </c>
      <c r="AD456" s="7" t="str">
        <f aca="false">IF(OR(I456="N/A",P456="",Q456=""),"",IF(P456&gt;=Q456,"Yes","No"))</f>
        <v>Yes</v>
      </c>
      <c r="AE456" s="8"/>
    </row>
    <row r="457" customFormat="false" ht="15" hidden="false" customHeight="false" outlineLevel="0" collapsed="false">
      <c r="A457" s="12" t="s">
        <v>1857</v>
      </c>
      <c r="B457" s="26" t="str">
        <f aca="false">Entities!$A$15</f>
        <v>BH</v>
      </c>
      <c r="C457" s="12" t="str">
        <f aca="false">INDEX(Entities!$B$5:$B$34,MATCH(B457,Entities!$A$5:$A$34,0))</f>
        <v>Arab Bank – Bahrain</v>
      </c>
      <c r="D457" s="7" t="str">
        <f aca="false">INDEX(Entities!$F$5:$F$34,MATCH(B457,Entities!$A$5:$A$34,0))</f>
        <v>Tier 2</v>
      </c>
      <c r="E457" s="26" t="str">
        <f aca="false">'Control Library'!$A$27</f>
        <v>CTL-TAX-02</v>
      </c>
      <c r="F457" s="12" t="str">
        <f aca="false">INDEX('Control Library'!$B$5:$B$47,MATCH(E457,'Control Library'!$A$5:$A$47,0))</f>
        <v>FATCA/CRS reporting reconciliation and timely filing</v>
      </c>
      <c r="G457" s="7" t="str">
        <f aca="false">INDEX('Control Library'!$F$5:$F$47,MATCH(E457,'Control Library'!$A$5:$A$47,0))</f>
        <v>N</v>
      </c>
      <c r="H457" s="12" t="str">
        <f aca="false">INDEX('Control Library'!$E$5:$E$47,MATCH(E457,'Control Library'!$A$5:$A$47,0))</f>
        <v>Annual</v>
      </c>
      <c r="I457" s="7" t="str">
        <f aca="false">IF(INDEX('Control Library'!$I$5:$I$47,MATCH(E457,'Control Library'!$A$5:$A$47,0))="All","Y",IF(INDEX('Control Library'!$I$5:$I$47,MATCH(E457,'Control Library'!$A$5:$A$47,0))="Banks only",IF(COUNTIF('Residual Config'!$L$28:$L$30,INDEX(Entities!$E$5:$E$34,MATCH(B457,Entities!$A$5:$A$34,0)))&gt;0,"N/A","Y"),IF(INDEX(Entities!$G$5:$G$34,MATCH(B457,Entities!$A$5:$A$34,0))="Y","Y","N/A")))</f>
        <v>Y</v>
      </c>
      <c r="J457" s="8" t="s">
        <v>1858</v>
      </c>
      <c r="K457" s="8" t="s">
        <v>1802</v>
      </c>
      <c r="L457" s="7" t="str">
        <f aca="false">IF(OR(J457="",K457=""),"",IF(J457=K457,"Breach","OK"))</f>
        <v>OK</v>
      </c>
      <c r="M457" s="24" t="n">
        <v>2</v>
      </c>
      <c r="N457" s="50" t="n">
        <v>46283</v>
      </c>
      <c r="O457" s="8" t="s">
        <v>545</v>
      </c>
      <c r="P457" s="24" t="n">
        <v>1</v>
      </c>
      <c r="Q457" s="31" t="n">
        <f aca="false">IF(I457="N/A","",IFERROR(INDEX('Residual Config'!$B$35:$B$42,MATCH(H457,'Residual Config'!$A$35:$A$42,0)),""))</f>
        <v>1</v>
      </c>
      <c r="R457" s="24" t="n">
        <v>1</v>
      </c>
      <c r="S457" s="8" t="s">
        <v>521</v>
      </c>
      <c r="T457" s="31" t="n">
        <f aca="false">IF(S457="","",MATCH(S457,'Residual Config'!$L$9:$L$12,0))</f>
        <v>2</v>
      </c>
      <c r="U457" s="8" t="s">
        <v>1859</v>
      </c>
      <c r="V457" s="24" t="n">
        <v>1</v>
      </c>
      <c r="W457" s="33" t="s">
        <v>533</v>
      </c>
      <c r="X457" s="8" t="s">
        <v>760</v>
      </c>
      <c r="Y457" s="51" t="n">
        <f aca="false">IF(N457="","",EDATE(N457,IF(G457="N",INDEX('Residual Config'!$B$31:$D$31,1,MATCH(D457,'Residual Config'!$B$27:$D$27,0)),INDEX('Residual Config'!$B$28:$D$30,IF(T457=1,1,IF(T457=4,3,2)),MATCH(D457,'Residual Config'!$B$27:$D$27,0)))))</f>
        <v>46648</v>
      </c>
      <c r="Z457" s="7" t="str">
        <f aca="false">IF(I457="N/A","N/A",IF(N457="","Not tested",IF(W457="Rejected","Evidence rejected",IF(W457&lt;&gt;"Accepted","Evidence pending",IF(Y457&lt;'Residual Config'!$C$4,"Overdue","Current")))))</f>
        <v>Current</v>
      </c>
      <c r="AA457" s="34" t="n">
        <f aca="false">IF(I457="N/A","",IF(Z457&lt;&gt;"Current",4,IF(MAX(M457,T457)=0,4,MAX(M457,T457))))</f>
        <v>2</v>
      </c>
      <c r="AB457" s="7" t="str">
        <f aca="false">IF(AA457="","N/A",IF(Z457&lt;&gt;"Current","Not tested / overdue",INDEX('Residual Config'!$B$11:$B$14,AA457)))</f>
        <v>Largely effective</v>
      </c>
      <c r="AC457" s="36" t="n">
        <f aca="false">IF(AA457="","",INDEX('Residual Config'!$D$11:$D$14,AA457))</f>
        <v>0.4</v>
      </c>
      <c r="AD457" s="7" t="str">
        <f aca="false">IF(OR(I457="N/A",P457="",Q457=""),"",IF(P457&gt;=Q457,"Yes","No"))</f>
        <v>Yes</v>
      </c>
      <c r="AE457" s="8"/>
    </row>
    <row r="458" customFormat="false" ht="15" hidden="false" customHeight="false" outlineLevel="0" collapsed="false">
      <c r="A458" s="12" t="s">
        <v>1860</v>
      </c>
      <c r="B458" s="26" t="str">
        <f aca="false">Entities!$A$15</f>
        <v>BH</v>
      </c>
      <c r="C458" s="12" t="str">
        <f aca="false">INDEX(Entities!$B$5:$B$34,MATCH(B458,Entities!$A$5:$A$34,0))</f>
        <v>Arab Bank – Bahrain</v>
      </c>
      <c r="D458" s="7" t="str">
        <f aca="false">INDEX(Entities!$F$5:$F$34,MATCH(B458,Entities!$A$5:$A$34,0))</f>
        <v>Tier 2</v>
      </c>
      <c r="E458" s="26" t="str">
        <f aca="false">'Control Library'!$A$28</f>
        <v>CTL-TRN-01</v>
      </c>
      <c r="F458" s="12" t="str">
        <f aca="false">INDEX('Control Library'!$B$5:$B$47,MATCH(E458,'Control Library'!$A$5:$A$47,0))</f>
        <v>Annual AML, sanctions and anti-bribery training</v>
      </c>
      <c r="G458" s="7" t="str">
        <f aca="false">INDEX('Control Library'!$F$5:$F$47,MATCH(E458,'Control Library'!$A$5:$A$47,0))</f>
        <v>N</v>
      </c>
      <c r="H458" s="12" t="str">
        <f aca="false">INDEX('Control Library'!$E$5:$E$47,MATCH(E458,'Control Library'!$A$5:$A$47,0))</f>
        <v>Annual</v>
      </c>
      <c r="I458" s="7" t="str">
        <f aca="false">IF(INDEX('Control Library'!$I$5:$I$47,MATCH(E458,'Control Library'!$A$5:$A$47,0))="All","Y",IF(INDEX('Control Library'!$I$5:$I$47,MATCH(E458,'Control Library'!$A$5:$A$47,0))="Banks only",IF(COUNTIF('Residual Config'!$L$28:$L$30,INDEX(Entities!$E$5:$E$34,MATCH(B458,Entities!$A$5:$A$34,0)))&gt;0,"N/A","Y"),IF(INDEX(Entities!$G$5:$G$34,MATCH(B458,Entities!$A$5:$A$34,0))="Y","Y","N/A")))</f>
        <v>Y</v>
      </c>
      <c r="J458" s="8" t="s">
        <v>1805</v>
      </c>
      <c r="K458" s="8" t="s">
        <v>1802</v>
      </c>
      <c r="L458" s="7" t="str">
        <f aca="false">IF(OR(J458="",K458=""),"",IF(J458=K458,"Breach","OK"))</f>
        <v>OK</v>
      </c>
      <c r="M458" s="24" t="n">
        <v>2</v>
      </c>
      <c r="N458" s="50" t="n">
        <v>46035</v>
      </c>
      <c r="O458" s="8" t="s">
        <v>545</v>
      </c>
      <c r="P458" s="24" t="n">
        <v>1</v>
      </c>
      <c r="Q458" s="31" t="n">
        <f aca="false">IF(I458="N/A","",IFERROR(INDEX('Residual Config'!$B$35:$B$42,MATCH(H458,'Residual Config'!$A$35:$A$42,0)),""))</f>
        <v>1</v>
      </c>
      <c r="R458" s="24" t="n">
        <v>1</v>
      </c>
      <c r="S458" s="8" t="s">
        <v>524</v>
      </c>
      <c r="T458" s="31" t="n">
        <f aca="false">IF(S458="","",MATCH(S458,'Residual Config'!$L$9:$L$12,0))</f>
        <v>3</v>
      </c>
      <c r="U458" s="8" t="s">
        <v>1861</v>
      </c>
      <c r="V458" s="24" t="n">
        <v>1</v>
      </c>
      <c r="W458" s="33" t="s">
        <v>533</v>
      </c>
      <c r="X458" s="8" t="s">
        <v>760</v>
      </c>
      <c r="Y458" s="51" t="n">
        <f aca="false">IF(N458="","",EDATE(N458,IF(G458="N",INDEX('Residual Config'!$B$31:$D$31,1,MATCH(D458,'Residual Config'!$B$27:$D$27,0)),INDEX('Residual Config'!$B$28:$D$30,IF(T458=1,1,IF(T458=4,3,2)),MATCH(D458,'Residual Config'!$B$27:$D$27,0)))))</f>
        <v>46400</v>
      </c>
      <c r="Z458" s="7" t="str">
        <f aca="false">IF(I458="N/A","N/A",IF(N458="","Not tested",IF(W458="Rejected","Evidence rejected",IF(W458&lt;&gt;"Accepted","Evidence pending",IF(Y458&lt;'Residual Config'!$C$4,"Overdue","Current")))))</f>
        <v>Current</v>
      </c>
      <c r="AA458" s="34" t="n">
        <f aca="false">IF(I458="N/A","",IF(Z458&lt;&gt;"Current",4,IF(MAX(M458,T458)=0,4,MAX(M458,T458))))</f>
        <v>3</v>
      </c>
      <c r="AB458" s="7" t="str">
        <f aca="false">IF(AA458="","N/A",IF(Z458&lt;&gt;"Current","Not tested / overdue",INDEX('Residual Config'!$B$11:$B$14,AA458)))</f>
        <v>Partially effective</v>
      </c>
      <c r="AC458" s="36" t="n">
        <f aca="false">IF(AA458="","",INDEX('Residual Config'!$D$11:$D$14,AA458))</f>
        <v>0.2</v>
      </c>
      <c r="AD458" s="7" t="str">
        <f aca="false">IF(OR(I458="N/A",P458="",Q458=""),"",IF(P458&gt;=Q458,"Yes","No"))</f>
        <v>Yes</v>
      </c>
      <c r="AE458" s="8"/>
    </row>
    <row r="459" customFormat="false" ht="15" hidden="false" customHeight="false" outlineLevel="0" collapsed="false">
      <c r="A459" s="12" t="s">
        <v>1862</v>
      </c>
      <c r="B459" s="26" t="str">
        <f aca="false">Entities!$A$15</f>
        <v>BH</v>
      </c>
      <c r="C459" s="12" t="str">
        <f aca="false">INDEX(Entities!$B$5:$B$34,MATCH(B459,Entities!$A$5:$A$34,0))</f>
        <v>Arab Bank – Bahrain</v>
      </c>
      <c r="D459" s="7" t="str">
        <f aca="false">INDEX(Entities!$F$5:$F$34,MATCH(B459,Entities!$A$5:$A$34,0))</f>
        <v>Tier 2</v>
      </c>
      <c r="E459" s="26" t="str">
        <f aca="false">'Control Library'!$A$29</f>
        <v>CTL-REG-01</v>
      </c>
      <c r="F459" s="12" t="str">
        <f aca="false">INDEX('Control Library'!$B$5:$B$47,MATCH(E459,'Control Library'!$A$5:$A$47,0))</f>
        <v>Regulatory change management and obligations register</v>
      </c>
      <c r="G459" s="7" t="str">
        <f aca="false">INDEX('Control Library'!$F$5:$F$47,MATCH(E459,'Control Library'!$A$5:$A$47,0))</f>
        <v>Y</v>
      </c>
      <c r="H459" s="12" t="str">
        <f aca="false">INDEX('Control Library'!$E$5:$E$47,MATCH(E459,'Control Library'!$A$5:$A$47,0))</f>
        <v>Monthly</v>
      </c>
      <c r="I459" s="7" t="str">
        <f aca="false">IF(INDEX('Control Library'!$I$5:$I$47,MATCH(E459,'Control Library'!$A$5:$A$47,0))="All","Y",IF(INDEX('Control Library'!$I$5:$I$47,MATCH(E459,'Control Library'!$A$5:$A$47,0))="Banks only",IF(COUNTIF('Residual Config'!$L$28:$L$30,INDEX(Entities!$E$5:$E$34,MATCH(B459,Entities!$A$5:$A$34,0)))&gt;0,"N/A","Y"),IF(INDEX(Entities!$G$5:$G$34,MATCH(B459,Entities!$A$5:$A$34,0))="Y","Y","N/A")))</f>
        <v>Y</v>
      </c>
      <c r="J459" s="8" t="s">
        <v>1805</v>
      </c>
      <c r="K459" s="8" t="s">
        <v>1802</v>
      </c>
      <c r="L459" s="7" t="str">
        <f aca="false">IF(OR(J459="",K459=""),"",IF(J459=K459,"Breach","OK"))</f>
        <v>OK</v>
      </c>
      <c r="M459" s="24" t="n">
        <v>2</v>
      </c>
      <c r="N459" s="50" t="n">
        <v>46197</v>
      </c>
      <c r="O459" s="8" t="s">
        <v>545</v>
      </c>
      <c r="P459" s="24" t="n">
        <v>3</v>
      </c>
      <c r="Q459" s="31" t="n">
        <f aca="false">IF(I459="N/A","",IFERROR(INDEX('Residual Config'!$B$35:$B$42,MATCH(H459,'Residual Config'!$A$35:$A$42,0)),""))</f>
        <v>3</v>
      </c>
      <c r="R459" s="24" t="n">
        <v>1</v>
      </c>
      <c r="S459" s="8" t="s">
        <v>521</v>
      </c>
      <c r="T459" s="31" t="n">
        <f aca="false">IF(S459="","",MATCH(S459,'Residual Config'!$L$9:$L$12,0))</f>
        <v>2</v>
      </c>
      <c r="U459" s="8" t="s">
        <v>1863</v>
      </c>
      <c r="V459" s="24" t="n">
        <v>6</v>
      </c>
      <c r="W459" s="33" t="s">
        <v>533</v>
      </c>
      <c r="X459" s="8" t="s">
        <v>754</v>
      </c>
      <c r="Y459" s="51" t="n">
        <f aca="false">IF(N459="","",EDATE(N459,IF(G459="N",INDEX('Residual Config'!$B$31:$D$31,1,MATCH(D459,'Residual Config'!$B$27:$D$27,0)),INDEX('Residual Config'!$B$28:$D$30,IF(T459=1,1,IF(T459=4,3,2)),MATCH(D459,'Residual Config'!$B$27:$D$27,0)))))</f>
        <v>46380</v>
      </c>
      <c r="Z459" s="7" t="str">
        <f aca="false">IF(I459="N/A","N/A",IF(N459="","Not tested",IF(W459="Rejected","Evidence rejected",IF(W459&lt;&gt;"Accepted","Evidence pending",IF(Y459&lt;'Residual Config'!$C$4,"Overdue","Current")))))</f>
        <v>Current</v>
      </c>
      <c r="AA459" s="34" t="n">
        <f aca="false">IF(I459="N/A","",IF(Z459&lt;&gt;"Current",4,IF(MAX(M459,T459)=0,4,MAX(M459,T459))))</f>
        <v>2</v>
      </c>
      <c r="AB459" s="7" t="str">
        <f aca="false">IF(AA459="","N/A",IF(Z459&lt;&gt;"Current","Not tested / overdue",INDEX('Residual Config'!$B$11:$B$14,AA459)))</f>
        <v>Largely effective</v>
      </c>
      <c r="AC459" s="36" t="n">
        <f aca="false">IF(AA459="","",INDEX('Residual Config'!$D$11:$D$14,AA459))</f>
        <v>0.4</v>
      </c>
      <c r="AD459" s="7" t="str">
        <f aca="false">IF(OR(I459="N/A",P459="",Q459=""),"",IF(P459&gt;=Q459,"Yes","No"))</f>
        <v>Yes</v>
      </c>
      <c r="AE459" s="8"/>
    </row>
    <row r="460" customFormat="false" ht="15" hidden="false" customHeight="false" outlineLevel="0" collapsed="false">
      <c r="A460" s="12" t="s">
        <v>1864</v>
      </c>
      <c r="B460" s="26" t="str">
        <f aca="false">Entities!$A$15</f>
        <v>BH</v>
      </c>
      <c r="C460" s="12" t="str">
        <f aca="false">INDEX(Entities!$B$5:$B$34,MATCH(B460,Entities!$A$5:$A$34,0))</f>
        <v>Arab Bank – Bahrain</v>
      </c>
      <c r="D460" s="7" t="str">
        <f aca="false">INDEX(Entities!$F$5:$F$34,MATCH(B460,Entities!$A$5:$A$34,0))</f>
        <v>Tier 2</v>
      </c>
      <c r="E460" s="26" t="str">
        <f aca="false">'Control Library'!$A$30</f>
        <v>CTL-REG-02</v>
      </c>
      <c r="F460" s="12" t="str">
        <f aca="false">INDEX('Control Library'!$B$5:$B$47,MATCH(E460,'Control Library'!$A$5:$A$47,0))</f>
        <v>Regulatory return review and senior sign-off</v>
      </c>
      <c r="G460" s="7" t="str">
        <f aca="false">INDEX('Control Library'!$F$5:$F$47,MATCH(E460,'Control Library'!$A$5:$A$47,0))</f>
        <v>Y</v>
      </c>
      <c r="H460" s="12" t="str">
        <f aca="false">INDEX('Control Library'!$E$5:$E$47,MATCH(E460,'Control Library'!$A$5:$A$47,0))</f>
        <v>Monthly</v>
      </c>
      <c r="I460" s="7" t="str">
        <f aca="false">IF(INDEX('Control Library'!$I$5:$I$47,MATCH(E460,'Control Library'!$A$5:$A$47,0))="All","Y",IF(INDEX('Control Library'!$I$5:$I$47,MATCH(E460,'Control Library'!$A$5:$A$47,0))="Banks only",IF(COUNTIF('Residual Config'!$L$28:$L$30,INDEX(Entities!$E$5:$E$34,MATCH(B460,Entities!$A$5:$A$34,0)))&gt;0,"N/A","Y"),IF(INDEX(Entities!$G$5:$G$34,MATCH(B460,Entities!$A$5:$A$34,0))="Y","Y","N/A")))</f>
        <v>Y</v>
      </c>
      <c r="J460" s="8" t="s">
        <v>1858</v>
      </c>
      <c r="K460" s="8" t="s">
        <v>1802</v>
      </c>
      <c r="L460" s="7" t="str">
        <f aca="false">IF(OR(J460="",K460=""),"",IF(J460=K460,"Breach","OK"))</f>
        <v>OK</v>
      </c>
      <c r="M460" s="24" t="n">
        <v>2</v>
      </c>
      <c r="N460" s="50" t="n">
        <v>46047</v>
      </c>
      <c r="O460" s="8" t="s">
        <v>545</v>
      </c>
      <c r="P460" s="24" t="n">
        <v>3</v>
      </c>
      <c r="Q460" s="31" t="n">
        <f aca="false">IF(I460="N/A","",IFERROR(INDEX('Residual Config'!$B$35:$B$42,MATCH(H460,'Residual Config'!$A$35:$A$42,0)),""))</f>
        <v>3</v>
      </c>
      <c r="R460" s="24" t="n">
        <v>0</v>
      </c>
      <c r="S460" s="8" t="s">
        <v>516</v>
      </c>
      <c r="T460" s="31" t="n">
        <f aca="false">IF(S460="","",MATCH(S460,'Residual Config'!$L$9:$L$12,0))</f>
        <v>1</v>
      </c>
      <c r="U460" s="8" t="s">
        <v>1865</v>
      </c>
      <c r="V460" s="24" t="n">
        <v>4</v>
      </c>
      <c r="W460" s="33" t="s">
        <v>533</v>
      </c>
      <c r="X460" s="8" t="s">
        <v>754</v>
      </c>
      <c r="Y460" s="51" t="n">
        <f aca="false">IF(N460="","",EDATE(N460,IF(G460="N",INDEX('Residual Config'!$B$31:$D$31,1,MATCH(D460,'Residual Config'!$B$27:$D$27,0)),INDEX('Residual Config'!$B$28:$D$30,IF(T460=1,1,IF(T460=4,3,2)),MATCH(D460,'Residual Config'!$B$27:$D$27,0)))))</f>
        <v>46412</v>
      </c>
      <c r="Z460" s="7" t="str">
        <f aca="false">IF(I460="N/A","N/A",IF(N460="","Not tested",IF(W460="Rejected","Evidence rejected",IF(W460&lt;&gt;"Accepted","Evidence pending",IF(Y460&lt;'Residual Config'!$C$4,"Overdue","Current")))))</f>
        <v>Current</v>
      </c>
      <c r="AA460" s="34" t="n">
        <f aca="false">IF(I460="N/A","",IF(Z460&lt;&gt;"Current",4,IF(MAX(M460,T460)=0,4,MAX(M460,T460))))</f>
        <v>2</v>
      </c>
      <c r="AB460" s="7" t="str">
        <f aca="false">IF(AA460="","N/A",IF(Z460&lt;&gt;"Current","Not tested / overdue",INDEX('Residual Config'!$B$11:$B$14,AA460)))</f>
        <v>Largely effective</v>
      </c>
      <c r="AC460" s="36" t="n">
        <f aca="false">IF(AA460="","",INDEX('Residual Config'!$D$11:$D$14,AA460))</f>
        <v>0.4</v>
      </c>
      <c r="AD460" s="7" t="str">
        <f aca="false">IF(OR(I460="N/A",P460="",Q460=""),"",IF(P460&gt;=Q460,"Yes","No"))</f>
        <v>Yes</v>
      </c>
      <c r="AE460" s="8"/>
    </row>
    <row r="461" customFormat="false" ht="15" hidden="false" customHeight="false" outlineLevel="0" collapsed="false">
      <c r="A461" s="12" t="s">
        <v>1866</v>
      </c>
      <c r="B461" s="26" t="str">
        <f aca="false">Entities!$A$15</f>
        <v>BH</v>
      </c>
      <c r="C461" s="12" t="str">
        <f aca="false">INDEX(Entities!$B$5:$B$34,MATCH(B461,Entities!$A$5:$A$34,0))</f>
        <v>Arab Bank – Bahrain</v>
      </c>
      <c r="D461" s="7" t="str">
        <f aca="false">INDEX(Entities!$F$5:$F$34,MATCH(B461,Entities!$A$5:$A$34,0))</f>
        <v>Tier 2</v>
      </c>
      <c r="E461" s="26" t="str">
        <f aca="false">'Control Library'!$A$31</f>
        <v>CTL-CON-01</v>
      </c>
      <c r="F461" s="12" t="str">
        <f aca="false">INDEX('Control Library'!$B$5:$B$47,MATCH(E461,'Control Library'!$A$5:$A$47,0))</f>
        <v>New product approval and suitability assessment</v>
      </c>
      <c r="G461" s="7" t="str">
        <f aca="false">INDEX('Control Library'!$F$5:$F$47,MATCH(E461,'Control Library'!$A$5:$A$47,0))</f>
        <v>Y</v>
      </c>
      <c r="H461" s="12" t="str">
        <f aca="false">INDEX('Control Library'!$E$5:$E$47,MATCH(E461,'Control Library'!$A$5:$A$47,0))</f>
        <v>Event-driven</v>
      </c>
      <c r="I461" s="7" t="str">
        <f aca="false">IF(INDEX('Control Library'!$I$5:$I$47,MATCH(E461,'Control Library'!$A$5:$A$47,0))="All","Y",IF(INDEX('Control Library'!$I$5:$I$47,MATCH(E461,'Control Library'!$A$5:$A$47,0))="Banks only",IF(COUNTIF('Residual Config'!$L$28:$L$30,INDEX(Entities!$E$5:$E$34,MATCH(B461,Entities!$A$5:$A$34,0)))&gt;0,"N/A","Y"),IF(INDEX(Entities!$G$5:$G$34,MATCH(B461,Entities!$A$5:$A$34,0))="Y","Y","N/A")))</f>
        <v>Y</v>
      </c>
      <c r="J461" s="8" t="s">
        <v>1805</v>
      </c>
      <c r="K461" s="8" t="s">
        <v>1802</v>
      </c>
      <c r="L461" s="7" t="str">
        <f aca="false">IF(OR(J461="",K461=""),"",IF(J461=K461,"Breach","OK"))</f>
        <v>OK</v>
      </c>
      <c r="M461" s="24" t="n">
        <v>1</v>
      </c>
      <c r="N461" s="50" t="n">
        <v>46151</v>
      </c>
      <c r="O461" s="8" t="s">
        <v>545</v>
      </c>
      <c r="P461" s="24" t="n">
        <v>30</v>
      </c>
      <c r="Q461" s="31" t="n">
        <f aca="false">IF(I461="N/A","",IFERROR(INDEX('Residual Config'!$B$35:$B$42,MATCH(H461,'Residual Config'!$A$35:$A$42,0)),""))</f>
        <v>25</v>
      </c>
      <c r="R461" s="24" t="n">
        <v>3</v>
      </c>
      <c r="S461" s="8" t="s">
        <v>524</v>
      </c>
      <c r="T461" s="31" t="n">
        <f aca="false">IF(S461="","",MATCH(S461,'Residual Config'!$L$9:$L$12,0))</f>
        <v>3</v>
      </c>
      <c r="U461" s="8" t="s">
        <v>1867</v>
      </c>
      <c r="V461" s="24" t="n">
        <v>6</v>
      </c>
      <c r="W461" s="33" t="s">
        <v>533</v>
      </c>
      <c r="X461" s="8" t="s">
        <v>754</v>
      </c>
      <c r="Y461" s="51" t="n">
        <f aca="false">IF(N461="","",EDATE(N461,IF(G461="N",INDEX('Residual Config'!$B$31:$D$31,1,MATCH(D461,'Residual Config'!$B$27:$D$27,0)),INDEX('Residual Config'!$B$28:$D$30,IF(T461=1,1,IF(T461=4,3,2)),MATCH(D461,'Residual Config'!$B$27:$D$27,0)))))</f>
        <v>46335</v>
      </c>
      <c r="Z461" s="7" t="str">
        <f aca="false">IF(I461="N/A","N/A",IF(N461="","Not tested",IF(W461="Rejected","Evidence rejected",IF(W461&lt;&gt;"Accepted","Evidence pending",IF(Y461&lt;'Residual Config'!$C$4,"Overdue","Current")))))</f>
        <v>Current</v>
      </c>
      <c r="AA461" s="34" t="n">
        <f aca="false">IF(I461="N/A","",IF(Z461&lt;&gt;"Current",4,IF(MAX(M461,T461)=0,4,MAX(M461,T461))))</f>
        <v>3</v>
      </c>
      <c r="AB461" s="7" t="str">
        <f aca="false">IF(AA461="","N/A",IF(Z461&lt;&gt;"Current","Not tested / overdue",INDEX('Residual Config'!$B$11:$B$14,AA461)))</f>
        <v>Partially effective</v>
      </c>
      <c r="AC461" s="36" t="n">
        <f aca="false">IF(AA461="","",INDEX('Residual Config'!$D$11:$D$14,AA461))</f>
        <v>0.2</v>
      </c>
      <c r="AD461" s="7" t="str">
        <f aca="false">IF(OR(I461="N/A",P461="",Q461=""),"",IF(P461&gt;=Q461,"Yes","No"))</f>
        <v>Yes</v>
      </c>
      <c r="AE461" s="8"/>
    </row>
    <row r="462" customFormat="false" ht="15" hidden="false" customHeight="false" outlineLevel="0" collapsed="false">
      <c r="A462" s="12" t="s">
        <v>1868</v>
      </c>
      <c r="B462" s="26" t="str">
        <f aca="false">Entities!$A$15</f>
        <v>BH</v>
      </c>
      <c r="C462" s="12" t="str">
        <f aca="false">INDEX(Entities!$B$5:$B$34,MATCH(B462,Entities!$A$5:$A$34,0))</f>
        <v>Arab Bank – Bahrain</v>
      </c>
      <c r="D462" s="7" t="str">
        <f aca="false">INDEX(Entities!$F$5:$F$34,MATCH(B462,Entities!$A$5:$A$34,0))</f>
        <v>Tier 2</v>
      </c>
      <c r="E462" s="26" t="str">
        <f aca="false">'Control Library'!$A$32</f>
        <v>CTL-CON-02</v>
      </c>
      <c r="F462" s="12" t="str">
        <f aca="false">INDEX('Control Library'!$B$5:$B$47,MATCH(E462,'Control Library'!$A$5:$A$47,0))</f>
        <v>Complaints handling and root-cause analysis</v>
      </c>
      <c r="G462" s="7" t="str">
        <f aca="false">INDEX('Control Library'!$F$5:$F$47,MATCH(E462,'Control Library'!$A$5:$A$47,0))</f>
        <v>N</v>
      </c>
      <c r="H462" s="12" t="str">
        <f aca="false">INDEX('Control Library'!$E$5:$E$47,MATCH(E462,'Control Library'!$A$5:$A$47,0))</f>
        <v>Monthly</v>
      </c>
      <c r="I462" s="7" t="str">
        <f aca="false">IF(INDEX('Control Library'!$I$5:$I$47,MATCH(E462,'Control Library'!$A$5:$A$47,0))="All","Y",IF(INDEX('Control Library'!$I$5:$I$47,MATCH(E462,'Control Library'!$A$5:$A$47,0))="Banks only",IF(COUNTIF('Residual Config'!$L$28:$L$30,INDEX(Entities!$E$5:$E$34,MATCH(B462,Entities!$A$5:$A$34,0)))&gt;0,"N/A","Y"),IF(INDEX(Entities!$G$5:$G$34,MATCH(B462,Entities!$A$5:$A$34,0))="Y","Y","N/A")))</f>
        <v>Y</v>
      </c>
      <c r="J462" s="8" t="s">
        <v>1869</v>
      </c>
      <c r="K462" s="8" t="s">
        <v>1802</v>
      </c>
      <c r="L462" s="7" t="str">
        <f aca="false">IF(OR(J462="",K462=""),"",IF(J462=K462,"Breach","OK"))</f>
        <v>OK</v>
      </c>
      <c r="M462" s="24" t="n">
        <v>2</v>
      </c>
      <c r="N462" s="50" t="n">
        <v>46099</v>
      </c>
      <c r="O462" s="8" t="s">
        <v>546</v>
      </c>
      <c r="P462" s="24" t="n">
        <v>3</v>
      </c>
      <c r="Q462" s="31" t="n">
        <f aca="false">IF(I462="N/A","",IFERROR(INDEX('Residual Config'!$B$35:$B$42,MATCH(H462,'Residual Config'!$A$35:$A$42,0)),""))</f>
        <v>3</v>
      </c>
      <c r="R462" s="24" t="n">
        <v>1</v>
      </c>
      <c r="S462" s="8" t="s">
        <v>521</v>
      </c>
      <c r="T462" s="31" t="n">
        <f aca="false">IF(S462="","",MATCH(S462,'Residual Config'!$L$9:$L$12,0))</f>
        <v>2</v>
      </c>
      <c r="U462" s="8" t="s">
        <v>1870</v>
      </c>
      <c r="V462" s="24" t="n">
        <v>5</v>
      </c>
      <c r="W462" s="33" t="s">
        <v>533</v>
      </c>
      <c r="X462" s="8" t="s">
        <v>760</v>
      </c>
      <c r="Y462" s="51" t="n">
        <f aca="false">IF(N462="","",EDATE(N462,IF(G462="N",INDEX('Residual Config'!$B$31:$D$31,1,MATCH(D462,'Residual Config'!$B$27:$D$27,0)),INDEX('Residual Config'!$B$28:$D$30,IF(T462=1,1,IF(T462=4,3,2)),MATCH(D462,'Residual Config'!$B$27:$D$27,0)))))</f>
        <v>46464</v>
      </c>
      <c r="Z462" s="7" t="str">
        <f aca="false">IF(I462="N/A","N/A",IF(N462="","Not tested",IF(W462="Rejected","Evidence rejected",IF(W462&lt;&gt;"Accepted","Evidence pending",IF(Y462&lt;'Residual Config'!$C$4,"Overdue","Current")))))</f>
        <v>Current</v>
      </c>
      <c r="AA462" s="34" t="n">
        <f aca="false">IF(I462="N/A","",IF(Z462&lt;&gt;"Current",4,IF(MAX(M462,T462)=0,4,MAX(M462,T462))))</f>
        <v>2</v>
      </c>
      <c r="AB462" s="7" t="str">
        <f aca="false">IF(AA462="","N/A",IF(Z462&lt;&gt;"Current","Not tested / overdue",INDEX('Residual Config'!$B$11:$B$14,AA462)))</f>
        <v>Largely effective</v>
      </c>
      <c r="AC462" s="36" t="n">
        <f aca="false">IF(AA462="","",INDEX('Residual Config'!$D$11:$D$14,AA462))</f>
        <v>0.4</v>
      </c>
      <c r="AD462" s="7" t="str">
        <f aca="false">IF(OR(I462="N/A",P462="",Q462=""),"",IF(P462&gt;=Q462,"Yes","No"))</f>
        <v>Yes</v>
      </c>
      <c r="AE462" s="8"/>
    </row>
    <row r="463" customFormat="false" ht="15" hidden="false" customHeight="false" outlineLevel="0" collapsed="false">
      <c r="A463" s="12" t="s">
        <v>1871</v>
      </c>
      <c r="B463" s="26" t="str">
        <f aca="false">Entities!$A$15</f>
        <v>BH</v>
      </c>
      <c r="C463" s="12" t="str">
        <f aca="false">INDEX(Entities!$B$5:$B$34,MATCH(B463,Entities!$A$5:$A$34,0))</f>
        <v>Arab Bank – Bahrain</v>
      </c>
      <c r="D463" s="7" t="str">
        <f aca="false">INDEX(Entities!$F$5:$F$34,MATCH(B463,Entities!$A$5:$A$34,0))</f>
        <v>Tier 2</v>
      </c>
      <c r="E463" s="26" t="str">
        <f aca="false">'Control Library'!$A$33</f>
        <v>CTL-DP-01</v>
      </c>
      <c r="F463" s="12" t="str">
        <f aca="false">INDEX('Control Library'!$B$5:$B$47,MATCH(E463,'Control Library'!$A$5:$A$47,0))</f>
        <v>Data protection impact assessments and processing records</v>
      </c>
      <c r="G463" s="7" t="str">
        <f aca="false">INDEX('Control Library'!$F$5:$F$47,MATCH(E463,'Control Library'!$A$5:$A$47,0))</f>
        <v>Y</v>
      </c>
      <c r="H463" s="12" t="str">
        <f aca="false">INDEX('Control Library'!$E$5:$E$47,MATCH(E463,'Control Library'!$A$5:$A$47,0))</f>
        <v>Event-driven</v>
      </c>
      <c r="I463" s="7" t="str">
        <f aca="false">IF(INDEX('Control Library'!$I$5:$I$47,MATCH(E463,'Control Library'!$A$5:$A$47,0))="All","Y",IF(INDEX('Control Library'!$I$5:$I$47,MATCH(E463,'Control Library'!$A$5:$A$47,0))="Banks only",IF(COUNTIF('Residual Config'!$L$28:$L$30,INDEX(Entities!$E$5:$E$34,MATCH(B463,Entities!$A$5:$A$34,0)))&gt;0,"N/A","Y"),IF(INDEX(Entities!$G$5:$G$34,MATCH(B463,Entities!$A$5:$A$34,0))="Y","Y","N/A")))</f>
        <v>Y</v>
      </c>
      <c r="J463" s="8" t="s">
        <v>1872</v>
      </c>
      <c r="K463" s="8" t="s">
        <v>1802</v>
      </c>
      <c r="L463" s="7" t="str">
        <f aca="false">IF(OR(J463="",K463=""),"",IF(J463=K463,"Breach","OK"))</f>
        <v>OK</v>
      </c>
      <c r="M463" s="24" t="n">
        <v>2</v>
      </c>
      <c r="N463" s="50" t="n">
        <v>46169</v>
      </c>
      <c r="O463" s="8" t="s">
        <v>545</v>
      </c>
      <c r="P463" s="24" t="n">
        <v>30</v>
      </c>
      <c r="Q463" s="31" t="n">
        <f aca="false">IF(I463="N/A","",IFERROR(INDEX('Residual Config'!$B$35:$B$42,MATCH(H463,'Residual Config'!$A$35:$A$42,0)),""))</f>
        <v>25</v>
      </c>
      <c r="R463" s="24" t="n">
        <v>1</v>
      </c>
      <c r="S463" s="8" t="s">
        <v>521</v>
      </c>
      <c r="T463" s="31" t="n">
        <f aca="false">IF(S463="","",MATCH(S463,'Residual Config'!$L$9:$L$12,0))</f>
        <v>2</v>
      </c>
      <c r="U463" s="8" t="s">
        <v>1873</v>
      </c>
      <c r="V463" s="24" t="n">
        <v>5</v>
      </c>
      <c r="W463" s="33" t="s">
        <v>533</v>
      </c>
      <c r="X463" s="8" t="s">
        <v>754</v>
      </c>
      <c r="Y463" s="51" t="n">
        <f aca="false">IF(N463="","",EDATE(N463,IF(G463="N",INDEX('Residual Config'!$B$31:$D$31,1,MATCH(D463,'Residual Config'!$B$27:$D$27,0)),INDEX('Residual Config'!$B$28:$D$30,IF(T463=1,1,IF(T463=4,3,2)),MATCH(D463,'Residual Config'!$B$27:$D$27,0)))))</f>
        <v>46353</v>
      </c>
      <c r="Z463" s="7" t="str">
        <f aca="false">IF(I463="N/A","N/A",IF(N463="","Not tested",IF(W463="Rejected","Evidence rejected",IF(W463&lt;&gt;"Accepted","Evidence pending",IF(Y463&lt;'Residual Config'!$C$4,"Overdue","Current")))))</f>
        <v>Current</v>
      </c>
      <c r="AA463" s="34" t="n">
        <f aca="false">IF(I463="N/A","",IF(Z463&lt;&gt;"Current",4,IF(MAX(M463,T463)=0,4,MAX(M463,T463))))</f>
        <v>2</v>
      </c>
      <c r="AB463" s="7" t="str">
        <f aca="false">IF(AA463="","N/A",IF(Z463&lt;&gt;"Current","Not tested / overdue",INDEX('Residual Config'!$B$11:$B$14,AA463)))</f>
        <v>Largely effective</v>
      </c>
      <c r="AC463" s="36" t="n">
        <f aca="false">IF(AA463="","",INDEX('Residual Config'!$D$11:$D$14,AA463))</f>
        <v>0.4</v>
      </c>
      <c r="AD463" s="7" t="str">
        <f aca="false">IF(OR(I463="N/A",P463="",Q463=""),"",IF(P463&gt;=Q463,"Yes","No"))</f>
        <v>Yes</v>
      </c>
      <c r="AE463" s="8"/>
    </row>
    <row r="464" customFormat="false" ht="15" hidden="false" customHeight="false" outlineLevel="0" collapsed="false">
      <c r="A464" s="12" t="s">
        <v>1874</v>
      </c>
      <c r="B464" s="26" t="str">
        <f aca="false">Entities!$A$15</f>
        <v>BH</v>
      </c>
      <c r="C464" s="12" t="str">
        <f aca="false">INDEX(Entities!$B$5:$B$34,MATCH(B464,Entities!$A$5:$A$34,0))</f>
        <v>Arab Bank – Bahrain</v>
      </c>
      <c r="D464" s="7" t="str">
        <f aca="false">INDEX(Entities!$F$5:$F$34,MATCH(B464,Entities!$A$5:$A$34,0))</f>
        <v>Tier 2</v>
      </c>
      <c r="E464" s="26" t="str">
        <f aca="false">'Control Library'!$A$34</f>
        <v>CTL-DP-02</v>
      </c>
      <c r="F464" s="12" t="str">
        <f aca="false">INDEX('Control Library'!$B$5:$B$47,MATCH(E464,'Control Library'!$A$5:$A$47,0))</f>
        <v>Data loss prevention and quarterly access recertification</v>
      </c>
      <c r="G464" s="7" t="str">
        <f aca="false">INDEX('Control Library'!$F$5:$F$47,MATCH(E464,'Control Library'!$A$5:$A$47,0))</f>
        <v>Y</v>
      </c>
      <c r="H464" s="12" t="str">
        <f aca="false">INDEX('Control Library'!$E$5:$E$47,MATCH(E464,'Control Library'!$A$5:$A$47,0))</f>
        <v>Quarterly</v>
      </c>
      <c r="I464" s="7" t="str">
        <f aca="false">IF(INDEX('Control Library'!$I$5:$I$47,MATCH(E464,'Control Library'!$A$5:$A$47,0))="All","Y",IF(INDEX('Control Library'!$I$5:$I$47,MATCH(E464,'Control Library'!$A$5:$A$47,0))="Banks only",IF(COUNTIF('Residual Config'!$L$28:$L$30,INDEX(Entities!$E$5:$E$34,MATCH(B464,Entities!$A$5:$A$34,0)))&gt;0,"N/A","Y"),IF(INDEX(Entities!$G$5:$G$34,MATCH(B464,Entities!$A$5:$A$34,0))="Y","Y","N/A")))</f>
        <v>Y</v>
      </c>
      <c r="J464" s="8" t="s">
        <v>1875</v>
      </c>
      <c r="K464" s="8" t="s">
        <v>1802</v>
      </c>
      <c r="L464" s="7" t="str">
        <f aca="false">IF(OR(J464="",K464=""),"",IF(J464=K464,"Breach","OK"))</f>
        <v>OK</v>
      </c>
      <c r="M464" s="24" t="n">
        <v>1</v>
      </c>
      <c r="N464" s="50" t="n">
        <v>46019</v>
      </c>
      <c r="O464" s="8" t="s">
        <v>545</v>
      </c>
      <c r="P464" s="24" t="n">
        <v>2</v>
      </c>
      <c r="Q464" s="31" t="n">
        <f aca="false">IF(I464="N/A","",IFERROR(INDEX('Residual Config'!$B$35:$B$42,MATCH(H464,'Residual Config'!$A$35:$A$42,0)),""))</f>
        <v>2</v>
      </c>
      <c r="R464" s="24" t="n">
        <v>0</v>
      </c>
      <c r="S464" s="8" t="s">
        <v>516</v>
      </c>
      <c r="T464" s="31" t="n">
        <f aca="false">IF(S464="","",MATCH(S464,'Residual Config'!$L$9:$L$12,0))</f>
        <v>1</v>
      </c>
      <c r="U464" s="8" t="s">
        <v>1876</v>
      </c>
      <c r="V464" s="24" t="n">
        <v>1</v>
      </c>
      <c r="W464" s="33" t="s">
        <v>533</v>
      </c>
      <c r="X464" s="8" t="s">
        <v>754</v>
      </c>
      <c r="Y464" s="51" t="n">
        <f aca="false">IF(N464="","",EDATE(N464,IF(G464="N",INDEX('Residual Config'!$B$31:$D$31,1,MATCH(D464,'Residual Config'!$B$27:$D$27,0)),INDEX('Residual Config'!$B$28:$D$30,IF(T464=1,1,IF(T464=4,3,2)),MATCH(D464,'Residual Config'!$B$27:$D$27,0)))))</f>
        <v>46384</v>
      </c>
      <c r="Z464" s="7" t="str">
        <f aca="false">IF(I464="N/A","N/A",IF(N464="","Not tested",IF(W464="Rejected","Evidence rejected",IF(W464&lt;&gt;"Accepted","Evidence pending",IF(Y464&lt;'Residual Config'!$C$4,"Overdue","Current")))))</f>
        <v>Current</v>
      </c>
      <c r="AA464" s="34" t="n">
        <f aca="false">IF(I464="N/A","",IF(Z464&lt;&gt;"Current",4,IF(MAX(M464,T464)=0,4,MAX(M464,T464))))</f>
        <v>1</v>
      </c>
      <c r="AB464" s="7" t="str">
        <f aca="false">IF(AA464="","N/A",IF(Z464&lt;&gt;"Current","Not tested / overdue",INDEX('Residual Config'!$B$11:$B$14,AA464)))</f>
        <v>Effective</v>
      </c>
      <c r="AC464" s="36" t="n">
        <f aca="false">IF(AA464="","",INDEX('Residual Config'!$D$11:$D$14,AA464))</f>
        <v>0.6</v>
      </c>
      <c r="AD464" s="7" t="str">
        <f aca="false">IF(OR(I464="N/A",P464="",Q464=""),"",IF(P464&gt;=Q464,"Yes","No"))</f>
        <v>Yes</v>
      </c>
      <c r="AE464" s="8"/>
    </row>
    <row r="465" customFormat="false" ht="15" hidden="false" customHeight="false" outlineLevel="0" collapsed="false">
      <c r="A465" s="12" t="s">
        <v>1877</v>
      </c>
      <c r="B465" s="26" t="str">
        <f aca="false">Entities!$A$15</f>
        <v>BH</v>
      </c>
      <c r="C465" s="12" t="str">
        <f aca="false">INDEX(Entities!$B$5:$B$34,MATCH(B465,Entities!$A$5:$A$34,0))</f>
        <v>Arab Bank – Bahrain</v>
      </c>
      <c r="D465" s="7" t="str">
        <f aca="false">INDEX(Entities!$F$5:$F$34,MATCH(B465,Entities!$A$5:$A$34,0))</f>
        <v>Tier 2</v>
      </c>
      <c r="E465" s="26" t="str">
        <f aca="false">'Control Library'!$A$35</f>
        <v>CTL-SH-01</v>
      </c>
      <c r="F465" s="12" t="str">
        <f aca="false">INDEX('Control Library'!$B$5:$B$47,MATCH(E465,'Control Library'!$A$5:$A$47,0))</f>
        <v>Shariah review of products and income purification</v>
      </c>
      <c r="G465" s="7" t="str">
        <f aca="false">INDEX('Control Library'!$F$5:$F$47,MATCH(E465,'Control Library'!$A$5:$A$47,0))</f>
        <v>Y</v>
      </c>
      <c r="H465" s="12" t="str">
        <f aca="false">INDEX('Control Library'!$E$5:$E$47,MATCH(E465,'Control Library'!$A$5:$A$47,0))</f>
        <v>Quarterly</v>
      </c>
      <c r="I465" s="7" t="str">
        <f aca="false">IF(INDEX('Control Library'!$I$5:$I$47,MATCH(E465,'Control Library'!$A$5:$A$47,0))="All","Y",IF(INDEX('Control Library'!$I$5:$I$47,MATCH(E465,'Control Library'!$A$5:$A$47,0))="Banks only",IF(COUNTIF('Residual Config'!$L$28:$L$30,INDEX(Entities!$E$5:$E$34,MATCH(B465,Entities!$A$5:$A$34,0)))&gt;0,"N/A","Y"),IF(INDEX(Entities!$G$5:$G$34,MATCH(B465,Entities!$A$5:$A$34,0))="Y","Y","N/A")))</f>
        <v>N/A</v>
      </c>
      <c r="J465" s="8"/>
      <c r="K465" s="8"/>
      <c r="L465" s="7" t="str">
        <f aca="false">IF(OR(J465="",K465=""),"",IF(J465=K465,"Breach","OK"))</f>
        <v/>
      </c>
      <c r="M465" s="24"/>
      <c r="N465" s="50"/>
      <c r="O465" s="8"/>
      <c r="P465" s="24"/>
      <c r="Q465" s="31" t="str">
        <f aca="false">IF(I465="N/A","",IFERROR(INDEX('Residual Config'!$B$35:$B$42,MATCH(H465,'Residual Config'!$A$35:$A$42,0)),""))</f>
        <v/>
      </c>
      <c r="R465" s="24"/>
      <c r="S465" s="8"/>
      <c r="T465" s="31" t="str">
        <f aca="false">IF(S465="","",MATCH(S465,'Residual Config'!$L$9:$L$12,0))</f>
        <v/>
      </c>
      <c r="U465" s="8"/>
      <c r="V465" s="24"/>
      <c r="W465" s="33"/>
      <c r="X465" s="8"/>
      <c r="Y465" s="51" t="str">
        <f aca="false">IF(N465="","",EDATE(N465,IF(G465="N",INDEX('Residual Config'!$B$31:$D$31,1,MATCH(D465,'Residual Config'!$B$27:$D$27,0)),INDEX('Residual Config'!$B$28:$D$30,IF(T465=1,1,IF(T465=4,3,2)),MATCH(D465,'Residual Config'!$B$27:$D$27,0)))))</f>
        <v/>
      </c>
      <c r="Z465" s="7" t="str">
        <f aca="false">IF(I465="N/A","N/A",IF(N465="","Not tested",IF(W465="Rejected","Evidence rejected",IF(W465&lt;&gt;"Accepted","Evidence pending",IF(Y465&lt;'Residual Config'!$C$4,"Overdue","Current")))))</f>
        <v>N/A</v>
      </c>
      <c r="AA465" s="34" t="str">
        <f aca="false">IF(I465="N/A","",IF(Z465&lt;&gt;"Current",4,IF(MAX(M465,T465)=0,4,MAX(M465,T465))))</f>
        <v/>
      </c>
      <c r="AB465" s="7" t="str">
        <f aca="false">IF(AA465="","N/A",IF(Z465&lt;&gt;"Current","Not tested / overdue",INDEX('Residual Config'!$B$11:$B$14,AA465)))</f>
        <v>N/A</v>
      </c>
      <c r="AC465" s="36" t="str">
        <f aca="false">IF(AA465="","",INDEX('Residual Config'!$D$11:$D$14,AA465))</f>
        <v/>
      </c>
      <c r="AD465" s="7" t="str">
        <f aca="false">IF(OR(I465="N/A",P465="",Q465=""),"",IF(P465&gt;=Q465,"Yes","No"))</f>
        <v/>
      </c>
      <c r="AE465" s="8"/>
    </row>
    <row r="466" customFormat="false" ht="15" hidden="false" customHeight="false" outlineLevel="0" collapsed="false">
      <c r="A466" s="12" t="s">
        <v>1878</v>
      </c>
      <c r="B466" s="26" t="str">
        <f aca="false">Entities!$A$15</f>
        <v>BH</v>
      </c>
      <c r="C466" s="12" t="str">
        <f aca="false">INDEX(Entities!$B$5:$B$34,MATCH(B466,Entities!$A$5:$A$34,0))</f>
        <v>Arab Bank – Bahrain</v>
      </c>
      <c r="D466" s="7" t="str">
        <f aca="false">INDEX(Entities!$F$5:$F$34,MATCH(B466,Entities!$A$5:$A$34,0))</f>
        <v>Tier 2</v>
      </c>
      <c r="E466" s="26" t="str">
        <f aca="false">'Control Library'!$A$36</f>
        <v>CTL-CR-01</v>
      </c>
      <c r="F466" s="12" t="str">
        <f aca="false">INDEX('Control Library'!$B$5:$B$47,MATCH(E466,'Control Library'!$A$5:$A$47,0))</f>
        <v>Credit approval authorities and committee review</v>
      </c>
      <c r="G466" s="7" t="str">
        <f aca="false">INDEX('Control Library'!$F$5:$F$47,MATCH(E466,'Control Library'!$A$5:$A$47,0))</f>
        <v>Y</v>
      </c>
      <c r="H466" s="12" t="str">
        <f aca="false">INDEX('Control Library'!$E$5:$E$47,MATCH(E466,'Control Library'!$A$5:$A$47,0))</f>
        <v>Event-driven</v>
      </c>
      <c r="I466" s="7" t="str">
        <f aca="false">IF(INDEX('Control Library'!$I$5:$I$47,MATCH(E466,'Control Library'!$A$5:$A$47,0))="All","Y",IF(INDEX('Control Library'!$I$5:$I$47,MATCH(E466,'Control Library'!$A$5:$A$47,0))="Banks only",IF(COUNTIF('Residual Config'!$L$28:$L$30,INDEX(Entities!$E$5:$E$34,MATCH(B466,Entities!$A$5:$A$34,0)))&gt;0,"N/A","Y"),IF(INDEX(Entities!$G$5:$G$34,MATCH(B466,Entities!$A$5:$A$34,0))="Y","Y","N/A")))</f>
        <v>Y</v>
      </c>
      <c r="J466" s="8" t="s">
        <v>1879</v>
      </c>
      <c r="K466" s="8" t="s">
        <v>1802</v>
      </c>
      <c r="L466" s="7" t="str">
        <f aca="false">IF(OR(J466="",K466=""),"",IF(J466=K466,"Breach","OK"))</f>
        <v>OK</v>
      </c>
      <c r="M466" s="24" t="n">
        <v>1</v>
      </c>
      <c r="N466" s="50" t="n">
        <v>46217</v>
      </c>
      <c r="O466" s="8" t="s">
        <v>545</v>
      </c>
      <c r="P466" s="24" t="n">
        <v>30</v>
      </c>
      <c r="Q466" s="31" t="n">
        <f aca="false">IF(I466="N/A","",IFERROR(INDEX('Residual Config'!$B$35:$B$42,MATCH(H466,'Residual Config'!$A$35:$A$42,0)),""))</f>
        <v>25</v>
      </c>
      <c r="R466" s="24" t="n">
        <v>1</v>
      </c>
      <c r="S466" s="8" t="s">
        <v>521</v>
      </c>
      <c r="T466" s="31" t="n">
        <f aca="false">IF(S466="","",MATCH(S466,'Residual Config'!$L$9:$L$12,0))</f>
        <v>2</v>
      </c>
      <c r="U466" s="8" t="s">
        <v>1880</v>
      </c>
      <c r="V466" s="24" t="n">
        <v>1</v>
      </c>
      <c r="W466" s="33" t="s">
        <v>533</v>
      </c>
      <c r="X466" s="8" t="s">
        <v>754</v>
      </c>
      <c r="Y466" s="51" t="n">
        <f aca="false">IF(N466="","",EDATE(N466,IF(G466="N",INDEX('Residual Config'!$B$31:$D$31,1,MATCH(D466,'Residual Config'!$B$27:$D$27,0)),INDEX('Residual Config'!$B$28:$D$30,IF(T466=1,1,IF(T466=4,3,2)),MATCH(D466,'Residual Config'!$B$27:$D$27,0)))))</f>
        <v>46401</v>
      </c>
      <c r="Z466" s="7" t="str">
        <f aca="false">IF(I466="N/A","N/A",IF(N466="","Not tested",IF(W466="Rejected","Evidence rejected",IF(W466&lt;&gt;"Accepted","Evidence pending",IF(Y466&lt;'Residual Config'!$C$4,"Overdue","Current")))))</f>
        <v>Current</v>
      </c>
      <c r="AA466" s="34" t="n">
        <f aca="false">IF(I466="N/A","",IF(Z466&lt;&gt;"Current",4,IF(MAX(M466,T466)=0,4,MAX(M466,T466))))</f>
        <v>2</v>
      </c>
      <c r="AB466" s="7" t="str">
        <f aca="false">IF(AA466="","N/A",IF(Z466&lt;&gt;"Current","Not tested / overdue",INDEX('Residual Config'!$B$11:$B$14,AA466)))</f>
        <v>Largely effective</v>
      </c>
      <c r="AC466" s="36" t="n">
        <f aca="false">IF(AA466="","",INDEX('Residual Config'!$D$11:$D$14,AA466))</f>
        <v>0.4</v>
      </c>
      <c r="AD466" s="7" t="str">
        <f aca="false">IF(OR(I466="N/A",P466="",Q466=""),"",IF(P466&gt;=Q466,"Yes","No"))</f>
        <v>Yes</v>
      </c>
      <c r="AE466" s="8"/>
    </row>
    <row r="467" customFormat="false" ht="15" hidden="false" customHeight="false" outlineLevel="0" collapsed="false">
      <c r="A467" s="12" t="s">
        <v>1881</v>
      </c>
      <c r="B467" s="26" t="str">
        <f aca="false">Entities!$A$15</f>
        <v>BH</v>
      </c>
      <c r="C467" s="12" t="str">
        <f aca="false">INDEX(Entities!$B$5:$B$34,MATCH(B467,Entities!$A$5:$A$34,0))</f>
        <v>Arab Bank – Bahrain</v>
      </c>
      <c r="D467" s="7" t="str">
        <f aca="false">INDEX(Entities!$F$5:$F$34,MATCH(B467,Entities!$A$5:$A$34,0))</f>
        <v>Tier 2</v>
      </c>
      <c r="E467" s="26" t="str">
        <f aca="false">'Control Library'!$A$37</f>
        <v>CTL-CR-02</v>
      </c>
      <c r="F467" s="12" t="str">
        <f aca="false">INDEX('Control Library'!$B$5:$B$47,MATCH(E467,'Control Library'!$A$5:$A$47,0))</f>
        <v>Collateral valuation and exposure limit monitoring</v>
      </c>
      <c r="G467" s="7" t="str">
        <f aca="false">INDEX('Control Library'!$F$5:$F$47,MATCH(E467,'Control Library'!$A$5:$A$47,0))</f>
        <v>N</v>
      </c>
      <c r="H467" s="12" t="str">
        <f aca="false">INDEX('Control Library'!$E$5:$E$47,MATCH(E467,'Control Library'!$A$5:$A$47,0))</f>
        <v>Monthly</v>
      </c>
      <c r="I467" s="7" t="str">
        <f aca="false">IF(INDEX('Control Library'!$I$5:$I$47,MATCH(E467,'Control Library'!$A$5:$A$47,0))="All","Y",IF(INDEX('Control Library'!$I$5:$I$47,MATCH(E467,'Control Library'!$A$5:$A$47,0))="Banks only",IF(COUNTIF('Residual Config'!$L$28:$L$30,INDEX(Entities!$E$5:$E$34,MATCH(B467,Entities!$A$5:$A$34,0)))&gt;0,"N/A","Y"),IF(INDEX(Entities!$G$5:$G$34,MATCH(B467,Entities!$A$5:$A$34,0))="Y","Y","N/A")))</f>
        <v>Y</v>
      </c>
      <c r="J467" s="8" t="s">
        <v>1882</v>
      </c>
      <c r="K467" s="8" t="s">
        <v>1802</v>
      </c>
      <c r="L467" s="7" t="str">
        <f aca="false">IF(OR(J467="",K467=""),"",IF(J467=K467,"Breach","OK"))</f>
        <v>OK</v>
      </c>
      <c r="M467" s="24" t="n">
        <v>2</v>
      </c>
      <c r="N467" s="50" t="n">
        <v>46250</v>
      </c>
      <c r="O467" s="8" t="s">
        <v>545</v>
      </c>
      <c r="P467" s="24" t="n">
        <v>3</v>
      </c>
      <c r="Q467" s="31" t="n">
        <f aca="false">IF(I467="N/A","",IFERROR(INDEX('Residual Config'!$B$35:$B$42,MATCH(H467,'Residual Config'!$A$35:$A$42,0)),""))</f>
        <v>3</v>
      </c>
      <c r="R467" s="24" t="n">
        <v>1</v>
      </c>
      <c r="S467" s="8" t="s">
        <v>521</v>
      </c>
      <c r="T467" s="31" t="n">
        <f aca="false">IF(S467="","",MATCH(S467,'Residual Config'!$L$9:$L$12,0))</f>
        <v>2</v>
      </c>
      <c r="U467" s="8" t="s">
        <v>1883</v>
      </c>
      <c r="V467" s="24" t="n">
        <v>1</v>
      </c>
      <c r="W467" s="33" t="s">
        <v>533</v>
      </c>
      <c r="X467" s="8" t="s">
        <v>754</v>
      </c>
      <c r="Y467" s="51" t="n">
        <f aca="false">IF(N467="","",EDATE(N467,IF(G467="N",INDEX('Residual Config'!$B$31:$D$31,1,MATCH(D467,'Residual Config'!$B$27:$D$27,0)),INDEX('Residual Config'!$B$28:$D$30,IF(T467=1,1,IF(T467=4,3,2)),MATCH(D467,'Residual Config'!$B$27:$D$27,0)))))</f>
        <v>46615</v>
      </c>
      <c r="Z467" s="7" t="str">
        <f aca="false">IF(I467="N/A","N/A",IF(N467="","Not tested",IF(W467="Rejected","Evidence rejected",IF(W467&lt;&gt;"Accepted","Evidence pending",IF(Y467&lt;'Residual Config'!$C$4,"Overdue","Current")))))</f>
        <v>Current</v>
      </c>
      <c r="AA467" s="34" t="n">
        <f aca="false">IF(I467="N/A","",IF(Z467&lt;&gt;"Current",4,IF(MAX(M467,T467)=0,4,MAX(M467,T467))))</f>
        <v>2</v>
      </c>
      <c r="AB467" s="7" t="str">
        <f aca="false">IF(AA467="","N/A",IF(Z467&lt;&gt;"Current","Not tested / overdue",INDEX('Residual Config'!$B$11:$B$14,AA467)))</f>
        <v>Largely effective</v>
      </c>
      <c r="AC467" s="36" t="n">
        <f aca="false">IF(AA467="","",INDEX('Residual Config'!$D$11:$D$14,AA467))</f>
        <v>0.4</v>
      </c>
      <c r="AD467" s="7" t="str">
        <f aca="false">IF(OR(I467="N/A",P467="",Q467=""),"",IF(P467&gt;=Q467,"Yes","No"))</f>
        <v>Yes</v>
      </c>
      <c r="AE467" s="8"/>
    </row>
    <row r="468" customFormat="false" ht="15" hidden="false" customHeight="false" outlineLevel="0" collapsed="false">
      <c r="A468" s="12" t="s">
        <v>1884</v>
      </c>
      <c r="B468" s="26" t="str">
        <f aca="false">Entities!$A$15</f>
        <v>BH</v>
      </c>
      <c r="C468" s="12" t="str">
        <f aca="false">INDEX(Entities!$B$5:$B$34,MATCH(B468,Entities!$A$5:$A$34,0))</f>
        <v>Arab Bank – Bahrain</v>
      </c>
      <c r="D468" s="7" t="str">
        <f aca="false">INDEX(Entities!$F$5:$F$34,MATCH(B468,Entities!$A$5:$A$34,0))</f>
        <v>Tier 2</v>
      </c>
      <c r="E468" s="26" t="str">
        <f aca="false">'Control Library'!$A$38</f>
        <v>CTL-MR-01</v>
      </c>
      <c r="F468" s="12" t="str">
        <f aca="false">INDEX('Control Library'!$B$5:$B$47,MATCH(E468,'Control Library'!$A$5:$A$47,0))</f>
        <v>Market risk limits and daily VaR monitoring</v>
      </c>
      <c r="G468" s="7" t="str">
        <f aca="false">INDEX('Control Library'!$F$5:$F$47,MATCH(E468,'Control Library'!$A$5:$A$47,0))</f>
        <v>Y</v>
      </c>
      <c r="H468" s="12" t="str">
        <f aca="false">INDEX('Control Library'!$E$5:$E$47,MATCH(E468,'Control Library'!$A$5:$A$47,0))</f>
        <v>Daily</v>
      </c>
      <c r="I468" s="7" t="str">
        <f aca="false">IF(INDEX('Control Library'!$I$5:$I$47,MATCH(E468,'Control Library'!$A$5:$A$47,0))="All","Y",IF(INDEX('Control Library'!$I$5:$I$47,MATCH(E468,'Control Library'!$A$5:$A$47,0))="Banks only",IF(COUNTIF('Residual Config'!$L$28:$L$30,INDEX(Entities!$E$5:$E$34,MATCH(B468,Entities!$A$5:$A$34,0)))&gt;0,"N/A","Y"),IF(INDEX(Entities!$G$5:$G$34,MATCH(B468,Entities!$A$5:$A$34,0))="Y","Y","N/A")))</f>
        <v>Y</v>
      </c>
      <c r="J468" s="8" t="s">
        <v>1882</v>
      </c>
      <c r="K468" s="8" t="s">
        <v>1802</v>
      </c>
      <c r="L468" s="7" t="str">
        <f aca="false">IF(OR(J468="",K468=""),"",IF(J468=K468,"Breach","OK"))</f>
        <v>OK</v>
      </c>
      <c r="M468" s="24" t="n">
        <v>3</v>
      </c>
      <c r="N468" s="50" t="n">
        <v>46184</v>
      </c>
      <c r="O468" s="8" t="s">
        <v>546</v>
      </c>
      <c r="P468" s="24" t="n">
        <v>25</v>
      </c>
      <c r="Q468" s="31" t="n">
        <f aca="false">IF(I468="N/A","",IFERROR(INDEX('Residual Config'!$B$35:$B$42,MATCH(H468,'Residual Config'!$A$35:$A$42,0)),""))</f>
        <v>25</v>
      </c>
      <c r="R468" s="24" t="n">
        <v>1</v>
      </c>
      <c r="S468" s="8" t="s">
        <v>521</v>
      </c>
      <c r="T468" s="31" t="n">
        <f aca="false">IF(S468="","",MATCH(S468,'Residual Config'!$L$9:$L$12,0))</f>
        <v>2</v>
      </c>
      <c r="U468" s="8" t="s">
        <v>1885</v>
      </c>
      <c r="V468" s="24" t="n">
        <v>3</v>
      </c>
      <c r="W468" s="33" t="s">
        <v>533</v>
      </c>
      <c r="X468" s="8" t="s">
        <v>760</v>
      </c>
      <c r="Y468" s="51" t="n">
        <f aca="false">IF(N468="","",EDATE(N468,IF(G468="N",INDEX('Residual Config'!$B$31:$D$31,1,MATCH(D468,'Residual Config'!$B$27:$D$27,0)),INDEX('Residual Config'!$B$28:$D$30,IF(T468=1,1,IF(T468=4,3,2)),MATCH(D468,'Residual Config'!$B$27:$D$27,0)))))</f>
        <v>46367</v>
      </c>
      <c r="Z468" s="7" t="str">
        <f aca="false">IF(I468="N/A","N/A",IF(N468="","Not tested",IF(W468="Rejected","Evidence rejected",IF(W468&lt;&gt;"Accepted","Evidence pending",IF(Y468&lt;'Residual Config'!$C$4,"Overdue","Current")))))</f>
        <v>Current</v>
      </c>
      <c r="AA468" s="34" t="n">
        <f aca="false">IF(I468="N/A","",IF(Z468&lt;&gt;"Current",4,IF(MAX(M468,T468)=0,4,MAX(M468,T468))))</f>
        <v>3</v>
      </c>
      <c r="AB468" s="7" t="str">
        <f aca="false">IF(AA468="","N/A",IF(Z468&lt;&gt;"Current","Not tested / overdue",INDEX('Residual Config'!$B$11:$B$14,AA468)))</f>
        <v>Partially effective</v>
      </c>
      <c r="AC468" s="36" t="n">
        <f aca="false">IF(AA468="","",INDEX('Residual Config'!$D$11:$D$14,AA468))</f>
        <v>0.2</v>
      </c>
      <c r="AD468" s="7" t="str">
        <f aca="false">IF(OR(I468="N/A",P468="",Q468=""),"",IF(P468&gt;=Q468,"Yes","No"))</f>
        <v>Yes</v>
      </c>
      <c r="AE468" s="8"/>
    </row>
    <row r="469" customFormat="false" ht="15" hidden="false" customHeight="false" outlineLevel="0" collapsed="false">
      <c r="A469" s="12" t="s">
        <v>1886</v>
      </c>
      <c r="B469" s="26" t="str">
        <f aca="false">Entities!$A$15</f>
        <v>BH</v>
      </c>
      <c r="C469" s="12" t="str">
        <f aca="false">INDEX(Entities!$B$5:$B$34,MATCH(B469,Entities!$A$5:$A$34,0))</f>
        <v>Arab Bank – Bahrain</v>
      </c>
      <c r="D469" s="7" t="str">
        <f aca="false">INDEX(Entities!$F$5:$F$34,MATCH(B469,Entities!$A$5:$A$34,0))</f>
        <v>Tier 2</v>
      </c>
      <c r="E469" s="26" t="str">
        <f aca="false">'Control Library'!$A$39</f>
        <v>CTL-LQ-01</v>
      </c>
      <c r="F469" s="12" t="str">
        <f aca="false">INDEX('Control Library'!$B$5:$B$47,MATCH(E469,'Control Library'!$A$5:$A$47,0))</f>
        <v>Liquidity buffers, LCR/NSFR monitoring and contingency funding plan</v>
      </c>
      <c r="G469" s="7" t="str">
        <f aca="false">INDEX('Control Library'!$F$5:$F$47,MATCH(E469,'Control Library'!$A$5:$A$47,0))</f>
        <v>Y</v>
      </c>
      <c r="H469" s="12" t="str">
        <f aca="false">INDEX('Control Library'!$E$5:$E$47,MATCH(E469,'Control Library'!$A$5:$A$47,0))</f>
        <v>Daily</v>
      </c>
      <c r="I469" s="7" t="str">
        <f aca="false">IF(INDEX('Control Library'!$I$5:$I$47,MATCH(E469,'Control Library'!$A$5:$A$47,0))="All","Y",IF(INDEX('Control Library'!$I$5:$I$47,MATCH(E469,'Control Library'!$A$5:$A$47,0))="Banks only",IF(COUNTIF('Residual Config'!$L$28:$L$30,INDEX(Entities!$E$5:$E$34,MATCH(B469,Entities!$A$5:$A$34,0)))&gt;0,"N/A","Y"),IF(INDEX(Entities!$G$5:$G$34,MATCH(B469,Entities!$A$5:$A$34,0))="Y","Y","N/A")))</f>
        <v>Y</v>
      </c>
      <c r="J469" s="8" t="s">
        <v>1887</v>
      </c>
      <c r="K469" s="8" t="s">
        <v>1802</v>
      </c>
      <c r="L469" s="7" t="str">
        <f aca="false">IF(OR(J469="",K469=""),"",IF(J469=K469,"Breach","OK"))</f>
        <v>OK</v>
      </c>
      <c r="M469" s="24" t="n">
        <v>2</v>
      </c>
      <c r="N469" s="50" t="n">
        <v>45966</v>
      </c>
      <c r="O469" s="8" t="s">
        <v>545</v>
      </c>
      <c r="P469" s="24" t="n">
        <v>35</v>
      </c>
      <c r="Q469" s="31" t="n">
        <f aca="false">IF(I469="N/A","",IFERROR(INDEX('Residual Config'!$B$35:$B$42,MATCH(H469,'Residual Config'!$A$35:$A$42,0)),""))</f>
        <v>25</v>
      </c>
      <c r="R469" s="24" t="n">
        <v>0</v>
      </c>
      <c r="S469" s="8" t="s">
        <v>516</v>
      </c>
      <c r="T469" s="31" t="n">
        <f aca="false">IF(S469="","",MATCH(S469,'Residual Config'!$L$9:$L$12,0))</f>
        <v>1</v>
      </c>
      <c r="U469" s="8" t="s">
        <v>1888</v>
      </c>
      <c r="V469" s="24" t="n">
        <v>5</v>
      </c>
      <c r="W469" s="33" t="s">
        <v>533</v>
      </c>
      <c r="X469" s="8" t="s">
        <v>754</v>
      </c>
      <c r="Y469" s="51" t="n">
        <f aca="false">IF(N469="","",EDATE(N469,IF(G469="N",INDEX('Residual Config'!$B$31:$D$31,1,MATCH(D469,'Residual Config'!$B$27:$D$27,0)),INDEX('Residual Config'!$B$28:$D$30,IF(T469=1,1,IF(T469=4,3,2)),MATCH(D469,'Residual Config'!$B$27:$D$27,0)))))</f>
        <v>46331</v>
      </c>
      <c r="Z469" s="7" t="str">
        <f aca="false">IF(I469="N/A","N/A",IF(N469="","Not tested",IF(W469="Rejected","Evidence rejected",IF(W469&lt;&gt;"Accepted","Evidence pending",IF(Y469&lt;'Residual Config'!$C$4,"Overdue","Current")))))</f>
        <v>Current</v>
      </c>
      <c r="AA469" s="34" t="n">
        <f aca="false">IF(I469="N/A","",IF(Z469&lt;&gt;"Current",4,IF(MAX(M469,T469)=0,4,MAX(M469,T469))))</f>
        <v>2</v>
      </c>
      <c r="AB469" s="7" t="str">
        <f aca="false">IF(AA469="","N/A",IF(Z469&lt;&gt;"Current","Not tested / overdue",INDEX('Residual Config'!$B$11:$B$14,AA469)))</f>
        <v>Largely effective</v>
      </c>
      <c r="AC469" s="36" t="n">
        <f aca="false">IF(AA469="","",INDEX('Residual Config'!$D$11:$D$14,AA469))</f>
        <v>0.4</v>
      </c>
      <c r="AD469" s="7" t="str">
        <f aca="false">IF(OR(I469="N/A",P469="",Q469=""),"",IF(P469&gt;=Q469,"Yes","No"))</f>
        <v>Yes</v>
      </c>
      <c r="AE469" s="8"/>
    </row>
    <row r="470" customFormat="false" ht="15" hidden="false" customHeight="false" outlineLevel="0" collapsed="false">
      <c r="A470" s="12" t="s">
        <v>1889</v>
      </c>
      <c r="B470" s="26" t="str">
        <f aca="false">Entities!$A$15</f>
        <v>BH</v>
      </c>
      <c r="C470" s="12" t="str">
        <f aca="false">INDEX(Entities!$B$5:$B$34,MATCH(B470,Entities!$A$5:$A$34,0))</f>
        <v>Arab Bank – Bahrain</v>
      </c>
      <c r="D470" s="7" t="str">
        <f aca="false">INDEX(Entities!$F$5:$F$34,MATCH(B470,Entities!$A$5:$A$34,0))</f>
        <v>Tier 2</v>
      </c>
      <c r="E470" s="26" t="str">
        <f aca="false">'Control Library'!$A$40</f>
        <v>CTL-OR-01</v>
      </c>
      <c r="F470" s="12" t="str">
        <f aca="false">INDEX('Control Library'!$B$5:$B$47,MATCH(E470,'Control Library'!$A$5:$A$47,0))</f>
        <v>Business continuity plans and annual testing</v>
      </c>
      <c r="G470" s="7" t="str">
        <f aca="false">INDEX('Control Library'!$F$5:$F$47,MATCH(E470,'Control Library'!$A$5:$A$47,0))</f>
        <v>Y</v>
      </c>
      <c r="H470" s="12" t="str">
        <f aca="false">INDEX('Control Library'!$E$5:$E$47,MATCH(E470,'Control Library'!$A$5:$A$47,0))</f>
        <v>Annual</v>
      </c>
      <c r="I470" s="7" t="str">
        <f aca="false">IF(INDEX('Control Library'!$I$5:$I$47,MATCH(E470,'Control Library'!$A$5:$A$47,0))="All","Y",IF(INDEX('Control Library'!$I$5:$I$47,MATCH(E470,'Control Library'!$A$5:$A$47,0))="Banks only",IF(COUNTIF('Residual Config'!$L$28:$L$30,INDEX(Entities!$E$5:$E$34,MATCH(B470,Entities!$A$5:$A$34,0)))&gt;0,"N/A","Y"),IF(INDEX(Entities!$G$5:$G$34,MATCH(B470,Entities!$A$5:$A$34,0))="Y","Y","N/A")))</f>
        <v>Y</v>
      </c>
      <c r="J470" s="8" t="s">
        <v>1890</v>
      </c>
      <c r="K470" s="8" t="s">
        <v>1802</v>
      </c>
      <c r="L470" s="7" t="str">
        <f aca="false">IF(OR(J470="",K470=""),"",IF(J470=K470,"Breach","OK"))</f>
        <v>OK</v>
      </c>
      <c r="M470" s="24" t="n">
        <v>2</v>
      </c>
      <c r="N470" s="50" t="n">
        <v>46012</v>
      </c>
      <c r="O470" s="8" t="s">
        <v>545</v>
      </c>
      <c r="P470" s="24" t="n">
        <v>1</v>
      </c>
      <c r="Q470" s="31" t="n">
        <f aca="false">IF(I470="N/A","",IFERROR(INDEX('Residual Config'!$B$35:$B$42,MATCH(H470,'Residual Config'!$A$35:$A$42,0)),""))</f>
        <v>1</v>
      </c>
      <c r="R470" s="24" t="n">
        <v>0</v>
      </c>
      <c r="S470" s="8" t="s">
        <v>516</v>
      </c>
      <c r="T470" s="31" t="n">
        <f aca="false">IF(S470="","",MATCH(S470,'Residual Config'!$L$9:$L$12,0))</f>
        <v>1</v>
      </c>
      <c r="U470" s="8" t="s">
        <v>1891</v>
      </c>
      <c r="V470" s="24" t="n">
        <v>2</v>
      </c>
      <c r="W470" s="33" t="s">
        <v>533</v>
      </c>
      <c r="X470" s="8" t="s">
        <v>754</v>
      </c>
      <c r="Y470" s="51" t="n">
        <f aca="false">IF(N470="","",EDATE(N470,IF(G470="N",INDEX('Residual Config'!$B$31:$D$31,1,MATCH(D470,'Residual Config'!$B$27:$D$27,0)),INDEX('Residual Config'!$B$28:$D$30,IF(T470=1,1,IF(T470=4,3,2)),MATCH(D470,'Residual Config'!$B$27:$D$27,0)))))</f>
        <v>46377</v>
      </c>
      <c r="Z470" s="7" t="str">
        <f aca="false">IF(I470="N/A","N/A",IF(N470="","Not tested",IF(W470="Rejected","Evidence rejected",IF(W470&lt;&gt;"Accepted","Evidence pending",IF(Y470&lt;'Residual Config'!$C$4,"Overdue","Current")))))</f>
        <v>Current</v>
      </c>
      <c r="AA470" s="34" t="n">
        <f aca="false">IF(I470="N/A","",IF(Z470&lt;&gt;"Current",4,IF(MAX(M470,T470)=0,4,MAX(M470,T470))))</f>
        <v>2</v>
      </c>
      <c r="AB470" s="7" t="str">
        <f aca="false">IF(AA470="","N/A",IF(Z470&lt;&gt;"Current","Not tested / overdue",INDEX('Residual Config'!$B$11:$B$14,AA470)))</f>
        <v>Largely effective</v>
      </c>
      <c r="AC470" s="36" t="n">
        <f aca="false">IF(AA470="","",INDEX('Residual Config'!$D$11:$D$14,AA470))</f>
        <v>0.4</v>
      </c>
      <c r="AD470" s="7" t="str">
        <f aca="false">IF(OR(I470="N/A",P470="",Q470=""),"",IF(P470&gt;=Q470,"Yes","No"))</f>
        <v>Yes</v>
      </c>
      <c r="AE470" s="8"/>
    </row>
    <row r="471" customFormat="false" ht="15" hidden="false" customHeight="false" outlineLevel="0" collapsed="false">
      <c r="A471" s="12" t="s">
        <v>1892</v>
      </c>
      <c r="B471" s="26" t="str">
        <f aca="false">Entities!$A$15</f>
        <v>BH</v>
      </c>
      <c r="C471" s="12" t="str">
        <f aca="false">INDEX(Entities!$B$5:$B$34,MATCH(B471,Entities!$A$5:$A$34,0))</f>
        <v>Arab Bank – Bahrain</v>
      </c>
      <c r="D471" s="7" t="str">
        <f aca="false">INDEX(Entities!$F$5:$F$34,MATCH(B471,Entities!$A$5:$A$34,0))</f>
        <v>Tier 2</v>
      </c>
      <c r="E471" s="26" t="str">
        <f aca="false">'Control Library'!$A$41</f>
        <v>CTL-OR-02</v>
      </c>
      <c r="F471" s="12" t="str">
        <f aca="false">INDEX('Control Library'!$B$5:$B$47,MATCH(E471,'Control Library'!$A$5:$A$47,0))</f>
        <v>Operational loss event capture and RCSA</v>
      </c>
      <c r="G471" s="7" t="str">
        <f aca="false">INDEX('Control Library'!$F$5:$F$47,MATCH(E471,'Control Library'!$A$5:$A$47,0))</f>
        <v>N</v>
      </c>
      <c r="H471" s="12" t="str">
        <f aca="false">INDEX('Control Library'!$E$5:$E$47,MATCH(E471,'Control Library'!$A$5:$A$47,0))</f>
        <v>Quarterly</v>
      </c>
      <c r="I471" s="7" t="str">
        <f aca="false">IF(INDEX('Control Library'!$I$5:$I$47,MATCH(E471,'Control Library'!$A$5:$A$47,0))="All","Y",IF(INDEX('Control Library'!$I$5:$I$47,MATCH(E471,'Control Library'!$A$5:$A$47,0))="Banks only",IF(COUNTIF('Residual Config'!$L$28:$L$30,INDEX(Entities!$E$5:$E$34,MATCH(B471,Entities!$A$5:$A$34,0)))&gt;0,"N/A","Y"),IF(INDEX(Entities!$G$5:$G$34,MATCH(B471,Entities!$A$5:$A$34,0))="Y","Y","N/A")))</f>
        <v>Y</v>
      </c>
      <c r="J471" s="8" t="s">
        <v>1882</v>
      </c>
      <c r="K471" s="8" t="s">
        <v>1802</v>
      </c>
      <c r="L471" s="7" t="str">
        <f aca="false">IF(OR(J471="",K471=""),"",IF(J471=K471,"Breach","OK"))</f>
        <v>OK</v>
      </c>
      <c r="M471" s="24" t="n">
        <v>2</v>
      </c>
      <c r="N471" s="50" t="n">
        <v>46070</v>
      </c>
      <c r="O471" s="8" t="s">
        <v>546</v>
      </c>
      <c r="P471" s="24" t="n">
        <v>2</v>
      </c>
      <c r="Q471" s="31" t="n">
        <f aca="false">IF(I471="N/A","",IFERROR(INDEX('Residual Config'!$B$35:$B$42,MATCH(H471,'Residual Config'!$A$35:$A$42,0)),""))</f>
        <v>2</v>
      </c>
      <c r="R471" s="24" t="n">
        <v>0</v>
      </c>
      <c r="S471" s="8" t="s">
        <v>516</v>
      </c>
      <c r="T471" s="31" t="n">
        <f aca="false">IF(S471="","",MATCH(S471,'Residual Config'!$L$9:$L$12,0))</f>
        <v>1</v>
      </c>
      <c r="U471" s="8" t="s">
        <v>1893</v>
      </c>
      <c r="V471" s="24" t="n">
        <v>5</v>
      </c>
      <c r="W471" s="33" t="s">
        <v>535</v>
      </c>
      <c r="X471" s="8" t="s">
        <v>754</v>
      </c>
      <c r="Y471" s="51" t="n">
        <f aca="false">IF(N471="","",EDATE(N471,IF(G471="N",INDEX('Residual Config'!$B$31:$D$31,1,MATCH(D471,'Residual Config'!$B$27:$D$27,0)),INDEX('Residual Config'!$B$28:$D$30,IF(T471=1,1,IF(T471=4,3,2)),MATCH(D471,'Residual Config'!$B$27:$D$27,0)))))</f>
        <v>46435</v>
      </c>
      <c r="Z471" s="7" t="str">
        <f aca="false">IF(I471="N/A","N/A",IF(N471="","Not tested",IF(W471="Rejected","Evidence rejected",IF(W471&lt;&gt;"Accepted","Evidence pending",IF(Y471&lt;'Residual Config'!$C$4,"Overdue","Current")))))</f>
        <v>Evidence rejected</v>
      </c>
      <c r="AA471" s="34" t="n">
        <f aca="false">IF(I471="N/A","",IF(Z471&lt;&gt;"Current",4,IF(MAX(M471,T471)=0,4,MAX(M471,T471))))</f>
        <v>4</v>
      </c>
      <c r="AB471" s="7" t="str">
        <f aca="false">IF(AA471="","N/A",IF(Z471&lt;&gt;"Current","Not tested / overdue",INDEX('Residual Config'!$B$11:$B$14,AA471)))</f>
        <v>Not tested / overdue</v>
      </c>
      <c r="AC471" s="36" t="n">
        <f aca="false">IF(AA471="","",INDEX('Residual Config'!$D$11:$D$14,AA471))</f>
        <v>0</v>
      </c>
      <c r="AD471" s="7" t="str">
        <f aca="false">IF(OR(I471="N/A",P471="",Q471=""),"",IF(P471&gt;=Q471,"Yes","No"))</f>
        <v>Yes</v>
      </c>
      <c r="AE471" s="8"/>
    </row>
    <row r="472" customFormat="false" ht="15" hidden="false" customHeight="false" outlineLevel="0" collapsed="false">
      <c r="A472" s="12" t="s">
        <v>1894</v>
      </c>
      <c r="B472" s="26" t="str">
        <f aca="false">Entities!$A$15</f>
        <v>BH</v>
      </c>
      <c r="C472" s="12" t="str">
        <f aca="false">INDEX(Entities!$B$5:$B$34,MATCH(B472,Entities!$A$5:$A$34,0))</f>
        <v>Arab Bank – Bahrain</v>
      </c>
      <c r="D472" s="7" t="str">
        <f aca="false">INDEX(Entities!$F$5:$F$34,MATCH(B472,Entities!$A$5:$A$34,0))</f>
        <v>Tier 2</v>
      </c>
      <c r="E472" s="26" t="str">
        <f aca="false">'Control Library'!$A$42</f>
        <v>CTL-CY-01</v>
      </c>
      <c r="F472" s="12" t="str">
        <f aca="false">INDEX('Control Library'!$B$5:$B$47,MATCH(E472,'Control Library'!$A$5:$A$47,0))</f>
        <v>Vulnerability and patch management</v>
      </c>
      <c r="G472" s="7" t="str">
        <f aca="false">INDEX('Control Library'!$F$5:$F$47,MATCH(E472,'Control Library'!$A$5:$A$47,0))</f>
        <v>Y</v>
      </c>
      <c r="H472" s="12" t="str">
        <f aca="false">INDEX('Control Library'!$E$5:$E$47,MATCH(E472,'Control Library'!$A$5:$A$47,0))</f>
        <v>Monthly</v>
      </c>
      <c r="I472" s="7" t="str">
        <f aca="false">IF(INDEX('Control Library'!$I$5:$I$47,MATCH(E472,'Control Library'!$A$5:$A$47,0))="All","Y",IF(INDEX('Control Library'!$I$5:$I$47,MATCH(E472,'Control Library'!$A$5:$A$47,0))="Banks only",IF(COUNTIF('Residual Config'!$L$28:$L$30,INDEX(Entities!$E$5:$E$34,MATCH(B472,Entities!$A$5:$A$34,0)))&gt;0,"N/A","Y"),IF(INDEX(Entities!$G$5:$G$34,MATCH(B472,Entities!$A$5:$A$34,0))="Y","Y","N/A")))</f>
        <v>Y</v>
      </c>
      <c r="J472" s="8" t="s">
        <v>1826</v>
      </c>
      <c r="K472" s="8" t="s">
        <v>1802</v>
      </c>
      <c r="L472" s="7" t="str">
        <f aca="false">IF(OR(J472="",K472=""),"",IF(J472=K472,"Breach","OK"))</f>
        <v>OK</v>
      </c>
      <c r="M472" s="24" t="n">
        <v>1</v>
      </c>
      <c r="N472" s="50" t="n">
        <v>46219</v>
      </c>
      <c r="O472" s="8" t="s">
        <v>546</v>
      </c>
      <c r="P472" s="24" t="n">
        <v>3</v>
      </c>
      <c r="Q472" s="31" t="n">
        <f aca="false">IF(I472="N/A","",IFERROR(INDEX('Residual Config'!$B$35:$B$42,MATCH(H472,'Residual Config'!$A$35:$A$42,0)),""))</f>
        <v>3</v>
      </c>
      <c r="R472" s="24" t="n">
        <v>3</v>
      </c>
      <c r="S472" s="8" t="s">
        <v>524</v>
      </c>
      <c r="T472" s="31" t="n">
        <f aca="false">IF(S472="","",MATCH(S472,'Residual Config'!$L$9:$L$12,0))</f>
        <v>3</v>
      </c>
      <c r="U472" s="8" t="s">
        <v>1895</v>
      </c>
      <c r="V472" s="24" t="n">
        <v>2</v>
      </c>
      <c r="W472" s="33" t="s">
        <v>533</v>
      </c>
      <c r="X472" s="8" t="s">
        <v>754</v>
      </c>
      <c r="Y472" s="51" t="n">
        <f aca="false">IF(N472="","",EDATE(N472,IF(G472="N",INDEX('Residual Config'!$B$31:$D$31,1,MATCH(D472,'Residual Config'!$B$27:$D$27,0)),INDEX('Residual Config'!$B$28:$D$30,IF(T472=1,1,IF(T472=4,3,2)),MATCH(D472,'Residual Config'!$B$27:$D$27,0)))))</f>
        <v>46403</v>
      </c>
      <c r="Z472" s="7" t="str">
        <f aca="false">IF(I472="N/A","N/A",IF(N472="","Not tested",IF(W472="Rejected","Evidence rejected",IF(W472&lt;&gt;"Accepted","Evidence pending",IF(Y472&lt;'Residual Config'!$C$4,"Overdue","Current")))))</f>
        <v>Current</v>
      </c>
      <c r="AA472" s="34" t="n">
        <f aca="false">IF(I472="N/A","",IF(Z472&lt;&gt;"Current",4,IF(MAX(M472,T472)=0,4,MAX(M472,T472))))</f>
        <v>3</v>
      </c>
      <c r="AB472" s="7" t="str">
        <f aca="false">IF(AA472="","N/A",IF(Z472&lt;&gt;"Current","Not tested / overdue",INDEX('Residual Config'!$B$11:$B$14,AA472)))</f>
        <v>Partially effective</v>
      </c>
      <c r="AC472" s="36" t="n">
        <f aca="false">IF(AA472="","",INDEX('Residual Config'!$D$11:$D$14,AA472))</f>
        <v>0.2</v>
      </c>
      <c r="AD472" s="7" t="str">
        <f aca="false">IF(OR(I472="N/A",P472="",Q472=""),"",IF(P472&gt;=Q472,"Yes","No"))</f>
        <v>Yes</v>
      </c>
      <c r="AE472" s="8"/>
    </row>
    <row r="473" customFormat="false" ht="15" hidden="false" customHeight="false" outlineLevel="0" collapsed="false">
      <c r="A473" s="12" t="s">
        <v>1896</v>
      </c>
      <c r="B473" s="26" t="str">
        <f aca="false">Entities!$A$15</f>
        <v>BH</v>
      </c>
      <c r="C473" s="12" t="str">
        <f aca="false">INDEX(Entities!$B$5:$B$34,MATCH(B473,Entities!$A$5:$A$34,0))</f>
        <v>Arab Bank – Bahrain</v>
      </c>
      <c r="D473" s="7" t="str">
        <f aca="false">INDEX(Entities!$F$5:$F$34,MATCH(B473,Entities!$A$5:$A$34,0))</f>
        <v>Tier 2</v>
      </c>
      <c r="E473" s="26" t="str">
        <f aca="false">'Control Library'!$A$43</f>
        <v>CTL-CY-02</v>
      </c>
      <c r="F473" s="12" t="str">
        <f aca="false">INDEX('Control Library'!$B$5:$B$47,MATCH(E473,'Control Library'!$A$5:$A$47,0))</f>
        <v>Privileged access management and SOC monitoring</v>
      </c>
      <c r="G473" s="7" t="str">
        <f aca="false">INDEX('Control Library'!$F$5:$F$47,MATCH(E473,'Control Library'!$A$5:$A$47,0))</f>
        <v>Y</v>
      </c>
      <c r="H473" s="12" t="str">
        <f aca="false">INDEX('Control Library'!$E$5:$E$47,MATCH(E473,'Control Library'!$A$5:$A$47,0))</f>
        <v>Continuous</v>
      </c>
      <c r="I473" s="7" t="str">
        <f aca="false">IF(INDEX('Control Library'!$I$5:$I$47,MATCH(E473,'Control Library'!$A$5:$A$47,0))="All","Y",IF(INDEX('Control Library'!$I$5:$I$47,MATCH(E473,'Control Library'!$A$5:$A$47,0))="Banks only",IF(COUNTIF('Residual Config'!$L$28:$L$30,INDEX(Entities!$E$5:$E$34,MATCH(B473,Entities!$A$5:$A$34,0)))&gt;0,"N/A","Y"),IF(INDEX(Entities!$G$5:$G$34,MATCH(B473,Entities!$A$5:$A$34,0))="Y","Y","N/A")))</f>
        <v>Y</v>
      </c>
      <c r="J473" s="8" t="s">
        <v>1875</v>
      </c>
      <c r="K473" s="8" t="s">
        <v>1802</v>
      </c>
      <c r="L473" s="7" t="str">
        <f aca="false">IF(OR(J473="",K473=""),"",IF(J473=K473,"Breach","OK"))</f>
        <v>OK</v>
      </c>
      <c r="M473" s="24" t="n">
        <v>2</v>
      </c>
      <c r="N473" s="50" t="n">
        <v>46153</v>
      </c>
      <c r="O473" s="8" t="s">
        <v>546</v>
      </c>
      <c r="P473" s="24" t="n">
        <v>1</v>
      </c>
      <c r="Q473" s="31" t="n">
        <f aca="false">IF(I473="N/A","",IFERROR(INDEX('Residual Config'!$B$35:$B$42,MATCH(H473,'Residual Config'!$A$35:$A$42,0)),""))</f>
        <v>1</v>
      </c>
      <c r="R473" s="24" t="n">
        <v>1</v>
      </c>
      <c r="S473" s="8" t="s">
        <v>521</v>
      </c>
      <c r="T473" s="31" t="n">
        <f aca="false">IF(S473="","",MATCH(S473,'Residual Config'!$L$9:$L$12,0))</f>
        <v>2</v>
      </c>
      <c r="U473" s="8" t="s">
        <v>1897</v>
      </c>
      <c r="V473" s="24" t="n">
        <v>4</v>
      </c>
      <c r="W473" s="33" t="s">
        <v>533</v>
      </c>
      <c r="X473" s="8" t="s">
        <v>760</v>
      </c>
      <c r="Y473" s="51" t="n">
        <f aca="false">IF(N473="","",EDATE(N473,IF(G473="N",INDEX('Residual Config'!$B$31:$D$31,1,MATCH(D473,'Residual Config'!$B$27:$D$27,0)),INDEX('Residual Config'!$B$28:$D$30,IF(T473=1,1,IF(T473=4,3,2)),MATCH(D473,'Residual Config'!$B$27:$D$27,0)))))</f>
        <v>46337</v>
      </c>
      <c r="Z473" s="7" t="str">
        <f aca="false">IF(I473="N/A","N/A",IF(N473="","Not tested",IF(W473="Rejected","Evidence rejected",IF(W473&lt;&gt;"Accepted","Evidence pending",IF(Y473&lt;'Residual Config'!$C$4,"Overdue","Current")))))</f>
        <v>Current</v>
      </c>
      <c r="AA473" s="34" t="n">
        <f aca="false">IF(I473="N/A","",IF(Z473&lt;&gt;"Current",4,IF(MAX(M473,T473)=0,4,MAX(M473,T473))))</f>
        <v>2</v>
      </c>
      <c r="AB473" s="7" t="str">
        <f aca="false">IF(AA473="","N/A",IF(Z473&lt;&gt;"Current","Not tested / overdue",INDEX('Residual Config'!$B$11:$B$14,AA473)))</f>
        <v>Largely effective</v>
      </c>
      <c r="AC473" s="36" t="n">
        <f aca="false">IF(AA473="","",INDEX('Residual Config'!$D$11:$D$14,AA473))</f>
        <v>0.4</v>
      </c>
      <c r="AD473" s="7" t="str">
        <f aca="false">IF(OR(I473="N/A",P473="",Q473=""),"",IF(P473&gt;=Q473,"Yes","No"))</f>
        <v>Yes</v>
      </c>
      <c r="AE473" s="8"/>
    </row>
    <row r="474" customFormat="false" ht="15" hidden="false" customHeight="false" outlineLevel="0" collapsed="false">
      <c r="A474" s="12" t="s">
        <v>1898</v>
      </c>
      <c r="B474" s="26" t="str">
        <f aca="false">Entities!$A$15</f>
        <v>BH</v>
      </c>
      <c r="C474" s="12" t="str">
        <f aca="false">INDEX(Entities!$B$5:$B$34,MATCH(B474,Entities!$A$5:$A$34,0))</f>
        <v>Arab Bank – Bahrain</v>
      </c>
      <c r="D474" s="7" t="str">
        <f aca="false">INDEX(Entities!$F$5:$F$34,MATCH(B474,Entities!$A$5:$A$34,0))</f>
        <v>Tier 2</v>
      </c>
      <c r="E474" s="26" t="str">
        <f aca="false">'Control Library'!$A$44</f>
        <v>CTL-TP-01</v>
      </c>
      <c r="F474" s="12" t="str">
        <f aca="false">INDEX('Control Library'!$B$5:$B$47,MATCH(E474,'Control Library'!$A$5:$A$47,0))</f>
        <v>Critical vendor due diligence and tested exit plans</v>
      </c>
      <c r="G474" s="7" t="str">
        <f aca="false">INDEX('Control Library'!$F$5:$F$47,MATCH(E474,'Control Library'!$A$5:$A$47,0))</f>
        <v>Y</v>
      </c>
      <c r="H474" s="12" t="str">
        <f aca="false">INDEX('Control Library'!$E$5:$E$47,MATCH(E474,'Control Library'!$A$5:$A$47,0))</f>
        <v>Annual</v>
      </c>
      <c r="I474" s="7" t="str">
        <f aca="false">IF(INDEX('Control Library'!$I$5:$I$47,MATCH(E474,'Control Library'!$A$5:$A$47,0))="All","Y",IF(INDEX('Control Library'!$I$5:$I$47,MATCH(E474,'Control Library'!$A$5:$A$47,0))="Banks only",IF(COUNTIF('Residual Config'!$L$28:$L$30,INDEX(Entities!$E$5:$E$34,MATCH(B474,Entities!$A$5:$A$34,0)))&gt;0,"N/A","Y"),IF(INDEX(Entities!$G$5:$G$34,MATCH(B474,Entities!$A$5:$A$34,0))="Y","Y","N/A")))</f>
        <v>Y</v>
      </c>
      <c r="J474" s="8" t="s">
        <v>1843</v>
      </c>
      <c r="K474" s="8" t="s">
        <v>1802</v>
      </c>
      <c r="L474" s="7" t="str">
        <f aca="false">IF(OR(J474="",K474=""),"",IF(J474=K474,"Breach","OK"))</f>
        <v>OK</v>
      </c>
      <c r="M474" s="24" t="n">
        <v>2</v>
      </c>
      <c r="N474" s="50" t="n">
        <v>46169</v>
      </c>
      <c r="O474" s="8" t="s">
        <v>545</v>
      </c>
      <c r="P474" s="24" t="n">
        <v>1</v>
      </c>
      <c r="Q474" s="31" t="n">
        <f aca="false">IF(I474="N/A","",IFERROR(INDEX('Residual Config'!$B$35:$B$42,MATCH(H474,'Residual Config'!$A$35:$A$42,0)),""))</f>
        <v>1</v>
      </c>
      <c r="R474" s="24" t="n">
        <v>1</v>
      </c>
      <c r="S474" s="8" t="s">
        <v>521</v>
      </c>
      <c r="T474" s="31" t="n">
        <f aca="false">IF(S474="","",MATCH(S474,'Residual Config'!$L$9:$L$12,0))</f>
        <v>2</v>
      </c>
      <c r="U474" s="8" t="s">
        <v>1899</v>
      </c>
      <c r="V474" s="24" t="n">
        <v>2</v>
      </c>
      <c r="W474" s="33" t="s">
        <v>533</v>
      </c>
      <c r="X474" s="8" t="s">
        <v>754</v>
      </c>
      <c r="Y474" s="51" t="n">
        <f aca="false">IF(N474="","",EDATE(N474,IF(G474="N",INDEX('Residual Config'!$B$31:$D$31,1,MATCH(D474,'Residual Config'!$B$27:$D$27,0)),INDEX('Residual Config'!$B$28:$D$30,IF(T474=1,1,IF(T474=4,3,2)),MATCH(D474,'Residual Config'!$B$27:$D$27,0)))))</f>
        <v>46353</v>
      </c>
      <c r="Z474" s="7" t="str">
        <f aca="false">IF(I474="N/A","N/A",IF(N474="","Not tested",IF(W474="Rejected","Evidence rejected",IF(W474&lt;&gt;"Accepted","Evidence pending",IF(Y474&lt;'Residual Config'!$C$4,"Overdue","Current")))))</f>
        <v>Current</v>
      </c>
      <c r="AA474" s="34" t="n">
        <f aca="false">IF(I474="N/A","",IF(Z474&lt;&gt;"Current",4,IF(MAX(M474,T474)=0,4,MAX(M474,T474))))</f>
        <v>2</v>
      </c>
      <c r="AB474" s="7" t="str">
        <f aca="false">IF(AA474="","N/A",IF(Z474&lt;&gt;"Current","Not tested / overdue",INDEX('Residual Config'!$B$11:$B$14,AA474)))</f>
        <v>Largely effective</v>
      </c>
      <c r="AC474" s="36" t="n">
        <f aca="false">IF(AA474="","",INDEX('Residual Config'!$D$11:$D$14,AA474))</f>
        <v>0.4</v>
      </c>
      <c r="AD474" s="7" t="str">
        <f aca="false">IF(OR(I474="N/A",P474="",Q474=""),"",IF(P474&gt;=Q474,"Yes","No"))</f>
        <v>Yes</v>
      </c>
      <c r="AE474" s="8"/>
    </row>
    <row r="475" customFormat="false" ht="15" hidden="false" customHeight="false" outlineLevel="0" collapsed="false">
      <c r="A475" s="12" t="s">
        <v>1900</v>
      </c>
      <c r="B475" s="26" t="str">
        <f aca="false">Entities!$A$15</f>
        <v>BH</v>
      </c>
      <c r="C475" s="12" t="str">
        <f aca="false">INDEX(Entities!$B$5:$B$34,MATCH(B475,Entities!$A$5:$A$34,0))</f>
        <v>Arab Bank – Bahrain</v>
      </c>
      <c r="D475" s="7" t="str">
        <f aca="false">INDEX(Entities!$F$5:$F$34,MATCH(B475,Entities!$A$5:$A$34,0))</f>
        <v>Tier 2</v>
      </c>
      <c r="E475" s="26" t="str">
        <f aca="false">'Control Library'!$A$45</f>
        <v>CTL-LG-01</v>
      </c>
      <c r="F475" s="12" t="str">
        <f aca="false">INDEX('Control Library'!$B$5:$B$47,MATCH(E475,'Control Library'!$A$5:$A$47,0))</f>
        <v>Legal review of contracts and litigation register</v>
      </c>
      <c r="G475" s="7" t="str">
        <f aca="false">INDEX('Control Library'!$F$5:$F$47,MATCH(E475,'Control Library'!$A$5:$A$47,0))</f>
        <v>Y</v>
      </c>
      <c r="H475" s="12" t="str">
        <f aca="false">INDEX('Control Library'!$E$5:$E$47,MATCH(E475,'Control Library'!$A$5:$A$47,0))</f>
        <v>Event-driven</v>
      </c>
      <c r="I475" s="7" t="str">
        <f aca="false">IF(INDEX('Control Library'!$I$5:$I$47,MATCH(E475,'Control Library'!$A$5:$A$47,0))="All","Y",IF(INDEX('Control Library'!$I$5:$I$47,MATCH(E475,'Control Library'!$A$5:$A$47,0))="Banks only",IF(COUNTIF('Residual Config'!$L$28:$L$30,INDEX(Entities!$E$5:$E$34,MATCH(B475,Entities!$A$5:$A$34,0)))&gt;0,"N/A","Y"),IF(INDEX(Entities!$G$5:$G$34,MATCH(B475,Entities!$A$5:$A$34,0))="Y","Y","N/A")))</f>
        <v>Y</v>
      </c>
      <c r="J475" s="8" t="s">
        <v>1901</v>
      </c>
      <c r="K475" s="8" t="s">
        <v>1802</v>
      </c>
      <c r="L475" s="7" t="str">
        <f aca="false">IF(OR(J475="",K475=""),"",IF(J475=K475,"Breach","OK"))</f>
        <v>OK</v>
      </c>
      <c r="M475" s="24" t="n">
        <v>1</v>
      </c>
      <c r="N475" s="50" t="n">
        <v>46240</v>
      </c>
      <c r="O475" s="8" t="s">
        <v>546</v>
      </c>
      <c r="P475" s="24" t="n">
        <v>25</v>
      </c>
      <c r="Q475" s="31" t="n">
        <f aca="false">IF(I475="N/A","",IFERROR(INDEX('Residual Config'!$B$35:$B$42,MATCH(H475,'Residual Config'!$A$35:$A$42,0)),""))</f>
        <v>25</v>
      </c>
      <c r="R475" s="24" t="n">
        <v>1</v>
      </c>
      <c r="S475" s="8" t="s">
        <v>521</v>
      </c>
      <c r="T475" s="31" t="n">
        <f aca="false">IF(S475="","",MATCH(S475,'Residual Config'!$L$9:$L$12,0))</f>
        <v>2</v>
      </c>
      <c r="U475" s="8" t="s">
        <v>1902</v>
      </c>
      <c r="V475" s="24" t="n">
        <v>2</v>
      </c>
      <c r="W475" s="33" t="s">
        <v>533</v>
      </c>
      <c r="X475" s="8" t="s">
        <v>760</v>
      </c>
      <c r="Y475" s="51" t="n">
        <f aca="false">IF(N475="","",EDATE(N475,IF(G475="N",INDEX('Residual Config'!$B$31:$D$31,1,MATCH(D475,'Residual Config'!$B$27:$D$27,0)),INDEX('Residual Config'!$B$28:$D$30,IF(T475=1,1,IF(T475=4,3,2)),MATCH(D475,'Residual Config'!$B$27:$D$27,0)))))</f>
        <v>46424</v>
      </c>
      <c r="Z475" s="7" t="str">
        <f aca="false">IF(I475="N/A","N/A",IF(N475="","Not tested",IF(W475="Rejected","Evidence rejected",IF(W475&lt;&gt;"Accepted","Evidence pending",IF(Y475&lt;'Residual Config'!$C$4,"Overdue","Current")))))</f>
        <v>Current</v>
      </c>
      <c r="AA475" s="34" t="n">
        <f aca="false">IF(I475="N/A","",IF(Z475&lt;&gt;"Current",4,IF(MAX(M475,T475)=0,4,MAX(M475,T475))))</f>
        <v>2</v>
      </c>
      <c r="AB475" s="7" t="str">
        <f aca="false">IF(AA475="","N/A",IF(Z475&lt;&gt;"Current","Not tested / overdue",INDEX('Residual Config'!$B$11:$B$14,AA475)))</f>
        <v>Largely effective</v>
      </c>
      <c r="AC475" s="36" t="n">
        <f aca="false">IF(AA475="","",INDEX('Residual Config'!$D$11:$D$14,AA475))</f>
        <v>0.4</v>
      </c>
      <c r="AD475" s="7" t="str">
        <f aca="false">IF(OR(I475="N/A",P475="",Q475=""),"",IF(P475&gt;=Q475,"Yes","No"))</f>
        <v>Yes</v>
      </c>
      <c r="AE475" s="8"/>
    </row>
    <row r="476" customFormat="false" ht="15" hidden="false" customHeight="false" outlineLevel="0" collapsed="false">
      <c r="A476" s="12" t="s">
        <v>1903</v>
      </c>
      <c r="B476" s="26" t="str">
        <f aca="false">Entities!$A$15</f>
        <v>BH</v>
      </c>
      <c r="C476" s="12" t="str">
        <f aca="false">INDEX(Entities!$B$5:$B$34,MATCH(B476,Entities!$A$5:$A$34,0))</f>
        <v>Arab Bank – Bahrain</v>
      </c>
      <c r="D476" s="7" t="str">
        <f aca="false">INDEX(Entities!$F$5:$F$34,MATCH(B476,Entities!$A$5:$A$34,0))</f>
        <v>Tier 2</v>
      </c>
      <c r="E476" s="26" t="str">
        <f aca="false">'Control Library'!$A$46</f>
        <v>CTL-RP-01</v>
      </c>
      <c r="F476" s="12" t="str">
        <f aca="false">INDEX('Control Library'!$B$5:$B$47,MATCH(E476,'Control Library'!$A$5:$A$47,0))</f>
        <v>Media monitoring and reputational-risk escalation</v>
      </c>
      <c r="G476" s="7" t="str">
        <f aca="false">INDEX('Control Library'!$F$5:$F$47,MATCH(E476,'Control Library'!$A$5:$A$47,0))</f>
        <v>Y</v>
      </c>
      <c r="H476" s="12" t="str">
        <f aca="false">INDEX('Control Library'!$E$5:$E$47,MATCH(E476,'Control Library'!$A$5:$A$47,0))</f>
        <v>Daily</v>
      </c>
      <c r="I476" s="7" t="str">
        <f aca="false">IF(INDEX('Control Library'!$I$5:$I$47,MATCH(E476,'Control Library'!$A$5:$A$47,0))="All","Y",IF(INDEX('Control Library'!$I$5:$I$47,MATCH(E476,'Control Library'!$A$5:$A$47,0))="Banks only",IF(COUNTIF('Residual Config'!$L$28:$L$30,INDEX(Entities!$E$5:$E$34,MATCH(B476,Entities!$A$5:$A$34,0)))&gt;0,"N/A","Y"),IF(INDEX(Entities!$G$5:$G$34,MATCH(B476,Entities!$A$5:$A$34,0))="Y","Y","N/A")))</f>
        <v>Y</v>
      </c>
      <c r="J476" s="8" t="s">
        <v>1904</v>
      </c>
      <c r="K476" s="8" t="s">
        <v>1802</v>
      </c>
      <c r="L476" s="7" t="str">
        <f aca="false">IF(OR(J476="",K476=""),"",IF(J476=K476,"Breach","OK"))</f>
        <v>OK</v>
      </c>
      <c r="M476" s="24" t="n">
        <v>1</v>
      </c>
      <c r="N476" s="50" t="n">
        <v>46095</v>
      </c>
      <c r="O476" s="8" t="s">
        <v>545</v>
      </c>
      <c r="P476" s="24" t="n">
        <v>25</v>
      </c>
      <c r="Q476" s="31" t="n">
        <f aca="false">IF(I476="N/A","",IFERROR(INDEX('Residual Config'!$B$35:$B$42,MATCH(H476,'Residual Config'!$A$35:$A$42,0)),""))</f>
        <v>25</v>
      </c>
      <c r="R476" s="24" t="n">
        <v>0</v>
      </c>
      <c r="S476" s="8" t="s">
        <v>516</v>
      </c>
      <c r="T476" s="31" t="n">
        <f aca="false">IF(S476="","",MATCH(S476,'Residual Config'!$L$9:$L$12,0))</f>
        <v>1</v>
      </c>
      <c r="U476" s="8" t="s">
        <v>1905</v>
      </c>
      <c r="V476" s="24" t="n">
        <v>3</v>
      </c>
      <c r="W476" s="33" t="s">
        <v>533</v>
      </c>
      <c r="X476" s="8" t="s">
        <v>760</v>
      </c>
      <c r="Y476" s="51" t="n">
        <f aca="false">IF(N476="","",EDATE(N476,IF(G476="N",INDEX('Residual Config'!$B$31:$D$31,1,MATCH(D476,'Residual Config'!$B$27:$D$27,0)),INDEX('Residual Config'!$B$28:$D$30,IF(T476=1,1,IF(T476=4,3,2)),MATCH(D476,'Residual Config'!$B$27:$D$27,0)))))</f>
        <v>46460</v>
      </c>
      <c r="Z476" s="7" t="str">
        <f aca="false">IF(I476="N/A","N/A",IF(N476="","Not tested",IF(W476="Rejected","Evidence rejected",IF(W476&lt;&gt;"Accepted","Evidence pending",IF(Y476&lt;'Residual Config'!$C$4,"Overdue","Current")))))</f>
        <v>Current</v>
      </c>
      <c r="AA476" s="34" t="n">
        <f aca="false">IF(I476="N/A","",IF(Z476&lt;&gt;"Current",4,IF(MAX(M476,T476)=0,4,MAX(M476,T476))))</f>
        <v>1</v>
      </c>
      <c r="AB476" s="7" t="str">
        <f aca="false">IF(AA476="","N/A",IF(Z476&lt;&gt;"Current","Not tested / overdue",INDEX('Residual Config'!$B$11:$B$14,AA476)))</f>
        <v>Effective</v>
      </c>
      <c r="AC476" s="36" t="n">
        <f aca="false">IF(AA476="","",INDEX('Residual Config'!$D$11:$D$14,AA476))</f>
        <v>0.6</v>
      </c>
      <c r="AD476" s="7" t="str">
        <f aca="false">IF(OR(I476="N/A",P476="",Q476=""),"",IF(P476&gt;=Q476,"Yes","No"))</f>
        <v>Yes</v>
      </c>
      <c r="AE476" s="8"/>
    </row>
    <row r="477" customFormat="false" ht="15" hidden="false" customHeight="false" outlineLevel="0" collapsed="false">
      <c r="A477" s="12" t="s">
        <v>1906</v>
      </c>
      <c r="B477" s="26" t="str">
        <f aca="false">Entities!$A$15</f>
        <v>BH</v>
      </c>
      <c r="C477" s="12" t="str">
        <f aca="false">INDEX(Entities!$B$5:$B$34,MATCH(B477,Entities!$A$5:$A$34,0))</f>
        <v>Arab Bank – Bahrain</v>
      </c>
      <c r="D477" s="7" t="str">
        <f aca="false">INDEX(Entities!$F$5:$F$34,MATCH(B477,Entities!$A$5:$A$34,0))</f>
        <v>Tier 2</v>
      </c>
      <c r="E477" s="26" t="str">
        <f aca="false">'Control Library'!$A$47</f>
        <v>CTL-ST-01</v>
      </c>
      <c r="F477" s="12" t="str">
        <f aca="false">INDEX('Control Library'!$B$5:$B$47,MATCH(E477,'Control Library'!$A$5:$A$47,0))</f>
        <v>Strategy execution monitoring and E&amp;S screening of lending</v>
      </c>
      <c r="G477" s="7" t="str">
        <f aca="false">INDEX('Control Library'!$F$5:$F$47,MATCH(E477,'Control Library'!$A$5:$A$47,0))</f>
        <v>Y</v>
      </c>
      <c r="H477" s="12" t="str">
        <f aca="false">INDEX('Control Library'!$E$5:$E$47,MATCH(E477,'Control Library'!$A$5:$A$47,0))</f>
        <v>Quarterly</v>
      </c>
      <c r="I477" s="7" t="str">
        <f aca="false">IF(INDEX('Control Library'!$I$5:$I$47,MATCH(E477,'Control Library'!$A$5:$A$47,0))="All","Y",IF(INDEX('Control Library'!$I$5:$I$47,MATCH(E477,'Control Library'!$A$5:$A$47,0))="Banks only",IF(COUNTIF('Residual Config'!$L$28:$L$30,INDEX(Entities!$E$5:$E$34,MATCH(B477,Entities!$A$5:$A$34,0)))&gt;0,"N/A","Y"),IF(INDEX(Entities!$G$5:$G$34,MATCH(B477,Entities!$A$5:$A$34,0))="Y","Y","N/A")))</f>
        <v>Y</v>
      </c>
      <c r="J477" s="8" t="s">
        <v>1907</v>
      </c>
      <c r="K477" s="8" t="s">
        <v>1802</v>
      </c>
      <c r="L477" s="7" t="str">
        <f aca="false">IF(OR(J477="",K477=""),"",IF(J477=K477,"Breach","OK"))</f>
        <v>OK</v>
      </c>
      <c r="M477" s="24" t="n">
        <v>2</v>
      </c>
      <c r="N477" s="50" t="n">
        <v>46230</v>
      </c>
      <c r="O477" s="8" t="s">
        <v>546</v>
      </c>
      <c r="P477" s="24" t="n">
        <v>2</v>
      </c>
      <c r="Q477" s="31" t="n">
        <f aca="false">IF(I477="N/A","",IFERROR(INDEX('Residual Config'!$B$35:$B$42,MATCH(H477,'Residual Config'!$A$35:$A$42,0)),""))</f>
        <v>2</v>
      </c>
      <c r="R477" s="24" t="n">
        <v>1</v>
      </c>
      <c r="S477" s="8" t="s">
        <v>521</v>
      </c>
      <c r="T477" s="31" t="n">
        <f aca="false">IF(S477="","",MATCH(S477,'Residual Config'!$L$9:$L$12,0))</f>
        <v>2</v>
      </c>
      <c r="U477" s="8" t="s">
        <v>1908</v>
      </c>
      <c r="V477" s="24" t="n">
        <v>3</v>
      </c>
      <c r="W477" s="33" t="s">
        <v>533</v>
      </c>
      <c r="X477" s="8" t="s">
        <v>754</v>
      </c>
      <c r="Y477" s="51" t="n">
        <f aca="false">IF(N477="","",EDATE(N477,IF(G477="N",INDEX('Residual Config'!$B$31:$D$31,1,MATCH(D477,'Residual Config'!$B$27:$D$27,0)),INDEX('Residual Config'!$B$28:$D$30,IF(T477=1,1,IF(T477=4,3,2)),MATCH(D477,'Residual Config'!$B$27:$D$27,0)))))</f>
        <v>46414</v>
      </c>
      <c r="Z477" s="7" t="str">
        <f aca="false">IF(I477="N/A","N/A",IF(N477="","Not tested",IF(W477="Rejected","Evidence rejected",IF(W477&lt;&gt;"Accepted","Evidence pending",IF(Y477&lt;'Residual Config'!$C$4,"Overdue","Current")))))</f>
        <v>Current</v>
      </c>
      <c r="AA477" s="34" t="n">
        <f aca="false">IF(I477="N/A","",IF(Z477&lt;&gt;"Current",4,IF(MAX(M477,T477)=0,4,MAX(M477,T477))))</f>
        <v>2</v>
      </c>
      <c r="AB477" s="7" t="str">
        <f aca="false">IF(AA477="","N/A",IF(Z477&lt;&gt;"Current","Not tested / overdue",INDEX('Residual Config'!$B$11:$B$14,AA477)))</f>
        <v>Largely effective</v>
      </c>
      <c r="AC477" s="36" t="n">
        <f aca="false">IF(AA477="","",INDEX('Residual Config'!$D$11:$D$14,AA477))</f>
        <v>0.4</v>
      </c>
      <c r="AD477" s="7" t="str">
        <f aca="false">IF(OR(I477="N/A",P477="",Q477=""),"",IF(P477&gt;=Q477,"Yes","No"))</f>
        <v>Yes</v>
      </c>
      <c r="AE477" s="8"/>
    </row>
    <row r="478" customFormat="false" ht="15" hidden="false" customHeight="false" outlineLevel="0" collapsed="false">
      <c r="A478" s="12" t="s">
        <v>1909</v>
      </c>
      <c r="B478" s="26" t="str">
        <f aca="false">Entities!$A$16</f>
        <v>QA</v>
      </c>
      <c r="C478" s="12" t="str">
        <f aca="false">INDEX(Entities!$B$5:$B$34,MATCH(B478,Entities!$A$5:$A$34,0))</f>
        <v>Arab Bank – Qatar</v>
      </c>
      <c r="D478" s="7" t="str">
        <f aca="false">INDEX(Entities!$F$5:$F$34,MATCH(B478,Entities!$A$5:$A$34,0))</f>
        <v>Tier 2</v>
      </c>
      <c r="E478" s="26" t="str">
        <f aca="false">'Control Library'!$A$5</f>
        <v>CTL-KYC-01</v>
      </c>
      <c r="F478" s="12" t="str">
        <f aca="false">INDEX('Control Library'!$B$5:$B$47,MATCH(E478,'Control Library'!$A$5:$A$47,0))</f>
        <v>Customer due diligence and ID verification at onboarding</v>
      </c>
      <c r="G478" s="7" t="str">
        <f aca="false">INDEX('Control Library'!$F$5:$F$47,MATCH(E478,'Control Library'!$A$5:$A$47,0))</f>
        <v>Y</v>
      </c>
      <c r="H478" s="12" t="str">
        <f aca="false">INDEX('Control Library'!$E$5:$E$47,MATCH(E478,'Control Library'!$A$5:$A$47,0))</f>
        <v>Event-driven</v>
      </c>
      <c r="I478" s="7" t="str">
        <f aca="false">IF(INDEX('Control Library'!$I$5:$I$47,MATCH(E478,'Control Library'!$A$5:$A$47,0))="All","Y",IF(INDEX('Control Library'!$I$5:$I$47,MATCH(E478,'Control Library'!$A$5:$A$47,0))="Banks only",IF(COUNTIF('Residual Config'!$L$28:$L$30,INDEX(Entities!$E$5:$E$34,MATCH(B478,Entities!$A$5:$A$34,0)))&gt;0,"N/A","Y"),IF(INDEX(Entities!$G$5:$G$34,MATCH(B478,Entities!$A$5:$A$34,0))="Y","Y","N/A")))</f>
        <v>Y</v>
      </c>
      <c r="J478" s="8" t="s">
        <v>1910</v>
      </c>
      <c r="K478" s="8" t="s">
        <v>1911</v>
      </c>
      <c r="L478" s="7" t="str">
        <f aca="false">IF(OR(J478="",K478=""),"",IF(J478=K478,"Breach","OK"))</f>
        <v>OK</v>
      </c>
      <c r="M478" s="24" t="n">
        <v>2</v>
      </c>
      <c r="N478" s="50" t="n">
        <v>46029</v>
      </c>
      <c r="O478" s="8" t="s">
        <v>545</v>
      </c>
      <c r="P478" s="24" t="n">
        <v>25</v>
      </c>
      <c r="Q478" s="31" t="n">
        <f aca="false">IF(I478="N/A","",IFERROR(INDEX('Residual Config'!$B$35:$B$42,MATCH(H478,'Residual Config'!$A$35:$A$42,0)),""))</f>
        <v>25</v>
      </c>
      <c r="R478" s="24" t="n">
        <v>0</v>
      </c>
      <c r="S478" s="8" t="s">
        <v>516</v>
      </c>
      <c r="T478" s="31" t="n">
        <f aca="false">IF(S478="","",MATCH(S478,'Residual Config'!$L$9:$L$12,0))</f>
        <v>1</v>
      </c>
      <c r="U478" s="8" t="s">
        <v>1912</v>
      </c>
      <c r="V478" s="24" t="n">
        <v>5</v>
      </c>
      <c r="W478" s="33" t="s">
        <v>536</v>
      </c>
      <c r="X478" s="8"/>
      <c r="Y478" s="51" t="n">
        <f aca="false">IF(N478="","",EDATE(N478,IF(G478="N",INDEX('Residual Config'!$B$31:$D$31,1,MATCH(D478,'Residual Config'!$B$27:$D$27,0)),INDEX('Residual Config'!$B$28:$D$30,IF(T478=1,1,IF(T478=4,3,2)),MATCH(D478,'Residual Config'!$B$27:$D$27,0)))))</f>
        <v>46394</v>
      </c>
      <c r="Z478" s="7" t="str">
        <f aca="false">IF(I478="N/A","N/A",IF(N478="","Not tested",IF(W478="Rejected","Evidence rejected",IF(W478&lt;&gt;"Accepted","Evidence pending",IF(Y478&lt;'Residual Config'!$C$4,"Overdue","Current")))))</f>
        <v>Evidence pending</v>
      </c>
      <c r="AA478" s="34" t="n">
        <f aca="false">IF(I478="N/A","",IF(Z478&lt;&gt;"Current",4,IF(MAX(M478,T478)=0,4,MAX(M478,T478))))</f>
        <v>4</v>
      </c>
      <c r="AB478" s="7" t="str">
        <f aca="false">IF(AA478="","N/A",IF(Z478&lt;&gt;"Current","Not tested / overdue",INDEX('Residual Config'!$B$11:$B$14,AA478)))</f>
        <v>Not tested / overdue</v>
      </c>
      <c r="AC478" s="36" t="n">
        <f aca="false">IF(AA478="","",INDEX('Residual Config'!$D$11:$D$14,AA478))</f>
        <v>0</v>
      </c>
      <c r="AD478" s="7" t="str">
        <f aca="false">IF(OR(I478="N/A",P478="",Q478=""),"",IF(P478&gt;=Q478,"Yes","No"))</f>
        <v>Yes</v>
      </c>
      <c r="AE478" s="8"/>
    </row>
    <row r="479" customFormat="false" ht="15" hidden="false" customHeight="false" outlineLevel="0" collapsed="false">
      <c r="A479" s="12" t="s">
        <v>1913</v>
      </c>
      <c r="B479" s="26" t="str">
        <f aca="false">Entities!$A$16</f>
        <v>QA</v>
      </c>
      <c r="C479" s="12" t="str">
        <f aca="false">INDEX(Entities!$B$5:$B$34,MATCH(B479,Entities!$A$5:$A$34,0))</f>
        <v>Arab Bank – Qatar</v>
      </c>
      <c r="D479" s="7" t="str">
        <f aca="false">INDEX(Entities!$F$5:$F$34,MATCH(B479,Entities!$A$5:$A$34,0))</f>
        <v>Tier 2</v>
      </c>
      <c r="E479" s="26" t="str">
        <f aca="false">'Control Library'!$A$6</f>
        <v>CTL-KYC-02</v>
      </c>
      <c r="F479" s="12" t="str">
        <f aca="false">INDEX('Control Library'!$B$5:$B$47,MATCH(E479,'Control Library'!$A$5:$A$47,0))</f>
        <v>Enhanced due diligence for high-risk customers and PEPs, senior approval</v>
      </c>
      <c r="G479" s="7" t="str">
        <f aca="false">INDEX('Control Library'!$F$5:$F$47,MATCH(E479,'Control Library'!$A$5:$A$47,0))</f>
        <v>Y</v>
      </c>
      <c r="H479" s="12" t="str">
        <f aca="false">INDEX('Control Library'!$E$5:$E$47,MATCH(E479,'Control Library'!$A$5:$A$47,0))</f>
        <v>Event-driven</v>
      </c>
      <c r="I479" s="7" t="str">
        <f aca="false">IF(INDEX('Control Library'!$I$5:$I$47,MATCH(E479,'Control Library'!$A$5:$A$47,0))="All","Y",IF(INDEX('Control Library'!$I$5:$I$47,MATCH(E479,'Control Library'!$A$5:$A$47,0))="Banks only",IF(COUNTIF('Residual Config'!$L$28:$L$30,INDEX(Entities!$E$5:$E$34,MATCH(B479,Entities!$A$5:$A$34,0)))&gt;0,"N/A","Y"),IF(INDEX(Entities!$G$5:$G$34,MATCH(B479,Entities!$A$5:$A$34,0))="Y","Y","N/A")))</f>
        <v>Y</v>
      </c>
      <c r="J479" s="8" t="s">
        <v>1914</v>
      </c>
      <c r="K479" s="8" t="s">
        <v>1911</v>
      </c>
      <c r="L479" s="7" t="str">
        <f aca="false">IF(OR(J479="",K479=""),"",IF(J479=K479,"Breach","OK"))</f>
        <v>OK</v>
      </c>
      <c r="M479" s="24" t="n">
        <v>2</v>
      </c>
      <c r="N479" s="50" t="n">
        <v>46170</v>
      </c>
      <c r="O479" s="8" t="s">
        <v>545</v>
      </c>
      <c r="P479" s="24" t="n">
        <v>30</v>
      </c>
      <c r="Q479" s="31" t="n">
        <f aca="false">IF(I479="N/A","",IFERROR(INDEX('Residual Config'!$B$35:$B$42,MATCH(H479,'Residual Config'!$A$35:$A$42,0)),""))</f>
        <v>25</v>
      </c>
      <c r="R479" s="24" t="n">
        <v>0</v>
      </c>
      <c r="S479" s="8" t="s">
        <v>516</v>
      </c>
      <c r="T479" s="31" t="n">
        <f aca="false">IF(S479="","",MATCH(S479,'Residual Config'!$L$9:$L$12,0))</f>
        <v>1</v>
      </c>
      <c r="U479" s="8" t="s">
        <v>1915</v>
      </c>
      <c r="V479" s="24" t="n">
        <v>1</v>
      </c>
      <c r="W479" s="33" t="s">
        <v>533</v>
      </c>
      <c r="X479" s="8" t="s">
        <v>760</v>
      </c>
      <c r="Y479" s="51" t="n">
        <f aca="false">IF(N479="","",EDATE(N479,IF(G479="N",INDEX('Residual Config'!$B$31:$D$31,1,MATCH(D479,'Residual Config'!$B$27:$D$27,0)),INDEX('Residual Config'!$B$28:$D$30,IF(T479=1,1,IF(T479=4,3,2)),MATCH(D479,'Residual Config'!$B$27:$D$27,0)))))</f>
        <v>46535</v>
      </c>
      <c r="Z479" s="7" t="str">
        <f aca="false">IF(I479="N/A","N/A",IF(N479="","Not tested",IF(W479="Rejected","Evidence rejected",IF(W479&lt;&gt;"Accepted","Evidence pending",IF(Y479&lt;'Residual Config'!$C$4,"Overdue","Current")))))</f>
        <v>Current</v>
      </c>
      <c r="AA479" s="34" t="n">
        <f aca="false">IF(I479="N/A","",IF(Z479&lt;&gt;"Current",4,IF(MAX(M479,T479)=0,4,MAX(M479,T479))))</f>
        <v>2</v>
      </c>
      <c r="AB479" s="7" t="str">
        <f aca="false">IF(AA479="","N/A",IF(Z479&lt;&gt;"Current","Not tested / overdue",INDEX('Residual Config'!$B$11:$B$14,AA479)))</f>
        <v>Largely effective</v>
      </c>
      <c r="AC479" s="36" t="n">
        <f aca="false">IF(AA479="","",INDEX('Residual Config'!$D$11:$D$14,AA479))</f>
        <v>0.4</v>
      </c>
      <c r="AD479" s="7" t="str">
        <f aca="false">IF(OR(I479="N/A",P479="",Q479=""),"",IF(P479&gt;=Q479,"Yes","No"))</f>
        <v>Yes</v>
      </c>
      <c r="AE479" s="8"/>
    </row>
    <row r="480" customFormat="false" ht="15" hidden="false" customHeight="false" outlineLevel="0" collapsed="false">
      <c r="A480" s="12" t="s">
        <v>1916</v>
      </c>
      <c r="B480" s="26" t="str">
        <f aca="false">Entities!$A$16</f>
        <v>QA</v>
      </c>
      <c r="C480" s="12" t="str">
        <f aca="false">INDEX(Entities!$B$5:$B$34,MATCH(B480,Entities!$A$5:$A$34,0))</f>
        <v>Arab Bank – Qatar</v>
      </c>
      <c r="D480" s="7" t="str">
        <f aca="false">INDEX(Entities!$F$5:$F$34,MATCH(B480,Entities!$A$5:$A$34,0))</f>
        <v>Tier 2</v>
      </c>
      <c r="E480" s="26" t="str">
        <f aca="false">'Control Library'!$A$7</f>
        <v>CTL-KYC-03</v>
      </c>
      <c r="F480" s="12" t="str">
        <f aca="false">INDEX('Control Library'!$B$5:$B$47,MATCH(E480,'Control Library'!$A$5:$A$47,0))</f>
        <v>Ultimate beneficial owner identification and verification</v>
      </c>
      <c r="G480" s="7" t="str">
        <f aca="false">INDEX('Control Library'!$F$5:$F$47,MATCH(E480,'Control Library'!$A$5:$A$47,0))</f>
        <v>Y</v>
      </c>
      <c r="H480" s="12" t="str">
        <f aca="false">INDEX('Control Library'!$E$5:$E$47,MATCH(E480,'Control Library'!$A$5:$A$47,0))</f>
        <v>Event-driven</v>
      </c>
      <c r="I480" s="7" t="str">
        <f aca="false">IF(INDEX('Control Library'!$I$5:$I$47,MATCH(E480,'Control Library'!$A$5:$A$47,0))="All","Y",IF(INDEX('Control Library'!$I$5:$I$47,MATCH(E480,'Control Library'!$A$5:$A$47,0))="Banks only",IF(COUNTIF('Residual Config'!$L$28:$L$30,INDEX(Entities!$E$5:$E$34,MATCH(B480,Entities!$A$5:$A$34,0)))&gt;0,"N/A","Y"),IF(INDEX(Entities!$G$5:$G$34,MATCH(B480,Entities!$A$5:$A$34,0))="Y","Y","N/A")))</f>
        <v>Y</v>
      </c>
      <c r="J480" s="8" t="s">
        <v>1910</v>
      </c>
      <c r="K480" s="8" t="s">
        <v>1911</v>
      </c>
      <c r="L480" s="7" t="str">
        <f aca="false">IF(OR(J480="",K480=""),"",IF(J480=K480,"Breach","OK"))</f>
        <v>OK</v>
      </c>
      <c r="M480" s="24" t="n">
        <v>1</v>
      </c>
      <c r="N480" s="50" t="n">
        <v>46215</v>
      </c>
      <c r="O480" s="8" t="s">
        <v>545</v>
      </c>
      <c r="P480" s="24" t="n">
        <v>25</v>
      </c>
      <c r="Q480" s="31" t="n">
        <f aca="false">IF(I480="N/A","",IFERROR(INDEX('Residual Config'!$B$35:$B$42,MATCH(H480,'Residual Config'!$A$35:$A$42,0)),""))</f>
        <v>25</v>
      </c>
      <c r="R480" s="24" t="n">
        <v>2</v>
      </c>
      <c r="S480" s="8" t="s">
        <v>524</v>
      </c>
      <c r="T480" s="31" t="n">
        <f aca="false">IF(S480="","",MATCH(S480,'Residual Config'!$L$9:$L$12,0))</f>
        <v>3</v>
      </c>
      <c r="U480" s="8" t="s">
        <v>1917</v>
      </c>
      <c r="V480" s="24" t="n">
        <v>3</v>
      </c>
      <c r="W480" s="33" t="s">
        <v>533</v>
      </c>
      <c r="X480" s="8" t="s">
        <v>754</v>
      </c>
      <c r="Y480" s="51" t="n">
        <f aca="false">IF(N480="","",EDATE(N480,IF(G480="N",INDEX('Residual Config'!$B$31:$D$31,1,MATCH(D480,'Residual Config'!$B$27:$D$27,0)),INDEX('Residual Config'!$B$28:$D$30,IF(T480=1,1,IF(T480=4,3,2)),MATCH(D480,'Residual Config'!$B$27:$D$27,0)))))</f>
        <v>46399</v>
      </c>
      <c r="Z480" s="7" t="str">
        <f aca="false">IF(I480="N/A","N/A",IF(N480="","Not tested",IF(W480="Rejected","Evidence rejected",IF(W480&lt;&gt;"Accepted","Evidence pending",IF(Y480&lt;'Residual Config'!$C$4,"Overdue","Current")))))</f>
        <v>Current</v>
      </c>
      <c r="AA480" s="34" t="n">
        <f aca="false">IF(I480="N/A","",IF(Z480&lt;&gt;"Current",4,IF(MAX(M480,T480)=0,4,MAX(M480,T480))))</f>
        <v>3</v>
      </c>
      <c r="AB480" s="7" t="str">
        <f aca="false">IF(AA480="","N/A",IF(Z480&lt;&gt;"Current","Not tested / overdue",INDEX('Residual Config'!$B$11:$B$14,AA480)))</f>
        <v>Partially effective</v>
      </c>
      <c r="AC480" s="36" t="n">
        <f aca="false">IF(AA480="","",INDEX('Residual Config'!$D$11:$D$14,AA480))</f>
        <v>0.2</v>
      </c>
      <c r="AD480" s="7" t="str">
        <f aca="false">IF(OR(I480="N/A",P480="",Q480=""),"",IF(P480&gt;=Q480,"Yes","No"))</f>
        <v>Yes</v>
      </c>
      <c r="AE480" s="8"/>
    </row>
    <row r="481" customFormat="false" ht="15" hidden="false" customHeight="false" outlineLevel="0" collapsed="false">
      <c r="A481" s="12" t="s">
        <v>1918</v>
      </c>
      <c r="B481" s="26" t="str">
        <f aca="false">Entities!$A$16</f>
        <v>QA</v>
      </c>
      <c r="C481" s="12" t="str">
        <f aca="false">INDEX(Entities!$B$5:$B$34,MATCH(B481,Entities!$A$5:$A$34,0))</f>
        <v>Arab Bank – Qatar</v>
      </c>
      <c r="D481" s="7" t="str">
        <f aca="false">INDEX(Entities!$F$5:$F$34,MATCH(B481,Entities!$A$5:$A$34,0))</f>
        <v>Tier 2</v>
      </c>
      <c r="E481" s="26" t="str">
        <f aca="false">'Control Library'!$A$8</f>
        <v>CTL-KYC-04</v>
      </c>
      <c r="F481" s="12" t="str">
        <f aca="false">INDEX('Control Library'!$B$5:$B$47,MATCH(E481,'Control Library'!$A$5:$A$47,0))</f>
        <v>Periodic KYC review by customer risk rating</v>
      </c>
      <c r="G481" s="7" t="str">
        <f aca="false">INDEX('Control Library'!$F$5:$F$47,MATCH(E481,'Control Library'!$A$5:$A$47,0))</f>
        <v>Y</v>
      </c>
      <c r="H481" s="12" t="str">
        <f aca="false">INDEX('Control Library'!$E$5:$E$47,MATCH(E481,'Control Library'!$A$5:$A$47,0))</f>
        <v>Monthly</v>
      </c>
      <c r="I481" s="7" t="str">
        <f aca="false">IF(INDEX('Control Library'!$I$5:$I$47,MATCH(E481,'Control Library'!$A$5:$A$47,0))="All","Y",IF(INDEX('Control Library'!$I$5:$I$47,MATCH(E481,'Control Library'!$A$5:$A$47,0))="Banks only",IF(COUNTIF('Residual Config'!$L$28:$L$30,INDEX(Entities!$E$5:$E$34,MATCH(B481,Entities!$A$5:$A$34,0)))&gt;0,"N/A","Y"),IF(INDEX(Entities!$G$5:$G$34,MATCH(B481,Entities!$A$5:$A$34,0))="Y","Y","N/A")))</f>
        <v>Y</v>
      </c>
      <c r="J481" s="8" t="s">
        <v>1910</v>
      </c>
      <c r="K481" s="8" t="s">
        <v>1911</v>
      </c>
      <c r="L481" s="7" t="str">
        <f aca="false">IF(OR(J481="",K481=""),"",IF(J481=K481,"Breach","OK"))</f>
        <v>OK</v>
      </c>
      <c r="M481" s="24" t="n">
        <v>1</v>
      </c>
      <c r="N481" s="50" t="n">
        <v>45953</v>
      </c>
      <c r="O481" s="8" t="s">
        <v>545</v>
      </c>
      <c r="P481" s="24" t="n">
        <v>3</v>
      </c>
      <c r="Q481" s="31" t="n">
        <f aca="false">IF(I481="N/A","",IFERROR(INDEX('Residual Config'!$B$35:$B$42,MATCH(H481,'Residual Config'!$A$35:$A$42,0)),""))</f>
        <v>3</v>
      </c>
      <c r="R481" s="24" t="n">
        <v>0</v>
      </c>
      <c r="S481" s="8" t="s">
        <v>516</v>
      </c>
      <c r="T481" s="31" t="n">
        <f aca="false">IF(S481="","",MATCH(S481,'Residual Config'!$L$9:$L$12,0))</f>
        <v>1</v>
      </c>
      <c r="U481" s="8" t="s">
        <v>1919</v>
      </c>
      <c r="V481" s="24" t="n">
        <v>5</v>
      </c>
      <c r="W481" s="33" t="s">
        <v>533</v>
      </c>
      <c r="X481" s="8" t="s">
        <v>760</v>
      </c>
      <c r="Y481" s="51" t="n">
        <f aca="false">IF(N481="","",EDATE(N481,IF(G481="N",INDEX('Residual Config'!$B$31:$D$31,1,MATCH(D481,'Residual Config'!$B$27:$D$27,0)),INDEX('Residual Config'!$B$28:$D$30,IF(T481=1,1,IF(T481=4,3,2)),MATCH(D481,'Residual Config'!$B$27:$D$27,0)))))</f>
        <v>46318</v>
      </c>
      <c r="Z481" s="7" t="str">
        <f aca="false">IF(I481="N/A","N/A",IF(N481="","Not tested",IF(W481="Rejected","Evidence rejected",IF(W481&lt;&gt;"Accepted","Evidence pending",IF(Y481&lt;'Residual Config'!$C$4,"Overdue","Current")))))</f>
        <v>Current</v>
      </c>
      <c r="AA481" s="34" t="n">
        <f aca="false">IF(I481="N/A","",IF(Z481&lt;&gt;"Current",4,IF(MAX(M481,T481)=0,4,MAX(M481,T481))))</f>
        <v>1</v>
      </c>
      <c r="AB481" s="7" t="str">
        <f aca="false">IF(AA481="","N/A",IF(Z481&lt;&gt;"Current","Not tested / overdue",INDEX('Residual Config'!$B$11:$B$14,AA481)))</f>
        <v>Effective</v>
      </c>
      <c r="AC481" s="36" t="n">
        <f aca="false">IF(AA481="","",INDEX('Residual Config'!$D$11:$D$14,AA481))</f>
        <v>0.6</v>
      </c>
      <c r="AD481" s="7" t="str">
        <f aca="false">IF(OR(I481="N/A",P481="",Q481=""),"",IF(P481&gt;=Q481,"Yes","No"))</f>
        <v>Yes</v>
      </c>
      <c r="AE481" s="8"/>
    </row>
    <row r="482" customFormat="false" ht="15" hidden="false" customHeight="false" outlineLevel="0" collapsed="false">
      <c r="A482" s="12" t="s">
        <v>1920</v>
      </c>
      <c r="B482" s="26" t="str">
        <f aca="false">Entities!$A$16</f>
        <v>QA</v>
      </c>
      <c r="C482" s="12" t="str">
        <f aca="false">INDEX(Entities!$B$5:$B$34,MATCH(B482,Entities!$A$5:$A$34,0))</f>
        <v>Arab Bank – Qatar</v>
      </c>
      <c r="D482" s="7" t="str">
        <f aca="false">INDEX(Entities!$F$5:$F$34,MATCH(B482,Entities!$A$5:$A$34,0))</f>
        <v>Tier 2</v>
      </c>
      <c r="E482" s="26" t="str">
        <f aca="false">'Control Library'!$A$9</f>
        <v>CTL-CRR-01</v>
      </c>
      <c r="F482" s="12" t="str">
        <f aca="false">INDEX('Control Library'!$B$5:$B$47,MATCH(E482,'Control Library'!$A$5:$A$47,0))</f>
        <v>Customer risk rating model and annual validation</v>
      </c>
      <c r="G482" s="7" t="str">
        <f aca="false">INDEX('Control Library'!$F$5:$F$47,MATCH(E482,'Control Library'!$A$5:$A$47,0))</f>
        <v>N</v>
      </c>
      <c r="H482" s="12" t="str">
        <f aca="false">INDEX('Control Library'!$E$5:$E$47,MATCH(E482,'Control Library'!$A$5:$A$47,0))</f>
        <v>Annual</v>
      </c>
      <c r="I482" s="7" t="str">
        <f aca="false">IF(INDEX('Control Library'!$I$5:$I$47,MATCH(E482,'Control Library'!$A$5:$A$47,0))="All","Y",IF(INDEX('Control Library'!$I$5:$I$47,MATCH(E482,'Control Library'!$A$5:$A$47,0))="Banks only",IF(COUNTIF('Residual Config'!$L$28:$L$30,INDEX(Entities!$E$5:$E$34,MATCH(B482,Entities!$A$5:$A$34,0)))&gt;0,"N/A","Y"),IF(INDEX(Entities!$G$5:$G$34,MATCH(B482,Entities!$A$5:$A$34,0))="Y","Y","N/A")))</f>
        <v>Y</v>
      </c>
      <c r="J482" s="8" t="s">
        <v>1914</v>
      </c>
      <c r="K482" s="8" t="s">
        <v>1911</v>
      </c>
      <c r="L482" s="7" t="str">
        <f aca="false">IF(OR(J482="",K482=""),"",IF(J482=K482,"Breach","OK"))</f>
        <v>OK</v>
      </c>
      <c r="M482" s="24" t="n">
        <v>1</v>
      </c>
      <c r="N482" s="50" t="n">
        <v>46171</v>
      </c>
      <c r="O482" s="8" t="s">
        <v>546</v>
      </c>
      <c r="P482" s="24" t="n">
        <v>1</v>
      </c>
      <c r="Q482" s="31" t="n">
        <f aca="false">IF(I482="N/A","",IFERROR(INDEX('Residual Config'!$B$35:$B$42,MATCH(H482,'Residual Config'!$A$35:$A$42,0)),""))</f>
        <v>1</v>
      </c>
      <c r="R482" s="24" t="n">
        <v>1</v>
      </c>
      <c r="S482" s="8" t="s">
        <v>521</v>
      </c>
      <c r="T482" s="31" t="n">
        <f aca="false">IF(S482="","",MATCH(S482,'Residual Config'!$L$9:$L$12,0))</f>
        <v>2</v>
      </c>
      <c r="U482" s="8" t="s">
        <v>1921</v>
      </c>
      <c r="V482" s="24" t="n">
        <v>6</v>
      </c>
      <c r="W482" s="33" t="s">
        <v>533</v>
      </c>
      <c r="X482" s="8" t="s">
        <v>760</v>
      </c>
      <c r="Y482" s="51" t="n">
        <f aca="false">IF(N482="","",EDATE(N482,IF(G482="N",INDEX('Residual Config'!$B$31:$D$31,1,MATCH(D482,'Residual Config'!$B$27:$D$27,0)),INDEX('Residual Config'!$B$28:$D$30,IF(T482=1,1,IF(T482=4,3,2)),MATCH(D482,'Residual Config'!$B$27:$D$27,0)))))</f>
        <v>46536</v>
      </c>
      <c r="Z482" s="7" t="str">
        <f aca="false">IF(I482="N/A","N/A",IF(N482="","Not tested",IF(W482="Rejected","Evidence rejected",IF(W482&lt;&gt;"Accepted","Evidence pending",IF(Y482&lt;'Residual Config'!$C$4,"Overdue","Current")))))</f>
        <v>Current</v>
      </c>
      <c r="AA482" s="34" t="n">
        <f aca="false">IF(I482="N/A","",IF(Z482&lt;&gt;"Current",4,IF(MAX(M482,T482)=0,4,MAX(M482,T482))))</f>
        <v>2</v>
      </c>
      <c r="AB482" s="7" t="str">
        <f aca="false">IF(AA482="","N/A",IF(Z482&lt;&gt;"Current","Not tested / overdue",INDEX('Residual Config'!$B$11:$B$14,AA482)))</f>
        <v>Largely effective</v>
      </c>
      <c r="AC482" s="36" t="n">
        <f aca="false">IF(AA482="","",INDEX('Residual Config'!$D$11:$D$14,AA482))</f>
        <v>0.4</v>
      </c>
      <c r="AD482" s="7" t="str">
        <f aca="false">IF(OR(I482="N/A",P482="",Q482=""),"",IF(P482&gt;=Q482,"Yes","No"))</f>
        <v>Yes</v>
      </c>
      <c r="AE482" s="8"/>
    </row>
    <row r="483" customFormat="false" ht="15" hidden="false" customHeight="false" outlineLevel="0" collapsed="false">
      <c r="A483" s="12" t="s">
        <v>1922</v>
      </c>
      <c r="B483" s="26" t="str">
        <f aca="false">Entities!$A$16</f>
        <v>QA</v>
      </c>
      <c r="C483" s="12" t="str">
        <f aca="false">INDEX(Entities!$B$5:$B$34,MATCH(B483,Entities!$A$5:$A$34,0))</f>
        <v>Arab Bank – Qatar</v>
      </c>
      <c r="D483" s="7" t="str">
        <f aca="false">INDEX(Entities!$F$5:$F$34,MATCH(B483,Entities!$A$5:$A$34,0))</f>
        <v>Tier 2</v>
      </c>
      <c r="E483" s="26" t="str">
        <f aca="false">'Control Library'!$A$10</f>
        <v>CTL-TM-01</v>
      </c>
      <c r="F483" s="12" t="str">
        <f aca="false">INDEX('Control Library'!$B$5:$B$47,MATCH(E483,'Control Library'!$A$5:$A$47,0))</f>
        <v>Automated transaction monitoring scenarios and annual tuning</v>
      </c>
      <c r="G483" s="7" t="str">
        <f aca="false">INDEX('Control Library'!$F$5:$F$47,MATCH(E483,'Control Library'!$A$5:$A$47,0))</f>
        <v>Y</v>
      </c>
      <c r="H483" s="12" t="str">
        <f aca="false">INDEX('Control Library'!$E$5:$E$47,MATCH(E483,'Control Library'!$A$5:$A$47,0))</f>
        <v>Continuous</v>
      </c>
      <c r="I483" s="7" t="str">
        <f aca="false">IF(INDEX('Control Library'!$I$5:$I$47,MATCH(E483,'Control Library'!$A$5:$A$47,0))="All","Y",IF(INDEX('Control Library'!$I$5:$I$47,MATCH(E483,'Control Library'!$A$5:$A$47,0))="Banks only",IF(COUNTIF('Residual Config'!$L$28:$L$30,INDEX(Entities!$E$5:$E$34,MATCH(B483,Entities!$A$5:$A$34,0)))&gt;0,"N/A","Y"),IF(INDEX(Entities!$G$5:$G$34,MATCH(B483,Entities!$A$5:$A$34,0))="Y","Y","N/A")))</f>
        <v>Y</v>
      </c>
      <c r="J483" s="8" t="s">
        <v>1923</v>
      </c>
      <c r="K483" s="8" t="s">
        <v>1911</v>
      </c>
      <c r="L483" s="7" t="str">
        <f aca="false">IF(OR(J483="",K483=""),"",IF(J483=K483,"Breach","OK"))</f>
        <v>OK</v>
      </c>
      <c r="M483" s="24" t="n">
        <v>2</v>
      </c>
      <c r="N483" s="50" t="n">
        <v>46183</v>
      </c>
      <c r="O483" s="8" t="s">
        <v>546</v>
      </c>
      <c r="P483" s="24" t="n">
        <v>1</v>
      </c>
      <c r="Q483" s="31" t="n">
        <f aca="false">IF(I483="N/A","",IFERROR(INDEX('Residual Config'!$B$35:$B$42,MATCH(H483,'Residual Config'!$A$35:$A$42,0)),""))</f>
        <v>1</v>
      </c>
      <c r="R483" s="24" t="n">
        <v>1</v>
      </c>
      <c r="S483" s="8" t="s">
        <v>521</v>
      </c>
      <c r="T483" s="31" t="n">
        <f aca="false">IF(S483="","",MATCH(S483,'Residual Config'!$L$9:$L$12,0))</f>
        <v>2</v>
      </c>
      <c r="U483" s="8" t="s">
        <v>1924</v>
      </c>
      <c r="V483" s="24" t="n">
        <v>2</v>
      </c>
      <c r="W483" s="33" t="s">
        <v>533</v>
      </c>
      <c r="X483" s="8" t="s">
        <v>754</v>
      </c>
      <c r="Y483" s="51" t="n">
        <f aca="false">IF(N483="","",EDATE(N483,IF(G483="N",INDEX('Residual Config'!$B$31:$D$31,1,MATCH(D483,'Residual Config'!$B$27:$D$27,0)),INDEX('Residual Config'!$B$28:$D$30,IF(T483=1,1,IF(T483=4,3,2)),MATCH(D483,'Residual Config'!$B$27:$D$27,0)))))</f>
        <v>46366</v>
      </c>
      <c r="Z483" s="7" t="str">
        <f aca="false">IF(I483="N/A","N/A",IF(N483="","Not tested",IF(W483="Rejected","Evidence rejected",IF(W483&lt;&gt;"Accepted","Evidence pending",IF(Y483&lt;'Residual Config'!$C$4,"Overdue","Current")))))</f>
        <v>Current</v>
      </c>
      <c r="AA483" s="34" t="n">
        <f aca="false">IF(I483="N/A","",IF(Z483&lt;&gt;"Current",4,IF(MAX(M483,T483)=0,4,MAX(M483,T483))))</f>
        <v>2</v>
      </c>
      <c r="AB483" s="7" t="str">
        <f aca="false">IF(AA483="","N/A",IF(Z483&lt;&gt;"Current","Not tested / overdue",INDEX('Residual Config'!$B$11:$B$14,AA483)))</f>
        <v>Largely effective</v>
      </c>
      <c r="AC483" s="36" t="n">
        <f aca="false">IF(AA483="","",INDEX('Residual Config'!$D$11:$D$14,AA483))</f>
        <v>0.4</v>
      </c>
      <c r="AD483" s="7" t="str">
        <f aca="false">IF(OR(I483="N/A",P483="",Q483=""),"",IF(P483&gt;=Q483,"Yes","No"))</f>
        <v>Yes</v>
      </c>
      <c r="AE483" s="8"/>
    </row>
    <row r="484" customFormat="false" ht="15" hidden="false" customHeight="false" outlineLevel="0" collapsed="false">
      <c r="A484" s="12" t="s">
        <v>1925</v>
      </c>
      <c r="B484" s="26" t="str">
        <f aca="false">Entities!$A$16</f>
        <v>QA</v>
      </c>
      <c r="C484" s="12" t="str">
        <f aca="false">INDEX(Entities!$B$5:$B$34,MATCH(B484,Entities!$A$5:$A$34,0))</f>
        <v>Arab Bank – Qatar</v>
      </c>
      <c r="D484" s="7" t="str">
        <f aca="false">INDEX(Entities!$F$5:$F$34,MATCH(B484,Entities!$A$5:$A$34,0))</f>
        <v>Tier 2</v>
      </c>
      <c r="E484" s="26" t="str">
        <f aca="false">'Control Library'!$A$11</f>
        <v>CTL-TM-02</v>
      </c>
      <c r="F484" s="12" t="str">
        <f aca="false">INDEX('Control Library'!$B$5:$B$47,MATCH(E484,'Control Library'!$A$5:$A$47,0))</f>
        <v>Alert investigation and quality assurance within SLA</v>
      </c>
      <c r="G484" s="7" t="str">
        <f aca="false">INDEX('Control Library'!$F$5:$F$47,MATCH(E484,'Control Library'!$A$5:$A$47,0))</f>
        <v>Y</v>
      </c>
      <c r="H484" s="12" t="str">
        <f aca="false">INDEX('Control Library'!$E$5:$E$47,MATCH(E484,'Control Library'!$A$5:$A$47,0))</f>
        <v>Daily</v>
      </c>
      <c r="I484" s="7" t="str">
        <f aca="false">IF(INDEX('Control Library'!$I$5:$I$47,MATCH(E484,'Control Library'!$A$5:$A$47,0))="All","Y",IF(INDEX('Control Library'!$I$5:$I$47,MATCH(E484,'Control Library'!$A$5:$A$47,0))="Banks only",IF(COUNTIF('Residual Config'!$L$28:$L$30,INDEX(Entities!$E$5:$E$34,MATCH(B484,Entities!$A$5:$A$34,0)))&gt;0,"N/A","Y"),IF(INDEX(Entities!$G$5:$G$34,MATCH(B484,Entities!$A$5:$A$34,0))="Y","Y","N/A")))</f>
        <v>Y</v>
      </c>
      <c r="J484" s="8" t="s">
        <v>1923</v>
      </c>
      <c r="K484" s="8" t="s">
        <v>1911</v>
      </c>
      <c r="L484" s="7" t="str">
        <f aca="false">IF(OR(J484="",K484=""),"",IF(J484=K484,"Breach","OK"))</f>
        <v>OK</v>
      </c>
      <c r="M484" s="24" t="n">
        <v>1</v>
      </c>
      <c r="N484" s="50" t="n">
        <v>46172</v>
      </c>
      <c r="O484" s="8" t="s">
        <v>545</v>
      </c>
      <c r="P484" s="24" t="n">
        <v>30</v>
      </c>
      <c r="Q484" s="31" t="n">
        <f aca="false">IF(I484="N/A","",IFERROR(INDEX('Residual Config'!$B$35:$B$42,MATCH(H484,'Residual Config'!$A$35:$A$42,0)),""))</f>
        <v>25</v>
      </c>
      <c r="R484" s="24" t="n">
        <v>1</v>
      </c>
      <c r="S484" s="8" t="s">
        <v>521</v>
      </c>
      <c r="T484" s="31" t="n">
        <f aca="false">IF(S484="","",MATCH(S484,'Residual Config'!$L$9:$L$12,0))</f>
        <v>2</v>
      </c>
      <c r="U484" s="8" t="s">
        <v>1926</v>
      </c>
      <c r="V484" s="24" t="n">
        <v>1</v>
      </c>
      <c r="W484" s="33" t="s">
        <v>533</v>
      </c>
      <c r="X484" s="8" t="s">
        <v>760</v>
      </c>
      <c r="Y484" s="51" t="n">
        <f aca="false">IF(N484="","",EDATE(N484,IF(G484="N",INDEX('Residual Config'!$B$31:$D$31,1,MATCH(D484,'Residual Config'!$B$27:$D$27,0)),INDEX('Residual Config'!$B$28:$D$30,IF(T484=1,1,IF(T484=4,3,2)),MATCH(D484,'Residual Config'!$B$27:$D$27,0)))))</f>
        <v>46356</v>
      </c>
      <c r="Z484" s="7" t="str">
        <f aca="false">IF(I484="N/A","N/A",IF(N484="","Not tested",IF(W484="Rejected","Evidence rejected",IF(W484&lt;&gt;"Accepted","Evidence pending",IF(Y484&lt;'Residual Config'!$C$4,"Overdue","Current")))))</f>
        <v>Current</v>
      </c>
      <c r="AA484" s="34" t="n">
        <f aca="false">IF(I484="N/A","",IF(Z484&lt;&gt;"Current",4,IF(MAX(M484,T484)=0,4,MAX(M484,T484))))</f>
        <v>2</v>
      </c>
      <c r="AB484" s="7" t="str">
        <f aca="false">IF(AA484="","N/A",IF(Z484&lt;&gt;"Current","Not tested / overdue",INDEX('Residual Config'!$B$11:$B$14,AA484)))</f>
        <v>Largely effective</v>
      </c>
      <c r="AC484" s="36" t="n">
        <f aca="false">IF(AA484="","",INDEX('Residual Config'!$D$11:$D$14,AA484))</f>
        <v>0.4</v>
      </c>
      <c r="AD484" s="7" t="str">
        <f aca="false">IF(OR(I484="N/A",P484="",Q484=""),"",IF(P484&gt;=Q484,"Yes","No"))</f>
        <v>Yes</v>
      </c>
      <c r="AE484" s="8"/>
    </row>
    <row r="485" customFormat="false" ht="15" hidden="false" customHeight="false" outlineLevel="0" collapsed="false">
      <c r="A485" s="12" t="s">
        <v>1927</v>
      </c>
      <c r="B485" s="26" t="str">
        <f aca="false">Entities!$A$16</f>
        <v>QA</v>
      </c>
      <c r="C485" s="12" t="str">
        <f aca="false">INDEX(Entities!$B$5:$B$34,MATCH(B485,Entities!$A$5:$A$34,0))</f>
        <v>Arab Bank – Qatar</v>
      </c>
      <c r="D485" s="7" t="str">
        <f aca="false">INDEX(Entities!$F$5:$F$34,MATCH(B485,Entities!$A$5:$A$34,0))</f>
        <v>Tier 2</v>
      </c>
      <c r="E485" s="26" t="str">
        <f aca="false">'Control Library'!$A$12</f>
        <v>CTL-STR-01</v>
      </c>
      <c r="F485" s="12" t="str">
        <f aca="false">INDEX('Control Library'!$B$5:$B$47,MATCH(E485,'Control Library'!$A$5:$A$47,0))</f>
        <v>STR decision and filing within regulatory deadline</v>
      </c>
      <c r="G485" s="7" t="str">
        <f aca="false">INDEX('Control Library'!$F$5:$F$47,MATCH(E485,'Control Library'!$A$5:$A$47,0))</f>
        <v>Y</v>
      </c>
      <c r="H485" s="12" t="str">
        <f aca="false">INDEX('Control Library'!$E$5:$E$47,MATCH(E485,'Control Library'!$A$5:$A$47,0))</f>
        <v>Event-driven</v>
      </c>
      <c r="I485" s="7" t="str">
        <f aca="false">IF(INDEX('Control Library'!$I$5:$I$47,MATCH(E485,'Control Library'!$A$5:$A$47,0))="All","Y",IF(INDEX('Control Library'!$I$5:$I$47,MATCH(E485,'Control Library'!$A$5:$A$47,0))="Banks only",IF(COUNTIF('Residual Config'!$L$28:$L$30,INDEX(Entities!$E$5:$E$34,MATCH(B485,Entities!$A$5:$A$34,0)))&gt;0,"N/A","Y"),IF(INDEX(Entities!$G$5:$G$34,MATCH(B485,Entities!$A$5:$A$34,0))="Y","Y","N/A")))</f>
        <v>Y</v>
      </c>
      <c r="J485" s="8" t="s">
        <v>1923</v>
      </c>
      <c r="K485" s="8" t="s">
        <v>1911</v>
      </c>
      <c r="L485" s="7" t="str">
        <f aca="false">IF(OR(J485="",K485=""),"",IF(J485=K485,"Breach","OK"))</f>
        <v>OK</v>
      </c>
      <c r="M485" s="24" t="n">
        <v>2</v>
      </c>
      <c r="N485" s="50" t="n">
        <v>45900</v>
      </c>
      <c r="O485" s="8" t="s">
        <v>545</v>
      </c>
      <c r="P485" s="24" t="n">
        <v>25</v>
      </c>
      <c r="Q485" s="31" t="n">
        <f aca="false">IF(I485="N/A","",IFERROR(INDEX('Residual Config'!$B$35:$B$42,MATCH(H485,'Residual Config'!$A$35:$A$42,0)),""))</f>
        <v>25</v>
      </c>
      <c r="R485" s="24" t="n">
        <v>0</v>
      </c>
      <c r="S485" s="8" t="s">
        <v>516</v>
      </c>
      <c r="T485" s="31" t="n">
        <f aca="false">IF(S485="","",MATCH(S485,'Residual Config'!$L$9:$L$12,0))</f>
        <v>1</v>
      </c>
      <c r="U485" s="8" t="s">
        <v>1928</v>
      </c>
      <c r="V485" s="24" t="n">
        <v>5</v>
      </c>
      <c r="W485" s="33" t="s">
        <v>533</v>
      </c>
      <c r="X485" s="8" t="s">
        <v>754</v>
      </c>
      <c r="Y485" s="51" t="n">
        <f aca="false">IF(N485="","",EDATE(N485,IF(G485="N",INDEX('Residual Config'!$B$31:$D$31,1,MATCH(D485,'Residual Config'!$B$27:$D$27,0)),INDEX('Residual Config'!$B$28:$D$30,IF(T485=1,1,IF(T485=4,3,2)),MATCH(D485,'Residual Config'!$B$27:$D$27,0)))))</f>
        <v>46265</v>
      </c>
      <c r="Z485" s="7" t="str">
        <f aca="false">IF(I485="N/A","N/A",IF(N485="","Not tested",IF(W485="Rejected","Evidence rejected",IF(W485&lt;&gt;"Accepted","Evidence pending",IF(Y485&lt;'Residual Config'!$C$4,"Overdue","Current")))))</f>
        <v>Overdue</v>
      </c>
      <c r="AA485" s="34" t="n">
        <f aca="false">IF(I485="N/A","",IF(Z485&lt;&gt;"Current",4,IF(MAX(M485,T485)=0,4,MAX(M485,T485))))</f>
        <v>4</v>
      </c>
      <c r="AB485" s="7" t="str">
        <f aca="false">IF(AA485="","N/A",IF(Z485&lt;&gt;"Current","Not tested / overdue",INDEX('Residual Config'!$B$11:$B$14,AA485)))</f>
        <v>Not tested / overdue</v>
      </c>
      <c r="AC485" s="36" t="n">
        <f aca="false">IF(AA485="","",INDEX('Residual Config'!$D$11:$D$14,AA485))</f>
        <v>0</v>
      </c>
      <c r="AD485" s="7" t="str">
        <f aca="false">IF(OR(I485="N/A",P485="",Q485=""),"",IF(P485&gt;=Q485,"Yes","No"))</f>
        <v>Yes</v>
      </c>
      <c r="AE485" s="8"/>
    </row>
    <row r="486" customFormat="false" ht="15" hidden="false" customHeight="false" outlineLevel="0" collapsed="false">
      <c r="A486" s="12" t="s">
        <v>1929</v>
      </c>
      <c r="B486" s="26" t="str">
        <f aca="false">Entities!$A$16</f>
        <v>QA</v>
      </c>
      <c r="C486" s="12" t="str">
        <f aca="false">INDEX(Entities!$B$5:$B$34,MATCH(B486,Entities!$A$5:$A$34,0))</f>
        <v>Arab Bank – Qatar</v>
      </c>
      <c r="D486" s="7" t="str">
        <f aca="false">INDEX(Entities!$F$5:$F$34,MATCH(B486,Entities!$A$5:$A$34,0))</f>
        <v>Tier 2</v>
      </c>
      <c r="E486" s="26" t="str">
        <f aca="false">'Control Library'!$A$13</f>
        <v>CTL-SAN-01</v>
      </c>
      <c r="F486" s="12" t="str">
        <f aca="false">INDEX('Control Library'!$B$5:$B$47,MATCH(E486,'Control Library'!$A$5:$A$47,0))</f>
        <v>Real-time payment and transaction sanctions screening</v>
      </c>
      <c r="G486" s="7" t="str">
        <f aca="false">INDEX('Control Library'!$F$5:$F$47,MATCH(E486,'Control Library'!$A$5:$A$47,0))</f>
        <v>Y</v>
      </c>
      <c r="H486" s="12" t="str">
        <f aca="false">INDEX('Control Library'!$E$5:$E$47,MATCH(E486,'Control Library'!$A$5:$A$47,0))</f>
        <v>Continuous</v>
      </c>
      <c r="I486" s="7" t="str">
        <f aca="false">IF(INDEX('Control Library'!$I$5:$I$47,MATCH(E486,'Control Library'!$A$5:$A$47,0))="All","Y",IF(INDEX('Control Library'!$I$5:$I$47,MATCH(E486,'Control Library'!$A$5:$A$47,0))="Banks only",IF(COUNTIF('Residual Config'!$L$28:$L$30,INDEX(Entities!$E$5:$E$34,MATCH(B486,Entities!$A$5:$A$34,0)))&gt;0,"N/A","Y"),IF(INDEX(Entities!$G$5:$G$34,MATCH(B486,Entities!$A$5:$A$34,0))="Y","Y","N/A")))</f>
        <v>Y</v>
      </c>
      <c r="J486" s="8" t="s">
        <v>1930</v>
      </c>
      <c r="K486" s="8" t="s">
        <v>1911</v>
      </c>
      <c r="L486" s="7" t="str">
        <f aca="false">IF(OR(J486="",K486=""),"",IF(J486=K486,"Breach","OK"))</f>
        <v>OK</v>
      </c>
      <c r="M486" s="24" t="n">
        <v>2</v>
      </c>
      <c r="N486" s="50" t="n">
        <v>46211</v>
      </c>
      <c r="O486" s="8" t="s">
        <v>546</v>
      </c>
      <c r="P486" s="24" t="n">
        <v>1</v>
      </c>
      <c r="Q486" s="31" t="n">
        <f aca="false">IF(I486="N/A","",IFERROR(INDEX('Residual Config'!$B$35:$B$42,MATCH(H486,'Residual Config'!$A$35:$A$42,0)),""))</f>
        <v>1</v>
      </c>
      <c r="R486" s="24" t="n">
        <v>0</v>
      </c>
      <c r="S486" s="8" t="s">
        <v>516</v>
      </c>
      <c r="T486" s="31" t="n">
        <f aca="false">IF(S486="","",MATCH(S486,'Residual Config'!$L$9:$L$12,0))</f>
        <v>1</v>
      </c>
      <c r="U486" s="8" t="s">
        <v>1931</v>
      </c>
      <c r="V486" s="24" t="n">
        <v>2</v>
      </c>
      <c r="W486" s="33" t="s">
        <v>533</v>
      </c>
      <c r="X486" s="8" t="s">
        <v>760</v>
      </c>
      <c r="Y486" s="51" t="n">
        <f aca="false">IF(N486="","",EDATE(N486,IF(G486="N",INDEX('Residual Config'!$B$31:$D$31,1,MATCH(D486,'Residual Config'!$B$27:$D$27,0)),INDEX('Residual Config'!$B$28:$D$30,IF(T486=1,1,IF(T486=4,3,2)),MATCH(D486,'Residual Config'!$B$27:$D$27,0)))))</f>
        <v>46576</v>
      </c>
      <c r="Z486" s="7" t="str">
        <f aca="false">IF(I486="N/A","N/A",IF(N486="","Not tested",IF(W486="Rejected","Evidence rejected",IF(W486&lt;&gt;"Accepted","Evidence pending",IF(Y486&lt;'Residual Config'!$C$4,"Overdue","Current")))))</f>
        <v>Current</v>
      </c>
      <c r="AA486" s="34" t="n">
        <f aca="false">IF(I486="N/A","",IF(Z486&lt;&gt;"Current",4,IF(MAX(M486,T486)=0,4,MAX(M486,T486))))</f>
        <v>2</v>
      </c>
      <c r="AB486" s="7" t="str">
        <f aca="false">IF(AA486="","N/A",IF(Z486&lt;&gt;"Current","Not tested / overdue",INDEX('Residual Config'!$B$11:$B$14,AA486)))</f>
        <v>Largely effective</v>
      </c>
      <c r="AC486" s="36" t="n">
        <f aca="false">IF(AA486="","",INDEX('Residual Config'!$D$11:$D$14,AA486))</f>
        <v>0.4</v>
      </c>
      <c r="AD486" s="7" t="str">
        <f aca="false">IF(OR(I486="N/A",P486="",Q486=""),"",IF(P486&gt;=Q486,"Yes","No"))</f>
        <v>Yes</v>
      </c>
      <c r="AE486" s="8"/>
    </row>
    <row r="487" customFormat="false" ht="15" hidden="false" customHeight="false" outlineLevel="0" collapsed="false">
      <c r="A487" s="12" t="s">
        <v>1932</v>
      </c>
      <c r="B487" s="26" t="str">
        <f aca="false">Entities!$A$16</f>
        <v>QA</v>
      </c>
      <c r="C487" s="12" t="str">
        <f aca="false">INDEX(Entities!$B$5:$B$34,MATCH(B487,Entities!$A$5:$A$34,0))</f>
        <v>Arab Bank – Qatar</v>
      </c>
      <c r="D487" s="7" t="str">
        <f aca="false">INDEX(Entities!$F$5:$F$34,MATCH(B487,Entities!$A$5:$A$34,0))</f>
        <v>Tier 2</v>
      </c>
      <c r="E487" s="26" t="str">
        <f aca="false">'Control Library'!$A$14</f>
        <v>CTL-SAN-02</v>
      </c>
      <c r="F487" s="12" t="str">
        <f aca="false">INDEX('Control Library'!$B$5:$B$47,MATCH(E487,'Control Library'!$A$5:$A$47,0))</f>
        <v>Customer and counterparty screening at onboarding and on list change</v>
      </c>
      <c r="G487" s="7" t="str">
        <f aca="false">INDEX('Control Library'!$F$5:$F$47,MATCH(E487,'Control Library'!$A$5:$A$47,0))</f>
        <v>Y</v>
      </c>
      <c r="H487" s="12" t="str">
        <f aca="false">INDEX('Control Library'!$E$5:$E$47,MATCH(E487,'Control Library'!$A$5:$A$47,0))</f>
        <v>Continuous</v>
      </c>
      <c r="I487" s="7" t="str">
        <f aca="false">IF(INDEX('Control Library'!$I$5:$I$47,MATCH(E487,'Control Library'!$A$5:$A$47,0))="All","Y",IF(INDEX('Control Library'!$I$5:$I$47,MATCH(E487,'Control Library'!$A$5:$A$47,0))="Banks only",IF(COUNTIF('Residual Config'!$L$28:$L$30,INDEX(Entities!$E$5:$E$34,MATCH(B487,Entities!$A$5:$A$34,0)))&gt;0,"N/A","Y"),IF(INDEX(Entities!$G$5:$G$34,MATCH(B487,Entities!$A$5:$A$34,0))="Y","Y","N/A")))</f>
        <v>Y</v>
      </c>
      <c r="J487" s="8" t="s">
        <v>1930</v>
      </c>
      <c r="K487" s="8" t="s">
        <v>1911</v>
      </c>
      <c r="L487" s="7" t="str">
        <f aca="false">IF(OR(J487="",K487=""),"",IF(J487=K487,"Breach","OK"))</f>
        <v>OK</v>
      </c>
      <c r="M487" s="24" t="n">
        <v>1</v>
      </c>
      <c r="N487" s="50"/>
      <c r="O487" s="8"/>
      <c r="P487" s="24"/>
      <c r="Q487" s="31" t="n">
        <f aca="false">IF(I487="N/A","",IFERROR(INDEX('Residual Config'!$B$35:$B$42,MATCH(H487,'Residual Config'!$A$35:$A$42,0)),""))</f>
        <v>1</v>
      </c>
      <c r="R487" s="24"/>
      <c r="S487" s="8"/>
      <c r="T487" s="31" t="str">
        <f aca="false">IF(S487="","",MATCH(S487,'Residual Config'!$L$9:$L$12,0))</f>
        <v/>
      </c>
      <c r="U487" s="8"/>
      <c r="V487" s="24"/>
      <c r="W487" s="33"/>
      <c r="X487" s="8"/>
      <c r="Y487" s="51" t="str">
        <f aca="false">IF(N487="","",EDATE(N487,IF(G487="N",INDEX('Residual Config'!$B$31:$D$31,1,MATCH(D487,'Residual Config'!$B$27:$D$27,0)),INDEX('Residual Config'!$B$28:$D$30,IF(T487=1,1,IF(T487=4,3,2)),MATCH(D487,'Residual Config'!$B$27:$D$27,0)))))</f>
        <v/>
      </c>
      <c r="Z487" s="7" t="str">
        <f aca="false">IF(I487="N/A","N/A",IF(N487="","Not tested",IF(W487="Rejected","Evidence rejected",IF(W487&lt;&gt;"Accepted","Evidence pending",IF(Y487&lt;'Residual Config'!$C$4,"Overdue","Current")))))</f>
        <v>Not tested</v>
      </c>
      <c r="AA487" s="34" t="n">
        <f aca="false">IF(I487="N/A","",IF(Z487&lt;&gt;"Current",4,IF(MAX(M487,T487)=0,4,MAX(M487,T487))))</f>
        <v>4</v>
      </c>
      <c r="AB487" s="7" t="str">
        <f aca="false">IF(AA487="","N/A",IF(Z487&lt;&gt;"Current","Not tested / overdue",INDEX('Residual Config'!$B$11:$B$14,AA487)))</f>
        <v>Not tested / overdue</v>
      </c>
      <c r="AC487" s="36" t="n">
        <f aca="false">IF(AA487="","",INDEX('Residual Config'!$D$11:$D$14,AA487))</f>
        <v>0</v>
      </c>
      <c r="AD487" s="7" t="str">
        <f aca="false">IF(OR(I487="N/A",P487="",Q487=""),"",IF(P487&gt;=Q487,"Yes","No"))</f>
        <v/>
      </c>
      <c r="AE487" s="8"/>
    </row>
    <row r="488" customFormat="false" ht="15" hidden="false" customHeight="false" outlineLevel="0" collapsed="false">
      <c r="A488" s="12" t="s">
        <v>1933</v>
      </c>
      <c r="B488" s="26" t="str">
        <f aca="false">Entities!$A$16</f>
        <v>QA</v>
      </c>
      <c r="C488" s="12" t="str">
        <f aca="false">INDEX(Entities!$B$5:$B$34,MATCH(B488,Entities!$A$5:$A$34,0))</f>
        <v>Arab Bank – Qatar</v>
      </c>
      <c r="D488" s="7" t="str">
        <f aca="false">INDEX(Entities!$F$5:$F$34,MATCH(B488,Entities!$A$5:$A$34,0))</f>
        <v>Tier 2</v>
      </c>
      <c r="E488" s="26" t="str">
        <f aca="false">'Control Library'!$A$15</f>
        <v>CTL-SAN-03</v>
      </c>
      <c r="F488" s="12" t="str">
        <f aca="false">INDEX('Control Library'!$B$5:$B$47,MATCH(E488,'Control Library'!$A$5:$A$47,0))</f>
        <v>Sanctions list updates applied within 24 hours</v>
      </c>
      <c r="G488" s="7" t="str">
        <f aca="false">INDEX('Control Library'!$F$5:$F$47,MATCH(E488,'Control Library'!$A$5:$A$47,0))</f>
        <v>N</v>
      </c>
      <c r="H488" s="12" t="str">
        <f aca="false">INDEX('Control Library'!$E$5:$E$47,MATCH(E488,'Control Library'!$A$5:$A$47,0))</f>
        <v>Daily</v>
      </c>
      <c r="I488" s="7" t="str">
        <f aca="false">IF(INDEX('Control Library'!$I$5:$I$47,MATCH(E488,'Control Library'!$A$5:$A$47,0))="All","Y",IF(INDEX('Control Library'!$I$5:$I$47,MATCH(E488,'Control Library'!$A$5:$A$47,0))="Banks only",IF(COUNTIF('Residual Config'!$L$28:$L$30,INDEX(Entities!$E$5:$E$34,MATCH(B488,Entities!$A$5:$A$34,0)))&gt;0,"N/A","Y"),IF(INDEX(Entities!$G$5:$G$34,MATCH(B488,Entities!$A$5:$A$34,0))="Y","Y","N/A")))</f>
        <v>Y</v>
      </c>
      <c r="J488" s="8" t="s">
        <v>1934</v>
      </c>
      <c r="K488" s="8" t="s">
        <v>1911</v>
      </c>
      <c r="L488" s="7" t="str">
        <f aca="false">IF(OR(J488="",K488=""),"",IF(J488=K488,"Breach","OK"))</f>
        <v>OK</v>
      </c>
      <c r="M488" s="24" t="n">
        <v>2</v>
      </c>
      <c r="N488" s="50" t="n">
        <v>46102</v>
      </c>
      <c r="O488" s="8" t="s">
        <v>545</v>
      </c>
      <c r="P488" s="24" t="n">
        <v>25</v>
      </c>
      <c r="Q488" s="31" t="n">
        <f aca="false">IF(I488="N/A","",IFERROR(INDEX('Residual Config'!$B$35:$B$42,MATCH(H488,'Residual Config'!$A$35:$A$42,0)),""))</f>
        <v>25</v>
      </c>
      <c r="R488" s="24" t="n">
        <v>0</v>
      </c>
      <c r="S488" s="8" t="s">
        <v>516</v>
      </c>
      <c r="T488" s="31" t="n">
        <f aca="false">IF(S488="","",MATCH(S488,'Residual Config'!$L$9:$L$12,0))</f>
        <v>1</v>
      </c>
      <c r="U488" s="8" t="s">
        <v>1935</v>
      </c>
      <c r="V488" s="24" t="n">
        <v>2</v>
      </c>
      <c r="W488" s="33" t="s">
        <v>533</v>
      </c>
      <c r="X488" s="8" t="s">
        <v>754</v>
      </c>
      <c r="Y488" s="51" t="n">
        <f aca="false">IF(N488="","",EDATE(N488,IF(G488="N",INDEX('Residual Config'!$B$31:$D$31,1,MATCH(D488,'Residual Config'!$B$27:$D$27,0)),INDEX('Residual Config'!$B$28:$D$30,IF(T488=1,1,IF(T488=4,3,2)),MATCH(D488,'Residual Config'!$B$27:$D$27,0)))))</f>
        <v>46467</v>
      </c>
      <c r="Z488" s="7" t="str">
        <f aca="false">IF(I488="N/A","N/A",IF(N488="","Not tested",IF(W488="Rejected","Evidence rejected",IF(W488&lt;&gt;"Accepted","Evidence pending",IF(Y488&lt;'Residual Config'!$C$4,"Overdue","Current")))))</f>
        <v>Current</v>
      </c>
      <c r="AA488" s="34" t="n">
        <f aca="false">IF(I488="N/A","",IF(Z488&lt;&gt;"Current",4,IF(MAX(M488,T488)=0,4,MAX(M488,T488))))</f>
        <v>2</v>
      </c>
      <c r="AB488" s="7" t="str">
        <f aca="false">IF(AA488="","N/A",IF(Z488&lt;&gt;"Current","Not tested / overdue",INDEX('Residual Config'!$B$11:$B$14,AA488)))</f>
        <v>Largely effective</v>
      </c>
      <c r="AC488" s="36" t="n">
        <f aca="false">IF(AA488="","",INDEX('Residual Config'!$D$11:$D$14,AA488))</f>
        <v>0.4</v>
      </c>
      <c r="AD488" s="7" t="str">
        <f aca="false">IF(OR(I488="N/A",P488="",Q488=""),"",IF(P488&gt;=Q488,"Yes","No"))</f>
        <v>Yes</v>
      </c>
      <c r="AE488" s="8"/>
    </row>
    <row r="489" customFormat="false" ht="15" hidden="false" customHeight="false" outlineLevel="0" collapsed="false">
      <c r="A489" s="12" t="s">
        <v>1936</v>
      </c>
      <c r="B489" s="26" t="str">
        <f aca="false">Entities!$A$16</f>
        <v>QA</v>
      </c>
      <c r="C489" s="12" t="str">
        <f aca="false">INDEX(Entities!$B$5:$B$34,MATCH(B489,Entities!$A$5:$A$34,0))</f>
        <v>Arab Bank – Qatar</v>
      </c>
      <c r="D489" s="7" t="str">
        <f aca="false">INDEX(Entities!$F$5:$F$34,MATCH(B489,Entities!$A$5:$A$34,0))</f>
        <v>Tier 2</v>
      </c>
      <c r="E489" s="26" t="str">
        <f aca="false">'Control Library'!$A$16</f>
        <v>CTL-TF-01</v>
      </c>
      <c r="F489" s="12" t="str">
        <f aca="false">INDEX('Control Library'!$B$5:$B$47,MATCH(E489,'Control Library'!$A$5:$A$47,0))</f>
        <v>NPO and charity enhanced due diligence</v>
      </c>
      <c r="G489" s="7" t="str">
        <f aca="false">INDEX('Control Library'!$F$5:$F$47,MATCH(E489,'Control Library'!$A$5:$A$47,0))</f>
        <v>N</v>
      </c>
      <c r="H489" s="12" t="str">
        <f aca="false">INDEX('Control Library'!$E$5:$E$47,MATCH(E489,'Control Library'!$A$5:$A$47,0))</f>
        <v>Event-driven</v>
      </c>
      <c r="I489" s="7" t="str">
        <f aca="false">IF(INDEX('Control Library'!$I$5:$I$47,MATCH(E489,'Control Library'!$A$5:$A$47,0))="All","Y",IF(INDEX('Control Library'!$I$5:$I$47,MATCH(E489,'Control Library'!$A$5:$A$47,0))="Banks only",IF(COUNTIF('Residual Config'!$L$28:$L$30,INDEX(Entities!$E$5:$E$34,MATCH(B489,Entities!$A$5:$A$34,0)))&gt;0,"N/A","Y"),IF(INDEX(Entities!$G$5:$G$34,MATCH(B489,Entities!$A$5:$A$34,0))="Y","Y","N/A")))</f>
        <v>Y</v>
      </c>
      <c r="J489" s="8" t="s">
        <v>1937</v>
      </c>
      <c r="K489" s="8" t="s">
        <v>1911</v>
      </c>
      <c r="L489" s="7" t="str">
        <f aca="false">IF(OR(J489="",K489=""),"",IF(J489=K489,"Breach","OK"))</f>
        <v>OK</v>
      </c>
      <c r="M489" s="24" t="n">
        <v>1</v>
      </c>
      <c r="N489" s="50" t="n">
        <v>45965</v>
      </c>
      <c r="O489" s="8" t="s">
        <v>545</v>
      </c>
      <c r="P489" s="24" t="n">
        <v>30</v>
      </c>
      <c r="Q489" s="31" t="n">
        <f aca="false">IF(I489="N/A","",IFERROR(INDEX('Residual Config'!$B$35:$B$42,MATCH(H489,'Residual Config'!$A$35:$A$42,0)),""))</f>
        <v>25</v>
      </c>
      <c r="R489" s="24" t="n">
        <v>0</v>
      </c>
      <c r="S489" s="8" t="s">
        <v>516</v>
      </c>
      <c r="T489" s="31" t="n">
        <f aca="false">IF(S489="","",MATCH(S489,'Residual Config'!$L$9:$L$12,0))</f>
        <v>1</v>
      </c>
      <c r="U489" s="8" t="s">
        <v>1938</v>
      </c>
      <c r="V489" s="24" t="n">
        <v>3</v>
      </c>
      <c r="W489" s="33" t="s">
        <v>533</v>
      </c>
      <c r="X489" s="8" t="s">
        <v>760</v>
      </c>
      <c r="Y489" s="51" t="n">
        <f aca="false">IF(N489="","",EDATE(N489,IF(G489="N",INDEX('Residual Config'!$B$31:$D$31,1,MATCH(D489,'Residual Config'!$B$27:$D$27,0)),INDEX('Residual Config'!$B$28:$D$30,IF(T489=1,1,IF(T489=4,3,2)),MATCH(D489,'Residual Config'!$B$27:$D$27,0)))))</f>
        <v>46330</v>
      </c>
      <c r="Z489" s="7" t="str">
        <f aca="false">IF(I489="N/A","N/A",IF(N489="","Not tested",IF(W489="Rejected","Evidence rejected",IF(W489&lt;&gt;"Accepted","Evidence pending",IF(Y489&lt;'Residual Config'!$C$4,"Overdue","Current")))))</f>
        <v>Current</v>
      </c>
      <c r="AA489" s="34" t="n">
        <f aca="false">IF(I489="N/A","",IF(Z489&lt;&gt;"Current",4,IF(MAX(M489,T489)=0,4,MAX(M489,T489))))</f>
        <v>1</v>
      </c>
      <c r="AB489" s="7" t="str">
        <f aca="false">IF(AA489="","N/A",IF(Z489&lt;&gt;"Current","Not tested / overdue",INDEX('Residual Config'!$B$11:$B$14,AA489)))</f>
        <v>Effective</v>
      </c>
      <c r="AC489" s="36" t="n">
        <f aca="false">IF(AA489="","",INDEX('Residual Config'!$D$11:$D$14,AA489))</f>
        <v>0.6</v>
      </c>
      <c r="AD489" s="7" t="str">
        <f aca="false">IF(OR(I489="N/A",P489="",Q489=""),"",IF(P489&gt;=Q489,"Yes","No"))</f>
        <v>Yes</v>
      </c>
      <c r="AE489" s="8"/>
    </row>
    <row r="490" customFormat="false" ht="15" hidden="false" customHeight="false" outlineLevel="0" collapsed="false">
      <c r="A490" s="12" t="s">
        <v>1939</v>
      </c>
      <c r="B490" s="26" t="str">
        <f aca="false">Entities!$A$16</f>
        <v>QA</v>
      </c>
      <c r="C490" s="12" t="str">
        <f aca="false">INDEX(Entities!$B$5:$B$34,MATCH(B490,Entities!$A$5:$A$34,0))</f>
        <v>Arab Bank – Qatar</v>
      </c>
      <c r="D490" s="7" t="str">
        <f aca="false">INDEX(Entities!$F$5:$F$34,MATCH(B490,Entities!$A$5:$A$34,0))</f>
        <v>Tier 2</v>
      </c>
      <c r="E490" s="26" t="str">
        <f aca="false">'Control Library'!$A$17</f>
        <v>CTL-TBML-01</v>
      </c>
      <c r="F490" s="12" t="str">
        <f aca="false">INDEX('Control Library'!$B$5:$B$47,MATCH(E490,'Control Library'!$A$5:$A$47,0))</f>
        <v>Trade-based ML red-flag review and pricing checks</v>
      </c>
      <c r="G490" s="7" t="str">
        <f aca="false">INDEX('Control Library'!$F$5:$F$47,MATCH(E490,'Control Library'!$A$5:$A$47,0))</f>
        <v>Y</v>
      </c>
      <c r="H490" s="12" t="str">
        <f aca="false">INDEX('Control Library'!$E$5:$E$47,MATCH(E490,'Control Library'!$A$5:$A$47,0))</f>
        <v>Event-driven</v>
      </c>
      <c r="I490" s="7" t="str">
        <f aca="false">IF(INDEX('Control Library'!$I$5:$I$47,MATCH(E490,'Control Library'!$A$5:$A$47,0))="All","Y",IF(INDEX('Control Library'!$I$5:$I$47,MATCH(E490,'Control Library'!$A$5:$A$47,0))="Banks only",IF(COUNTIF('Residual Config'!$L$28:$L$30,INDEX(Entities!$E$5:$E$34,MATCH(B490,Entities!$A$5:$A$34,0)))&gt;0,"N/A","Y"),IF(INDEX(Entities!$G$5:$G$34,MATCH(B490,Entities!$A$5:$A$34,0))="Y","Y","N/A")))</f>
        <v>Y</v>
      </c>
      <c r="J490" s="8" t="s">
        <v>1940</v>
      </c>
      <c r="K490" s="8" t="s">
        <v>1911</v>
      </c>
      <c r="L490" s="7" t="str">
        <f aca="false">IF(OR(J490="",K490=""),"",IF(J490=K490,"Breach","OK"))</f>
        <v>OK</v>
      </c>
      <c r="M490" s="24" t="n">
        <v>2</v>
      </c>
      <c r="N490" s="50" t="n">
        <v>46096</v>
      </c>
      <c r="O490" s="8" t="s">
        <v>546</v>
      </c>
      <c r="P490" s="24" t="n">
        <v>25</v>
      </c>
      <c r="Q490" s="31" t="n">
        <f aca="false">IF(I490="N/A","",IFERROR(INDEX('Residual Config'!$B$35:$B$42,MATCH(H490,'Residual Config'!$A$35:$A$42,0)),""))</f>
        <v>25</v>
      </c>
      <c r="R490" s="24" t="n">
        <v>0</v>
      </c>
      <c r="S490" s="8" t="s">
        <v>516</v>
      </c>
      <c r="T490" s="31" t="n">
        <f aca="false">IF(S490="","",MATCH(S490,'Residual Config'!$L$9:$L$12,0))</f>
        <v>1</v>
      </c>
      <c r="U490" s="8" t="s">
        <v>1941</v>
      </c>
      <c r="V490" s="24" t="n">
        <v>1</v>
      </c>
      <c r="W490" s="33" t="s">
        <v>533</v>
      </c>
      <c r="X490" s="8" t="s">
        <v>754</v>
      </c>
      <c r="Y490" s="51" t="n">
        <f aca="false">IF(N490="","",EDATE(N490,IF(G490="N",INDEX('Residual Config'!$B$31:$D$31,1,MATCH(D490,'Residual Config'!$B$27:$D$27,0)),INDEX('Residual Config'!$B$28:$D$30,IF(T490=1,1,IF(T490=4,3,2)),MATCH(D490,'Residual Config'!$B$27:$D$27,0)))))</f>
        <v>46461</v>
      </c>
      <c r="Z490" s="7" t="str">
        <f aca="false">IF(I490="N/A","N/A",IF(N490="","Not tested",IF(W490="Rejected","Evidence rejected",IF(W490&lt;&gt;"Accepted","Evidence pending",IF(Y490&lt;'Residual Config'!$C$4,"Overdue","Current")))))</f>
        <v>Current</v>
      </c>
      <c r="AA490" s="34" t="n">
        <f aca="false">IF(I490="N/A","",IF(Z490&lt;&gt;"Current",4,IF(MAX(M490,T490)=0,4,MAX(M490,T490))))</f>
        <v>2</v>
      </c>
      <c r="AB490" s="7" t="str">
        <f aca="false">IF(AA490="","N/A",IF(Z490&lt;&gt;"Current","Not tested / overdue",INDEX('Residual Config'!$B$11:$B$14,AA490)))</f>
        <v>Largely effective</v>
      </c>
      <c r="AC490" s="36" t="n">
        <f aca="false">IF(AA490="","",INDEX('Residual Config'!$D$11:$D$14,AA490))</f>
        <v>0.4</v>
      </c>
      <c r="AD490" s="7" t="str">
        <f aca="false">IF(OR(I490="N/A",P490="",Q490=""),"",IF(P490&gt;=Q490,"Yes","No"))</f>
        <v>Yes</v>
      </c>
      <c r="AE490" s="8"/>
    </row>
    <row r="491" customFormat="false" ht="15" hidden="false" customHeight="false" outlineLevel="0" collapsed="false">
      <c r="A491" s="12" t="s">
        <v>1942</v>
      </c>
      <c r="B491" s="26" t="str">
        <f aca="false">Entities!$A$16</f>
        <v>QA</v>
      </c>
      <c r="C491" s="12" t="str">
        <f aca="false">INDEX(Entities!$B$5:$B$34,MATCH(B491,Entities!$A$5:$A$34,0))</f>
        <v>Arab Bank – Qatar</v>
      </c>
      <c r="D491" s="7" t="str">
        <f aca="false">INDEX(Entities!$F$5:$F$34,MATCH(B491,Entities!$A$5:$A$34,0))</f>
        <v>Tier 2</v>
      </c>
      <c r="E491" s="26" t="str">
        <f aca="false">'Control Library'!$A$18</f>
        <v>CTL-PF-01</v>
      </c>
      <c r="F491" s="12" t="str">
        <f aca="false">INDEX('Control Library'!$B$5:$B$47,MATCH(E491,'Control Library'!$A$5:$A$47,0))</f>
        <v>Dual-use goods, vessel and port screening</v>
      </c>
      <c r="G491" s="7" t="str">
        <f aca="false">INDEX('Control Library'!$F$5:$F$47,MATCH(E491,'Control Library'!$A$5:$A$47,0))</f>
        <v>Y</v>
      </c>
      <c r="H491" s="12" t="str">
        <f aca="false">INDEX('Control Library'!$E$5:$E$47,MATCH(E491,'Control Library'!$A$5:$A$47,0))</f>
        <v>Event-driven</v>
      </c>
      <c r="I491" s="7" t="str">
        <f aca="false">IF(INDEX('Control Library'!$I$5:$I$47,MATCH(E491,'Control Library'!$A$5:$A$47,0))="All","Y",IF(INDEX('Control Library'!$I$5:$I$47,MATCH(E491,'Control Library'!$A$5:$A$47,0))="Banks only",IF(COUNTIF('Residual Config'!$L$28:$L$30,INDEX(Entities!$E$5:$E$34,MATCH(B491,Entities!$A$5:$A$34,0)))&gt;0,"N/A","Y"),IF(INDEX(Entities!$G$5:$G$34,MATCH(B491,Entities!$A$5:$A$34,0))="Y","Y","N/A")))</f>
        <v>Y</v>
      </c>
      <c r="J491" s="8" t="s">
        <v>1940</v>
      </c>
      <c r="K491" s="8" t="s">
        <v>1911</v>
      </c>
      <c r="L491" s="7" t="str">
        <f aca="false">IF(OR(J491="",K491=""),"",IF(J491=K491,"Breach","OK"))</f>
        <v>OK</v>
      </c>
      <c r="M491" s="24" t="n">
        <v>2</v>
      </c>
      <c r="N491" s="50"/>
      <c r="O491" s="8"/>
      <c r="P491" s="24"/>
      <c r="Q491" s="31" t="n">
        <f aca="false">IF(I491="N/A","",IFERROR(INDEX('Residual Config'!$B$35:$B$42,MATCH(H491,'Residual Config'!$A$35:$A$42,0)),""))</f>
        <v>25</v>
      </c>
      <c r="R491" s="24"/>
      <c r="S491" s="8"/>
      <c r="T491" s="31" t="str">
        <f aca="false">IF(S491="","",MATCH(S491,'Residual Config'!$L$9:$L$12,0))</f>
        <v/>
      </c>
      <c r="U491" s="8"/>
      <c r="V491" s="24"/>
      <c r="W491" s="33"/>
      <c r="X491" s="8"/>
      <c r="Y491" s="51" t="str">
        <f aca="false">IF(N491="","",EDATE(N491,IF(G491="N",INDEX('Residual Config'!$B$31:$D$31,1,MATCH(D491,'Residual Config'!$B$27:$D$27,0)),INDEX('Residual Config'!$B$28:$D$30,IF(T491=1,1,IF(T491=4,3,2)),MATCH(D491,'Residual Config'!$B$27:$D$27,0)))))</f>
        <v/>
      </c>
      <c r="Z491" s="7" t="str">
        <f aca="false">IF(I491="N/A","N/A",IF(N491="","Not tested",IF(W491="Rejected","Evidence rejected",IF(W491&lt;&gt;"Accepted","Evidence pending",IF(Y491&lt;'Residual Config'!$C$4,"Overdue","Current")))))</f>
        <v>Not tested</v>
      </c>
      <c r="AA491" s="34" t="n">
        <f aca="false">IF(I491="N/A","",IF(Z491&lt;&gt;"Current",4,IF(MAX(M491,T491)=0,4,MAX(M491,T491))))</f>
        <v>4</v>
      </c>
      <c r="AB491" s="7" t="str">
        <f aca="false">IF(AA491="","N/A",IF(Z491&lt;&gt;"Current","Not tested / overdue",INDEX('Residual Config'!$B$11:$B$14,AA491)))</f>
        <v>Not tested / overdue</v>
      </c>
      <c r="AC491" s="36" t="n">
        <f aca="false">IF(AA491="","",INDEX('Residual Config'!$D$11:$D$14,AA491))</f>
        <v>0</v>
      </c>
      <c r="AD491" s="7" t="str">
        <f aca="false">IF(OR(I491="N/A",P491="",Q491=""),"",IF(P491&gt;=Q491,"Yes","No"))</f>
        <v/>
      </c>
      <c r="AE491" s="8"/>
    </row>
    <row r="492" customFormat="false" ht="15" hidden="false" customHeight="false" outlineLevel="0" collapsed="false">
      <c r="A492" s="12" t="s">
        <v>1943</v>
      </c>
      <c r="B492" s="26" t="str">
        <f aca="false">Entities!$A$16</f>
        <v>QA</v>
      </c>
      <c r="C492" s="12" t="str">
        <f aca="false">INDEX(Entities!$B$5:$B$34,MATCH(B492,Entities!$A$5:$A$34,0))</f>
        <v>Arab Bank – Qatar</v>
      </c>
      <c r="D492" s="7" t="str">
        <f aca="false">INDEX(Entities!$F$5:$F$34,MATCH(B492,Entities!$A$5:$A$34,0))</f>
        <v>Tier 2</v>
      </c>
      <c r="E492" s="26" t="str">
        <f aca="false">'Control Library'!$A$19</f>
        <v>CTL-CB-01</v>
      </c>
      <c r="F492" s="12" t="str">
        <f aca="false">INDEX('Control Library'!$B$5:$B$47,MATCH(E492,'Control Library'!$A$5:$A$47,0))</f>
        <v>Correspondent bank due diligence (CBDDQ) and nesting detection</v>
      </c>
      <c r="G492" s="7" t="str">
        <f aca="false">INDEX('Control Library'!$F$5:$F$47,MATCH(E492,'Control Library'!$A$5:$A$47,0))</f>
        <v>Y</v>
      </c>
      <c r="H492" s="12" t="str">
        <f aca="false">INDEX('Control Library'!$E$5:$E$47,MATCH(E492,'Control Library'!$A$5:$A$47,0))</f>
        <v>Annual</v>
      </c>
      <c r="I492" s="7" t="str">
        <f aca="false">IF(INDEX('Control Library'!$I$5:$I$47,MATCH(E492,'Control Library'!$A$5:$A$47,0))="All","Y",IF(INDEX('Control Library'!$I$5:$I$47,MATCH(E492,'Control Library'!$A$5:$A$47,0))="Banks only",IF(COUNTIF('Residual Config'!$L$28:$L$30,INDEX(Entities!$E$5:$E$34,MATCH(B492,Entities!$A$5:$A$34,0)))&gt;0,"N/A","Y"),IF(INDEX(Entities!$G$5:$G$34,MATCH(B492,Entities!$A$5:$A$34,0))="Y","Y","N/A")))</f>
        <v>Y</v>
      </c>
      <c r="J492" s="8" t="s">
        <v>1944</v>
      </c>
      <c r="K492" s="8" t="s">
        <v>1911</v>
      </c>
      <c r="L492" s="7" t="str">
        <f aca="false">IF(OR(J492="",K492=""),"",IF(J492=K492,"Breach","OK"))</f>
        <v>OK</v>
      </c>
      <c r="M492" s="24" t="n">
        <v>1</v>
      </c>
      <c r="N492" s="50" t="n">
        <v>45985</v>
      </c>
      <c r="O492" s="8" t="s">
        <v>545</v>
      </c>
      <c r="P492" s="24" t="n">
        <v>1</v>
      </c>
      <c r="Q492" s="31" t="n">
        <f aca="false">IF(I492="N/A","",IFERROR(INDEX('Residual Config'!$B$35:$B$42,MATCH(H492,'Residual Config'!$A$35:$A$42,0)),""))</f>
        <v>1</v>
      </c>
      <c r="R492" s="24" t="n">
        <v>0</v>
      </c>
      <c r="S492" s="8" t="s">
        <v>516</v>
      </c>
      <c r="T492" s="31" t="n">
        <f aca="false">IF(S492="","",MATCH(S492,'Residual Config'!$L$9:$L$12,0))</f>
        <v>1</v>
      </c>
      <c r="U492" s="8" t="s">
        <v>1945</v>
      </c>
      <c r="V492" s="24" t="n">
        <v>5</v>
      </c>
      <c r="W492" s="33" t="s">
        <v>533</v>
      </c>
      <c r="X492" s="8" t="s">
        <v>754</v>
      </c>
      <c r="Y492" s="51" t="n">
        <f aca="false">IF(N492="","",EDATE(N492,IF(G492="N",INDEX('Residual Config'!$B$31:$D$31,1,MATCH(D492,'Residual Config'!$B$27:$D$27,0)),INDEX('Residual Config'!$B$28:$D$30,IF(T492=1,1,IF(T492=4,3,2)),MATCH(D492,'Residual Config'!$B$27:$D$27,0)))))</f>
        <v>46350</v>
      </c>
      <c r="Z492" s="7" t="str">
        <f aca="false">IF(I492="N/A","N/A",IF(N492="","Not tested",IF(W492="Rejected","Evidence rejected",IF(W492&lt;&gt;"Accepted","Evidence pending",IF(Y492&lt;'Residual Config'!$C$4,"Overdue","Current")))))</f>
        <v>Current</v>
      </c>
      <c r="AA492" s="34" t="n">
        <f aca="false">IF(I492="N/A","",IF(Z492&lt;&gt;"Current",4,IF(MAX(M492,T492)=0,4,MAX(M492,T492))))</f>
        <v>1</v>
      </c>
      <c r="AB492" s="7" t="str">
        <f aca="false">IF(AA492="","N/A",IF(Z492&lt;&gt;"Current","Not tested / overdue",INDEX('Residual Config'!$B$11:$B$14,AA492)))</f>
        <v>Effective</v>
      </c>
      <c r="AC492" s="36" t="n">
        <f aca="false">IF(AA492="","",INDEX('Residual Config'!$D$11:$D$14,AA492))</f>
        <v>0.6</v>
      </c>
      <c r="AD492" s="7" t="str">
        <f aca="false">IF(OR(I492="N/A",P492="",Q492=""),"",IF(P492&gt;=Q492,"Yes","No"))</f>
        <v>Yes</v>
      </c>
      <c r="AE492" s="8"/>
    </row>
    <row r="493" customFormat="false" ht="15" hidden="false" customHeight="false" outlineLevel="0" collapsed="false">
      <c r="A493" s="12" t="s">
        <v>1946</v>
      </c>
      <c r="B493" s="26" t="str">
        <f aca="false">Entities!$A$16</f>
        <v>QA</v>
      </c>
      <c r="C493" s="12" t="str">
        <f aca="false">INDEX(Entities!$B$5:$B$34,MATCH(B493,Entities!$A$5:$A$34,0))</f>
        <v>Arab Bank – Qatar</v>
      </c>
      <c r="D493" s="7" t="str">
        <f aca="false">INDEX(Entities!$F$5:$F$34,MATCH(B493,Entities!$A$5:$A$34,0))</f>
        <v>Tier 2</v>
      </c>
      <c r="E493" s="26" t="str">
        <f aca="false">'Control Library'!$A$20</f>
        <v>CTL-PAY-01</v>
      </c>
      <c r="F493" s="12" t="str">
        <f aca="false">INDEX('Control Library'!$B$5:$B$47,MATCH(E493,'Control Library'!$A$5:$A$47,0))</f>
        <v>Payment transparency checks (FATF R.16)</v>
      </c>
      <c r="G493" s="7" t="str">
        <f aca="false">INDEX('Control Library'!$F$5:$F$47,MATCH(E493,'Control Library'!$A$5:$A$47,0))</f>
        <v>N</v>
      </c>
      <c r="H493" s="12" t="str">
        <f aca="false">INDEX('Control Library'!$E$5:$E$47,MATCH(E493,'Control Library'!$A$5:$A$47,0))</f>
        <v>Continuous</v>
      </c>
      <c r="I493" s="7" t="str">
        <f aca="false">IF(INDEX('Control Library'!$I$5:$I$47,MATCH(E493,'Control Library'!$A$5:$A$47,0))="All","Y",IF(INDEX('Control Library'!$I$5:$I$47,MATCH(E493,'Control Library'!$A$5:$A$47,0))="Banks only",IF(COUNTIF('Residual Config'!$L$28:$L$30,INDEX(Entities!$E$5:$E$34,MATCH(B493,Entities!$A$5:$A$34,0)))&gt;0,"N/A","Y"),IF(INDEX(Entities!$G$5:$G$34,MATCH(B493,Entities!$A$5:$A$34,0))="Y","Y","N/A")))</f>
        <v>Y</v>
      </c>
      <c r="J493" s="8" t="s">
        <v>1947</v>
      </c>
      <c r="K493" s="8" t="s">
        <v>1911</v>
      </c>
      <c r="L493" s="7" t="str">
        <f aca="false">IF(OR(J493="",K493=""),"",IF(J493=K493,"Breach","OK"))</f>
        <v>OK</v>
      </c>
      <c r="M493" s="24" t="n">
        <v>1</v>
      </c>
      <c r="N493" s="50" t="n">
        <v>45979</v>
      </c>
      <c r="O493" s="8" t="s">
        <v>547</v>
      </c>
      <c r="P493" s="24" t="n">
        <v>1</v>
      </c>
      <c r="Q493" s="31" t="n">
        <f aca="false">IF(I493="N/A","",IFERROR(INDEX('Residual Config'!$B$35:$B$42,MATCH(H493,'Residual Config'!$A$35:$A$42,0)),""))</f>
        <v>1</v>
      </c>
      <c r="R493" s="24" t="n">
        <v>1</v>
      </c>
      <c r="S493" s="8" t="s">
        <v>521</v>
      </c>
      <c r="T493" s="31" t="n">
        <f aca="false">IF(S493="","",MATCH(S493,'Residual Config'!$L$9:$L$12,0))</f>
        <v>2</v>
      </c>
      <c r="U493" s="8" t="s">
        <v>1948</v>
      </c>
      <c r="V493" s="24" t="n">
        <v>5</v>
      </c>
      <c r="W493" s="33" t="s">
        <v>533</v>
      </c>
      <c r="X493" s="8" t="s">
        <v>760</v>
      </c>
      <c r="Y493" s="51" t="n">
        <f aca="false">IF(N493="","",EDATE(N493,IF(G493="N",INDEX('Residual Config'!$B$31:$D$31,1,MATCH(D493,'Residual Config'!$B$27:$D$27,0)),INDEX('Residual Config'!$B$28:$D$30,IF(T493=1,1,IF(T493=4,3,2)),MATCH(D493,'Residual Config'!$B$27:$D$27,0)))))</f>
        <v>46344</v>
      </c>
      <c r="Z493" s="7" t="str">
        <f aca="false">IF(I493="N/A","N/A",IF(N493="","Not tested",IF(W493="Rejected","Evidence rejected",IF(W493&lt;&gt;"Accepted","Evidence pending",IF(Y493&lt;'Residual Config'!$C$4,"Overdue","Current")))))</f>
        <v>Current</v>
      </c>
      <c r="AA493" s="34" t="n">
        <f aca="false">IF(I493="N/A","",IF(Z493&lt;&gt;"Current",4,IF(MAX(M493,T493)=0,4,MAX(M493,T493))))</f>
        <v>2</v>
      </c>
      <c r="AB493" s="7" t="str">
        <f aca="false">IF(AA493="","N/A",IF(Z493&lt;&gt;"Current","Not tested / overdue",INDEX('Residual Config'!$B$11:$B$14,AA493)))</f>
        <v>Largely effective</v>
      </c>
      <c r="AC493" s="36" t="n">
        <f aca="false">IF(AA493="","",INDEX('Residual Config'!$D$11:$D$14,AA493))</f>
        <v>0.4</v>
      </c>
      <c r="AD493" s="7" t="str">
        <f aca="false">IF(OR(I493="N/A",P493="",Q493=""),"",IF(P493&gt;=Q493,"Yes","No"))</f>
        <v>Yes</v>
      </c>
      <c r="AE493" s="8"/>
    </row>
    <row r="494" customFormat="false" ht="15" hidden="false" customHeight="false" outlineLevel="0" collapsed="false">
      <c r="A494" s="12" t="s">
        <v>1949</v>
      </c>
      <c r="B494" s="26" t="str">
        <f aca="false">Entities!$A$16</f>
        <v>QA</v>
      </c>
      <c r="C494" s="12" t="str">
        <f aca="false">INDEX(Entities!$B$5:$B$34,MATCH(B494,Entities!$A$5:$A$34,0))</f>
        <v>Arab Bank – Qatar</v>
      </c>
      <c r="D494" s="7" t="str">
        <f aca="false">INDEX(Entities!$F$5:$F$34,MATCH(B494,Entities!$A$5:$A$34,0))</f>
        <v>Tier 2</v>
      </c>
      <c r="E494" s="26" t="str">
        <f aca="false">'Control Library'!$A$21</f>
        <v>CTL-ABC-01</v>
      </c>
      <c r="F494" s="12" t="str">
        <f aca="false">INDEX('Control Library'!$B$5:$B$47,MATCH(E494,'Control Library'!$A$5:$A$47,0))</f>
        <v>Third-party and intermediary anti-bribery due diligence</v>
      </c>
      <c r="G494" s="7" t="str">
        <f aca="false">INDEX('Control Library'!$F$5:$F$47,MATCH(E494,'Control Library'!$A$5:$A$47,0))</f>
        <v>Y</v>
      </c>
      <c r="H494" s="12" t="str">
        <f aca="false">INDEX('Control Library'!$E$5:$E$47,MATCH(E494,'Control Library'!$A$5:$A$47,0))</f>
        <v>Event-driven</v>
      </c>
      <c r="I494" s="7" t="str">
        <f aca="false">IF(INDEX('Control Library'!$I$5:$I$47,MATCH(E494,'Control Library'!$A$5:$A$47,0))="All","Y",IF(INDEX('Control Library'!$I$5:$I$47,MATCH(E494,'Control Library'!$A$5:$A$47,0))="Banks only",IF(COUNTIF('Residual Config'!$L$28:$L$30,INDEX(Entities!$E$5:$E$34,MATCH(B494,Entities!$A$5:$A$34,0)))&gt;0,"N/A","Y"),IF(INDEX(Entities!$G$5:$G$34,MATCH(B494,Entities!$A$5:$A$34,0))="Y","Y","N/A")))</f>
        <v>Y</v>
      </c>
      <c r="J494" s="8" t="s">
        <v>1950</v>
      </c>
      <c r="K494" s="8" t="s">
        <v>1911</v>
      </c>
      <c r="L494" s="7" t="str">
        <f aca="false">IF(OR(J494="",K494=""),"",IF(J494=K494,"Breach","OK"))</f>
        <v>OK</v>
      </c>
      <c r="M494" s="24" t="n">
        <v>1</v>
      </c>
      <c r="N494" s="50" t="n">
        <v>46187</v>
      </c>
      <c r="O494" s="8" t="s">
        <v>545</v>
      </c>
      <c r="P494" s="24" t="n">
        <v>25</v>
      </c>
      <c r="Q494" s="31" t="n">
        <f aca="false">IF(I494="N/A","",IFERROR(INDEX('Residual Config'!$B$35:$B$42,MATCH(H494,'Residual Config'!$A$35:$A$42,0)),""))</f>
        <v>25</v>
      </c>
      <c r="R494" s="24" t="n">
        <v>1</v>
      </c>
      <c r="S494" s="8" t="s">
        <v>521</v>
      </c>
      <c r="T494" s="31" t="n">
        <f aca="false">IF(S494="","",MATCH(S494,'Residual Config'!$L$9:$L$12,0))</f>
        <v>2</v>
      </c>
      <c r="U494" s="8" t="s">
        <v>1951</v>
      </c>
      <c r="V494" s="24" t="n">
        <v>2</v>
      </c>
      <c r="W494" s="33" t="s">
        <v>533</v>
      </c>
      <c r="X494" s="8" t="s">
        <v>760</v>
      </c>
      <c r="Y494" s="51" t="n">
        <f aca="false">IF(N494="","",EDATE(N494,IF(G494="N",INDEX('Residual Config'!$B$31:$D$31,1,MATCH(D494,'Residual Config'!$B$27:$D$27,0)),INDEX('Residual Config'!$B$28:$D$30,IF(T494=1,1,IF(T494=4,3,2)),MATCH(D494,'Residual Config'!$B$27:$D$27,0)))))</f>
        <v>46370</v>
      </c>
      <c r="Z494" s="7" t="str">
        <f aca="false">IF(I494="N/A","N/A",IF(N494="","Not tested",IF(W494="Rejected","Evidence rejected",IF(W494&lt;&gt;"Accepted","Evidence pending",IF(Y494&lt;'Residual Config'!$C$4,"Overdue","Current")))))</f>
        <v>Current</v>
      </c>
      <c r="AA494" s="34" t="n">
        <f aca="false">IF(I494="N/A","",IF(Z494&lt;&gt;"Current",4,IF(MAX(M494,T494)=0,4,MAX(M494,T494))))</f>
        <v>2</v>
      </c>
      <c r="AB494" s="7" t="str">
        <f aca="false">IF(AA494="","N/A",IF(Z494&lt;&gt;"Current","Not tested / overdue",INDEX('Residual Config'!$B$11:$B$14,AA494)))</f>
        <v>Largely effective</v>
      </c>
      <c r="AC494" s="36" t="n">
        <f aca="false">IF(AA494="","",INDEX('Residual Config'!$D$11:$D$14,AA494))</f>
        <v>0.4</v>
      </c>
      <c r="AD494" s="7" t="str">
        <f aca="false">IF(OR(I494="N/A",P494="",Q494=""),"",IF(P494&gt;=Q494,"Yes","No"))</f>
        <v>Yes</v>
      </c>
      <c r="AE494" s="8"/>
    </row>
    <row r="495" customFormat="false" ht="15" hidden="false" customHeight="false" outlineLevel="0" collapsed="false">
      <c r="A495" s="12" t="s">
        <v>1952</v>
      </c>
      <c r="B495" s="26" t="str">
        <f aca="false">Entities!$A$16</f>
        <v>QA</v>
      </c>
      <c r="C495" s="12" t="str">
        <f aca="false">INDEX(Entities!$B$5:$B$34,MATCH(B495,Entities!$A$5:$A$34,0))</f>
        <v>Arab Bank – Qatar</v>
      </c>
      <c r="D495" s="7" t="str">
        <f aca="false">INDEX(Entities!$F$5:$F$34,MATCH(B495,Entities!$A$5:$A$34,0))</f>
        <v>Tier 2</v>
      </c>
      <c r="E495" s="26" t="str">
        <f aca="false">'Control Library'!$A$22</f>
        <v>CTL-ABC-02</v>
      </c>
      <c r="F495" s="12" t="str">
        <f aca="false">INDEX('Control Library'!$B$5:$B$47,MATCH(E495,'Control Library'!$A$5:$A$47,0))</f>
        <v>Gifts, hospitality and donations register with pre-approval</v>
      </c>
      <c r="G495" s="7" t="str">
        <f aca="false">INDEX('Control Library'!$F$5:$F$47,MATCH(E495,'Control Library'!$A$5:$A$47,0))</f>
        <v>N</v>
      </c>
      <c r="H495" s="12" t="str">
        <f aca="false">INDEX('Control Library'!$E$5:$E$47,MATCH(E495,'Control Library'!$A$5:$A$47,0))</f>
        <v>Event-driven</v>
      </c>
      <c r="I495" s="7" t="str">
        <f aca="false">IF(INDEX('Control Library'!$I$5:$I$47,MATCH(E495,'Control Library'!$A$5:$A$47,0))="All","Y",IF(INDEX('Control Library'!$I$5:$I$47,MATCH(E495,'Control Library'!$A$5:$A$47,0))="Banks only",IF(COUNTIF('Residual Config'!$L$28:$L$30,INDEX(Entities!$E$5:$E$34,MATCH(B495,Entities!$A$5:$A$34,0)))&gt;0,"N/A","Y"),IF(INDEX(Entities!$G$5:$G$34,MATCH(B495,Entities!$A$5:$A$34,0))="Y","Y","N/A")))</f>
        <v>Y</v>
      </c>
      <c r="J495" s="8" t="s">
        <v>1914</v>
      </c>
      <c r="K495" s="8" t="s">
        <v>1911</v>
      </c>
      <c r="L495" s="7" t="str">
        <f aca="false">IF(OR(J495="",K495=""),"",IF(J495=K495,"Breach","OK"))</f>
        <v>OK</v>
      </c>
      <c r="M495" s="24" t="n">
        <v>1</v>
      </c>
      <c r="N495" s="50" t="n">
        <v>46221</v>
      </c>
      <c r="O495" s="8" t="s">
        <v>545</v>
      </c>
      <c r="P495" s="24" t="n">
        <v>30</v>
      </c>
      <c r="Q495" s="31" t="n">
        <f aca="false">IF(I495="N/A","",IFERROR(INDEX('Residual Config'!$B$35:$B$42,MATCH(H495,'Residual Config'!$A$35:$A$42,0)),""))</f>
        <v>25</v>
      </c>
      <c r="R495" s="24" t="n">
        <v>0</v>
      </c>
      <c r="S495" s="8" t="s">
        <v>516</v>
      </c>
      <c r="T495" s="31" t="n">
        <f aca="false">IF(S495="","",MATCH(S495,'Residual Config'!$L$9:$L$12,0))</f>
        <v>1</v>
      </c>
      <c r="U495" s="8" t="s">
        <v>1953</v>
      </c>
      <c r="V495" s="24" t="n">
        <v>1</v>
      </c>
      <c r="W495" s="33" t="s">
        <v>533</v>
      </c>
      <c r="X495" s="8" t="s">
        <v>754</v>
      </c>
      <c r="Y495" s="51" t="n">
        <f aca="false">IF(N495="","",EDATE(N495,IF(G495="N",INDEX('Residual Config'!$B$31:$D$31,1,MATCH(D495,'Residual Config'!$B$27:$D$27,0)),INDEX('Residual Config'!$B$28:$D$30,IF(T495=1,1,IF(T495=4,3,2)),MATCH(D495,'Residual Config'!$B$27:$D$27,0)))))</f>
        <v>46586</v>
      </c>
      <c r="Z495" s="7" t="str">
        <f aca="false">IF(I495="N/A","N/A",IF(N495="","Not tested",IF(W495="Rejected","Evidence rejected",IF(W495&lt;&gt;"Accepted","Evidence pending",IF(Y495&lt;'Residual Config'!$C$4,"Overdue","Current")))))</f>
        <v>Current</v>
      </c>
      <c r="AA495" s="34" t="n">
        <f aca="false">IF(I495="N/A","",IF(Z495&lt;&gt;"Current",4,IF(MAX(M495,T495)=0,4,MAX(M495,T495))))</f>
        <v>1</v>
      </c>
      <c r="AB495" s="7" t="str">
        <f aca="false">IF(AA495="","N/A",IF(Z495&lt;&gt;"Current","Not tested / overdue",INDEX('Residual Config'!$B$11:$B$14,AA495)))</f>
        <v>Effective</v>
      </c>
      <c r="AC495" s="36" t="n">
        <f aca="false">IF(AA495="","",INDEX('Residual Config'!$D$11:$D$14,AA495))</f>
        <v>0.6</v>
      </c>
      <c r="AD495" s="7" t="str">
        <f aca="false">IF(OR(I495="N/A",P495="",Q495=""),"",IF(P495&gt;=Q495,"Yes","No"))</f>
        <v>Yes</v>
      </c>
      <c r="AE495" s="8"/>
    </row>
    <row r="496" customFormat="false" ht="15" hidden="false" customHeight="false" outlineLevel="0" collapsed="false">
      <c r="A496" s="12" t="s">
        <v>1954</v>
      </c>
      <c r="B496" s="26" t="str">
        <f aca="false">Entities!$A$16</f>
        <v>QA</v>
      </c>
      <c r="C496" s="12" t="str">
        <f aca="false">INDEX(Entities!$B$5:$B$34,MATCH(B496,Entities!$A$5:$A$34,0))</f>
        <v>Arab Bank – Qatar</v>
      </c>
      <c r="D496" s="7" t="str">
        <f aca="false">INDEX(Entities!$F$5:$F$34,MATCH(B496,Entities!$A$5:$A$34,0))</f>
        <v>Tier 2</v>
      </c>
      <c r="E496" s="26" t="str">
        <f aca="false">'Control Library'!$A$23</f>
        <v>CTL-FRD-01</v>
      </c>
      <c r="F496" s="12" t="str">
        <f aca="false">INDEX('Control Library'!$B$5:$B$47,MATCH(E496,'Control Library'!$A$5:$A$47,0))</f>
        <v>Real-time fraud monitoring for cards and digital channels</v>
      </c>
      <c r="G496" s="7" t="str">
        <f aca="false">INDEX('Control Library'!$F$5:$F$47,MATCH(E496,'Control Library'!$A$5:$A$47,0))</f>
        <v>Y</v>
      </c>
      <c r="H496" s="12" t="str">
        <f aca="false">INDEX('Control Library'!$E$5:$E$47,MATCH(E496,'Control Library'!$A$5:$A$47,0))</f>
        <v>Continuous</v>
      </c>
      <c r="I496" s="7" t="str">
        <f aca="false">IF(INDEX('Control Library'!$I$5:$I$47,MATCH(E496,'Control Library'!$A$5:$A$47,0))="All","Y",IF(INDEX('Control Library'!$I$5:$I$47,MATCH(E496,'Control Library'!$A$5:$A$47,0))="Banks only",IF(COUNTIF('Residual Config'!$L$28:$L$30,INDEX(Entities!$E$5:$E$34,MATCH(B496,Entities!$A$5:$A$34,0)))&gt;0,"N/A","Y"),IF(INDEX(Entities!$G$5:$G$34,MATCH(B496,Entities!$A$5:$A$34,0))="Y","Y","N/A")))</f>
        <v>Y</v>
      </c>
      <c r="J496" s="8" t="s">
        <v>1955</v>
      </c>
      <c r="K496" s="8" t="s">
        <v>1911</v>
      </c>
      <c r="L496" s="7" t="str">
        <f aca="false">IF(OR(J496="",K496=""),"",IF(J496=K496,"Breach","OK"))</f>
        <v>OK</v>
      </c>
      <c r="M496" s="24" t="n">
        <v>2</v>
      </c>
      <c r="N496" s="50" t="n">
        <v>46191</v>
      </c>
      <c r="O496" s="8" t="s">
        <v>546</v>
      </c>
      <c r="P496" s="24" t="n">
        <v>1</v>
      </c>
      <c r="Q496" s="31" t="n">
        <f aca="false">IF(I496="N/A","",IFERROR(INDEX('Residual Config'!$B$35:$B$42,MATCH(H496,'Residual Config'!$A$35:$A$42,0)),""))</f>
        <v>1</v>
      </c>
      <c r="R496" s="24" t="n">
        <v>1</v>
      </c>
      <c r="S496" s="8" t="s">
        <v>521</v>
      </c>
      <c r="T496" s="31" t="n">
        <f aca="false">IF(S496="","",MATCH(S496,'Residual Config'!$L$9:$L$12,0))</f>
        <v>2</v>
      </c>
      <c r="U496" s="8" t="s">
        <v>1956</v>
      </c>
      <c r="V496" s="24" t="n">
        <v>6</v>
      </c>
      <c r="W496" s="33" t="s">
        <v>533</v>
      </c>
      <c r="X496" s="8" t="s">
        <v>760</v>
      </c>
      <c r="Y496" s="51" t="n">
        <f aca="false">IF(N496="","",EDATE(N496,IF(G496="N",INDEX('Residual Config'!$B$31:$D$31,1,MATCH(D496,'Residual Config'!$B$27:$D$27,0)),INDEX('Residual Config'!$B$28:$D$30,IF(T496=1,1,IF(T496=4,3,2)),MATCH(D496,'Residual Config'!$B$27:$D$27,0)))))</f>
        <v>46374</v>
      </c>
      <c r="Z496" s="7" t="str">
        <f aca="false">IF(I496="N/A","N/A",IF(N496="","Not tested",IF(W496="Rejected","Evidence rejected",IF(W496&lt;&gt;"Accepted","Evidence pending",IF(Y496&lt;'Residual Config'!$C$4,"Overdue","Current")))))</f>
        <v>Current</v>
      </c>
      <c r="AA496" s="34" t="n">
        <f aca="false">IF(I496="N/A","",IF(Z496&lt;&gt;"Current",4,IF(MAX(M496,T496)=0,4,MAX(M496,T496))))</f>
        <v>2</v>
      </c>
      <c r="AB496" s="7" t="str">
        <f aca="false">IF(AA496="","N/A",IF(Z496&lt;&gt;"Current","Not tested / overdue",INDEX('Residual Config'!$B$11:$B$14,AA496)))</f>
        <v>Largely effective</v>
      </c>
      <c r="AC496" s="36" t="n">
        <f aca="false">IF(AA496="","",INDEX('Residual Config'!$D$11:$D$14,AA496))</f>
        <v>0.4</v>
      </c>
      <c r="AD496" s="7" t="str">
        <f aca="false">IF(OR(I496="N/A",P496="",Q496=""),"",IF(P496&gt;=Q496,"Yes","No"))</f>
        <v>Yes</v>
      </c>
      <c r="AE496" s="8"/>
    </row>
    <row r="497" customFormat="false" ht="15" hidden="false" customHeight="false" outlineLevel="0" collapsed="false">
      <c r="A497" s="12" t="s">
        <v>1957</v>
      </c>
      <c r="B497" s="26" t="str">
        <f aca="false">Entities!$A$16</f>
        <v>QA</v>
      </c>
      <c r="C497" s="12" t="str">
        <f aca="false">INDEX(Entities!$B$5:$B$34,MATCH(B497,Entities!$A$5:$A$34,0))</f>
        <v>Arab Bank – Qatar</v>
      </c>
      <c r="D497" s="7" t="str">
        <f aca="false">INDEX(Entities!$F$5:$F$34,MATCH(B497,Entities!$A$5:$A$34,0))</f>
        <v>Tier 2</v>
      </c>
      <c r="E497" s="26" t="str">
        <f aca="false">'Control Library'!$A$24</f>
        <v>CTL-FRD-02</v>
      </c>
      <c r="F497" s="12" t="str">
        <f aca="false">INDEX('Control Library'!$B$5:$B$47,MATCH(E497,'Control Library'!$A$5:$A$47,0))</f>
        <v>Maker-checker and dual control on payments and static data</v>
      </c>
      <c r="G497" s="7" t="str">
        <f aca="false">INDEX('Control Library'!$F$5:$F$47,MATCH(E497,'Control Library'!$A$5:$A$47,0))</f>
        <v>Y</v>
      </c>
      <c r="H497" s="12" t="str">
        <f aca="false">INDEX('Control Library'!$E$5:$E$47,MATCH(E497,'Control Library'!$A$5:$A$47,0))</f>
        <v>Daily</v>
      </c>
      <c r="I497" s="7" t="str">
        <f aca="false">IF(INDEX('Control Library'!$I$5:$I$47,MATCH(E497,'Control Library'!$A$5:$A$47,0))="All","Y",IF(INDEX('Control Library'!$I$5:$I$47,MATCH(E497,'Control Library'!$A$5:$A$47,0))="Banks only",IF(COUNTIF('Residual Config'!$L$28:$L$30,INDEX(Entities!$E$5:$E$34,MATCH(B497,Entities!$A$5:$A$34,0)))&gt;0,"N/A","Y"),IF(INDEX(Entities!$G$5:$G$34,MATCH(B497,Entities!$A$5:$A$34,0))="Y","Y","N/A")))</f>
        <v>Y</v>
      </c>
      <c r="J497" s="8" t="s">
        <v>1910</v>
      </c>
      <c r="K497" s="8" t="s">
        <v>1911</v>
      </c>
      <c r="L497" s="7" t="str">
        <f aca="false">IF(OR(J497="",K497=""),"",IF(J497=K497,"Breach","OK"))</f>
        <v>OK</v>
      </c>
      <c r="M497" s="24" t="n">
        <v>2</v>
      </c>
      <c r="N497" s="50" t="n">
        <v>46202</v>
      </c>
      <c r="O497" s="8" t="s">
        <v>545</v>
      </c>
      <c r="P497" s="24" t="n">
        <v>25</v>
      </c>
      <c r="Q497" s="31" t="n">
        <f aca="false">IF(I497="N/A","",IFERROR(INDEX('Residual Config'!$B$35:$B$42,MATCH(H497,'Residual Config'!$A$35:$A$42,0)),""))</f>
        <v>25</v>
      </c>
      <c r="R497" s="24" t="n">
        <v>0</v>
      </c>
      <c r="S497" s="8" t="s">
        <v>516</v>
      </c>
      <c r="T497" s="31" t="n">
        <f aca="false">IF(S497="","",MATCH(S497,'Residual Config'!$L$9:$L$12,0))</f>
        <v>1</v>
      </c>
      <c r="U497" s="8" t="s">
        <v>1958</v>
      </c>
      <c r="V497" s="24" t="n">
        <v>5</v>
      </c>
      <c r="W497" s="33" t="s">
        <v>533</v>
      </c>
      <c r="X497" s="8" t="s">
        <v>754</v>
      </c>
      <c r="Y497" s="51" t="n">
        <f aca="false">IF(N497="","",EDATE(N497,IF(G497="N",INDEX('Residual Config'!$B$31:$D$31,1,MATCH(D497,'Residual Config'!$B$27:$D$27,0)),INDEX('Residual Config'!$B$28:$D$30,IF(T497=1,1,IF(T497=4,3,2)),MATCH(D497,'Residual Config'!$B$27:$D$27,0)))))</f>
        <v>46567</v>
      </c>
      <c r="Z497" s="7" t="str">
        <f aca="false">IF(I497="N/A","N/A",IF(N497="","Not tested",IF(W497="Rejected","Evidence rejected",IF(W497&lt;&gt;"Accepted","Evidence pending",IF(Y497&lt;'Residual Config'!$C$4,"Overdue","Current")))))</f>
        <v>Current</v>
      </c>
      <c r="AA497" s="34" t="n">
        <f aca="false">IF(I497="N/A","",IF(Z497&lt;&gt;"Current",4,IF(MAX(M497,T497)=0,4,MAX(M497,T497))))</f>
        <v>2</v>
      </c>
      <c r="AB497" s="7" t="str">
        <f aca="false">IF(AA497="","N/A",IF(Z497&lt;&gt;"Current","Not tested / overdue",INDEX('Residual Config'!$B$11:$B$14,AA497)))</f>
        <v>Largely effective</v>
      </c>
      <c r="AC497" s="36" t="n">
        <f aca="false">IF(AA497="","",INDEX('Residual Config'!$D$11:$D$14,AA497))</f>
        <v>0.4</v>
      </c>
      <c r="AD497" s="7" t="str">
        <f aca="false">IF(OR(I497="N/A",P497="",Q497=""),"",IF(P497&gt;=Q497,"Yes","No"))</f>
        <v>Yes</v>
      </c>
      <c r="AE497" s="8"/>
    </row>
    <row r="498" customFormat="false" ht="15" hidden="false" customHeight="false" outlineLevel="0" collapsed="false">
      <c r="A498" s="12" t="s">
        <v>1959</v>
      </c>
      <c r="B498" s="26" t="str">
        <f aca="false">Entities!$A$16</f>
        <v>QA</v>
      </c>
      <c r="C498" s="12" t="str">
        <f aca="false">INDEX(Entities!$B$5:$B$34,MATCH(B498,Entities!$A$5:$A$34,0))</f>
        <v>Arab Bank – Qatar</v>
      </c>
      <c r="D498" s="7" t="str">
        <f aca="false">INDEX(Entities!$F$5:$F$34,MATCH(B498,Entities!$A$5:$A$34,0))</f>
        <v>Tier 2</v>
      </c>
      <c r="E498" s="26" t="str">
        <f aca="false">'Control Library'!$A$25</f>
        <v>CTL-FRD-03</v>
      </c>
      <c r="F498" s="12" t="str">
        <f aca="false">INDEX('Control Library'!$B$5:$B$47,MATCH(E498,'Control Library'!$A$5:$A$47,0))</f>
        <v>Mandatory consecutive leave and rotation for sensitive roles</v>
      </c>
      <c r="G498" s="7" t="str">
        <f aca="false">INDEX('Control Library'!$F$5:$F$47,MATCH(E498,'Control Library'!$A$5:$A$47,0))</f>
        <v>N</v>
      </c>
      <c r="H498" s="12" t="str">
        <f aca="false">INDEX('Control Library'!$E$5:$E$47,MATCH(E498,'Control Library'!$A$5:$A$47,0))</f>
        <v>Annual</v>
      </c>
      <c r="I498" s="7" t="str">
        <f aca="false">IF(INDEX('Control Library'!$I$5:$I$47,MATCH(E498,'Control Library'!$A$5:$A$47,0))="All","Y",IF(INDEX('Control Library'!$I$5:$I$47,MATCH(E498,'Control Library'!$A$5:$A$47,0))="Banks only",IF(COUNTIF('Residual Config'!$L$28:$L$30,INDEX(Entities!$E$5:$E$34,MATCH(B498,Entities!$A$5:$A$34,0)))&gt;0,"N/A","Y"),IF(INDEX(Entities!$G$5:$G$34,MATCH(B498,Entities!$A$5:$A$34,0))="Y","Y","N/A")))</f>
        <v>Y</v>
      </c>
      <c r="J498" s="8" t="s">
        <v>1960</v>
      </c>
      <c r="K498" s="8" t="s">
        <v>1911</v>
      </c>
      <c r="L498" s="7" t="str">
        <f aca="false">IF(OR(J498="",K498=""),"",IF(J498=K498,"Breach","OK"))</f>
        <v>OK</v>
      </c>
      <c r="M498" s="24" t="n">
        <v>2</v>
      </c>
      <c r="N498" s="50" t="n">
        <v>46286</v>
      </c>
      <c r="O498" s="8" t="s">
        <v>545</v>
      </c>
      <c r="P498" s="24" t="n">
        <v>1</v>
      </c>
      <c r="Q498" s="31" t="n">
        <f aca="false">IF(I498="N/A","",IFERROR(INDEX('Residual Config'!$B$35:$B$42,MATCH(H498,'Residual Config'!$A$35:$A$42,0)),""))</f>
        <v>1</v>
      </c>
      <c r="R498" s="24" t="n">
        <v>1</v>
      </c>
      <c r="S498" s="8" t="s">
        <v>521</v>
      </c>
      <c r="T498" s="31" t="n">
        <f aca="false">IF(S498="","",MATCH(S498,'Residual Config'!$L$9:$L$12,0))</f>
        <v>2</v>
      </c>
      <c r="U498" s="8" t="s">
        <v>1961</v>
      </c>
      <c r="V498" s="24" t="n">
        <v>1</v>
      </c>
      <c r="W498" s="33" t="s">
        <v>533</v>
      </c>
      <c r="X498" s="8" t="s">
        <v>760</v>
      </c>
      <c r="Y498" s="51" t="n">
        <f aca="false">IF(N498="","",EDATE(N498,IF(G498="N",INDEX('Residual Config'!$B$31:$D$31,1,MATCH(D498,'Residual Config'!$B$27:$D$27,0)),INDEX('Residual Config'!$B$28:$D$30,IF(T498=1,1,IF(T498=4,3,2)),MATCH(D498,'Residual Config'!$B$27:$D$27,0)))))</f>
        <v>46651</v>
      </c>
      <c r="Z498" s="7" t="str">
        <f aca="false">IF(I498="N/A","N/A",IF(N498="","Not tested",IF(W498="Rejected","Evidence rejected",IF(W498&lt;&gt;"Accepted","Evidence pending",IF(Y498&lt;'Residual Config'!$C$4,"Overdue","Current")))))</f>
        <v>Current</v>
      </c>
      <c r="AA498" s="34" t="n">
        <f aca="false">IF(I498="N/A","",IF(Z498&lt;&gt;"Current",4,IF(MAX(M498,T498)=0,4,MAX(M498,T498))))</f>
        <v>2</v>
      </c>
      <c r="AB498" s="7" t="str">
        <f aca="false">IF(AA498="","N/A",IF(Z498&lt;&gt;"Current","Not tested / overdue",INDEX('Residual Config'!$B$11:$B$14,AA498)))</f>
        <v>Largely effective</v>
      </c>
      <c r="AC498" s="36" t="n">
        <f aca="false">IF(AA498="","",INDEX('Residual Config'!$D$11:$D$14,AA498))</f>
        <v>0.4</v>
      </c>
      <c r="AD498" s="7" t="str">
        <f aca="false">IF(OR(I498="N/A",P498="",Q498=""),"",IF(P498&gt;=Q498,"Yes","No"))</f>
        <v>Yes</v>
      </c>
      <c r="AE498" s="8"/>
    </row>
    <row r="499" customFormat="false" ht="15" hidden="false" customHeight="false" outlineLevel="0" collapsed="false">
      <c r="A499" s="12" t="s">
        <v>1962</v>
      </c>
      <c r="B499" s="26" t="str">
        <f aca="false">Entities!$A$16</f>
        <v>QA</v>
      </c>
      <c r="C499" s="12" t="str">
        <f aca="false">INDEX(Entities!$B$5:$B$34,MATCH(B499,Entities!$A$5:$A$34,0))</f>
        <v>Arab Bank – Qatar</v>
      </c>
      <c r="D499" s="7" t="str">
        <f aca="false">INDEX(Entities!$F$5:$F$34,MATCH(B499,Entities!$A$5:$A$34,0))</f>
        <v>Tier 2</v>
      </c>
      <c r="E499" s="26" t="str">
        <f aca="false">'Control Library'!$A$26</f>
        <v>CTL-TAX-01</v>
      </c>
      <c r="F499" s="12" t="str">
        <f aca="false">INDEX('Control Library'!$B$5:$B$47,MATCH(E499,'Control Library'!$A$5:$A$47,0))</f>
        <v>FATCA/CRS self-certification and classification</v>
      </c>
      <c r="G499" s="7" t="str">
        <f aca="false">INDEX('Control Library'!$F$5:$F$47,MATCH(E499,'Control Library'!$A$5:$A$47,0))</f>
        <v>Y</v>
      </c>
      <c r="H499" s="12" t="str">
        <f aca="false">INDEX('Control Library'!$E$5:$E$47,MATCH(E499,'Control Library'!$A$5:$A$47,0))</f>
        <v>Event-driven</v>
      </c>
      <c r="I499" s="7" t="str">
        <f aca="false">IF(INDEX('Control Library'!$I$5:$I$47,MATCH(E499,'Control Library'!$A$5:$A$47,0))="All","Y",IF(INDEX('Control Library'!$I$5:$I$47,MATCH(E499,'Control Library'!$A$5:$A$47,0))="Banks only",IF(COUNTIF('Residual Config'!$L$28:$L$30,INDEX(Entities!$E$5:$E$34,MATCH(B499,Entities!$A$5:$A$34,0)))&gt;0,"N/A","Y"),IF(INDEX(Entities!$G$5:$G$34,MATCH(B499,Entities!$A$5:$A$34,0))="Y","Y","N/A")))</f>
        <v>Y</v>
      </c>
      <c r="J499" s="8" t="s">
        <v>1910</v>
      </c>
      <c r="K499" s="8" t="s">
        <v>1911</v>
      </c>
      <c r="L499" s="7" t="str">
        <f aca="false">IF(OR(J499="",K499=""),"",IF(J499=K499,"Breach","OK"))</f>
        <v>OK</v>
      </c>
      <c r="M499" s="24" t="n">
        <v>2</v>
      </c>
      <c r="N499" s="50" t="n">
        <v>46272</v>
      </c>
      <c r="O499" s="8" t="s">
        <v>546</v>
      </c>
      <c r="P499" s="24" t="n">
        <v>25</v>
      </c>
      <c r="Q499" s="31" t="n">
        <f aca="false">IF(I499="N/A","",IFERROR(INDEX('Residual Config'!$B$35:$B$42,MATCH(H499,'Residual Config'!$A$35:$A$42,0)),""))</f>
        <v>25</v>
      </c>
      <c r="R499" s="24" t="n">
        <v>1</v>
      </c>
      <c r="S499" s="8" t="s">
        <v>521</v>
      </c>
      <c r="T499" s="31" t="n">
        <f aca="false">IF(S499="","",MATCH(S499,'Residual Config'!$L$9:$L$12,0))</f>
        <v>2</v>
      </c>
      <c r="U499" s="8" t="s">
        <v>1963</v>
      </c>
      <c r="V499" s="24" t="n">
        <v>2</v>
      </c>
      <c r="W499" s="33" t="s">
        <v>533</v>
      </c>
      <c r="X499" s="8" t="s">
        <v>754</v>
      </c>
      <c r="Y499" s="51" t="n">
        <f aca="false">IF(N499="","",EDATE(N499,IF(G499="N",INDEX('Residual Config'!$B$31:$D$31,1,MATCH(D499,'Residual Config'!$B$27:$D$27,0)),INDEX('Residual Config'!$B$28:$D$30,IF(T499=1,1,IF(T499=4,3,2)),MATCH(D499,'Residual Config'!$B$27:$D$27,0)))))</f>
        <v>46453</v>
      </c>
      <c r="Z499" s="7" t="str">
        <f aca="false">IF(I499="N/A","N/A",IF(N499="","Not tested",IF(W499="Rejected","Evidence rejected",IF(W499&lt;&gt;"Accepted","Evidence pending",IF(Y499&lt;'Residual Config'!$C$4,"Overdue","Current")))))</f>
        <v>Current</v>
      </c>
      <c r="AA499" s="34" t="n">
        <f aca="false">IF(I499="N/A","",IF(Z499&lt;&gt;"Current",4,IF(MAX(M499,T499)=0,4,MAX(M499,T499))))</f>
        <v>2</v>
      </c>
      <c r="AB499" s="7" t="str">
        <f aca="false">IF(AA499="","N/A",IF(Z499&lt;&gt;"Current","Not tested / overdue",INDEX('Residual Config'!$B$11:$B$14,AA499)))</f>
        <v>Largely effective</v>
      </c>
      <c r="AC499" s="36" t="n">
        <f aca="false">IF(AA499="","",INDEX('Residual Config'!$D$11:$D$14,AA499))</f>
        <v>0.4</v>
      </c>
      <c r="AD499" s="7" t="str">
        <f aca="false">IF(OR(I499="N/A",P499="",Q499=""),"",IF(P499&gt;=Q499,"Yes","No"))</f>
        <v>Yes</v>
      </c>
      <c r="AE499" s="8"/>
    </row>
    <row r="500" customFormat="false" ht="15" hidden="false" customHeight="false" outlineLevel="0" collapsed="false">
      <c r="A500" s="12" t="s">
        <v>1964</v>
      </c>
      <c r="B500" s="26" t="str">
        <f aca="false">Entities!$A$16</f>
        <v>QA</v>
      </c>
      <c r="C500" s="12" t="str">
        <f aca="false">INDEX(Entities!$B$5:$B$34,MATCH(B500,Entities!$A$5:$A$34,0))</f>
        <v>Arab Bank – Qatar</v>
      </c>
      <c r="D500" s="7" t="str">
        <f aca="false">INDEX(Entities!$F$5:$F$34,MATCH(B500,Entities!$A$5:$A$34,0))</f>
        <v>Tier 2</v>
      </c>
      <c r="E500" s="26" t="str">
        <f aca="false">'Control Library'!$A$27</f>
        <v>CTL-TAX-02</v>
      </c>
      <c r="F500" s="12" t="str">
        <f aca="false">INDEX('Control Library'!$B$5:$B$47,MATCH(E500,'Control Library'!$A$5:$A$47,0))</f>
        <v>FATCA/CRS reporting reconciliation and timely filing</v>
      </c>
      <c r="G500" s="7" t="str">
        <f aca="false">INDEX('Control Library'!$F$5:$F$47,MATCH(E500,'Control Library'!$A$5:$A$47,0))</f>
        <v>N</v>
      </c>
      <c r="H500" s="12" t="str">
        <f aca="false">INDEX('Control Library'!$E$5:$E$47,MATCH(E500,'Control Library'!$A$5:$A$47,0))</f>
        <v>Annual</v>
      </c>
      <c r="I500" s="7" t="str">
        <f aca="false">IF(INDEX('Control Library'!$I$5:$I$47,MATCH(E500,'Control Library'!$A$5:$A$47,0))="All","Y",IF(INDEX('Control Library'!$I$5:$I$47,MATCH(E500,'Control Library'!$A$5:$A$47,0))="Banks only",IF(COUNTIF('Residual Config'!$L$28:$L$30,INDEX(Entities!$E$5:$E$34,MATCH(B500,Entities!$A$5:$A$34,0)))&gt;0,"N/A","Y"),IF(INDEX(Entities!$G$5:$G$34,MATCH(B500,Entities!$A$5:$A$34,0))="Y","Y","N/A")))</f>
        <v>Y</v>
      </c>
      <c r="J500" s="8" t="s">
        <v>1965</v>
      </c>
      <c r="K500" s="8" t="s">
        <v>1911</v>
      </c>
      <c r="L500" s="7" t="str">
        <f aca="false">IF(OR(J500="",K500=""),"",IF(J500=K500,"Breach","OK"))</f>
        <v>OK</v>
      </c>
      <c r="M500" s="24" t="n">
        <v>1</v>
      </c>
      <c r="N500" s="50" t="n">
        <v>46079</v>
      </c>
      <c r="O500" s="8" t="s">
        <v>546</v>
      </c>
      <c r="P500" s="24" t="n">
        <v>1</v>
      </c>
      <c r="Q500" s="31" t="n">
        <f aca="false">IF(I500="N/A","",IFERROR(INDEX('Residual Config'!$B$35:$B$42,MATCH(H500,'Residual Config'!$A$35:$A$42,0)),""))</f>
        <v>1</v>
      </c>
      <c r="R500" s="24" t="n">
        <v>1</v>
      </c>
      <c r="S500" s="8" t="s">
        <v>521</v>
      </c>
      <c r="T500" s="31" t="n">
        <f aca="false">IF(S500="","",MATCH(S500,'Residual Config'!$L$9:$L$12,0))</f>
        <v>2</v>
      </c>
      <c r="U500" s="8" t="s">
        <v>1966</v>
      </c>
      <c r="V500" s="24" t="n">
        <v>2</v>
      </c>
      <c r="W500" s="33" t="s">
        <v>533</v>
      </c>
      <c r="X500" s="8" t="s">
        <v>760</v>
      </c>
      <c r="Y500" s="51" t="n">
        <f aca="false">IF(N500="","",EDATE(N500,IF(G500="N",INDEX('Residual Config'!$B$31:$D$31,1,MATCH(D500,'Residual Config'!$B$27:$D$27,0)),INDEX('Residual Config'!$B$28:$D$30,IF(T500=1,1,IF(T500=4,3,2)),MATCH(D500,'Residual Config'!$B$27:$D$27,0)))))</f>
        <v>46444</v>
      </c>
      <c r="Z500" s="7" t="str">
        <f aca="false">IF(I500="N/A","N/A",IF(N500="","Not tested",IF(W500="Rejected","Evidence rejected",IF(W500&lt;&gt;"Accepted","Evidence pending",IF(Y500&lt;'Residual Config'!$C$4,"Overdue","Current")))))</f>
        <v>Current</v>
      </c>
      <c r="AA500" s="34" t="n">
        <f aca="false">IF(I500="N/A","",IF(Z500&lt;&gt;"Current",4,IF(MAX(M500,T500)=0,4,MAX(M500,T500))))</f>
        <v>2</v>
      </c>
      <c r="AB500" s="7" t="str">
        <f aca="false">IF(AA500="","N/A",IF(Z500&lt;&gt;"Current","Not tested / overdue",INDEX('Residual Config'!$B$11:$B$14,AA500)))</f>
        <v>Largely effective</v>
      </c>
      <c r="AC500" s="36" t="n">
        <f aca="false">IF(AA500="","",INDEX('Residual Config'!$D$11:$D$14,AA500))</f>
        <v>0.4</v>
      </c>
      <c r="AD500" s="7" t="str">
        <f aca="false">IF(OR(I500="N/A",P500="",Q500=""),"",IF(P500&gt;=Q500,"Yes","No"))</f>
        <v>Yes</v>
      </c>
      <c r="AE500" s="8"/>
    </row>
    <row r="501" customFormat="false" ht="15" hidden="false" customHeight="false" outlineLevel="0" collapsed="false">
      <c r="A501" s="12" t="s">
        <v>1967</v>
      </c>
      <c r="B501" s="26" t="str">
        <f aca="false">Entities!$A$16</f>
        <v>QA</v>
      </c>
      <c r="C501" s="12" t="str">
        <f aca="false">INDEX(Entities!$B$5:$B$34,MATCH(B501,Entities!$A$5:$A$34,0))</f>
        <v>Arab Bank – Qatar</v>
      </c>
      <c r="D501" s="7" t="str">
        <f aca="false">INDEX(Entities!$F$5:$F$34,MATCH(B501,Entities!$A$5:$A$34,0))</f>
        <v>Tier 2</v>
      </c>
      <c r="E501" s="26" t="str">
        <f aca="false">'Control Library'!$A$28</f>
        <v>CTL-TRN-01</v>
      </c>
      <c r="F501" s="12" t="str">
        <f aca="false">INDEX('Control Library'!$B$5:$B$47,MATCH(E501,'Control Library'!$A$5:$A$47,0))</f>
        <v>Annual AML, sanctions and anti-bribery training</v>
      </c>
      <c r="G501" s="7" t="str">
        <f aca="false">INDEX('Control Library'!$F$5:$F$47,MATCH(E501,'Control Library'!$A$5:$A$47,0))</f>
        <v>N</v>
      </c>
      <c r="H501" s="12" t="str">
        <f aca="false">INDEX('Control Library'!$E$5:$E$47,MATCH(E501,'Control Library'!$A$5:$A$47,0))</f>
        <v>Annual</v>
      </c>
      <c r="I501" s="7" t="str">
        <f aca="false">IF(INDEX('Control Library'!$I$5:$I$47,MATCH(E501,'Control Library'!$A$5:$A$47,0))="All","Y",IF(INDEX('Control Library'!$I$5:$I$47,MATCH(E501,'Control Library'!$A$5:$A$47,0))="Banks only",IF(COUNTIF('Residual Config'!$L$28:$L$30,INDEX(Entities!$E$5:$E$34,MATCH(B501,Entities!$A$5:$A$34,0)))&gt;0,"N/A","Y"),IF(INDEX(Entities!$G$5:$G$34,MATCH(B501,Entities!$A$5:$A$34,0))="Y","Y","N/A")))</f>
        <v>Y</v>
      </c>
      <c r="J501" s="8" t="s">
        <v>1914</v>
      </c>
      <c r="K501" s="8" t="s">
        <v>1911</v>
      </c>
      <c r="L501" s="7" t="str">
        <f aca="false">IF(OR(J501="",K501=""),"",IF(J501=K501,"Breach","OK"))</f>
        <v>OK</v>
      </c>
      <c r="M501" s="24" t="n">
        <v>2</v>
      </c>
      <c r="N501" s="50" t="n">
        <v>46169</v>
      </c>
      <c r="O501" s="8" t="s">
        <v>545</v>
      </c>
      <c r="P501" s="24" t="n">
        <v>1</v>
      </c>
      <c r="Q501" s="31" t="n">
        <f aca="false">IF(I501="N/A","",IFERROR(INDEX('Residual Config'!$B$35:$B$42,MATCH(H501,'Residual Config'!$A$35:$A$42,0)),""))</f>
        <v>1</v>
      </c>
      <c r="R501" s="24" t="n">
        <v>0</v>
      </c>
      <c r="S501" s="8" t="s">
        <v>516</v>
      </c>
      <c r="T501" s="31" t="n">
        <f aca="false">IF(S501="","",MATCH(S501,'Residual Config'!$L$9:$L$12,0))</f>
        <v>1</v>
      </c>
      <c r="U501" s="8" t="s">
        <v>1968</v>
      </c>
      <c r="V501" s="24" t="n">
        <v>5</v>
      </c>
      <c r="W501" s="33" t="s">
        <v>533</v>
      </c>
      <c r="X501" s="8" t="s">
        <v>760</v>
      </c>
      <c r="Y501" s="51" t="n">
        <f aca="false">IF(N501="","",EDATE(N501,IF(G501="N",INDEX('Residual Config'!$B$31:$D$31,1,MATCH(D501,'Residual Config'!$B$27:$D$27,0)),INDEX('Residual Config'!$B$28:$D$30,IF(T501=1,1,IF(T501=4,3,2)),MATCH(D501,'Residual Config'!$B$27:$D$27,0)))))</f>
        <v>46534</v>
      </c>
      <c r="Z501" s="7" t="str">
        <f aca="false">IF(I501="N/A","N/A",IF(N501="","Not tested",IF(W501="Rejected","Evidence rejected",IF(W501&lt;&gt;"Accepted","Evidence pending",IF(Y501&lt;'Residual Config'!$C$4,"Overdue","Current")))))</f>
        <v>Current</v>
      </c>
      <c r="AA501" s="34" t="n">
        <f aca="false">IF(I501="N/A","",IF(Z501&lt;&gt;"Current",4,IF(MAX(M501,T501)=0,4,MAX(M501,T501))))</f>
        <v>2</v>
      </c>
      <c r="AB501" s="7" t="str">
        <f aca="false">IF(AA501="","N/A",IF(Z501&lt;&gt;"Current","Not tested / overdue",INDEX('Residual Config'!$B$11:$B$14,AA501)))</f>
        <v>Largely effective</v>
      </c>
      <c r="AC501" s="36" t="n">
        <f aca="false">IF(AA501="","",INDEX('Residual Config'!$D$11:$D$14,AA501))</f>
        <v>0.4</v>
      </c>
      <c r="AD501" s="7" t="str">
        <f aca="false">IF(OR(I501="N/A",P501="",Q501=""),"",IF(P501&gt;=Q501,"Yes","No"))</f>
        <v>Yes</v>
      </c>
      <c r="AE501" s="8"/>
    </row>
    <row r="502" customFormat="false" ht="15" hidden="false" customHeight="false" outlineLevel="0" collapsed="false">
      <c r="A502" s="12" t="s">
        <v>1969</v>
      </c>
      <c r="B502" s="26" t="str">
        <f aca="false">Entities!$A$16</f>
        <v>QA</v>
      </c>
      <c r="C502" s="12" t="str">
        <f aca="false">INDEX(Entities!$B$5:$B$34,MATCH(B502,Entities!$A$5:$A$34,0))</f>
        <v>Arab Bank – Qatar</v>
      </c>
      <c r="D502" s="7" t="str">
        <f aca="false">INDEX(Entities!$F$5:$F$34,MATCH(B502,Entities!$A$5:$A$34,0))</f>
        <v>Tier 2</v>
      </c>
      <c r="E502" s="26" t="str">
        <f aca="false">'Control Library'!$A$29</f>
        <v>CTL-REG-01</v>
      </c>
      <c r="F502" s="12" t="str">
        <f aca="false">INDEX('Control Library'!$B$5:$B$47,MATCH(E502,'Control Library'!$A$5:$A$47,0))</f>
        <v>Regulatory change management and obligations register</v>
      </c>
      <c r="G502" s="7" t="str">
        <f aca="false">INDEX('Control Library'!$F$5:$F$47,MATCH(E502,'Control Library'!$A$5:$A$47,0))</f>
        <v>Y</v>
      </c>
      <c r="H502" s="12" t="str">
        <f aca="false">INDEX('Control Library'!$E$5:$E$47,MATCH(E502,'Control Library'!$A$5:$A$47,0))</f>
        <v>Monthly</v>
      </c>
      <c r="I502" s="7" t="str">
        <f aca="false">IF(INDEX('Control Library'!$I$5:$I$47,MATCH(E502,'Control Library'!$A$5:$A$47,0))="All","Y",IF(INDEX('Control Library'!$I$5:$I$47,MATCH(E502,'Control Library'!$A$5:$A$47,0))="Banks only",IF(COUNTIF('Residual Config'!$L$28:$L$30,INDEX(Entities!$E$5:$E$34,MATCH(B502,Entities!$A$5:$A$34,0)))&gt;0,"N/A","Y"),IF(INDEX(Entities!$G$5:$G$34,MATCH(B502,Entities!$A$5:$A$34,0))="Y","Y","N/A")))</f>
        <v>Y</v>
      </c>
      <c r="J502" s="8" t="s">
        <v>1914</v>
      </c>
      <c r="K502" s="8" t="s">
        <v>1911</v>
      </c>
      <c r="L502" s="7" t="str">
        <f aca="false">IF(OR(J502="",K502=""),"",IF(J502=K502,"Breach","OK"))</f>
        <v>OK</v>
      </c>
      <c r="M502" s="24" t="n">
        <v>1</v>
      </c>
      <c r="N502" s="50" t="n">
        <v>46221</v>
      </c>
      <c r="O502" s="8" t="s">
        <v>545</v>
      </c>
      <c r="P502" s="24" t="n">
        <v>3</v>
      </c>
      <c r="Q502" s="31" t="n">
        <f aca="false">IF(I502="N/A","",IFERROR(INDEX('Residual Config'!$B$35:$B$42,MATCH(H502,'Residual Config'!$A$35:$A$42,0)),""))</f>
        <v>3</v>
      </c>
      <c r="R502" s="24" t="n">
        <v>0</v>
      </c>
      <c r="S502" s="8" t="s">
        <v>516</v>
      </c>
      <c r="T502" s="31" t="n">
        <f aca="false">IF(S502="","",MATCH(S502,'Residual Config'!$L$9:$L$12,0))</f>
        <v>1</v>
      </c>
      <c r="U502" s="8" t="s">
        <v>1970</v>
      </c>
      <c r="V502" s="24" t="n">
        <v>2</v>
      </c>
      <c r="W502" s="33" t="s">
        <v>533</v>
      </c>
      <c r="X502" s="8" t="s">
        <v>760</v>
      </c>
      <c r="Y502" s="51" t="n">
        <f aca="false">IF(N502="","",EDATE(N502,IF(G502="N",INDEX('Residual Config'!$B$31:$D$31,1,MATCH(D502,'Residual Config'!$B$27:$D$27,0)),INDEX('Residual Config'!$B$28:$D$30,IF(T502=1,1,IF(T502=4,3,2)),MATCH(D502,'Residual Config'!$B$27:$D$27,0)))))</f>
        <v>46586</v>
      </c>
      <c r="Z502" s="7" t="str">
        <f aca="false">IF(I502="N/A","N/A",IF(N502="","Not tested",IF(W502="Rejected","Evidence rejected",IF(W502&lt;&gt;"Accepted","Evidence pending",IF(Y502&lt;'Residual Config'!$C$4,"Overdue","Current")))))</f>
        <v>Current</v>
      </c>
      <c r="AA502" s="34" t="n">
        <f aca="false">IF(I502="N/A","",IF(Z502&lt;&gt;"Current",4,IF(MAX(M502,T502)=0,4,MAX(M502,T502))))</f>
        <v>1</v>
      </c>
      <c r="AB502" s="7" t="str">
        <f aca="false">IF(AA502="","N/A",IF(Z502&lt;&gt;"Current","Not tested / overdue",INDEX('Residual Config'!$B$11:$B$14,AA502)))</f>
        <v>Effective</v>
      </c>
      <c r="AC502" s="36" t="n">
        <f aca="false">IF(AA502="","",INDEX('Residual Config'!$D$11:$D$14,AA502))</f>
        <v>0.6</v>
      </c>
      <c r="AD502" s="7" t="str">
        <f aca="false">IF(OR(I502="N/A",P502="",Q502=""),"",IF(P502&gt;=Q502,"Yes","No"))</f>
        <v>Yes</v>
      </c>
      <c r="AE502" s="8"/>
    </row>
    <row r="503" customFormat="false" ht="15" hidden="false" customHeight="false" outlineLevel="0" collapsed="false">
      <c r="A503" s="12" t="s">
        <v>1971</v>
      </c>
      <c r="B503" s="26" t="str">
        <f aca="false">Entities!$A$16</f>
        <v>QA</v>
      </c>
      <c r="C503" s="12" t="str">
        <f aca="false">INDEX(Entities!$B$5:$B$34,MATCH(B503,Entities!$A$5:$A$34,0))</f>
        <v>Arab Bank – Qatar</v>
      </c>
      <c r="D503" s="7" t="str">
        <f aca="false">INDEX(Entities!$F$5:$F$34,MATCH(B503,Entities!$A$5:$A$34,0))</f>
        <v>Tier 2</v>
      </c>
      <c r="E503" s="26" t="str">
        <f aca="false">'Control Library'!$A$30</f>
        <v>CTL-REG-02</v>
      </c>
      <c r="F503" s="12" t="str">
        <f aca="false">INDEX('Control Library'!$B$5:$B$47,MATCH(E503,'Control Library'!$A$5:$A$47,0))</f>
        <v>Regulatory return review and senior sign-off</v>
      </c>
      <c r="G503" s="7" t="str">
        <f aca="false">INDEX('Control Library'!$F$5:$F$47,MATCH(E503,'Control Library'!$A$5:$A$47,0))</f>
        <v>Y</v>
      </c>
      <c r="H503" s="12" t="str">
        <f aca="false">INDEX('Control Library'!$E$5:$E$47,MATCH(E503,'Control Library'!$A$5:$A$47,0))</f>
        <v>Monthly</v>
      </c>
      <c r="I503" s="7" t="str">
        <f aca="false">IF(INDEX('Control Library'!$I$5:$I$47,MATCH(E503,'Control Library'!$A$5:$A$47,0))="All","Y",IF(INDEX('Control Library'!$I$5:$I$47,MATCH(E503,'Control Library'!$A$5:$A$47,0))="Banks only",IF(COUNTIF('Residual Config'!$L$28:$L$30,INDEX(Entities!$E$5:$E$34,MATCH(B503,Entities!$A$5:$A$34,0)))&gt;0,"N/A","Y"),IF(INDEX(Entities!$G$5:$G$34,MATCH(B503,Entities!$A$5:$A$34,0))="Y","Y","N/A")))</f>
        <v>Y</v>
      </c>
      <c r="J503" s="8" t="s">
        <v>1965</v>
      </c>
      <c r="K503" s="8" t="s">
        <v>1911</v>
      </c>
      <c r="L503" s="7" t="str">
        <f aca="false">IF(OR(J503="",K503=""),"",IF(J503=K503,"Breach","OK"))</f>
        <v>OK</v>
      </c>
      <c r="M503" s="24" t="n">
        <v>1</v>
      </c>
      <c r="N503" s="50" t="n">
        <v>46029</v>
      </c>
      <c r="O503" s="8" t="s">
        <v>545</v>
      </c>
      <c r="P503" s="24" t="n">
        <v>3</v>
      </c>
      <c r="Q503" s="31" t="n">
        <f aca="false">IF(I503="N/A","",IFERROR(INDEX('Residual Config'!$B$35:$B$42,MATCH(H503,'Residual Config'!$A$35:$A$42,0)),""))</f>
        <v>3</v>
      </c>
      <c r="R503" s="24" t="n">
        <v>0</v>
      </c>
      <c r="S503" s="8" t="s">
        <v>516</v>
      </c>
      <c r="T503" s="31" t="n">
        <f aca="false">IF(S503="","",MATCH(S503,'Residual Config'!$L$9:$L$12,0))</f>
        <v>1</v>
      </c>
      <c r="U503" s="8" t="s">
        <v>1972</v>
      </c>
      <c r="V503" s="24" t="n">
        <v>4</v>
      </c>
      <c r="W503" s="33" t="s">
        <v>533</v>
      </c>
      <c r="X503" s="8" t="s">
        <v>754</v>
      </c>
      <c r="Y503" s="51" t="n">
        <f aca="false">IF(N503="","",EDATE(N503,IF(G503="N",INDEX('Residual Config'!$B$31:$D$31,1,MATCH(D503,'Residual Config'!$B$27:$D$27,0)),INDEX('Residual Config'!$B$28:$D$30,IF(T503=1,1,IF(T503=4,3,2)),MATCH(D503,'Residual Config'!$B$27:$D$27,0)))))</f>
        <v>46394</v>
      </c>
      <c r="Z503" s="7" t="str">
        <f aca="false">IF(I503="N/A","N/A",IF(N503="","Not tested",IF(W503="Rejected","Evidence rejected",IF(W503&lt;&gt;"Accepted","Evidence pending",IF(Y503&lt;'Residual Config'!$C$4,"Overdue","Current")))))</f>
        <v>Current</v>
      </c>
      <c r="AA503" s="34" t="n">
        <f aca="false">IF(I503="N/A","",IF(Z503&lt;&gt;"Current",4,IF(MAX(M503,T503)=0,4,MAX(M503,T503))))</f>
        <v>1</v>
      </c>
      <c r="AB503" s="7" t="str">
        <f aca="false">IF(AA503="","N/A",IF(Z503&lt;&gt;"Current","Not tested / overdue",INDEX('Residual Config'!$B$11:$B$14,AA503)))</f>
        <v>Effective</v>
      </c>
      <c r="AC503" s="36" t="n">
        <f aca="false">IF(AA503="","",INDEX('Residual Config'!$D$11:$D$14,AA503))</f>
        <v>0.6</v>
      </c>
      <c r="AD503" s="7" t="str">
        <f aca="false">IF(OR(I503="N/A",P503="",Q503=""),"",IF(P503&gt;=Q503,"Yes","No"))</f>
        <v>Yes</v>
      </c>
      <c r="AE503" s="8"/>
    </row>
    <row r="504" customFormat="false" ht="15" hidden="false" customHeight="false" outlineLevel="0" collapsed="false">
      <c r="A504" s="12" t="s">
        <v>1973</v>
      </c>
      <c r="B504" s="26" t="str">
        <f aca="false">Entities!$A$16</f>
        <v>QA</v>
      </c>
      <c r="C504" s="12" t="str">
        <f aca="false">INDEX(Entities!$B$5:$B$34,MATCH(B504,Entities!$A$5:$A$34,0))</f>
        <v>Arab Bank – Qatar</v>
      </c>
      <c r="D504" s="7" t="str">
        <f aca="false">INDEX(Entities!$F$5:$F$34,MATCH(B504,Entities!$A$5:$A$34,0))</f>
        <v>Tier 2</v>
      </c>
      <c r="E504" s="26" t="str">
        <f aca="false">'Control Library'!$A$31</f>
        <v>CTL-CON-01</v>
      </c>
      <c r="F504" s="12" t="str">
        <f aca="false">INDEX('Control Library'!$B$5:$B$47,MATCH(E504,'Control Library'!$A$5:$A$47,0))</f>
        <v>New product approval and suitability assessment</v>
      </c>
      <c r="G504" s="7" t="str">
        <f aca="false">INDEX('Control Library'!$F$5:$F$47,MATCH(E504,'Control Library'!$A$5:$A$47,0))</f>
        <v>Y</v>
      </c>
      <c r="H504" s="12" t="str">
        <f aca="false">INDEX('Control Library'!$E$5:$E$47,MATCH(E504,'Control Library'!$A$5:$A$47,0))</f>
        <v>Event-driven</v>
      </c>
      <c r="I504" s="7" t="str">
        <f aca="false">IF(INDEX('Control Library'!$I$5:$I$47,MATCH(E504,'Control Library'!$A$5:$A$47,0))="All","Y",IF(INDEX('Control Library'!$I$5:$I$47,MATCH(E504,'Control Library'!$A$5:$A$47,0))="Banks only",IF(COUNTIF('Residual Config'!$L$28:$L$30,INDEX(Entities!$E$5:$E$34,MATCH(B504,Entities!$A$5:$A$34,0)))&gt;0,"N/A","Y"),IF(INDEX(Entities!$G$5:$G$34,MATCH(B504,Entities!$A$5:$A$34,0))="Y","Y","N/A")))</f>
        <v>Y</v>
      </c>
      <c r="J504" s="8" t="s">
        <v>1914</v>
      </c>
      <c r="K504" s="8" t="s">
        <v>1911</v>
      </c>
      <c r="L504" s="7" t="str">
        <f aca="false">IF(OR(J504="",K504=""),"",IF(J504=K504,"Breach","OK"))</f>
        <v>OK</v>
      </c>
      <c r="M504" s="24" t="n">
        <v>2</v>
      </c>
      <c r="N504" s="50" t="n">
        <v>46011</v>
      </c>
      <c r="O504" s="8" t="s">
        <v>545</v>
      </c>
      <c r="P504" s="24" t="n">
        <v>30</v>
      </c>
      <c r="Q504" s="31" t="n">
        <f aca="false">IF(I504="N/A","",IFERROR(INDEX('Residual Config'!$B$35:$B$42,MATCH(H504,'Residual Config'!$A$35:$A$42,0)),""))</f>
        <v>25</v>
      </c>
      <c r="R504" s="24" t="n">
        <v>0</v>
      </c>
      <c r="S504" s="8" t="s">
        <v>516</v>
      </c>
      <c r="T504" s="31" t="n">
        <f aca="false">IF(S504="","",MATCH(S504,'Residual Config'!$L$9:$L$12,0))</f>
        <v>1</v>
      </c>
      <c r="U504" s="8" t="s">
        <v>1974</v>
      </c>
      <c r="V504" s="24" t="n">
        <v>6</v>
      </c>
      <c r="W504" s="33" t="s">
        <v>533</v>
      </c>
      <c r="X504" s="8" t="s">
        <v>754</v>
      </c>
      <c r="Y504" s="51" t="n">
        <f aca="false">IF(N504="","",EDATE(N504,IF(G504="N",INDEX('Residual Config'!$B$31:$D$31,1,MATCH(D504,'Residual Config'!$B$27:$D$27,0)),INDEX('Residual Config'!$B$28:$D$30,IF(T504=1,1,IF(T504=4,3,2)),MATCH(D504,'Residual Config'!$B$27:$D$27,0)))))</f>
        <v>46376</v>
      </c>
      <c r="Z504" s="7" t="str">
        <f aca="false">IF(I504="N/A","N/A",IF(N504="","Not tested",IF(W504="Rejected","Evidence rejected",IF(W504&lt;&gt;"Accepted","Evidence pending",IF(Y504&lt;'Residual Config'!$C$4,"Overdue","Current")))))</f>
        <v>Current</v>
      </c>
      <c r="AA504" s="34" t="n">
        <f aca="false">IF(I504="N/A","",IF(Z504&lt;&gt;"Current",4,IF(MAX(M504,T504)=0,4,MAX(M504,T504))))</f>
        <v>2</v>
      </c>
      <c r="AB504" s="7" t="str">
        <f aca="false">IF(AA504="","N/A",IF(Z504&lt;&gt;"Current","Not tested / overdue",INDEX('Residual Config'!$B$11:$B$14,AA504)))</f>
        <v>Largely effective</v>
      </c>
      <c r="AC504" s="36" t="n">
        <f aca="false">IF(AA504="","",INDEX('Residual Config'!$D$11:$D$14,AA504))</f>
        <v>0.4</v>
      </c>
      <c r="AD504" s="7" t="str">
        <f aca="false">IF(OR(I504="N/A",P504="",Q504=""),"",IF(P504&gt;=Q504,"Yes","No"))</f>
        <v>Yes</v>
      </c>
      <c r="AE504" s="8"/>
    </row>
    <row r="505" customFormat="false" ht="15" hidden="false" customHeight="false" outlineLevel="0" collapsed="false">
      <c r="A505" s="12" t="s">
        <v>1975</v>
      </c>
      <c r="B505" s="26" t="str">
        <f aca="false">Entities!$A$16</f>
        <v>QA</v>
      </c>
      <c r="C505" s="12" t="str">
        <f aca="false">INDEX(Entities!$B$5:$B$34,MATCH(B505,Entities!$A$5:$A$34,0))</f>
        <v>Arab Bank – Qatar</v>
      </c>
      <c r="D505" s="7" t="str">
        <f aca="false">INDEX(Entities!$F$5:$F$34,MATCH(B505,Entities!$A$5:$A$34,0))</f>
        <v>Tier 2</v>
      </c>
      <c r="E505" s="26" t="str">
        <f aca="false">'Control Library'!$A$32</f>
        <v>CTL-CON-02</v>
      </c>
      <c r="F505" s="12" t="str">
        <f aca="false">INDEX('Control Library'!$B$5:$B$47,MATCH(E505,'Control Library'!$A$5:$A$47,0))</f>
        <v>Complaints handling and root-cause analysis</v>
      </c>
      <c r="G505" s="7" t="str">
        <f aca="false">INDEX('Control Library'!$F$5:$F$47,MATCH(E505,'Control Library'!$A$5:$A$47,0))</f>
        <v>N</v>
      </c>
      <c r="H505" s="12" t="str">
        <f aca="false">INDEX('Control Library'!$E$5:$E$47,MATCH(E505,'Control Library'!$A$5:$A$47,0))</f>
        <v>Monthly</v>
      </c>
      <c r="I505" s="7" t="str">
        <f aca="false">IF(INDEX('Control Library'!$I$5:$I$47,MATCH(E505,'Control Library'!$A$5:$A$47,0))="All","Y",IF(INDEX('Control Library'!$I$5:$I$47,MATCH(E505,'Control Library'!$A$5:$A$47,0))="Banks only",IF(COUNTIF('Residual Config'!$L$28:$L$30,INDEX(Entities!$E$5:$E$34,MATCH(B505,Entities!$A$5:$A$34,0)))&gt;0,"N/A","Y"),IF(INDEX(Entities!$G$5:$G$34,MATCH(B505,Entities!$A$5:$A$34,0))="Y","Y","N/A")))</f>
        <v>Y</v>
      </c>
      <c r="J505" s="8" t="s">
        <v>1976</v>
      </c>
      <c r="K505" s="8" t="s">
        <v>1911</v>
      </c>
      <c r="L505" s="7" t="str">
        <f aca="false">IF(OR(J505="",K505=""),"",IF(J505=K505,"Breach","OK"))</f>
        <v>OK</v>
      </c>
      <c r="M505" s="24" t="n">
        <v>2</v>
      </c>
      <c r="N505" s="50" t="n">
        <v>46010</v>
      </c>
      <c r="O505" s="8" t="s">
        <v>545</v>
      </c>
      <c r="P505" s="24" t="n">
        <v>3</v>
      </c>
      <c r="Q505" s="31" t="n">
        <f aca="false">IF(I505="N/A","",IFERROR(INDEX('Residual Config'!$B$35:$B$42,MATCH(H505,'Residual Config'!$A$35:$A$42,0)),""))</f>
        <v>3</v>
      </c>
      <c r="R505" s="24" t="n">
        <v>0</v>
      </c>
      <c r="S505" s="8" t="s">
        <v>516</v>
      </c>
      <c r="T505" s="31" t="n">
        <f aca="false">IF(S505="","",MATCH(S505,'Residual Config'!$L$9:$L$12,0))</f>
        <v>1</v>
      </c>
      <c r="U505" s="8" t="s">
        <v>1977</v>
      </c>
      <c r="V505" s="24" t="n">
        <v>6</v>
      </c>
      <c r="W505" s="33" t="s">
        <v>533</v>
      </c>
      <c r="X505" s="8" t="s">
        <v>760</v>
      </c>
      <c r="Y505" s="51" t="n">
        <f aca="false">IF(N505="","",EDATE(N505,IF(G505="N",INDEX('Residual Config'!$B$31:$D$31,1,MATCH(D505,'Residual Config'!$B$27:$D$27,0)),INDEX('Residual Config'!$B$28:$D$30,IF(T505=1,1,IF(T505=4,3,2)),MATCH(D505,'Residual Config'!$B$27:$D$27,0)))))</f>
        <v>46375</v>
      </c>
      <c r="Z505" s="7" t="str">
        <f aca="false">IF(I505="N/A","N/A",IF(N505="","Not tested",IF(W505="Rejected","Evidence rejected",IF(W505&lt;&gt;"Accepted","Evidence pending",IF(Y505&lt;'Residual Config'!$C$4,"Overdue","Current")))))</f>
        <v>Current</v>
      </c>
      <c r="AA505" s="34" t="n">
        <f aca="false">IF(I505="N/A","",IF(Z505&lt;&gt;"Current",4,IF(MAX(M505,T505)=0,4,MAX(M505,T505))))</f>
        <v>2</v>
      </c>
      <c r="AB505" s="7" t="str">
        <f aca="false">IF(AA505="","N/A",IF(Z505&lt;&gt;"Current","Not tested / overdue",INDEX('Residual Config'!$B$11:$B$14,AA505)))</f>
        <v>Largely effective</v>
      </c>
      <c r="AC505" s="36" t="n">
        <f aca="false">IF(AA505="","",INDEX('Residual Config'!$D$11:$D$14,AA505))</f>
        <v>0.4</v>
      </c>
      <c r="AD505" s="7" t="str">
        <f aca="false">IF(OR(I505="N/A",P505="",Q505=""),"",IF(P505&gt;=Q505,"Yes","No"))</f>
        <v>Yes</v>
      </c>
      <c r="AE505" s="8"/>
    </row>
    <row r="506" customFormat="false" ht="15" hidden="false" customHeight="false" outlineLevel="0" collapsed="false">
      <c r="A506" s="12" t="s">
        <v>1978</v>
      </c>
      <c r="B506" s="26" t="str">
        <f aca="false">Entities!$A$16</f>
        <v>QA</v>
      </c>
      <c r="C506" s="12" t="str">
        <f aca="false">INDEX(Entities!$B$5:$B$34,MATCH(B506,Entities!$A$5:$A$34,0))</f>
        <v>Arab Bank – Qatar</v>
      </c>
      <c r="D506" s="7" t="str">
        <f aca="false">INDEX(Entities!$F$5:$F$34,MATCH(B506,Entities!$A$5:$A$34,0))</f>
        <v>Tier 2</v>
      </c>
      <c r="E506" s="26" t="str">
        <f aca="false">'Control Library'!$A$33</f>
        <v>CTL-DP-01</v>
      </c>
      <c r="F506" s="12" t="str">
        <f aca="false">INDEX('Control Library'!$B$5:$B$47,MATCH(E506,'Control Library'!$A$5:$A$47,0))</f>
        <v>Data protection impact assessments and processing records</v>
      </c>
      <c r="G506" s="7" t="str">
        <f aca="false">INDEX('Control Library'!$F$5:$F$47,MATCH(E506,'Control Library'!$A$5:$A$47,0))</f>
        <v>Y</v>
      </c>
      <c r="H506" s="12" t="str">
        <f aca="false">INDEX('Control Library'!$E$5:$E$47,MATCH(E506,'Control Library'!$A$5:$A$47,0))</f>
        <v>Event-driven</v>
      </c>
      <c r="I506" s="7" t="str">
        <f aca="false">IF(INDEX('Control Library'!$I$5:$I$47,MATCH(E506,'Control Library'!$A$5:$A$47,0))="All","Y",IF(INDEX('Control Library'!$I$5:$I$47,MATCH(E506,'Control Library'!$A$5:$A$47,0))="Banks only",IF(COUNTIF('Residual Config'!$L$28:$L$30,INDEX(Entities!$E$5:$E$34,MATCH(B506,Entities!$A$5:$A$34,0)))&gt;0,"N/A","Y"),IF(INDEX(Entities!$G$5:$G$34,MATCH(B506,Entities!$A$5:$A$34,0))="Y","Y","N/A")))</f>
        <v>Y</v>
      </c>
      <c r="J506" s="8" t="s">
        <v>1979</v>
      </c>
      <c r="K506" s="8" t="s">
        <v>1911</v>
      </c>
      <c r="L506" s="7" t="str">
        <f aca="false">IF(OR(J506="",K506=""),"",IF(J506=K506,"Breach","OK"))</f>
        <v>OK</v>
      </c>
      <c r="M506" s="24" t="n">
        <v>1</v>
      </c>
      <c r="N506" s="50" t="n">
        <v>46207</v>
      </c>
      <c r="O506" s="8" t="s">
        <v>546</v>
      </c>
      <c r="P506" s="24" t="n">
        <v>35</v>
      </c>
      <c r="Q506" s="31" t="n">
        <f aca="false">IF(I506="N/A","",IFERROR(INDEX('Residual Config'!$B$35:$B$42,MATCH(H506,'Residual Config'!$A$35:$A$42,0)),""))</f>
        <v>25</v>
      </c>
      <c r="R506" s="24" t="n">
        <v>3</v>
      </c>
      <c r="S506" s="8" t="s">
        <v>524</v>
      </c>
      <c r="T506" s="31" t="n">
        <f aca="false">IF(S506="","",MATCH(S506,'Residual Config'!$L$9:$L$12,0))</f>
        <v>3</v>
      </c>
      <c r="U506" s="8" t="s">
        <v>1980</v>
      </c>
      <c r="V506" s="24" t="n">
        <v>3</v>
      </c>
      <c r="W506" s="33" t="s">
        <v>533</v>
      </c>
      <c r="X506" s="8" t="s">
        <v>760</v>
      </c>
      <c r="Y506" s="51" t="n">
        <f aca="false">IF(N506="","",EDATE(N506,IF(G506="N",INDEX('Residual Config'!$B$31:$D$31,1,MATCH(D506,'Residual Config'!$B$27:$D$27,0)),INDEX('Residual Config'!$B$28:$D$30,IF(T506=1,1,IF(T506=4,3,2)),MATCH(D506,'Residual Config'!$B$27:$D$27,0)))))</f>
        <v>46391</v>
      </c>
      <c r="Z506" s="7" t="str">
        <f aca="false">IF(I506="N/A","N/A",IF(N506="","Not tested",IF(W506="Rejected","Evidence rejected",IF(W506&lt;&gt;"Accepted","Evidence pending",IF(Y506&lt;'Residual Config'!$C$4,"Overdue","Current")))))</f>
        <v>Current</v>
      </c>
      <c r="AA506" s="34" t="n">
        <f aca="false">IF(I506="N/A","",IF(Z506&lt;&gt;"Current",4,IF(MAX(M506,T506)=0,4,MAX(M506,T506))))</f>
        <v>3</v>
      </c>
      <c r="AB506" s="7" t="str">
        <f aca="false">IF(AA506="","N/A",IF(Z506&lt;&gt;"Current","Not tested / overdue",INDEX('Residual Config'!$B$11:$B$14,AA506)))</f>
        <v>Partially effective</v>
      </c>
      <c r="AC506" s="36" t="n">
        <f aca="false">IF(AA506="","",INDEX('Residual Config'!$D$11:$D$14,AA506))</f>
        <v>0.2</v>
      </c>
      <c r="AD506" s="7" t="str">
        <f aca="false">IF(OR(I506="N/A",P506="",Q506=""),"",IF(P506&gt;=Q506,"Yes","No"))</f>
        <v>Yes</v>
      </c>
      <c r="AE506" s="8"/>
    </row>
    <row r="507" customFormat="false" ht="15" hidden="false" customHeight="false" outlineLevel="0" collapsed="false">
      <c r="A507" s="12" t="s">
        <v>1981</v>
      </c>
      <c r="B507" s="26" t="str">
        <f aca="false">Entities!$A$16</f>
        <v>QA</v>
      </c>
      <c r="C507" s="12" t="str">
        <f aca="false">INDEX(Entities!$B$5:$B$34,MATCH(B507,Entities!$A$5:$A$34,0))</f>
        <v>Arab Bank – Qatar</v>
      </c>
      <c r="D507" s="7" t="str">
        <f aca="false">INDEX(Entities!$F$5:$F$34,MATCH(B507,Entities!$A$5:$A$34,0))</f>
        <v>Tier 2</v>
      </c>
      <c r="E507" s="26" t="str">
        <f aca="false">'Control Library'!$A$34</f>
        <v>CTL-DP-02</v>
      </c>
      <c r="F507" s="12" t="str">
        <f aca="false">INDEX('Control Library'!$B$5:$B$47,MATCH(E507,'Control Library'!$A$5:$A$47,0))</f>
        <v>Data loss prevention and quarterly access recertification</v>
      </c>
      <c r="G507" s="7" t="str">
        <f aca="false">INDEX('Control Library'!$F$5:$F$47,MATCH(E507,'Control Library'!$A$5:$A$47,0))</f>
        <v>Y</v>
      </c>
      <c r="H507" s="12" t="str">
        <f aca="false">INDEX('Control Library'!$E$5:$E$47,MATCH(E507,'Control Library'!$A$5:$A$47,0))</f>
        <v>Quarterly</v>
      </c>
      <c r="I507" s="7" t="str">
        <f aca="false">IF(INDEX('Control Library'!$I$5:$I$47,MATCH(E507,'Control Library'!$A$5:$A$47,0))="All","Y",IF(INDEX('Control Library'!$I$5:$I$47,MATCH(E507,'Control Library'!$A$5:$A$47,0))="Banks only",IF(COUNTIF('Residual Config'!$L$28:$L$30,INDEX(Entities!$E$5:$E$34,MATCH(B507,Entities!$A$5:$A$34,0)))&gt;0,"N/A","Y"),IF(INDEX(Entities!$G$5:$G$34,MATCH(B507,Entities!$A$5:$A$34,0))="Y","Y","N/A")))</f>
        <v>Y</v>
      </c>
      <c r="J507" s="8" t="s">
        <v>1982</v>
      </c>
      <c r="K507" s="8" t="s">
        <v>1911</v>
      </c>
      <c r="L507" s="7" t="str">
        <f aca="false">IF(OR(J507="",K507=""),"",IF(J507=K507,"Breach","OK"))</f>
        <v>OK</v>
      </c>
      <c r="M507" s="24" t="n">
        <v>2</v>
      </c>
      <c r="N507" s="50" t="n">
        <v>46195</v>
      </c>
      <c r="O507" s="8" t="s">
        <v>546</v>
      </c>
      <c r="P507" s="24" t="n">
        <v>2</v>
      </c>
      <c r="Q507" s="31" t="n">
        <f aca="false">IF(I507="N/A","",IFERROR(INDEX('Residual Config'!$B$35:$B$42,MATCH(H507,'Residual Config'!$A$35:$A$42,0)),""))</f>
        <v>2</v>
      </c>
      <c r="R507" s="24" t="n">
        <v>0</v>
      </c>
      <c r="S507" s="8" t="s">
        <v>516</v>
      </c>
      <c r="T507" s="31" t="n">
        <f aca="false">IF(S507="","",MATCH(S507,'Residual Config'!$L$9:$L$12,0))</f>
        <v>1</v>
      </c>
      <c r="U507" s="8" t="s">
        <v>1983</v>
      </c>
      <c r="V507" s="24" t="n">
        <v>3</v>
      </c>
      <c r="W507" s="33" t="s">
        <v>533</v>
      </c>
      <c r="X507" s="8" t="s">
        <v>754</v>
      </c>
      <c r="Y507" s="51" t="n">
        <f aca="false">IF(N507="","",EDATE(N507,IF(G507="N",INDEX('Residual Config'!$B$31:$D$31,1,MATCH(D507,'Residual Config'!$B$27:$D$27,0)),INDEX('Residual Config'!$B$28:$D$30,IF(T507=1,1,IF(T507=4,3,2)),MATCH(D507,'Residual Config'!$B$27:$D$27,0)))))</f>
        <v>46560</v>
      </c>
      <c r="Z507" s="7" t="str">
        <f aca="false">IF(I507="N/A","N/A",IF(N507="","Not tested",IF(W507="Rejected","Evidence rejected",IF(W507&lt;&gt;"Accepted","Evidence pending",IF(Y507&lt;'Residual Config'!$C$4,"Overdue","Current")))))</f>
        <v>Current</v>
      </c>
      <c r="AA507" s="34" t="n">
        <f aca="false">IF(I507="N/A","",IF(Z507&lt;&gt;"Current",4,IF(MAX(M507,T507)=0,4,MAX(M507,T507))))</f>
        <v>2</v>
      </c>
      <c r="AB507" s="7" t="str">
        <f aca="false">IF(AA507="","N/A",IF(Z507&lt;&gt;"Current","Not tested / overdue",INDEX('Residual Config'!$B$11:$B$14,AA507)))</f>
        <v>Largely effective</v>
      </c>
      <c r="AC507" s="36" t="n">
        <f aca="false">IF(AA507="","",INDEX('Residual Config'!$D$11:$D$14,AA507))</f>
        <v>0.4</v>
      </c>
      <c r="AD507" s="7" t="str">
        <f aca="false">IF(OR(I507="N/A",P507="",Q507=""),"",IF(P507&gt;=Q507,"Yes","No"))</f>
        <v>Yes</v>
      </c>
      <c r="AE507" s="8"/>
    </row>
    <row r="508" customFormat="false" ht="15" hidden="false" customHeight="false" outlineLevel="0" collapsed="false">
      <c r="A508" s="12" t="s">
        <v>1984</v>
      </c>
      <c r="B508" s="26" t="str">
        <f aca="false">Entities!$A$16</f>
        <v>QA</v>
      </c>
      <c r="C508" s="12" t="str">
        <f aca="false">INDEX(Entities!$B$5:$B$34,MATCH(B508,Entities!$A$5:$A$34,0))</f>
        <v>Arab Bank – Qatar</v>
      </c>
      <c r="D508" s="7" t="str">
        <f aca="false">INDEX(Entities!$F$5:$F$34,MATCH(B508,Entities!$A$5:$A$34,0))</f>
        <v>Tier 2</v>
      </c>
      <c r="E508" s="26" t="str">
        <f aca="false">'Control Library'!$A$35</f>
        <v>CTL-SH-01</v>
      </c>
      <c r="F508" s="12" t="str">
        <f aca="false">INDEX('Control Library'!$B$5:$B$47,MATCH(E508,'Control Library'!$A$5:$A$47,0))</f>
        <v>Shariah review of products and income purification</v>
      </c>
      <c r="G508" s="7" t="str">
        <f aca="false">INDEX('Control Library'!$F$5:$F$47,MATCH(E508,'Control Library'!$A$5:$A$47,0))</f>
        <v>Y</v>
      </c>
      <c r="H508" s="12" t="str">
        <f aca="false">INDEX('Control Library'!$E$5:$E$47,MATCH(E508,'Control Library'!$A$5:$A$47,0))</f>
        <v>Quarterly</v>
      </c>
      <c r="I508" s="7" t="str">
        <f aca="false">IF(INDEX('Control Library'!$I$5:$I$47,MATCH(E508,'Control Library'!$A$5:$A$47,0))="All","Y",IF(INDEX('Control Library'!$I$5:$I$47,MATCH(E508,'Control Library'!$A$5:$A$47,0))="Banks only",IF(COUNTIF('Residual Config'!$L$28:$L$30,INDEX(Entities!$E$5:$E$34,MATCH(B508,Entities!$A$5:$A$34,0)))&gt;0,"N/A","Y"),IF(INDEX(Entities!$G$5:$G$34,MATCH(B508,Entities!$A$5:$A$34,0))="Y","Y","N/A")))</f>
        <v>N/A</v>
      </c>
      <c r="J508" s="8"/>
      <c r="K508" s="8"/>
      <c r="L508" s="7" t="str">
        <f aca="false">IF(OR(J508="",K508=""),"",IF(J508=K508,"Breach","OK"))</f>
        <v/>
      </c>
      <c r="M508" s="24"/>
      <c r="N508" s="50"/>
      <c r="O508" s="8"/>
      <c r="P508" s="24"/>
      <c r="Q508" s="31" t="str">
        <f aca="false">IF(I508="N/A","",IFERROR(INDEX('Residual Config'!$B$35:$B$42,MATCH(H508,'Residual Config'!$A$35:$A$42,0)),""))</f>
        <v/>
      </c>
      <c r="R508" s="24"/>
      <c r="S508" s="8"/>
      <c r="T508" s="31" t="str">
        <f aca="false">IF(S508="","",MATCH(S508,'Residual Config'!$L$9:$L$12,0))</f>
        <v/>
      </c>
      <c r="U508" s="8"/>
      <c r="V508" s="24"/>
      <c r="W508" s="33"/>
      <c r="X508" s="8"/>
      <c r="Y508" s="51" t="str">
        <f aca="false">IF(N508="","",EDATE(N508,IF(G508="N",INDEX('Residual Config'!$B$31:$D$31,1,MATCH(D508,'Residual Config'!$B$27:$D$27,0)),INDEX('Residual Config'!$B$28:$D$30,IF(T508=1,1,IF(T508=4,3,2)),MATCH(D508,'Residual Config'!$B$27:$D$27,0)))))</f>
        <v/>
      </c>
      <c r="Z508" s="7" t="str">
        <f aca="false">IF(I508="N/A","N/A",IF(N508="","Not tested",IF(W508="Rejected","Evidence rejected",IF(W508&lt;&gt;"Accepted","Evidence pending",IF(Y508&lt;'Residual Config'!$C$4,"Overdue","Current")))))</f>
        <v>N/A</v>
      </c>
      <c r="AA508" s="34" t="str">
        <f aca="false">IF(I508="N/A","",IF(Z508&lt;&gt;"Current",4,IF(MAX(M508,T508)=0,4,MAX(M508,T508))))</f>
        <v/>
      </c>
      <c r="AB508" s="7" t="str">
        <f aca="false">IF(AA508="","N/A",IF(Z508&lt;&gt;"Current","Not tested / overdue",INDEX('Residual Config'!$B$11:$B$14,AA508)))</f>
        <v>N/A</v>
      </c>
      <c r="AC508" s="36" t="str">
        <f aca="false">IF(AA508="","",INDEX('Residual Config'!$D$11:$D$14,AA508))</f>
        <v/>
      </c>
      <c r="AD508" s="7" t="str">
        <f aca="false">IF(OR(I508="N/A",P508="",Q508=""),"",IF(P508&gt;=Q508,"Yes","No"))</f>
        <v/>
      </c>
      <c r="AE508" s="8"/>
    </row>
    <row r="509" customFormat="false" ht="15" hidden="false" customHeight="false" outlineLevel="0" collapsed="false">
      <c r="A509" s="12" t="s">
        <v>1985</v>
      </c>
      <c r="B509" s="26" t="str">
        <f aca="false">Entities!$A$16</f>
        <v>QA</v>
      </c>
      <c r="C509" s="12" t="str">
        <f aca="false">INDEX(Entities!$B$5:$B$34,MATCH(B509,Entities!$A$5:$A$34,0))</f>
        <v>Arab Bank – Qatar</v>
      </c>
      <c r="D509" s="7" t="str">
        <f aca="false">INDEX(Entities!$F$5:$F$34,MATCH(B509,Entities!$A$5:$A$34,0))</f>
        <v>Tier 2</v>
      </c>
      <c r="E509" s="26" t="str">
        <f aca="false">'Control Library'!$A$36</f>
        <v>CTL-CR-01</v>
      </c>
      <c r="F509" s="12" t="str">
        <f aca="false">INDEX('Control Library'!$B$5:$B$47,MATCH(E509,'Control Library'!$A$5:$A$47,0))</f>
        <v>Credit approval authorities and committee review</v>
      </c>
      <c r="G509" s="7" t="str">
        <f aca="false">INDEX('Control Library'!$F$5:$F$47,MATCH(E509,'Control Library'!$A$5:$A$47,0))</f>
        <v>Y</v>
      </c>
      <c r="H509" s="12" t="str">
        <f aca="false">INDEX('Control Library'!$E$5:$E$47,MATCH(E509,'Control Library'!$A$5:$A$47,0))</f>
        <v>Event-driven</v>
      </c>
      <c r="I509" s="7" t="str">
        <f aca="false">IF(INDEX('Control Library'!$I$5:$I$47,MATCH(E509,'Control Library'!$A$5:$A$47,0))="All","Y",IF(INDEX('Control Library'!$I$5:$I$47,MATCH(E509,'Control Library'!$A$5:$A$47,0))="Banks only",IF(COUNTIF('Residual Config'!$L$28:$L$30,INDEX(Entities!$E$5:$E$34,MATCH(B509,Entities!$A$5:$A$34,0)))&gt;0,"N/A","Y"),IF(INDEX(Entities!$G$5:$G$34,MATCH(B509,Entities!$A$5:$A$34,0))="Y","Y","N/A")))</f>
        <v>Y</v>
      </c>
      <c r="J509" s="8" t="s">
        <v>1986</v>
      </c>
      <c r="K509" s="8" t="s">
        <v>1911</v>
      </c>
      <c r="L509" s="7" t="str">
        <f aca="false">IF(OR(J509="",K509=""),"",IF(J509=K509,"Breach","OK"))</f>
        <v>OK</v>
      </c>
      <c r="M509" s="24" t="n">
        <v>2</v>
      </c>
      <c r="N509" s="50" t="n">
        <v>46278</v>
      </c>
      <c r="O509" s="8" t="s">
        <v>545</v>
      </c>
      <c r="P509" s="24" t="n">
        <v>25</v>
      </c>
      <c r="Q509" s="31" t="n">
        <f aca="false">IF(I509="N/A","",IFERROR(INDEX('Residual Config'!$B$35:$B$42,MATCH(H509,'Residual Config'!$A$35:$A$42,0)),""))</f>
        <v>25</v>
      </c>
      <c r="R509" s="24" t="n">
        <v>1</v>
      </c>
      <c r="S509" s="8" t="s">
        <v>521</v>
      </c>
      <c r="T509" s="31" t="n">
        <f aca="false">IF(S509="","",MATCH(S509,'Residual Config'!$L$9:$L$12,0))</f>
        <v>2</v>
      </c>
      <c r="U509" s="8" t="s">
        <v>1987</v>
      </c>
      <c r="V509" s="24" t="n">
        <v>3</v>
      </c>
      <c r="W509" s="33" t="s">
        <v>533</v>
      </c>
      <c r="X509" s="8" t="s">
        <v>754</v>
      </c>
      <c r="Y509" s="51" t="n">
        <f aca="false">IF(N509="","",EDATE(N509,IF(G509="N",INDEX('Residual Config'!$B$31:$D$31,1,MATCH(D509,'Residual Config'!$B$27:$D$27,0)),INDEX('Residual Config'!$B$28:$D$30,IF(T509=1,1,IF(T509=4,3,2)),MATCH(D509,'Residual Config'!$B$27:$D$27,0)))))</f>
        <v>46459</v>
      </c>
      <c r="Z509" s="7" t="str">
        <f aca="false">IF(I509="N/A","N/A",IF(N509="","Not tested",IF(W509="Rejected","Evidence rejected",IF(W509&lt;&gt;"Accepted","Evidence pending",IF(Y509&lt;'Residual Config'!$C$4,"Overdue","Current")))))</f>
        <v>Current</v>
      </c>
      <c r="AA509" s="34" t="n">
        <f aca="false">IF(I509="N/A","",IF(Z509&lt;&gt;"Current",4,IF(MAX(M509,T509)=0,4,MAX(M509,T509))))</f>
        <v>2</v>
      </c>
      <c r="AB509" s="7" t="str">
        <f aca="false">IF(AA509="","N/A",IF(Z509&lt;&gt;"Current","Not tested / overdue",INDEX('Residual Config'!$B$11:$B$14,AA509)))</f>
        <v>Largely effective</v>
      </c>
      <c r="AC509" s="36" t="n">
        <f aca="false">IF(AA509="","",INDEX('Residual Config'!$D$11:$D$14,AA509))</f>
        <v>0.4</v>
      </c>
      <c r="AD509" s="7" t="str">
        <f aca="false">IF(OR(I509="N/A",P509="",Q509=""),"",IF(P509&gt;=Q509,"Yes","No"))</f>
        <v>Yes</v>
      </c>
      <c r="AE509" s="8"/>
    </row>
    <row r="510" customFormat="false" ht="15" hidden="false" customHeight="false" outlineLevel="0" collapsed="false">
      <c r="A510" s="12" t="s">
        <v>1988</v>
      </c>
      <c r="B510" s="26" t="str">
        <f aca="false">Entities!$A$16</f>
        <v>QA</v>
      </c>
      <c r="C510" s="12" t="str">
        <f aca="false">INDEX(Entities!$B$5:$B$34,MATCH(B510,Entities!$A$5:$A$34,0))</f>
        <v>Arab Bank – Qatar</v>
      </c>
      <c r="D510" s="7" t="str">
        <f aca="false">INDEX(Entities!$F$5:$F$34,MATCH(B510,Entities!$A$5:$A$34,0))</f>
        <v>Tier 2</v>
      </c>
      <c r="E510" s="26" t="str">
        <f aca="false">'Control Library'!$A$37</f>
        <v>CTL-CR-02</v>
      </c>
      <c r="F510" s="12" t="str">
        <f aca="false">INDEX('Control Library'!$B$5:$B$47,MATCH(E510,'Control Library'!$A$5:$A$47,0))</f>
        <v>Collateral valuation and exposure limit monitoring</v>
      </c>
      <c r="G510" s="7" t="str">
        <f aca="false">INDEX('Control Library'!$F$5:$F$47,MATCH(E510,'Control Library'!$A$5:$A$47,0))</f>
        <v>N</v>
      </c>
      <c r="H510" s="12" t="str">
        <f aca="false">INDEX('Control Library'!$E$5:$E$47,MATCH(E510,'Control Library'!$A$5:$A$47,0))</f>
        <v>Monthly</v>
      </c>
      <c r="I510" s="7" t="str">
        <f aca="false">IF(INDEX('Control Library'!$I$5:$I$47,MATCH(E510,'Control Library'!$A$5:$A$47,0))="All","Y",IF(INDEX('Control Library'!$I$5:$I$47,MATCH(E510,'Control Library'!$A$5:$A$47,0))="Banks only",IF(COUNTIF('Residual Config'!$L$28:$L$30,INDEX(Entities!$E$5:$E$34,MATCH(B510,Entities!$A$5:$A$34,0)))&gt;0,"N/A","Y"),IF(INDEX(Entities!$G$5:$G$34,MATCH(B510,Entities!$A$5:$A$34,0))="Y","Y","N/A")))</f>
        <v>Y</v>
      </c>
      <c r="J510" s="8" t="s">
        <v>1989</v>
      </c>
      <c r="K510" s="8" t="s">
        <v>1911</v>
      </c>
      <c r="L510" s="7" t="str">
        <f aca="false">IF(OR(J510="",K510=""),"",IF(J510=K510,"Breach","OK"))</f>
        <v>OK</v>
      </c>
      <c r="M510" s="24" t="n">
        <v>2</v>
      </c>
      <c r="N510" s="50" t="n">
        <v>45986</v>
      </c>
      <c r="O510" s="8" t="s">
        <v>545</v>
      </c>
      <c r="P510" s="24" t="n">
        <v>3</v>
      </c>
      <c r="Q510" s="31" t="n">
        <f aca="false">IF(I510="N/A","",IFERROR(INDEX('Residual Config'!$B$35:$B$42,MATCH(H510,'Residual Config'!$A$35:$A$42,0)),""))</f>
        <v>3</v>
      </c>
      <c r="R510" s="24" t="n">
        <v>0</v>
      </c>
      <c r="S510" s="8" t="s">
        <v>516</v>
      </c>
      <c r="T510" s="31" t="n">
        <f aca="false">IF(S510="","",MATCH(S510,'Residual Config'!$L$9:$L$12,0))</f>
        <v>1</v>
      </c>
      <c r="U510" s="8" t="s">
        <v>1990</v>
      </c>
      <c r="V510" s="24" t="n">
        <v>1</v>
      </c>
      <c r="W510" s="33" t="s">
        <v>533</v>
      </c>
      <c r="X510" s="8" t="s">
        <v>754</v>
      </c>
      <c r="Y510" s="51" t="n">
        <f aca="false">IF(N510="","",EDATE(N510,IF(G510="N",INDEX('Residual Config'!$B$31:$D$31,1,MATCH(D510,'Residual Config'!$B$27:$D$27,0)),INDEX('Residual Config'!$B$28:$D$30,IF(T510=1,1,IF(T510=4,3,2)),MATCH(D510,'Residual Config'!$B$27:$D$27,0)))))</f>
        <v>46351</v>
      </c>
      <c r="Z510" s="7" t="str">
        <f aca="false">IF(I510="N/A","N/A",IF(N510="","Not tested",IF(W510="Rejected","Evidence rejected",IF(W510&lt;&gt;"Accepted","Evidence pending",IF(Y510&lt;'Residual Config'!$C$4,"Overdue","Current")))))</f>
        <v>Current</v>
      </c>
      <c r="AA510" s="34" t="n">
        <f aca="false">IF(I510="N/A","",IF(Z510&lt;&gt;"Current",4,IF(MAX(M510,T510)=0,4,MAX(M510,T510))))</f>
        <v>2</v>
      </c>
      <c r="AB510" s="7" t="str">
        <f aca="false">IF(AA510="","N/A",IF(Z510&lt;&gt;"Current","Not tested / overdue",INDEX('Residual Config'!$B$11:$B$14,AA510)))</f>
        <v>Largely effective</v>
      </c>
      <c r="AC510" s="36" t="n">
        <f aca="false">IF(AA510="","",INDEX('Residual Config'!$D$11:$D$14,AA510))</f>
        <v>0.4</v>
      </c>
      <c r="AD510" s="7" t="str">
        <f aca="false">IF(OR(I510="N/A",P510="",Q510=""),"",IF(P510&gt;=Q510,"Yes","No"))</f>
        <v>Yes</v>
      </c>
      <c r="AE510" s="8"/>
    </row>
    <row r="511" customFormat="false" ht="15" hidden="false" customHeight="false" outlineLevel="0" collapsed="false">
      <c r="A511" s="12" t="s">
        <v>1991</v>
      </c>
      <c r="B511" s="26" t="str">
        <f aca="false">Entities!$A$16</f>
        <v>QA</v>
      </c>
      <c r="C511" s="12" t="str">
        <f aca="false">INDEX(Entities!$B$5:$B$34,MATCH(B511,Entities!$A$5:$A$34,0))</f>
        <v>Arab Bank – Qatar</v>
      </c>
      <c r="D511" s="7" t="str">
        <f aca="false">INDEX(Entities!$F$5:$F$34,MATCH(B511,Entities!$A$5:$A$34,0))</f>
        <v>Tier 2</v>
      </c>
      <c r="E511" s="26" t="str">
        <f aca="false">'Control Library'!$A$38</f>
        <v>CTL-MR-01</v>
      </c>
      <c r="F511" s="12" t="str">
        <f aca="false">INDEX('Control Library'!$B$5:$B$47,MATCH(E511,'Control Library'!$A$5:$A$47,0))</f>
        <v>Market risk limits and daily VaR monitoring</v>
      </c>
      <c r="G511" s="7" t="str">
        <f aca="false">INDEX('Control Library'!$F$5:$F$47,MATCH(E511,'Control Library'!$A$5:$A$47,0))</f>
        <v>Y</v>
      </c>
      <c r="H511" s="12" t="str">
        <f aca="false">INDEX('Control Library'!$E$5:$E$47,MATCH(E511,'Control Library'!$A$5:$A$47,0))</f>
        <v>Daily</v>
      </c>
      <c r="I511" s="7" t="str">
        <f aca="false">IF(INDEX('Control Library'!$I$5:$I$47,MATCH(E511,'Control Library'!$A$5:$A$47,0))="All","Y",IF(INDEX('Control Library'!$I$5:$I$47,MATCH(E511,'Control Library'!$A$5:$A$47,0))="Banks only",IF(COUNTIF('Residual Config'!$L$28:$L$30,INDEX(Entities!$E$5:$E$34,MATCH(B511,Entities!$A$5:$A$34,0)))&gt;0,"N/A","Y"),IF(INDEX(Entities!$G$5:$G$34,MATCH(B511,Entities!$A$5:$A$34,0))="Y","Y","N/A")))</f>
        <v>Y</v>
      </c>
      <c r="J511" s="8" t="s">
        <v>1989</v>
      </c>
      <c r="K511" s="8" t="s">
        <v>1911</v>
      </c>
      <c r="L511" s="7" t="str">
        <f aca="false">IF(OR(J511="",K511=""),"",IF(J511=K511,"Breach","OK"))</f>
        <v>OK</v>
      </c>
      <c r="M511" s="24" t="n">
        <v>1</v>
      </c>
      <c r="N511" s="50" t="n">
        <v>46218</v>
      </c>
      <c r="O511" s="8" t="s">
        <v>547</v>
      </c>
      <c r="P511" s="24" t="n">
        <v>25</v>
      </c>
      <c r="Q511" s="31" t="n">
        <f aca="false">IF(I511="N/A","",IFERROR(INDEX('Residual Config'!$B$35:$B$42,MATCH(H511,'Residual Config'!$A$35:$A$42,0)),""))</f>
        <v>25</v>
      </c>
      <c r="R511" s="24" t="n">
        <v>1</v>
      </c>
      <c r="S511" s="8" t="s">
        <v>521</v>
      </c>
      <c r="T511" s="31" t="n">
        <f aca="false">IF(S511="","",MATCH(S511,'Residual Config'!$L$9:$L$12,0))</f>
        <v>2</v>
      </c>
      <c r="U511" s="8" t="s">
        <v>1992</v>
      </c>
      <c r="V511" s="24" t="n">
        <v>2</v>
      </c>
      <c r="W511" s="33" t="s">
        <v>533</v>
      </c>
      <c r="X511" s="8" t="s">
        <v>754</v>
      </c>
      <c r="Y511" s="51" t="n">
        <f aca="false">IF(N511="","",EDATE(N511,IF(G511="N",INDEX('Residual Config'!$B$31:$D$31,1,MATCH(D511,'Residual Config'!$B$27:$D$27,0)),INDEX('Residual Config'!$B$28:$D$30,IF(T511=1,1,IF(T511=4,3,2)),MATCH(D511,'Residual Config'!$B$27:$D$27,0)))))</f>
        <v>46402</v>
      </c>
      <c r="Z511" s="7" t="str">
        <f aca="false">IF(I511="N/A","N/A",IF(N511="","Not tested",IF(W511="Rejected","Evidence rejected",IF(W511&lt;&gt;"Accepted","Evidence pending",IF(Y511&lt;'Residual Config'!$C$4,"Overdue","Current")))))</f>
        <v>Current</v>
      </c>
      <c r="AA511" s="34" t="n">
        <f aca="false">IF(I511="N/A","",IF(Z511&lt;&gt;"Current",4,IF(MAX(M511,T511)=0,4,MAX(M511,T511))))</f>
        <v>2</v>
      </c>
      <c r="AB511" s="7" t="str">
        <f aca="false">IF(AA511="","N/A",IF(Z511&lt;&gt;"Current","Not tested / overdue",INDEX('Residual Config'!$B$11:$B$14,AA511)))</f>
        <v>Largely effective</v>
      </c>
      <c r="AC511" s="36" t="n">
        <f aca="false">IF(AA511="","",INDEX('Residual Config'!$D$11:$D$14,AA511))</f>
        <v>0.4</v>
      </c>
      <c r="AD511" s="7" t="str">
        <f aca="false">IF(OR(I511="N/A",P511="",Q511=""),"",IF(P511&gt;=Q511,"Yes","No"))</f>
        <v>Yes</v>
      </c>
      <c r="AE511" s="8"/>
    </row>
    <row r="512" customFormat="false" ht="15" hidden="false" customHeight="false" outlineLevel="0" collapsed="false">
      <c r="A512" s="12" t="s">
        <v>1993</v>
      </c>
      <c r="B512" s="26" t="str">
        <f aca="false">Entities!$A$16</f>
        <v>QA</v>
      </c>
      <c r="C512" s="12" t="str">
        <f aca="false">INDEX(Entities!$B$5:$B$34,MATCH(B512,Entities!$A$5:$A$34,0))</f>
        <v>Arab Bank – Qatar</v>
      </c>
      <c r="D512" s="7" t="str">
        <f aca="false">INDEX(Entities!$F$5:$F$34,MATCH(B512,Entities!$A$5:$A$34,0))</f>
        <v>Tier 2</v>
      </c>
      <c r="E512" s="26" t="str">
        <f aca="false">'Control Library'!$A$39</f>
        <v>CTL-LQ-01</v>
      </c>
      <c r="F512" s="12" t="str">
        <f aca="false">INDEX('Control Library'!$B$5:$B$47,MATCH(E512,'Control Library'!$A$5:$A$47,0))</f>
        <v>Liquidity buffers, LCR/NSFR monitoring and contingency funding plan</v>
      </c>
      <c r="G512" s="7" t="str">
        <f aca="false">INDEX('Control Library'!$F$5:$F$47,MATCH(E512,'Control Library'!$A$5:$A$47,0))</f>
        <v>Y</v>
      </c>
      <c r="H512" s="12" t="str">
        <f aca="false">INDEX('Control Library'!$E$5:$E$47,MATCH(E512,'Control Library'!$A$5:$A$47,0))</f>
        <v>Daily</v>
      </c>
      <c r="I512" s="7" t="str">
        <f aca="false">IF(INDEX('Control Library'!$I$5:$I$47,MATCH(E512,'Control Library'!$A$5:$A$47,0))="All","Y",IF(INDEX('Control Library'!$I$5:$I$47,MATCH(E512,'Control Library'!$A$5:$A$47,0))="Banks only",IF(COUNTIF('Residual Config'!$L$28:$L$30,INDEX(Entities!$E$5:$E$34,MATCH(B512,Entities!$A$5:$A$34,0)))&gt;0,"N/A","Y"),IF(INDEX(Entities!$G$5:$G$34,MATCH(B512,Entities!$A$5:$A$34,0))="Y","Y","N/A")))</f>
        <v>Y</v>
      </c>
      <c r="J512" s="8" t="s">
        <v>1994</v>
      </c>
      <c r="K512" s="8" t="s">
        <v>1911</v>
      </c>
      <c r="L512" s="7" t="str">
        <f aca="false">IF(OR(J512="",K512=""),"",IF(J512=K512,"Breach","OK"))</f>
        <v>OK</v>
      </c>
      <c r="M512" s="24" t="n">
        <v>2</v>
      </c>
      <c r="N512" s="50" t="n">
        <v>46031</v>
      </c>
      <c r="O512" s="8" t="s">
        <v>545</v>
      </c>
      <c r="P512" s="24" t="n">
        <v>25</v>
      </c>
      <c r="Q512" s="31" t="n">
        <f aca="false">IF(I512="N/A","",IFERROR(INDEX('Residual Config'!$B$35:$B$42,MATCH(H512,'Residual Config'!$A$35:$A$42,0)),""))</f>
        <v>25</v>
      </c>
      <c r="R512" s="24" t="n">
        <v>0</v>
      </c>
      <c r="S512" s="8" t="s">
        <v>516</v>
      </c>
      <c r="T512" s="31" t="n">
        <f aca="false">IF(S512="","",MATCH(S512,'Residual Config'!$L$9:$L$12,0))</f>
        <v>1</v>
      </c>
      <c r="U512" s="8" t="s">
        <v>1995</v>
      </c>
      <c r="V512" s="24" t="n">
        <v>5</v>
      </c>
      <c r="W512" s="33" t="s">
        <v>533</v>
      </c>
      <c r="X512" s="8" t="s">
        <v>760</v>
      </c>
      <c r="Y512" s="51" t="n">
        <f aca="false">IF(N512="","",EDATE(N512,IF(G512="N",INDEX('Residual Config'!$B$31:$D$31,1,MATCH(D512,'Residual Config'!$B$27:$D$27,0)),INDEX('Residual Config'!$B$28:$D$30,IF(T512=1,1,IF(T512=4,3,2)),MATCH(D512,'Residual Config'!$B$27:$D$27,0)))))</f>
        <v>46396</v>
      </c>
      <c r="Z512" s="7" t="str">
        <f aca="false">IF(I512="N/A","N/A",IF(N512="","Not tested",IF(W512="Rejected","Evidence rejected",IF(W512&lt;&gt;"Accepted","Evidence pending",IF(Y512&lt;'Residual Config'!$C$4,"Overdue","Current")))))</f>
        <v>Current</v>
      </c>
      <c r="AA512" s="34" t="n">
        <f aca="false">IF(I512="N/A","",IF(Z512&lt;&gt;"Current",4,IF(MAX(M512,T512)=0,4,MAX(M512,T512))))</f>
        <v>2</v>
      </c>
      <c r="AB512" s="7" t="str">
        <f aca="false">IF(AA512="","N/A",IF(Z512&lt;&gt;"Current","Not tested / overdue",INDEX('Residual Config'!$B$11:$B$14,AA512)))</f>
        <v>Largely effective</v>
      </c>
      <c r="AC512" s="36" t="n">
        <f aca="false">IF(AA512="","",INDEX('Residual Config'!$D$11:$D$14,AA512))</f>
        <v>0.4</v>
      </c>
      <c r="AD512" s="7" t="str">
        <f aca="false">IF(OR(I512="N/A",P512="",Q512=""),"",IF(P512&gt;=Q512,"Yes","No"))</f>
        <v>Yes</v>
      </c>
      <c r="AE512" s="8"/>
    </row>
    <row r="513" customFormat="false" ht="15" hidden="false" customHeight="false" outlineLevel="0" collapsed="false">
      <c r="A513" s="12" t="s">
        <v>1996</v>
      </c>
      <c r="B513" s="26" t="str">
        <f aca="false">Entities!$A$16</f>
        <v>QA</v>
      </c>
      <c r="C513" s="12" t="str">
        <f aca="false">INDEX(Entities!$B$5:$B$34,MATCH(B513,Entities!$A$5:$A$34,0))</f>
        <v>Arab Bank – Qatar</v>
      </c>
      <c r="D513" s="7" t="str">
        <f aca="false">INDEX(Entities!$F$5:$F$34,MATCH(B513,Entities!$A$5:$A$34,0))</f>
        <v>Tier 2</v>
      </c>
      <c r="E513" s="26" t="str">
        <f aca="false">'Control Library'!$A$40</f>
        <v>CTL-OR-01</v>
      </c>
      <c r="F513" s="12" t="str">
        <f aca="false">INDEX('Control Library'!$B$5:$B$47,MATCH(E513,'Control Library'!$A$5:$A$47,0))</f>
        <v>Business continuity plans and annual testing</v>
      </c>
      <c r="G513" s="7" t="str">
        <f aca="false">INDEX('Control Library'!$F$5:$F$47,MATCH(E513,'Control Library'!$A$5:$A$47,0))</f>
        <v>Y</v>
      </c>
      <c r="H513" s="12" t="str">
        <f aca="false">INDEX('Control Library'!$E$5:$E$47,MATCH(E513,'Control Library'!$A$5:$A$47,0))</f>
        <v>Annual</v>
      </c>
      <c r="I513" s="7" t="str">
        <f aca="false">IF(INDEX('Control Library'!$I$5:$I$47,MATCH(E513,'Control Library'!$A$5:$A$47,0))="All","Y",IF(INDEX('Control Library'!$I$5:$I$47,MATCH(E513,'Control Library'!$A$5:$A$47,0))="Banks only",IF(COUNTIF('Residual Config'!$L$28:$L$30,INDEX(Entities!$E$5:$E$34,MATCH(B513,Entities!$A$5:$A$34,0)))&gt;0,"N/A","Y"),IF(INDEX(Entities!$G$5:$G$34,MATCH(B513,Entities!$A$5:$A$34,0))="Y","Y","N/A")))</f>
        <v>Y</v>
      </c>
      <c r="J513" s="8" t="s">
        <v>1997</v>
      </c>
      <c r="K513" s="8" t="s">
        <v>1911</v>
      </c>
      <c r="L513" s="7" t="str">
        <f aca="false">IF(OR(J513="",K513=""),"",IF(J513=K513,"Breach","OK"))</f>
        <v>OK</v>
      </c>
      <c r="M513" s="24" t="n">
        <v>1</v>
      </c>
      <c r="N513" s="50" t="n">
        <v>46169</v>
      </c>
      <c r="O513" s="8" t="s">
        <v>545</v>
      </c>
      <c r="P513" s="24" t="n">
        <v>1</v>
      </c>
      <c r="Q513" s="31" t="n">
        <f aca="false">IF(I513="N/A","",IFERROR(INDEX('Residual Config'!$B$35:$B$42,MATCH(H513,'Residual Config'!$A$35:$A$42,0)),""))</f>
        <v>1</v>
      </c>
      <c r="R513" s="24" t="n">
        <v>1</v>
      </c>
      <c r="S513" s="8" t="s">
        <v>521</v>
      </c>
      <c r="T513" s="31" t="n">
        <f aca="false">IF(S513="","",MATCH(S513,'Residual Config'!$L$9:$L$12,0))</f>
        <v>2</v>
      </c>
      <c r="U513" s="8" t="s">
        <v>1998</v>
      </c>
      <c r="V513" s="24" t="n">
        <v>6</v>
      </c>
      <c r="W513" s="33" t="s">
        <v>536</v>
      </c>
      <c r="X513" s="8"/>
      <c r="Y513" s="51" t="n">
        <f aca="false">IF(N513="","",EDATE(N513,IF(G513="N",INDEX('Residual Config'!$B$31:$D$31,1,MATCH(D513,'Residual Config'!$B$27:$D$27,0)),INDEX('Residual Config'!$B$28:$D$30,IF(T513=1,1,IF(T513=4,3,2)),MATCH(D513,'Residual Config'!$B$27:$D$27,0)))))</f>
        <v>46353</v>
      </c>
      <c r="Z513" s="7" t="str">
        <f aca="false">IF(I513="N/A","N/A",IF(N513="","Not tested",IF(W513="Rejected","Evidence rejected",IF(W513&lt;&gt;"Accepted","Evidence pending",IF(Y513&lt;'Residual Config'!$C$4,"Overdue","Current")))))</f>
        <v>Evidence pending</v>
      </c>
      <c r="AA513" s="34" t="n">
        <f aca="false">IF(I513="N/A","",IF(Z513&lt;&gt;"Current",4,IF(MAX(M513,T513)=0,4,MAX(M513,T513))))</f>
        <v>4</v>
      </c>
      <c r="AB513" s="7" t="str">
        <f aca="false">IF(AA513="","N/A",IF(Z513&lt;&gt;"Current","Not tested / overdue",INDEX('Residual Config'!$B$11:$B$14,AA513)))</f>
        <v>Not tested / overdue</v>
      </c>
      <c r="AC513" s="36" t="n">
        <f aca="false">IF(AA513="","",INDEX('Residual Config'!$D$11:$D$14,AA513))</f>
        <v>0</v>
      </c>
      <c r="AD513" s="7" t="str">
        <f aca="false">IF(OR(I513="N/A",P513="",Q513=""),"",IF(P513&gt;=Q513,"Yes","No"))</f>
        <v>Yes</v>
      </c>
      <c r="AE513" s="8"/>
    </row>
    <row r="514" customFormat="false" ht="15" hidden="false" customHeight="false" outlineLevel="0" collapsed="false">
      <c r="A514" s="12" t="s">
        <v>1999</v>
      </c>
      <c r="B514" s="26" t="str">
        <f aca="false">Entities!$A$16</f>
        <v>QA</v>
      </c>
      <c r="C514" s="12" t="str">
        <f aca="false">INDEX(Entities!$B$5:$B$34,MATCH(B514,Entities!$A$5:$A$34,0))</f>
        <v>Arab Bank – Qatar</v>
      </c>
      <c r="D514" s="7" t="str">
        <f aca="false">INDEX(Entities!$F$5:$F$34,MATCH(B514,Entities!$A$5:$A$34,0))</f>
        <v>Tier 2</v>
      </c>
      <c r="E514" s="26" t="str">
        <f aca="false">'Control Library'!$A$41</f>
        <v>CTL-OR-02</v>
      </c>
      <c r="F514" s="12" t="str">
        <f aca="false">INDEX('Control Library'!$B$5:$B$47,MATCH(E514,'Control Library'!$A$5:$A$47,0))</f>
        <v>Operational loss event capture and RCSA</v>
      </c>
      <c r="G514" s="7" t="str">
        <f aca="false">INDEX('Control Library'!$F$5:$F$47,MATCH(E514,'Control Library'!$A$5:$A$47,0))</f>
        <v>N</v>
      </c>
      <c r="H514" s="12" t="str">
        <f aca="false">INDEX('Control Library'!$E$5:$E$47,MATCH(E514,'Control Library'!$A$5:$A$47,0))</f>
        <v>Quarterly</v>
      </c>
      <c r="I514" s="7" t="str">
        <f aca="false">IF(INDEX('Control Library'!$I$5:$I$47,MATCH(E514,'Control Library'!$A$5:$A$47,0))="All","Y",IF(INDEX('Control Library'!$I$5:$I$47,MATCH(E514,'Control Library'!$A$5:$A$47,0))="Banks only",IF(COUNTIF('Residual Config'!$L$28:$L$30,INDEX(Entities!$E$5:$E$34,MATCH(B514,Entities!$A$5:$A$34,0)))&gt;0,"N/A","Y"),IF(INDEX(Entities!$G$5:$G$34,MATCH(B514,Entities!$A$5:$A$34,0))="Y","Y","N/A")))</f>
        <v>Y</v>
      </c>
      <c r="J514" s="8" t="s">
        <v>1989</v>
      </c>
      <c r="K514" s="8" t="s">
        <v>1911</v>
      </c>
      <c r="L514" s="7" t="str">
        <f aca="false">IF(OR(J514="",K514=""),"",IF(J514=K514,"Breach","OK"))</f>
        <v>OK</v>
      </c>
      <c r="M514" s="24" t="n">
        <v>1</v>
      </c>
      <c r="N514" s="50" t="n">
        <v>46221</v>
      </c>
      <c r="O514" s="8" t="s">
        <v>546</v>
      </c>
      <c r="P514" s="24" t="n">
        <v>2</v>
      </c>
      <c r="Q514" s="31" t="n">
        <f aca="false">IF(I514="N/A","",IFERROR(INDEX('Residual Config'!$B$35:$B$42,MATCH(H514,'Residual Config'!$A$35:$A$42,0)),""))</f>
        <v>2</v>
      </c>
      <c r="R514" s="24" t="n">
        <v>0</v>
      </c>
      <c r="S514" s="8" t="s">
        <v>516</v>
      </c>
      <c r="T514" s="31" t="n">
        <f aca="false">IF(S514="","",MATCH(S514,'Residual Config'!$L$9:$L$12,0))</f>
        <v>1</v>
      </c>
      <c r="U514" s="8" t="s">
        <v>2000</v>
      </c>
      <c r="V514" s="24" t="n">
        <v>5</v>
      </c>
      <c r="W514" s="33" t="s">
        <v>533</v>
      </c>
      <c r="X514" s="8" t="s">
        <v>754</v>
      </c>
      <c r="Y514" s="51" t="n">
        <f aca="false">IF(N514="","",EDATE(N514,IF(G514="N",INDEX('Residual Config'!$B$31:$D$31,1,MATCH(D514,'Residual Config'!$B$27:$D$27,0)),INDEX('Residual Config'!$B$28:$D$30,IF(T514=1,1,IF(T514=4,3,2)),MATCH(D514,'Residual Config'!$B$27:$D$27,0)))))</f>
        <v>46586</v>
      </c>
      <c r="Z514" s="7" t="str">
        <f aca="false">IF(I514="N/A","N/A",IF(N514="","Not tested",IF(W514="Rejected","Evidence rejected",IF(W514&lt;&gt;"Accepted","Evidence pending",IF(Y514&lt;'Residual Config'!$C$4,"Overdue","Current")))))</f>
        <v>Current</v>
      </c>
      <c r="AA514" s="34" t="n">
        <f aca="false">IF(I514="N/A","",IF(Z514&lt;&gt;"Current",4,IF(MAX(M514,T514)=0,4,MAX(M514,T514))))</f>
        <v>1</v>
      </c>
      <c r="AB514" s="7" t="str">
        <f aca="false">IF(AA514="","N/A",IF(Z514&lt;&gt;"Current","Not tested / overdue",INDEX('Residual Config'!$B$11:$B$14,AA514)))</f>
        <v>Effective</v>
      </c>
      <c r="AC514" s="36" t="n">
        <f aca="false">IF(AA514="","",INDEX('Residual Config'!$D$11:$D$14,AA514))</f>
        <v>0.6</v>
      </c>
      <c r="AD514" s="7" t="str">
        <f aca="false">IF(OR(I514="N/A",P514="",Q514=""),"",IF(P514&gt;=Q514,"Yes","No"))</f>
        <v>Yes</v>
      </c>
      <c r="AE514" s="8"/>
    </row>
    <row r="515" customFormat="false" ht="15" hidden="false" customHeight="false" outlineLevel="0" collapsed="false">
      <c r="A515" s="12" t="s">
        <v>2001</v>
      </c>
      <c r="B515" s="26" t="str">
        <f aca="false">Entities!$A$16</f>
        <v>QA</v>
      </c>
      <c r="C515" s="12" t="str">
        <f aca="false">INDEX(Entities!$B$5:$B$34,MATCH(B515,Entities!$A$5:$A$34,0))</f>
        <v>Arab Bank – Qatar</v>
      </c>
      <c r="D515" s="7" t="str">
        <f aca="false">INDEX(Entities!$F$5:$F$34,MATCH(B515,Entities!$A$5:$A$34,0))</f>
        <v>Tier 2</v>
      </c>
      <c r="E515" s="26" t="str">
        <f aca="false">'Control Library'!$A$42</f>
        <v>CTL-CY-01</v>
      </c>
      <c r="F515" s="12" t="str">
        <f aca="false">INDEX('Control Library'!$B$5:$B$47,MATCH(E515,'Control Library'!$A$5:$A$47,0))</f>
        <v>Vulnerability and patch management</v>
      </c>
      <c r="G515" s="7" t="str">
        <f aca="false">INDEX('Control Library'!$F$5:$F$47,MATCH(E515,'Control Library'!$A$5:$A$47,0))</f>
        <v>Y</v>
      </c>
      <c r="H515" s="12" t="str">
        <f aca="false">INDEX('Control Library'!$E$5:$E$47,MATCH(E515,'Control Library'!$A$5:$A$47,0))</f>
        <v>Monthly</v>
      </c>
      <c r="I515" s="7" t="str">
        <f aca="false">IF(INDEX('Control Library'!$I$5:$I$47,MATCH(E515,'Control Library'!$A$5:$A$47,0))="All","Y",IF(INDEX('Control Library'!$I$5:$I$47,MATCH(E515,'Control Library'!$A$5:$A$47,0))="Banks only",IF(COUNTIF('Residual Config'!$L$28:$L$30,INDEX(Entities!$E$5:$E$34,MATCH(B515,Entities!$A$5:$A$34,0)))&gt;0,"N/A","Y"),IF(INDEX(Entities!$G$5:$G$34,MATCH(B515,Entities!$A$5:$A$34,0))="Y","Y","N/A")))</f>
        <v>Y</v>
      </c>
      <c r="J515" s="8" t="s">
        <v>1934</v>
      </c>
      <c r="K515" s="8" t="s">
        <v>1911</v>
      </c>
      <c r="L515" s="7" t="str">
        <f aca="false">IF(OR(J515="",K515=""),"",IF(J515=K515,"Breach","OK"))</f>
        <v>OK</v>
      </c>
      <c r="M515" s="24" t="n">
        <v>2</v>
      </c>
      <c r="N515" s="50" t="n">
        <v>46105</v>
      </c>
      <c r="O515" s="8" t="s">
        <v>546</v>
      </c>
      <c r="P515" s="24" t="n">
        <v>3</v>
      </c>
      <c r="Q515" s="31" t="n">
        <f aca="false">IF(I515="N/A","",IFERROR(INDEX('Residual Config'!$B$35:$B$42,MATCH(H515,'Residual Config'!$A$35:$A$42,0)),""))</f>
        <v>3</v>
      </c>
      <c r="R515" s="24" t="n">
        <v>0</v>
      </c>
      <c r="S515" s="8" t="s">
        <v>516</v>
      </c>
      <c r="T515" s="31" t="n">
        <f aca="false">IF(S515="","",MATCH(S515,'Residual Config'!$L$9:$L$12,0))</f>
        <v>1</v>
      </c>
      <c r="U515" s="8" t="s">
        <v>2002</v>
      </c>
      <c r="V515" s="24" t="n">
        <v>1</v>
      </c>
      <c r="W515" s="33" t="s">
        <v>533</v>
      </c>
      <c r="X515" s="8" t="s">
        <v>760</v>
      </c>
      <c r="Y515" s="51" t="n">
        <f aca="false">IF(N515="","",EDATE(N515,IF(G515="N",INDEX('Residual Config'!$B$31:$D$31,1,MATCH(D515,'Residual Config'!$B$27:$D$27,0)),INDEX('Residual Config'!$B$28:$D$30,IF(T515=1,1,IF(T515=4,3,2)),MATCH(D515,'Residual Config'!$B$27:$D$27,0)))))</f>
        <v>46470</v>
      </c>
      <c r="Z515" s="7" t="str">
        <f aca="false">IF(I515="N/A","N/A",IF(N515="","Not tested",IF(W515="Rejected","Evidence rejected",IF(W515&lt;&gt;"Accepted","Evidence pending",IF(Y515&lt;'Residual Config'!$C$4,"Overdue","Current")))))</f>
        <v>Current</v>
      </c>
      <c r="AA515" s="34" t="n">
        <f aca="false">IF(I515="N/A","",IF(Z515&lt;&gt;"Current",4,IF(MAX(M515,T515)=0,4,MAX(M515,T515))))</f>
        <v>2</v>
      </c>
      <c r="AB515" s="7" t="str">
        <f aca="false">IF(AA515="","N/A",IF(Z515&lt;&gt;"Current","Not tested / overdue",INDEX('Residual Config'!$B$11:$B$14,AA515)))</f>
        <v>Largely effective</v>
      </c>
      <c r="AC515" s="36" t="n">
        <f aca="false">IF(AA515="","",INDEX('Residual Config'!$D$11:$D$14,AA515))</f>
        <v>0.4</v>
      </c>
      <c r="AD515" s="7" t="str">
        <f aca="false">IF(OR(I515="N/A",P515="",Q515=""),"",IF(P515&gt;=Q515,"Yes","No"))</f>
        <v>Yes</v>
      </c>
      <c r="AE515" s="8"/>
    </row>
    <row r="516" customFormat="false" ht="15" hidden="false" customHeight="false" outlineLevel="0" collapsed="false">
      <c r="A516" s="12" t="s">
        <v>2003</v>
      </c>
      <c r="B516" s="26" t="str">
        <f aca="false">Entities!$A$16</f>
        <v>QA</v>
      </c>
      <c r="C516" s="12" t="str">
        <f aca="false">INDEX(Entities!$B$5:$B$34,MATCH(B516,Entities!$A$5:$A$34,0))</f>
        <v>Arab Bank – Qatar</v>
      </c>
      <c r="D516" s="7" t="str">
        <f aca="false">INDEX(Entities!$F$5:$F$34,MATCH(B516,Entities!$A$5:$A$34,0))</f>
        <v>Tier 2</v>
      </c>
      <c r="E516" s="26" t="str">
        <f aca="false">'Control Library'!$A$43</f>
        <v>CTL-CY-02</v>
      </c>
      <c r="F516" s="12" t="str">
        <f aca="false">INDEX('Control Library'!$B$5:$B$47,MATCH(E516,'Control Library'!$A$5:$A$47,0))</f>
        <v>Privileged access management and SOC monitoring</v>
      </c>
      <c r="G516" s="7" t="str">
        <f aca="false">INDEX('Control Library'!$F$5:$F$47,MATCH(E516,'Control Library'!$A$5:$A$47,0))</f>
        <v>Y</v>
      </c>
      <c r="H516" s="12" t="str">
        <f aca="false">INDEX('Control Library'!$E$5:$E$47,MATCH(E516,'Control Library'!$A$5:$A$47,0))</f>
        <v>Continuous</v>
      </c>
      <c r="I516" s="7" t="str">
        <f aca="false">IF(INDEX('Control Library'!$I$5:$I$47,MATCH(E516,'Control Library'!$A$5:$A$47,0))="All","Y",IF(INDEX('Control Library'!$I$5:$I$47,MATCH(E516,'Control Library'!$A$5:$A$47,0))="Banks only",IF(COUNTIF('Residual Config'!$L$28:$L$30,INDEX(Entities!$E$5:$E$34,MATCH(B516,Entities!$A$5:$A$34,0)))&gt;0,"N/A","Y"),IF(INDEX(Entities!$G$5:$G$34,MATCH(B516,Entities!$A$5:$A$34,0))="Y","Y","N/A")))</f>
        <v>Y</v>
      </c>
      <c r="J516" s="8" t="s">
        <v>1982</v>
      </c>
      <c r="K516" s="8" t="s">
        <v>1911</v>
      </c>
      <c r="L516" s="7" t="str">
        <f aca="false">IF(OR(J516="",K516=""),"",IF(J516=K516,"Breach","OK"))</f>
        <v>OK</v>
      </c>
      <c r="M516" s="24" t="n">
        <v>1</v>
      </c>
      <c r="N516" s="50" t="n">
        <v>46116</v>
      </c>
      <c r="O516" s="8" t="s">
        <v>546</v>
      </c>
      <c r="P516" s="24" t="n">
        <v>1</v>
      </c>
      <c r="Q516" s="31" t="n">
        <f aca="false">IF(I516="N/A","",IFERROR(INDEX('Residual Config'!$B$35:$B$42,MATCH(H516,'Residual Config'!$A$35:$A$42,0)),""))</f>
        <v>1</v>
      </c>
      <c r="R516" s="24" t="n">
        <v>0</v>
      </c>
      <c r="S516" s="8" t="s">
        <v>516</v>
      </c>
      <c r="T516" s="31" t="n">
        <f aca="false">IF(S516="","",MATCH(S516,'Residual Config'!$L$9:$L$12,0))</f>
        <v>1</v>
      </c>
      <c r="U516" s="8" t="s">
        <v>2004</v>
      </c>
      <c r="V516" s="24" t="n">
        <v>6</v>
      </c>
      <c r="W516" s="33" t="s">
        <v>533</v>
      </c>
      <c r="X516" s="8" t="s">
        <v>754</v>
      </c>
      <c r="Y516" s="51" t="n">
        <f aca="false">IF(N516="","",EDATE(N516,IF(G516="N",INDEX('Residual Config'!$B$31:$D$31,1,MATCH(D516,'Residual Config'!$B$27:$D$27,0)),INDEX('Residual Config'!$B$28:$D$30,IF(T516=1,1,IF(T516=4,3,2)),MATCH(D516,'Residual Config'!$B$27:$D$27,0)))))</f>
        <v>46481</v>
      </c>
      <c r="Z516" s="7" t="str">
        <f aca="false">IF(I516="N/A","N/A",IF(N516="","Not tested",IF(W516="Rejected","Evidence rejected",IF(W516&lt;&gt;"Accepted","Evidence pending",IF(Y516&lt;'Residual Config'!$C$4,"Overdue","Current")))))</f>
        <v>Current</v>
      </c>
      <c r="AA516" s="34" t="n">
        <f aca="false">IF(I516="N/A","",IF(Z516&lt;&gt;"Current",4,IF(MAX(M516,T516)=0,4,MAX(M516,T516))))</f>
        <v>1</v>
      </c>
      <c r="AB516" s="7" t="str">
        <f aca="false">IF(AA516="","N/A",IF(Z516&lt;&gt;"Current","Not tested / overdue",INDEX('Residual Config'!$B$11:$B$14,AA516)))</f>
        <v>Effective</v>
      </c>
      <c r="AC516" s="36" t="n">
        <f aca="false">IF(AA516="","",INDEX('Residual Config'!$D$11:$D$14,AA516))</f>
        <v>0.6</v>
      </c>
      <c r="AD516" s="7" t="str">
        <f aca="false">IF(OR(I516="N/A",P516="",Q516=""),"",IF(P516&gt;=Q516,"Yes","No"))</f>
        <v>Yes</v>
      </c>
      <c r="AE516" s="8"/>
    </row>
    <row r="517" customFormat="false" ht="15" hidden="false" customHeight="false" outlineLevel="0" collapsed="false">
      <c r="A517" s="12" t="s">
        <v>2005</v>
      </c>
      <c r="B517" s="26" t="str">
        <f aca="false">Entities!$A$16</f>
        <v>QA</v>
      </c>
      <c r="C517" s="12" t="str">
        <f aca="false">INDEX(Entities!$B$5:$B$34,MATCH(B517,Entities!$A$5:$A$34,0))</f>
        <v>Arab Bank – Qatar</v>
      </c>
      <c r="D517" s="7" t="str">
        <f aca="false">INDEX(Entities!$F$5:$F$34,MATCH(B517,Entities!$A$5:$A$34,0))</f>
        <v>Tier 2</v>
      </c>
      <c r="E517" s="26" t="str">
        <f aca="false">'Control Library'!$A$44</f>
        <v>CTL-TP-01</v>
      </c>
      <c r="F517" s="12" t="str">
        <f aca="false">INDEX('Control Library'!$B$5:$B$47,MATCH(E517,'Control Library'!$A$5:$A$47,0))</f>
        <v>Critical vendor due diligence and tested exit plans</v>
      </c>
      <c r="G517" s="7" t="str">
        <f aca="false">INDEX('Control Library'!$F$5:$F$47,MATCH(E517,'Control Library'!$A$5:$A$47,0))</f>
        <v>Y</v>
      </c>
      <c r="H517" s="12" t="str">
        <f aca="false">INDEX('Control Library'!$E$5:$E$47,MATCH(E517,'Control Library'!$A$5:$A$47,0))</f>
        <v>Annual</v>
      </c>
      <c r="I517" s="7" t="str">
        <f aca="false">IF(INDEX('Control Library'!$I$5:$I$47,MATCH(E517,'Control Library'!$A$5:$A$47,0))="All","Y",IF(INDEX('Control Library'!$I$5:$I$47,MATCH(E517,'Control Library'!$A$5:$A$47,0))="Banks only",IF(COUNTIF('Residual Config'!$L$28:$L$30,INDEX(Entities!$E$5:$E$34,MATCH(B517,Entities!$A$5:$A$34,0)))&gt;0,"N/A","Y"),IF(INDEX(Entities!$G$5:$G$34,MATCH(B517,Entities!$A$5:$A$34,0))="Y","Y","N/A")))</f>
        <v>Y</v>
      </c>
      <c r="J517" s="8" t="s">
        <v>1950</v>
      </c>
      <c r="K517" s="8" t="s">
        <v>1911</v>
      </c>
      <c r="L517" s="7" t="str">
        <f aca="false">IF(OR(J517="",K517=""),"",IF(J517=K517,"Breach","OK"))</f>
        <v>OK</v>
      </c>
      <c r="M517" s="24" t="n">
        <v>1</v>
      </c>
      <c r="N517" s="50" t="n">
        <v>46215</v>
      </c>
      <c r="O517" s="8" t="s">
        <v>545</v>
      </c>
      <c r="P517" s="24" t="n">
        <v>1</v>
      </c>
      <c r="Q517" s="31" t="n">
        <f aca="false">IF(I517="N/A","",IFERROR(INDEX('Residual Config'!$B$35:$B$42,MATCH(H517,'Residual Config'!$A$35:$A$42,0)),""))</f>
        <v>1</v>
      </c>
      <c r="R517" s="24" t="n">
        <v>1</v>
      </c>
      <c r="S517" s="8" t="s">
        <v>521</v>
      </c>
      <c r="T517" s="31" t="n">
        <f aca="false">IF(S517="","",MATCH(S517,'Residual Config'!$L$9:$L$12,0))</f>
        <v>2</v>
      </c>
      <c r="U517" s="8" t="s">
        <v>2006</v>
      </c>
      <c r="V517" s="24" t="n">
        <v>2</v>
      </c>
      <c r="W517" s="33" t="s">
        <v>533</v>
      </c>
      <c r="X517" s="8" t="s">
        <v>760</v>
      </c>
      <c r="Y517" s="51" t="n">
        <f aca="false">IF(N517="","",EDATE(N517,IF(G517="N",INDEX('Residual Config'!$B$31:$D$31,1,MATCH(D517,'Residual Config'!$B$27:$D$27,0)),INDEX('Residual Config'!$B$28:$D$30,IF(T517=1,1,IF(T517=4,3,2)),MATCH(D517,'Residual Config'!$B$27:$D$27,0)))))</f>
        <v>46399</v>
      </c>
      <c r="Z517" s="7" t="str">
        <f aca="false">IF(I517="N/A","N/A",IF(N517="","Not tested",IF(W517="Rejected","Evidence rejected",IF(W517&lt;&gt;"Accepted","Evidence pending",IF(Y517&lt;'Residual Config'!$C$4,"Overdue","Current")))))</f>
        <v>Current</v>
      </c>
      <c r="AA517" s="34" t="n">
        <f aca="false">IF(I517="N/A","",IF(Z517&lt;&gt;"Current",4,IF(MAX(M517,T517)=0,4,MAX(M517,T517))))</f>
        <v>2</v>
      </c>
      <c r="AB517" s="7" t="str">
        <f aca="false">IF(AA517="","N/A",IF(Z517&lt;&gt;"Current","Not tested / overdue",INDEX('Residual Config'!$B$11:$B$14,AA517)))</f>
        <v>Largely effective</v>
      </c>
      <c r="AC517" s="36" t="n">
        <f aca="false">IF(AA517="","",INDEX('Residual Config'!$D$11:$D$14,AA517))</f>
        <v>0.4</v>
      </c>
      <c r="AD517" s="7" t="str">
        <f aca="false">IF(OR(I517="N/A",P517="",Q517=""),"",IF(P517&gt;=Q517,"Yes","No"))</f>
        <v>Yes</v>
      </c>
      <c r="AE517" s="8"/>
    </row>
    <row r="518" customFormat="false" ht="15" hidden="false" customHeight="false" outlineLevel="0" collapsed="false">
      <c r="A518" s="12" t="s">
        <v>2007</v>
      </c>
      <c r="B518" s="26" t="str">
        <f aca="false">Entities!$A$16</f>
        <v>QA</v>
      </c>
      <c r="C518" s="12" t="str">
        <f aca="false">INDEX(Entities!$B$5:$B$34,MATCH(B518,Entities!$A$5:$A$34,0))</f>
        <v>Arab Bank – Qatar</v>
      </c>
      <c r="D518" s="7" t="str">
        <f aca="false">INDEX(Entities!$F$5:$F$34,MATCH(B518,Entities!$A$5:$A$34,0))</f>
        <v>Tier 2</v>
      </c>
      <c r="E518" s="26" t="str">
        <f aca="false">'Control Library'!$A$45</f>
        <v>CTL-LG-01</v>
      </c>
      <c r="F518" s="12" t="str">
        <f aca="false">INDEX('Control Library'!$B$5:$B$47,MATCH(E518,'Control Library'!$A$5:$A$47,0))</f>
        <v>Legal review of contracts and litigation register</v>
      </c>
      <c r="G518" s="7" t="str">
        <f aca="false">INDEX('Control Library'!$F$5:$F$47,MATCH(E518,'Control Library'!$A$5:$A$47,0))</f>
        <v>Y</v>
      </c>
      <c r="H518" s="12" t="str">
        <f aca="false">INDEX('Control Library'!$E$5:$E$47,MATCH(E518,'Control Library'!$A$5:$A$47,0))</f>
        <v>Event-driven</v>
      </c>
      <c r="I518" s="7" t="str">
        <f aca="false">IF(INDEX('Control Library'!$I$5:$I$47,MATCH(E518,'Control Library'!$A$5:$A$47,0))="All","Y",IF(INDEX('Control Library'!$I$5:$I$47,MATCH(E518,'Control Library'!$A$5:$A$47,0))="Banks only",IF(COUNTIF('Residual Config'!$L$28:$L$30,INDEX(Entities!$E$5:$E$34,MATCH(B518,Entities!$A$5:$A$34,0)))&gt;0,"N/A","Y"),IF(INDEX(Entities!$G$5:$G$34,MATCH(B518,Entities!$A$5:$A$34,0))="Y","Y","N/A")))</f>
        <v>Y</v>
      </c>
      <c r="J518" s="8" t="s">
        <v>2008</v>
      </c>
      <c r="K518" s="8" t="s">
        <v>1911</v>
      </c>
      <c r="L518" s="7" t="str">
        <f aca="false">IF(OR(J518="",K518=""),"",IF(J518=K518,"Breach","OK"))</f>
        <v>OK</v>
      </c>
      <c r="M518" s="24" t="n">
        <v>1</v>
      </c>
      <c r="N518" s="50" t="n">
        <v>46027</v>
      </c>
      <c r="O518" s="8" t="s">
        <v>545</v>
      </c>
      <c r="P518" s="24" t="n">
        <v>35</v>
      </c>
      <c r="Q518" s="31" t="n">
        <f aca="false">IF(I518="N/A","",IFERROR(INDEX('Residual Config'!$B$35:$B$42,MATCH(H518,'Residual Config'!$A$35:$A$42,0)),""))</f>
        <v>25</v>
      </c>
      <c r="R518" s="24" t="n">
        <v>0</v>
      </c>
      <c r="S518" s="8" t="s">
        <v>516</v>
      </c>
      <c r="T518" s="31" t="n">
        <f aca="false">IF(S518="","",MATCH(S518,'Residual Config'!$L$9:$L$12,0))</f>
        <v>1</v>
      </c>
      <c r="U518" s="8" t="s">
        <v>2009</v>
      </c>
      <c r="V518" s="24" t="n">
        <v>2</v>
      </c>
      <c r="W518" s="33" t="s">
        <v>533</v>
      </c>
      <c r="X518" s="8" t="s">
        <v>760</v>
      </c>
      <c r="Y518" s="51" t="n">
        <f aca="false">IF(N518="","",EDATE(N518,IF(G518="N",INDEX('Residual Config'!$B$31:$D$31,1,MATCH(D518,'Residual Config'!$B$27:$D$27,0)),INDEX('Residual Config'!$B$28:$D$30,IF(T518=1,1,IF(T518=4,3,2)),MATCH(D518,'Residual Config'!$B$27:$D$27,0)))))</f>
        <v>46392</v>
      </c>
      <c r="Z518" s="7" t="str">
        <f aca="false">IF(I518="N/A","N/A",IF(N518="","Not tested",IF(W518="Rejected","Evidence rejected",IF(W518&lt;&gt;"Accepted","Evidence pending",IF(Y518&lt;'Residual Config'!$C$4,"Overdue","Current")))))</f>
        <v>Current</v>
      </c>
      <c r="AA518" s="34" t="n">
        <f aca="false">IF(I518="N/A","",IF(Z518&lt;&gt;"Current",4,IF(MAX(M518,T518)=0,4,MAX(M518,T518))))</f>
        <v>1</v>
      </c>
      <c r="AB518" s="7" t="str">
        <f aca="false">IF(AA518="","N/A",IF(Z518&lt;&gt;"Current","Not tested / overdue",INDEX('Residual Config'!$B$11:$B$14,AA518)))</f>
        <v>Effective</v>
      </c>
      <c r="AC518" s="36" t="n">
        <f aca="false">IF(AA518="","",INDEX('Residual Config'!$D$11:$D$14,AA518))</f>
        <v>0.6</v>
      </c>
      <c r="AD518" s="7" t="str">
        <f aca="false">IF(OR(I518="N/A",P518="",Q518=""),"",IF(P518&gt;=Q518,"Yes","No"))</f>
        <v>Yes</v>
      </c>
      <c r="AE518" s="8"/>
    </row>
    <row r="519" customFormat="false" ht="15" hidden="false" customHeight="false" outlineLevel="0" collapsed="false">
      <c r="A519" s="12" t="s">
        <v>2010</v>
      </c>
      <c r="B519" s="26" t="str">
        <f aca="false">Entities!$A$16</f>
        <v>QA</v>
      </c>
      <c r="C519" s="12" t="str">
        <f aca="false">INDEX(Entities!$B$5:$B$34,MATCH(B519,Entities!$A$5:$A$34,0))</f>
        <v>Arab Bank – Qatar</v>
      </c>
      <c r="D519" s="7" t="str">
        <f aca="false">INDEX(Entities!$F$5:$F$34,MATCH(B519,Entities!$A$5:$A$34,0))</f>
        <v>Tier 2</v>
      </c>
      <c r="E519" s="26" t="str">
        <f aca="false">'Control Library'!$A$46</f>
        <v>CTL-RP-01</v>
      </c>
      <c r="F519" s="12" t="str">
        <f aca="false">INDEX('Control Library'!$B$5:$B$47,MATCH(E519,'Control Library'!$A$5:$A$47,0))</f>
        <v>Media monitoring and reputational-risk escalation</v>
      </c>
      <c r="G519" s="7" t="str">
        <f aca="false">INDEX('Control Library'!$F$5:$F$47,MATCH(E519,'Control Library'!$A$5:$A$47,0))</f>
        <v>Y</v>
      </c>
      <c r="H519" s="12" t="str">
        <f aca="false">INDEX('Control Library'!$E$5:$E$47,MATCH(E519,'Control Library'!$A$5:$A$47,0))</f>
        <v>Daily</v>
      </c>
      <c r="I519" s="7" t="str">
        <f aca="false">IF(INDEX('Control Library'!$I$5:$I$47,MATCH(E519,'Control Library'!$A$5:$A$47,0))="All","Y",IF(INDEX('Control Library'!$I$5:$I$47,MATCH(E519,'Control Library'!$A$5:$A$47,0))="Banks only",IF(COUNTIF('Residual Config'!$L$28:$L$30,INDEX(Entities!$E$5:$E$34,MATCH(B519,Entities!$A$5:$A$34,0)))&gt;0,"N/A","Y"),IF(INDEX(Entities!$G$5:$G$34,MATCH(B519,Entities!$A$5:$A$34,0))="Y","Y","N/A")))</f>
        <v>Y</v>
      </c>
      <c r="J519" s="8" t="s">
        <v>2011</v>
      </c>
      <c r="K519" s="8" t="s">
        <v>1911</v>
      </c>
      <c r="L519" s="7" t="str">
        <f aca="false">IF(OR(J519="",K519=""),"",IF(J519=K519,"Breach","OK"))</f>
        <v>OK</v>
      </c>
      <c r="M519" s="24" t="n">
        <v>2</v>
      </c>
      <c r="N519" s="50" t="n">
        <v>46205</v>
      </c>
      <c r="O519" s="8" t="s">
        <v>546</v>
      </c>
      <c r="P519" s="24" t="n">
        <v>25</v>
      </c>
      <c r="Q519" s="31" t="n">
        <f aca="false">IF(I519="N/A","",IFERROR(INDEX('Residual Config'!$B$35:$B$42,MATCH(H519,'Residual Config'!$A$35:$A$42,0)),""))</f>
        <v>25</v>
      </c>
      <c r="R519" s="24" t="n">
        <v>1</v>
      </c>
      <c r="S519" s="8" t="s">
        <v>521</v>
      </c>
      <c r="T519" s="31" t="n">
        <f aca="false">IF(S519="","",MATCH(S519,'Residual Config'!$L$9:$L$12,0))</f>
        <v>2</v>
      </c>
      <c r="U519" s="8" t="s">
        <v>2012</v>
      </c>
      <c r="V519" s="24" t="n">
        <v>6</v>
      </c>
      <c r="W519" s="33" t="s">
        <v>533</v>
      </c>
      <c r="X519" s="8" t="s">
        <v>760</v>
      </c>
      <c r="Y519" s="51" t="n">
        <f aca="false">IF(N519="","",EDATE(N519,IF(G519="N",INDEX('Residual Config'!$B$31:$D$31,1,MATCH(D519,'Residual Config'!$B$27:$D$27,0)),INDEX('Residual Config'!$B$28:$D$30,IF(T519=1,1,IF(T519=4,3,2)),MATCH(D519,'Residual Config'!$B$27:$D$27,0)))))</f>
        <v>46389</v>
      </c>
      <c r="Z519" s="7" t="str">
        <f aca="false">IF(I519="N/A","N/A",IF(N519="","Not tested",IF(W519="Rejected","Evidence rejected",IF(W519&lt;&gt;"Accepted","Evidence pending",IF(Y519&lt;'Residual Config'!$C$4,"Overdue","Current")))))</f>
        <v>Current</v>
      </c>
      <c r="AA519" s="34" t="n">
        <f aca="false">IF(I519="N/A","",IF(Z519&lt;&gt;"Current",4,IF(MAX(M519,T519)=0,4,MAX(M519,T519))))</f>
        <v>2</v>
      </c>
      <c r="AB519" s="7" t="str">
        <f aca="false">IF(AA519="","N/A",IF(Z519&lt;&gt;"Current","Not tested / overdue",INDEX('Residual Config'!$B$11:$B$14,AA519)))</f>
        <v>Largely effective</v>
      </c>
      <c r="AC519" s="36" t="n">
        <f aca="false">IF(AA519="","",INDEX('Residual Config'!$D$11:$D$14,AA519))</f>
        <v>0.4</v>
      </c>
      <c r="AD519" s="7" t="str">
        <f aca="false">IF(OR(I519="N/A",P519="",Q519=""),"",IF(P519&gt;=Q519,"Yes","No"))</f>
        <v>Yes</v>
      </c>
      <c r="AE519" s="8"/>
    </row>
    <row r="520" customFormat="false" ht="15" hidden="false" customHeight="false" outlineLevel="0" collapsed="false">
      <c r="A520" s="12" t="s">
        <v>2013</v>
      </c>
      <c r="B520" s="26" t="str">
        <f aca="false">Entities!$A$16</f>
        <v>QA</v>
      </c>
      <c r="C520" s="12" t="str">
        <f aca="false">INDEX(Entities!$B$5:$B$34,MATCH(B520,Entities!$A$5:$A$34,0))</f>
        <v>Arab Bank – Qatar</v>
      </c>
      <c r="D520" s="7" t="str">
        <f aca="false">INDEX(Entities!$F$5:$F$34,MATCH(B520,Entities!$A$5:$A$34,0))</f>
        <v>Tier 2</v>
      </c>
      <c r="E520" s="26" t="str">
        <f aca="false">'Control Library'!$A$47</f>
        <v>CTL-ST-01</v>
      </c>
      <c r="F520" s="12" t="str">
        <f aca="false">INDEX('Control Library'!$B$5:$B$47,MATCH(E520,'Control Library'!$A$5:$A$47,0))</f>
        <v>Strategy execution monitoring and E&amp;S screening of lending</v>
      </c>
      <c r="G520" s="7" t="str">
        <f aca="false">INDEX('Control Library'!$F$5:$F$47,MATCH(E520,'Control Library'!$A$5:$A$47,0))</f>
        <v>Y</v>
      </c>
      <c r="H520" s="12" t="str">
        <f aca="false">INDEX('Control Library'!$E$5:$E$47,MATCH(E520,'Control Library'!$A$5:$A$47,0))</f>
        <v>Quarterly</v>
      </c>
      <c r="I520" s="7" t="str">
        <f aca="false">IF(INDEX('Control Library'!$I$5:$I$47,MATCH(E520,'Control Library'!$A$5:$A$47,0))="All","Y",IF(INDEX('Control Library'!$I$5:$I$47,MATCH(E520,'Control Library'!$A$5:$A$47,0))="Banks only",IF(COUNTIF('Residual Config'!$L$28:$L$30,INDEX(Entities!$E$5:$E$34,MATCH(B520,Entities!$A$5:$A$34,0)))&gt;0,"N/A","Y"),IF(INDEX(Entities!$G$5:$G$34,MATCH(B520,Entities!$A$5:$A$34,0))="Y","Y","N/A")))</f>
        <v>Y</v>
      </c>
      <c r="J520" s="8" t="s">
        <v>2014</v>
      </c>
      <c r="K520" s="8" t="s">
        <v>1911</v>
      </c>
      <c r="L520" s="7" t="str">
        <f aca="false">IF(OR(J520="",K520=""),"",IF(J520=K520,"Breach","OK"))</f>
        <v>OK</v>
      </c>
      <c r="M520" s="24" t="n">
        <v>1</v>
      </c>
      <c r="N520" s="50" t="n">
        <v>46222</v>
      </c>
      <c r="O520" s="8" t="s">
        <v>545</v>
      </c>
      <c r="P520" s="24" t="n">
        <v>2</v>
      </c>
      <c r="Q520" s="31" t="n">
        <f aca="false">IF(I520="N/A","",IFERROR(INDEX('Residual Config'!$B$35:$B$42,MATCH(H520,'Residual Config'!$A$35:$A$42,0)),""))</f>
        <v>2</v>
      </c>
      <c r="R520" s="24" t="n">
        <v>1</v>
      </c>
      <c r="S520" s="8" t="s">
        <v>521</v>
      </c>
      <c r="T520" s="31" t="n">
        <f aca="false">IF(S520="","",MATCH(S520,'Residual Config'!$L$9:$L$12,0))</f>
        <v>2</v>
      </c>
      <c r="U520" s="8" t="s">
        <v>2015</v>
      </c>
      <c r="V520" s="24" t="n">
        <v>1</v>
      </c>
      <c r="W520" s="33" t="s">
        <v>533</v>
      </c>
      <c r="X520" s="8" t="s">
        <v>760</v>
      </c>
      <c r="Y520" s="51" t="n">
        <f aca="false">IF(N520="","",EDATE(N520,IF(G520="N",INDEX('Residual Config'!$B$31:$D$31,1,MATCH(D520,'Residual Config'!$B$27:$D$27,0)),INDEX('Residual Config'!$B$28:$D$30,IF(T520=1,1,IF(T520=4,3,2)),MATCH(D520,'Residual Config'!$B$27:$D$27,0)))))</f>
        <v>46406</v>
      </c>
      <c r="Z520" s="7" t="str">
        <f aca="false">IF(I520="N/A","N/A",IF(N520="","Not tested",IF(W520="Rejected","Evidence rejected",IF(W520&lt;&gt;"Accepted","Evidence pending",IF(Y520&lt;'Residual Config'!$C$4,"Overdue","Current")))))</f>
        <v>Current</v>
      </c>
      <c r="AA520" s="34" t="n">
        <f aca="false">IF(I520="N/A","",IF(Z520&lt;&gt;"Current",4,IF(MAX(M520,T520)=0,4,MAX(M520,T520))))</f>
        <v>2</v>
      </c>
      <c r="AB520" s="7" t="str">
        <f aca="false">IF(AA520="","N/A",IF(Z520&lt;&gt;"Current","Not tested / overdue",INDEX('Residual Config'!$B$11:$B$14,AA520)))</f>
        <v>Largely effective</v>
      </c>
      <c r="AC520" s="36" t="n">
        <f aca="false">IF(AA520="","",INDEX('Residual Config'!$D$11:$D$14,AA520))</f>
        <v>0.4</v>
      </c>
      <c r="AD520" s="7" t="str">
        <f aca="false">IF(OR(I520="N/A",P520="",Q520=""),"",IF(P520&gt;=Q520,"Yes","No"))</f>
        <v>Yes</v>
      </c>
      <c r="AE520" s="8"/>
    </row>
    <row r="521" customFormat="false" ht="15" hidden="false" customHeight="false" outlineLevel="0" collapsed="false">
      <c r="A521" s="12" t="s">
        <v>2016</v>
      </c>
      <c r="B521" s="26" t="str">
        <f aca="false">Entities!$A$17</f>
        <v>SA</v>
      </c>
      <c r="C521" s="12" t="str">
        <f aca="false">INDEX(Entities!$B$5:$B$34,MATCH(B521,Entities!$A$5:$A$34,0))</f>
        <v>Arab National Bank (affiliate)</v>
      </c>
      <c r="D521" s="7" t="str">
        <f aca="false">INDEX(Entities!$F$5:$F$34,MATCH(B521,Entities!$A$5:$A$34,0))</f>
        <v>Tier 2</v>
      </c>
      <c r="E521" s="26" t="str">
        <f aca="false">'Control Library'!$A$5</f>
        <v>CTL-KYC-01</v>
      </c>
      <c r="F521" s="12" t="str">
        <f aca="false">INDEX('Control Library'!$B$5:$B$47,MATCH(E521,'Control Library'!$A$5:$A$47,0))</f>
        <v>Customer due diligence and ID verification at onboarding</v>
      </c>
      <c r="G521" s="7" t="str">
        <f aca="false">INDEX('Control Library'!$F$5:$F$47,MATCH(E521,'Control Library'!$A$5:$A$47,0))</f>
        <v>Y</v>
      </c>
      <c r="H521" s="12" t="str">
        <f aca="false">INDEX('Control Library'!$E$5:$E$47,MATCH(E521,'Control Library'!$A$5:$A$47,0))</f>
        <v>Event-driven</v>
      </c>
      <c r="I521" s="7" t="str">
        <f aca="false">IF(INDEX('Control Library'!$I$5:$I$47,MATCH(E521,'Control Library'!$A$5:$A$47,0))="All","Y",IF(INDEX('Control Library'!$I$5:$I$47,MATCH(E521,'Control Library'!$A$5:$A$47,0))="Banks only",IF(COUNTIF('Residual Config'!$L$28:$L$30,INDEX(Entities!$E$5:$E$34,MATCH(B521,Entities!$A$5:$A$34,0)))&gt;0,"N/A","Y"),IF(INDEX(Entities!$G$5:$G$34,MATCH(B521,Entities!$A$5:$A$34,0))="Y","Y","N/A")))</f>
        <v>Y</v>
      </c>
      <c r="J521" s="8" t="s">
        <v>2017</v>
      </c>
      <c r="K521" s="8" t="s">
        <v>2018</v>
      </c>
      <c r="L521" s="7" t="str">
        <f aca="false">IF(OR(J521="",K521=""),"",IF(J521=K521,"Breach","OK"))</f>
        <v>OK</v>
      </c>
      <c r="M521" s="24" t="n">
        <v>1</v>
      </c>
      <c r="N521" s="50" t="n">
        <v>46279</v>
      </c>
      <c r="O521" s="8" t="s">
        <v>545</v>
      </c>
      <c r="P521" s="24" t="n">
        <v>25</v>
      </c>
      <c r="Q521" s="31" t="n">
        <f aca="false">IF(I521="N/A","",IFERROR(INDEX('Residual Config'!$B$35:$B$42,MATCH(H521,'Residual Config'!$A$35:$A$42,0)),""))</f>
        <v>25</v>
      </c>
      <c r="R521" s="24" t="n">
        <v>1</v>
      </c>
      <c r="S521" s="8" t="s">
        <v>521</v>
      </c>
      <c r="T521" s="31" t="n">
        <f aca="false">IF(S521="","",MATCH(S521,'Residual Config'!$L$9:$L$12,0))</f>
        <v>2</v>
      </c>
      <c r="U521" s="8" t="s">
        <v>2019</v>
      </c>
      <c r="V521" s="24" t="n">
        <v>1</v>
      </c>
      <c r="W521" s="33" t="s">
        <v>533</v>
      </c>
      <c r="X521" s="8" t="s">
        <v>760</v>
      </c>
      <c r="Y521" s="51" t="n">
        <f aca="false">IF(N521="","",EDATE(N521,IF(G521="N",INDEX('Residual Config'!$B$31:$D$31,1,MATCH(D521,'Residual Config'!$B$27:$D$27,0)),INDEX('Residual Config'!$B$28:$D$30,IF(T521=1,1,IF(T521=4,3,2)),MATCH(D521,'Residual Config'!$B$27:$D$27,0)))))</f>
        <v>46460</v>
      </c>
      <c r="Z521" s="7" t="str">
        <f aca="false">IF(I521="N/A","N/A",IF(N521="","Not tested",IF(W521="Rejected","Evidence rejected",IF(W521&lt;&gt;"Accepted","Evidence pending",IF(Y521&lt;'Residual Config'!$C$4,"Overdue","Current")))))</f>
        <v>Current</v>
      </c>
      <c r="AA521" s="34" t="n">
        <f aca="false">IF(I521="N/A","",IF(Z521&lt;&gt;"Current",4,IF(MAX(M521,T521)=0,4,MAX(M521,T521))))</f>
        <v>2</v>
      </c>
      <c r="AB521" s="7" t="str">
        <f aca="false">IF(AA521="","N/A",IF(Z521&lt;&gt;"Current","Not tested / overdue",INDEX('Residual Config'!$B$11:$B$14,AA521)))</f>
        <v>Largely effective</v>
      </c>
      <c r="AC521" s="36" t="n">
        <f aca="false">IF(AA521="","",INDEX('Residual Config'!$D$11:$D$14,AA521))</f>
        <v>0.4</v>
      </c>
      <c r="AD521" s="7" t="str">
        <f aca="false">IF(OR(I521="N/A",P521="",Q521=""),"",IF(P521&gt;=Q521,"Yes","No"))</f>
        <v>Yes</v>
      </c>
      <c r="AE521" s="8"/>
    </row>
    <row r="522" customFormat="false" ht="15" hidden="false" customHeight="false" outlineLevel="0" collapsed="false">
      <c r="A522" s="12" t="s">
        <v>2020</v>
      </c>
      <c r="B522" s="26" t="str">
        <f aca="false">Entities!$A$17</f>
        <v>SA</v>
      </c>
      <c r="C522" s="12" t="str">
        <f aca="false">INDEX(Entities!$B$5:$B$34,MATCH(B522,Entities!$A$5:$A$34,0))</f>
        <v>Arab National Bank (affiliate)</v>
      </c>
      <c r="D522" s="7" t="str">
        <f aca="false">INDEX(Entities!$F$5:$F$34,MATCH(B522,Entities!$A$5:$A$34,0))</f>
        <v>Tier 2</v>
      </c>
      <c r="E522" s="26" t="str">
        <f aca="false">'Control Library'!$A$6</f>
        <v>CTL-KYC-02</v>
      </c>
      <c r="F522" s="12" t="str">
        <f aca="false">INDEX('Control Library'!$B$5:$B$47,MATCH(E522,'Control Library'!$A$5:$A$47,0))</f>
        <v>Enhanced due diligence for high-risk customers and PEPs, senior approval</v>
      </c>
      <c r="G522" s="7" t="str">
        <f aca="false">INDEX('Control Library'!$F$5:$F$47,MATCH(E522,'Control Library'!$A$5:$A$47,0))</f>
        <v>Y</v>
      </c>
      <c r="H522" s="12" t="str">
        <f aca="false">INDEX('Control Library'!$E$5:$E$47,MATCH(E522,'Control Library'!$A$5:$A$47,0))</f>
        <v>Event-driven</v>
      </c>
      <c r="I522" s="7" t="str">
        <f aca="false">IF(INDEX('Control Library'!$I$5:$I$47,MATCH(E522,'Control Library'!$A$5:$A$47,0))="All","Y",IF(INDEX('Control Library'!$I$5:$I$47,MATCH(E522,'Control Library'!$A$5:$A$47,0))="Banks only",IF(COUNTIF('Residual Config'!$L$28:$L$30,INDEX(Entities!$E$5:$E$34,MATCH(B522,Entities!$A$5:$A$34,0)))&gt;0,"N/A","Y"),IF(INDEX(Entities!$G$5:$G$34,MATCH(B522,Entities!$A$5:$A$34,0))="Y","Y","N/A")))</f>
        <v>Y</v>
      </c>
      <c r="J522" s="8" t="s">
        <v>2021</v>
      </c>
      <c r="K522" s="8" t="s">
        <v>2018</v>
      </c>
      <c r="L522" s="7" t="str">
        <f aca="false">IF(OR(J522="",K522=""),"",IF(J522=K522,"Breach","OK"))</f>
        <v>OK</v>
      </c>
      <c r="M522" s="24" t="n">
        <v>3</v>
      </c>
      <c r="N522" s="50" t="n">
        <v>46028</v>
      </c>
      <c r="O522" s="8" t="s">
        <v>546</v>
      </c>
      <c r="P522" s="24" t="n">
        <v>35</v>
      </c>
      <c r="Q522" s="31" t="n">
        <f aca="false">IF(I522="N/A","",IFERROR(INDEX('Residual Config'!$B$35:$B$42,MATCH(H522,'Residual Config'!$A$35:$A$42,0)),""))</f>
        <v>25</v>
      </c>
      <c r="R522" s="24" t="n">
        <v>0</v>
      </c>
      <c r="S522" s="8" t="s">
        <v>516</v>
      </c>
      <c r="T522" s="31" t="n">
        <f aca="false">IF(S522="","",MATCH(S522,'Residual Config'!$L$9:$L$12,0))</f>
        <v>1</v>
      </c>
      <c r="U522" s="8" t="s">
        <v>2022</v>
      </c>
      <c r="V522" s="24" t="n">
        <v>2</v>
      </c>
      <c r="W522" s="33" t="s">
        <v>533</v>
      </c>
      <c r="X522" s="8" t="s">
        <v>754</v>
      </c>
      <c r="Y522" s="51" t="n">
        <f aca="false">IF(N522="","",EDATE(N522,IF(G522="N",INDEX('Residual Config'!$B$31:$D$31,1,MATCH(D522,'Residual Config'!$B$27:$D$27,0)),INDEX('Residual Config'!$B$28:$D$30,IF(T522=1,1,IF(T522=4,3,2)),MATCH(D522,'Residual Config'!$B$27:$D$27,0)))))</f>
        <v>46393</v>
      </c>
      <c r="Z522" s="7" t="str">
        <f aca="false">IF(I522="N/A","N/A",IF(N522="","Not tested",IF(W522="Rejected","Evidence rejected",IF(W522&lt;&gt;"Accepted","Evidence pending",IF(Y522&lt;'Residual Config'!$C$4,"Overdue","Current")))))</f>
        <v>Current</v>
      </c>
      <c r="AA522" s="34" t="n">
        <f aca="false">IF(I522="N/A","",IF(Z522&lt;&gt;"Current",4,IF(MAX(M522,T522)=0,4,MAX(M522,T522))))</f>
        <v>3</v>
      </c>
      <c r="AB522" s="7" t="str">
        <f aca="false">IF(AA522="","N/A",IF(Z522&lt;&gt;"Current","Not tested / overdue",INDEX('Residual Config'!$B$11:$B$14,AA522)))</f>
        <v>Partially effective</v>
      </c>
      <c r="AC522" s="36" t="n">
        <f aca="false">IF(AA522="","",INDEX('Residual Config'!$D$11:$D$14,AA522))</f>
        <v>0.2</v>
      </c>
      <c r="AD522" s="7" t="str">
        <f aca="false">IF(OR(I522="N/A",P522="",Q522=""),"",IF(P522&gt;=Q522,"Yes","No"))</f>
        <v>Yes</v>
      </c>
      <c r="AE522" s="8"/>
    </row>
    <row r="523" customFormat="false" ht="15" hidden="false" customHeight="false" outlineLevel="0" collapsed="false">
      <c r="A523" s="12" t="s">
        <v>2023</v>
      </c>
      <c r="B523" s="26" t="str">
        <f aca="false">Entities!$A$17</f>
        <v>SA</v>
      </c>
      <c r="C523" s="12" t="str">
        <f aca="false">INDEX(Entities!$B$5:$B$34,MATCH(B523,Entities!$A$5:$A$34,0))</f>
        <v>Arab National Bank (affiliate)</v>
      </c>
      <c r="D523" s="7" t="str">
        <f aca="false">INDEX(Entities!$F$5:$F$34,MATCH(B523,Entities!$A$5:$A$34,0))</f>
        <v>Tier 2</v>
      </c>
      <c r="E523" s="26" t="str">
        <f aca="false">'Control Library'!$A$7</f>
        <v>CTL-KYC-03</v>
      </c>
      <c r="F523" s="12" t="str">
        <f aca="false">INDEX('Control Library'!$B$5:$B$47,MATCH(E523,'Control Library'!$A$5:$A$47,0))</f>
        <v>Ultimate beneficial owner identification and verification</v>
      </c>
      <c r="G523" s="7" t="str">
        <f aca="false">INDEX('Control Library'!$F$5:$F$47,MATCH(E523,'Control Library'!$A$5:$A$47,0))</f>
        <v>Y</v>
      </c>
      <c r="H523" s="12" t="str">
        <f aca="false">INDEX('Control Library'!$E$5:$E$47,MATCH(E523,'Control Library'!$A$5:$A$47,0))</f>
        <v>Event-driven</v>
      </c>
      <c r="I523" s="7" t="str">
        <f aca="false">IF(INDEX('Control Library'!$I$5:$I$47,MATCH(E523,'Control Library'!$A$5:$A$47,0))="All","Y",IF(INDEX('Control Library'!$I$5:$I$47,MATCH(E523,'Control Library'!$A$5:$A$47,0))="Banks only",IF(COUNTIF('Residual Config'!$L$28:$L$30,INDEX(Entities!$E$5:$E$34,MATCH(B523,Entities!$A$5:$A$34,0)))&gt;0,"N/A","Y"),IF(INDEX(Entities!$G$5:$G$34,MATCH(B523,Entities!$A$5:$A$34,0))="Y","Y","N/A")))</f>
        <v>Y</v>
      </c>
      <c r="J523" s="8" t="s">
        <v>2017</v>
      </c>
      <c r="K523" s="8" t="s">
        <v>2018</v>
      </c>
      <c r="L523" s="7" t="str">
        <f aca="false">IF(OR(J523="",K523=""),"",IF(J523=K523,"Breach","OK"))</f>
        <v>OK</v>
      </c>
      <c r="M523" s="24" t="n">
        <v>1</v>
      </c>
      <c r="N523" s="50" t="n">
        <v>46141</v>
      </c>
      <c r="O523" s="8" t="s">
        <v>546</v>
      </c>
      <c r="P523" s="24" t="n">
        <v>35</v>
      </c>
      <c r="Q523" s="31" t="n">
        <f aca="false">IF(I523="N/A","",IFERROR(INDEX('Residual Config'!$B$35:$B$42,MATCH(H523,'Residual Config'!$A$35:$A$42,0)),""))</f>
        <v>25</v>
      </c>
      <c r="R523" s="24" t="n">
        <v>1</v>
      </c>
      <c r="S523" s="8" t="s">
        <v>521</v>
      </c>
      <c r="T523" s="31" t="n">
        <f aca="false">IF(S523="","",MATCH(S523,'Residual Config'!$L$9:$L$12,0))</f>
        <v>2</v>
      </c>
      <c r="U523" s="8" t="s">
        <v>2024</v>
      </c>
      <c r="V523" s="24" t="n">
        <v>3</v>
      </c>
      <c r="W523" s="33" t="s">
        <v>533</v>
      </c>
      <c r="X523" s="8" t="s">
        <v>754</v>
      </c>
      <c r="Y523" s="51" t="n">
        <f aca="false">IF(N523="","",EDATE(N523,IF(G523="N",INDEX('Residual Config'!$B$31:$D$31,1,MATCH(D523,'Residual Config'!$B$27:$D$27,0)),INDEX('Residual Config'!$B$28:$D$30,IF(T523=1,1,IF(T523=4,3,2)),MATCH(D523,'Residual Config'!$B$27:$D$27,0)))))</f>
        <v>46324</v>
      </c>
      <c r="Z523" s="7" t="str">
        <f aca="false">IF(I523="N/A","N/A",IF(N523="","Not tested",IF(W523="Rejected","Evidence rejected",IF(W523&lt;&gt;"Accepted","Evidence pending",IF(Y523&lt;'Residual Config'!$C$4,"Overdue","Current")))))</f>
        <v>Current</v>
      </c>
      <c r="AA523" s="34" t="n">
        <f aca="false">IF(I523="N/A","",IF(Z523&lt;&gt;"Current",4,IF(MAX(M523,T523)=0,4,MAX(M523,T523))))</f>
        <v>2</v>
      </c>
      <c r="AB523" s="7" t="str">
        <f aca="false">IF(AA523="","N/A",IF(Z523&lt;&gt;"Current","Not tested / overdue",INDEX('Residual Config'!$B$11:$B$14,AA523)))</f>
        <v>Largely effective</v>
      </c>
      <c r="AC523" s="36" t="n">
        <f aca="false">IF(AA523="","",INDEX('Residual Config'!$D$11:$D$14,AA523))</f>
        <v>0.4</v>
      </c>
      <c r="AD523" s="7" t="str">
        <f aca="false">IF(OR(I523="N/A",P523="",Q523=""),"",IF(P523&gt;=Q523,"Yes","No"))</f>
        <v>Yes</v>
      </c>
      <c r="AE523" s="8"/>
    </row>
    <row r="524" customFormat="false" ht="15" hidden="false" customHeight="false" outlineLevel="0" collapsed="false">
      <c r="A524" s="12" t="s">
        <v>2025</v>
      </c>
      <c r="B524" s="26" t="str">
        <f aca="false">Entities!$A$17</f>
        <v>SA</v>
      </c>
      <c r="C524" s="12" t="str">
        <f aca="false">INDEX(Entities!$B$5:$B$34,MATCH(B524,Entities!$A$5:$A$34,0))</f>
        <v>Arab National Bank (affiliate)</v>
      </c>
      <c r="D524" s="7" t="str">
        <f aca="false">INDEX(Entities!$F$5:$F$34,MATCH(B524,Entities!$A$5:$A$34,0))</f>
        <v>Tier 2</v>
      </c>
      <c r="E524" s="26" t="str">
        <f aca="false">'Control Library'!$A$8</f>
        <v>CTL-KYC-04</v>
      </c>
      <c r="F524" s="12" t="str">
        <f aca="false">INDEX('Control Library'!$B$5:$B$47,MATCH(E524,'Control Library'!$A$5:$A$47,0))</f>
        <v>Periodic KYC review by customer risk rating</v>
      </c>
      <c r="G524" s="7" t="str">
        <f aca="false">INDEX('Control Library'!$F$5:$F$47,MATCH(E524,'Control Library'!$A$5:$A$47,0))</f>
        <v>Y</v>
      </c>
      <c r="H524" s="12" t="str">
        <f aca="false">INDEX('Control Library'!$E$5:$E$47,MATCH(E524,'Control Library'!$A$5:$A$47,0))</f>
        <v>Monthly</v>
      </c>
      <c r="I524" s="7" t="str">
        <f aca="false">IF(INDEX('Control Library'!$I$5:$I$47,MATCH(E524,'Control Library'!$A$5:$A$47,0))="All","Y",IF(INDEX('Control Library'!$I$5:$I$47,MATCH(E524,'Control Library'!$A$5:$A$47,0))="Banks only",IF(COUNTIF('Residual Config'!$L$28:$L$30,INDEX(Entities!$E$5:$E$34,MATCH(B524,Entities!$A$5:$A$34,0)))&gt;0,"N/A","Y"),IF(INDEX(Entities!$G$5:$G$34,MATCH(B524,Entities!$A$5:$A$34,0))="Y","Y","N/A")))</f>
        <v>Y</v>
      </c>
      <c r="J524" s="8" t="s">
        <v>2017</v>
      </c>
      <c r="K524" s="8" t="s">
        <v>2018</v>
      </c>
      <c r="L524" s="7" t="str">
        <f aca="false">IF(OR(J524="",K524=""),"",IF(J524=K524,"Breach","OK"))</f>
        <v>OK</v>
      </c>
      <c r="M524" s="24" t="n">
        <v>1</v>
      </c>
      <c r="N524" s="50" t="n">
        <v>46250</v>
      </c>
      <c r="O524" s="8" t="s">
        <v>546</v>
      </c>
      <c r="P524" s="24" t="n">
        <v>3</v>
      </c>
      <c r="Q524" s="31" t="n">
        <f aca="false">IF(I524="N/A","",IFERROR(INDEX('Residual Config'!$B$35:$B$42,MATCH(H524,'Residual Config'!$A$35:$A$42,0)),""))</f>
        <v>3</v>
      </c>
      <c r="R524" s="24" t="n">
        <v>1</v>
      </c>
      <c r="S524" s="8" t="s">
        <v>521</v>
      </c>
      <c r="T524" s="31" t="n">
        <f aca="false">IF(S524="","",MATCH(S524,'Residual Config'!$L$9:$L$12,0))</f>
        <v>2</v>
      </c>
      <c r="U524" s="8" t="s">
        <v>2026</v>
      </c>
      <c r="V524" s="24" t="n">
        <v>6</v>
      </c>
      <c r="W524" s="33" t="s">
        <v>533</v>
      </c>
      <c r="X524" s="8" t="s">
        <v>754</v>
      </c>
      <c r="Y524" s="51" t="n">
        <f aca="false">IF(N524="","",EDATE(N524,IF(G524="N",INDEX('Residual Config'!$B$31:$D$31,1,MATCH(D524,'Residual Config'!$B$27:$D$27,0)),INDEX('Residual Config'!$B$28:$D$30,IF(T524=1,1,IF(T524=4,3,2)),MATCH(D524,'Residual Config'!$B$27:$D$27,0)))))</f>
        <v>46434</v>
      </c>
      <c r="Z524" s="7" t="str">
        <f aca="false">IF(I524="N/A","N/A",IF(N524="","Not tested",IF(W524="Rejected","Evidence rejected",IF(W524&lt;&gt;"Accepted","Evidence pending",IF(Y524&lt;'Residual Config'!$C$4,"Overdue","Current")))))</f>
        <v>Current</v>
      </c>
      <c r="AA524" s="34" t="n">
        <f aca="false">IF(I524="N/A","",IF(Z524&lt;&gt;"Current",4,IF(MAX(M524,T524)=0,4,MAX(M524,T524))))</f>
        <v>2</v>
      </c>
      <c r="AB524" s="7" t="str">
        <f aca="false">IF(AA524="","N/A",IF(Z524&lt;&gt;"Current","Not tested / overdue",INDEX('Residual Config'!$B$11:$B$14,AA524)))</f>
        <v>Largely effective</v>
      </c>
      <c r="AC524" s="36" t="n">
        <f aca="false">IF(AA524="","",INDEX('Residual Config'!$D$11:$D$14,AA524))</f>
        <v>0.4</v>
      </c>
      <c r="AD524" s="7" t="str">
        <f aca="false">IF(OR(I524="N/A",P524="",Q524=""),"",IF(P524&gt;=Q524,"Yes","No"))</f>
        <v>Yes</v>
      </c>
      <c r="AE524" s="8"/>
    </row>
    <row r="525" customFormat="false" ht="15" hidden="false" customHeight="false" outlineLevel="0" collapsed="false">
      <c r="A525" s="12" t="s">
        <v>2027</v>
      </c>
      <c r="B525" s="26" t="str">
        <f aca="false">Entities!$A$17</f>
        <v>SA</v>
      </c>
      <c r="C525" s="12" t="str">
        <f aca="false">INDEX(Entities!$B$5:$B$34,MATCH(B525,Entities!$A$5:$A$34,0))</f>
        <v>Arab National Bank (affiliate)</v>
      </c>
      <c r="D525" s="7" t="str">
        <f aca="false">INDEX(Entities!$F$5:$F$34,MATCH(B525,Entities!$A$5:$A$34,0))</f>
        <v>Tier 2</v>
      </c>
      <c r="E525" s="26" t="str">
        <f aca="false">'Control Library'!$A$9</f>
        <v>CTL-CRR-01</v>
      </c>
      <c r="F525" s="12" t="str">
        <f aca="false">INDEX('Control Library'!$B$5:$B$47,MATCH(E525,'Control Library'!$A$5:$A$47,0))</f>
        <v>Customer risk rating model and annual validation</v>
      </c>
      <c r="G525" s="7" t="str">
        <f aca="false">INDEX('Control Library'!$F$5:$F$47,MATCH(E525,'Control Library'!$A$5:$A$47,0))</f>
        <v>N</v>
      </c>
      <c r="H525" s="12" t="str">
        <f aca="false">INDEX('Control Library'!$E$5:$E$47,MATCH(E525,'Control Library'!$A$5:$A$47,0))</f>
        <v>Annual</v>
      </c>
      <c r="I525" s="7" t="str">
        <f aca="false">IF(INDEX('Control Library'!$I$5:$I$47,MATCH(E525,'Control Library'!$A$5:$A$47,0))="All","Y",IF(INDEX('Control Library'!$I$5:$I$47,MATCH(E525,'Control Library'!$A$5:$A$47,0))="Banks only",IF(COUNTIF('Residual Config'!$L$28:$L$30,INDEX(Entities!$E$5:$E$34,MATCH(B525,Entities!$A$5:$A$34,0)))&gt;0,"N/A","Y"),IF(INDEX(Entities!$G$5:$G$34,MATCH(B525,Entities!$A$5:$A$34,0))="Y","Y","N/A")))</f>
        <v>Y</v>
      </c>
      <c r="J525" s="8" t="s">
        <v>2021</v>
      </c>
      <c r="K525" s="8" t="s">
        <v>2018</v>
      </c>
      <c r="L525" s="7" t="str">
        <f aca="false">IF(OR(J525="",K525=""),"",IF(J525=K525,"Breach","OK"))</f>
        <v>OK</v>
      </c>
      <c r="M525" s="24" t="n">
        <v>3</v>
      </c>
      <c r="N525" s="50" t="n">
        <v>46132</v>
      </c>
      <c r="O525" s="8" t="s">
        <v>546</v>
      </c>
      <c r="P525" s="24" t="n">
        <v>1</v>
      </c>
      <c r="Q525" s="31" t="n">
        <f aca="false">IF(I525="N/A","",IFERROR(INDEX('Residual Config'!$B$35:$B$42,MATCH(H525,'Residual Config'!$A$35:$A$42,0)),""))</f>
        <v>1</v>
      </c>
      <c r="R525" s="24" t="n">
        <v>1</v>
      </c>
      <c r="S525" s="8" t="s">
        <v>521</v>
      </c>
      <c r="T525" s="31" t="n">
        <f aca="false">IF(S525="","",MATCH(S525,'Residual Config'!$L$9:$L$12,0))</f>
        <v>2</v>
      </c>
      <c r="U525" s="8" t="s">
        <v>2028</v>
      </c>
      <c r="V525" s="24" t="n">
        <v>4</v>
      </c>
      <c r="W525" s="33" t="s">
        <v>533</v>
      </c>
      <c r="X525" s="8" t="s">
        <v>754</v>
      </c>
      <c r="Y525" s="51" t="n">
        <f aca="false">IF(N525="","",EDATE(N525,IF(G525="N",INDEX('Residual Config'!$B$31:$D$31,1,MATCH(D525,'Residual Config'!$B$27:$D$27,0)),INDEX('Residual Config'!$B$28:$D$30,IF(T525=1,1,IF(T525=4,3,2)),MATCH(D525,'Residual Config'!$B$27:$D$27,0)))))</f>
        <v>46497</v>
      </c>
      <c r="Z525" s="7" t="str">
        <f aca="false">IF(I525="N/A","N/A",IF(N525="","Not tested",IF(W525="Rejected","Evidence rejected",IF(W525&lt;&gt;"Accepted","Evidence pending",IF(Y525&lt;'Residual Config'!$C$4,"Overdue","Current")))))</f>
        <v>Current</v>
      </c>
      <c r="AA525" s="34" t="n">
        <f aca="false">IF(I525="N/A","",IF(Z525&lt;&gt;"Current",4,IF(MAX(M525,T525)=0,4,MAX(M525,T525))))</f>
        <v>3</v>
      </c>
      <c r="AB525" s="7" t="str">
        <f aca="false">IF(AA525="","N/A",IF(Z525&lt;&gt;"Current","Not tested / overdue",INDEX('Residual Config'!$B$11:$B$14,AA525)))</f>
        <v>Partially effective</v>
      </c>
      <c r="AC525" s="36" t="n">
        <f aca="false">IF(AA525="","",INDEX('Residual Config'!$D$11:$D$14,AA525))</f>
        <v>0.2</v>
      </c>
      <c r="AD525" s="7" t="str">
        <f aca="false">IF(OR(I525="N/A",P525="",Q525=""),"",IF(P525&gt;=Q525,"Yes","No"))</f>
        <v>Yes</v>
      </c>
      <c r="AE525" s="8"/>
    </row>
    <row r="526" customFormat="false" ht="15" hidden="false" customHeight="false" outlineLevel="0" collapsed="false">
      <c r="A526" s="12" t="s">
        <v>2029</v>
      </c>
      <c r="B526" s="26" t="str">
        <f aca="false">Entities!$A$17</f>
        <v>SA</v>
      </c>
      <c r="C526" s="12" t="str">
        <f aca="false">INDEX(Entities!$B$5:$B$34,MATCH(B526,Entities!$A$5:$A$34,0))</f>
        <v>Arab National Bank (affiliate)</v>
      </c>
      <c r="D526" s="7" t="str">
        <f aca="false">INDEX(Entities!$F$5:$F$34,MATCH(B526,Entities!$A$5:$A$34,0))</f>
        <v>Tier 2</v>
      </c>
      <c r="E526" s="26" t="str">
        <f aca="false">'Control Library'!$A$10</f>
        <v>CTL-TM-01</v>
      </c>
      <c r="F526" s="12" t="str">
        <f aca="false">INDEX('Control Library'!$B$5:$B$47,MATCH(E526,'Control Library'!$A$5:$A$47,0))</f>
        <v>Automated transaction monitoring scenarios and annual tuning</v>
      </c>
      <c r="G526" s="7" t="str">
        <f aca="false">INDEX('Control Library'!$F$5:$F$47,MATCH(E526,'Control Library'!$A$5:$A$47,0))</f>
        <v>Y</v>
      </c>
      <c r="H526" s="12" t="str">
        <f aca="false">INDEX('Control Library'!$E$5:$E$47,MATCH(E526,'Control Library'!$A$5:$A$47,0))</f>
        <v>Continuous</v>
      </c>
      <c r="I526" s="7" t="str">
        <f aca="false">IF(INDEX('Control Library'!$I$5:$I$47,MATCH(E526,'Control Library'!$A$5:$A$47,0))="All","Y",IF(INDEX('Control Library'!$I$5:$I$47,MATCH(E526,'Control Library'!$A$5:$A$47,0))="Banks only",IF(COUNTIF('Residual Config'!$L$28:$L$30,INDEX(Entities!$E$5:$E$34,MATCH(B526,Entities!$A$5:$A$34,0)))&gt;0,"N/A","Y"),IF(INDEX(Entities!$G$5:$G$34,MATCH(B526,Entities!$A$5:$A$34,0))="Y","Y","N/A")))</f>
        <v>Y</v>
      </c>
      <c r="J526" s="8" t="s">
        <v>2030</v>
      </c>
      <c r="K526" s="8" t="s">
        <v>2018</v>
      </c>
      <c r="L526" s="7" t="str">
        <f aca="false">IF(OR(J526="",K526=""),"",IF(J526=K526,"Breach","OK"))</f>
        <v>OK</v>
      </c>
      <c r="M526" s="24" t="n">
        <v>1</v>
      </c>
      <c r="N526" s="50" t="n">
        <v>46283</v>
      </c>
      <c r="O526" s="8" t="s">
        <v>547</v>
      </c>
      <c r="P526" s="24" t="n">
        <v>1</v>
      </c>
      <c r="Q526" s="31" t="n">
        <f aca="false">IF(I526="N/A","",IFERROR(INDEX('Residual Config'!$B$35:$B$42,MATCH(H526,'Residual Config'!$A$35:$A$42,0)),""))</f>
        <v>1</v>
      </c>
      <c r="R526" s="24" t="n">
        <v>0</v>
      </c>
      <c r="S526" s="8" t="s">
        <v>516</v>
      </c>
      <c r="T526" s="31" t="n">
        <f aca="false">IF(S526="","",MATCH(S526,'Residual Config'!$L$9:$L$12,0))</f>
        <v>1</v>
      </c>
      <c r="U526" s="8" t="s">
        <v>2031</v>
      </c>
      <c r="V526" s="24" t="n">
        <v>4</v>
      </c>
      <c r="W526" s="33" t="s">
        <v>533</v>
      </c>
      <c r="X526" s="8" t="s">
        <v>754</v>
      </c>
      <c r="Y526" s="51" t="n">
        <f aca="false">IF(N526="","",EDATE(N526,IF(G526="N",INDEX('Residual Config'!$B$31:$D$31,1,MATCH(D526,'Residual Config'!$B$27:$D$27,0)),INDEX('Residual Config'!$B$28:$D$30,IF(T526=1,1,IF(T526=4,3,2)),MATCH(D526,'Residual Config'!$B$27:$D$27,0)))))</f>
        <v>46648</v>
      </c>
      <c r="Z526" s="7" t="str">
        <f aca="false">IF(I526="N/A","N/A",IF(N526="","Not tested",IF(W526="Rejected","Evidence rejected",IF(W526&lt;&gt;"Accepted","Evidence pending",IF(Y526&lt;'Residual Config'!$C$4,"Overdue","Current")))))</f>
        <v>Current</v>
      </c>
      <c r="AA526" s="34" t="n">
        <f aca="false">IF(I526="N/A","",IF(Z526&lt;&gt;"Current",4,IF(MAX(M526,T526)=0,4,MAX(M526,T526))))</f>
        <v>1</v>
      </c>
      <c r="AB526" s="7" t="str">
        <f aca="false">IF(AA526="","N/A",IF(Z526&lt;&gt;"Current","Not tested / overdue",INDEX('Residual Config'!$B$11:$B$14,AA526)))</f>
        <v>Effective</v>
      </c>
      <c r="AC526" s="36" t="n">
        <f aca="false">IF(AA526="","",INDEX('Residual Config'!$D$11:$D$14,AA526))</f>
        <v>0.6</v>
      </c>
      <c r="AD526" s="7" t="str">
        <f aca="false">IF(OR(I526="N/A",P526="",Q526=""),"",IF(P526&gt;=Q526,"Yes","No"))</f>
        <v>Yes</v>
      </c>
      <c r="AE526" s="8"/>
    </row>
    <row r="527" customFormat="false" ht="15" hidden="false" customHeight="false" outlineLevel="0" collapsed="false">
      <c r="A527" s="12" t="s">
        <v>2032</v>
      </c>
      <c r="B527" s="26" t="str">
        <f aca="false">Entities!$A$17</f>
        <v>SA</v>
      </c>
      <c r="C527" s="12" t="str">
        <f aca="false">INDEX(Entities!$B$5:$B$34,MATCH(B527,Entities!$A$5:$A$34,0))</f>
        <v>Arab National Bank (affiliate)</v>
      </c>
      <c r="D527" s="7" t="str">
        <f aca="false">INDEX(Entities!$F$5:$F$34,MATCH(B527,Entities!$A$5:$A$34,0))</f>
        <v>Tier 2</v>
      </c>
      <c r="E527" s="26" t="str">
        <f aca="false">'Control Library'!$A$11</f>
        <v>CTL-TM-02</v>
      </c>
      <c r="F527" s="12" t="str">
        <f aca="false">INDEX('Control Library'!$B$5:$B$47,MATCH(E527,'Control Library'!$A$5:$A$47,0))</f>
        <v>Alert investigation and quality assurance within SLA</v>
      </c>
      <c r="G527" s="7" t="str">
        <f aca="false">INDEX('Control Library'!$F$5:$F$47,MATCH(E527,'Control Library'!$A$5:$A$47,0))</f>
        <v>Y</v>
      </c>
      <c r="H527" s="12" t="str">
        <f aca="false">INDEX('Control Library'!$E$5:$E$47,MATCH(E527,'Control Library'!$A$5:$A$47,0))</f>
        <v>Daily</v>
      </c>
      <c r="I527" s="7" t="str">
        <f aca="false">IF(INDEX('Control Library'!$I$5:$I$47,MATCH(E527,'Control Library'!$A$5:$A$47,0))="All","Y",IF(INDEX('Control Library'!$I$5:$I$47,MATCH(E527,'Control Library'!$A$5:$A$47,0))="Banks only",IF(COUNTIF('Residual Config'!$L$28:$L$30,INDEX(Entities!$E$5:$E$34,MATCH(B527,Entities!$A$5:$A$34,0)))&gt;0,"N/A","Y"),IF(INDEX(Entities!$G$5:$G$34,MATCH(B527,Entities!$A$5:$A$34,0))="Y","Y","N/A")))</f>
        <v>Y</v>
      </c>
      <c r="J527" s="8" t="s">
        <v>2030</v>
      </c>
      <c r="K527" s="8" t="s">
        <v>2018</v>
      </c>
      <c r="L527" s="7" t="str">
        <f aca="false">IF(OR(J527="",K527=""),"",IF(J527=K527,"Breach","OK"))</f>
        <v>OK</v>
      </c>
      <c r="M527" s="24" t="n">
        <v>2</v>
      </c>
      <c r="N527" s="50" t="n">
        <v>46276</v>
      </c>
      <c r="O527" s="8" t="s">
        <v>545</v>
      </c>
      <c r="P527" s="24" t="n">
        <v>25</v>
      </c>
      <c r="Q527" s="31" t="n">
        <f aca="false">IF(I527="N/A","",IFERROR(INDEX('Residual Config'!$B$35:$B$42,MATCH(H527,'Residual Config'!$A$35:$A$42,0)),""))</f>
        <v>25</v>
      </c>
      <c r="R527" s="24" t="n">
        <v>0</v>
      </c>
      <c r="S527" s="8" t="s">
        <v>516</v>
      </c>
      <c r="T527" s="31" t="n">
        <f aca="false">IF(S527="","",MATCH(S527,'Residual Config'!$L$9:$L$12,0))</f>
        <v>1</v>
      </c>
      <c r="U527" s="8" t="s">
        <v>2033</v>
      </c>
      <c r="V527" s="24" t="n">
        <v>5</v>
      </c>
      <c r="W527" s="33" t="s">
        <v>533</v>
      </c>
      <c r="X527" s="8" t="s">
        <v>754</v>
      </c>
      <c r="Y527" s="51" t="n">
        <f aca="false">IF(N527="","",EDATE(N527,IF(G527="N",INDEX('Residual Config'!$B$31:$D$31,1,MATCH(D527,'Residual Config'!$B$27:$D$27,0)),INDEX('Residual Config'!$B$28:$D$30,IF(T527=1,1,IF(T527=4,3,2)),MATCH(D527,'Residual Config'!$B$27:$D$27,0)))))</f>
        <v>46641</v>
      </c>
      <c r="Z527" s="7" t="str">
        <f aca="false">IF(I527="N/A","N/A",IF(N527="","Not tested",IF(W527="Rejected","Evidence rejected",IF(W527&lt;&gt;"Accepted","Evidence pending",IF(Y527&lt;'Residual Config'!$C$4,"Overdue","Current")))))</f>
        <v>Current</v>
      </c>
      <c r="AA527" s="34" t="n">
        <f aca="false">IF(I527="N/A","",IF(Z527&lt;&gt;"Current",4,IF(MAX(M527,T527)=0,4,MAX(M527,T527))))</f>
        <v>2</v>
      </c>
      <c r="AB527" s="7" t="str">
        <f aca="false">IF(AA527="","N/A",IF(Z527&lt;&gt;"Current","Not tested / overdue",INDEX('Residual Config'!$B$11:$B$14,AA527)))</f>
        <v>Largely effective</v>
      </c>
      <c r="AC527" s="36" t="n">
        <f aca="false">IF(AA527="","",INDEX('Residual Config'!$D$11:$D$14,AA527))</f>
        <v>0.4</v>
      </c>
      <c r="AD527" s="7" t="str">
        <f aca="false">IF(OR(I527="N/A",P527="",Q527=""),"",IF(P527&gt;=Q527,"Yes","No"))</f>
        <v>Yes</v>
      </c>
      <c r="AE527" s="8"/>
    </row>
    <row r="528" customFormat="false" ht="15" hidden="false" customHeight="false" outlineLevel="0" collapsed="false">
      <c r="A528" s="12" t="s">
        <v>2034</v>
      </c>
      <c r="B528" s="26" t="str">
        <f aca="false">Entities!$A$17</f>
        <v>SA</v>
      </c>
      <c r="C528" s="12" t="str">
        <f aca="false">INDEX(Entities!$B$5:$B$34,MATCH(B528,Entities!$A$5:$A$34,0))</f>
        <v>Arab National Bank (affiliate)</v>
      </c>
      <c r="D528" s="7" t="str">
        <f aca="false">INDEX(Entities!$F$5:$F$34,MATCH(B528,Entities!$A$5:$A$34,0))</f>
        <v>Tier 2</v>
      </c>
      <c r="E528" s="26" t="str">
        <f aca="false">'Control Library'!$A$12</f>
        <v>CTL-STR-01</v>
      </c>
      <c r="F528" s="12" t="str">
        <f aca="false">INDEX('Control Library'!$B$5:$B$47,MATCH(E528,'Control Library'!$A$5:$A$47,0))</f>
        <v>STR decision and filing within regulatory deadline</v>
      </c>
      <c r="G528" s="7" t="str">
        <f aca="false">INDEX('Control Library'!$F$5:$F$47,MATCH(E528,'Control Library'!$A$5:$A$47,0))</f>
        <v>Y</v>
      </c>
      <c r="H528" s="12" t="str">
        <f aca="false">INDEX('Control Library'!$E$5:$E$47,MATCH(E528,'Control Library'!$A$5:$A$47,0))</f>
        <v>Event-driven</v>
      </c>
      <c r="I528" s="7" t="str">
        <f aca="false">IF(INDEX('Control Library'!$I$5:$I$47,MATCH(E528,'Control Library'!$A$5:$A$47,0))="All","Y",IF(INDEX('Control Library'!$I$5:$I$47,MATCH(E528,'Control Library'!$A$5:$A$47,0))="Banks only",IF(COUNTIF('Residual Config'!$L$28:$L$30,INDEX(Entities!$E$5:$E$34,MATCH(B528,Entities!$A$5:$A$34,0)))&gt;0,"N/A","Y"),IF(INDEX(Entities!$G$5:$G$34,MATCH(B528,Entities!$A$5:$A$34,0))="Y","Y","N/A")))</f>
        <v>Y</v>
      </c>
      <c r="J528" s="8" t="s">
        <v>2030</v>
      </c>
      <c r="K528" s="8" t="s">
        <v>2018</v>
      </c>
      <c r="L528" s="7" t="str">
        <f aca="false">IF(OR(J528="",K528=""),"",IF(J528=K528,"Breach","OK"))</f>
        <v>OK</v>
      </c>
      <c r="M528" s="24" t="n">
        <v>2</v>
      </c>
      <c r="N528" s="50" t="n">
        <v>46024</v>
      </c>
      <c r="O528" s="8" t="s">
        <v>546</v>
      </c>
      <c r="P528" s="24" t="n">
        <v>20</v>
      </c>
      <c r="Q528" s="31" t="n">
        <f aca="false">IF(I528="N/A","",IFERROR(INDEX('Residual Config'!$B$35:$B$42,MATCH(H528,'Residual Config'!$A$35:$A$42,0)),""))</f>
        <v>25</v>
      </c>
      <c r="R528" s="24" t="n">
        <v>0</v>
      </c>
      <c r="S528" s="8" t="s">
        <v>516</v>
      </c>
      <c r="T528" s="31" t="n">
        <f aca="false">IF(S528="","",MATCH(S528,'Residual Config'!$L$9:$L$12,0))</f>
        <v>1</v>
      </c>
      <c r="U528" s="8" t="s">
        <v>2035</v>
      </c>
      <c r="V528" s="24" t="n">
        <v>4</v>
      </c>
      <c r="W528" s="33" t="s">
        <v>533</v>
      </c>
      <c r="X528" s="8" t="s">
        <v>754</v>
      </c>
      <c r="Y528" s="51" t="n">
        <f aca="false">IF(N528="","",EDATE(N528,IF(G528="N",INDEX('Residual Config'!$B$31:$D$31,1,MATCH(D528,'Residual Config'!$B$27:$D$27,0)),INDEX('Residual Config'!$B$28:$D$30,IF(T528=1,1,IF(T528=4,3,2)),MATCH(D528,'Residual Config'!$B$27:$D$27,0)))))</f>
        <v>46389</v>
      </c>
      <c r="Z528" s="7" t="str">
        <f aca="false">IF(I528="N/A","N/A",IF(N528="","Not tested",IF(W528="Rejected","Evidence rejected",IF(W528&lt;&gt;"Accepted","Evidence pending",IF(Y528&lt;'Residual Config'!$C$4,"Overdue","Current")))))</f>
        <v>Current</v>
      </c>
      <c r="AA528" s="34" t="n">
        <f aca="false">IF(I528="N/A","",IF(Z528&lt;&gt;"Current",4,IF(MAX(M528,T528)=0,4,MAX(M528,T528))))</f>
        <v>2</v>
      </c>
      <c r="AB528" s="7" t="str">
        <f aca="false">IF(AA528="","N/A",IF(Z528&lt;&gt;"Current","Not tested / overdue",INDEX('Residual Config'!$B$11:$B$14,AA528)))</f>
        <v>Largely effective</v>
      </c>
      <c r="AC528" s="36" t="n">
        <f aca="false">IF(AA528="","",INDEX('Residual Config'!$D$11:$D$14,AA528))</f>
        <v>0.4</v>
      </c>
      <c r="AD528" s="7" t="str">
        <f aca="false">IF(OR(I528="N/A",P528="",Q528=""),"",IF(P528&gt;=Q528,"Yes","No"))</f>
        <v>No</v>
      </c>
      <c r="AE528" s="8"/>
    </row>
    <row r="529" customFormat="false" ht="15" hidden="false" customHeight="false" outlineLevel="0" collapsed="false">
      <c r="A529" s="12" t="s">
        <v>2036</v>
      </c>
      <c r="B529" s="26" t="str">
        <f aca="false">Entities!$A$17</f>
        <v>SA</v>
      </c>
      <c r="C529" s="12" t="str">
        <f aca="false">INDEX(Entities!$B$5:$B$34,MATCH(B529,Entities!$A$5:$A$34,0))</f>
        <v>Arab National Bank (affiliate)</v>
      </c>
      <c r="D529" s="7" t="str">
        <f aca="false">INDEX(Entities!$F$5:$F$34,MATCH(B529,Entities!$A$5:$A$34,0))</f>
        <v>Tier 2</v>
      </c>
      <c r="E529" s="26" t="str">
        <f aca="false">'Control Library'!$A$13</f>
        <v>CTL-SAN-01</v>
      </c>
      <c r="F529" s="12" t="str">
        <f aca="false">INDEX('Control Library'!$B$5:$B$47,MATCH(E529,'Control Library'!$A$5:$A$47,0))</f>
        <v>Real-time payment and transaction sanctions screening</v>
      </c>
      <c r="G529" s="7" t="str">
        <f aca="false">INDEX('Control Library'!$F$5:$F$47,MATCH(E529,'Control Library'!$A$5:$A$47,0))</f>
        <v>Y</v>
      </c>
      <c r="H529" s="12" t="str">
        <f aca="false">INDEX('Control Library'!$E$5:$E$47,MATCH(E529,'Control Library'!$A$5:$A$47,0))</f>
        <v>Continuous</v>
      </c>
      <c r="I529" s="7" t="str">
        <f aca="false">IF(INDEX('Control Library'!$I$5:$I$47,MATCH(E529,'Control Library'!$A$5:$A$47,0))="All","Y",IF(INDEX('Control Library'!$I$5:$I$47,MATCH(E529,'Control Library'!$A$5:$A$47,0))="Banks only",IF(COUNTIF('Residual Config'!$L$28:$L$30,INDEX(Entities!$E$5:$E$34,MATCH(B529,Entities!$A$5:$A$34,0)))&gt;0,"N/A","Y"),IF(INDEX(Entities!$G$5:$G$34,MATCH(B529,Entities!$A$5:$A$34,0))="Y","Y","N/A")))</f>
        <v>Y</v>
      </c>
      <c r="J529" s="8" t="s">
        <v>2037</v>
      </c>
      <c r="K529" s="8" t="s">
        <v>2018</v>
      </c>
      <c r="L529" s="7" t="str">
        <f aca="false">IF(OR(J529="",K529=""),"",IF(J529=K529,"Breach","OK"))</f>
        <v>OK</v>
      </c>
      <c r="M529" s="24" t="n">
        <v>2</v>
      </c>
      <c r="N529" s="50"/>
      <c r="O529" s="8"/>
      <c r="P529" s="24"/>
      <c r="Q529" s="31" t="n">
        <f aca="false">IF(I529="N/A","",IFERROR(INDEX('Residual Config'!$B$35:$B$42,MATCH(H529,'Residual Config'!$A$35:$A$42,0)),""))</f>
        <v>1</v>
      </c>
      <c r="R529" s="24"/>
      <c r="S529" s="8"/>
      <c r="T529" s="31" t="str">
        <f aca="false">IF(S529="","",MATCH(S529,'Residual Config'!$L$9:$L$12,0))</f>
        <v/>
      </c>
      <c r="U529" s="8"/>
      <c r="V529" s="24"/>
      <c r="W529" s="33"/>
      <c r="X529" s="8"/>
      <c r="Y529" s="51" t="str">
        <f aca="false">IF(N529="","",EDATE(N529,IF(G529="N",INDEX('Residual Config'!$B$31:$D$31,1,MATCH(D529,'Residual Config'!$B$27:$D$27,0)),INDEX('Residual Config'!$B$28:$D$30,IF(T529=1,1,IF(T529=4,3,2)),MATCH(D529,'Residual Config'!$B$27:$D$27,0)))))</f>
        <v/>
      </c>
      <c r="Z529" s="7" t="str">
        <f aca="false">IF(I529="N/A","N/A",IF(N529="","Not tested",IF(W529="Rejected","Evidence rejected",IF(W529&lt;&gt;"Accepted","Evidence pending",IF(Y529&lt;'Residual Config'!$C$4,"Overdue","Current")))))</f>
        <v>Not tested</v>
      </c>
      <c r="AA529" s="34" t="n">
        <f aca="false">IF(I529="N/A","",IF(Z529&lt;&gt;"Current",4,IF(MAX(M529,T529)=0,4,MAX(M529,T529))))</f>
        <v>4</v>
      </c>
      <c r="AB529" s="7" t="str">
        <f aca="false">IF(AA529="","N/A",IF(Z529&lt;&gt;"Current","Not tested / overdue",INDEX('Residual Config'!$B$11:$B$14,AA529)))</f>
        <v>Not tested / overdue</v>
      </c>
      <c r="AC529" s="36" t="n">
        <f aca="false">IF(AA529="","",INDEX('Residual Config'!$D$11:$D$14,AA529))</f>
        <v>0</v>
      </c>
      <c r="AD529" s="7" t="str">
        <f aca="false">IF(OR(I529="N/A",P529="",Q529=""),"",IF(P529&gt;=Q529,"Yes","No"))</f>
        <v/>
      </c>
      <c r="AE529" s="8"/>
    </row>
    <row r="530" customFormat="false" ht="15" hidden="false" customHeight="false" outlineLevel="0" collapsed="false">
      <c r="A530" s="12" t="s">
        <v>2038</v>
      </c>
      <c r="B530" s="26" t="str">
        <f aca="false">Entities!$A$17</f>
        <v>SA</v>
      </c>
      <c r="C530" s="12" t="str">
        <f aca="false">INDEX(Entities!$B$5:$B$34,MATCH(B530,Entities!$A$5:$A$34,0))</f>
        <v>Arab National Bank (affiliate)</v>
      </c>
      <c r="D530" s="7" t="str">
        <f aca="false">INDEX(Entities!$F$5:$F$34,MATCH(B530,Entities!$A$5:$A$34,0))</f>
        <v>Tier 2</v>
      </c>
      <c r="E530" s="26" t="str">
        <f aca="false">'Control Library'!$A$14</f>
        <v>CTL-SAN-02</v>
      </c>
      <c r="F530" s="12" t="str">
        <f aca="false">INDEX('Control Library'!$B$5:$B$47,MATCH(E530,'Control Library'!$A$5:$A$47,0))</f>
        <v>Customer and counterparty screening at onboarding and on list change</v>
      </c>
      <c r="G530" s="7" t="str">
        <f aca="false">INDEX('Control Library'!$F$5:$F$47,MATCH(E530,'Control Library'!$A$5:$A$47,0))</f>
        <v>Y</v>
      </c>
      <c r="H530" s="12" t="str">
        <f aca="false">INDEX('Control Library'!$E$5:$E$47,MATCH(E530,'Control Library'!$A$5:$A$47,0))</f>
        <v>Continuous</v>
      </c>
      <c r="I530" s="7" t="str">
        <f aca="false">IF(INDEX('Control Library'!$I$5:$I$47,MATCH(E530,'Control Library'!$A$5:$A$47,0))="All","Y",IF(INDEX('Control Library'!$I$5:$I$47,MATCH(E530,'Control Library'!$A$5:$A$47,0))="Banks only",IF(COUNTIF('Residual Config'!$L$28:$L$30,INDEX(Entities!$E$5:$E$34,MATCH(B530,Entities!$A$5:$A$34,0)))&gt;0,"N/A","Y"),IF(INDEX(Entities!$G$5:$G$34,MATCH(B530,Entities!$A$5:$A$34,0))="Y","Y","N/A")))</f>
        <v>Y</v>
      </c>
      <c r="J530" s="8" t="s">
        <v>2037</v>
      </c>
      <c r="K530" s="8" t="s">
        <v>2018</v>
      </c>
      <c r="L530" s="7" t="str">
        <f aca="false">IF(OR(J530="",K530=""),"",IF(J530=K530,"Breach","OK"))</f>
        <v>OK</v>
      </c>
      <c r="M530" s="24" t="n">
        <v>2</v>
      </c>
      <c r="N530" s="50" t="n">
        <v>46066</v>
      </c>
      <c r="O530" s="8" t="s">
        <v>547</v>
      </c>
      <c r="P530" s="24" t="n">
        <v>1</v>
      </c>
      <c r="Q530" s="31" t="n">
        <f aca="false">IF(I530="N/A","",IFERROR(INDEX('Residual Config'!$B$35:$B$42,MATCH(H530,'Residual Config'!$A$35:$A$42,0)),""))</f>
        <v>1</v>
      </c>
      <c r="R530" s="24" t="n">
        <v>0</v>
      </c>
      <c r="S530" s="8" t="s">
        <v>516</v>
      </c>
      <c r="T530" s="31" t="n">
        <f aca="false">IF(S530="","",MATCH(S530,'Residual Config'!$L$9:$L$12,0))</f>
        <v>1</v>
      </c>
      <c r="U530" s="8" t="s">
        <v>2039</v>
      </c>
      <c r="V530" s="24" t="n">
        <v>1</v>
      </c>
      <c r="W530" s="33" t="s">
        <v>533</v>
      </c>
      <c r="X530" s="8" t="s">
        <v>754</v>
      </c>
      <c r="Y530" s="51" t="n">
        <f aca="false">IF(N530="","",EDATE(N530,IF(G530="N",INDEX('Residual Config'!$B$31:$D$31,1,MATCH(D530,'Residual Config'!$B$27:$D$27,0)),INDEX('Residual Config'!$B$28:$D$30,IF(T530=1,1,IF(T530=4,3,2)),MATCH(D530,'Residual Config'!$B$27:$D$27,0)))))</f>
        <v>46431</v>
      </c>
      <c r="Z530" s="7" t="str">
        <f aca="false">IF(I530="N/A","N/A",IF(N530="","Not tested",IF(W530="Rejected","Evidence rejected",IF(W530&lt;&gt;"Accepted","Evidence pending",IF(Y530&lt;'Residual Config'!$C$4,"Overdue","Current")))))</f>
        <v>Current</v>
      </c>
      <c r="AA530" s="34" t="n">
        <f aca="false">IF(I530="N/A","",IF(Z530&lt;&gt;"Current",4,IF(MAX(M530,T530)=0,4,MAX(M530,T530))))</f>
        <v>2</v>
      </c>
      <c r="AB530" s="7" t="str">
        <f aca="false">IF(AA530="","N/A",IF(Z530&lt;&gt;"Current","Not tested / overdue",INDEX('Residual Config'!$B$11:$B$14,AA530)))</f>
        <v>Largely effective</v>
      </c>
      <c r="AC530" s="36" t="n">
        <f aca="false">IF(AA530="","",INDEX('Residual Config'!$D$11:$D$14,AA530))</f>
        <v>0.4</v>
      </c>
      <c r="AD530" s="7" t="str">
        <f aca="false">IF(OR(I530="N/A",P530="",Q530=""),"",IF(P530&gt;=Q530,"Yes","No"))</f>
        <v>Yes</v>
      </c>
      <c r="AE530" s="8"/>
    </row>
    <row r="531" customFormat="false" ht="15" hidden="false" customHeight="false" outlineLevel="0" collapsed="false">
      <c r="A531" s="12" t="s">
        <v>2040</v>
      </c>
      <c r="B531" s="26" t="str">
        <f aca="false">Entities!$A$17</f>
        <v>SA</v>
      </c>
      <c r="C531" s="12" t="str">
        <f aca="false">INDEX(Entities!$B$5:$B$34,MATCH(B531,Entities!$A$5:$A$34,0))</f>
        <v>Arab National Bank (affiliate)</v>
      </c>
      <c r="D531" s="7" t="str">
        <f aca="false">INDEX(Entities!$F$5:$F$34,MATCH(B531,Entities!$A$5:$A$34,0))</f>
        <v>Tier 2</v>
      </c>
      <c r="E531" s="26" t="str">
        <f aca="false">'Control Library'!$A$15</f>
        <v>CTL-SAN-03</v>
      </c>
      <c r="F531" s="12" t="str">
        <f aca="false">INDEX('Control Library'!$B$5:$B$47,MATCH(E531,'Control Library'!$A$5:$A$47,0))</f>
        <v>Sanctions list updates applied within 24 hours</v>
      </c>
      <c r="G531" s="7" t="str">
        <f aca="false">INDEX('Control Library'!$F$5:$F$47,MATCH(E531,'Control Library'!$A$5:$A$47,0))</f>
        <v>N</v>
      </c>
      <c r="H531" s="12" t="str">
        <f aca="false">INDEX('Control Library'!$E$5:$E$47,MATCH(E531,'Control Library'!$A$5:$A$47,0))</f>
        <v>Daily</v>
      </c>
      <c r="I531" s="7" t="str">
        <f aca="false">IF(INDEX('Control Library'!$I$5:$I$47,MATCH(E531,'Control Library'!$A$5:$A$47,0))="All","Y",IF(INDEX('Control Library'!$I$5:$I$47,MATCH(E531,'Control Library'!$A$5:$A$47,0))="Banks only",IF(COUNTIF('Residual Config'!$L$28:$L$30,INDEX(Entities!$E$5:$E$34,MATCH(B531,Entities!$A$5:$A$34,0)))&gt;0,"N/A","Y"),IF(INDEX(Entities!$G$5:$G$34,MATCH(B531,Entities!$A$5:$A$34,0))="Y","Y","N/A")))</f>
        <v>Y</v>
      </c>
      <c r="J531" s="8" t="s">
        <v>2041</v>
      </c>
      <c r="K531" s="8" t="s">
        <v>2018</v>
      </c>
      <c r="L531" s="7" t="str">
        <f aca="false">IF(OR(J531="",K531=""),"",IF(J531=K531,"Breach","OK"))</f>
        <v>OK</v>
      </c>
      <c r="M531" s="24" t="n">
        <v>1</v>
      </c>
      <c r="N531" s="50" t="n">
        <v>46148</v>
      </c>
      <c r="O531" s="8" t="s">
        <v>545</v>
      </c>
      <c r="P531" s="24" t="n">
        <v>35</v>
      </c>
      <c r="Q531" s="31" t="n">
        <f aca="false">IF(I531="N/A","",IFERROR(INDEX('Residual Config'!$B$35:$B$42,MATCH(H531,'Residual Config'!$A$35:$A$42,0)),""))</f>
        <v>25</v>
      </c>
      <c r="R531" s="24" t="n">
        <v>1</v>
      </c>
      <c r="S531" s="8" t="s">
        <v>521</v>
      </c>
      <c r="T531" s="31" t="n">
        <f aca="false">IF(S531="","",MATCH(S531,'Residual Config'!$L$9:$L$12,0))</f>
        <v>2</v>
      </c>
      <c r="U531" s="8" t="s">
        <v>2042</v>
      </c>
      <c r="V531" s="24" t="n">
        <v>2</v>
      </c>
      <c r="W531" s="33" t="s">
        <v>533</v>
      </c>
      <c r="X531" s="8" t="s">
        <v>760</v>
      </c>
      <c r="Y531" s="51" t="n">
        <f aca="false">IF(N531="","",EDATE(N531,IF(G531="N",INDEX('Residual Config'!$B$31:$D$31,1,MATCH(D531,'Residual Config'!$B$27:$D$27,0)),INDEX('Residual Config'!$B$28:$D$30,IF(T531=1,1,IF(T531=4,3,2)),MATCH(D531,'Residual Config'!$B$27:$D$27,0)))))</f>
        <v>46513</v>
      </c>
      <c r="Z531" s="7" t="str">
        <f aca="false">IF(I531="N/A","N/A",IF(N531="","Not tested",IF(W531="Rejected","Evidence rejected",IF(W531&lt;&gt;"Accepted","Evidence pending",IF(Y531&lt;'Residual Config'!$C$4,"Overdue","Current")))))</f>
        <v>Current</v>
      </c>
      <c r="AA531" s="34" t="n">
        <f aca="false">IF(I531="N/A","",IF(Z531&lt;&gt;"Current",4,IF(MAX(M531,T531)=0,4,MAX(M531,T531))))</f>
        <v>2</v>
      </c>
      <c r="AB531" s="7" t="str">
        <f aca="false">IF(AA531="","N/A",IF(Z531&lt;&gt;"Current","Not tested / overdue",INDEX('Residual Config'!$B$11:$B$14,AA531)))</f>
        <v>Largely effective</v>
      </c>
      <c r="AC531" s="36" t="n">
        <f aca="false">IF(AA531="","",INDEX('Residual Config'!$D$11:$D$14,AA531))</f>
        <v>0.4</v>
      </c>
      <c r="AD531" s="7" t="str">
        <f aca="false">IF(OR(I531="N/A",P531="",Q531=""),"",IF(P531&gt;=Q531,"Yes","No"))</f>
        <v>Yes</v>
      </c>
      <c r="AE531" s="8"/>
    </row>
    <row r="532" customFormat="false" ht="15" hidden="false" customHeight="false" outlineLevel="0" collapsed="false">
      <c r="A532" s="12" t="s">
        <v>2043</v>
      </c>
      <c r="B532" s="26" t="str">
        <f aca="false">Entities!$A$17</f>
        <v>SA</v>
      </c>
      <c r="C532" s="12" t="str">
        <f aca="false">INDEX(Entities!$B$5:$B$34,MATCH(B532,Entities!$A$5:$A$34,0))</f>
        <v>Arab National Bank (affiliate)</v>
      </c>
      <c r="D532" s="7" t="str">
        <f aca="false">INDEX(Entities!$F$5:$F$34,MATCH(B532,Entities!$A$5:$A$34,0))</f>
        <v>Tier 2</v>
      </c>
      <c r="E532" s="26" t="str">
        <f aca="false">'Control Library'!$A$16</f>
        <v>CTL-TF-01</v>
      </c>
      <c r="F532" s="12" t="str">
        <f aca="false">INDEX('Control Library'!$B$5:$B$47,MATCH(E532,'Control Library'!$A$5:$A$47,0))</f>
        <v>NPO and charity enhanced due diligence</v>
      </c>
      <c r="G532" s="7" t="str">
        <f aca="false">INDEX('Control Library'!$F$5:$F$47,MATCH(E532,'Control Library'!$A$5:$A$47,0))</f>
        <v>N</v>
      </c>
      <c r="H532" s="12" t="str">
        <f aca="false">INDEX('Control Library'!$E$5:$E$47,MATCH(E532,'Control Library'!$A$5:$A$47,0))</f>
        <v>Event-driven</v>
      </c>
      <c r="I532" s="7" t="str">
        <f aca="false">IF(INDEX('Control Library'!$I$5:$I$47,MATCH(E532,'Control Library'!$A$5:$A$47,0))="All","Y",IF(INDEX('Control Library'!$I$5:$I$47,MATCH(E532,'Control Library'!$A$5:$A$47,0))="Banks only",IF(COUNTIF('Residual Config'!$L$28:$L$30,INDEX(Entities!$E$5:$E$34,MATCH(B532,Entities!$A$5:$A$34,0)))&gt;0,"N/A","Y"),IF(INDEX(Entities!$G$5:$G$34,MATCH(B532,Entities!$A$5:$A$34,0))="Y","Y","N/A")))</f>
        <v>Y</v>
      </c>
      <c r="J532" s="8" t="s">
        <v>2044</v>
      </c>
      <c r="K532" s="8" t="s">
        <v>2018</v>
      </c>
      <c r="L532" s="7" t="str">
        <f aca="false">IF(OR(J532="",K532=""),"",IF(J532=K532,"Breach","OK"))</f>
        <v>OK</v>
      </c>
      <c r="M532" s="24" t="n">
        <v>1</v>
      </c>
      <c r="N532" s="50" t="n">
        <v>46261</v>
      </c>
      <c r="O532" s="8" t="s">
        <v>546</v>
      </c>
      <c r="P532" s="24" t="n">
        <v>35</v>
      </c>
      <c r="Q532" s="31" t="n">
        <f aca="false">IF(I532="N/A","",IFERROR(INDEX('Residual Config'!$B$35:$B$42,MATCH(H532,'Residual Config'!$A$35:$A$42,0)),""))</f>
        <v>25</v>
      </c>
      <c r="R532" s="24" t="n">
        <v>0</v>
      </c>
      <c r="S532" s="8" t="s">
        <v>516</v>
      </c>
      <c r="T532" s="31" t="n">
        <f aca="false">IF(S532="","",MATCH(S532,'Residual Config'!$L$9:$L$12,0))</f>
        <v>1</v>
      </c>
      <c r="U532" s="8" t="s">
        <v>2045</v>
      </c>
      <c r="V532" s="24" t="n">
        <v>4</v>
      </c>
      <c r="W532" s="33" t="s">
        <v>533</v>
      </c>
      <c r="X532" s="8" t="s">
        <v>760</v>
      </c>
      <c r="Y532" s="51" t="n">
        <f aca="false">IF(N532="","",EDATE(N532,IF(G532="N",INDEX('Residual Config'!$B$31:$D$31,1,MATCH(D532,'Residual Config'!$B$27:$D$27,0)),INDEX('Residual Config'!$B$28:$D$30,IF(T532=1,1,IF(T532=4,3,2)),MATCH(D532,'Residual Config'!$B$27:$D$27,0)))))</f>
        <v>46626</v>
      </c>
      <c r="Z532" s="7" t="str">
        <f aca="false">IF(I532="N/A","N/A",IF(N532="","Not tested",IF(W532="Rejected","Evidence rejected",IF(W532&lt;&gt;"Accepted","Evidence pending",IF(Y532&lt;'Residual Config'!$C$4,"Overdue","Current")))))</f>
        <v>Current</v>
      </c>
      <c r="AA532" s="34" t="n">
        <f aca="false">IF(I532="N/A","",IF(Z532&lt;&gt;"Current",4,IF(MAX(M532,T532)=0,4,MAX(M532,T532))))</f>
        <v>1</v>
      </c>
      <c r="AB532" s="7" t="str">
        <f aca="false">IF(AA532="","N/A",IF(Z532&lt;&gt;"Current","Not tested / overdue",INDEX('Residual Config'!$B$11:$B$14,AA532)))</f>
        <v>Effective</v>
      </c>
      <c r="AC532" s="36" t="n">
        <f aca="false">IF(AA532="","",INDEX('Residual Config'!$D$11:$D$14,AA532))</f>
        <v>0.6</v>
      </c>
      <c r="AD532" s="7" t="str">
        <f aca="false">IF(OR(I532="N/A",P532="",Q532=""),"",IF(P532&gt;=Q532,"Yes","No"))</f>
        <v>Yes</v>
      </c>
      <c r="AE532" s="8"/>
    </row>
    <row r="533" customFormat="false" ht="15" hidden="false" customHeight="false" outlineLevel="0" collapsed="false">
      <c r="A533" s="12" t="s">
        <v>2046</v>
      </c>
      <c r="B533" s="26" t="str">
        <f aca="false">Entities!$A$17</f>
        <v>SA</v>
      </c>
      <c r="C533" s="12" t="str">
        <f aca="false">INDEX(Entities!$B$5:$B$34,MATCH(B533,Entities!$A$5:$A$34,0))</f>
        <v>Arab National Bank (affiliate)</v>
      </c>
      <c r="D533" s="7" t="str">
        <f aca="false">INDEX(Entities!$F$5:$F$34,MATCH(B533,Entities!$A$5:$A$34,0))</f>
        <v>Tier 2</v>
      </c>
      <c r="E533" s="26" t="str">
        <f aca="false">'Control Library'!$A$17</f>
        <v>CTL-TBML-01</v>
      </c>
      <c r="F533" s="12" t="str">
        <f aca="false">INDEX('Control Library'!$B$5:$B$47,MATCH(E533,'Control Library'!$A$5:$A$47,0))</f>
        <v>Trade-based ML red-flag review and pricing checks</v>
      </c>
      <c r="G533" s="7" t="str">
        <f aca="false">INDEX('Control Library'!$F$5:$F$47,MATCH(E533,'Control Library'!$A$5:$A$47,0))</f>
        <v>Y</v>
      </c>
      <c r="H533" s="12" t="str">
        <f aca="false">INDEX('Control Library'!$E$5:$E$47,MATCH(E533,'Control Library'!$A$5:$A$47,0))</f>
        <v>Event-driven</v>
      </c>
      <c r="I533" s="7" t="str">
        <f aca="false">IF(INDEX('Control Library'!$I$5:$I$47,MATCH(E533,'Control Library'!$A$5:$A$47,0))="All","Y",IF(INDEX('Control Library'!$I$5:$I$47,MATCH(E533,'Control Library'!$A$5:$A$47,0))="Banks only",IF(COUNTIF('Residual Config'!$L$28:$L$30,INDEX(Entities!$E$5:$E$34,MATCH(B533,Entities!$A$5:$A$34,0)))&gt;0,"N/A","Y"),IF(INDEX(Entities!$G$5:$G$34,MATCH(B533,Entities!$A$5:$A$34,0))="Y","Y","N/A")))</f>
        <v>Y</v>
      </c>
      <c r="J533" s="8" t="s">
        <v>2047</v>
      </c>
      <c r="K533" s="8" t="s">
        <v>2018</v>
      </c>
      <c r="L533" s="7" t="str">
        <f aca="false">IF(OR(J533="",K533=""),"",IF(J533=K533,"Breach","OK"))</f>
        <v>OK</v>
      </c>
      <c r="M533" s="24" t="n">
        <v>2</v>
      </c>
      <c r="N533" s="50" t="n">
        <v>46010</v>
      </c>
      <c r="O533" s="8" t="s">
        <v>546</v>
      </c>
      <c r="P533" s="24" t="n">
        <v>25</v>
      </c>
      <c r="Q533" s="31" t="n">
        <f aca="false">IF(I533="N/A","",IFERROR(INDEX('Residual Config'!$B$35:$B$42,MATCH(H533,'Residual Config'!$A$35:$A$42,0)),""))</f>
        <v>25</v>
      </c>
      <c r="R533" s="24" t="n">
        <v>0</v>
      </c>
      <c r="S533" s="8" t="s">
        <v>516</v>
      </c>
      <c r="T533" s="31" t="n">
        <f aca="false">IF(S533="","",MATCH(S533,'Residual Config'!$L$9:$L$12,0))</f>
        <v>1</v>
      </c>
      <c r="U533" s="8" t="s">
        <v>2048</v>
      </c>
      <c r="V533" s="24" t="n">
        <v>4</v>
      </c>
      <c r="W533" s="33" t="s">
        <v>533</v>
      </c>
      <c r="X533" s="8" t="s">
        <v>754</v>
      </c>
      <c r="Y533" s="51" t="n">
        <f aca="false">IF(N533="","",EDATE(N533,IF(G533="N",INDEX('Residual Config'!$B$31:$D$31,1,MATCH(D533,'Residual Config'!$B$27:$D$27,0)),INDEX('Residual Config'!$B$28:$D$30,IF(T533=1,1,IF(T533=4,3,2)),MATCH(D533,'Residual Config'!$B$27:$D$27,0)))))</f>
        <v>46375</v>
      </c>
      <c r="Z533" s="7" t="str">
        <f aca="false">IF(I533="N/A","N/A",IF(N533="","Not tested",IF(W533="Rejected","Evidence rejected",IF(W533&lt;&gt;"Accepted","Evidence pending",IF(Y533&lt;'Residual Config'!$C$4,"Overdue","Current")))))</f>
        <v>Current</v>
      </c>
      <c r="AA533" s="34" t="n">
        <f aca="false">IF(I533="N/A","",IF(Z533&lt;&gt;"Current",4,IF(MAX(M533,T533)=0,4,MAX(M533,T533))))</f>
        <v>2</v>
      </c>
      <c r="AB533" s="7" t="str">
        <f aca="false">IF(AA533="","N/A",IF(Z533&lt;&gt;"Current","Not tested / overdue",INDEX('Residual Config'!$B$11:$B$14,AA533)))</f>
        <v>Largely effective</v>
      </c>
      <c r="AC533" s="36" t="n">
        <f aca="false">IF(AA533="","",INDEX('Residual Config'!$D$11:$D$14,AA533))</f>
        <v>0.4</v>
      </c>
      <c r="AD533" s="7" t="str">
        <f aca="false">IF(OR(I533="N/A",P533="",Q533=""),"",IF(P533&gt;=Q533,"Yes","No"))</f>
        <v>Yes</v>
      </c>
      <c r="AE533" s="8"/>
    </row>
    <row r="534" customFormat="false" ht="15" hidden="false" customHeight="false" outlineLevel="0" collapsed="false">
      <c r="A534" s="12" t="s">
        <v>2049</v>
      </c>
      <c r="B534" s="26" t="str">
        <f aca="false">Entities!$A$17</f>
        <v>SA</v>
      </c>
      <c r="C534" s="12" t="str">
        <f aca="false">INDEX(Entities!$B$5:$B$34,MATCH(B534,Entities!$A$5:$A$34,0))</f>
        <v>Arab National Bank (affiliate)</v>
      </c>
      <c r="D534" s="7" t="str">
        <f aca="false">INDEX(Entities!$F$5:$F$34,MATCH(B534,Entities!$A$5:$A$34,0))</f>
        <v>Tier 2</v>
      </c>
      <c r="E534" s="26" t="str">
        <f aca="false">'Control Library'!$A$18</f>
        <v>CTL-PF-01</v>
      </c>
      <c r="F534" s="12" t="str">
        <f aca="false">INDEX('Control Library'!$B$5:$B$47,MATCH(E534,'Control Library'!$A$5:$A$47,0))</f>
        <v>Dual-use goods, vessel and port screening</v>
      </c>
      <c r="G534" s="7" t="str">
        <f aca="false">INDEX('Control Library'!$F$5:$F$47,MATCH(E534,'Control Library'!$A$5:$A$47,0))</f>
        <v>Y</v>
      </c>
      <c r="H534" s="12" t="str">
        <f aca="false">INDEX('Control Library'!$E$5:$E$47,MATCH(E534,'Control Library'!$A$5:$A$47,0))</f>
        <v>Event-driven</v>
      </c>
      <c r="I534" s="7" t="str">
        <f aca="false">IF(INDEX('Control Library'!$I$5:$I$47,MATCH(E534,'Control Library'!$A$5:$A$47,0))="All","Y",IF(INDEX('Control Library'!$I$5:$I$47,MATCH(E534,'Control Library'!$A$5:$A$47,0))="Banks only",IF(COUNTIF('Residual Config'!$L$28:$L$30,INDEX(Entities!$E$5:$E$34,MATCH(B534,Entities!$A$5:$A$34,0)))&gt;0,"N/A","Y"),IF(INDEX(Entities!$G$5:$G$34,MATCH(B534,Entities!$A$5:$A$34,0))="Y","Y","N/A")))</f>
        <v>Y</v>
      </c>
      <c r="J534" s="8" t="s">
        <v>2047</v>
      </c>
      <c r="K534" s="8" t="s">
        <v>2018</v>
      </c>
      <c r="L534" s="7" t="str">
        <f aca="false">IF(OR(J534="",K534=""),"",IF(J534=K534,"Breach","OK"))</f>
        <v>OK</v>
      </c>
      <c r="M534" s="24" t="n">
        <v>1</v>
      </c>
      <c r="N534" s="50" t="n">
        <v>46129</v>
      </c>
      <c r="O534" s="8" t="s">
        <v>546</v>
      </c>
      <c r="P534" s="24" t="n">
        <v>25</v>
      </c>
      <c r="Q534" s="31" t="n">
        <f aca="false">IF(I534="N/A","",IFERROR(INDEX('Residual Config'!$B$35:$B$42,MATCH(H534,'Residual Config'!$A$35:$A$42,0)),""))</f>
        <v>25</v>
      </c>
      <c r="R534" s="24" t="n">
        <v>0</v>
      </c>
      <c r="S534" s="8" t="s">
        <v>516</v>
      </c>
      <c r="T534" s="31" t="n">
        <f aca="false">IF(S534="","",MATCH(S534,'Residual Config'!$L$9:$L$12,0))</f>
        <v>1</v>
      </c>
      <c r="U534" s="8" t="s">
        <v>2050</v>
      </c>
      <c r="V534" s="24" t="n">
        <v>3</v>
      </c>
      <c r="W534" s="33" t="s">
        <v>533</v>
      </c>
      <c r="X534" s="8" t="s">
        <v>754</v>
      </c>
      <c r="Y534" s="51" t="n">
        <f aca="false">IF(N534="","",EDATE(N534,IF(G534="N",INDEX('Residual Config'!$B$31:$D$31,1,MATCH(D534,'Residual Config'!$B$27:$D$27,0)),INDEX('Residual Config'!$B$28:$D$30,IF(T534=1,1,IF(T534=4,3,2)),MATCH(D534,'Residual Config'!$B$27:$D$27,0)))))</f>
        <v>46494</v>
      </c>
      <c r="Z534" s="7" t="str">
        <f aca="false">IF(I534="N/A","N/A",IF(N534="","Not tested",IF(W534="Rejected","Evidence rejected",IF(W534&lt;&gt;"Accepted","Evidence pending",IF(Y534&lt;'Residual Config'!$C$4,"Overdue","Current")))))</f>
        <v>Current</v>
      </c>
      <c r="AA534" s="34" t="n">
        <f aca="false">IF(I534="N/A","",IF(Z534&lt;&gt;"Current",4,IF(MAX(M534,T534)=0,4,MAX(M534,T534))))</f>
        <v>1</v>
      </c>
      <c r="AB534" s="7" t="str">
        <f aca="false">IF(AA534="","N/A",IF(Z534&lt;&gt;"Current","Not tested / overdue",INDEX('Residual Config'!$B$11:$B$14,AA534)))</f>
        <v>Effective</v>
      </c>
      <c r="AC534" s="36" t="n">
        <f aca="false">IF(AA534="","",INDEX('Residual Config'!$D$11:$D$14,AA534))</f>
        <v>0.6</v>
      </c>
      <c r="AD534" s="7" t="str">
        <f aca="false">IF(OR(I534="N/A",P534="",Q534=""),"",IF(P534&gt;=Q534,"Yes","No"))</f>
        <v>Yes</v>
      </c>
      <c r="AE534" s="8"/>
    </row>
    <row r="535" customFormat="false" ht="15" hidden="false" customHeight="false" outlineLevel="0" collapsed="false">
      <c r="A535" s="12" t="s">
        <v>2051</v>
      </c>
      <c r="B535" s="26" t="str">
        <f aca="false">Entities!$A$17</f>
        <v>SA</v>
      </c>
      <c r="C535" s="12" t="str">
        <f aca="false">INDEX(Entities!$B$5:$B$34,MATCH(B535,Entities!$A$5:$A$34,0))</f>
        <v>Arab National Bank (affiliate)</v>
      </c>
      <c r="D535" s="7" t="str">
        <f aca="false">INDEX(Entities!$F$5:$F$34,MATCH(B535,Entities!$A$5:$A$34,0))</f>
        <v>Tier 2</v>
      </c>
      <c r="E535" s="26" t="str">
        <f aca="false">'Control Library'!$A$19</f>
        <v>CTL-CB-01</v>
      </c>
      <c r="F535" s="12" t="str">
        <f aca="false">INDEX('Control Library'!$B$5:$B$47,MATCH(E535,'Control Library'!$A$5:$A$47,0))</f>
        <v>Correspondent bank due diligence (CBDDQ) and nesting detection</v>
      </c>
      <c r="G535" s="7" t="str">
        <f aca="false">INDEX('Control Library'!$F$5:$F$47,MATCH(E535,'Control Library'!$A$5:$A$47,0))</f>
        <v>Y</v>
      </c>
      <c r="H535" s="12" t="str">
        <f aca="false">INDEX('Control Library'!$E$5:$E$47,MATCH(E535,'Control Library'!$A$5:$A$47,0))</f>
        <v>Annual</v>
      </c>
      <c r="I535" s="7" t="str">
        <f aca="false">IF(INDEX('Control Library'!$I$5:$I$47,MATCH(E535,'Control Library'!$A$5:$A$47,0))="All","Y",IF(INDEX('Control Library'!$I$5:$I$47,MATCH(E535,'Control Library'!$A$5:$A$47,0))="Banks only",IF(COUNTIF('Residual Config'!$L$28:$L$30,INDEX(Entities!$E$5:$E$34,MATCH(B535,Entities!$A$5:$A$34,0)))&gt;0,"N/A","Y"),IF(INDEX(Entities!$G$5:$G$34,MATCH(B535,Entities!$A$5:$A$34,0))="Y","Y","N/A")))</f>
        <v>Y</v>
      </c>
      <c r="J535" s="8" t="s">
        <v>2052</v>
      </c>
      <c r="K535" s="8" t="s">
        <v>2018</v>
      </c>
      <c r="L535" s="7" t="str">
        <f aca="false">IF(OR(J535="",K535=""),"",IF(J535=K535,"Breach","OK"))</f>
        <v>OK</v>
      </c>
      <c r="M535" s="24" t="n">
        <v>2</v>
      </c>
      <c r="N535" s="50" t="n">
        <v>46250</v>
      </c>
      <c r="O535" s="8" t="s">
        <v>546</v>
      </c>
      <c r="P535" s="24" t="n">
        <v>1</v>
      </c>
      <c r="Q535" s="31" t="n">
        <f aca="false">IF(I535="N/A","",IFERROR(INDEX('Residual Config'!$B$35:$B$42,MATCH(H535,'Residual Config'!$A$35:$A$42,0)),""))</f>
        <v>1</v>
      </c>
      <c r="R535" s="24" t="n">
        <v>1</v>
      </c>
      <c r="S535" s="8" t="s">
        <v>521</v>
      </c>
      <c r="T535" s="31" t="n">
        <f aca="false">IF(S535="","",MATCH(S535,'Residual Config'!$L$9:$L$12,0))</f>
        <v>2</v>
      </c>
      <c r="U535" s="8" t="s">
        <v>2053</v>
      </c>
      <c r="V535" s="24" t="n">
        <v>4</v>
      </c>
      <c r="W535" s="33" t="s">
        <v>533</v>
      </c>
      <c r="X535" s="8" t="s">
        <v>754</v>
      </c>
      <c r="Y535" s="51" t="n">
        <f aca="false">IF(N535="","",EDATE(N535,IF(G535="N",INDEX('Residual Config'!$B$31:$D$31,1,MATCH(D535,'Residual Config'!$B$27:$D$27,0)),INDEX('Residual Config'!$B$28:$D$30,IF(T535=1,1,IF(T535=4,3,2)),MATCH(D535,'Residual Config'!$B$27:$D$27,0)))))</f>
        <v>46434</v>
      </c>
      <c r="Z535" s="7" t="str">
        <f aca="false">IF(I535="N/A","N/A",IF(N535="","Not tested",IF(W535="Rejected","Evidence rejected",IF(W535&lt;&gt;"Accepted","Evidence pending",IF(Y535&lt;'Residual Config'!$C$4,"Overdue","Current")))))</f>
        <v>Current</v>
      </c>
      <c r="AA535" s="34" t="n">
        <f aca="false">IF(I535="N/A","",IF(Z535&lt;&gt;"Current",4,IF(MAX(M535,T535)=0,4,MAX(M535,T535))))</f>
        <v>2</v>
      </c>
      <c r="AB535" s="7" t="str">
        <f aca="false">IF(AA535="","N/A",IF(Z535&lt;&gt;"Current","Not tested / overdue",INDEX('Residual Config'!$B$11:$B$14,AA535)))</f>
        <v>Largely effective</v>
      </c>
      <c r="AC535" s="36" t="n">
        <f aca="false">IF(AA535="","",INDEX('Residual Config'!$D$11:$D$14,AA535))</f>
        <v>0.4</v>
      </c>
      <c r="AD535" s="7" t="str">
        <f aca="false">IF(OR(I535="N/A",P535="",Q535=""),"",IF(P535&gt;=Q535,"Yes","No"))</f>
        <v>Yes</v>
      </c>
      <c r="AE535" s="8"/>
    </row>
    <row r="536" customFormat="false" ht="15" hidden="false" customHeight="false" outlineLevel="0" collapsed="false">
      <c r="A536" s="12" t="s">
        <v>2054</v>
      </c>
      <c r="B536" s="26" t="str">
        <f aca="false">Entities!$A$17</f>
        <v>SA</v>
      </c>
      <c r="C536" s="12" t="str">
        <f aca="false">INDEX(Entities!$B$5:$B$34,MATCH(B536,Entities!$A$5:$A$34,0))</f>
        <v>Arab National Bank (affiliate)</v>
      </c>
      <c r="D536" s="7" t="str">
        <f aca="false">INDEX(Entities!$F$5:$F$34,MATCH(B536,Entities!$A$5:$A$34,0))</f>
        <v>Tier 2</v>
      </c>
      <c r="E536" s="26" t="str">
        <f aca="false">'Control Library'!$A$20</f>
        <v>CTL-PAY-01</v>
      </c>
      <c r="F536" s="12" t="str">
        <f aca="false">INDEX('Control Library'!$B$5:$B$47,MATCH(E536,'Control Library'!$A$5:$A$47,0))</f>
        <v>Payment transparency checks (FATF R.16)</v>
      </c>
      <c r="G536" s="7" t="str">
        <f aca="false">INDEX('Control Library'!$F$5:$F$47,MATCH(E536,'Control Library'!$A$5:$A$47,0))</f>
        <v>N</v>
      </c>
      <c r="H536" s="12" t="str">
        <f aca="false">INDEX('Control Library'!$E$5:$E$47,MATCH(E536,'Control Library'!$A$5:$A$47,0))</f>
        <v>Continuous</v>
      </c>
      <c r="I536" s="7" t="str">
        <f aca="false">IF(INDEX('Control Library'!$I$5:$I$47,MATCH(E536,'Control Library'!$A$5:$A$47,0))="All","Y",IF(INDEX('Control Library'!$I$5:$I$47,MATCH(E536,'Control Library'!$A$5:$A$47,0))="Banks only",IF(COUNTIF('Residual Config'!$L$28:$L$30,INDEX(Entities!$E$5:$E$34,MATCH(B536,Entities!$A$5:$A$34,0)))&gt;0,"N/A","Y"),IF(INDEX(Entities!$G$5:$G$34,MATCH(B536,Entities!$A$5:$A$34,0))="Y","Y","N/A")))</f>
        <v>Y</v>
      </c>
      <c r="J536" s="8" t="s">
        <v>2055</v>
      </c>
      <c r="K536" s="8" t="s">
        <v>2018</v>
      </c>
      <c r="L536" s="7" t="str">
        <f aca="false">IF(OR(J536="",K536=""),"",IF(J536=K536,"Breach","OK"))</f>
        <v>OK</v>
      </c>
      <c r="M536" s="24" t="n">
        <v>2</v>
      </c>
      <c r="N536" s="50" t="n">
        <v>46271</v>
      </c>
      <c r="O536" s="8" t="s">
        <v>547</v>
      </c>
      <c r="P536" s="24" t="n">
        <v>1</v>
      </c>
      <c r="Q536" s="31" t="n">
        <f aca="false">IF(I536="N/A","",IFERROR(INDEX('Residual Config'!$B$35:$B$42,MATCH(H536,'Residual Config'!$A$35:$A$42,0)),""))</f>
        <v>1</v>
      </c>
      <c r="R536" s="24" t="n">
        <v>1</v>
      </c>
      <c r="S536" s="8" t="s">
        <v>521</v>
      </c>
      <c r="T536" s="31" t="n">
        <f aca="false">IF(S536="","",MATCH(S536,'Residual Config'!$L$9:$L$12,0))</f>
        <v>2</v>
      </c>
      <c r="U536" s="8" t="s">
        <v>2056</v>
      </c>
      <c r="V536" s="24" t="n">
        <v>1</v>
      </c>
      <c r="W536" s="33" t="s">
        <v>533</v>
      </c>
      <c r="X536" s="8" t="s">
        <v>760</v>
      </c>
      <c r="Y536" s="51" t="n">
        <f aca="false">IF(N536="","",EDATE(N536,IF(G536="N",INDEX('Residual Config'!$B$31:$D$31,1,MATCH(D536,'Residual Config'!$B$27:$D$27,0)),INDEX('Residual Config'!$B$28:$D$30,IF(T536=1,1,IF(T536=4,3,2)),MATCH(D536,'Residual Config'!$B$27:$D$27,0)))))</f>
        <v>46636</v>
      </c>
      <c r="Z536" s="7" t="str">
        <f aca="false">IF(I536="N/A","N/A",IF(N536="","Not tested",IF(W536="Rejected","Evidence rejected",IF(W536&lt;&gt;"Accepted","Evidence pending",IF(Y536&lt;'Residual Config'!$C$4,"Overdue","Current")))))</f>
        <v>Current</v>
      </c>
      <c r="AA536" s="34" t="n">
        <f aca="false">IF(I536="N/A","",IF(Z536&lt;&gt;"Current",4,IF(MAX(M536,T536)=0,4,MAX(M536,T536))))</f>
        <v>2</v>
      </c>
      <c r="AB536" s="7" t="str">
        <f aca="false">IF(AA536="","N/A",IF(Z536&lt;&gt;"Current","Not tested / overdue",INDEX('Residual Config'!$B$11:$B$14,AA536)))</f>
        <v>Largely effective</v>
      </c>
      <c r="AC536" s="36" t="n">
        <f aca="false">IF(AA536="","",INDEX('Residual Config'!$D$11:$D$14,AA536))</f>
        <v>0.4</v>
      </c>
      <c r="AD536" s="7" t="str">
        <f aca="false">IF(OR(I536="N/A",P536="",Q536=""),"",IF(P536&gt;=Q536,"Yes","No"))</f>
        <v>Yes</v>
      </c>
      <c r="AE536" s="8"/>
    </row>
    <row r="537" customFormat="false" ht="15" hidden="false" customHeight="false" outlineLevel="0" collapsed="false">
      <c r="A537" s="12" t="s">
        <v>2057</v>
      </c>
      <c r="B537" s="26" t="str">
        <f aca="false">Entities!$A$17</f>
        <v>SA</v>
      </c>
      <c r="C537" s="12" t="str">
        <f aca="false">INDEX(Entities!$B$5:$B$34,MATCH(B537,Entities!$A$5:$A$34,0))</f>
        <v>Arab National Bank (affiliate)</v>
      </c>
      <c r="D537" s="7" t="str">
        <f aca="false">INDEX(Entities!$F$5:$F$34,MATCH(B537,Entities!$A$5:$A$34,0))</f>
        <v>Tier 2</v>
      </c>
      <c r="E537" s="26" t="str">
        <f aca="false">'Control Library'!$A$21</f>
        <v>CTL-ABC-01</v>
      </c>
      <c r="F537" s="12" t="str">
        <f aca="false">INDEX('Control Library'!$B$5:$B$47,MATCH(E537,'Control Library'!$A$5:$A$47,0))</f>
        <v>Third-party and intermediary anti-bribery due diligence</v>
      </c>
      <c r="G537" s="7" t="str">
        <f aca="false">INDEX('Control Library'!$F$5:$F$47,MATCH(E537,'Control Library'!$A$5:$A$47,0))</f>
        <v>Y</v>
      </c>
      <c r="H537" s="12" t="str">
        <f aca="false">INDEX('Control Library'!$E$5:$E$47,MATCH(E537,'Control Library'!$A$5:$A$47,0))</f>
        <v>Event-driven</v>
      </c>
      <c r="I537" s="7" t="str">
        <f aca="false">IF(INDEX('Control Library'!$I$5:$I$47,MATCH(E537,'Control Library'!$A$5:$A$47,0))="All","Y",IF(INDEX('Control Library'!$I$5:$I$47,MATCH(E537,'Control Library'!$A$5:$A$47,0))="Banks only",IF(COUNTIF('Residual Config'!$L$28:$L$30,INDEX(Entities!$E$5:$E$34,MATCH(B537,Entities!$A$5:$A$34,0)))&gt;0,"N/A","Y"),IF(INDEX(Entities!$G$5:$G$34,MATCH(B537,Entities!$A$5:$A$34,0))="Y","Y","N/A")))</f>
        <v>Y</v>
      </c>
      <c r="J537" s="8" t="s">
        <v>2058</v>
      </c>
      <c r="K537" s="8" t="s">
        <v>2018</v>
      </c>
      <c r="L537" s="7" t="str">
        <f aca="false">IF(OR(J537="",K537=""),"",IF(J537=K537,"Breach","OK"))</f>
        <v>OK</v>
      </c>
      <c r="M537" s="24" t="n">
        <v>1</v>
      </c>
      <c r="N537" s="50" t="n">
        <v>46220</v>
      </c>
      <c r="O537" s="8" t="s">
        <v>545</v>
      </c>
      <c r="P537" s="24" t="n">
        <v>25</v>
      </c>
      <c r="Q537" s="31" t="n">
        <f aca="false">IF(I537="N/A","",IFERROR(INDEX('Residual Config'!$B$35:$B$42,MATCH(H537,'Residual Config'!$A$35:$A$42,0)),""))</f>
        <v>25</v>
      </c>
      <c r="R537" s="24" t="n">
        <v>0</v>
      </c>
      <c r="S537" s="8" t="s">
        <v>516</v>
      </c>
      <c r="T537" s="31" t="n">
        <f aca="false">IF(S537="","",MATCH(S537,'Residual Config'!$L$9:$L$12,0))</f>
        <v>1</v>
      </c>
      <c r="U537" s="8" t="s">
        <v>2059</v>
      </c>
      <c r="V537" s="24" t="n">
        <v>3</v>
      </c>
      <c r="W537" s="33" t="s">
        <v>533</v>
      </c>
      <c r="X537" s="8" t="s">
        <v>754</v>
      </c>
      <c r="Y537" s="51" t="n">
        <f aca="false">IF(N537="","",EDATE(N537,IF(G537="N",INDEX('Residual Config'!$B$31:$D$31,1,MATCH(D537,'Residual Config'!$B$27:$D$27,0)),INDEX('Residual Config'!$B$28:$D$30,IF(T537=1,1,IF(T537=4,3,2)),MATCH(D537,'Residual Config'!$B$27:$D$27,0)))))</f>
        <v>46585</v>
      </c>
      <c r="Z537" s="7" t="str">
        <f aca="false">IF(I537="N/A","N/A",IF(N537="","Not tested",IF(W537="Rejected","Evidence rejected",IF(W537&lt;&gt;"Accepted","Evidence pending",IF(Y537&lt;'Residual Config'!$C$4,"Overdue","Current")))))</f>
        <v>Current</v>
      </c>
      <c r="AA537" s="34" t="n">
        <f aca="false">IF(I537="N/A","",IF(Z537&lt;&gt;"Current",4,IF(MAX(M537,T537)=0,4,MAX(M537,T537))))</f>
        <v>1</v>
      </c>
      <c r="AB537" s="7" t="str">
        <f aca="false">IF(AA537="","N/A",IF(Z537&lt;&gt;"Current","Not tested / overdue",INDEX('Residual Config'!$B$11:$B$14,AA537)))</f>
        <v>Effective</v>
      </c>
      <c r="AC537" s="36" t="n">
        <f aca="false">IF(AA537="","",INDEX('Residual Config'!$D$11:$D$14,AA537))</f>
        <v>0.6</v>
      </c>
      <c r="AD537" s="7" t="str">
        <f aca="false">IF(OR(I537="N/A",P537="",Q537=""),"",IF(P537&gt;=Q537,"Yes","No"))</f>
        <v>Yes</v>
      </c>
      <c r="AE537" s="8"/>
    </row>
    <row r="538" customFormat="false" ht="15" hidden="false" customHeight="false" outlineLevel="0" collapsed="false">
      <c r="A538" s="12" t="s">
        <v>2060</v>
      </c>
      <c r="B538" s="26" t="str">
        <f aca="false">Entities!$A$17</f>
        <v>SA</v>
      </c>
      <c r="C538" s="12" t="str">
        <f aca="false">INDEX(Entities!$B$5:$B$34,MATCH(B538,Entities!$A$5:$A$34,0))</f>
        <v>Arab National Bank (affiliate)</v>
      </c>
      <c r="D538" s="7" t="str">
        <f aca="false">INDEX(Entities!$F$5:$F$34,MATCH(B538,Entities!$A$5:$A$34,0))</f>
        <v>Tier 2</v>
      </c>
      <c r="E538" s="26" t="str">
        <f aca="false">'Control Library'!$A$22</f>
        <v>CTL-ABC-02</v>
      </c>
      <c r="F538" s="12" t="str">
        <f aca="false">INDEX('Control Library'!$B$5:$B$47,MATCH(E538,'Control Library'!$A$5:$A$47,0))</f>
        <v>Gifts, hospitality and donations register with pre-approval</v>
      </c>
      <c r="G538" s="7" t="str">
        <f aca="false">INDEX('Control Library'!$F$5:$F$47,MATCH(E538,'Control Library'!$A$5:$A$47,0))</f>
        <v>N</v>
      </c>
      <c r="H538" s="12" t="str">
        <f aca="false">INDEX('Control Library'!$E$5:$E$47,MATCH(E538,'Control Library'!$A$5:$A$47,0))</f>
        <v>Event-driven</v>
      </c>
      <c r="I538" s="7" t="str">
        <f aca="false">IF(INDEX('Control Library'!$I$5:$I$47,MATCH(E538,'Control Library'!$A$5:$A$47,0))="All","Y",IF(INDEX('Control Library'!$I$5:$I$47,MATCH(E538,'Control Library'!$A$5:$A$47,0))="Banks only",IF(COUNTIF('Residual Config'!$L$28:$L$30,INDEX(Entities!$E$5:$E$34,MATCH(B538,Entities!$A$5:$A$34,0)))&gt;0,"N/A","Y"),IF(INDEX(Entities!$G$5:$G$34,MATCH(B538,Entities!$A$5:$A$34,0))="Y","Y","N/A")))</f>
        <v>Y</v>
      </c>
      <c r="J538" s="8" t="s">
        <v>2021</v>
      </c>
      <c r="K538" s="8" t="s">
        <v>2018</v>
      </c>
      <c r="L538" s="7" t="str">
        <f aca="false">IF(OR(J538="",K538=""),"",IF(J538=K538,"Breach","OK"))</f>
        <v>OK</v>
      </c>
      <c r="M538" s="24" t="n">
        <v>1</v>
      </c>
      <c r="N538" s="50" t="n">
        <v>46059</v>
      </c>
      <c r="O538" s="8" t="s">
        <v>545</v>
      </c>
      <c r="P538" s="24" t="n">
        <v>30</v>
      </c>
      <c r="Q538" s="31" t="n">
        <f aca="false">IF(I538="N/A","",IFERROR(INDEX('Residual Config'!$B$35:$B$42,MATCH(H538,'Residual Config'!$A$35:$A$42,0)),""))</f>
        <v>25</v>
      </c>
      <c r="R538" s="24" t="n">
        <v>1</v>
      </c>
      <c r="S538" s="8" t="s">
        <v>521</v>
      </c>
      <c r="T538" s="31" t="n">
        <f aca="false">IF(S538="","",MATCH(S538,'Residual Config'!$L$9:$L$12,0))</f>
        <v>2</v>
      </c>
      <c r="U538" s="8" t="s">
        <v>2061</v>
      </c>
      <c r="V538" s="24" t="n">
        <v>5</v>
      </c>
      <c r="W538" s="33" t="s">
        <v>533</v>
      </c>
      <c r="X538" s="8" t="s">
        <v>760</v>
      </c>
      <c r="Y538" s="51" t="n">
        <f aca="false">IF(N538="","",EDATE(N538,IF(G538="N",INDEX('Residual Config'!$B$31:$D$31,1,MATCH(D538,'Residual Config'!$B$27:$D$27,0)),INDEX('Residual Config'!$B$28:$D$30,IF(T538=1,1,IF(T538=4,3,2)),MATCH(D538,'Residual Config'!$B$27:$D$27,0)))))</f>
        <v>46424</v>
      </c>
      <c r="Z538" s="7" t="str">
        <f aca="false">IF(I538="N/A","N/A",IF(N538="","Not tested",IF(W538="Rejected","Evidence rejected",IF(W538&lt;&gt;"Accepted","Evidence pending",IF(Y538&lt;'Residual Config'!$C$4,"Overdue","Current")))))</f>
        <v>Current</v>
      </c>
      <c r="AA538" s="34" t="n">
        <f aca="false">IF(I538="N/A","",IF(Z538&lt;&gt;"Current",4,IF(MAX(M538,T538)=0,4,MAX(M538,T538))))</f>
        <v>2</v>
      </c>
      <c r="AB538" s="7" t="str">
        <f aca="false">IF(AA538="","N/A",IF(Z538&lt;&gt;"Current","Not tested / overdue",INDEX('Residual Config'!$B$11:$B$14,AA538)))</f>
        <v>Largely effective</v>
      </c>
      <c r="AC538" s="36" t="n">
        <f aca="false">IF(AA538="","",INDEX('Residual Config'!$D$11:$D$14,AA538))</f>
        <v>0.4</v>
      </c>
      <c r="AD538" s="7" t="str">
        <f aca="false">IF(OR(I538="N/A",P538="",Q538=""),"",IF(P538&gt;=Q538,"Yes","No"))</f>
        <v>Yes</v>
      </c>
      <c r="AE538" s="8"/>
    </row>
    <row r="539" customFormat="false" ht="15" hidden="false" customHeight="false" outlineLevel="0" collapsed="false">
      <c r="A539" s="12" t="s">
        <v>2062</v>
      </c>
      <c r="B539" s="26" t="str">
        <f aca="false">Entities!$A$17</f>
        <v>SA</v>
      </c>
      <c r="C539" s="12" t="str">
        <f aca="false">INDEX(Entities!$B$5:$B$34,MATCH(B539,Entities!$A$5:$A$34,0))</f>
        <v>Arab National Bank (affiliate)</v>
      </c>
      <c r="D539" s="7" t="str">
        <f aca="false">INDEX(Entities!$F$5:$F$34,MATCH(B539,Entities!$A$5:$A$34,0))</f>
        <v>Tier 2</v>
      </c>
      <c r="E539" s="26" t="str">
        <f aca="false">'Control Library'!$A$23</f>
        <v>CTL-FRD-01</v>
      </c>
      <c r="F539" s="12" t="str">
        <f aca="false">INDEX('Control Library'!$B$5:$B$47,MATCH(E539,'Control Library'!$A$5:$A$47,0))</f>
        <v>Real-time fraud monitoring for cards and digital channels</v>
      </c>
      <c r="G539" s="7" t="str">
        <f aca="false">INDEX('Control Library'!$F$5:$F$47,MATCH(E539,'Control Library'!$A$5:$A$47,0))</f>
        <v>Y</v>
      </c>
      <c r="H539" s="12" t="str">
        <f aca="false">INDEX('Control Library'!$E$5:$E$47,MATCH(E539,'Control Library'!$A$5:$A$47,0))</f>
        <v>Continuous</v>
      </c>
      <c r="I539" s="7" t="str">
        <f aca="false">IF(INDEX('Control Library'!$I$5:$I$47,MATCH(E539,'Control Library'!$A$5:$A$47,0))="All","Y",IF(INDEX('Control Library'!$I$5:$I$47,MATCH(E539,'Control Library'!$A$5:$A$47,0))="Banks only",IF(COUNTIF('Residual Config'!$L$28:$L$30,INDEX(Entities!$E$5:$E$34,MATCH(B539,Entities!$A$5:$A$34,0)))&gt;0,"N/A","Y"),IF(INDEX(Entities!$G$5:$G$34,MATCH(B539,Entities!$A$5:$A$34,0))="Y","Y","N/A")))</f>
        <v>Y</v>
      </c>
      <c r="J539" s="8" t="s">
        <v>2063</v>
      </c>
      <c r="K539" s="8" t="s">
        <v>2018</v>
      </c>
      <c r="L539" s="7" t="str">
        <f aca="false">IF(OR(J539="",K539=""),"",IF(J539=K539,"Breach","OK"))</f>
        <v>OK</v>
      </c>
      <c r="M539" s="24" t="n">
        <v>1</v>
      </c>
      <c r="N539" s="50" t="n">
        <v>46269</v>
      </c>
      <c r="O539" s="8" t="s">
        <v>547</v>
      </c>
      <c r="P539" s="24" t="n">
        <v>1</v>
      </c>
      <c r="Q539" s="31" t="n">
        <f aca="false">IF(I539="N/A","",IFERROR(INDEX('Residual Config'!$B$35:$B$42,MATCH(H539,'Residual Config'!$A$35:$A$42,0)),""))</f>
        <v>1</v>
      </c>
      <c r="R539" s="24" t="n">
        <v>1</v>
      </c>
      <c r="S539" s="8" t="s">
        <v>521</v>
      </c>
      <c r="T539" s="31" t="n">
        <f aca="false">IF(S539="","",MATCH(S539,'Residual Config'!$L$9:$L$12,0))</f>
        <v>2</v>
      </c>
      <c r="U539" s="8" t="s">
        <v>2064</v>
      </c>
      <c r="V539" s="24" t="n">
        <v>1</v>
      </c>
      <c r="W539" s="33" t="s">
        <v>535</v>
      </c>
      <c r="X539" s="8" t="s">
        <v>760</v>
      </c>
      <c r="Y539" s="51" t="n">
        <f aca="false">IF(N539="","",EDATE(N539,IF(G539="N",INDEX('Residual Config'!$B$31:$D$31,1,MATCH(D539,'Residual Config'!$B$27:$D$27,0)),INDEX('Residual Config'!$B$28:$D$30,IF(T539=1,1,IF(T539=4,3,2)),MATCH(D539,'Residual Config'!$B$27:$D$27,0)))))</f>
        <v>46450</v>
      </c>
      <c r="Z539" s="7" t="str">
        <f aca="false">IF(I539="N/A","N/A",IF(N539="","Not tested",IF(W539="Rejected","Evidence rejected",IF(W539&lt;&gt;"Accepted","Evidence pending",IF(Y539&lt;'Residual Config'!$C$4,"Overdue","Current")))))</f>
        <v>Evidence rejected</v>
      </c>
      <c r="AA539" s="34" t="n">
        <f aca="false">IF(I539="N/A","",IF(Z539&lt;&gt;"Current",4,IF(MAX(M539,T539)=0,4,MAX(M539,T539))))</f>
        <v>4</v>
      </c>
      <c r="AB539" s="7" t="str">
        <f aca="false">IF(AA539="","N/A",IF(Z539&lt;&gt;"Current","Not tested / overdue",INDEX('Residual Config'!$B$11:$B$14,AA539)))</f>
        <v>Not tested / overdue</v>
      </c>
      <c r="AC539" s="36" t="n">
        <f aca="false">IF(AA539="","",INDEX('Residual Config'!$D$11:$D$14,AA539))</f>
        <v>0</v>
      </c>
      <c r="AD539" s="7" t="str">
        <f aca="false">IF(OR(I539="N/A",P539="",Q539=""),"",IF(P539&gt;=Q539,"Yes","No"))</f>
        <v>Yes</v>
      </c>
      <c r="AE539" s="8"/>
    </row>
    <row r="540" customFormat="false" ht="15" hidden="false" customHeight="false" outlineLevel="0" collapsed="false">
      <c r="A540" s="12" t="s">
        <v>2065</v>
      </c>
      <c r="B540" s="26" t="str">
        <f aca="false">Entities!$A$17</f>
        <v>SA</v>
      </c>
      <c r="C540" s="12" t="str">
        <f aca="false">INDEX(Entities!$B$5:$B$34,MATCH(B540,Entities!$A$5:$A$34,0))</f>
        <v>Arab National Bank (affiliate)</v>
      </c>
      <c r="D540" s="7" t="str">
        <f aca="false">INDEX(Entities!$F$5:$F$34,MATCH(B540,Entities!$A$5:$A$34,0))</f>
        <v>Tier 2</v>
      </c>
      <c r="E540" s="26" t="str">
        <f aca="false">'Control Library'!$A$24</f>
        <v>CTL-FRD-02</v>
      </c>
      <c r="F540" s="12" t="str">
        <f aca="false">INDEX('Control Library'!$B$5:$B$47,MATCH(E540,'Control Library'!$A$5:$A$47,0))</f>
        <v>Maker-checker and dual control on payments and static data</v>
      </c>
      <c r="G540" s="7" t="str">
        <f aca="false">INDEX('Control Library'!$F$5:$F$47,MATCH(E540,'Control Library'!$A$5:$A$47,0))</f>
        <v>Y</v>
      </c>
      <c r="H540" s="12" t="str">
        <f aca="false">INDEX('Control Library'!$E$5:$E$47,MATCH(E540,'Control Library'!$A$5:$A$47,0))</f>
        <v>Daily</v>
      </c>
      <c r="I540" s="7" t="str">
        <f aca="false">IF(INDEX('Control Library'!$I$5:$I$47,MATCH(E540,'Control Library'!$A$5:$A$47,0))="All","Y",IF(INDEX('Control Library'!$I$5:$I$47,MATCH(E540,'Control Library'!$A$5:$A$47,0))="Banks only",IF(COUNTIF('Residual Config'!$L$28:$L$30,INDEX(Entities!$E$5:$E$34,MATCH(B540,Entities!$A$5:$A$34,0)))&gt;0,"N/A","Y"),IF(INDEX(Entities!$G$5:$G$34,MATCH(B540,Entities!$A$5:$A$34,0))="Y","Y","N/A")))</f>
        <v>Y</v>
      </c>
      <c r="J540" s="8" t="s">
        <v>2017</v>
      </c>
      <c r="K540" s="8" t="s">
        <v>2018</v>
      </c>
      <c r="L540" s="7" t="str">
        <f aca="false">IF(OR(J540="",K540=""),"",IF(J540=K540,"Breach","OK"))</f>
        <v>OK</v>
      </c>
      <c r="M540" s="24" t="n">
        <v>2</v>
      </c>
      <c r="N540" s="50" t="n">
        <v>46137</v>
      </c>
      <c r="O540" s="8" t="s">
        <v>545</v>
      </c>
      <c r="P540" s="24" t="n">
        <v>35</v>
      </c>
      <c r="Q540" s="31" t="n">
        <f aca="false">IF(I540="N/A","",IFERROR(INDEX('Residual Config'!$B$35:$B$42,MATCH(H540,'Residual Config'!$A$35:$A$42,0)),""))</f>
        <v>25</v>
      </c>
      <c r="R540" s="24" t="n">
        <v>0</v>
      </c>
      <c r="S540" s="8" t="s">
        <v>516</v>
      </c>
      <c r="T540" s="31" t="n">
        <f aca="false">IF(S540="","",MATCH(S540,'Residual Config'!$L$9:$L$12,0))</f>
        <v>1</v>
      </c>
      <c r="U540" s="8" t="s">
        <v>2066</v>
      </c>
      <c r="V540" s="24" t="n">
        <v>4</v>
      </c>
      <c r="W540" s="33" t="s">
        <v>533</v>
      </c>
      <c r="X540" s="8" t="s">
        <v>754</v>
      </c>
      <c r="Y540" s="51" t="n">
        <f aca="false">IF(N540="","",EDATE(N540,IF(G540="N",INDEX('Residual Config'!$B$31:$D$31,1,MATCH(D540,'Residual Config'!$B$27:$D$27,0)),INDEX('Residual Config'!$B$28:$D$30,IF(T540=1,1,IF(T540=4,3,2)),MATCH(D540,'Residual Config'!$B$27:$D$27,0)))))</f>
        <v>46502</v>
      </c>
      <c r="Z540" s="7" t="str">
        <f aca="false">IF(I540="N/A","N/A",IF(N540="","Not tested",IF(W540="Rejected","Evidence rejected",IF(W540&lt;&gt;"Accepted","Evidence pending",IF(Y540&lt;'Residual Config'!$C$4,"Overdue","Current")))))</f>
        <v>Current</v>
      </c>
      <c r="AA540" s="34" t="n">
        <f aca="false">IF(I540="N/A","",IF(Z540&lt;&gt;"Current",4,IF(MAX(M540,T540)=0,4,MAX(M540,T540))))</f>
        <v>2</v>
      </c>
      <c r="AB540" s="7" t="str">
        <f aca="false">IF(AA540="","N/A",IF(Z540&lt;&gt;"Current","Not tested / overdue",INDEX('Residual Config'!$B$11:$B$14,AA540)))</f>
        <v>Largely effective</v>
      </c>
      <c r="AC540" s="36" t="n">
        <f aca="false">IF(AA540="","",INDEX('Residual Config'!$D$11:$D$14,AA540))</f>
        <v>0.4</v>
      </c>
      <c r="AD540" s="7" t="str">
        <f aca="false">IF(OR(I540="N/A",P540="",Q540=""),"",IF(P540&gt;=Q540,"Yes","No"))</f>
        <v>Yes</v>
      </c>
      <c r="AE540" s="8"/>
    </row>
    <row r="541" customFormat="false" ht="15" hidden="false" customHeight="false" outlineLevel="0" collapsed="false">
      <c r="A541" s="12" t="s">
        <v>2067</v>
      </c>
      <c r="B541" s="26" t="str">
        <f aca="false">Entities!$A$17</f>
        <v>SA</v>
      </c>
      <c r="C541" s="12" t="str">
        <f aca="false">INDEX(Entities!$B$5:$B$34,MATCH(B541,Entities!$A$5:$A$34,0))</f>
        <v>Arab National Bank (affiliate)</v>
      </c>
      <c r="D541" s="7" t="str">
        <f aca="false">INDEX(Entities!$F$5:$F$34,MATCH(B541,Entities!$A$5:$A$34,0))</f>
        <v>Tier 2</v>
      </c>
      <c r="E541" s="26" t="str">
        <f aca="false">'Control Library'!$A$25</f>
        <v>CTL-FRD-03</v>
      </c>
      <c r="F541" s="12" t="str">
        <f aca="false">INDEX('Control Library'!$B$5:$B$47,MATCH(E541,'Control Library'!$A$5:$A$47,0))</f>
        <v>Mandatory consecutive leave and rotation for sensitive roles</v>
      </c>
      <c r="G541" s="7" t="str">
        <f aca="false">INDEX('Control Library'!$F$5:$F$47,MATCH(E541,'Control Library'!$A$5:$A$47,0))</f>
        <v>N</v>
      </c>
      <c r="H541" s="12" t="str">
        <f aca="false">INDEX('Control Library'!$E$5:$E$47,MATCH(E541,'Control Library'!$A$5:$A$47,0))</f>
        <v>Annual</v>
      </c>
      <c r="I541" s="7" t="str">
        <f aca="false">IF(INDEX('Control Library'!$I$5:$I$47,MATCH(E541,'Control Library'!$A$5:$A$47,0))="All","Y",IF(INDEX('Control Library'!$I$5:$I$47,MATCH(E541,'Control Library'!$A$5:$A$47,0))="Banks only",IF(COUNTIF('Residual Config'!$L$28:$L$30,INDEX(Entities!$E$5:$E$34,MATCH(B541,Entities!$A$5:$A$34,0)))&gt;0,"N/A","Y"),IF(INDEX(Entities!$G$5:$G$34,MATCH(B541,Entities!$A$5:$A$34,0))="Y","Y","N/A")))</f>
        <v>Y</v>
      </c>
      <c r="J541" s="8" t="s">
        <v>2068</v>
      </c>
      <c r="K541" s="8" t="s">
        <v>2018</v>
      </c>
      <c r="L541" s="7" t="str">
        <f aca="false">IF(OR(J541="",K541=""),"",IF(J541=K541,"Breach","OK"))</f>
        <v>OK</v>
      </c>
      <c r="M541" s="24" t="n">
        <v>2</v>
      </c>
      <c r="N541" s="50" t="n">
        <v>45972</v>
      </c>
      <c r="O541" s="8" t="s">
        <v>545</v>
      </c>
      <c r="P541" s="24" t="n">
        <v>1</v>
      </c>
      <c r="Q541" s="31" t="n">
        <f aca="false">IF(I541="N/A","",IFERROR(INDEX('Residual Config'!$B$35:$B$42,MATCH(H541,'Residual Config'!$A$35:$A$42,0)),""))</f>
        <v>1</v>
      </c>
      <c r="R541" s="24" t="n">
        <v>0</v>
      </c>
      <c r="S541" s="8" t="s">
        <v>516</v>
      </c>
      <c r="T541" s="31" t="n">
        <f aca="false">IF(S541="","",MATCH(S541,'Residual Config'!$L$9:$L$12,0))</f>
        <v>1</v>
      </c>
      <c r="U541" s="8" t="s">
        <v>2069</v>
      </c>
      <c r="V541" s="24" t="n">
        <v>5</v>
      </c>
      <c r="W541" s="33" t="s">
        <v>533</v>
      </c>
      <c r="X541" s="8" t="s">
        <v>760</v>
      </c>
      <c r="Y541" s="51" t="n">
        <f aca="false">IF(N541="","",EDATE(N541,IF(G541="N",INDEX('Residual Config'!$B$31:$D$31,1,MATCH(D541,'Residual Config'!$B$27:$D$27,0)),INDEX('Residual Config'!$B$28:$D$30,IF(T541=1,1,IF(T541=4,3,2)),MATCH(D541,'Residual Config'!$B$27:$D$27,0)))))</f>
        <v>46337</v>
      </c>
      <c r="Z541" s="7" t="str">
        <f aca="false">IF(I541="N/A","N/A",IF(N541="","Not tested",IF(W541="Rejected","Evidence rejected",IF(W541&lt;&gt;"Accepted","Evidence pending",IF(Y541&lt;'Residual Config'!$C$4,"Overdue","Current")))))</f>
        <v>Current</v>
      </c>
      <c r="AA541" s="34" t="n">
        <f aca="false">IF(I541="N/A","",IF(Z541&lt;&gt;"Current",4,IF(MAX(M541,T541)=0,4,MAX(M541,T541))))</f>
        <v>2</v>
      </c>
      <c r="AB541" s="7" t="str">
        <f aca="false">IF(AA541="","N/A",IF(Z541&lt;&gt;"Current","Not tested / overdue",INDEX('Residual Config'!$B$11:$B$14,AA541)))</f>
        <v>Largely effective</v>
      </c>
      <c r="AC541" s="36" t="n">
        <f aca="false">IF(AA541="","",INDEX('Residual Config'!$D$11:$D$14,AA541))</f>
        <v>0.4</v>
      </c>
      <c r="AD541" s="7" t="str">
        <f aca="false">IF(OR(I541="N/A",P541="",Q541=""),"",IF(P541&gt;=Q541,"Yes","No"))</f>
        <v>Yes</v>
      </c>
      <c r="AE541" s="8"/>
    </row>
    <row r="542" customFormat="false" ht="15" hidden="false" customHeight="false" outlineLevel="0" collapsed="false">
      <c r="A542" s="12" t="s">
        <v>2070</v>
      </c>
      <c r="B542" s="26" t="str">
        <f aca="false">Entities!$A$17</f>
        <v>SA</v>
      </c>
      <c r="C542" s="12" t="str">
        <f aca="false">INDEX(Entities!$B$5:$B$34,MATCH(B542,Entities!$A$5:$A$34,0))</f>
        <v>Arab National Bank (affiliate)</v>
      </c>
      <c r="D542" s="7" t="str">
        <f aca="false">INDEX(Entities!$F$5:$F$34,MATCH(B542,Entities!$A$5:$A$34,0))</f>
        <v>Tier 2</v>
      </c>
      <c r="E542" s="26" t="str">
        <f aca="false">'Control Library'!$A$26</f>
        <v>CTL-TAX-01</v>
      </c>
      <c r="F542" s="12" t="str">
        <f aca="false">INDEX('Control Library'!$B$5:$B$47,MATCH(E542,'Control Library'!$A$5:$A$47,0))</f>
        <v>FATCA/CRS self-certification and classification</v>
      </c>
      <c r="G542" s="7" t="str">
        <f aca="false">INDEX('Control Library'!$F$5:$F$47,MATCH(E542,'Control Library'!$A$5:$A$47,0))</f>
        <v>Y</v>
      </c>
      <c r="H542" s="12" t="str">
        <f aca="false">INDEX('Control Library'!$E$5:$E$47,MATCH(E542,'Control Library'!$A$5:$A$47,0))</f>
        <v>Event-driven</v>
      </c>
      <c r="I542" s="7" t="str">
        <f aca="false">IF(INDEX('Control Library'!$I$5:$I$47,MATCH(E542,'Control Library'!$A$5:$A$47,0))="All","Y",IF(INDEX('Control Library'!$I$5:$I$47,MATCH(E542,'Control Library'!$A$5:$A$47,0))="Banks only",IF(COUNTIF('Residual Config'!$L$28:$L$30,INDEX(Entities!$E$5:$E$34,MATCH(B542,Entities!$A$5:$A$34,0)))&gt;0,"N/A","Y"),IF(INDEX(Entities!$G$5:$G$34,MATCH(B542,Entities!$A$5:$A$34,0))="Y","Y","N/A")))</f>
        <v>Y</v>
      </c>
      <c r="J542" s="8" t="s">
        <v>2017</v>
      </c>
      <c r="K542" s="8" t="s">
        <v>2018</v>
      </c>
      <c r="L542" s="7" t="str">
        <f aca="false">IF(OR(J542="",K542=""),"",IF(J542=K542,"Breach","OK"))</f>
        <v>OK</v>
      </c>
      <c r="M542" s="24" t="n">
        <v>1</v>
      </c>
      <c r="N542" s="50" t="n">
        <v>46182</v>
      </c>
      <c r="O542" s="8" t="s">
        <v>545</v>
      </c>
      <c r="P542" s="24" t="n">
        <v>30</v>
      </c>
      <c r="Q542" s="31" t="n">
        <f aca="false">IF(I542="N/A","",IFERROR(INDEX('Residual Config'!$B$35:$B$42,MATCH(H542,'Residual Config'!$A$35:$A$42,0)),""))</f>
        <v>25</v>
      </c>
      <c r="R542" s="24" t="n">
        <v>1</v>
      </c>
      <c r="S542" s="8" t="s">
        <v>521</v>
      </c>
      <c r="T542" s="31" t="n">
        <f aca="false">IF(S542="","",MATCH(S542,'Residual Config'!$L$9:$L$12,0))</f>
        <v>2</v>
      </c>
      <c r="U542" s="8" t="s">
        <v>2071</v>
      </c>
      <c r="V542" s="24" t="n">
        <v>5</v>
      </c>
      <c r="W542" s="33" t="s">
        <v>533</v>
      </c>
      <c r="X542" s="8" t="s">
        <v>760</v>
      </c>
      <c r="Y542" s="51" t="n">
        <f aca="false">IF(N542="","",EDATE(N542,IF(G542="N",INDEX('Residual Config'!$B$31:$D$31,1,MATCH(D542,'Residual Config'!$B$27:$D$27,0)),INDEX('Residual Config'!$B$28:$D$30,IF(T542=1,1,IF(T542=4,3,2)),MATCH(D542,'Residual Config'!$B$27:$D$27,0)))))</f>
        <v>46365</v>
      </c>
      <c r="Z542" s="7" t="str">
        <f aca="false">IF(I542="N/A","N/A",IF(N542="","Not tested",IF(W542="Rejected","Evidence rejected",IF(W542&lt;&gt;"Accepted","Evidence pending",IF(Y542&lt;'Residual Config'!$C$4,"Overdue","Current")))))</f>
        <v>Current</v>
      </c>
      <c r="AA542" s="34" t="n">
        <f aca="false">IF(I542="N/A","",IF(Z542&lt;&gt;"Current",4,IF(MAX(M542,T542)=0,4,MAX(M542,T542))))</f>
        <v>2</v>
      </c>
      <c r="AB542" s="7" t="str">
        <f aca="false">IF(AA542="","N/A",IF(Z542&lt;&gt;"Current","Not tested / overdue",INDEX('Residual Config'!$B$11:$B$14,AA542)))</f>
        <v>Largely effective</v>
      </c>
      <c r="AC542" s="36" t="n">
        <f aca="false">IF(AA542="","",INDEX('Residual Config'!$D$11:$D$14,AA542))</f>
        <v>0.4</v>
      </c>
      <c r="AD542" s="7" t="str">
        <f aca="false">IF(OR(I542="N/A",P542="",Q542=""),"",IF(P542&gt;=Q542,"Yes","No"))</f>
        <v>Yes</v>
      </c>
      <c r="AE542" s="8"/>
    </row>
    <row r="543" customFormat="false" ht="15" hidden="false" customHeight="false" outlineLevel="0" collapsed="false">
      <c r="A543" s="12" t="s">
        <v>2072</v>
      </c>
      <c r="B543" s="26" t="str">
        <f aca="false">Entities!$A$17</f>
        <v>SA</v>
      </c>
      <c r="C543" s="12" t="str">
        <f aca="false">INDEX(Entities!$B$5:$B$34,MATCH(B543,Entities!$A$5:$A$34,0))</f>
        <v>Arab National Bank (affiliate)</v>
      </c>
      <c r="D543" s="7" t="str">
        <f aca="false">INDEX(Entities!$F$5:$F$34,MATCH(B543,Entities!$A$5:$A$34,0))</f>
        <v>Tier 2</v>
      </c>
      <c r="E543" s="26" t="str">
        <f aca="false">'Control Library'!$A$27</f>
        <v>CTL-TAX-02</v>
      </c>
      <c r="F543" s="12" t="str">
        <f aca="false">INDEX('Control Library'!$B$5:$B$47,MATCH(E543,'Control Library'!$A$5:$A$47,0))</f>
        <v>FATCA/CRS reporting reconciliation and timely filing</v>
      </c>
      <c r="G543" s="7" t="str">
        <f aca="false">INDEX('Control Library'!$F$5:$F$47,MATCH(E543,'Control Library'!$A$5:$A$47,0))</f>
        <v>N</v>
      </c>
      <c r="H543" s="12" t="str">
        <f aca="false">INDEX('Control Library'!$E$5:$E$47,MATCH(E543,'Control Library'!$A$5:$A$47,0))</f>
        <v>Annual</v>
      </c>
      <c r="I543" s="7" t="str">
        <f aca="false">IF(INDEX('Control Library'!$I$5:$I$47,MATCH(E543,'Control Library'!$A$5:$A$47,0))="All","Y",IF(INDEX('Control Library'!$I$5:$I$47,MATCH(E543,'Control Library'!$A$5:$A$47,0))="Banks only",IF(COUNTIF('Residual Config'!$L$28:$L$30,INDEX(Entities!$E$5:$E$34,MATCH(B543,Entities!$A$5:$A$34,0)))&gt;0,"N/A","Y"),IF(INDEX(Entities!$G$5:$G$34,MATCH(B543,Entities!$A$5:$A$34,0))="Y","Y","N/A")))</f>
        <v>Y</v>
      </c>
      <c r="J543" s="8" t="s">
        <v>2073</v>
      </c>
      <c r="K543" s="8" t="s">
        <v>2018</v>
      </c>
      <c r="L543" s="7" t="str">
        <f aca="false">IF(OR(J543="",K543=""),"",IF(J543=K543,"Breach","OK"))</f>
        <v>OK</v>
      </c>
      <c r="M543" s="24" t="n">
        <v>2</v>
      </c>
      <c r="N543" s="50" t="n">
        <v>46101</v>
      </c>
      <c r="O543" s="8" t="s">
        <v>545</v>
      </c>
      <c r="P543" s="24" t="n">
        <v>1</v>
      </c>
      <c r="Q543" s="31" t="n">
        <f aca="false">IF(I543="N/A","",IFERROR(INDEX('Residual Config'!$B$35:$B$42,MATCH(H543,'Residual Config'!$A$35:$A$42,0)),""))</f>
        <v>1</v>
      </c>
      <c r="R543" s="24" t="n">
        <v>1</v>
      </c>
      <c r="S543" s="8" t="s">
        <v>521</v>
      </c>
      <c r="T543" s="31" t="n">
        <f aca="false">IF(S543="","",MATCH(S543,'Residual Config'!$L$9:$L$12,0))</f>
        <v>2</v>
      </c>
      <c r="U543" s="8" t="s">
        <v>2074</v>
      </c>
      <c r="V543" s="24" t="n">
        <v>5</v>
      </c>
      <c r="W543" s="33" t="s">
        <v>533</v>
      </c>
      <c r="X543" s="8" t="s">
        <v>760</v>
      </c>
      <c r="Y543" s="51" t="n">
        <f aca="false">IF(N543="","",EDATE(N543,IF(G543="N",INDEX('Residual Config'!$B$31:$D$31,1,MATCH(D543,'Residual Config'!$B$27:$D$27,0)),INDEX('Residual Config'!$B$28:$D$30,IF(T543=1,1,IF(T543=4,3,2)),MATCH(D543,'Residual Config'!$B$27:$D$27,0)))))</f>
        <v>46466</v>
      </c>
      <c r="Z543" s="7" t="str">
        <f aca="false">IF(I543="N/A","N/A",IF(N543="","Not tested",IF(W543="Rejected","Evidence rejected",IF(W543&lt;&gt;"Accepted","Evidence pending",IF(Y543&lt;'Residual Config'!$C$4,"Overdue","Current")))))</f>
        <v>Current</v>
      </c>
      <c r="AA543" s="34" t="n">
        <f aca="false">IF(I543="N/A","",IF(Z543&lt;&gt;"Current",4,IF(MAX(M543,T543)=0,4,MAX(M543,T543))))</f>
        <v>2</v>
      </c>
      <c r="AB543" s="7" t="str">
        <f aca="false">IF(AA543="","N/A",IF(Z543&lt;&gt;"Current","Not tested / overdue",INDEX('Residual Config'!$B$11:$B$14,AA543)))</f>
        <v>Largely effective</v>
      </c>
      <c r="AC543" s="36" t="n">
        <f aca="false">IF(AA543="","",INDEX('Residual Config'!$D$11:$D$14,AA543))</f>
        <v>0.4</v>
      </c>
      <c r="AD543" s="7" t="str">
        <f aca="false">IF(OR(I543="N/A",P543="",Q543=""),"",IF(P543&gt;=Q543,"Yes","No"))</f>
        <v>Yes</v>
      </c>
      <c r="AE543" s="8"/>
    </row>
    <row r="544" customFormat="false" ht="15" hidden="false" customHeight="false" outlineLevel="0" collapsed="false">
      <c r="A544" s="12" t="s">
        <v>2075</v>
      </c>
      <c r="B544" s="26" t="str">
        <f aca="false">Entities!$A$17</f>
        <v>SA</v>
      </c>
      <c r="C544" s="12" t="str">
        <f aca="false">INDEX(Entities!$B$5:$B$34,MATCH(B544,Entities!$A$5:$A$34,0))</f>
        <v>Arab National Bank (affiliate)</v>
      </c>
      <c r="D544" s="7" t="str">
        <f aca="false">INDEX(Entities!$F$5:$F$34,MATCH(B544,Entities!$A$5:$A$34,0))</f>
        <v>Tier 2</v>
      </c>
      <c r="E544" s="26" t="str">
        <f aca="false">'Control Library'!$A$28</f>
        <v>CTL-TRN-01</v>
      </c>
      <c r="F544" s="12" t="str">
        <f aca="false">INDEX('Control Library'!$B$5:$B$47,MATCH(E544,'Control Library'!$A$5:$A$47,0))</f>
        <v>Annual AML, sanctions and anti-bribery training</v>
      </c>
      <c r="G544" s="7" t="str">
        <f aca="false">INDEX('Control Library'!$F$5:$F$47,MATCH(E544,'Control Library'!$A$5:$A$47,0))</f>
        <v>N</v>
      </c>
      <c r="H544" s="12" t="str">
        <f aca="false">INDEX('Control Library'!$E$5:$E$47,MATCH(E544,'Control Library'!$A$5:$A$47,0))</f>
        <v>Annual</v>
      </c>
      <c r="I544" s="7" t="str">
        <f aca="false">IF(INDEX('Control Library'!$I$5:$I$47,MATCH(E544,'Control Library'!$A$5:$A$47,0))="All","Y",IF(INDEX('Control Library'!$I$5:$I$47,MATCH(E544,'Control Library'!$A$5:$A$47,0))="Banks only",IF(COUNTIF('Residual Config'!$L$28:$L$30,INDEX(Entities!$E$5:$E$34,MATCH(B544,Entities!$A$5:$A$34,0)))&gt;0,"N/A","Y"),IF(INDEX(Entities!$G$5:$G$34,MATCH(B544,Entities!$A$5:$A$34,0))="Y","Y","N/A")))</f>
        <v>Y</v>
      </c>
      <c r="J544" s="8" t="s">
        <v>2021</v>
      </c>
      <c r="K544" s="8" t="s">
        <v>2018</v>
      </c>
      <c r="L544" s="7" t="str">
        <f aca="false">IF(OR(J544="",K544=""),"",IF(J544=K544,"Breach","OK"))</f>
        <v>OK</v>
      </c>
      <c r="M544" s="24" t="n">
        <v>1</v>
      </c>
      <c r="N544" s="50" t="n">
        <v>45972</v>
      </c>
      <c r="O544" s="8" t="s">
        <v>545</v>
      </c>
      <c r="P544" s="24" t="n">
        <v>1</v>
      </c>
      <c r="Q544" s="31" t="n">
        <f aca="false">IF(I544="N/A","",IFERROR(INDEX('Residual Config'!$B$35:$B$42,MATCH(H544,'Residual Config'!$A$35:$A$42,0)),""))</f>
        <v>1</v>
      </c>
      <c r="R544" s="24" t="n">
        <v>1</v>
      </c>
      <c r="S544" s="8" t="s">
        <v>521</v>
      </c>
      <c r="T544" s="31" t="n">
        <f aca="false">IF(S544="","",MATCH(S544,'Residual Config'!$L$9:$L$12,0))</f>
        <v>2</v>
      </c>
      <c r="U544" s="8" t="s">
        <v>2076</v>
      </c>
      <c r="V544" s="24" t="n">
        <v>2</v>
      </c>
      <c r="W544" s="33" t="s">
        <v>533</v>
      </c>
      <c r="X544" s="8" t="s">
        <v>754</v>
      </c>
      <c r="Y544" s="51" t="n">
        <f aca="false">IF(N544="","",EDATE(N544,IF(G544="N",INDEX('Residual Config'!$B$31:$D$31,1,MATCH(D544,'Residual Config'!$B$27:$D$27,0)),INDEX('Residual Config'!$B$28:$D$30,IF(T544=1,1,IF(T544=4,3,2)),MATCH(D544,'Residual Config'!$B$27:$D$27,0)))))</f>
        <v>46337</v>
      </c>
      <c r="Z544" s="7" t="str">
        <f aca="false">IF(I544="N/A","N/A",IF(N544="","Not tested",IF(W544="Rejected","Evidence rejected",IF(W544&lt;&gt;"Accepted","Evidence pending",IF(Y544&lt;'Residual Config'!$C$4,"Overdue","Current")))))</f>
        <v>Current</v>
      </c>
      <c r="AA544" s="34" t="n">
        <f aca="false">IF(I544="N/A","",IF(Z544&lt;&gt;"Current",4,IF(MAX(M544,T544)=0,4,MAX(M544,T544))))</f>
        <v>2</v>
      </c>
      <c r="AB544" s="7" t="str">
        <f aca="false">IF(AA544="","N/A",IF(Z544&lt;&gt;"Current","Not tested / overdue",INDEX('Residual Config'!$B$11:$B$14,AA544)))</f>
        <v>Largely effective</v>
      </c>
      <c r="AC544" s="36" t="n">
        <f aca="false">IF(AA544="","",INDEX('Residual Config'!$D$11:$D$14,AA544))</f>
        <v>0.4</v>
      </c>
      <c r="AD544" s="7" t="str">
        <f aca="false">IF(OR(I544="N/A",P544="",Q544=""),"",IF(P544&gt;=Q544,"Yes","No"))</f>
        <v>Yes</v>
      </c>
      <c r="AE544" s="8"/>
    </row>
    <row r="545" customFormat="false" ht="15" hidden="false" customHeight="false" outlineLevel="0" collapsed="false">
      <c r="A545" s="12" t="s">
        <v>2077</v>
      </c>
      <c r="B545" s="26" t="str">
        <f aca="false">Entities!$A$17</f>
        <v>SA</v>
      </c>
      <c r="C545" s="12" t="str">
        <f aca="false">INDEX(Entities!$B$5:$B$34,MATCH(B545,Entities!$A$5:$A$34,0))</f>
        <v>Arab National Bank (affiliate)</v>
      </c>
      <c r="D545" s="7" t="str">
        <f aca="false">INDEX(Entities!$F$5:$F$34,MATCH(B545,Entities!$A$5:$A$34,0))</f>
        <v>Tier 2</v>
      </c>
      <c r="E545" s="26" t="str">
        <f aca="false">'Control Library'!$A$29</f>
        <v>CTL-REG-01</v>
      </c>
      <c r="F545" s="12" t="str">
        <f aca="false">INDEX('Control Library'!$B$5:$B$47,MATCH(E545,'Control Library'!$A$5:$A$47,0))</f>
        <v>Regulatory change management and obligations register</v>
      </c>
      <c r="G545" s="7" t="str">
        <f aca="false">INDEX('Control Library'!$F$5:$F$47,MATCH(E545,'Control Library'!$A$5:$A$47,0))</f>
        <v>Y</v>
      </c>
      <c r="H545" s="12" t="str">
        <f aca="false">INDEX('Control Library'!$E$5:$E$47,MATCH(E545,'Control Library'!$A$5:$A$47,0))</f>
        <v>Monthly</v>
      </c>
      <c r="I545" s="7" t="str">
        <f aca="false">IF(INDEX('Control Library'!$I$5:$I$47,MATCH(E545,'Control Library'!$A$5:$A$47,0))="All","Y",IF(INDEX('Control Library'!$I$5:$I$47,MATCH(E545,'Control Library'!$A$5:$A$47,0))="Banks only",IF(COUNTIF('Residual Config'!$L$28:$L$30,INDEX(Entities!$E$5:$E$34,MATCH(B545,Entities!$A$5:$A$34,0)))&gt;0,"N/A","Y"),IF(INDEX(Entities!$G$5:$G$34,MATCH(B545,Entities!$A$5:$A$34,0))="Y","Y","N/A")))</f>
        <v>Y</v>
      </c>
      <c r="J545" s="8" t="s">
        <v>2021</v>
      </c>
      <c r="K545" s="8" t="s">
        <v>2018</v>
      </c>
      <c r="L545" s="7" t="str">
        <f aca="false">IF(OR(J545="",K545=""),"",IF(J545=K545,"Breach","OK"))</f>
        <v>OK</v>
      </c>
      <c r="M545" s="24" t="n">
        <v>2</v>
      </c>
      <c r="N545" s="50" t="n">
        <v>46192</v>
      </c>
      <c r="O545" s="8" t="s">
        <v>546</v>
      </c>
      <c r="P545" s="24" t="n">
        <v>3</v>
      </c>
      <c r="Q545" s="31" t="n">
        <f aca="false">IF(I545="N/A","",IFERROR(INDEX('Residual Config'!$B$35:$B$42,MATCH(H545,'Residual Config'!$A$35:$A$42,0)),""))</f>
        <v>3</v>
      </c>
      <c r="R545" s="24" t="n">
        <v>0</v>
      </c>
      <c r="S545" s="8" t="s">
        <v>516</v>
      </c>
      <c r="T545" s="31" t="n">
        <f aca="false">IF(S545="","",MATCH(S545,'Residual Config'!$L$9:$L$12,0))</f>
        <v>1</v>
      </c>
      <c r="U545" s="8" t="s">
        <v>2078</v>
      </c>
      <c r="V545" s="24" t="n">
        <v>6</v>
      </c>
      <c r="W545" s="33" t="s">
        <v>533</v>
      </c>
      <c r="X545" s="8" t="s">
        <v>754</v>
      </c>
      <c r="Y545" s="51" t="n">
        <f aca="false">IF(N545="","",EDATE(N545,IF(G545="N",INDEX('Residual Config'!$B$31:$D$31,1,MATCH(D545,'Residual Config'!$B$27:$D$27,0)),INDEX('Residual Config'!$B$28:$D$30,IF(T545=1,1,IF(T545=4,3,2)),MATCH(D545,'Residual Config'!$B$27:$D$27,0)))))</f>
        <v>46557</v>
      </c>
      <c r="Z545" s="7" t="str">
        <f aca="false">IF(I545="N/A","N/A",IF(N545="","Not tested",IF(W545="Rejected","Evidence rejected",IF(W545&lt;&gt;"Accepted","Evidence pending",IF(Y545&lt;'Residual Config'!$C$4,"Overdue","Current")))))</f>
        <v>Current</v>
      </c>
      <c r="AA545" s="34" t="n">
        <f aca="false">IF(I545="N/A","",IF(Z545&lt;&gt;"Current",4,IF(MAX(M545,T545)=0,4,MAX(M545,T545))))</f>
        <v>2</v>
      </c>
      <c r="AB545" s="7" t="str">
        <f aca="false">IF(AA545="","N/A",IF(Z545&lt;&gt;"Current","Not tested / overdue",INDEX('Residual Config'!$B$11:$B$14,AA545)))</f>
        <v>Largely effective</v>
      </c>
      <c r="AC545" s="36" t="n">
        <f aca="false">IF(AA545="","",INDEX('Residual Config'!$D$11:$D$14,AA545))</f>
        <v>0.4</v>
      </c>
      <c r="AD545" s="7" t="str">
        <f aca="false">IF(OR(I545="N/A",P545="",Q545=""),"",IF(P545&gt;=Q545,"Yes","No"))</f>
        <v>Yes</v>
      </c>
      <c r="AE545" s="8"/>
    </row>
    <row r="546" customFormat="false" ht="15" hidden="false" customHeight="false" outlineLevel="0" collapsed="false">
      <c r="A546" s="12" t="s">
        <v>2079</v>
      </c>
      <c r="B546" s="26" t="str">
        <f aca="false">Entities!$A$17</f>
        <v>SA</v>
      </c>
      <c r="C546" s="12" t="str">
        <f aca="false">INDEX(Entities!$B$5:$B$34,MATCH(B546,Entities!$A$5:$A$34,0))</f>
        <v>Arab National Bank (affiliate)</v>
      </c>
      <c r="D546" s="7" t="str">
        <f aca="false">INDEX(Entities!$F$5:$F$34,MATCH(B546,Entities!$A$5:$A$34,0))</f>
        <v>Tier 2</v>
      </c>
      <c r="E546" s="26" t="str">
        <f aca="false">'Control Library'!$A$30</f>
        <v>CTL-REG-02</v>
      </c>
      <c r="F546" s="12" t="str">
        <f aca="false">INDEX('Control Library'!$B$5:$B$47,MATCH(E546,'Control Library'!$A$5:$A$47,0))</f>
        <v>Regulatory return review and senior sign-off</v>
      </c>
      <c r="G546" s="7" t="str">
        <f aca="false">INDEX('Control Library'!$F$5:$F$47,MATCH(E546,'Control Library'!$A$5:$A$47,0))</f>
        <v>Y</v>
      </c>
      <c r="H546" s="12" t="str">
        <f aca="false">INDEX('Control Library'!$E$5:$E$47,MATCH(E546,'Control Library'!$A$5:$A$47,0))</f>
        <v>Monthly</v>
      </c>
      <c r="I546" s="7" t="str">
        <f aca="false">IF(INDEX('Control Library'!$I$5:$I$47,MATCH(E546,'Control Library'!$A$5:$A$47,0))="All","Y",IF(INDEX('Control Library'!$I$5:$I$47,MATCH(E546,'Control Library'!$A$5:$A$47,0))="Banks only",IF(COUNTIF('Residual Config'!$L$28:$L$30,INDEX(Entities!$E$5:$E$34,MATCH(B546,Entities!$A$5:$A$34,0)))&gt;0,"N/A","Y"),IF(INDEX(Entities!$G$5:$G$34,MATCH(B546,Entities!$A$5:$A$34,0))="Y","Y","N/A")))</f>
        <v>Y</v>
      </c>
      <c r="J546" s="8" t="s">
        <v>2073</v>
      </c>
      <c r="K546" s="8" t="s">
        <v>2018</v>
      </c>
      <c r="L546" s="7" t="str">
        <f aca="false">IF(OR(J546="",K546=""),"",IF(J546=K546,"Breach","OK"))</f>
        <v>OK</v>
      </c>
      <c r="M546" s="24" t="n">
        <v>2</v>
      </c>
      <c r="N546" s="50" t="n">
        <v>46085</v>
      </c>
      <c r="O546" s="8" t="s">
        <v>545</v>
      </c>
      <c r="P546" s="24" t="n">
        <v>3</v>
      </c>
      <c r="Q546" s="31" t="n">
        <f aca="false">IF(I546="N/A","",IFERROR(INDEX('Residual Config'!$B$35:$B$42,MATCH(H546,'Residual Config'!$A$35:$A$42,0)),""))</f>
        <v>3</v>
      </c>
      <c r="R546" s="24" t="n">
        <v>0</v>
      </c>
      <c r="S546" s="8" t="s">
        <v>516</v>
      </c>
      <c r="T546" s="31" t="n">
        <f aca="false">IF(S546="","",MATCH(S546,'Residual Config'!$L$9:$L$12,0))</f>
        <v>1</v>
      </c>
      <c r="U546" s="8" t="s">
        <v>2080</v>
      </c>
      <c r="V546" s="24" t="n">
        <v>3</v>
      </c>
      <c r="W546" s="33" t="s">
        <v>533</v>
      </c>
      <c r="X546" s="8" t="s">
        <v>760</v>
      </c>
      <c r="Y546" s="51" t="n">
        <f aca="false">IF(N546="","",EDATE(N546,IF(G546="N",INDEX('Residual Config'!$B$31:$D$31,1,MATCH(D546,'Residual Config'!$B$27:$D$27,0)),INDEX('Residual Config'!$B$28:$D$30,IF(T546=1,1,IF(T546=4,3,2)),MATCH(D546,'Residual Config'!$B$27:$D$27,0)))))</f>
        <v>46450</v>
      </c>
      <c r="Z546" s="7" t="str">
        <f aca="false">IF(I546="N/A","N/A",IF(N546="","Not tested",IF(W546="Rejected","Evidence rejected",IF(W546&lt;&gt;"Accepted","Evidence pending",IF(Y546&lt;'Residual Config'!$C$4,"Overdue","Current")))))</f>
        <v>Current</v>
      </c>
      <c r="AA546" s="34" t="n">
        <f aca="false">IF(I546="N/A","",IF(Z546&lt;&gt;"Current",4,IF(MAX(M546,T546)=0,4,MAX(M546,T546))))</f>
        <v>2</v>
      </c>
      <c r="AB546" s="7" t="str">
        <f aca="false">IF(AA546="","N/A",IF(Z546&lt;&gt;"Current","Not tested / overdue",INDEX('Residual Config'!$B$11:$B$14,AA546)))</f>
        <v>Largely effective</v>
      </c>
      <c r="AC546" s="36" t="n">
        <f aca="false">IF(AA546="","",INDEX('Residual Config'!$D$11:$D$14,AA546))</f>
        <v>0.4</v>
      </c>
      <c r="AD546" s="7" t="str">
        <f aca="false">IF(OR(I546="N/A",P546="",Q546=""),"",IF(P546&gt;=Q546,"Yes","No"))</f>
        <v>Yes</v>
      </c>
      <c r="AE546" s="8"/>
    </row>
    <row r="547" customFormat="false" ht="15" hidden="false" customHeight="false" outlineLevel="0" collapsed="false">
      <c r="A547" s="12" t="s">
        <v>2081</v>
      </c>
      <c r="B547" s="26" t="str">
        <f aca="false">Entities!$A$17</f>
        <v>SA</v>
      </c>
      <c r="C547" s="12" t="str">
        <f aca="false">INDEX(Entities!$B$5:$B$34,MATCH(B547,Entities!$A$5:$A$34,0))</f>
        <v>Arab National Bank (affiliate)</v>
      </c>
      <c r="D547" s="7" t="str">
        <f aca="false">INDEX(Entities!$F$5:$F$34,MATCH(B547,Entities!$A$5:$A$34,0))</f>
        <v>Tier 2</v>
      </c>
      <c r="E547" s="26" t="str">
        <f aca="false">'Control Library'!$A$31</f>
        <v>CTL-CON-01</v>
      </c>
      <c r="F547" s="12" t="str">
        <f aca="false">INDEX('Control Library'!$B$5:$B$47,MATCH(E547,'Control Library'!$A$5:$A$47,0))</f>
        <v>New product approval and suitability assessment</v>
      </c>
      <c r="G547" s="7" t="str">
        <f aca="false">INDEX('Control Library'!$F$5:$F$47,MATCH(E547,'Control Library'!$A$5:$A$47,0))</f>
        <v>Y</v>
      </c>
      <c r="H547" s="12" t="str">
        <f aca="false">INDEX('Control Library'!$E$5:$E$47,MATCH(E547,'Control Library'!$A$5:$A$47,0))</f>
        <v>Event-driven</v>
      </c>
      <c r="I547" s="7" t="str">
        <f aca="false">IF(INDEX('Control Library'!$I$5:$I$47,MATCH(E547,'Control Library'!$A$5:$A$47,0))="All","Y",IF(INDEX('Control Library'!$I$5:$I$47,MATCH(E547,'Control Library'!$A$5:$A$47,0))="Banks only",IF(COUNTIF('Residual Config'!$L$28:$L$30,INDEX(Entities!$E$5:$E$34,MATCH(B547,Entities!$A$5:$A$34,0)))&gt;0,"N/A","Y"),IF(INDEX(Entities!$G$5:$G$34,MATCH(B547,Entities!$A$5:$A$34,0))="Y","Y","N/A")))</f>
        <v>Y</v>
      </c>
      <c r="J547" s="8" t="s">
        <v>2021</v>
      </c>
      <c r="K547" s="8" t="s">
        <v>2018</v>
      </c>
      <c r="L547" s="7" t="str">
        <f aca="false">IF(OR(J547="",K547=""),"",IF(J547=K547,"Breach","OK"))</f>
        <v>OK</v>
      </c>
      <c r="M547" s="24" t="n">
        <v>3</v>
      </c>
      <c r="N547" s="50" t="n">
        <v>46112</v>
      </c>
      <c r="O547" s="8" t="s">
        <v>546</v>
      </c>
      <c r="P547" s="24" t="n">
        <v>25</v>
      </c>
      <c r="Q547" s="31" t="n">
        <f aca="false">IF(I547="N/A","",IFERROR(INDEX('Residual Config'!$B$35:$B$42,MATCH(H547,'Residual Config'!$A$35:$A$42,0)),""))</f>
        <v>25</v>
      </c>
      <c r="R547" s="24" t="n">
        <v>0</v>
      </c>
      <c r="S547" s="8" t="s">
        <v>516</v>
      </c>
      <c r="T547" s="31" t="n">
        <f aca="false">IF(S547="","",MATCH(S547,'Residual Config'!$L$9:$L$12,0))</f>
        <v>1</v>
      </c>
      <c r="U547" s="8" t="s">
        <v>2082</v>
      </c>
      <c r="V547" s="24" t="n">
        <v>3</v>
      </c>
      <c r="W547" s="33" t="s">
        <v>533</v>
      </c>
      <c r="X547" s="8" t="s">
        <v>754</v>
      </c>
      <c r="Y547" s="51" t="n">
        <f aca="false">IF(N547="","",EDATE(N547,IF(G547="N",INDEX('Residual Config'!$B$31:$D$31,1,MATCH(D547,'Residual Config'!$B$27:$D$27,0)),INDEX('Residual Config'!$B$28:$D$30,IF(T547=1,1,IF(T547=4,3,2)),MATCH(D547,'Residual Config'!$B$27:$D$27,0)))))</f>
        <v>46477</v>
      </c>
      <c r="Z547" s="7" t="str">
        <f aca="false">IF(I547="N/A","N/A",IF(N547="","Not tested",IF(W547="Rejected","Evidence rejected",IF(W547&lt;&gt;"Accepted","Evidence pending",IF(Y547&lt;'Residual Config'!$C$4,"Overdue","Current")))))</f>
        <v>Current</v>
      </c>
      <c r="AA547" s="34" t="n">
        <f aca="false">IF(I547="N/A","",IF(Z547&lt;&gt;"Current",4,IF(MAX(M547,T547)=0,4,MAX(M547,T547))))</f>
        <v>3</v>
      </c>
      <c r="AB547" s="7" t="str">
        <f aca="false">IF(AA547="","N/A",IF(Z547&lt;&gt;"Current","Not tested / overdue",INDEX('Residual Config'!$B$11:$B$14,AA547)))</f>
        <v>Partially effective</v>
      </c>
      <c r="AC547" s="36" t="n">
        <f aca="false">IF(AA547="","",INDEX('Residual Config'!$D$11:$D$14,AA547))</f>
        <v>0.2</v>
      </c>
      <c r="AD547" s="7" t="str">
        <f aca="false">IF(OR(I547="N/A",P547="",Q547=""),"",IF(P547&gt;=Q547,"Yes","No"))</f>
        <v>Yes</v>
      </c>
      <c r="AE547" s="8"/>
    </row>
    <row r="548" customFormat="false" ht="15" hidden="false" customHeight="false" outlineLevel="0" collapsed="false">
      <c r="A548" s="12" t="s">
        <v>2083</v>
      </c>
      <c r="B548" s="26" t="str">
        <f aca="false">Entities!$A$17</f>
        <v>SA</v>
      </c>
      <c r="C548" s="12" t="str">
        <f aca="false">INDEX(Entities!$B$5:$B$34,MATCH(B548,Entities!$A$5:$A$34,0))</f>
        <v>Arab National Bank (affiliate)</v>
      </c>
      <c r="D548" s="7" t="str">
        <f aca="false">INDEX(Entities!$F$5:$F$34,MATCH(B548,Entities!$A$5:$A$34,0))</f>
        <v>Tier 2</v>
      </c>
      <c r="E548" s="26" t="str">
        <f aca="false">'Control Library'!$A$32</f>
        <v>CTL-CON-02</v>
      </c>
      <c r="F548" s="12" t="str">
        <f aca="false">INDEX('Control Library'!$B$5:$B$47,MATCH(E548,'Control Library'!$A$5:$A$47,0))</f>
        <v>Complaints handling and root-cause analysis</v>
      </c>
      <c r="G548" s="7" t="str">
        <f aca="false">INDEX('Control Library'!$F$5:$F$47,MATCH(E548,'Control Library'!$A$5:$A$47,0))</f>
        <v>N</v>
      </c>
      <c r="H548" s="12" t="str">
        <f aca="false">INDEX('Control Library'!$E$5:$E$47,MATCH(E548,'Control Library'!$A$5:$A$47,0))</f>
        <v>Monthly</v>
      </c>
      <c r="I548" s="7" t="str">
        <f aca="false">IF(INDEX('Control Library'!$I$5:$I$47,MATCH(E548,'Control Library'!$A$5:$A$47,0))="All","Y",IF(INDEX('Control Library'!$I$5:$I$47,MATCH(E548,'Control Library'!$A$5:$A$47,0))="Banks only",IF(COUNTIF('Residual Config'!$L$28:$L$30,INDEX(Entities!$E$5:$E$34,MATCH(B548,Entities!$A$5:$A$34,0)))&gt;0,"N/A","Y"),IF(INDEX(Entities!$G$5:$G$34,MATCH(B548,Entities!$A$5:$A$34,0))="Y","Y","N/A")))</f>
        <v>Y</v>
      </c>
      <c r="J548" s="8" t="s">
        <v>2084</v>
      </c>
      <c r="K548" s="8" t="s">
        <v>2018</v>
      </c>
      <c r="L548" s="7" t="str">
        <f aca="false">IF(OR(J548="",K548=""),"",IF(J548=K548,"Breach","OK"))</f>
        <v>OK</v>
      </c>
      <c r="M548" s="24" t="n">
        <v>1</v>
      </c>
      <c r="N548" s="50" t="n">
        <v>46156</v>
      </c>
      <c r="O548" s="8" t="s">
        <v>545</v>
      </c>
      <c r="P548" s="24" t="n">
        <v>3</v>
      </c>
      <c r="Q548" s="31" t="n">
        <f aca="false">IF(I548="N/A","",IFERROR(INDEX('Residual Config'!$B$35:$B$42,MATCH(H548,'Residual Config'!$A$35:$A$42,0)),""))</f>
        <v>3</v>
      </c>
      <c r="R548" s="24" t="n">
        <v>1</v>
      </c>
      <c r="S548" s="8" t="s">
        <v>521</v>
      </c>
      <c r="T548" s="31" t="n">
        <f aca="false">IF(S548="","",MATCH(S548,'Residual Config'!$L$9:$L$12,0))</f>
        <v>2</v>
      </c>
      <c r="U548" s="8" t="s">
        <v>2085</v>
      </c>
      <c r="V548" s="24" t="n">
        <v>2</v>
      </c>
      <c r="W548" s="33" t="s">
        <v>533</v>
      </c>
      <c r="X548" s="8" t="s">
        <v>754</v>
      </c>
      <c r="Y548" s="51" t="n">
        <f aca="false">IF(N548="","",EDATE(N548,IF(G548="N",INDEX('Residual Config'!$B$31:$D$31,1,MATCH(D548,'Residual Config'!$B$27:$D$27,0)),INDEX('Residual Config'!$B$28:$D$30,IF(T548=1,1,IF(T548=4,3,2)),MATCH(D548,'Residual Config'!$B$27:$D$27,0)))))</f>
        <v>46521</v>
      </c>
      <c r="Z548" s="7" t="str">
        <f aca="false">IF(I548="N/A","N/A",IF(N548="","Not tested",IF(W548="Rejected","Evidence rejected",IF(W548&lt;&gt;"Accepted","Evidence pending",IF(Y548&lt;'Residual Config'!$C$4,"Overdue","Current")))))</f>
        <v>Current</v>
      </c>
      <c r="AA548" s="34" t="n">
        <f aca="false">IF(I548="N/A","",IF(Z548&lt;&gt;"Current",4,IF(MAX(M548,T548)=0,4,MAX(M548,T548))))</f>
        <v>2</v>
      </c>
      <c r="AB548" s="7" t="str">
        <f aca="false">IF(AA548="","N/A",IF(Z548&lt;&gt;"Current","Not tested / overdue",INDEX('Residual Config'!$B$11:$B$14,AA548)))</f>
        <v>Largely effective</v>
      </c>
      <c r="AC548" s="36" t="n">
        <f aca="false">IF(AA548="","",INDEX('Residual Config'!$D$11:$D$14,AA548))</f>
        <v>0.4</v>
      </c>
      <c r="AD548" s="7" t="str">
        <f aca="false">IF(OR(I548="N/A",P548="",Q548=""),"",IF(P548&gt;=Q548,"Yes","No"))</f>
        <v>Yes</v>
      </c>
      <c r="AE548" s="8"/>
    </row>
    <row r="549" customFormat="false" ht="15" hidden="false" customHeight="false" outlineLevel="0" collapsed="false">
      <c r="A549" s="12" t="s">
        <v>2086</v>
      </c>
      <c r="B549" s="26" t="str">
        <f aca="false">Entities!$A$17</f>
        <v>SA</v>
      </c>
      <c r="C549" s="12" t="str">
        <f aca="false">INDEX(Entities!$B$5:$B$34,MATCH(B549,Entities!$A$5:$A$34,0))</f>
        <v>Arab National Bank (affiliate)</v>
      </c>
      <c r="D549" s="7" t="str">
        <f aca="false">INDEX(Entities!$F$5:$F$34,MATCH(B549,Entities!$A$5:$A$34,0))</f>
        <v>Tier 2</v>
      </c>
      <c r="E549" s="26" t="str">
        <f aca="false">'Control Library'!$A$33</f>
        <v>CTL-DP-01</v>
      </c>
      <c r="F549" s="12" t="str">
        <f aca="false">INDEX('Control Library'!$B$5:$B$47,MATCH(E549,'Control Library'!$A$5:$A$47,0))</f>
        <v>Data protection impact assessments and processing records</v>
      </c>
      <c r="G549" s="7" t="str">
        <f aca="false">INDEX('Control Library'!$F$5:$F$47,MATCH(E549,'Control Library'!$A$5:$A$47,0))</f>
        <v>Y</v>
      </c>
      <c r="H549" s="12" t="str">
        <f aca="false">INDEX('Control Library'!$E$5:$E$47,MATCH(E549,'Control Library'!$A$5:$A$47,0))</f>
        <v>Event-driven</v>
      </c>
      <c r="I549" s="7" t="str">
        <f aca="false">IF(INDEX('Control Library'!$I$5:$I$47,MATCH(E549,'Control Library'!$A$5:$A$47,0))="All","Y",IF(INDEX('Control Library'!$I$5:$I$47,MATCH(E549,'Control Library'!$A$5:$A$47,0))="Banks only",IF(COUNTIF('Residual Config'!$L$28:$L$30,INDEX(Entities!$E$5:$E$34,MATCH(B549,Entities!$A$5:$A$34,0)))&gt;0,"N/A","Y"),IF(INDEX(Entities!$G$5:$G$34,MATCH(B549,Entities!$A$5:$A$34,0))="Y","Y","N/A")))</f>
        <v>Y</v>
      </c>
      <c r="J549" s="8" t="s">
        <v>2087</v>
      </c>
      <c r="K549" s="8" t="s">
        <v>2018</v>
      </c>
      <c r="L549" s="7" t="str">
        <f aca="false">IF(OR(J549="",K549=""),"",IF(J549=K549,"Breach","OK"))</f>
        <v>OK</v>
      </c>
      <c r="M549" s="24" t="n">
        <v>2</v>
      </c>
      <c r="N549" s="50" t="n">
        <v>46142</v>
      </c>
      <c r="O549" s="8" t="s">
        <v>545</v>
      </c>
      <c r="P549" s="24" t="n">
        <v>25</v>
      </c>
      <c r="Q549" s="31" t="n">
        <f aca="false">IF(I549="N/A","",IFERROR(INDEX('Residual Config'!$B$35:$B$42,MATCH(H549,'Residual Config'!$A$35:$A$42,0)),""))</f>
        <v>25</v>
      </c>
      <c r="R549" s="24" t="n">
        <v>0</v>
      </c>
      <c r="S549" s="8" t="s">
        <v>516</v>
      </c>
      <c r="T549" s="31" t="n">
        <f aca="false">IF(S549="","",MATCH(S549,'Residual Config'!$L$9:$L$12,0))</f>
        <v>1</v>
      </c>
      <c r="U549" s="8" t="s">
        <v>2088</v>
      </c>
      <c r="V549" s="24" t="n">
        <v>6</v>
      </c>
      <c r="W549" s="33" t="s">
        <v>533</v>
      </c>
      <c r="X549" s="8" t="s">
        <v>754</v>
      </c>
      <c r="Y549" s="51" t="n">
        <f aca="false">IF(N549="","",EDATE(N549,IF(G549="N",INDEX('Residual Config'!$B$31:$D$31,1,MATCH(D549,'Residual Config'!$B$27:$D$27,0)),INDEX('Residual Config'!$B$28:$D$30,IF(T549=1,1,IF(T549=4,3,2)),MATCH(D549,'Residual Config'!$B$27:$D$27,0)))))</f>
        <v>46507</v>
      </c>
      <c r="Z549" s="7" t="str">
        <f aca="false">IF(I549="N/A","N/A",IF(N549="","Not tested",IF(W549="Rejected","Evidence rejected",IF(W549&lt;&gt;"Accepted","Evidence pending",IF(Y549&lt;'Residual Config'!$C$4,"Overdue","Current")))))</f>
        <v>Current</v>
      </c>
      <c r="AA549" s="34" t="n">
        <f aca="false">IF(I549="N/A","",IF(Z549&lt;&gt;"Current",4,IF(MAX(M549,T549)=0,4,MAX(M549,T549))))</f>
        <v>2</v>
      </c>
      <c r="AB549" s="7" t="str">
        <f aca="false">IF(AA549="","N/A",IF(Z549&lt;&gt;"Current","Not tested / overdue",INDEX('Residual Config'!$B$11:$B$14,AA549)))</f>
        <v>Largely effective</v>
      </c>
      <c r="AC549" s="36" t="n">
        <f aca="false">IF(AA549="","",INDEX('Residual Config'!$D$11:$D$14,AA549))</f>
        <v>0.4</v>
      </c>
      <c r="AD549" s="7" t="str">
        <f aca="false">IF(OR(I549="N/A",P549="",Q549=""),"",IF(P549&gt;=Q549,"Yes","No"))</f>
        <v>Yes</v>
      </c>
      <c r="AE549" s="8"/>
    </row>
    <row r="550" customFormat="false" ht="15" hidden="false" customHeight="false" outlineLevel="0" collapsed="false">
      <c r="A550" s="12" t="s">
        <v>2089</v>
      </c>
      <c r="B550" s="26" t="str">
        <f aca="false">Entities!$A$17</f>
        <v>SA</v>
      </c>
      <c r="C550" s="12" t="str">
        <f aca="false">INDEX(Entities!$B$5:$B$34,MATCH(B550,Entities!$A$5:$A$34,0))</f>
        <v>Arab National Bank (affiliate)</v>
      </c>
      <c r="D550" s="7" t="str">
        <f aca="false">INDEX(Entities!$F$5:$F$34,MATCH(B550,Entities!$A$5:$A$34,0))</f>
        <v>Tier 2</v>
      </c>
      <c r="E550" s="26" t="str">
        <f aca="false">'Control Library'!$A$34</f>
        <v>CTL-DP-02</v>
      </c>
      <c r="F550" s="12" t="str">
        <f aca="false">INDEX('Control Library'!$B$5:$B$47,MATCH(E550,'Control Library'!$A$5:$A$47,0))</f>
        <v>Data loss prevention and quarterly access recertification</v>
      </c>
      <c r="G550" s="7" t="str">
        <f aca="false">INDEX('Control Library'!$F$5:$F$47,MATCH(E550,'Control Library'!$A$5:$A$47,0))</f>
        <v>Y</v>
      </c>
      <c r="H550" s="12" t="str">
        <f aca="false">INDEX('Control Library'!$E$5:$E$47,MATCH(E550,'Control Library'!$A$5:$A$47,0))</f>
        <v>Quarterly</v>
      </c>
      <c r="I550" s="7" t="str">
        <f aca="false">IF(INDEX('Control Library'!$I$5:$I$47,MATCH(E550,'Control Library'!$A$5:$A$47,0))="All","Y",IF(INDEX('Control Library'!$I$5:$I$47,MATCH(E550,'Control Library'!$A$5:$A$47,0))="Banks only",IF(COUNTIF('Residual Config'!$L$28:$L$30,INDEX(Entities!$E$5:$E$34,MATCH(B550,Entities!$A$5:$A$34,0)))&gt;0,"N/A","Y"),IF(INDEX(Entities!$G$5:$G$34,MATCH(B550,Entities!$A$5:$A$34,0))="Y","Y","N/A")))</f>
        <v>Y</v>
      </c>
      <c r="J550" s="8" t="s">
        <v>2090</v>
      </c>
      <c r="K550" s="8" t="s">
        <v>2018</v>
      </c>
      <c r="L550" s="7" t="str">
        <f aca="false">IF(OR(J550="",K550=""),"",IF(J550=K550,"Breach","OK"))</f>
        <v>OK</v>
      </c>
      <c r="M550" s="24" t="n">
        <v>2</v>
      </c>
      <c r="N550" s="50" t="n">
        <v>46221</v>
      </c>
      <c r="O550" s="8" t="s">
        <v>545</v>
      </c>
      <c r="P550" s="24" t="n">
        <v>2</v>
      </c>
      <c r="Q550" s="31" t="n">
        <f aca="false">IF(I550="N/A","",IFERROR(INDEX('Residual Config'!$B$35:$B$42,MATCH(H550,'Residual Config'!$A$35:$A$42,0)),""))</f>
        <v>2</v>
      </c>
      <c r="R550" s="24" t="n">
        <v>0</v>
      </c>
      <c r="S550" s="8" t="s">
        <v>516</v>
      </c>
      <c r="T550" s="31" t="n">
        <f aca="false">IF(S550="","",MATCH(S550,'Residual Config'!$L$9:$L$12,0))</f>
        <v>1</v>
      </c>
      <c r="U550" s="8" t="s">
        <v>2091</v>
      </c>
      <c r="V550" s="24" t="n">
        <v>1</v>
      </c>
      <c r="W550" s="33" t="s">
        <v>533</v>
      </c>
      <c r="X550" s="8" t="s">
        <v>754</v>
      </c>
      <c r="Y550" s="51" t="n">
        <f aca="false">IF(N550="","",EDATE(N550,IF(G550="N",INDEX('Residual Config'!$B$31:$D$31,1,MATCH(D550,'Residual Config'!$B$27:$D$27,0)),INDEX('Residual Config'!$B$28:$D$30,IF(T550=1,1,IF(T550=4,3,2)),MATCH(D550,'Residual Config'!$B$27:$D$27,0)))))</f>
        <v>46586</v>
      </c>
      <c r="Z550" s="7" t="str">
        <f aca="false">IF(I550="N/A","N/A",IF(N550="","Not tested",IF(W550="Rejected","Evidence rejected",IF(W550&lt;&gt;"Accepted","Evidence pending",IF(Y550&lt;'Residual Config'!$C$4,"Overdue","Current")))))</f>
        <v>Current</v>
      </c>
      <c r="AA550" s="34" t="n">
        <f aca="false">IF(I550="N/A","",IF(Z550&lt;&gt;"Current",4,IF(MAX(M550,T550)=0,4,MAX(M550,T550))))</f>
        <v>2</v>
      </c>
      <c r="AB550" s="7" t="str">
        <f aca="false">IF(AA550="","N/A",IF(Z550&lt;&gt;"Current","Not tested / overdue",INDEX('Residual Config'!$B$11:$B$14,AA550)))</f>
        <v>Largely effective</v>
      </c>
      <c r="AC550" s="36" t="n">
        <f aca="false">IF(AA550="","",INDEX('Residual Config'!$D$11:$D$14,AA550))</f>
        <v>0.4</v>
      </c>
      <c r="AD550" s="7" t="str">
        <f aca="false">IF(OR(I550="N/A",P550="",Q550=""),"",IF(P550&gt;=Q550,"Yes","No"))</f>
        <v>Yes</v>
      </c>
      <c r="AE550" s="8"/>
    </row>
    <row r="551" customFormat="false" ht="15" hidden="false" customHeight="false" outlineLevel="0" collapsed="false">
      <c r="A551" s="12" t="s">
        <v>2092</v>
      </c>
      <c r="B551" s="26" t="str">
        <f aca="false">Entities!$A$17</f>
        <v>SA</v>
      </c>
      <c r="C551" s="12" t="str">
        <f aca="false">INDEX(Entities!$B$5:$B$34,MATCH(B551,Entities!$A$5:$A$34,0))</f>
        <v>Arab National Bank (affiliate)</v>
      </c>
      <c r="D551" s="7" t="str">
        <f aca="false">INDEX(Entities!$F$5:$F$34,MATCH(B551,Entities!$A$5:$A$34,0))</f>
        <v>Tier 2</v>
      </c>
      <c r="E551" s="26" t="str">
        <f aca="false">'Control Library'!$A$35</f>
        <v>CTL-SH-01</v>
      </c>
      <c r="F551" s="12" t="str">
        <f aca="false">INDEX('Control Library'!$B$5:$B$47,MATCH(E551,'Control Library'!$A$5:$A$47,0))</f>
        <v>Shariah review of products and income purification</v>
      </c>
      <c r="G551" s="7" t="str">
        <f aca="false">INDEX('Control Library'!$F$5:$F$47,MATCH(E551,'Control Library'!$A$5:$A$47,0))</f>
        <v>Y</v>
      </c>
      <c r="H551" s="12" t="str">
        <f aca="false">INDEX('Control Library'!$E$5:$E$47,MATCH(E551,'Control Library'!$A$5:$A$47,0))</f>
        <v>Quarterly</v>
      </c>
      <c r="I551" s="7" t="str">
        <f aca="false">IF(INDEX('Control Library'!$I$5:$I$47,MATCH(E551,'Control Library'!$A$5:$A$47,0))="All","Y",IF(INDEX('Control Library'!$I$5:$I$47,MATCH(E551,'Control Library'!$A$5:$A$47,0))="Banks only",IF(COUNTIF('Residual Config'!$L$28:$L$30,INDEX(Entities!$E$5:$E$34,MATCH(B551,Entities!$A$5:$A$34,0)))&gt;0,"N/A","Y"),IF(INDEX(Entities!$G$5:$G$34,MATCH(B551,Entities!$A$5:$A$34,0))="Y","Y","N/A")))</f>
        <v>N/A</v>
      </c>
      <c r="J551" s="8"/>
      <c r="K551" s="8"/>
      <c r="L551" s="7" t="str">
        <f aca="false">IF(OR(J551="",K551=""),"",IF(J551=K551,"Breach","OK"))</f>
        <v/>
      </c>
      <c r="M551" s="24"/>
      <c r="N551" s="50"/>
      <c r="O551" s="8"/>
      <c r="P551" s="24"/>
      <c r="Q551" s="31" t="str">
        <f aca="false">IF(I551="N/A","",IFERROR(INDEX('Residual Config'!$B$35:$B$42,MATCH(H551,'Residual Config'!$A$35:$A$42,0)),""))</f>
        <v/>
      </c>
      <c r="R551" s="24"/>
      <c r="S551" s="8"/>
      <c r="T551" s="31" t="str">
        <f aca="false">IF(S551="","",MATCH(S551,'Residual Config'!$L$9:$L$12,0))</f>
        <v/>
      </c>
      <c r="U551" s="8"/>
      <c r="V551" s="24"/>
      <c r="W551" s="33"/>
      <c r="X551" s="8"/>
      <c r="Y551" s="51" t="str">
        <f aca="false">IF(N551="","",EDATE(N551,IF(G551="N",INDEX('Residual Config'!$B$31:$D$31,1,MATCH(D551,'Residual Config'!$B$27:$D$27,0)),INDEX('Residual Config'!$B$28:$D$30,IF(T551=1,1,IF(T551=4,3,2)),MATCH(D551,'Residual Config'!$B$27:$D$27,0)))))</f>
        <v/>
      </c>
      <c r="Z551" s="7" t="str">
        <f aca="false">IF(I551="N/A","N/A",IF(N551="","Not tested",IF(W551="Rejected","Evidence rejected",IF(W551&lt;&gt;"Accepted","Evidence pending",IF(Y551&lt;'Residual Config'!$C$4,"Overdue","Current")))))</f>
        <v>N/A</v>
      </c>
      <c r="AA551" s="34" t="str">
        <f aca="false">IF(I551="N/A","",IF(Z551&lt;&gt;"Current",4,IF(MAX(M551,T551)=0,4,MAX(M551,T551))))</f>
        <v/>
      </c>
      <c r="AB551" s="7" t="str">
        <f aca="false">IF(AA551="","N/A",IF(Z551&lt;&gt;"Current","Not tested / overdue",INDEX('Residual Config'!$B$11:$B$14,AA551)))</f>
        <v>N/A</v>
      </c>
      <c r="AC551" s="36" t="str">
        <f aca="false">IF(AA551="","",INDEX('Residual Config'!$D$11:$D$14,AA551))</f>
        <v/>
      </c>
      <c r="AD551" s="7" t="str">
        <f aca="false">IF(OR(I551="N/A",P551="",Q551=""),"",IF(P551&gt;=Q551,"Yes","No"))</f>
        <v/>
      </c>
      <c r="AE551" s="8"/>
    </row>
    <row r="552" customFormat="false" ht="15" hidden="false" customHeight="false" outlineLevel="0" collapsed="false">
      <c r="A552" s="12" t="s">
        <v>2093</v>
      </c>
      <c r="B552" s="26" t="str">
        <f aca="false">Entities!$A$17</f>
        <v>SA</v>
      </c>
      <c r="C552" s="12" t="str">
        <f aca="false">INDEX(Entities!$B$5:$B$34,MATCH(B552,Entities!$A$5:$A$34,0))</f>
        <v>Arab National Bank (affiliate)</v>
      </c>
      <c r="D552" s="7" t="str">
        <f aca="false">INDEX(Entities!$F$5:$F$34,MATCH(B552,Entities!$A$5:$A$34,0))</f>
        <v>Tier 2</v>
      </c>
      <c r="E552" s="26" t="str">
        <f aca="false">'Control Library'!$A$36</f>
        <v>CTL-CR-01</v>
      </c>
      <c r="F552" s="12" t="str">
        <f aca="false">INDEX('Control Library'!$B$5:$B$47,MATCH(E552,'Control Library'!$A$5:$A$47,0))</f>
        <v>Credit approval authorities and committee review</v>
      </c>
      <c r="G552" s="7" t="str">
        <f aca="false">INDEX('Control Library'!$F$5:$F$47,MATCH(E552,'Control Library'!$A$5:$A$47,0))</f>
        <v>Y</v>
      </c>
      <c r="H552" s="12" t="str">
        <f aca="false">INDEX('Control Library'!$E$5:$E$47,MATCH(E552,'Control Library'!$A$5:$A$47,0))</f>
        <v>Event-driven</v>
      </c>
      <c r="I552" s="7" t="str">
        <f aca="false">IF(INDEX('Control Library'!$I$5:$I$47,MATCH(E552,'Control Library'!$A$5:$A$47,0))="All","Y",IF(INDEX('Control Library'!$I$5:$I$47,MATCH(E552,'Control Library'!$A$5:$A$47,0))="Banks only",IF(COUNTIF('Residual Config'!$L$28:$L$30,INDEX(Entities!$E$5:$E$34,MATCH(B552,Entities!$A$5:$A$34,0)))&gt;0,"N/A","Y"),IF(INDEX(Entities!$G$5:$G$34,MATCH(B552,Entities!$A$5:$A$34,0))="Y","Y","N/A")))</f>
        <v>Y</v>
      </c>
      <c r="J552" s="8" t="s">
        <v>2094</v>
      </c>
      <c r="K552" s="8" t="s">
        <v>2018</v>
      </c>
      <c r="L552" s="7" t="str">
        <f aca="false">IF(OR(J552="",K552=""),"",IF(J552=K552,"Breach","OK"))</f>
        <v>OK</v>
      </c>
      <c r="M552" s="24" t="n">
        <v>2</v>
      </c>
      <c r="N552" s="50" t="n">
        <v>46186</v>
      </c>
      <c r="O552" s="8" t="s">
        <v>545</v>
      </c>
      <c r="P552" s="24" t="n">
        <v>25</v>
      </c>
      <c r="Q552" s="31" t="n">
        <f aca="false">IF(I552="N/A","",IFERROR(INDEX('Residual Config'!$B$35:$B$42,MATCH(H552,'Residual Config'!$A$35:$A$42,0)),""))</f>
        <v>25</v>
      </c>
      <c r="R552" s="24" t="n">
        <v>0</v>
      </c>
      <c r="S552" s="8" t="s">
        <v>516</v>
      </c>
      <c r="T552" s="31" t="n">
        <f aca="false">IF(S552="","",MATCH(S552,'Residual Config'!$L$9:$L$12,0))</f>
        <v>1</v>
      </c>
      <c r="U552" s="8" t="s">
        <v>2095</v>
      </c>
      <c r="V552" s="24" t="n">
        <v>6</v>
      </c>
      <c r="W552" s="33" t="s">
        <v>533</v>
      </c>
      <c r="X552" s="8" t="s">
        <v>760</v>
      </c>
      <c r="Y552" s="51" t="n">
        <f aca="false">IF(N552="","",EDATE(N552,IF(G552="N",INDEX('Residual Config'!$B$31:$D$31,1,MATCH(D552,'Residual Config'!$B$27:$D$27,0)),INDEX('Residual Config'!$B$28:$D$30,IF(T552=1,1,IF(T552=4,3,2)),MATCH(D552,'Residual Config'!$B$27:$D$27,0)))))</f>
        <v>46551</v>
      </c>
      <c r="Z552" s="7" t="str">
        <f aca="false">IF(I552="N/A","N/A",IF(N552="","Not tested",IF(W552="Rejected","Evidence rejected",IF(W552&lt;&gt;"Accepted","Evidence pending",IF(Y552&lt;'Residual Config'!$C$4,"Overdue","Current")))))</f>
        <v>Current</v>
      </c>
      <c r="AA552" s="34" t="n">
        <f aca="false">IF(I552="N/A","",IF(Z552&lt;&gt;"Current",4,IF(MAX(M552,T552)=0,4,MAX(M552,T552))))</f>
        <v>2</v>
      </c>
      <c r="AB552" s="7" t="str">
        <f aca="false">IF(AA552="","N/A",IF(Z552&lt;&gt;"Current","Not tested / overdue",INDEX('Residual Config'!$B$11:$B$14,AA552)))</f>
        <v>Largely effective</v>
      </c>
      <c r="AC552" s="36" t="n">
        <f aca="false">IF(AA552="","",INDEX('Residual Config'!$D$11:$D$14,AA552))</f>
        <v>0.4</v>
      </c>
      <c r="AD552" s="7" t="str">
        <f aca="false">IF(OR(I552="N/A",P552="",Q552=""),"",IF(P552&gt;=Q552,"Yes","No"))</f>
        <v>Yes</v>
      </c>
      <c r="AE552" s="8"/>
    </row>
    <row r="553" customFormat="false" ht="15" hidden="false" customHeight="false" outlineLevel="0" collapsed="false">
      <c r="A553" s="12" t="s">
        <v>2096</v>
      </c>
      <c r="B553" s="26" t="str">
        <f aca="false">Entities!$A$17</f>
        <v>SA</v>
      </c>
      <c r="C553" s="12" t="str">
        <f aca="false">INDEX(Entities!$B$5:$B$34,MATCH(B553,Entities!$A$5:$A$34,0))</f>
        <v>Arab National Bank (affiliate)</v>
      </c>
      <c r="D553" s="7" t="str">
        <f aca="false">INDEX(Entities!$F$5:$F$34,MATCH(B553,Entities!$A$5:$A$34,0))</f>
        <v>Tier 2</v>
      </c>
      <c r="E553" s="26" t="str">
        <f aca="false">'Control Library'!$A$37</f>
        <v>CTL-CR-02</v>
      </c>
      <c r="F553" s="12" t="str">
        <f aca="false">INDEX('Control Library'!$B$5:$B$47,MATCH(E553,'Control Library'!$A$5:$A$47,0))</f>
        <v>Collateral valuation and exposure limit monitoring</v>
      </c>
      <c r="G553" s="7" t="str">
        <f aca="false">INDEX('Control Library'!$F$5:$F$47,MATCH(E553,'Control Library'!$A$5:$A$47,0))</f>
        <v>N</v>
      </c>
      <c r="H553" s="12" t="str">
        <f aca="false">INDEX('Control Library'!$E$5:$E$47,MATCH(E553,'Control Library'!$A$5:$A$47,0))</f>
        <v>Monthly</v>
      </c>
      <c r="I553" s="7" t="str">
        <f aca="false">IF(INDEX('Control Library'!$I$5:$I$47,MATCH(E553,'Control Library'!$A$5:$A$47,0))="All","Y",IF(INDEX('Control Library'!$I$5:$I$47,MATCH(E553,'Control Library'!$A$5:$A$47,0))="Banks only",IF(COUNTIF('Residual Config'!$L$28:$L$30,INDEX(Entities!$E$5:$E$34,MATCH(B553,Entities!$A$5:$A$34,0)))&gt;0,"N/A","Y"),IF(INDEX(Entities!$G$5:$G$34,MATCH(B553,Entities!$A$5:$A$34,0))="Y","Y","N/A")))</f>
        <v>Y</v>
      </c>
      <c r="J553" s="8" t="s">
        <v>2097</v>
      </c>
      <c r="K553" s="8" t="s">
        <v>2018</v>
      </c>
      <c r="L553" s="7" t="str">
        <f aca="false">IF(OR(J553="",K553=""),"",IF(J553=K553,"Breach","OK"))</f>
        <v>OK</v>
      </c>
      <c r="M553" s="24" t="n">
        <v>1</v>
      </c>
      <c r="N553" s="50" t="n">
        <v>45995</v>
      </c>
      <c r="O553" s="8" t="s">
        <v>546</v>
      </c>
      <c r="P553" s="24" t="n">
        <v>3</v>
      </c>
      <c r="Q553" s="31" t="n">
        <f aca="false">IF(I553="N/A","",IFERROR(INDEX('Residual Config'!$B$35:$B$42,MATCH(H553,'Residual Config'!$A$35:$A$42,0)),""))</f>
        <v>3</v>
      </c>
      <c r="R553" s="24" t="n">
        <v>1</v>
      </c>
      <c r="S553" s="8" t="s">
        <v>521</v>
      </c>
      <c r="T553" s="31" t="n">
        <f aca="false">IF(S553="","",MATCH(S553,'Residual Config'!$L$9:$L$12,0))</f>
        <v>2</v>
      </c>
      <c r="U553" s="8" t="s">
        <v>2098</v>
      </c>
      <c r="V553" s="24" t="n">
        <v>1</v>
      </c>
      <c r="W553" s="33" t="s">
        <v>533</v>
      </c>
      <c r="X553" s="8" t="s">
        <v>754</v>
      </c>
      <c r="Y553" s="51" t="n">
        <f aca="false">IF(N553="","",EDATE(N553,IF(G553="N",INDEX('Residual Config'!$B$31:$D$31,1,MATCH(D553,'Residual Config'!$B$27:$D$27,0)),INDEX('Residual Config'!$B$28:$D$30,IF(T553=1,1,IF(T553=4,3,2)),MATCH(D553,'Residual Config'!$B$27:$D$27,0)))))</f>
        <v>46360</v>
      </c>
      <c r="Z553" s="7" t="str">
        <f aca="false">IF(I553="N/A","N/A",IF(N553="","Not tested",IF(W553="Rejected","Evidence rejected",IF(W553&lt;&gt;"Accepted","Evidence pending",IF(Y553&lt;'Residual Config'!$C$4,"Overdue","Current")))))</f>
        <v>Current</v>
      </c>
      <c r="AA553" s="34" t="n">
        <f aca="false">IF(I553="N/A","",IF(Z553&lt;&gt;"Current",4,IF(MAX(M553,T553)=0,4,MAX(M553,T553))))</f>
        <v>2</v>
      </c>
      <c r="AB553" s="7" t="str">
        <f aca="false">IF(AA553="","N/A",IF(Z553&lt;&gt;"Current","Not tested / overdue",INDEX('Residual Config'!$B$11:$B$14,AA553)))</f>
        <v>Largely effective</v>
      </c>
      <c r="AC553" s="36" t="n">
        <f aca="false">IF(AA553="","",INDEX('Residual Config'!$D$11:$D$14,AA553))</f>
        <v>0.4</v>
      </c>
      <c r="AD553" s="7" t="str">
        <f aca="false">IF(OR(I553="N/A",P553="",Q553=""),"",IF(P553&gt;=Q553,"Yes","No"))</f>
        <v>Yes</v>
      </c>
      <c r="AE553" s="8"/>
    </row>
    <row r="554" customFormat="false" ht="15" hidden="false" customHeight="false" outlineLevel="0" collapsed="false">
      <c r="A554" s="12" t="s">
        <v>2099</v>
      </c>
      <c r="B554" s="26" t="str">
        <f aca="false">Entities!$A$17</f>
        <v>SA</v>
      </c>
      <c r="C554" s="12" t="str">
        <f aca="false">INDEX(Entities!$B$5:$B$34,MATCH(B554,Entities!$A$5:$A$34,0))</f>
        <v>Arab National Bank (affiliate)</v>
      </c>
      <c r="D554" s="7" t="str">
        <f aca="false">INDEX(Entities!$F$5:$F$34,MATCH(B554,Entities!$A$5:$A$34,0))</f>
        <v>Tier 2</v>
      </c>
      <c r="E554" s="26" t="str">
        <f aca="false">'Control Library'!$A$38</f>
        <v>CTL-MR-01</v>
      </c>
      <c r="F554" s="12" t="str">
        <f aca="false">INDEX('Control Library'!$B$5:$B$47,MATCH(E554,'Control Library'!$A$5:$A$47,0))</f>
        <v>Market risk limits and daily VaR monitoring</v>
      </c>
      <c r="G554" s="7" t="str">
        <f aca="false">INDEX('Control Library'!$F$5:$F$47,MATCH(E554,'Control Library'!$A$5:$A$47,0))</f>
        <v>Y</v>
      </c>
      <c r="H554" s="12" t="str">
        <f aca="false">INDEX('Control Library'!$E$5:$E$47,MATCH(E554,'Control Library'!$A$5:$A$47,0))</f>
        <v>Daily</v>
      </c>
      <c r="I554" s="7" t="str">
        <f aca="false">IF(INDEX('Control Library'!$I$5:$I$47,MATCH(E554,'Control Library'!$A$5:$A$47,0))="All","Y",IF(INDEX('Control Library'!$I$5:$I$47,MATCH(E554,'Control Library'!$A$5:$A$47,0))="Banks only",IF(COUNTIF('Residual Config'!$L$28:$L$30,INDEX(Entities!$E$5:$E$34,MATCH(B554,Entities!$A$5:$A$34,0)))&gt;0,"N/A","Y"),IF(INDEX(Entities!$G$5:$G$34,MATCH(B554,Entities!$A$5:$A$34,0))="Y","Y","N/A")))</f>
        <v>Y</v>
      </c>
      <c r="J554" s="8" t="s">
        <v>2097</v>
      </c>
      <c r="K554" s="8" t="s">
        <v>2018</v>
      </c>
      <c r="L554" s="7" t="str">
        <f aca="false">IF(OR(J554="",K554=""),"",IF(J554=K554,"Breach","OK"))</f>
        <v>OK</v>
      </c>
      <c r="M554" s="24" t="n">
        <v>1</v>
      </c>
      <c r="N554" s="50" t="n">
        <v>46218</v>
      </c>
      <c r="O554" s="8" t="s">
        <v>547</v>
      </c>
      <c r="P554" s="24" t="n">
        <v>30</v>
      </c>
      <c r="Q554" s="31" t="n">
        <f aca="false">IF(I554="N/A","",IFERROR(INDEX('Residual Config'!$B$35:$B$42,MATCH(H554,'Residual Config'!$A$35:$A$42,0)),""))</f>
        <v>25</v>
      </c>
      <c r="R554" s="24" t="n">
        <v>1</v>
      </c>
      <c r="S554" s="8" t="s">
        <v>521</v>
      </c>
      <c r="T554" s="31" t="n">
        <f aca="false">IF(S554="","",MATCH(S554,'Residual Config'!$L$9:$L$12,0))</f>
        <v>2</v>
      </c>
      <c r="U554" s="8" t="s">
        <v>2100</v>
      </c>
      <c r="V554" s="24" t="n">
        <v>3</v>
      </c>
      <c r="W554" s="33" t="s">
        <v>533</v>
      </c>
      <c r="X554" s="8" t="s">
        <v>754</v>
      </c>
      <c r="Y554" s="51" t="n">
        <f aca="false">IF(N554="","",EDATE(N554,IF(G554="N",INDEX('Residual Config'!$B$31:$D$31,1,MATCH(D554,'Residual Config'!$B$27:$D$27,0)),INDEX('Residual Config'!$B$28:$D$30,IF(T554=1,1,IF(T554=4,3,2)),MATCH(D554,'Residual Config'!$B$27:$D$27,0)))))</f>
        <v>46402</v>
      </c>
      <c r="Z554" s="7" t="str">
        <f aca="false">IF(I554="N/A","N/A",IF(N554="","Not tested",IF(W554="Rejected","Evidence rejected",IF(W554&lt;&gt;"Accepted","Evidence pending",IF(Y554&lt;'Residual Config'!$C$4,"Overdue","Current")))))</f>
        <v>Current</v>
      </c>
      <c r="AA554" s="34" t="n">
        <f aca="false">IF(I554="N/A","",IF(Z554&lt;&gt;"Current",4,IF(MAX(M554,T554)=0,4,MAX(M554,T554))))</f>
        <v>2</v>
      </c>
      <c r="AB554" s="7" t="str">
        <f aca="false">IF(AA554="","N/A",IF(Z554&lt;&gt;"Current","Not tested / overdue",INDEX('Residual Config'!$B$11:$B$14,AA554)))</f>
        <v>Largely effective</v>
      </c>
      <c r="AC554" s="36" t="n">
        <f aca="false">IF(AA554="","",INDEX('Residual Config'!$D$11:$D$14,AA554))</f>
        <v>0.4</v>
      </c>
      <c r="AD554" s="7" t="str">
        <f aca="false">IF(OR(I554="N/A",P554="",Q554=""),"",IF(P554&gt;=Q554,"Yes","No"))</f>
        <v>Yes</v>
      </c>
      <c r="AE554" s="8"/>
    </row>
    <row r="555" customFormat="false" ht="15" hidden="false" customHeight="false" outlineLevel="0" collapsed="false">
      <c r="A555" s="12" t="s">
        <v>2101</v>
      </c>
      <c r="B555" s="26" t="str">
        <f aca="false">Entities!$A$17</f>
        <v>SA</v>
      </c>
      <c r="C555" s="12" t="str">
        <f aca="false">INDEX(Entities!$B$5:$B$34,MATCH(B555,Entities!$A$5:$A$34,0))</f>
        <v>Arab National Bank (affiliate)</v>
      </c>
      <c r="D555" s="7" t="str">
        <f aca="false">INDEX(Entities!$F$5:$F$34,MATCH(B555,Entities!$A$5:$A$34,0))</f>
        <v>Tier 2</v>
      </c>
      <c r="E555" s="26" t="str">
        <f aca="false">'Control Library'!$A$39</f>
        <v>CTL-LQ-01</v>
      </c>
      <c r="F555" s="12" t="str">
        <f aca="false">INDEX('Control Library'!$B$5:$B$47,MATCH(E555,'Control Library'!$A$5:$A$47,0))</f>
        <v>Liquidity buffers, LCR/NSFR monitoring and contingency funding plan</v>
      </c>
      <c r="G555" s="7" t="str">
        <f aca="false">INDEX('Control Library'!$F$5:$F$47,MATCH(E555,'Control Library'!$A$5:$A$47,0))</f>
        <v>Y</v>
      </c>
      <c r="H555" s="12" t="str">
        <f aca="false">INDEX('Control Library'!$E$5:$E$47,MATCH(E555,'Control Library'!$A$5:$A$47,0))</f>
        <v>Daily</v>
      </c>
      <c r="I555" s="7" t="str">
        <f aca="false">IF(INDEX('Control Library'!$I$5:$I$47,MATCH(E555,'Control Library'!$A$5:$A$47,0))="All","Y",IF(INDEX('Control Library'!$I$5:$I$47,MATCH(E555,'Control Library'!$A$5:$A$47,0))="Banks only",IF(COUNTIF('Residual Config'!$L$28:$L$30,INDEX(Entities!$E$5:$E$34,MATCH(B555,Entities!$A$5:$A$34,0)))&gt;0,"N/A","Y"),IF(INDEX(Entities!$G$5:$G$34,MATCH(B555,Entities!$A$5:$A$34,0))="Y","Y","N/A")))</f>
        <v>Y</v>
      </c>
      <c r="J555" s="8" t="s">
        <v>2102</v>
      </c>
      <c r="K555" s="8" t="s">
        <v>2018</v>
      </c>
      <c r="L555" s="7" t="str">
        <f aca="false">IF(OR(J555="",K555=""),"",IF(J555=K555,"Breach","OK"))</f>
        <v>OK</v>
      </c>
      <c r="M555" s="24" t="n">
        <v>1</v>
      </c>
      <c r="N555" s="50" t="n">
        <v>45966</v>
      </c>
      <c r="O555" s="8" t="s">
        <v>545</v>
      </c>
      <c r="P555" s="24" t="n">
        <v>25</v>
      </c>
      <c r="Q555" s="31" t="n">
        <f aca="false">IF(I555="N/A","",IFERROR(INDEX('Residual Config'!$B$35:$B$42,MATCH(H555,'Residual Config'!$A$35:$A$42,0)),""))</f>
        <v>25</v>
      </c>
      <c r="R555" s="24" t="n">
        <v>0</v>
      </c>
      <c r="S555" s="8" t="s">
        <v>516</v>
      </c>
      <c r="T555" s="31" t="n">
        <f aca="false">IF(S555="","",MATCH(S555,'Residual Config'!$L$9:$L$12,0))</f>
        <v>1</v>
      </c>
      <c r="U555" s="8" t="s">
        <v>2103</v>
      </c>
      <c r="V555" s="24" t="n">
        <v>4</v>
      </c>
      <c r="W555" s="33" t="s">
        <v>533</v>
      </c>
      <c r="X555" s="8" t="s">
        <v>754</v>
      </c>
      <c r="Y555" s="51" t="n">
        <f aca="false">IF(N555="","",EDATE(N555,IF(G555="N",INDEX('Residual Config'!$B$31:$D$31,1,MATCH(D555,'Residual Config'!$B$27:$D$27,0)),INDEX('Residual Config'!$B$28:$D$30,IF(T555=1,1,IF(T555=4,3,2)),MATCH(D555,'Residual Config'!$B$27:$D$27,0)))))</f>
        <v>46331</v>
      </c>
      <c r="Z555" s="7" t="str">
        <f aca="false">IF(I555="N/A","N/A",IF(N555="","Not tested",IF(W555="Rejected","Evidence rejected",IF(W555&lt;&gt;"Accepted","Evidence pending",IF(Y555&lt;'Residual Config'!$C$4,"Overdue","Current")))))</f>
        <v>Current</v>
      </c>
      <c r="AA555" s="34" t="n">
        <f aca="false">IF(I555="N/A","",IF(Z555&lt;&gt;"Current",4,IF(MAX(M555,T555)=0,4,MAX(M555,T555))))</f>
        <v>1</v>
      </c>
      <c r="AB555" s="7" t="str">
        <f aca="false">IF(AA555="","N/A",IF(Z555&lt;&gt;"Current","Not tested / overdue",INDEX('Residual Config'!$B$11:$B$14,AA555)))</f>
        <v>Effective</v>
      </c>
      <c r="AC555" s="36" t="n">
        <f aca="false">IF(AA555="","",INDEX('Residual Config'!$D$11:$D$14,AA555))</f>
        <v>0.6</v>
      </c>
      <c r="AD555" s="7" t="str">
        <f aca="false">IF(OR(I555="N/A",P555="",Q555=""),"",IF(P555&gt;=Q555,"Yes","No"))</f>
        <v>Yes</v>
      </c>
      <c r="AE555" s="8"/>
    </row>
    <row r="556" customFormat="false" ht="15" hidden="false" customHeight="false" outlineLevel="0" collapsed="false">
      <c r="A556" s="12" t="s">
        <v>2104</v>
      </c>
      <c r="B556" s="26" t="str">
        <f aca="false">Entities!$A$17</f>
        <v>SA</v>
      </c>
      <c r="C556" s="12" t="str">
        <f aca="false">INDEX(Entities!$B$5:$B$34,MATCH(B556,Entities!$A$5:$A$34,0))</f>
        <v>Arab National Bank (affiliate)</v>
      </c>
      <c r="D556" s="7" t="str">
        <f aca="false">INDEX(Entities!$F$5:$F$34,MATCH(B556,Entities!$A$5:$A$34,0))</f>
        <v>Tier 2</v>
      </c>
      <c r="E556" s="26" t="str">
        <f aca="false">'Control Library'!$A$40</f>
        <v>CTL-OR-01</v>
      </c>
      <c r="F556" s="12" t="str">
        <f aca="false">INDEX('Control Library'!$B$5:$B$47,MATCH(E556,'Control Library'!$A$5:$A$47,0))</f>
        <v>Business continuity plans and annual testing</v>
      </c>
      <c r="G556" s="7" t="str">
        <f aca="false">INDEX('Control Library'!$F$5:$F$47,MATCH(E556,'Control Library'!$A$5:$A$47,0))</f>
        <v>Y</v>
      </c>
      <c r="H556" s="12" t="str">
        <f aca="false">INDEX('Control Library'!$E$5:$E$47,MATCH(E556,'Control Library'!$A$5:$A$47,0))</f>
        <v>Annual</v>
      </c>
      <c r="I556" s="7" t="str">
        <f aca="false">IF(INDEX('Control Library'!$I$5:$I$47,MATCH(E556,'Control Library'!$A$5:$A$47,0))="All","Y",IF(INDEX('Control Library'!$I$5:$I$47,MATCH(E556,'Control Library'!$A$5:$A$47,0))="Banks only",IF(COUNTIF('Residual Config'!$L$28:$L$30,INDEX(Entities!$E$5:$E$34,MATCH(B556,Entities!$A$5:$A$34,0)))&gt;0,"N/A","Y"),IF(INDEX(Entities!$G$5:$G$34,MATCH(B556,Entities!$A$5:$A$34,0))="Y","Y","N/A")))</f>
        <v>Y</v>
      </c>
      <c r="J556" s="8" t="s">
        <v>2105</v>
      </c>
      <c r="K556" s="8" t="s">
        <v>2018</v>
      </c>
      <c r="L556" s="7" t="str">
        <f aca="false">IF(OR(J556="",K556=""),"",IF(J556=K556,"Breach","OK"))</f>
        <v>OK</v>
      </c>
      <c r="M556" s="24" t="n">
        <v>3</v>
      </c>
      <c r="N556" s="50" t="n">
        <v>46162</v>
      </c>
      <c r="O556" s="8" t="s">
        <v>546</v>
      </c>
      <c r="P556" s="24" t="n">
        <v>1</v>
      </c>
      <c r="Q556" s="31" t="n">
        <f aca="false">IF(I556="N/A","",IFERROR(INDEX('Residual Config'!$B$35:$B$42,MATCH(H556,'Residual Config'!$A$35:$A$42,0)),""))</f>
        <v>1</v>
      </c>
      <c r="R556" s="24" t="n">
        <v>1</v>
      </c>
      <c r="S556" s="8" t="s">
        <v>521</v>
      </c>
      <c r="T556" s="31" t="n">
        <f aca="false">IF(S556="","",MATCH(S556,'Residual Config'!$L$9:$L$12,0))</f>
        <v>2</v>
      </c>
      <c r="U556" s="8" t="s">
        <v>2106</v>
      </c>
      <c r="V556" s="24" t="n">
        <v>4</v>
      </c>
      <c r="W556" s="33" t="s">
        <v>533</v>
      </c>
      <c r="X556" s="8" t="s">
        <v>760</v>
      </c>
      <c r="Y556" s="51" t="n">
        <f aca="false">IF(N556="","",EDATE(N556,IF(G556="N",INDEX('Residual Config'!$B$31:$D$31,1,MATCH(D556,'Residual Config'!$B$27:$D$27,0)),INDEX('Residual Config'!$B$28:$D$30,IF(T556=1,1,IF(T556=4,3,2)),MATCH(D556,'Residual Config'!$B$27:$D$27,0)))))</f>
        <v>46346</v>
      </c>
      <c r="Z556" s="7" t="str">
        <f aca="false">IF(I556="N/A","N/A",IF(N556="","Not tested",IF(W556="Rejected","Evidence rejected",IF(W556&lt;&gt;"Accepted","Evidence pending",IF(Y556&lt;'Residual Config'!$C$4,"Overdue","Current")))))</f>
        <v>Current</v>
      </c>
      <c r="AA556" s="34" t="n">
        <f aca="false">IF(I556="N/A","",IF(Z556&lt;&gt;"Current",4,IF(MAX(M556,T556)=0,4,MAX(M556,T556))))</f>
        <v>3</v>
      </c>
      <c r="AB556" s="7" t="str">
        <f aca="false">IF(AA556="","N/A",IF(Z556&lt;&gt;"Current","Not tested / overdue",INDEX('Residual Config'!$B$11:$B$14,AA556)))</f>
        <v>Partially effective</v>
      </c>
      <c r="AC556" s="36" t="n">
        <f aca="false">IF(AA556="","",INDEX('Residual Config'!$D$11:$D$14,AA556))</f>
        <v>0.2</v>
      </c>
      <c r="AD556" s="7" t="str">
        <f aca="false">IF(OR(I556="N/A",P556="",Q556=""),"",IF(P556&gt;=Q556,"Yes","No"))</f>
        <v>Yes</v>
      </c>
      <c r="AE556" s="8"/>
    </row>
    <row r="557" customFormat="false" ht="15" hidden="false" customHeight="false" outlineLevel="0" collapsed="false">
      <c r="A557" s="12" t="s">
        <v>2107</v>
      </c>
      <c r="B557" s="26" t="str">
        <f aca="false">Entities!$A$17</f>
        <v>SA</v>
      </c>
      <c r="C557" s="12" t="str">
        <f aca="false">INDEX(Entities!$B$5:$B$34,MATCH(B557,Entities!$A$5:$A$34,0))</f>
        <v>Arab National Bank (affiliate)</v>
      </c>
      <c r="D557" s="7" t="str">
        <f aca="false">INDEX(Entities!$F$5:$F$34,MATCH(B557,Entities!$A$5:$A$34,0))</f>
        <v>Tier 2</v>
      </c>
      <c r="E557" s="26" t="str">
        <f aca="false">'Control Library'!$A$41</f>
        <v>CTL-OR-02</v>
      </c>
      <c r="F557" s="12" t="str">
        <f aca="false">INDEX('Control Library'!$B$5:$B$47,MATCH(E557,'Control Library'!$A$5:$A$47,0))</f>
        <v>Operational loss event capture and RCSA</v>
      </c>
      <c r="G557" s="7" t="str">
        <f aca="false">INDEX('Control Library'!$F$5:$F$47,MATCH(E557,'Control Library'!$A$5:$A$47,0))</f>
        <v>N</v>
      </c>
      <c r="H557" s="12" t="str">
        <f aca="false">INDEX('Control Library'!$E$5:$E$47,MATCH(E557,'Control Library'!$A$5:$A$47,0))</f>
        <v>Quarterly</v>
      </c>
      <c r="I557" s="7" t="str">
        <f aca="false">IF(INDEX('Control Library'!$I$5:$I$47,MATCH(E557,'Control Library'!$A$5:$A$47,0))="All","Y",IF(INDEX('Control Library'!$I$5:$I$47,MATCH(E557,'Control Library'!$A$5:$A$47,0))="Banks only",IF(COUNTIF('Residual Config'!$L$28:$L$30,INDEX(Entities!$E$5:$E$34,MATCH(B557,Entities!$A$5:$A$34,0)))&gt;0,"N/A","Y"),IF(INDEX(Entities!$G$5:$G$34,MATCH(B557,Entities!$A$5:$A$34,0))="Y","Y","N/A")))</f>
        <v>Y</v>
      </c>
      <c r="J557" s="8" t="s">
        <v>2097</v>
      </c>
      <c r="K557" s="8" t="s">
        <v>2018</v>
      </c>
      <c r="L557" s="7" t="str">
        <f aca="false">IF(OR(J557="",K557=""),"",IF(J557=K557,"Breach","OK"))</f>
        <v>OK</v>
      </c>
      <c r="M557" s="24" t="n">
        <v>2</v>
      </c>
      <c r="N557" s="50" t="n">
        <v>46262</v>
      </c>
      <c r="O557" s="8" t="s">
        <v>545</v>
      </c>
      <c r="P557" s="24" t="n">
        <v>2</v>
      </c>
      <c r="Q557" s="31" t="n">
        <f aca="false">IF(I557="N/A","",IFERROR(INDEX('Residual Config'!$B$35:$B$42,MATCH(H557,'Residual Config'!$A$35:$A$42,0)),""))</f>
        <v>2</v>
      </c>
      <c r="R557" s="24" t="n">
        <v>1</v>
      </c>
      <c r="S557" s="8" t="s">
        <v>521</v>
      </c>
      <c r="T557" s="31" t="n">
        <f aca="false">IF(S557="","",MATCH(S557,'Residual Config'!$L$9:$L$12,0))</f>
        <v>2</v>
      </c>
      <c r="U557" s="8" t="s">
        <v>2108</v>
      </c>
      <c r="V557" s="24" t="n">
        <v>2</v>
      </c>
      <c r="W557" s="33" t="s">
        <v>533</v>
      </c>
      <c r="X557" s="8" t="s">
        <v>754</v>
      </c>
      <c r="Y557" s="51" t="n">
        <f aca="false">IF(N557="","",EDATE(N557,IF(G557="N",INDEX('Residual Config'!$B$31:$D$31,1,MATCH(D557,'Residual Config'!$B$27:$D$27,0)),INDEX('Residual Config'!$B$28:$D$30,IF(T557=1,1,IF(T557=4,3,2)),MATCH(D557,'Residual Config'!$B$27:$D$27,0)))))</f>
        <v>46627</v>
      </c>
      <c r="Z557" s="7" t="str">
        <f aca="false">IF(I557="N/A","N/A",IF(N557="","Not tested",IF(W557="Rejected","Evidence rejected",IF(W557&lt;&gt;"Accepted","Evidence pending",IF(Y557&lt;'Residual Config'!$C$4,"Overdue","Current")))))</f>
        <v>Current</v>
      </c>
      <c r="AA557" s="34" t="n">
        <f aca="false">IF(I557="N/A","",IF(Z557&lt;&gt;"Current",4,IF(MAX(M557,T557)=0,4,MAX(M557,T557))))</f>
        <v>2</v>
      </c>
      <c r="AB557" s="7" t="str">
        <f aca="false">IF(AA557="","N/A",IF(Z557&lt;&gt;"Current","Not tested / overdue",INDEX('Residual Config'!$B$11:$B$14,AA557)))</f>
        <v>Largely effective</v>
      </c>
      <c r="AC557" s="36" t="n">
        <f aca="false">IF(AA557="","",INDEX('Residual Config'!$D$11:$D$14,AA557))</f>
        <v>0.4</v>
      </c>
      <c r="AD557" s="7" t="str">
        <f aca="false">IF(OR(I557="N/A",P557="",Q557=""),"",IF(P557&gt;=Q557,"Yes","No"))</f>
        <v>Yes</v>
      </c>
      <c r="AE557" s="8"/>
    </row>
    <row r="558" customFormat="false" ht="15" hidden="false" customHeight="false" outlineLevel="0" collapsed="false">
      <c r="A558" s="12" t="s">
        <v>2109</v>
      </c>
      <c r="B558" s="26" t="str">
        <f aca="false">Entities!$A$17</f>
        <v>SA</v>
      </c>
      <c r="C558" s="12" t="str">
        <f aca="false">INDEX(Entities!$B$5:$B$34,MATCH(B558,Entities!$A$5:$A$34,0))</f>
        <v>Arab National Bank (affiliate)</v>
      </c>
      <c r="D558" s="7" t="str">
        <f aca="false">INDEX(Entities!$F$5:$F$34,MATCH(B558,Entities!$A$5:$A$34,0))</f>
        <v>Tier 2</v>
      </c>
      <c r="E558" s="26" t="str">
        <f aca="false">'Control Library'!$A$42</f>
        <v>CTL-CY-01</v>
      </c>
      <c r="F558" s="12" t="str">
        <f aca="false">INDEX('Control Library'!$B$5:$B$47,MATCH(E558,'Control Library'!$A$5:$A$47,0))</f>
        <v>Vulnerability and patch management</v>
      </c>
      <c r="G558" s="7" t="str">
        <f aca="false">INDEX('Control Library'!$F$5:$F$47,MATCH(E558,'Control Library'!$A$5:$A$47,0))</f>
        <v>Y</v>
      </c>
      <c r="H558" s="12" t="str">
        <f aca="false">INDEX('Control Library'!$E$5:$E$47,MATCH(E558,'Control Library'!$A$5:$A$47,0))</f>
        <v>Monthly</v>
      </c>
      <c r="I558" s="7" t="str">
        <f aca="false">IF(INDEX('Control Library'!$I$5:$I$47,MATCH(E558,'Control Library'!$A$5:$A$47,0))="All","Y",IF(INDEX('Control Library'!$I$5:$I$47,MATCH(E558,'Control Library'!$A$5:$A$47,0))="Banks only",IF(COUNTIF('Residual Config'!$L$28:$L$30,INDEX(Entities!$E$5:$E$34,MATCH(B558,Entities!$A$5:$A$34,0)))&gt;0,"N/A","Y"),IF(INDEX(Entities!$G$5:$G$34,MATCH(B558,Entities!$A$5:$A$34,0))="Y","Y","N/A")))</f>
        <v>Y</v>
      </c>
      <c r="J558" s="8" t="s">
        <v>2041</v>
      </c>
      <c r="K558" s="8" t="s">
        <v>2018</v>
      </c>
      <c r="L558" s="7" t="str">
        <f aca="false">IF(OR(J558="",K558=""),"",IF(J558=K558,"Breach","OK"))</f>
        <v>OK</v>
      </c>
      <c r="M558" s="24" t="n">
        <v>1</v>
      </c>
      <c r="N558" s="50" t="n">
        <v>46197</v>
      </c>
      <c r="O558" s="8" t="s">
        <v>546</v>
      </c>
      <c r="P558" s="24" t="n">
        <v>3</v>
      </c>
      <c r="Q558" s="31" t="n">
        <f aca="false">IF(I558="N/A","",IFERROR(INDEX('Residual Config'!$B$35:$B$42,MATCH(H558,'Residual Config'!$A$35:$A$42,0)),""))</f>
        <v>3</v>
      </c>
      <c r="R558" s="24" t="n">
        <v>0</v>
      </c>
      <c r="S558" s="8" t="s">
        <v>516</v>
      </c>
      <c r="T558" s="31" t="n">
        <f aca="false">IF(S558="","",MATCH(S558,'Residual Config'!$L$9:$L$12,0))</f>
        <v>1</v>
      </c>
      <c r="U558" s="8" t="s">
        <v>2110</v>
      </c>
      <c r="V558" s="24" t="n">
        <v>1</v>
      </c>
      <c r="W558" s="33" t="s">
        <v>533</v>
      </c>
      <c r="X558" s="8" t="s">
        <v>754</v>
      </c>
      <c r="Y558" s="51" t="n">
        <f aca="false">IF(N558="","",EDATE(N558,IF(G558="N",INDEX('Residual Config'!$B$31:$D$31,1,MATCH(D558,'Residual Config'!$B$27:$D$27,0)),INDEX('Residual Config'!$B$28:$D$30,IF(T558=1,1,IF(T558=4,3,2)),MATCH(D558,'Residual Config'!$B$27:$D$27,0)))))</f>
        <v>46562</v>
      </c>
      <c r="Z558" s="7" t="str">
        <f aca="false">IF(I558="N/A","N/A",IF(N558="","Not tested",IF(W558="Rejected","Evidence rejected",IF(W558&lt;&gt;"Accepted","Evidence pending",IF(Y558&lt;'Residual Config'!$C$4,"Overdue","Current")))))</f>
        <v>Current</v>
      </c>
      <c r="AA558" s="34" t="n">
        <f aca="false">IF(I558="N/A","",IF(Z558&lt;&gt;"Current",4,IF(MAX(M558,T558)=0,4,MAX(M558,T558))))</f>
        <v>1</v>
      </c>
      <c r="AB558" s="7" t="str">
        <f aca="false">IF(AA558="","N/A",IF(Z558&lt;&gt;"Current","Not tested / overdue",INDEX('Residual Config'!$B$11:$B$14,AA558)))</f>
        <v>Effective</v>
      </c>
      <c r="AC558" s="36" t="n">
        <f aca="false">IF(AA558="","",INDEX('Residual Config'!$D$11:$D$14,AA558))</f>
        <v>0.6</v>
      </c>
      <c r="AD558" s="7" t="str">
        <f aca="false">IF(OR(I558="N/A",P558="",Q558=""),"",IF(P558&gt;=Q558,"Yes","No"))</f>
        <v>Yes</v>
      </c>
      <c r="AE558" s="8"/>
    </row>
    <row r="559" customFormat="false" ht="15" hidden="false" customHeight="false" outlineLevel="0" collapsed="false">
      <c r="A559" s="12" t="s">
        <v>2111</v>
      </c>
      <c r="B559" s="26" t="str">
        <f aca="false">Entities!$A$17</f>
        <v>SA</v>
      </c>
      <c r="C559" s="12" t="str">
        <f aca="false">INDEX(Entities!$B$5:$B$34,MATCH(B559,Entities!$A$5:$A$34,0))</f>
        <v>Arab National Bank (affiliate)</v>
      </c>
      <c r="D559" s="7" t="str">
        <f aca="false">INDEX(Entities!$F$5:$F$34,MATCH(B559,Entities!$A$5:$A$34,0))</f>
        <v>Tier 2</v>
      </c>
      <c r="E559" s="26" t="str">
        <f aca="false">'Control Library'!$A$43</f>
        <v>CTL-CY-02</v>
      </c>
      <c r="F559" s="12" t="str">
        <f aca="false">INDEX('Control Library'!$B$5:$B$47,MATCH(E559,'Control Library'!$A$5:$A$47,0))</f>
        <v>Privileged access management and SOC monitoring</v>
      </c>
      <c r="G559" s="7" t="str">
        <f aca="false">INDEX('Control Library'!$F$5:$F$47,MATCH(E559,'Control Library'!$A$5:$A$47,0))</f>
        <v>Y</v>
      </c>
      <c r="H559" s="12" t="str">
        <f aca="false">INDEX('Control Library'!$E$5:$E$47,MATCH(E559,'Control Library'!$A$5:$A$47,0))</f>
        <v>Continuous</v>
      </c>
      <c r="I559" s="7" t="str">
        <f aca="false">IF(INDEX('Control Library'!$I$5:$I$47,MATCH(E559,'Control Library'!$A$5:$A$47,0))="All","Y",IF(INDEX('Control Library'!$I$5:$I$47,MATCH(E559,'Control Library'!$A$5:$A$47,0))="Banks only",IF(COUNTIF('Residual Config'!$L$28:$L$30,INDEX(Entities!$E$5:$E$34,MATCH(B559,Entities!$A$5:$A$34,0)))&gt;0,"N/A","Y"),IF(INDEX(Entities!$G$5:$G$34,MATCH(B559,Entities!$A$5:$A$34,0))="Y","Y","N/A")))</f>
        <v>Y</v>
      </c>
      <c r="J559" s="8" t="s">
        <v>2090</v>
      </c>
      <c r="K559" s="8" t="s">
        <v>2018</v>
      </c>
      <c r="L559" s="7" t="str">
        <f aca="false">IF(OR(J559="",K559=""),"",IF(J559=K559,"Breach","OK"))</f>
        <v>OK</v>
      </c>
      <c r="M559" s="24" t="n">
        <v>1</v>
      </c>
      <c r="N559" s="50" t="n">
        <v>46268</v>
      </c>
      <c r="O559" s="8" t="s">
        <v>547</v>
      </c>
      <c r="P559" s="24" t="n">
        <v>1</v>
      </c>
      <c r="Q559" s="31" t="n">
        <f aca="false">IF(I559="N/A","",IFERROR(INDEX('Residual Config'!$B$35:$B$42,MATCH(H559,'Residual Config'!$A$35:$A$42,0)),""))</f>
        <v>1</v>
      </c>
      <c r="R559" s="24" t="n">
        <v>1</v>
      </c>
      <c r="S559" s="8" t="s">
        <v>521</v>
      </c>
      <c r="T559" s="31" t="n">
        <f aca="false">IF(S559="","",MATCH(S559,'Residual Config'!$L$9:$L$12,0))</f>
        <v>2</v>
      </c>
      <c r="U559" s="8" t="s">
        <v>2112</v>
      </c>
      <c r="V559" s="24" t="n">
        <v>3</v>
      </c>
      <c r="W559" s="33" t="s">
        <v>533</v>
      </c>
      <c r="X559" s="8" t="s">
        <v>760</v>
      </c>
      <c r="Y559" s="51" t="n">
        <f aca="false">IF(N559="","",EDATE(N559,IF(G559="N",INDEX('Residual Config'!$B$31:$D$31,1,MATCH(D559,'Residual Config'!$B$27:$D$27,0)),INDEX('Residual Config'!$B$28:$D$30,IF(T559=1,1,IF(T559=4,3,2)),MATCH(D559,'Residual Config'!$B$27:$D$27,0)))))</f>
        <v>46449</v>
      </c>
      <c r="Z559" s="7" t="str">
        <f aca="false">IF(I559="N/A","N/A",IF(N559="","Not tested",IF(W559="Rejected","Evidence rejected",IF(W559&lt;&gt;"Accepted","Evidence pending",IF(Y559&lt;'Residual Config'!$C$4,"Overdue","Current")))))</f>
        <v>Current</v>
      </c>
      <c r="AA559" s="34" t="n">
        <f aca="false">IF(I559="N/A","",IF(Z559&lt;&gt;"Current",4,IF(MAX(M559,T559)=0,4,MAX(M559,T559))))</f>
        <v>2</v>
      </c>
      <c r="AB559" s="7" t="str">
        <f aca="false">IF(AA559="","N/A",IF(Z559&lt;&gt;"Current","Not tested / overdue",INDEX('Residual Config'!$B$11:$B$14,AA559)))</f>
        <v>Largely effective</v>
      </c>
      <c r="AC559" s="36" t="n">
        <f aca="false">IF(AA559="","",INDEX('Residual Config'!$D$11:$D$14,AA559))</f>
        <v>0.4</v>
      </c>
      <c r="AD559" s="7" t="str">
        <f aca="false">IF(OR(I559="N/A",P559="",Q559=""),"",IF(P559&gt;=Q559,"Yes","No"))</f>
        <v>Yes</v>
      </c>
      <c r="AE559" s="8"/>
    </row>
    <row r="560" customFormat="false" ht="15" hidden="false" customHeight="false" outlineLevel="0" collapsed="false">
      <c r="A560" s="12" t="s">
        <v>2113</v>
      </c>
      <c r="B560" s="26" t="str">
        <f aca="false">Entities!$A$17</f>
        <v>SA</v>
      </c>
      <c r="C560" s="12" t="str">
        <f aca="false">INDEX(Entities!$B$5:$B$34,MATCH(B560,Entities!$A$5:$A$34,0))</f>
        <v>Arab National Bank (affiliate)</v>
      </c>
      <c r="D560" s="7" t="str">
        <f aca="false">INDEX(Entities!$F$5:$F$34,MATCH(B560,Entities!$A$5:$A$34,0))</f>
        <v>Tier 2</v>
      </c>
      <c r="E560" s="26" t="str">
        <f aca="false">'Control Library'!$A$44</f>
        <v>CTL-TP-01</v>
      </c>
      <c r="F560" s="12" t="str">
        <f aca="false">INDEX('Control Library'!$B$5:$B$47,MATCH(E560,'Control Library'!$A$5:$A$47,0))</f>
        <v>Critical vendor due diligence and tested exit plans</v>
      </c>
      <c r="G560" s="7" t="str">
        <f aca="false">INDEX('Control Library'!$F$5:$F$47,MATCH(E560,'Control Library'!$A$5:$A$47,0))</f>
        <v>Y</v>
      </c>
      <c r="H560" s="12" t="str">
        <f aca="false">INDEX('Control Library'!$E$5:$E$47,MATCH(E560,'Control Library'!$A$5:$A$47,0))</f>
        <v>Annual</v>
      </c>
      <c r="I560" s="7" t="str">
        <f aca="false">IF(INDEX('Control Library'!$I$5:$I$47,MATCH(E560,'Control Library'!$A$5:$A$47,0))="All","Y",IF(INDEX('Control Library'!$I$5:$I$47,MATCH(E560,'Control Library'!$A$5:$A$47,0))="Banks only",IF(COUNTIF('Residual Config'!$L$28:$L$30,INDEX(Entities!$E$5:$E$34,MATCH(B560,Entities!$A$5:$A$34,0)))&gt;0,"N/A","Y"),IF(INDEX(Entities!$G$5:$G$34,MATCH(B560,Entities!$A$5:$A$34,0))="Y","Y","N/A")))</f>
        <v>Y</v>
      </c>
      <c r="J560" s="8" t="s">
        <v>2058</v>
      </c>
      <c r="K560" s="8" t="s">
        <v>2018</v>
      </c>
      <c r="L560" s="7" t="str">
        <f aca="false">IF(OR(J560="",K560=""),"",IF(J560=K560,"Breach","OK"))</f>
        <v>OK</v>
      </c>
      <c r="M560" s="24" t="n">
        <v>2</v>
      </c>
      <c r="N560" s="50" t="n">
        <v>46162</v>
      </c>
      <c r="O560" s="8" t="s">
        <v>545</v>
      </c>
      <c r="P560" s="24" t="n">
        <v>1</v>
      </c>
      <c r="Q560" s="31" t="n">
        <f aca="false">IF(I560="N/A","",IFERROR(INDEX('Residual Config'!$B$35:$B$42,MATCH(H560,'Residual Config'!$A$35:$A$42,0)),""))</f>
        <v>1</v>
      </c>
      <c r="R560" s="24" t="n">
        <v>1</v>
      </c>
      <c r="S560" s="8" t="s">
        <v>521</v>
      </c>
      <c r="T560" s="31" t="n">
        <f aca="false">IF(S560="","",MATCH(S560,'Residual Config'!$L$9:$L$12,0))</f>
        <v>2</v>
      </c>
      <c r="U560" s="8" t="s">
        <v>2114</v>
      </c>
      <c r="V560" s="24" t="n">
        <v>6</v>
      </c>
      <c r="W560" s="33" t="s">
        <v>533</v>
      </c>
      <c r="X560" s="8" t="s">
        <v>754</v>
      </c>
      <c r="Y560" s="51" t="n">
        <f aca="false">IF(N560="","",EDATE(N560,IF(G560="N",INDEX('Residual Config'!$B$31:$D$31,1,MATCH(D560,'Residual Config'!$B$27:$D$27,0)),INDEX('Residual Config'!$B$28:$D$30,IF(T560=1,1,IF(T560=4,3,2)),MATCH(D560,'Residual Config'!$B$27:$D$27,0)))))</f>
        <v>46346</v>
      </c>
      <c r="Z560" s="7" t="str">
        <f aca="false">IF(I560="N/A","N/A",IF(N560="","Not tested",IF(W560="Rejected","Evidence rejected",IF(W560&lt;&gt;"Accepted","Evidence pending",IF(Y560&lt;'Residual Config'!$C$4,"Overdue","Current")))))</f>
        <v>Current</v>
      </c>
      <c r="AA560" s="34" t="n">
        <f aca="false">IF(I560="N/A","",IF(Z560&lt;&gt;"Current",4,IF(MAX(M560,T560)=0,4,MAX(M560,T560))))</f>
        <v>2</v>
      </c>
      <c r="AB560" s="7" t="str">
        <f aca="false">IF(AA560="","N/A",IF(Z560&lt;&gt;"Current","Not tested / overdue",INDEX('Residual Config'!$B$11:$B$14,AA560)))</f>
        <v>Largely effective</v>
      </c>
      <c r="AC560" s="36" t="n">
        <f aca="false">IF(AA560="","",INDEX('Residual Config'!$D$11:$D$14,AA560))</f>
        <v>0.4</v>
      </c>
      <c r="AD560" s="7" t="str">
        <f aca="false">IF(OR(I560="N/A",P560="",Q560=""),"",IF(P560&gt;=Q560,"Yes","No"))</f>
        <v>Yes</v>
      </c>
      <c r="AE560" s="8"/>
    </row>
    <row r="561" customFormat="false" ht="15" hidden="false" customHeight="false" outlineLevel="0" collapsed="false">
      <c r="A561" s="12" t="s">
        <v>2115</v>
      </c>
      <c r="B561" s="26" t="str">
        <f aca="false">Entities!$A$17</f>
        <v>SA</v>
      </c>
      <c r="C561" s="12" t="str">
        <f aca="false">INDEX(Entities!$B$5:$B$34,MATCH(B561,Entities!$A$5:$A$34,0))</f>
        <v>Arab National Bank (affiliate)</v>
      </c>
      <c r="D561" s="7" t="str">
        <f aca="false">INDEX(Entities!$F$5:$F$34,MATCH(B561,Entities!$A$5:$A$34,0))</f>
        <v>Tier 2</v>
      </c>
      <c r="E561" s="26" t="str">
        <f aca="false">'Control Library'!$A$45</f>
        <v>CTL-LG-01</v>
      </c>
      <c r="F561" s="12" t="str">
        <f aca="false">INDEX('Control Library'!$B$5:$B$47,MATCH(E561,'Control Library'!$A$5:$A$47,0))</f>
        <v>Legal review of contracts and litigation register</v>
      </c>
      <c r="G561" s="7" t="str">
        <f aca="false">INDEX('Control Library'!$F$5:$F$47,MATCH(E561,'Control Library'!$A$5:$A$47,0))</f>
        <v>Y</v>
      </c>
      <c r="H561" s="12" t="str">
        <f aca="false">INDEX('Control Library'!$E$5:$E$47,MATCH(E561,'Control Library'!$A$5:$A$47,0))</f>
        <v>Event-driven</v>
      </c>
      <c r="I561" s="7" t="str">
        <f aca="false">IF(INDEX('Control Library'!$I$5:$I$47,MATCH(E561,'Control Library'!$A$5:$A$47,0))="All","Y",IF(INDEX('Control Library'!$I$5:$I$47,MATCH(E561,'Control Library'!$A$5:$A$47,0))="Banks only",IF(COUNTIF('Residual Config'!$L$28:$L$30,INDEX(Entities!$E$5:$E$34,MATCH(B561,Entities!$A$5:$A$34,0)))&gt;0,"N/A","Y"),IF(INDEX(Entities!$G$5:$G$34,MATCH(B561,Entities!$A$5:$A$34,0))="Y","Y","N/A")))</f>
        <v>Y</v>
      </c>
      <c r="J561" s="8" t="s">
        <v>2116</v>
      </c>
      <c r="K561" s="8" t="s">
        <v>2018</v>
      </c>
      <c r="L561" s="7" t="str">
        <f aca="false">IF(OR(J561="",K561=""),"",IF(J561=K561,"Breach","OK"))</f>
        <v>OK</v>
      </c>
      <c r="M561" s="24" t="n">
        <v>2</v>
      </c>
      <c r="N561" s="50" t="n">
        <v>45985</v>
      </c>
      <c r="O561" s="8" t="s">
        <v>545</v>
      </c>
      <c r="P561" s="24" t="n">
        <v>35</v>
      </c>
      <c r="Q561" s="31" t="n">
        <f aca="false">IF(I561="N/A","",IFERROR(INDEX('Residual Config'!$B$35:$B$42,MATCH(H561,'Residual Config'!$A$35:$A$42,0)),""))</f>
        <v>25</v>
      </c>
      <c r="R561" s="24" t="n">
        <v>0</v>
      </c>
      <c r="S561" s="8" t="s">
        <v>516</v>
      </c>
      <c r="T561" s="31" t="n">
        <f aca="false">IF(S561="","",MATCH(S561,'Residual Config'!$L$9:$L$12,0))</f>
        <v>1</v>
      </c>
      <c r="U561" s="8" t="s">
        <v>2117</v>
      </c>
      <c r="V561" s="24" t="n">
        <v>1</v>
      </c>
      <c r="W561" s="33" t="s">
        <v>533</v>
      </c>
      <c r="X561" s="8" t="s">
        <v>760</v>
      </c>
      <c r="Y561" s="51" t="n">
        <f aca="false">IF(N561="","",EDATE(N561,IF(G561="N",INDEX('Residual Config'!$B$31:$D$31,1,MATCH(D561,'Residual Config'!$B$27:$D$27,0)),INDEX('Residual Config'!$B$28:$D$30,IF(T561=1,1,IF(T561=4,3,2)),MATCH(D561,'Residual Config'!$B$27:$D$27,0)))))</f>
        <v>46350</v>
      </c>
      <c r="Z561" s="7" t="str">
        <f aca="false">IF(I561="N/A","N/A",IF(N561="","Not tested",IF(W561="Rejected","Evidence rejected",IF(W561&lt;&gt;"Accepted","Evidence pending",IF(Y561&lt;'Residual Config'!$C$4,"Overdue","Current")))))</f>
        <v>Current</v>
      </c>
      <c r="AA561" s="34" t="n">
        <f aca="false">IF(I561="N/A","",IF(Z561&lt;&gt;"Current",4,IF(MAX(M561,T561)=0,4,MAX(M561,T561))))</f>
        <v>2</v>
      </c>
      <c r="AB561" s="7" t="str">
        <f aca="false">IF(AA561="","N/A",IF(Z561&lt;&gt;"Current","Not tested / overdue",INDEX('Residual Config'!$B$11:$B$14,AA561)))</f>
        <v>Largely effective</v>
      </c>
      <c r="AC561" s="36" t="n">
        <f aca="false">IF(AA561="","",INDEX('Residual Config'!$D$11:$D$14,AA561))</f>
        <v>0.4</v>
      </c>
      <c r="AD561" s="7" t="str">
        <f aca="false">IF(OR(I561="N/A",P561="",Q561=""),"",IF(P561&gt;=Q561,"Yes","No"))</f>
        <v>Yes</v>
      </c>
      <c r="AE561" s="8"/>
    </row>
    <row r="562" customFormat="false" ht="15" hidden="false" customHeight="false" outlineLevel="0" collapsed="false">
      <c r="A562" s="12" t="s">
        <v>2118</v>
      </c>
      <c r="B562" s="26" t="str">
        <f aca="false">Entities!$A$17</f>
        <v>SA</v>
      </c>
      <c r="C562" s="12" t="str">
        <f aca="false">INDEX(Entities!$B$5:$B$34,MATCH(B562,Entities!$A$5:$A$34,0))</f>
        <v>Arab National Bank (affiliate)</v>
      </c>
      <c r="D562" s="7" t="str">
        <f aca="false">INDEX(Entities!$F$5:$F$34,MATCH(B562,Entities!$A$5:$A$34,0))</f>
        <v>Tier 2</v>
      </c>
      <c r="E562" s="26" t="str">
        <f aca="false">'Control Library'!$A$46</f>
        <v>CTL-RP-01</v>
      </c>
      <c r="F562" s="12" t="str">
        <f aca="false">INDEX('Control Library'!$B$5:$B$47,MATCH(E562,'Control Library'!$A$5:$A$47,0))</f>
        <v>Media monitoring and reputational-risk escalation</v>
      </c>
      <c r="G562" s="7" t="str">
        <f aca="false">INDEX('Control Library'!$F$5:$F$47,MATCH(E562,'Control Library'!$A$5:$A$47,0))</f>
        <v>Y</v>
      </c>
      <c r="H562" s="12" t="str">
        <f aca="false">INDEX('Control Library'!$E$5:$E$47,MATCH(E562,'Control Library'!$A$5:$A$47,0))</f>
        <v>Daily</v>
      </c>
      <c r="I562" s="7" t="str">
        <f aca="false">IF(INDEX('Control Library'!$I$5:$I$47,MATCH(E562,'Control Library'!$A$5:$A$47,0))="All","Y",IF(INDEX('Control Library'!$I$5:$I$47,MATCH(E562,'Control Library'!$A$5:$A$47,0))="Banks only",IF(COUNTIF('Residual Config'!$L$28:$L$30,INDEX(Entities!$E$5:$E$34,MATCH(B562,Entities!$A$5:$A$34,0)))&gt;0,"N/A","Y"),IF(INDEX(Entities!$G$5:$G$34,MATCH(B562,Entities!$A$5:$A$34,0))="Y","Y","N/A")))</f>
        <v>Y</v>
      </c>
      <c r="J562" s="8" t="s">
        <v>2119</v>
      </c>
      <c r="K562" s="8" t="s">
        <v>2018</v>
      </c>
      <c r="L562" s="7" t="str">
        <f aca="false">IF(OR(J562="",K562=""),"",IF(J562=K562,"Breach","OK"))</f>
        <v>OK</v>
      </c>
      <c r="M562" s="24" t="n">
        <v>1</v>
      </c>
      <c r="N562" s="50" t="n">
        <v>46183</v>
      </c>
      <c r="O562" s="8" t="s">
        <v>545</v>
      </c>
      <c r="P562" s="24" t="n">
        <v>35</v>
      </c>
      <c r="Q562" s="31" t="n">
        <f aca="false">IF(I562="N/A","",IFERROR(INDEX('Residual Config'!$B$35:$B$42,MATCH(H562,'Residual Config'!$A$35:$A$42,0)),""))</f>
        <v>25</v>
      </c>
      <c r="R562" s="24" t="n">
        <v>0</v>
      </c>
      <c r="S562" s="8" t="s">
        <v>516</v>
      </c>
      <c r="T562" s="31" t="n">
        <f aca="false">IF(S562="","",MATCH(S562,'Residual Config'!$L$9:$L$12,0))</f>
        <v>1</v>
      </c>
      <c r="U562" s="8" t="s">
        <v>2120</v>
      </c>
      <c r="V562" s="24" t="n">
        <v>6</v>
      </c>
      <c r="W562" s="33" t="s">
        <v>533</v>
      </c>
      <c r="X562" s="8" t="s">
        <v>760</v>
      </c>
      <c r="Y562" s="51" t="n">
        <f aca="false">IF(N562="","",EDATE(N562,IF(G562="N",INDEX('Residual Config'!$B$31:$D$31,1,MATCH(D562,'Residual Config'!$B$27:$D$27,0)),INDEX('Residual Config'!$B$28:$D$30,IF(T562=1,1,IF(T562=4,3,2)),MATCH(D562,'Residual Config'!$B$27:$D$27,0)))))</f>
        <v>46548</v>
      </c>
      <c r="Z562" s="7" t="str">
        <f aca="false">IF(I562="N/A","N/A",IF(N562="","Not tested",IF(W562="Rejected","Evidence rejected",IF(W562&lt;&gt;"Accepted","Evidence pending",IF(Y562&lt;'Residual Config'!$C$4,"Overdue","Current")))))</f>
        <v>Current</v>
      </c>
      <c r="AA562" s="34" t="n">
        <f aca="false">IF(I562="N/A","",IF(Z562&lt;&gt;"Current",4,IF(MAX(M562,T562)=0,4,MAX(M562,T562))))</f>
        <v>1</v>
      </c>
      <c r="AB562" s="7" t="str">
        <f aca="false">IF(AA562="","N/A",IF(Z562&lt;&gt;"Current","Not tested / overdue",INDEX('Residual Config'!$B$11:$B$14,AA562)))</f>
        <v>Effective</v>
      </c>
      <c r="AC562" s="36" t="n">
        <f aca="false">IF(AA562="","",INDEX('Residual Config'!$D$11:$D$14,AA562))</f>
        <v>0.6</v>
      </c>
      <c r="AD562" s="7" t="str">
        <f aca="false">IF(OR(I562="N/A",P562="",Q562=""),"",IF(P562&gt;=Q562,"Yes","No"))</f>
        <v>Yes</v>
      </c>
      <c r="AE562" s="8"/>
    </row>
    <row r="563" customFormat="false" ht="15" hidden="false" customHeight="false" outlineLevel="0" collapsed="false">
      <c r="A563" s="12" t="s">
        <v>2121</v>
      </c>
      <c r="B563" s="26" t="str">
        <f aca="false">Entities!$A$17</f>
        <v>SA</v>
      </c>
      <c r="C563" s="12" t="str">
        <f aca="false">INDEX(Entities!$B$5:$B$34,MATCH(B563,Entities!$A$5:$A$34,0))</f>
        <v>Arab National Bank (affiliate)</v>
      </c>
      <c r="D563" s="7" t="str">
        <f aca="false">INDEX(Entities!$F$5:$F$34,MATCH(B563,Entities!$A$5:$A$34,0))</f>
        <v>Tier 2</v>
      </c>
      <c r="E563" s="26" t="str">
        <f aca="false">'Control Library'!$A$47</f>
        <v>CTL-ST-01</v>
      </c>
      <c r="F563" s="12" t="str">
        <f aca="false">INDEX('Control Library'!$B$5:$B$47,MATCH(E563,'Control Library'!$A$5:$A$47,0))</f>
        <v>Strategy execution monitoring and E&amp;S screening of lending</v>
      </c>
      <c r="G563" s="7" t="str">
        <f aca="false">INDEX('Control Library'!$F$5:$F$47,MATCH(E563,'Control Library'!$A$5:$A$47,0))</f>
        <v>Y</v>
      </c>
      <c r="H563" s="12" t="str">
        <f aca="false">INDEX('Control Library'!$E$5:$E$47,MATCH(E563,'Control Library'!$A$5:$A$47,0))</f>
        <v>Quarterly</v>
      </c>
      <c r="I563" s="7" t="str">
        <f aca="false">IF(INDEX('Control Library'!$I$5:$I$47,MATCH(E563,'Control Library'!$A$5:$A$47,0))="All","Y",IF(INDEX('Control Library'!$I$5:$I$47,MATCH(E563,'Control Library'!$A$5:$A$47,0))="Banks only",IF(COUNTIF('Residual Config'!$L$28:$L$30,INDEX(Entities!$E$5:$E$34,MATCH(B563,Entities!$A$5:$A$34,0)))&gt;0,"N/A","Y"),IF(INDEX(Entities!$G$5:$G$34,MATCH(B563,Entities!$A$5:$A$34,0))="Y","Y","N/A")))</f>
        <v>Y</v>
      </c>
      <c r="J563" s="8" t="s">
        <v>2122</v>
      </c>
      <c r="K563" s="8" t="s">
        <v>2018</v>
      </c>
      <c r="L563" s="7" t="str">
        <f aca="false">IF(OR(J563="",K563=""),"",IF(J563=K563,"Breach","OK"))</f>
        <v>OK</v>
      </c>
      <c r="M563" s="24" t="n">
        <v>2</v>
      </c>
      <c r="N563" s="50" t="n">
        <v>46287</v>
      </c>
      <c r="O563" s="8" t="s">
        <v>545</v>
      </c>
      <c r="P563" s="24" t="n">
        <v>2</v>
      </c>
      <c r="Q563" s="31" t="n">
        <f aca="false">IF(I563="N/A","",IFERROR(INDEX('Residual Config'!$B$35:$B$42,MATCH(H563,'Residual Config'!$A$35:$A$42,0)),""))</f>
        <v>2</v>
      </c>
      <c r="R563" s="24" t="n">
        <v>1</v>
      </c>
      <c r="S563" s="8" t="s">
        <v>521</v>
      </c>
      <c r="T563" s="31" t="n">
        <f aca="false">IF(S563="","",MATCH(S563,'Residual Config'!$L$9:$L$12,0))</f>
        <v>2</v>
      </c>
      <c r="U563" s="8" t="s">
        <v>2123</v>
      </c>
      <c r="V563" s="24" t="n">
        <v>4</v>
      </c>
      <c r="W563" s="33" t="s">
        <v>533</v>
      </c>
      <c r="X563" s="8" t="s">
        <v>760</v>
      </c>
      <c r="Y563" s="51" t="n">
        <f aca="false">IF(N563="","",EDATE(N563,IF(G563="N",INDEX('Residual Config'!$B$31:$D$31,1,MATCH(D563,'Residual Config'!$B$27:$D$27,0)),INDEX('Residual Config'!$B$28:$D$30,IF(T563=1,1,IF(T563=4,3,2)),MATCH(D563,'Residual Config'!$B$27:$D$27,0)))))</f>
        <v>46468</v>
      </c>
      <c r="Z563" s="7" t="str">
        <f aca="false">IF(I563="N/A","N/A",IF(N563="","Not tested",IF(W563="Rejected","Evidence rejected",IF(W563&lt;&gt;"Accepted","Evidence pending",IF(Y563&lt;'Residual Config'!$C$4,"Overdue","Current")))))</f>
        <v>Current</v>
      </c>
      <c r="AA563" s="34" t="n">
        <f aca="false">IF(I563="N/A","",IF(Z563&lt;&gt;"Current",4,IF(MAX(M563,T563)=0,4,MAX(M563,T563))))</f>
        <v>2</v>
      </c>
      <c r="AB563" s="7" t="str">
        <f aca="false">IF(AA563="","N/A",IF(Z563&lt;&gt;"Current","Not tested / overdue",INDEX('Residual Config'!$B$11:$B$14,AA563)))</f>
        <v>Largely effective</v>
      </c>
      <c r="AC563" s="36" t="n">
        <f aca="false">IF(AA563="","",INDEX('Residual Config'!$D$11:$D$14,AA563))</f>
        <v>0.4</v>
      </c>
      <c r="AD563" s="7" t="str">
        <f aca="false">IF(OR(I563="N/A",P563="",Q563=""),"",IF(P563&gt;=Q563,"Yes","No"))</f>
        <v>Yes</v>
      </c>
      <c r="AE563" s="8"/>
    </row>
    <row r="564" customFormat="false" ht="15" hidden="false" customHeight="false" outlineLevel="0" collapsed="false">
      <c r="A564" s="12" t="s">
        <v>2124</v>
      </c>
      <c r="B564" s="26" t="str">
        <f aca="false">Entities!$A$18</f>
        <v>OM</v>
      </c>
      <c r="C564" s="12" t="str">
        <f aca="false">INDEX(Entities!$B$5:$B$34,MATCH(B564,Entities!$A$5:$A$34,0))</f>
        <v>Oman Arab Bank (affiliate)</v>
      </c>
      <c r="D564" s="7" t="str">
        <f aca="false">INDEX(Entities!$F$5:$F$34,MATCH(B564,Entities!$A$5:$A$34,0))</f>
        <v>Tier 2</v>
      </c>
      <c r="E564" s="26" t="str">
        <f aca="false">'Control Library'!$A$5</f>
        <v>CTL-KYC-01</v>
      </c>
      <c r="F564" s="12" t="str">
        <f aca="false">INDEX('Control Library'!$B$5:$B$47,MATCH(E564,'Control Library'!$A$5:$A$47,0))</f>
        <v>Customer due diligence and ID verification at onboarding</v>
      </c>
      <c r="G564" s="7" t="str">
        <f aca="false">INDEX('Control Library'!$F$5:$F$47,MATCH(E564,'Control Library'!$A$5:$A$47,0))</f>
        <v>Y</v>
      </c>
      <c r="H564" s="12" t="str">
        <f aca="false">INDEX('Control Library'!$E$5:$E$47,MATCH(E564,'Control Library'!$A$5:$A$47,0))</f>
        <v>Event-driven</v>
      </c>
      <c r="I564" s="7" t="str">
        <f aca="false">IF(INDEX('Control Library'!$I$5:$I$47,MATCH(E564,'Control Library'!$A$5:$A$47,0))="All","Y",IF(INDEX('Control Library'!$I$5:$I$47,MATCH(E564,'Control Library'!$A$5:$A$47,0))="Banks only",IF(COUNTIF('Residual Config'!$L$28:$L$30,INDEX(Entities!$E$5:$E$34,MATCH(B564,Entities!$A$5:$A$34,0)))&gt;0,"N/A","Y"),IF(INDEX(Entities!$G$5:$G$34,MATCH(B564,Entities!$A$5:$A$34,0))="Y","Y","N/A")))</f>
        <v>Y</v>
      </c>
      <c r="J564" s="8" t="s">
        <v>2125</v>
      </c>
      <c r="K564" s="8" t="s">
        <v>2126</v>
      </c>
      <c r="L564" s="7" t="str">
        <f aca="false">IF(OR(J564="",K564=""),"",IF(J564=K564,"Breach","OK"))</f>
        <v>OK</v>
      </c>
      <c r="M564" s="24" t="n">
        <v>1</v>
      </c>
      <c r="N564" s="50" t="n">
        <v>46284</v>
      </c>
      <c r="O564" s="8" t="s">
        <v>545</v>
      </c>
      <c r="P564" s="24" t="n">
        <v>25</v>
      </c>
      <c r="Q564" s="31" t="n">
        <f aca="false">IF(I564="N/A","",IFERROR(INDEX('Residual Config'!$B$35:$B$42,MATCH(H564,'Residual Config'!$A$35:$A$42,0)),""))</f>
        <v>25</v>
      </c>
      <c r="R564" s="24" t="n">
        <v>2</v>
      </c>
      <c r="S564" s="8" t="s">
        <v>524</v>
      </c>
      <c r="T564" s="31" t="n">
        <f aca="false">IF(S564="","",MATCH(S564,'Residual Config'!$L$9:$L$12,0))</f>
        <v>3</v>
      </c>
      <c r="U564" s="8" t="s">
        <v>2127</v>
      </c>
      <c r="V564" s="24" t="n">
        <v>2</v>
      </c>
      <c r="W564" s="33" t="s">
        <v>533</v>
      </c>
      <c r="X564" s="8" t="s">
        <v>754</v>
      </c>
      <c r="Y564" s="51" t="n">
        <f aca="false">IF(N564="","",EDATE(N564,IF(G564="N",INDEX('Residual Config'!$B$31:$D$31,1,MATCH(D564,'Residual Config'!$B$27:$D$27,0)),INDEX('Residual Config'!$B$28:$D$30,IF(T564=1,1,IF(T564=4,3,2)),MATCH(D564,'Residual Config'!$B$27:$D$27,0)))))</f>
        <v>46465</v>
      </c>
      <c r="Z564" s="7" t="str">
        <f aca="false">IF(I564="N/A","N/A",IF(N564="","Not tested",IF(W564="Rejected","Evidence rejected",IF(W564&lt;&gt;"Accepted","Evidence pending",IF(Y564&lt;'Residual Config'!$C$4,"Overdue","Current")))))</f>
        <v>Current</v>
      </c>
      <c r="AA564" s="34" t="n">
        <f aca="false">IF(I564="N/A","",IF(Z564&lt;&gt;"Current",4,IF(MAX(M564,T564)=0,4,MAX(M564,T564))))</f>
        <v>3</v>
      </c>
      <c r="AB564" s="7" t="str">
        <f aca="false">IF(AA564="","N/A",IF(Z564&lt;&gt;"Current","Not tested / overdue",INDEX('Residual Config'!$B$11:$B$14,AA564)))</f>
        <v>Partially effective</v>
      </c>
      <c r="AC564" s="36" t="n">
        <f aca="false">IF(AA564="","",INDEX('Residual Config'!$D$11:$D$14,AA564))</f>
        <v>0.2</v>
      </c>
      <c r="AD564" s="7" t="str">
        <f aca="false">IF(OR(I564="N/A",P564="",Q564=""),"",IF(P564&gt;=Q564,"Yes","No"))</f>
        <v>Yes</v>
      </c>
      <c r="AE564" s="8"/>
    </row>
    <row r="565" customFormat="false" ht="15" hidden="false" customHeight="false" outlineLevel="0" collapsed="false">
      <c r="A565" s="12" t="s">
        <v>2128</v>
      </c>
      <c r="B565" s="26" t="str">
        <f aca="false">Entities!$A$18</f>
        <v>OM</v>
      </c>
      <c r="C565" s="12" t="str">
        <f aca="false">INDEX(Entities!$B$5:$B$34,MATCH(B565,Entities!$A$5:$A$34,0))</f>
        <v>Oman Arab Bank (affiliate)</v>
      </c>
      <c r="D565" s="7" t="str">
        <f aca="false">INDEX(Entities!$F$5:$F$34,MATCH(B565,Entities!$A$5:$A$34,0))</f>
        <v>Tier 2</v>
      </c>
      <c r="E565" s="26" t="str">
        <f aca="false">'Control Library'!$A$6</f>
        <v>CTL-KYC-02</v>
      </c>
      <c r="F565" s="12" t="str">
        <f aca="false">INDEX('Control Library'!$B$5:$B$47,MATCH(E565,'Control Library'!$A$5:$A$47,0))</f>
        <v>Enhanced due diligence for high-risk customers and PEPs, senior approval</v>
      </c>
      <c r="G565" s="7" t="str">
        <f aca="false">INDEX('Control Library'!$F$5:$F$47,MATCH(E565,'Control Library'!$A$5:$A$47,0))</f>
        <v>Y</v>
      </c>
      <c r="H565" s="12" t="str">
        <f aca="false">INDEX('Control Library'!$E$5:$E$47,MATCH(E565,'Control Library'!$A$5:$A$47,0))</f>
        <v>Event-driven</v>
      </c>
      <c r="I565" s="7" t="str">
        <f aca="false">IF(INDEX('Control Library'!$I$5:$I$47,MATCH(E565,'Control Library'!$A$5:$A$47,0))="All","Y",IF(INDEX('Control Library'!$I$5:$I$47,MATCH(E565,'Control Library'!$A$5:$A$47,0))="Banks only",IF(COUNTIF('Residual Config'!$L$28:$L$30,INDEX(Entities!$E$5:$E$34,MATCH(B565,Entities!$A$5:$A$34,0)))&gt;0,"N/A","Y"),IF(INDEX(Entities!$G$5:$G$34,MATCH(B565,Entities!$A$5:$A$34,0))="Y","Y","N/A")))</f>
        <v>Y</v>
      </c>
      <c r="J565" s="8" t="s">
        <v>2129</v>
      </c>
      <c r="K565" s="8" t="s">
        <v>2126</v>
      </c>
      <c r="L565" s="7" t="str">
        <f aca="false">IF(OR(J565="",K565=""),"",IF(J565=K565,"Breach","OK"))</f>
        <v>OK</v>
      </c>
      <c r="M565" s="24" t="n">
        <v>1</v>
      </c>
      <c r="N565" s="50" t="n">
        <v>46165</v>
      </c>
      <c r="O565" s="8" t="s">
        <v>546</v>
      </c>
      <c r="P565" s="24" t="n">
        <v>25</v>
      </c>
      <c r="Q565" s="31" t="n">
        <f aca="false">IF(I565="N/A","",IFERROR(INDEX('Residual Config'!$B$35:$B$42,MATCH(H565,'Residual Config'!$A$35:$A$42,0)),""))</f>
        <v>25</v>
      </c>
      <c r="R565" s="24" t="n">
        <v>1</v>
      </c>
      <c r="S565" s="8" t="s">
        <v>521</v>
      </c>
      <c r="T565" s="31" t="n">
        <f aca="false">IF(S565="","",MATCH(S565,'Residual Config'!$L$9:$L$12,0))</f>
        <v>2</v>
      </c>
      <c r="U565" s="8" t="s">
        <v>2130</v>
      </c>
      <c r="V565" s="24" t="n">
        <v>1</v>
      </c>
      <c r="W565" s="33" t="s">
        <v>533</v>
      </c>
      <c r="X565" s="8" t="s">
        <v>754</v>
      </c>
      <c r="Y565" s="51" t="n">
        <f aca="false">IF(N565="","",EDATE(N565,IF(G565="N",INDEX('Residual Config'!$B$31:$D$31,1,MATCH(D565,'Residual Config'!$B$27:$D$27,0)),INDEX('Residual Config'!$B$28:$D$30,IF(T565=1,1,IF(T565=4,3,2)),MATCH(D565,'Residual Config'!$B$27:$D$27,0)))))</f>
        <v>46349</v>
      </c>
      <c r="Z565" s="7" t="str">
        <f aca="false">IF(I565="N/A","N/A",IF(N565="","Not tested",IF(W565="Rejected","Evidence rejected",IF(W565&lt;&gt;"Accepted","Evidence pending",IF(Y565&lt;'Residual Config'!$C$4,"Overdue","Current")))))</f>
        <v>Current</v>
      </c>
      <c r="AA565" s="34" t="n">
        <f aca="false">IF(I565="N/A","",IF(Z565&lt;&gt;"Current",4,IF(MAX(M565,T565)=0,4,MAX(M565,T565))))</f>
        <v>2</v>
      </c>
      <c r="AB565" s="7" t="str">
        <f aca="false">IF(AA565="","N/A",IF(Z565&lt;&gt;"Current","Not tested / overdue",INDEX('Residual Config'!$B$11:$B$14,AA565)))</f>
        <v>Largely effective</v>
      </c>
      <c r="AC565" s="36" t="n">
        <f aca="false">IF(AA565="","",INDEX('Residual Config'!$D$11:$D$14,AA565))</f>
        <v>0.4</v>
      </c>
      <c r="AD565" s="7" t="str">
        <f aca="false">IF(OR(I565="N/A",P565="",Q565=""),"",IF(P565&gt;=Q565,"Yes","No"))</f>
        <v>Yes</v>
      </c>
      <c r="AE565" s="8"/>
    </row>
    <row r="566" customFormat="false" ht="15" hidden="false" customHeight="false" outlineLevel="0" collapsed="false">
      <c r="A566" s="12" t="s">
        <v>2131</v>
      </c>
      <c r="B566" s="26" t="str">
        <f aca="false">Entities!$A$18</f>
        <v>OM</v>
      </c>
      <c r="C566" s="12" t="str">
        <f aca="false">INDEX(Entities!$B$5:$B$34,MATCH(B566,Entities!$A$5:$A$34,0))</f>
        <v>Oman Arab Bank (affiliate)</v>
      </c>
      <c r="D566" s="7" t="str">
        <f aca="false">INDEX(Entities!$F$5:$F$34,MATCH(B566,Entities!$A$5:$A$34,0))</f>
        <v>Tier 2</v>
      </c>
      <c r="E566" s="26" t="str">
        <f aca="false">'Control Library'!$A$7</f>
        <v>CTL-KYC-03</v>
      </c>
      <c r="F566" s="12" t="str">
        <f aca="false">INDEX('Control Library'!$B$5:$B$47,MATCH(E566,'Control Library'!$A$5:$A$47,0))</f>
        <v>Ultimate beneficial owner identification and verification</v>
      </c>
      <c r="G566" s="7" t="str">
        <f aca="false">INDEX('Control Library'!$F$5:$F$47,MATCH(E566,'Control Library'!$A$5:$A$47,0))</f>
        <v>Y</v>
      </c>
      <c r="H566" s="12" t="str">
        <f aca="false">INDEX('Control Library'!$E$5:$E$47,MATCH(E566,'Control Library'!$A$5:$A$47,0))</f>
        <v>Event-driven</v>
      </c>
      <c r="I566" s="7" t="str">
        <f aca="false">IF(INDEX('Control Library'!$I$5:$I$47,MATCH(E566,'Control Library'!$A$5:$A$47,0))="All","Y",IF(INDEX('Control Library'!$I$5:$I$47,MATCH(E566,'Control Library'!$A$5:$A$47,0))="Banks only",IF(COUNTIF('Residual Config'!$L$28:$L$30,INDEX(Entities!$E$5:$E$34,MATCH(B566,Entities!$A$5:$A$34,0)))&gt;0,"N/A","Y"),IF(INDEX(Entities!$G$5:$G$34,MATCH(B566,Entities!$A$5:$A$34,0))="Y","Y","N/A")))</f>
        <v>Y</v>
      </c>
      <c r="J566" s="8" t="s">
        <v>2125</v>
      </c>
      <c r="K566" s="8" t="s">
        <v>2126</v>
      </c>
      <c r="L566" s="7" t="str">
        <f aca="false">IF(OR(J566="",K566=""),"",IF(J566=K566,"Breach","OK"))</f>
        <v>OK</v>
      </c>
      <c r="M566" s="24" t="n">
        <v>1</v>
      </c>
      <c r="N566" s="50" t="n">
        <v>46199</v>
      </c>
      <c r="O566" s="8" t="s">
        <v>545</v>
      </c>
      <c r="P566" s="24" t="n">
        <v>30</v>
      </c>
      <c r="Q566" s="31" t="n">
        <f aca="false">IF(I566="N/A","",IFERROR(INDEX('Residual Config'!$B$35:$B$42,MATCH(H566,'Residual Config'!$A$35:$A$42,0)),""))</f>
        <v>25</v>
      </c>
      <c r="R566" s="24" t="n">
        <v>1</v>
      </c>
      <c r="S566" s="8" t="s">
        <v>521</v>
      </c>
      <c r="T566" s="31" t="n">
        <f aca="false">IF(S566="","",MATCH(S566,'Residual Config'!$L$9:$L$12,0))</f>
        <v>2</v>
      </c>
      <c r="U566" s="8" t="s">
        <v>2132</v>
      </c>
      <c r="V566" s="24" t="n">
        <v>5</v>
      </c>
      <c r="W566" s="33" t="s">
        <v>533</v>
      </c>
      <c r="X566" s="8" t="s">
        <v>760</v>
      </c>
      <c r="Y566" s="51" t="n">
        <f aca="false">IF(N566="","",EDATE(N566,IF(G566="N",INDEX('Residual Config'!$B$31:$D$31,1,MATCH(D566,'Residual Config'!$B$27:$D$27,0)),INDEX('Residual Config'!$B$28:$D$30,IF(T566=1,1,IF(T566=4,3,2)),MATCH(D566,'Residual Config'!$B$27:$D$27,0)))))</f>
        <v>46382</v>
      </c>
      <c r="Z566" s="7" t="str">
        <f aca="false">IF(I566="N/A","N/A",IF(N566="","Not tested",IF(W566="Rejected","Evidence rejected",IF(W566&lt;&gt;"Accepted","Evidence pending",IF(Y566&lt;'Residual Config'!$C$4,"Overdue","Current")))))</f>
        <v>Current</v>
      </c>
      <c r="AA566" s="34" t="n">
        <f aca="false">IF(I566="N/A","",IF(Z566&lt;&gt;"Current",4,IF(MAX(M566,T566)=0,4,MAX(M566,T566))))</f>
        <v>2</v>
      </c>
      <c r="AB566" s="7" t="str">
        <f aca="false">IF(AA566="","N/A",IF(Z566&lt;&gt;"Current","Not tested / overdue",INDEX('Residual Config'!$B$11:$B$14,AA566)))</f>
        <v>Largely effective</v>
      </c>
      <c r="AC566" s="36" t="n">
        <f aca="false">IF(AA566="","",INDEX('Residual Config'!$D$11:$D$14,AA566))</f>
        <v>0.4</v>
      </c>
      <c r="AD566" s="7" t="str">
        <f aca="false">IF(OR(I566="N/A",P566="",Q566=""),"",IF(P566&gt;=Q566,"Yes","No"))</f>
        <v>Yes</v>
      </c>
      <c r="AE566" s="8"/>
    </row>
    <row r="567" customFormat="false" ht="15" hidden="false" customHeight="false" outlineLevel="0" collapsed="false">
      <c r="A567" s="12" t="s">
        <v>2133</v>
      </c>
      <c r="B567" s="26" t="str">
        <f aca="false">Entities!$A$18</f>
        <v>OM</v>
      </c>
      <c r="C567" s="12" t="str">
        <f aca="false">INDEX(Entities!$B$5:$B$34,MATCH(B567,Entities!$A$5:$A$34,0))</f>
        <v>Oman Arab Bank (affiliate)</v>
      </c>
      <c r="D567" s="7" t="str">
        <f aca="false">INDEX(Entities!$F$5:$F$34,MATCH(B567,Entities!$A$5:$A$34,0))</f>
        <v>Tier 2</v>
      </c>
      <c r="E567" s="26" t="str">
        <f aca="false">'Control Library'!$A$8</f>
        <v>CTL-KYC-04</v>
      </c>
      <c r="F567" s="12" t="str">
        <f aca="false">INDEX('Control Library'!$B$5:$B$47,MATCH(E567,'Control Library'!$A$5:$A$47,0))</f>
        <v>Periodic KYC review by customer risk rating</v>
      </c>
      <c r="G567" s="7" t="str">
        <f aca="false">INDEX('Control Library'!$F$5:$F$47,MATCH(E567,'Control Library'!$A$5:$A$47,0))</f>
        <v>Y</v>
      </c>
      <c r="H567" s="12" t="str">
        <f aca="false">INDEX('Control Library'!$E$5:$E$47,MATCH(E567,'Control Library'!$A$5:$A$47,0))</f>
        <v>Monthly</v>
      </c>
      <c r="I567" s="7" t="str">
        <f aca="false">IF(INDEX('Control Library'!$I$5:$I$47,MATCH(E567,'Control Library'!$A$5:$A$47,0))="All","Y",IF(INDEX('Control Library'!$I$5:$I$47,MATCH(E567,'Control Library'!$A$5:$A$47,0))="Banks only",IF(COUNTIF('Residual Config'!$L$28:$L$30,INDEX(Entities!$E$5:$E$34,MATCH(B567,Entities!$A$5:$A$34,0)))&gt;0,"N/A","Y"),IF(INDEX(Entities!$G$5:$G$34,MATCH(B567,Entities!$A$5:$A$34,0))="Y","Y","N/A")))</f>
        <v>Y</v>
      </c>
      <c r="J567" s="8" t="s">
        <v>2125</v>
      </c>
      <c r="K567" s="8" t="s">
        <v>2126</v>
      </c>
      <c r="L567" s="7" t="str">
        <f aca="false">IF(OR(J567="",K567=""),"",IF(J567=K567,"Breach","OK"))</f>
        <v>OK</v>
      </c>
      <c r="M567" s="24" t="n">
        <v>1</v>
      </c>
      <c r="N567" s="50" t="n">
        <v>46213</v>
      </c>
      <c r="O567" s="8" t="s">
        <v>546</v>
      </c>
      <c r="P567" s="24" t="n">
        <v>3</v>
      </c>
      <c r="Q567" s="31" t="n">
        <f aca="false">IF(I567="N/A","",IFERROR(INDEX('Residual Config'!$B$35:$B$42,MATCH(H567,'Residual Config'!$A$35:$A$42,0)),""))</f>
        <v>3</v>
      </c>
      <c r="R567" s="24" t="n">
        <v>1</v>
      </c>
      <c r="S567" s="8" t="s">
        <v>521</v>
      </c>
      <c r="T567" s="31" t="n">
        <f aca="false">IF(S567="","",MATCH(S567,'Residual Config'!$L$9:$L$12,0))</f>
        <v>2</v>
      </c>
      <c r="U567" s="8" t="s">
        <v>2134</v>
      </c>
      <c r="V567" s="24" t="n">
        <v>3</v>
      </c>
      <c r="W567" s="33" t="s">
        <v>533</v>
      </c>
      <c r="X567" s="8" t="s">
        <v>760</v>
      </c>
      <c r="Y567" s="51" t="n">
        <f aca="false">IF(N567="","",EDATE(N567,IF(G567="N",INDEX('Residual Config'!$B$31:$D$31,1,MATCH(D567,'Residual Config'!$B$27:$D$27,0)),INDEX('Residual Config'!$B$28:$D$30,IF(T567=1,1,IF(T567=4,3,2)),MATCH(D567,'Residual Config'!$B$27:$D$27,0)))))</f>
        <v>46397</v>
      </c>
      <c r="Z567" s="7" t="str">
        <f aca="false">IF(I567="N/A","N/A",IF(N567="","Not tested",IF(W567="Rejected","Evidence rejected",IF(W567&lt;&gt;"Accepted","Evidence pending",IF(Y567&lt;'Residual Config'!$C$4,"Overdue","Current")))))</f>
        <v>Current</v>
      </c>
      <c r="AA567" s="34" t="n">
        <f aca="false">IF(I567="N/A","",IF(Z567&lt;&gt;"Current",4,IF(MAX(M567,T567)=0,4,MAX(M567,T567))))</f>
        <v>2</v>
      </c>
      <c r="AB567" s="7" t="str">
        <f aca="false">IF(AA567="","N/A",IF(Z567&lt;&gt;"Current","Not tested / overdue",INDEX('Residual Config'!$B$11:$B$14,AA567)))</f>
        <v>Largely effective</v>
      </c>
      <c r="AC567" s="36" t="n">
        <f aca="false">IF(AA567="","",INDEX('Residual Config'!$D$11:$D$14,AA567))</f>
        <v>0.4</v>
      </c>
      <c r="AD567" s="7" t="str">
        <f aca="false">IF(OR(I567="N/A",P567="",Q567=""),"",IF(P567&gt;=Q567,"Yes","No"))</f>
        <v>Yes</v>
      </c>
      <c r="AE567" s="8"/>
    </row>
    <row r="568" customFormat="false" ht="15" hidden="false" customHeight="false" outlineLevel="0" collapsed="false">
      <c r="A568" s="12" t="s">
        <v>2135</v>
      </c>
      <c r="B568" s="26" t="str">
        <f aca="false">Entities!$A$18</f>
        <v>OM</v>
      </c>
      <c r="C568" s="12" t="str">
        <f aca="false">INDEX(Entities!$B$5:$B$34,MATCH(B568,Entities!$A$5:$A$34,0))</f>
        <v>Oman Arab Bank (affiliate)</v>
      </c>
      <c r="D568" s="7" t="str">
        <f aca="false">INDEX(Entities!$F$5:$F$34,MATCH(B568,Entities!$A$5:$A$34,0))</f>
        <v>Tier 2</v>
      </c>
      <c r="E568" s="26" t="str">
        <f aca="false">'Control Library'!$A$9</f>
        <v>CTL-CRR-01</v>
      </c>
      <c r="F568" s="12" t="str">
        <f aca="false">INDEX('Control Library'!$B$5:$B$47,MATCH(E568,'Control Library'!$A$5:$A$47,0))</f>
        <v>Customer risk rating model and annual validation</v>
      </c>
      <c r="G568" s="7" t="str">
        <f aca="false">INDEX('Control Library'!$F$5:$F$47,MATCH(E568,'Control Library'!$A$5:$A$47,0))</f>
        <v>N</v>
      </c>
      <c r="H568" s="12" t="str">
        <f aca="false">INDEX('Control Library'!$E$5:$E$47,MATCH(E568,'Control Library'!$A$5:$A$47,0))</f>
        <v>Annual</v>
      </c>
      <c r="I568" s="7" t="str">
        <f aca="false">IF(INDEX('Control Library'!$I$5:$I$47,MATCH(E568,'Control Library'!$A$5:$A$47,0))="All","Y",IF(INDEX('Control Library'!$I$5:$I$47,MATCH(E568,'Control Library'!$A$5:$A$47,0))="Banks only",IF(COUNTIF('Residual Config'!$L$28:$L$30,INDEX(Entities!$E$5:$E$34,MATCH(B568,Entities!$A$5:$A$34,0)))&gt;0,"N/A","Y"),IF(INDEX(Entities!$G$5:$G$34,MATCH(B568,Entities!$A$5:$A$34,0))="Y","Y","N/A")))</f>
        <v>Y</v>
      </c>
      <c r="J568" s="8" t="s">
        <v>2129</v>
      </c>
      <c r="K568" s="8" t="s">
        <v>2126</v>
      </c>
      <c r="L568" s="7" t="str">
        <f aca="false">IF(OR(J568="",K568=""),"",IF(J568=K568,"Breach","OK"))</f>
        <v>OK</v>
      </c>
      <c r="M568" s="24" t="n">
        <v>2</v>
      </c>
      <c r="N568" s="50" t="n">
        <v>45967</v>
      </c>
      <c r="O568" s="8" t="s">
        <v>547</v>
      </c>
      <c r="P568" s="24" t="n">
        <v>1</v>
      </c>
      <c r="Q568" s="31" t="n">
        <f aca="false">IF(I568="N/A","",IFERROR(INDEX('Residual Config'!$B$35:$B$42,MATCH(H568,'Residual Config'!$A$35:$A$42,0)),""))</f>
        <v>1</v>
      </c>
      <c r="R568" s="24" t="n">
        <v>0</v>
      </c>
      <c r="S568" s="8" t="s">
        <v>516</v>
      </c>
      <c r="T568" s="31" t="n">
        <f aca="false">IF(S568="","",MATCH(S568,'Residual Config'!$L$9:$L$12,0))</f>
        <v>1</v>
      </c>
      <c r="U568" s="8" t="s">
        <v>2136</v>
      </c>
      <c r="V568" s="24" t="n">
        <v>5</v>
      </c>
      <c r="W568" s="33" t="s">
        <v>533</v>
      </c>
      <c r="X568" s="8" t="s">
        <v>754</v>
      </c>
      <c r="Y568" s="51" t="n">
        <f aca="false">IF(N568="","",EDATE(N568,IF(G568="N",INDEX('Residual Config'!$B$31:$D$31,1,MATCH(D568,'Residual Config'!$B$27:$D$27,0)),INDEX('Residual Config'!$B$28:$D$30,IF(T568=1,1,IF(T568=4,3,2)),MATCH(D568,'Residual Config'!$B$27:$D$27,0)))))</f>
        <v>46332</v>
      </c>
      <c r="Z568" s="7" t="str">
        <f aca="false">IF(I568="N/A","N/A",IF(N568="","Not tested",IF(W568="Rejected","Evidence rejected",IF(W568&lt;&gt;"Accepted","Evidence pending",IF(Y568&lt;'Residual Config'!$C$4,"Overdue","Current")))))</f>
        <v>Current</v>
      </c>
      <c r="AA568" s="34" t="n">
        <f aca="false">IF(I568="N/A","",IF(Z568&lt;&gt;"Current",4,IF(MAX(M568,T568)=0,4,MAX(M568,T568))))</f>
        <v>2</v>
      </c>
      <c r="AB568" s="7" t="str">
        <f aca="false">IF(AA568="","N/A",IF(Z568&lt;&gt;"Current","Not tested / overdue",INDEX('Residual Config'!$B$11:$B$14,AA568)))</f>
        <v>Largely effective</v>
      </c>
      <c r="AC568" s="36" t="n">
        <f aca="false">IF(AA568="","",INDEX('Residual Config'!$D$11:$D$14,AA568))</f>
        <v>0.4</v>
      </c>
      <c r="AD568" s="7" t="str">
        <f aca="false">IF(OR(I568="N/A",P568="",Q568=""),"",IF(P568&gt;=Q568,"Yes","No"))</f>
        <v>Yes</v>
      </c>
      <c r="AE568" s="8"/>
    </row>
    <row r="569" customFormat="false" ht="15" hidden="false" customHeight="false" outlineLevel="0" collapsed="false">
      <c r="A569" s="12" t="s">
        <v>2137</v>
      </c>
      <c r="B569" s="26" t="str">
        <f aca="false">Entities!$A$18</f>
        <v>OM</v>
      </c>
      <c r="C569" s="12" t="str">
        <f aca="false">INDEX(Entities!$B$5:$B$34,MATCH(B569,Entities!$A$5:$A$34,0))</f>
        <v>Oman Arab Bank (affiliate)</v>
      </c>
      <c r="D569" s="7" t="str">
        <f aca="false">INDEX(Entities!$F$5:$F$34,MATCH(B569,Entities!$A$5:$A$34,0))</f>
        <v>Tier 2</v>
      </c>
      <c r="E569" s="26" t="str">
        <f aca="false">'Control Library'!$A$10</f>
        <v>CTL-TM-01</v>
      </c>
      <c r="F569" s="12" t="str">
        <f aca="false">INDEX('Control Library'!$B$5:$B$47,MATCH(E569,'Control Library'!$A$5:$A$47,0))</f>
        <v>Automated transaction monitoring scenarios and annual tuning</v>
      </c>
      <c r="G569" s="7" t="str">
        <f aca="false">INDEX('Control Library'!$F$5:$F$47,MATCH(E569,'Control Library'!$A$5:$A$47,0))</f>
        <v>Y</v>
      </c>
      <c r="H569" s="12" t="str">
        <f aca="false">INDEX('Control Library'!$E$5:$E$47,MATCH(E569,'Control Library'!$A$5:$A$47,0))</f>
        <v>Continuous</v>
      </c>
      <c r="I569" s="7" t="str">
        <f aca="false">IF(INDEX('Control Library'!$I$5:$I$47,MATCH(E569,'Control Library'!$A$5:$A$47,0))="All","Y",IF(INDEX('Control Library'!$I$5:$I$47,MATCH(E569,'Control Library'!$A$5:$A$47,0))="Banks only",IF(COUNTIF('Residual Config'!$L$28:$L$30,INDEX(Entities!$E$5:$E$34,MATCH(B569,Entities!$A$5:$A$34,0)))&gt;0,"N/A","Y"),IF(INDEX(Entities!$G$5:$G$34,MATCH(B569,Entities!$A$5:$A$34,0))="Y","Y","N/A")))</f>
        <v>Y</v>
      </c>
      <c r="J569" s="8" t="s">
        <v>2138</v>
      </c>
      <c r="K569" s="8" t="s">
        <v>2126</v>
      </c>
      <c r="L569" s="7" t="str">
        <f aca="false">IF(OR(J569="",K569=""),"",IF(J569=K569,"Breach","OK"))</f>
        <v>OK</v>
      </c>
      <c r="M569" s="24" t="n">
        <v>2</v>
      </c>
      <c r="N569" s="50" t="n">
        <v>46137</v>
      </c>
      <c r="O569" s="8" t="s">
        <v>547</v>
      </c>
      <c r="P569" s="24" t="n">
        <v>1</v>
      </c>
      <c r="Q569" s="31" t="n">
        <f aca="false">IF(I569="N/A","",IFERROR(INDEX('Residual Config'!$B$35:$B$42,MATCH(H569,'Residual Config'!$A$35:$A$42,0)),""))</f>
        <v>1</v>
      </c>
      <c r="R569" s="24" t="n">
        <v>0</v>
      </c>
      <c r="S569" s="8" t="s">
        <v>516</v>
      </c>
      <c r="T569" s="31" t="n">
        <f aca="false">IF(S569="","",MATCH(S569,'Residual Config'!$L$9:$L$12,0))</f>
        <v>1</v>
      </c>
      <c r="U569" s="8" t="s">
        <v>2139</v>
      </c>
      <c r="V569" s="24" t="n">
        <v>2</v>
      </c>
      <c r="W569" s="33" t="s">
        <v>533</v>
      </c>
      <c r="X569" s="8" t="s">
        <v>760</v>
      </c>
      <c r="Y569" s="51" t="n">
        <f aca="false">IF(N569="","",EDATE(N569,IF(G569="N",INDEX('Residual Config'!$B$31:$D$31,1,MATCH(D569,'Residual Config'!$B$27:$D$27,0)),INDEX('Residual Config'!$B$28:$D$30,IF(T569=1,1,IF(T569=4,3,2)),MATCH(D569,'Residual Config'!$B$27:$D$27,0)))))</f>
        <v>46502</v>
      </c>
      <c r="Z569" s="7" t="str">
        <f aca="false">IF(I569="N/A","N/A",IF(N569="","Not tested",IF(W569="Rejected","Evidence rejected",IF(W569&lt;&gt;"Accepted","Evidence pending",IF(Y569&lt;'Residual Config'!$C$4,"Overdue","Current")))))</f>
        <v>Current</v>
      </c>
      <c r="AA569" s="34" t="n">
        <f aca="false">IF(I569="N/A","",IF(Z569&lt;&gt;"Current",4,IF(MAX(M569,T569)=0,4,MAX(M569,T569))))</f>
        <v>2</v>
      </c>
      <c r="AB569" s="7" t="str">
        <f aca="false">IF(AA569="","N/A",IF(Z569&lt;&gt;"Current","Not tested / overdue",INDEX('Residual Config'!$B$11:$B$14,AA569)))</f>
        <v>Largely effective</v>
      </c>
      <c r="AC569" s="36" t="n">
        <f aca="false">IF(AA569="","",INDEX('Residual Config'!$D$11:$D$14,AA569))</f>
        <v>0.4</v>
      </c>
      <c r="AD569" s="7" t="str">
        <f aca="false">IF(OR(I569="N/A",P569="",Q569=""),"",IF(P569&gt;=Q569,"Yes","No"))</f>
        <v>Yes</v>
      </c>
      <c r="AE569" s="8"/>
    </row>
    <row r="570" customFormat="false" ht="15" hidden="false" customHeight="false" outlineLevel="0" collapsed="false">
      <c r="A570" s="12" t="s">
        <v>2140</v>
      </c>
      <c r="B570" s="26" t="str">
        <f aca="false">Entities!$A$18</f>
        <v>OM</v>
      </c>
      <c r="C570" s="12" t="str">
        <f aca="false">INDEX(Entities!$B$5:$B$34,MATCH(B570,Entities!$A$5:$A$34,0))</f>
        <v>Oman Arab Bank (affiliate)</v>
      </c>
      <c r="D570" s="7" t="str">
        <f aca="false">INDEX(Entities!$F$5:$F$34,MATCH(B570,Entities!$A$5:$A$34,0))</f>
        <v>Tier 2</v>
      </c>
      <c r="E570" s="26" t="str">
        <f aca="false">'Control Library'!$A$11</f>
        <v>CTL-TM-02</v>
      </c>
      <c r="F570" s="12" t="str">
        <f aca="false">INDEX('Control Library'!$B$5:$B$47,MATCH(E570,'Control Library'!$A$5:$A$47,0))</f>
        <v>Alert investigation and quality assurance within SLA</v>
      </c>
      <c r="G570" s="7" t="str">
        <f aca="false">INDEX('Control Library'!$F$5:$F$47,MATCH(E570,'Control Library'!$A$5:$A$47,0))</f>
        <v>Y</v>
      </c>
      <c r="H570" s="12" t="str">
        <f aca="false">INDEX('Control Library'!$E$5:$E$47,MATCH(E570,'Control Library'!$A$5:$A$47,0))</f>
        <v>Daily</v>
      </c>
      <c r="I570" s="7" t="str">
        <f aca="false">IF(INDEX('Control Library'!$I$5:$I$47,MATCH(E570,'Control Library'!$A$5:$A$47,0))="All","Y",IF(INDEX('Control Library'!$I$5:$I$47,MATCH(E570,'Control Library'!$A$5:$A$47,0))="Banks only",IF(COUNTIF('Residual Config'!$L$28:$L$30,INDEX(Entities!$E$5:$E$34,MATCH(B570,Entities!$A$5:$A$34,0)))&gt;0,"N/A","Y"),IF(INDEX(Entities!$G$5:$G$34,MATCH(B570,Entities!$A$5:$A$34,0))="Y","Y","N/A")))</f>
        <v>Y</v>
      </c>
      <c r="J570" s="8" t="s">
        <v>2138</v>
      </c>
      <c r="K570" s="8" t="s">
        <v>2126</v>
      </c>
      <c r="L570" s="7" t="str">
        <f aca="false">IF(OR(J570="",K570=""),"",IF(J570=K570,"Breach","OK"))</f>
        <v>OK</v>
      </c>
      <c r="M570" s="24" t="n">
        <v>1</v>
      </c>
      <c r="N570" s="50" t="n">
        <v>46222</v>
      </c>
      <c r="O570" s="8" t="s">
        <v>545</v>
      </c>
      <c r="P570" s="24" t="n">
        <v>25</v>
      </c>
      <c r="Q570" s="31" t="n">
        <f aca="false">IF(I570="N/A","",IFERROR(INDEX('Residual Config'!$B$35:$B$42,MATCH(H570,'Residual Config'!$A$35:$A$42,0)),""))</f>
        <v>25</v>
      </c>
      <c r="R570" s="24" t="n">
        <v>1</v>
      </c>
      <c r="S570" s="8" t="s">
        <v>521</v>
      </c>
      <c r="T570" s="31" t="n">
        <f aca="false">IF(S570="","",MATCH(S570,'Residual Config'!$L$9:$L$12,0))</f>
        <v>2</v>
      </c>
      <c r="U570" s="8" t="s">
        <v>2141</v>
      </c>
      <c r="V570" s="24" t="n">
        <v>1</v>
      </c>
      <c r="W570" s="33" t="s">
        <v>533</v>
      </c>
      <c r="X570" s="8" t="s">
        <v>760</v>
      </c>
      <c r="Y570" s="51" t="n">
        <f aca="false">IF(N570="","",EDATE(N570,IF(G570="N",INDEX('Residual Config'!$B$31:$D$31,1,MATCH(D570,'Residual Config'!$B$27:$D$27,0)),INDEX('Residual Config'!$B$28:$D$30,IF(T570=1,1,IF(T570=4,3,2)),MATCH(D570,'Residual Config'!$B$27:$D$27,0)))))</f>
        <v>46406</v>
      </c>
      <c r="Z570" s="7" t="str">
        <f aca="false">IF(I570="N/A","N/A",IF(N570="","Not tested",IF(W570="Rejected","Evidence rejected",IF(W570&lt;&gt;"Accepted","Evidence pending",IF(Y570&lt;'Residual Config'!$C$4,"Overdue","Current")))))</f>
        <v>Current</v>
      </c>
      <c r="AA570" s="34" t="n">
        <f aca="false">IF(I570="N/A","",IF(Z570&lt;&gt;"Current",4,IF(MAX(M570,T570)=0,4,MAX(M570,T570))))</f>
        <v>2</v>
      </c>
      <c r="AB570" s="7" t="str">
        <f aca="false">IF(AA570="","N/A",IF(Z570&lt;&gt;"Current","Not tested / overdue",INDEX('Residual Config'!$B$11:$B$14,AA570)))</f>
        <v>Largely effective</v>
      </c>
      <c r="AC570" s="36" t="n">
        <f aca="false">IF(AA570="","",INDEX('Residual Config'!$D$11:$D$14,AA570))</f>
        <v>0.4</v>
      </c>
      <c r="AD570" s="7" t="str">
        <f aca="false">IF(OR(I570="N/A",P570="",Q570=""),"",IF(P570&gt;=Q570,"Yes","No"))</f>
        <v>Yes</v>
      </c>
      <c r="AE570" s="8"/>
    </row>
    <row r="571" customFormat="false" ht="15" hidden="false" customHeight="false" outlineLevel="0" collapsed="false">
      <c r="A571" s="12" t="s">
        <v>2142</v>
      </c>
      <c r="B571" s="26" t="str">
        <f aca="false">Entities!$A$18</f>
        <v>OM</v>
      </c>
      <c r="C571" s="12" t="str">
        <f aca="false">INDEX(Entities!$B$5:$B$34,MATCH(B571,Entities!$A$5:$A$34,0))</f>
        <v>Oman Arab Bank (affiliate)</v>
      </c>
      <c r="D571" s="7" t="str">
        <f aca="false">INDEX(Entities!$F$5:$F$34,MATCH(B571,Entities!$A$5:$A$34,0))</f>
        <v>Tier 2</v>
      </c>
      <c r="E571" s="26" t="str">
        <f aca="false">'Control Library'!$A$12</f>
        <v>CTL-STR-01</v>
      </c>
      <c r="F571" s="12" t="str">
        <f aca="false">INDEX('Control Library'!$B$5:$B$47,MATCH(E571,'Control Library'!$A$5:$A$47,0))</f>
        <v>STR decision and filing within regulatory deadline</v>
      </c>
      <c r="G571" s="7" t="str">
        <f aca="false">INDEX('Control Library'!$F$5:$F$47,MATCH(E571,'Control Library'!$A$5:$A$47,0))</f>
        <v>Y</v>
      </c>
      <c r="H571" s="12" t="str">
        <f aca="false">INDEX('Control Library'!$E$5:$E$47,MATCH(E571,'Control Library'!$A$5:$A$47,0))</f>
        <v>Event-driven</v>
      </c>
      <c r="I571" s="7" t="str">
        <f aca="false">IF(INDEX('Control Library'!$I$5:$I$47,MATCH(E571,'Control Library'!$A$5:$A$47,0))="All","Y",IF(INDEX('Control Library'!$I$5:$I$47,MATCH(E571,'Control Library'!$A$5:$A$47,0))="Banks only",IF(COUNTIF('Residual Config'!$L$28:$L$30,INDEX(Entities!$E$5:$E$34,MATCH(B571,Entities!$A$5:$A$34,0)))&gt;0,"N/A","Y"),IF(INDEX(Entities!$G$5:$G$34,MATCH(B571,Entities!$A$5:$A$34,0))="Y","Y","N/A")))</f>
        <v>Y</v>
      </c>
      <c r="J571" s="8" t="s">
        <v>2138</v>
      </c>
      <c r="K571" s="8" t="s">
        <v>2126</v>
      </c>
      <c r="L571" s="7" t="str">
        <f aca="false">IF(OR(J571="",K571=""),"",IF(J571=K571,"Breach","OK"))</f>
        <v>OK</v>
      </c>
      <c r="M571" s="24" t="n">
        <v>1</v>
      </c>
      <c r="N571" s="50" t="n">
        <v>46048</v>
      </c>
      <c r="O571" s="8" t="s">
        <v>546</v>
      </c>
      <c r="P571" s="24" t="n">
        <v>25</v>
      </c>
      <c r="Q571" s="31" t="n">
        <f aca="false">IF(I571="N/A","",IFERROR(INDEX('Residual Config'!$B$35:$B$42,MATCH(H571,'Residual Config'!$A$35:$A$42,0)),""))</f>
        <v>25</v>
      </c>
      <c r="R571" s="24" t="n">
        <v>0</v>
      </c>
      <c r="S571" s="8" t="s">
        <v>516</v>
      </c>
      <c r="T571" s="31" t="n">
        <f aca="false">IF(S571="","",MATCH(S571,'Residual Config'!$L$9:$L$12,0))</f>
        <v>1</v>
      </c>
      <c r="U571" s="8" t="s">
        <v>2143</v>
      </c>
      <c r="V571" s="24" t="n">
        <v>4</v>
      </c>
      <c r="W571" s="33" t="s">
        <v>533</v>
      </c>
      <c r="X571" s="8" t="s">
        <v>754</v>
      </c>
      <c r="Y571" s="51" t="n">
        <f aca="false">IF(N571="","",EDATE(N571,IF(G571="N",INDEX('Residual Config'!$B$31:$D$31,1,MATCH(D571,'Residual Config'!$B$27:$D$27,0)),INDEX('Residual Config'!$B$28:$D$30,IF(T571=1,1,IF(T571=4,3,2)),MATCH(D571,'Residual Config'!$B$27:$D$27,0)))))</f>
        <v>46413</v>
      </c>
      <c r="Z571" s="7" t="str">
        <f aca="false">IF(I571="N/A","N/A",IF(N571="","Not tested",IF(W571="Rejected","Evidence rejected",IF(W571&lt;&gt;"Accepted","Evidence pending",IF(Y571&lt;'Residual Config'!$C$4,"Overdue","Current")))))</f>
        <v>Current</v>
      </c>
      <c r="AA571" s="34" t="n">
        <f aca="false">IF(I571="N/A","",IF(Z571&lt;&gt;"Current",4,IF(MAX(M571,T571)=0,4,MAX(M571,T571))))</f>
        <v>1</v>
      </c>
      <c r="AB571" s="7" t="str">
        <f aca="false">IF(AA571="","N/A",IF(Z571&lt;&gt;"Current","Not tested / overdue",INDEX('Residual Config'!$B$11:$B$14,AA571)))</f>
        <v>Effective</v>
      </c>
      <c r="AC571" s="36" t="n">
        <f aca="false">IF(AA571="","",INDEX('Residual Config'!$D$11:$D$14,AA571))</f>
        <v>0.6</v>
      </c>
      <c r="AD571" s="7" t="str">
        <f aca="false">IF(OR(I571="N/A",P571="",Q571=""),"",IF(P571&gt;=Q571,"Yes","No"))</f>
        <v>Yes</v>
      </c>
      <c r="AE571" s="8"/>
    </row>
    <row r="572" customFormat="false" ht="15" hidden="false" customHeight="false" outlineLevel="0" collapsed="false">
      <c r="A572" s="12" t="s">
        <v>2144</v>
      </c>
      <c r="B572" s="26" t="str">
        <f aca="false">Entities!$A$18</f>
        <v>OM</v>
      </c>
      <c r="C572" s="12" t="str">
        <f aca="false">INDEX(Entities!$B$5:$B$34,MATCH(B572,Entities!$A$5:$A$34,0))</f>
        <v>Oman Arab Bank (affiliate)</v>
      </c>
      <c r="D572" s="7" t="str">
        <f aca="false">INDEX(Entities!$F$5:$F$34,MATCH(B572,Entities!$A$5:$A$34,0))</f>
        <v>Tier 2</v>
      </c>
      <c r="E572" s="26" t="str">
        <f aca="false">'Control Library'!$A$13</f>
        <v>CTL-SAN-01</v>
      </c>
      <c r="F572" s="12" t="str">
        <f aca="false">INDEX('Control Library'!$B$5:$B$47,MATCH(E572,'Control Library'!$A$5:$A$47,0))</f>
        <v>Real-time payment and transaction sanctions screening</v>
      </c>
      <c r="G572" s="7" t="str">
        <f aca="false">INDEX('Control Library'!$F$5:$F$47,MATCH(E572,'Control Library'!$A$5:$A$47,0))</f>
        <v>Y</v>
      </c>
      <c r="H572" s="12" t="str">
        <f aca="false">INDEX('Control Library'!$E$5:$E$47,MATCH(E572,'Control Library'!$A$5:$A$47,0))</f>
        <v>Continuous</v>
      </c>
      <c r="I572" s="7" t="str">
        <f aca="false">IF(INDEX('Control Library'!$I$5:$I$47,MATCH(E572,'Control Library'!$A$5:$A$47,0))="All","Y",IF(INDEX('Control Library'!$I$5:$I$47,MATCH(E572,'Control Library'!$A$5:$A$47,0))="Banks only",IF(COUNTIF('Residual Config'!$L$28:$L$30,INDEX(Entities!$E$5:$E$34,MATCH(B572,Entities!$A$5:$A$34,0)))&gt;0,"N/A","Y"),IF(INDEX(Entities!$G$5:$G$34,MATCH(B572,Entities!$A$5:$A$34,0))="Y","Y","N/A")))</f>
        <v>Y</v>
      </c>
      <c r="J572" s="8" t="s">
        <v>2145</v>
      </c>
      <c r="K572" s="8" t="s">
        <v>2126</v>
      </c>
      <c r="L572" s="7" t="str">
        <f aca="false">IF(OR(J572="",K572=""),"",IF(J572=K572,"Breach","OK"))</f>
        <v>OK</v>
      </c>
      <c r="M572" s="24" t="n">
        <v>2</v>
      </c>
      <c r="N572" s="50" t="n">
        <v>46170</v>
      </c>
      <c r="O572" s="8" t="s">
        <v>546</v>
      </c>
      <c r="P572" s="24" t="n">
        <v>1</v>
      </c>
      <c r="Q572" s="31" t="n">
        <f aca="false">IF(I572="N/A","",IFERROR(INDEX('Residual Config'!$B$35:$B$42,MATCH(H572,'Residual Config'!$A$35:$A$42,0)),""))</f>
        <v>1</v>
      </c>
      <c r="R572" s="24" t="n">
        <v>1</v>
      </c>
      <c r="S572" s="8" t="s">
        <v>521</v>
      </c>
      <c r="T572" s="31" t="n">
        <f aca="false">IF(S572="","",MATCH(S572,'Residual Config'!$L$9:$L$12,0))</f>
        <v>2</v>
      </c>
      <c r="U572" s="8" t="s">
        <v>2146</v>
      </c>
      <c r="V572" s="24" t="n">
        <v>5</v>
      </c>
      <c r="W572" s="33" t="s">
        <v>533</v>
      </c>
      <c r="X572" s="8" t="s">
        <v>760</v>
      </c>
      <c r="Y572" s="51" t="n">
        <f aca="false">IF(N572="","",EDATE(N572,IF(G572="N",INDEX('Residual Config'!$B$31:$D$31,1,MATCH(D572,'Residual Config'!$B$27:$D$27,0)),INDEX('Residual Config'!$B$28:$D$30,IF(T572=1,1,IF(T572=4,3,2)),MATCH(D572,'Residual Config'!$B$27:$D$27,0)))))</f>
        <v>46354</v>
      </c>
      <c r="Z572" s="7" t="str">
        <f aca="false">IF(I572="N/A","N/A",IF(N572="","Not tested",IF(W572="Rejected","Evidence rejected",IF(W572&lt;&gt;"Accepted","Evidence pending",IF(Y572&lt;'Residual Config'!$C$4,"Overdue","Current")))))</f>
        <v>Current</v>
      </c>
      <c r="AA572" s="34" t="n">
        <f aca="false">IF(I572="N/A","",IF(Z572&lt;&gt;"Current",4,IF(MAX(M572,T572)=0,4,MAX(M572,T572))))</f>
        <v>2</v>
      </c>
      <c r="AB572" s="7" t="str">
        <f aca="false">IF(AA572="","N/A",IF(Z572&lt;&gt;"Current","Not tested / overdue",INDEX('Residual Config'!$B$11:$B$14,AA572)))</f>
        <v>Largely effective</v>
      </c>
      <c r="AC572" s="36" t="n">
        <f aca="false">IF(AA572="","",INDEX('Residual Config'!$D$11:$D$14,AA572))</f>
        <v>0.4</v>
      </c>
      <c r="AD572" s="7" t="str">
        <f aca="false">IF(OR(I572="N/A",P572="",Q572=""),"",IF(P572&gt;=Q572,"Yes","No"))</f>
        <v>Yes</v>
      </c>
      <c r="AE572" s="8"/>
    </row>
    <row r="573" customFormat="false" ht="15" hidden="false" customHeight="false" outlineLevel="0" collapsed="false">
      <c r="A573" s="12" t="s">
        <v>2147</v>
      </c>
      <c r="B573" s="26" t="str">
        <f aca="false">Entities!$A$18</f>
        <v>OM</v>
      </c>
      <c r="C573" s="12" t="str">
        <f aca="false">INDEX(Entities!$B$5:$B$34,MATCH(B573,Entities!$A$5:$A$34,0))</f>
        <v>Oman Arab Bank (affiliate)</v>
      </c>
      <c r="D573" s="7" t="str">
        <f aca="false">INDEX(Entities!$F$5:$F$34,MATCH(B573,Entities!$A$5:$A$34,0))</f>
        <v>Tier 2</v>
      </c>
      <c r="E573" s="26" t="str">
        <f aca="false">'Control Library'!$A$14</f>
        <v>CTL-SAN-02</v>
      </c>
      <c r="F573" s="12" t="str">
        <f aca="false">INDEX('Control Library'!$B$5:$B$47,MATCH(E573,'Control Library'!$A$5:$A$47,0))</f>
        <v>Customer and counterparty screening at onboarding and on list change</v>
      </c>
      <c r="G573" s="7" t="str">
        <f aca="false">INDEX('Control Library'!$F$5:$F$47,MATCH(E573,'Control Library'!$A$5:$A$47,0))</f>
        <v>Y</v>
      </c>
      <c r="H573" s="12" t="str">
        <f aca="false">INDEX('Control Library'!$E$5:$E$47,MATCH(E573,'Control Library'!$A$5:$A$47,0))</f>
        <v>Continuous</v>
      </c>
      <c r="I573" s="7" t="str">
        <f aca="false">IF(INDEX('Control Library'!$I$5:$I$47,MATCH(E573,'Control Library'!$A$5:$A$47,0))="All","Y",IF(INDEX('Control Library'!$I$5:$I$47,MATCH(E573,'Control Library'!$A$5:$A$47,0))="Banks only",IF(COUNTIF('Residual Config'!$L$28:$L$30,INDEX(Entities!$E$5:$E$34,MATCH(B573,Entities!$A$5:$A$34,0)))&gt;0,"N/A","Y"),IF(INDEX(Entities!$G$5:$G$34,MATCH(B573,Entities!$A$5:$A$34,0))="Y","Y","N/A")))</f>
        <v>Y</v>
      </c>
      <c r="J573" s="8" t="s">
        <v>2145</v>
      </c>
      <c r="K573" s="8" t="s">
        <v>2126</v>
      </c>
      <c r="L573" s="7" t="str">
        <f aca="false">IF(OR(J573="",K573=""),"",IF(J573=K573,"Breach","OK"))</f>
        <v>OK</v>
      </c>
      <c r="M573" s="24" t="n">
        <v>1</v>
      </c>
      <c r="N573" s="50" t="n">
        <v>46259</v>
      </c>
      <c r="O573" s="8" t="s">
        <v>546</v>
      </c>
      <c r="P573" s="24" t="n">
        <v>1</v>
      </c>
      <c r="Q573" s="31" t="n">
        <f aca="false">IF(I573="N/A","",IFERROR(INDEX('Residual Config'!$B$35:$B$42,MATCH(H573,'Residual Config'!$A$35:$A$42,0)),""))</f>
        <v>1</v>
      </c>
      <c r="R573" s="24" t="n">
        <v>1</v>
      </c>
      <c r="S573" s="8" t="s">
        <v>521</v>
      </c>
      <c r="T573" s="31" t="n">
        <f aca="false">IF(S573="","",MATCH(S573,'Residual Config'!$L$9:$L$12,0))</f>
        <v>2</v>
      </c>
      <c r="U573" s="8" t="s">
        <v>2148</v>
      </c>
      <c r="V573" s="24" t="n">
        <v>2</v>
      </c>
      <c r="W573" s="33" t="s">
        <v>533</v>
      </c>
      <c r="X573" s="8" t="s">
        <v>760</v>
      </c>
      <c r="Y573" s="51" t="n">
        <f aca="false">IF(N573="","",EDATE(N573,IF(G573="N",INDEX('Residual Config'!$B$31:$D$31,1,MATCH(D573,'Residual Config'!$B$27:$D$27,0)),INDEX('Residual Config'!$B$28:$D$30,IF(T573=1,1,IF(T573=4,3,2)),MATCH(D573,'Residual Config'!$B$27:$D$27,0)))))</f>
        <v>46443</v>
      </c>
      <c r="Z573" s="7" t="str">
        <f aca="false">IF(I573="N/A","N/A",IF(N573="","Not tested",IF(W573="Rejected","Evidence rejected",IF(W573&lt;&gt;"Accepted","Evidence pending",IF(Y573&lt;'Residual Config'!$C$4,"Overdue","Current")))))</f>
        <v>Current</v>
      </c>
      <c r="AA573" s="34" t="n">
        <f aca="false">IF(I573="N/A","",IF(Z573&lt;&gt;"Current",4,IF(MAX(M573,T573)=0,4,MAX(M573,T573))))</f>
        <v>2</v>
      </c>
      <c r="AB573" s="7" t="str">
        <f aca="false">IF(AA573="","N/A",IF(Z573&lt;&gt;"Current","Not tested / overdue",INDEX('Residual Config'!$B$11:$B$14,AA573)))</f>
        <v>Largely effective</v>
      </c>
      <c r="AC573" s="36" t="n">
        <f aca="false">IF(AA573="","",INDEX('Residual Config'!$D$11:$D$14,AA573))</f>
        <v>0.4</v>
      </c>
      <c r="AD573" s="7" t="str">
        <f aca="false">IF(OR(I573="N/A",P573="",Q573=""),"",IF(P573&gt;=Q573,"Yes","No"))</f>
        <v>Yes</v>
      </c>
      <c r="AE573" s="8"/>
    </row>
    <row r="574" customFormat="false" ht="15" hidden="false" customHeight="false" outlineLevel="0" collapsed="false">
      <c r="A574" s="12" t="s">
        <v>2149</v>
      </c>
      <c r="B574" s="26" t="str">
        <f aca="false">Entities!$A$18</f>
        <v>OM</v>
      </c>
      <c r="C574" s="12" t="str">
        <f aca="false">INDEX(Entities!$B$5:$B$34,MATCH(B574,Entities!$A$5:$A$34,0))</f>
        <v>Oman Arab Bank (affiliate)</v>
      </c>
      <c r="D574" s="7" t="str">
        <f aca="false">INDEX(Entities!$F$5:$F$34,MATCH(B574,Entities!$A$5:$A$34,0))</f>
        <v>Tier 2</v>
      </c>
      <c r="E574" s="26" t="str">
        <f aca="false">'Control Library'!$A$15</f>
        <v>CTL-SAN-03</v>
      </c>
      <c r="F574" s="12" t="str">
        <f aca="false">INDEX('Control Library'!$B$5:$B$47,MATCH(E574,'Control Library'!$A$5:$A$47,0))</f>
        <v>Sanctions list updates applied within 24 hours</v>
      </c>
      <c r="G574" s="7" t="str">
        <f aca="false">INDEX('Control Library'!$F$5:$F$47,MATCH(E574,'Control Library'!$A$5:$A$47,0))</f>
        <v>N</v>
      </c>
      <c r="H574" s="12" t="str">
        <f aca="false">INDEX('Control Library'!$E$5:$E$47,MATCH(E574,'Control Library'!$A$5:$A$47,0))</f>
        <v>Daily</v>
      </c>
      <c r="I574" s="7" t="str">
        <f aca="false">IF(INDEX('Control Library'!$I$5:$I$47,MATCH(E574,'Control Library'!$A$5:$A$47,0))="All","Y",IF(INDEX('Control Library'!$I$5:$I$47,MATCH(E574,'Control Library'!$A$5:$A$47,0))="Banks only",IF(COUNTIF('Residual Config'!$L$28:$L$30,INDEX(Entities!$E$5:$E$34,MATCH(B574,Entities!$A$5:$A$34,0)))&gt;0,"N/A","Y"),IF(INDEX(Entities!$G$5:$G$34,MATCH(B574,Entities!$A$5:$A$34,0))="Y","Y","N/A")))</f>
        <v>Y</v>
      </c>
      <c r="J574" s="8" t="s">
        <v>2150</v>
      </c>
      <c r="K574" s="8" t="s">
        <v>2126</v>
      </c>
      <c r="L574" s="7" t="str">
        <f aca="false">IF(OR(J574="",K574=""),"",IF(J574=K574,"Breach","OK"))</f>
        <v>OK</v>
      </c>
      <c r="M574" s="24" t="n">
        <v>1</v>
      </c>
      <c r="N574" s="50" t="n">
        <v>46204</v>
      </c>
      <c r="O574" s="8" t="s">
        <v>545</v>
      </c>
      <c r="P574" s="24" t="n">
        <v>30</v>
      </c>
      <c r="Q574" s="31" t="n">
        <f aca="false">IF(I574="N/A","",IFERROR(INDEX('Residual Config'!$B$35:$B$42,MATCH(H574,'Residual Config'!$A$35:$A$42,0)),""))</f>
        <v>25</v>
      </c>
      <c r="R574" s="24" t="n">
        <v>1</v>
      </c>
      <c r="S574" s="8" t="s">
        <v>521</v>
      </c>
      <c r="T574" s="31" t="n">
        <f aca="false">IF(S574="","",MATCH(S574,'Residual Config'!$L$9:$L$12,0))</f>
        <v>2</v>
      </c>
      <c r="U574" s="8" t="s">
        <v>2151</v>
      </c>
      <c r="V574" s="24" t="n">
        <v>3</v>
      </c>
      <c r="W574" s="33" t="s">
        <v>533</v>
      </c>
      <c r="X574" s="8" t="s">
        <v>760</v>
      </c>
      <c r="Y574" s="51" t="n">
        <f aca="false">IF(N574="","",EDATE(N574,IF(G574="N",INDEX('Residual Config'!$B$31:$D$31,1,MATCH(D574,'Residual Config'!$B$27:$D$27,0)),INDEX('Residual Config'!$B$28:$D$30,IF(T574=1,1,IF(T574=4,3,2)),MATCH(D574,'Residual Config'!$B$27:$D$27,0)))))</f>
        <v>46569</v>
      </c>
      <c r="Z574" s="7" t="str">
        <f aca="false">IF(I574="N/A","N/A",IF(N574="","Not tested",IF(W574="Rejected","Evidence rejected",IF(W574&lt;&gt;"Accepted","Evidence pending",IF(Y574&lt;'Residual Config'!$C$4,"Overdue","Current")))))</f>
        <v>Current</v>
      </c>
      <c r="AA574" s="34" t="n">
        <f aca="false">IF(I574="N/A","",IF(Z574&lt;&gt;"Current",4,IF(MAX(M574,T574)=0,4,MAX(M574,T574))))</f>
        <v>2</v>
      </c>
      <c r="AB574" s="7" t="str">
        <f aca="false">IF(AA574="","N/A",IF(Z574&lt;&gt;"Current","Not tested / overdue",INDEX('Residual Config'!$B$11:$B$14,AA574)))</f>
        <v>Largely effective</v>
      </c>
      <c r="AC574" s="36" t="n">
        <f aca="false">IF(AA574="","",INDEX('Residual Config'!$D$11:$D$14,AA574))</f>
        <v>0.4</v>
      </c>
      <c r="AD574" s="7" t="str">
        <f aca="false">IF(OR(I574="N/A",P574="",Q574=""),"",IF(P574&gt;=Q574,"Yes","No"))</f>
        <v>Yes</v>
      </c>
      <c r="AE574" s="8"/>
    </row>
    <row r="575" customFormat="false" ht="15" hidden="false" customHeight="false" outlineLevel="0" collapsed="false">
      <c r="A575" s="12" t="s">
        <v>2152</v>
      </c>
      <c r="B575" s="26" t="str">
        <f aca="false">Entities!$A$18</f>
        <v>OM</v>
      </c>
      <c r="C575" s="12" t="str">
        <f aca="false">INDEX(Entities!$B$5:$B$34,MATCH(B575,Entities!$A$5:$A$34,0))</f>
        <v>Oman Arab Bank (affiliate)</v>
      </c>
      <c r="D575" s="7" t="str">
        <f aca="false">INDEX(Entities!$F$5:$F$34,MATCH(B575,Entities!$A$5:$A$34,0))</f>
        <v>Tier 2</v>
      </c>
      <c r="E575" s="26" t="str">
        <f aca="false">'Control Library'!$A$16</f>
        <v>CTL-TF-01</v>
      </c>
      <c r="F575" s="12" t="str">
        <f aca="false">INDEX('Control Library'!$B$5:$B$47,MATCH(E575,'Control Library'!$A$5:$A$47,0))</f>
        <v>NPO and charity enhanced due diligence</v>
      </c>
      <c r="G575" s="7" t="str">
        <f aca="false">INDEX('Control Library'!$F$5:$F$47,MATCH(E575,'Control Library'!$A$5:$A$47,0))</f>
        <v>N</v>
      </c>
      <c r="H575" s="12" t="str">
        <f aca="false">INDEX('Control Library'!$E$5:$E$47,MATCH(E575,'Control Library'!$A$5:$A$47,0))</f>
        <v>Event-driven</v>
      </c>
      <c r="I575" s="7" t="str">
        <f aca="false">IF(INDEX('Control Library'!$I$5:$I$47,MATCH(E575,'Control Library'!$A$5:$A$47,0))="All","Y",IF(INDEX('Control Library'!$I$5:$I$47,MATCH(E575,'Control Library'!$A$5:$A$47,0))="Banks only",IF(COUNTIF('Residual Config'!$L$28:$L$30,INDEX(Entities!$E$5:$E$34,MATCH(B575,Entities!$A$5:$A$34,0)))&gt;0,"N/A","Y"),IF(INDEX(Entities!$G$5:$G$34,MATCH(B575,Entities!$A$5:$A$34,0))="Y","Y","N/A")))</f>
        <v>Y</v>
      </c>
      <c r="J575" s="8" t="s">
        <v>2153</v>
      </c>
      <c r="K575" s="8" t="s">
        <v>2126</v>
      </c>
      <c r="L575" s="7" t="str">
        <f aca="false">IF(OR(J575="",K575=""),"",IF(J575=K575,"Breach","OK"))</f>
        <v>OK</v>
      </c>
      <c r="M575" s="24" t="n">
        <v>1</v>
      </c>
      <c r="N575" s="50" t="n">
        <v>46036</v>
      </c>
      <c r="O575" s="8" t="s">
        <v>545</v>
      </c>
      <c r="P575" s="24" t="n">
        <v>30</v>
      </c>
      <c r="Q575" s="31" t="n">
        <f aca="false">IF(I575="N/A","",IFERROR(INDEX('Residual Config'!$B$35:$B$42,MATCH(H575,'Residual Config'!$A$35:$A$42,0)),""))</f>
        <v>25</v>
      </c>
      <c r="R575" s="24" t="n">
        <v>0</v>
      </c>
      <c r="S575" s="8" t="s">
        <v>516</v>
      </c>
      <c r="T575" s="31" t="n">
        <f aca="false">IF(S575="","",MATCH(S575,'Residual Config'!$L$9:$L$12,0))</f>
        <v>1</v>
      </c>
      <c r="U575" s="8" t="s">
        <v>2154</v>
      </c>
      <c r="V575" s="24" t="n">
        <v>6</v>
      </c>
      <c r="W575" s="33" t="s">
        <v>533</v>
      </c>
      <c r="X575" s="8" t="s">
        <v>754</v>
      </c>
      <c r="Y575" s="51" t="n">
        <f aca="false">IF(N575="","",EDATE(N575,IF(G575="N",INDEX('Residual Config'!$B$31:$D$31,1,MATCH(D575,'Residual Config'!$B$27:$D$27,0)),INDEX('Residual Config'!$B$28:$D$30,IF(T575=1,1,IF(T575=4,3,2)),MATCH(D575,'Residual Config'!$B$27:$D$27,0)))))</f>
        <v>46401</v>
      </c>
      <c r="Z575" s="7" t="str">
        <f aca="false">IF(I575="N/A","N/A",IF(N575="","Not tested",IF(W575="Rejected","Evidence rejected",IF(W575&lt;&gt;"Accepted","Evidence pending",IF(Y575&lt;'Residual Config'!$C$4,"Overdue","Current")))))</f>
        <v>Current</v>
      </c>
      <c r="AA575" s="34" t="n">
        <f aca="false">IF(I575="N/A","",IF(Z575&lt;&gt;"Current",4,IF(MAX(M575,T575)=0,4,MAX(M575,T575))))</f>
        <v>1</v>
      </c>
      <c r="AB575" s="7" t="str">
        <f aca="false">IF(AA575="","N/A",IF(Z575&lt;&gt;"Current","Not tested / overdue",INDEX('Residual Config'!$B$11:$B$14,AA575)))</f>
        <v>Effective</v>
      </c>
      <c r="AC575" s="36" t="n">
        <f aca="false">IF(AA575="","",INDEX('Residual Config'!$D$11:$D$14,AA575))</f>
        <v>0.6</v>
      </c>
      <c r="AD575" s="7" t="str">
        <f aca="false">IF(OR(I575="N/A",P575="",Q575=""),"",IF(P575&gt;=Q575,"Yes","No"))</f>
        <v>Yes</v>
      </c>
      <c r="AE575" s="8"/>
    </row>
    <row r="576" customFormat="false" ht="15" hidden="false" customHeight="false" outlineLevel="0" collapsed="false">
      <c r="A576" s="12" t="s">
        <v>2155</v>
      </c>
      <c r="B576" s="26" t="str">
        <f aca="false">Entities!$A$18</f>
        <v>OM</v>
      </c>
      <c r="C576" s="12" t="str">
        <f aca="false">INDEX(Entities!$B$5:$B$34,MATCH(B576,Entities!$A$5:$A$34,0))</f>
        <v>Oman Arab Bank (affiliate)</v>
      </c>
      <c r="D576" s="7" t="str">
        <f aca="false">INDEX(Entities!$F$5:$F$34,MATCH(B576,Entities!$A$5:$A$34,0))</f>
        <v>Tier 2</v>
      </c>
      <c r="E576" s="26" t="str">
        <f aca="false">'Control Library'!$A$17</f>
        <v>CTL-TBML-01</v>
      </c>
      <c r="F576" s="12" t="str">
        <f aca="false">INDEX('Control Library'!$B$5:$B$47,MATCH(E576,'Control Library'!$A$5:$A$47,0))</f>
        <v>Trade-based ML red-flag review and pricing checks</v>
      </c>
      <c r="G576" s="7" t="str">
        <f aca="false">INDEX('Control Library'!$F$5:$F$47,MATCH(E576,'Control Library'!$A$5:$A$47,0))</f>
        <v>Y</v>
      </c>
      <c r="H576" s="12" t="str">
        <f aca="false">INDEX('Control Library'!$E$5:$E$47,MATCH(E576,'Control Library'!$A$5:$A$47,0))</f>
        <v>Event-driven</v>
      </c>
      <c r="I576" s="7" t="str">
        <f aca="false">IF(INDEX('Control Library'!$I$5:$I$47,MATCH(E576,'Control Library'!$A$5:$A$47,0))="All","Y",IF(INDEX('Control Library'!$I$5:$I$47,MATCH(E576,'Control Library'!$A$5:$A$47,0))="Banks only",IF(COUNTIF('Residual Config'!$L$28:$L$30,INDEX(Entities!$E$5:$E$34,MATCH(B576,Entities!$A$5:$A$34,0)))&gt;0,"N/A","Y"),IF(INDEX(Entities!$G$5:$G$34,MATCH(B576,Entities!$A$5:$A$34,0))="Y","Y","N/A")))</f>
        <v>Y</v>
      </c>
      <c r="J576" s="8" t="s">
        <v>2156</v>
      </c>
      <c r="K576" s="8" t="s">
        <v>2126</v>
      </c>
      <c r="L576" s="7" t="str">
        <f aca="false">IF(OR(J576="",K576=""),"",IF(J576=K576,"Breach","OK"))</f>
        <v>OK</v>
      </c>
      <c r="M576" s="24" t="n">
        <v>2</v>
      </c>
      <c r="N576" s="50" t="n">
        <v>46147</v>
      </c>
      <c r="O576" s="8" t="s">
        <v>545</v>
      </c>
      <c r="P576" s="24" t="n">
        <v>35</v>
      </c>
      <c r="Q576" s="31" t="n">
        <f aca="false">IF(I576="N/A","",IFERROR(INDEX('Residual Config'!$B$35:$B$42,MATCH(H576,'Residual Config'!$A$35:$A$42,0)),""))</f>
        <v>25</v>
      </c>
      <c r="R576" s="24" t="n">
        <v>1</v>
      </c>
      <c r="S576" s="8" t="s">
        <v>521</v>
      </c>
      <c r="T576" s="31" t="n">
        <f aca="false">IF(S576="","",MATCH(S576,'Residual Config'!$L$9:$L$12,0))</f>
        <v>2</v>
      </c>
      <c r="U576" s="8" t="s">
        <v>2157</v>
      </c>
      <c r="V576" s="24" t="n">
        <v>5</v>
      </c>
      <c r="W576" s="33" t="s">
        <v>533</v>
      </c>
      <c r="X576" s="8" t="s">
        <v>760</v>
      </c>
      <c r="Y576" s="51" t="n">
        <f aca="false">IF(N576="","",EDATE(N576,IF(G576="N",INDEX('Residual Config'!$B$31:$D$31,1,MATCH(D576,'Residual Config'!$B$27:$D$27,0)),INDEX('Residual Config'!$B$28:$D$30,IF(T576=1,1,IF(T576=4,3,2)),MATCH(D576,'Residual Config'!$B$27:$D$27,0)))))</f>
        <v>46331</v>
      </c>
      <c r="Z576" s="7" t="str">
        <f aca="false">IF(I576="N/A","N/A",IF(N576="","Not tested",IF(W576="Rejected","Evidence rejected",IF(W576&lt;&gt;"Accepted","Evidence pending",IF(Y576&lt;'Residual Config'!$C$4,"Overdue","Current")))))</f>
        <v>Current</v>
      </c>
      <c r="AA576" s="34" t="n">
        <f aca="false">IF(I576="N/A","",IF(Z576&lt;&gt;"Current",4,IF(MAX(M576,T576)=0,4,MAX(M576,T576))))</f>
        <v>2</v>
      </c>
      <c r="AB576" s="7" t="str">
        <f aca="false">IF(AA576="","N/A",IF(Z576&lt;&gt;"Current","Not tested / overdue",INDEX('Residual Config'!$B$11:$B$14,AA576)))</f>
        <v>Largely effective</v>
      </c>
      <c r="AC576" s="36" t="n">
        <f aca="false">IF(AA576="","",INDEX('Residual Config'!$D$11:$D$14,AA576))</f>
        <v>0.4</v>
      </c>
      <c r="AD576" s="7" t="str">
        <f aca="false">IF(OR(I576="N/A",P576="",Q576=""),"",IF(P576&gt;=Q576,"Yes","No"))</f>
        <v>Yes</v>
      </c>
      <c r="AE576" s="8"/>
    </row>
    <row r="577" customFormat="false" ht="15" hidden="false" customHeight="false" outlineLevel="0" collapsed="false">
      <c r="A577" s="12" t="s">
        <v>2158</v>
      </c>
      <c r="B577" s="26" t="str">
        <f aca="false">Entities!$A$18</f>
        <v>OM</v>
      </c>
      <c r="C577" s="12" t="str">
        <f aca="false">INDEX(Entities!$B$5:$B$34,MATCH(B577,Entities!$A$5:$A$34,0))</f>
        <v>Oman Arab Bank (affiliate)</v>
      </c>
      <c r="D577" s="7" t="str">
        <f aca="false">INDEX(Entities!$F$5:$F$34,MATCH(B577,Entities!$A$5:$A$34,0))</f>
        <v>Tier 2</v>
      </c>
      <c r="E577" s="26" t="str">
        <f aca="false">'Control Library'!$A$18</f>
        <v>CTL-PF-01</v>
      </c>
      <c r="F577" s="12" t="str">
        <f aca="false">INDEX('Control Library'!$B$5:$B$47,MATCH(E577,'Control Library'!$A$5:$A$47,0))</f>
        <v>Dual-use goods, vessel and port screening</v>
      </c>
      <c r="G577" s="7" t="str">
        <f aca="false">INDEX('Control Library'!$F$5:$F$47,MATCH(E577,'Control Library'!$A$5:$A$47,0))</f>
        <v>Y</v>
      </c>
      <c r="H577" s="12" t="str">
        <f aca="false">INDEX('Control Library'!$E$5:$E$47,MATCH(E577,'Control Library'!$A$5:$A$47,0))</f>
        <v>Event-driven</v>
      </c>
      <c r="I577" s="7" t="str">
        <f aca="false">IF(INDEX('Control Library'!$I$5:$I$47,MATCH(E577,'Control Library'!$A$5:$A$47,0))="All","Y",IF(INDEX('Control Library'!$I$5:$I$47,MATCH(E577,'Control Library'!$A$5:$A$47,0))="Banks only",IF(COUNTIF('Residual Config'!$L$28:$L$30,INDEX(Entities!$E$5:$E$34,MATCH(B577,Entities!$A$5:$A$34,0)))&gt;0,"N/A","Y"),IF(INDEX(Entities!$G$5:$G$34,MATCH(B577,Entities!$A$5:$A$34,0))="Y","Y","N/A")))</f>
        <v>Y</v>
      </c>
      <c r="J577" s="8" t="s">
        <v>2156</v>
      </c>
      <c r="K577" s="8" t="s">
        <v>2126</v>
      </c>
      <c r="L577" s="7" t="str">
        <f aca="false">IF(OR(J577="",K577=""),"",IF(J577=K577,"Breach","OK"))</f>
        <v>OK</v>
      </c>
      <c r="M577" s="24" t="n">
        <v>1</v>
      </c>
      <c r="N577" s="50" t="n">
        <v>46052</v>
      </c>
      <c r="O577" s="8" t="s">
        <v>545</v>
      </c>
      <c r="P577" s="24" t="n">
        <v>35</v>
      </c>
      <c r="Q577" s="31" t="n">
        <f aca="false">IF(I577="N/A","",IFERROR(INDEX('Residual Config'!$B$35:$B$42,MATCH(H577,'Residual Config'!$A$35:$A$42,0)),""))</f>
        <v>25</v>
      </c>
      <c r="R577" s="24" t="n">
        <v>0</v>
      </c>
      <c r="S577" s="8" t="s">
        <v>516</v>
      </c>
      <c r="T577" s="31" t="n">
        <f aca="false">IF(S577="","",MATCH(S577,'Residual Config'!$L$9:$L$12,0))</f>
        <v>1</v>
      </c>
      <c r="U577" s="8" t="s">
        <v>2159</v>
      </c>
      <c r="V577" s="24" t="n">
        <v>4</v>
      </c>
      <c r="W577" s="33" t="s">
        <v>533</v>
      </c>
      <c r="X577" s="8" t="s">
        <v>760</v>
      </c>
      <c r="Y577" s="51" t="n">
        <f aca="false">IF(N577="","",EDATE(N577,IF(G577="N",INDEX('Residual Config'!$B$31:$D$31,1,MATCH(D577,'Residual Config'!$B$27:$D$27,0)),INDEX('Residual Config'!$B$28:$D$30,IF(T577=1,1,IF(T577=4,3,2)),MATCH(D577,'Residual Config'!$B$27:$D$27,0)))))</f>
        <v>46417</v>
      </c>
      <c r="Z577" s="7" t="str">
        <f aca="false">IF(I577="N/A","N/A",IF(N577="","Not tested",IF(W577="Rejected","Evidence rejected",IF(W577&lt;&gt;"Accepted","Evidence pending",IF(Y577&lt;'Residual Config'!$C$4,"Overdue","Current")))))</f>
        <v>Current</v>
      </c>
      <c r="AA577" s="34" t="n">
        <f aca="false">IF(I577="N/A","",IF(Z577&lt;&gt;"Current",4,IF(MAX(M577,T577)=0,4,MAX(M577,T577))))</f>
        <v>1</v>
      </c>
      <c r="AB577" s="7" t="str">
        <f aca="false">IF(AA577="","N/A",IF(Z577&lt;&gt;"Current","Not tested / overdue",INDEX('Residual Config'!$B$11:$B$14,AA577)))</f>
        <v>Effective</v>
      </c>
      <c r="AC577" s="36" t="n">
        <f aca="false">IF(AA577="","",INDEX('Residual Config'!$D$11:$D$14,AA577))</f>
        <v>0.6</v>
      </c>
      <c r="AD577" s="7" t="str">
        <f aca="false">IF(OR(I577="N/A",P577="",Q577=""),"",IF(P577&gt;=Q577,"Yes","No"))</f>
        <v>Yes</v>
      </c>
      <c r="AE577" s="8"/>
    </row>
    <row r="578" customFormat="false" ht="15" hidden="false" customHeight="false" outlineLevel="0" collapsed="false">
      <c r="A578" s="12" t="s">
        <v>2160</v>
      </c>
      <c r="B578" s="26" t="str">
        <f aca="false">Entities!$A$18</f>
        <v>OM</v>
      </c>
      <c r="C578" s="12" t="str">
        <f aca="false">INDEX(Entities!$B$5:$B$34,MATCH(B578,Entities!$A$5:$A$34,0))</f>
        <v>Oman Arab Bank (affiliate)</v>
      </c>
      <c r="D578" s="7" t="str">
        <f aca="false">INDEX(Entities!$F$5:$F$34,MATCH(B578,Entities!$A$5:$A$34,0))</f>
        <v>Tier 2</v>
      </c>
      <c r="E578" s="26" t="str">
        <f aca="false">'Control Library'!$A$19</f>
        <v>CTL-CB-01</v>
      </c>
      <c r="F578" s="12" t="str">
        <f aca="false">INDEX('Control Library'!$B$5:$B$47,MATCH(E578,'Control Library'!$A$5:$A$47,0))</f>
        <v>Correspondent bank due diligence (CBDDQ) and nesting detection</v>
      </c>
      <c r="G578" s="7" t="str">
        <f aca="false">INDEX('Control Library'!$F$5:$F$47,MATCH(E578,'Control Library'!$A$5:$A$47,0))</f>
        <v>Y</v>
      </c>
      <c r="H578" s="12" t="str">
        <f aca="false">INDEX('Control Library'!$E$5:$E$47,MATCH(E578,'Control Library'!$A$5:$A$47,0))</f>
        <v>Annual</v>
      </c>
      <c r="I578" s="7" t="str">
        <f aca="false">IF(INDEX('Control Library'!$I$5:$I$47,MATCH(E578,'Control Library'!$A$5:$A$47,0))="All","Y",IF(INDEX('Control Library'!$I$5:$I$47,MATCH(E578,'Control Library'!$A$5:$A$47,0))="Banks only",IF(COUNTIF('Residual Config'!$L$28:$L$30,INDEX(Entities!$E$5:$E$34,MATCH(B578,Entities!$A$5:$A$34,0)))&gt;0,"N/A","Y"),IF(INDEX(Entities!$G$5:$G$34,MATCH(B578,Entities!$A$5:$A$34,0))="Y","Y","N/A")))</f>
        <v>Y</v>
      </c>
      <c r="J578" s="8" t="s">
        <v>2161</v>
      </c>
      <c r="K578" s="8" t="s">
        <v>2126</v>
      </c>
      <c r="L578" s="7" t="str">
        <f aca="false">IF(OR(J578="",K578=""),"",IF(J578=K578,"Breach","OK"))</f>
        <v>OK</v>
      </c>
      <c r="M578" s="24" t="n">
        <v>2</v>
      </c>
      <c r="N578" s="50" t="n">
        <v>46250</v>
      </c>
      <c r="O578" s="8" t="s">
        <v>545</v>
      </c>
      <c r="P578" s="24" t="n">
        <v>1</v>
      </c>
      <c r="Q578" s="31" t="n">
        <f aca="false">IF(I578="N/A","",IFERROR(INDEX('Residual Config'!$B$35:$B$42,MATCH(H578,'Residual Config'!$A$35:$A$42,0)),""))</f>
        <v>1</v>
      </c>
      <c r="R578" s="24" t="n">
        <v>1</v>
      </c>
      <c r="S578" s="8" t="s">
        <v>521</v>
      </c>
      <c r="T578" s="31" t="n">
        <f aca="false">IF(S578="","",MATCH(S578,'Residual Config'!$L$9:$L$12,0))</f>
        <v>2</v>
      </c>
      <c r="U578" s="8" t="s">
        <v>2162</v>
      </c>
      <c r="V578" s="24" t="n">
        <v>3</v>
      </c>
      <c r="W578" s="33" t="s">
        <v>533</v>
      </c>
      <c r="X578" s="8" t="s">
        <v>760</v>
      </c>
      <c r="Y578" s="51" t="n">
        <f aca="false">IF(N578="","",EDATE(N578,IF(G578="N",INDEX('Residual Config'!$B$31:$D$31,1,MATCH(D578,'Residual Config'!$B$27:$D$27,0)),INDEX('Residual Config'!$B$28:$D$30,IF(T578=1,1,IF(T578=4,3,2)),MATCH(D578,'Residual Config'!$B$27:$D$27,0)))))</f>
        <v>46434</v>
      </c>
      <c r="Z578" s="7" t="str">
        <f aca="false">IF(I578="N/A","N/A",IF(N578="","Not tested",IF(W578="Rejected","Evidence rejected",IF(W578&lt;&gt;"Accepted","Evidence pending",IF(Y578&lt;'Residual Config'!$C$4,"Overdue","Current")))))</f>
        <v>Current</v>
      </c>
      <c r="AA578" s="34" t="n">
        <f aca="false">IF(I578="N/A","",IF(Z578&lt;&gt;"Current",4,IF(MAX(M578,T578)=0,4,MAX(M578,T578))))</f>
        <v>2</v>
      </c>
      <c r="AB578" s="7" t="str">
        <f aca="false">IF(AA578="","N/A",IF(Z578&lt;&gt;"Current","Not tested / overdue",INDEX('Residual Config'!$B$11:$B$14,AA578)))</f>
        <v>Largely effective</v>
      </c>
      <c r="AC578" s="36" t="n">
        <f aca="false">IF(AA578="","",INDEX('Residual Config'!$D$11:$D$14,AA578))</f>
        <v>0.4</v>
      </c>
      <c r="AD578" s="7" t="str">
        <f aca="false">IF(OR(I578="N/A",P578="",Q578=""),"",IF(P578&gt;=Q578,"Yes","No"))</f>
        <v>Yes</v>
      </c>
      <c r="AE578" s="8"/>
    </row>
    <row r="579" customFormat="false" ht="15" hidden="false" customHeight="false" outlineLevel="0" collapsed="false">
      <c r="A579" s="12" t="s">
        <v>2163</v>
      </c>
      <c r="B579" s="26" t="str">
        <f aca="false">Entities!$A$18</f>
        <v>OM</v>
      </c>
      <c r="C579" s="12" t="str">
        <f aca="false">INDEX(Entities!$B$5:$B$34,MATCH(B579,Entities!$A$5:$A$34,0))</f>
        <v>Oman Arab Bank (affiliate)</v>
      </c>
      <c r="D579" s="7" t="str">
        <f aca="false">INDEX(Entities!$F$5:$F$34,MATCH(B579,Entities!$A$5:$A$34,0))</f>
        <v>Tier 2</v>
      </c>
      <c r="E579" s="26" t="str">
        <f aca="false">'Control Library'!$A$20</f>
        <v>CTL-PAY-01</v>
      </c>
      <c r="F579" s="12" t="str">
        <f aca="false">INDEX('Control Library'!$B$5:$B$47,MATCH(E579,'Control Library'!$A$5:$A$47,0))</f>
        <v>Payment transparency checks (FATF R.16)</v>
      </c>
      <c r="G579" s="7" t="str">
        <f aca="false">INDEX('Control Library'!$F$5:$F$47,MATCH(E579,'Control Library'!$A$5:$A$47,0))</f>
        <v>N</v>
      </c>
      <c r="H579" s="12" t="str">
        <f aca="false">INDEX('Control Library'!$E$5:$E$47,MATCH(E579,'Control Library'!$A$5:$A$47,0))</f>
        <v>Continuous</v>
      </c>
      <c r="I579" s="7" t="str">
        <f aca="false">IF(INDEX('Control Library'!$I$5:$I$47,MATCH(E579,'Control Library'!$A$5:$A$47,0))="All","Y",IF(INDEX('Control Library'!$I$5:$I$47,MATCH(E579,'Control Library'!$A$5:$A$47,0))="Banks only",IF(COUNTIF('Residual Config'!$L$28:$L$30,INDEX(Entities!$E$5:$E$34,MATCH(B579,Entities!$A$5:$A$34,0)))&gt;0,"N/A","Y"),IF(INDEX(Entities!$G$5:$G$34,MATCH(B579,Entities!$A$5:$A$34,0))="Y","Y","N/A")))</f>
        <v>Y</v>
      </c>
      <c r="J579" s="8" t="s">
        <v>2164</v>
      </c>
      <c r="K579" s="8" t="s">
        <v>2126</v>
      </c>
      <c r="L579" s="7" t="str">
        <f aca="false">IF(OR(J579="",K579=""),"",IF(J579=K579,"Breach","OK"))</f>
        <v>OK</v>
      </c>
      <c r="M579" s="24" t="n">
        <v>2</v>
      </c>
      <c r="N579" s="50" t="n">
        <v>46165</v>
      </c>
      <c r="O579" s="8" t="s">
        <v>546</v>
      </c>
      <c r="P579" s="24" t="n">
        <v>1</v>
      </c>
      <c r="Q579" s="31" t="n">
        <f aca="false">IF(I579="N/A","",IFERROR(INDEX('Residual Config'!$B$35:$B$42,MATCH(H579,'Residual Config'!$A$35:$A$42,0)),""))</f>
        <v>1</v>
      </c>
      <c r="R579" s="24" t="n">
        <v>1</v>
      </c>
      <c r="S579" s="8" t="s">
        <v>521</v>
      </c>
      <c r="T579" s="31" t="n">
        <f aca="false">IF(S579="","",MATCH(S579,'Residual Config'!$L$9:$L$12,0))</f>
        <v>2</v>
      </c>
      <c r="U579" s="8" t="s">
        <v>2165</v>
      </c>
      <c r="V579" s="24" t="n">
        <v>2</v>
      </c>
      <c r="W579" s="33" t="s">
        <v>533</v>
      </c>
      <c r="X579" s="8" t="s">
        <v>754</v>
      </c>
      <c r="Y579" s="51" t="n">
        <f aca="false">IF(N579="","",EDATE(N579,IF(G579="N",INDEX('Residual Config'!$B$31:$D$31,1,MATCH(D579,'Residual Config'!$B$27:$D$27,0)),INDEX('Residual Config'!$B$28:$D$30,IF(T579=1,1,IF(T579=4,3,2)),MATCH(D579,'Residual Config'!$B$27:$D$27,0)))))</f>
        <v>46530</v>
      </c>
      <c r="Z579" s="7" t="str">
        <f aca="false">IF(I579="N/A","N/A",IF(N579="","Not tested",IF(W579="Rejected","Evidence rejected",IF(W579&lt;&gt;"Accepted","Evidence pending",IF(Y579&lt;'Residual Config'!$C$4,"Overdue","Current")))))</f>
        <v>Current</v>
      </c>
      <c r="AA579" s="34" t="n">
        <f aca="false">IF(I579="N/A","",IF(Z579&lt;&gt;"Current",4,IF(MAX(M579,T579)=0,4,MAX(M579,T579))))</f>
        <v>2</v>
      </c>
      <c r="AB579" s="7" t="str">
        <f aca="false">IF(AA579="","N/A",IF(Z579&lt;&gt;"Current","Not tested / overdue",INDEX('Residual Config'!$B$11:$B$14,AA579)))</f>
        <v>Largely effective</v>
      </c>
      <c r="AC579" s="36" t="n">
        <f aca="false">IF(AA579="","",INDEX('Residual Config'!$D$11:$D$14,AA579))</f>
        <v>0.4</v>
      </c>
      <c r="AD579" s="7" t="str">
        <f aca="false">IF(OR(I579="N/A",P579="",Q579=""),"",IF(P579&gt;=Q579,"Yes","No"))</f>
        <v>Yes</v>
      </c>
      <c r="AE579" s="8"/>
    </row>
    <row r="580" customFormat="false" ht="15" hidden="false" customHeight="false" outlineLevel="0" collapsed="false">
      <c r="A580" s="12" t="s">
        <v>2166</v>
      </c>
      <c r="B580" s="26" t="str">
        <f aca="false">Entities!$A$18</f>
        <v>OM</v>
      </c>
      <c r="C580" s="12" t="str">
        <f aca="false">INDEX(Entities!$B$5:$B$34,MATCH(B580,Entities!$A$5:$A$34,0))</f>
        <v>Oman Arab Bank (affiliate)</v>
      </c>
      <c r="D580" s="7" t="str">
        <f aca="false">INDEX(Entities!$F$5:$F$34,MATCH(B580,Entities!$A$5:$A$34,0))</f>
        <v>Tier 2</v>
      </c>
      <c r="E580" s="26" t="str">
        <f aca="false">'Control Library'!$A$21</f>
        <v>CTL-ABC-01</v>
      </c>
      <c r="F580" s="12" t="str">
        <f aca="false">INDEX('Control Library'!$B$5:$B$47,MATCH(E580,'Control Library'!$A$5:$A$47,0))</f>
        <v>Third-party and intermediary anti-bribery due diligence</v>
      </c>
      <c r="G580" s="7" t="str">
        <f aca="false">INDEX('Control Library'!$F$5:$F$47,MATCH(E580,'Control Library'!$A$5:$A$47,0))</f>
        <v>Y</v>
      </c>
      <c r="H580" s="12" t="str">
        <f aca="false">INDEX('Control Library'!$E$5:$E$47,MATCH(E580,'Control Library'!$A$5:$A$47,0))</f>
        <v>Event-driven</v>
      </c>
      <c r="I580" s="7" t="str">
        <f aca="false">IF(INDEX('Control Library'!$I$5:$I$47,MATCH(E580,'Control Library'!$A$5:$A$47,0))="All","Y",IF(INDEX('Control Library'!$I$5:$I$47,MATCH(E580,'Control Library'!$A$5:$A$47,0))="Banks only",IF(COUNTIF('Residual Config'!$L$28:$L$30,INDEX(Entities!$E$5:$E$34,MATCH(B580,Entities!$A$5:$A$34,0)))&gt;0,"N/A","Y"),IF(INDEX(Entities!$G$5:$G$34,MATCH(B580,Entities!$A$5:$A$34,0))="Y","Y","N/A")))</f>
        <v>Y</v>
      </c>
      <c r="J580" s="8" t="s">
        <v>2167</v>
      </c>
      <c r="K580" s="8" t="s">
        <v>2126</v>
      </c>
      <c r="L580" s="7" t="str">
        <f aca="false">IF(OR(J580="",K580=""),"",IF(J580=K580,"Breach","OK"))</f>
        <v>OK</v>
      </c>
      <c r="M580" s="24" t="n">
        <v>2</v>
      </c>
      <c r="N580" s="50" t="n">
        <v>46128</v>
      </c>
      <c r="O580" s="8" t="s">
        <v>545</v>
      </c>
      <c r="P580" s="24" t="n">
        <v>35</v>
      </c>
      <c r="Q580" s="31" t="n">
        <f aca="false">IF(I580="N/A","",IFERROR(INDEX('Residual Config'!$B$35:$B$42,MATCH(H580,'Residual Config'!$A$35:$A$42,0)),""))</f>
        <v>25</v>
      </c>
      <c r="R580" s="24" t="n">
        <v>0</v>
      </c>
      <c r="S580" s="8" t="s">
        <v>516</v>
      </c>
      <c r="T580" s="31" t="n">
        <f aca="false">IF(S580="","",MATCH(S580,'Residual Config'!$L$9:$L$12,0))</f>
        <v>1</v>
      </c>
      <c r="U580" s="8" t="s">
        <v>2168</v>
      </c>
      <c r="V580" s="24" t="n">
        <v>1</v>
      </c>
      <c r="W580" s="33" t="s">
        <v>533</v>
      </c>
      <c r="X580" s="8" t="s">
        <v>760</v>
      </c>
      <c r="Y580" s="51" t="n">
        <f aca="false">IF(N580="","",EDATE(N580,IF(G580="N",INDEX('Residual Config'!$B$31:$D$31,1,MATCH(D580,'Residual Config'!$B$27:$D$27,0)),INDEX('Residual Config'!$B$28:$D$30,IF(T580=1,1,IF(T580=4,3,2)),MATCH(D580,'Residual Config'!$B$27:$D$27,0)))))</f>
        <v>46493</v>
      </c>
      <c r="Z580" s="7" t="str">
        <f aca="false">IF(I580="N/A","N/A",IF(N580="","Not tested",IF(W580="Rejected","Evidence rejected",IF(W580&lt;&gt;"Accepted","Evidence pending",IF(Y580&lt;'Residual Config'!$C$4,"Overdue","Current")))))</f>
        <v>Current</v>
      </c>
      <c r="AA580" s="34" t="n">
        <f aca="false">IF(I580="N/A","",IF(Z580&lt;&gt;"Current",4,IF(MAX(M580,T580)=0,4,MAX(M580,T580))))</f>
        <v>2</v>
      </c>
      <c r="AB580" s="7" t="str">
        <f aca="false">IF(AA580="","N/A",IF(Z580&lt;&gt;"Current","Not tested / overdue",INDEX('Residual Config'!$B$11:$B$14,AA580)))</f>
        <v>Largely effective</v>
      </c>
      <c r="AC580" s="36" t="n">
        <f aca="false">IF(AA580="","",INDEX('Residual Config'!$D$11:$D$14,AA580))</f>
        <v>0.4</v>
      </c>
      <c r="AD580" s="7" t="str">
        <f aca="false">IF(OR(I580="N/A",P580="",Q580=""),"",IF(P580&gt;=Q580,"Yes","No"))</f>
        <v>Yes</v>
      </c>
      <c r="AE580" s="8"/>
    </row>
    <row r="581" customFormat="false" ht="15" hidden="false" customHeight="false" outlineLevel="0" collapsed="false">
      <c r="A581" s="12" t="s">
        <v>2169</v>
      </c>
      <c r="B581" s="26" t="str">
        <f aca="false">Entities!$A$18</f>
        <v>OM</v>
      </c>
      <c r="C581" s="12" t="str">
        <f aca="false">INDEX(Entities!$B$5:$B$34,MATCH(B581,Entities!$A$5:$A$34,0))</f>
        <v>Oman Arab Bank (affiliate)</v>
      </c>
      <c r="D581" s="7" t="str">
        <f aca="false">INDEX(Entities!$F$5:$F$34,MATCH(B581,Entities!$A$5:$A$34,0))</f>
        <v>Tier 2</v>
      </c>
      <c r="E581" s="26" t="str">
        <f aca="false">'Control Library'!$A$22</f>
        <v>CTL-ABC-02</v>
      </c>
      <c r="F581" s="12" t="str">
        <f aca="false">INDEX('Control Library'!$B$5:$B$47,MATCH(E581,'Control Library'!$A$5:$A$47,0))</f>
        <v>Gifts, hospitality and donations register with pre-approval</v>
      </c>
      <c r="G581" s="7" t="str">
        <f aca="false">INDEX('Control Library'!$F$5:$F$47,MATCH(E581,'Control Library'!$A$5:$A$47,0))</f>
        <v>N</v>
      </c>
      <c r="H581" s="12" t="str">
        <f aca="false">INDEX('Control Library'!$E$5:$E$47,MATCH(E581,'Control Library'!$A$5:$A$47,0))</f>
        <v>Event-driven</v>
      </c>
      <c r="I581" s="7" t="str">
        <f aca="false">IF(INDEX('Control Library'!$I$5:$I$47,MATCH(E581,'Control Library'!$A$5:$A$47,0))="All","Y",IF(INDEX('Control Library'!$I$5:$I$47,MATCH(E581,'Control Library'!$A$5:$A$47,0))="Banks only",IF(COUNTIF('Residual Config'!$L$28:$L$30,INDEX(Entities!$E$5:$E$34,MATCH(B581,Entities!$A$5:$A$34,0)))&gt;0,"N/A","Y"),IF(INDEX(Entities!$G$5:$G$34,MATCH(B581,Entities!$A$5:$A$34,0))="Y","Y","N/A")))</f>
        <v>Y</v>
      </c>
      <c r="J581" s="8" t="s">
        <v>2129</v>
      </c>
      <c r="K581" s="8" t="s">
        <v>2126</v>
      </c>
      <c r="L581" s="7" t="str">
        <f aca="false">IF(OR(J581="",K581=""),"",IF(J581=K581,"Breach","OK"))</f>
        <v>OK</v>
      </c>
      <c r="M581" s="24" t="n">
        <v>1</v>
      </c>
      <c r="N581" s="50" t="n">
        <v>46103</v>
      </c>
      <c r="O581" s="8" t="s">
        <v>545</v>
      </c>
      <c r="P581" s="24" t="n">
        <v>25</v>
      </c>
      <c r="Q581" s="31" t="n">
        <f aca="false">IF(I581="N/A","",IFERROR(INDEX('Residual Config'!$B$35:$B$42,MATCH(H581,'Residual Config'!$A$35:$A$42,0)),""))</f>
        <v>25</v>
      </c>
      <c r="R581" s="24" t="n">
        <v>0</v>
      </c>
      <c r="S581" s="8" t="s">
        <v>516</v>
      </c>
      <c r="T581" s="31" t="n">
        <f aca="false">IF(S581="","",MATCH(S581,'Residual Config'!$L$9:$L$12,0))</f>
        <v>1</v>
      </c>
      <c r="U581" s="8" t="s">
        <v>2170</v>
      </c>
      <c r="V581" s="24" t="n">
        <v>1</v>
      </c>
      <c r="W581" s="33" t="s">
        <v>533</v>
      </c>
      <c r="X581" s="8" t="s">
        <v>754</v>
      </c>
      <c r="Y581" s="51" t="n">
        <f aca="false">IF(N581="","",EDATE(N581,IF(G581="N",INDEX('Residual Config'!$B$31:$D$31,1,MATCH(D581,'Residual Config'!$B$27:$D$27,0)),INDEX('Residual Config'!$B$28:$D$30,IF(T581=1,1,IF(T581=4,3,2)),MATCH(D581,'Residual Config'!$B$27:$D$27,0)))))</f>
        <v>46468</v>
      </c>
      <c r="Z581" s="7" t="str">
        <f aca="false">IF(I581="N/A","N/A",IF(N581="","Not tested",IF(W581="Rejected","Evidence rejected",IF(W581&lt;&gt;"Accepted","Evidence pending",IF(Y581&lt;'Residual Config'!$C$4,"Overdue","Current")))))</f>
        <v>Current</v>
      </c>
      <c r="AA581" s="34" t="n">
        <f aca="false">IF(I581="N/A","",IF(Z581&lt;&gt;"Current",4,IF(MAX(M581,T581)=0,4,MAX(M581,T581))))</f>
        <v>1</v>
      </c>
      <c r="AB581" s="7" t="str">
        <f aca="false">IF(AA581="","N/A",IF(Z581&lt;&gt;"Current","Not tested / overdue",INDEX('Residual Config'!$B$11:$B$14,AA581)))</f>
        <v>Effective</v>
      </c>
      <c r="AC581" s="36" t="n">
        <f aca="false">IF(AA581="","",INDEX('Residual Config'!$D$11:$D$14,AA581))</f>
        <v>0.6</v>
      </c>
      <c r="AD581" s="7" t="str">
        <f aca="false">IF(OR(I581="N/A",P581="",Q581=""),"",IF(P581&gt;=Q581,"Yes","No"))</f>
        <v>Yes</v>
      </c>
      <c r="AE581" s="8"/>
    </row>
    <row r="582" customFormat="false" ht="15" hidden="false" customHeight="false" outlineLevel="0" collapsed="false">
      <c r="A582" s="12" t="s">
        <v>2171</v>
      </c>
      <c r="B582" s="26" t="str">
        <f aca="false">Entities!$A$18</f>
        <v>OM</v>
      </c>
      <c r="C582" s="12" t="str">
        <f aca="false">INDEX(Entities!$B$5:$B$34,MATCH(B582,Entities!$A$5:$A$34,0))</f>
        <v>Oman Arab Bank (affiliate)</v>
      </c>
      <c r="D582" s="7" t="str">
        <f aca="false">INDEX(Entities!$F$5:$F$34,MATCH(B582,Entities!$A$5:$A$34,0))</f>
        <v>Tier 2</v>
      </c>
      <c r="E582" s="26" t="str">
        <f aca="false">'Control Library'!$A$23</f>
        <v>CTL-FRD-01</v>
      </c>
      <c r="F582" s="12" t="str">
        <f aca="false">INDEX('Control Library'!$B$5:$B$47,MATCH(E582,'Control Library'!$A$5:$A$47,0))</f>
        <v>Real-time fraud monitoring for cards and digital channels</v>
      </c>
      <c r="G582" s="7" t="str">
        <f aca="false">INDEX('Control Library'!$F$5:$F$47,MATCH(E582,'Control Library'!$A$5:$A$47,0))</f>
        <v>Y</v>
      </c>
      <c r="H582" s="12" t="str">
        <f aca="false">INDEX('Control Library'!$E$5:$E$47,MATCH(E582,'Control Library'!$A$5:$A$47,0))</f>
        <v>Continuous</v>
      </c>
      <c r="I582" s="7" t="str">
        <f aca="false">IF(INDEX('Control Library'!$I$5:$I$47,MATCH(E582,'Control Library'!$A$5:$A$47,0))="All","Y",IF(INDEX('Control Library'!$I$5:$I$47,MATCH(E582,'Control Library'!$A$5:$A$47,0))="Banks only",IF(COUNTIF('Residual Config'!$L$28:$L$30,INDEX(Entities!$E$5:$E$34,MATCH(B582,Entities!$A$5:$A$34,0)))&gt;0,"N/A","Y"),IF(INDEX(Entities!$G$5:$G$34,MATCH(B582,Entities!$A$5:$A$34,0))="Y","Y","N/A")))</f>
        <v>Y</v>
      </c>
      <c r="J582" s="8" t="s">
        <v>2172</v>
      </c>
      <c r="K582" s="8" t="s">
        <v>2126</v>
      </c>
      <c r="L582" s="7" t="str">
        <f aca="false">IF(OR(J582="",K582=""),"",IF(J582=K582,"Breach","OK"))</f>
        <v>OK</v>
      </c>
      <c r="M582" s="24" t="n">
        <v>1</v>
      </c>
      <c r="N582" s="50" t="n">
        <v>46276</v>
      </c>
      <c r="O582" s="8" t="s">
        <v>546</v>
      </c>
      <c r="P582" s="24" t="n">
        <v>1</v>
      </c>
      <c r="Q582" s="31" t="n">
        <f aca="false">IF(I582="N/A","",IFERROR(INDEX('Residual Config'!$B$35:$B$42,MATCH(H582,'Residual Config'!$A$35:$A$42,0)),""))</f>
        <v>1</v>
      </c>
      <c r="R582" s="24" t="n">
        <v>1</v>
      </c>
      <c r="S582" s="8" t="s">
        <v>521</v>
      </c>
      <c r="T582" s="31" t="n">
        <f aca="false">IF(S582="","",MATCH(S582,'Residual Config'!$L$9:$L$12,0))</f>
        <v>2</v>
      </c>
      <c r="U582" s="8" t="s">
        <v>2173</v>
      </c>
      <c r="V582" s="24" t="n">
        <v>3</v>
      </c>
      <c r="W582" s="33" t="s">
        <v>533</v>
      </c>
      <c r="X582" s="8" t="s">
        <v>760</v>
      </c>
      <c r="Y582" s="51" t="n">
        <f aca="false">IF(N582="","",EDATE(N582,IF(G582="N",INDEX('Residual Config'!$B$31:$D$31,1,MATCH(D582,'Residual Config'!$B$27:$D$27,0)),INDEX('Residual Config'!$B$28:$D$30,IF(T582=1,1,IF(T582=4,3,2)),MATCH(D582,'Residual Config'!$B$27:$D$27,0)))))</f>
        <v>46457</v>
      </c>
      <c r="Z582" s="7" t="str">
        <f aca="false">IF(I582="N/A","N/A",IF(N582="","Not tested",IF(W582="Rejected","Evidence rejected",IF(W582&lt;&gt;"Accepted","Evidence pending",IF(Y582&lt;'Residual Config'!$C$4,"Overdue","Current")))))</f>
        <v>Current</v>
      </c>
      <c r="AA582" s="34" t="n">
        <f aca="false">IF(I582="N/A","",IF(Z582&lt;&gt;"Current",4,IF(MAX(M582,T582)=0,4,MAX(M582,T582))))</f>
        <v>2</v>
      </c>
      <c r="AB582" s="7" t="str">
        <f aca="false">IF(AA582="","N/A",IF(Z582&lt;&gt;"Current","Not tested / overdue",INDEX('Residual Config'!$B$11:$B$14,AA582)))</f>
        <v>Largely effective</v>
      </c>
      <c r="AC582" s="36" t="n">
        <f aca="false">IF(AA582="","",INDEX('Residual Config'!$D$11:$D$14,AA582))</f>
        <v>0.4</v>
      </c>
      <c r="AD582" s="7" t="str">
        <f aca="false">IF(OR(I582="N/A",P582="",Q582=""),"",IF(P582&gt;=Q582,"Yes","No"))</f>
        <v>Yes</v>
      </c>
      <c r="AE582" s="8"/>
    </row>
    <row r="583" customFormat="false" ht="15" hidden="false" customHeight="false" outlineLevel="0" collapsed="false">
      <c r="A583" s="12" t="s">
        <v>2174</v>
      </c>
      <c r="B583" s="26" t="str">
        <f aca="false">Entities!$A$18</f>
        <v>OM</v>
      </c>
      <c r="C583" s="12" t="str">
        <f aca="false">INDEX(Entities!$B$5:$B$34,MATCH(B583,Entities!$A$5:$A$34,0))</f>
        <v>Oman Arab Bank (affiliate)</v>
      </c>
      <c r="D583" s="7" t="str">
        <f aca="false">INDEX(Entities!$F$5:$F$34,MATCH(B583,Entities!$A$5:$A$34,0))</f>
        <v>Tier 2</v>
      </c>
      <c r="E583" s="26" t="str">
        <f aca="false">'Control Library'!$A$24</f>
        <v>CTL-FRD-02</v>
      </c>
      <c r="F583" s="12" t="str">
        <f aca="false">INDEX('Control Library'!$B$5:$B$47,MATCH(E583,'Control Library'!$A$5:$A$47,0))</f>
        <v>Maker-checker and dual control on payments and static data</v>
      </c>
      <c r="G583" s="7" t="str">
        <f aca="false">INDEX('Control Library'!$F$5:$F$47,MATCH(E583,'Control Library'!$A$5:$A$47,0))</f>
        <v>Y</v>
      </c>
      <c r="H583" s="12" t="str">
        <f aca="false">INDEX('Control Library'!$E$5:$E$47,MATCH(E583,'Control Library'!$A$5:$A$47,0))</f>
        <v>Daily</v>
      </c>
      <c r="I583" s="7" t="str">
        <f aca="false">IF(INDEX('Control Library'!$I$5:$I$47,MATCH(E583,'Control Library'!$A$5:$A$47,0))="All","Y",IF(INDEX('Control Library'!$I$5:$I$47,MATCH(E583,'Control Library'!$A$5:$A$47,0))="Banks only",IF(COUNTIF('Residual Config'!$L$28:$L$30,INDEX(Entities!$E$5:$E$34,MATCH(B583,Entities!$A$5:$A$34,0)))&gt;0,"N/A","Y"),IF(INDEX(Entities!$G$5:$G$34,MATCH(B583,Entities!$A$5:$A$34,0))="Y","Y","N/A")))</f>
        <v>Y</v>
      </c>
      <c r="J583" s="8" t="s">
        <v>2125</v>
      </c>
      <c r="K583" s="8" t="s">
        <v>2126</v>
      </c>
      <c r="L583" s="7" t="str">
        <f aca="false">IF(OR(J583="",K583=""),"",IF(J583=K583,"Breach","OK"))</f>
        <v>OK</v>
      </c>
      <c r="M583" s="24" t="n">
        <v>1</v>
      </c>
      <c r="N583" s="50" t="n">
        <v>46255</v>
      </c>
      <c r="O583" s="8" t="s">
        <v>546</v>
      </c>
      <c r="P583" s="24" t="n">
        <v>30</v>
      </c>
      <c r="Q583" s="31" t="n">
        <f aca="false">IF(I583="N/A","",IFERROR(INDEX('Residual Config'!$B$35:$B$42,MATCH(H583,'Residual Config'!$A$35:$A$42,0)),""))</f>
        <v>25</v>
      </c>
      <c r="R583" s="24" t="n">
        <v>3</v>
      </c>
      <c r="S583" s="8" t="s">
        <v>524</v>
      </c>
      <c r="T583" s="31" t="n">
        <f aca="false">IF(S583="","",MATCH(S583,'Residual Config'!$L$9:$L$12,0))</f>
        <v>3</v>
      </c>
      <c r="U583" s="8" t="s">
        <v>2175</v>
      </c>
      <c r="V583" s="24" t="n">
        <v>1</v>
      </c>
      <c r="W583" s="33" t="s">
        <v>535</v>
      </c>
      <c r="X583" s="8" t="s">
        <v>754</v>
      </c>
      <c r="Y583" s="51" t="n">
        <f aca="false">IF(N583="","",EDATE(N583,IF(G583="N",INDEX('Residual Config'!$B$31:$D$31,1,MATCH(D583,'Residual Config'!$B$27:$D$27,0)),INDEX('Residual Config'!$B$28:$D$30,IF(T583=1,1,IF(T583=4,3,2)),MATCH(D583,'Residual Config'!$B$27:$D$27,0)))))</f>
        <v>46439</v>
      </c>
      <c r="Z583" s="7" t="str">
        <f aca="false">IF(I583="N/A","N/A",IF(N583="","Not tested",IF(W583="Rejected","Evidence rejected",IF(W583&lt;&gt;"Accepted","Evidence pending",IF(Y583&lt;'Residual Config'!$C$4,"Overdue","Current")))))</f>
        <v>Evidence rejected</v>
      </c>
      <c r="AA583" s="34" t="n">
        <f aca="false">IF(I583="N/A","",IF(Z583&lt;&gt;"Current",4,IF(MAX(M583,T583)=0,4,MAX(M583,T583))))</f>
        <v>4</v>
      </c>
      <c r="AB583" s="7" t="str">
        <f aca="false">IF(AA583="","N/A",IF(Z583&lt;&gt;"Current","Not tested / overdue",INDEX('Residual Config'!$B$11:$B$14,AA583)))</f>
        <v>Not tested / overdue</v>
      </c>
      <c r="AC583" s="36" t="n">
        <f aca="false">IF(AA583="","",INDEX('Residual Config'!$D$11:$D$14,AA583))</f>
        <v>0</v>
      </c>
      <c r="AD583" s="7" t="str">
        <f aca="false">IF(OR(I583="N/A",P583="",Q583=""),"",IF(P583&gt;=Q583,"Yes","No"))</f>
        <v>Yes</v>
      </c>
      <c r="AE583" s="8"/>
    </row>
    <row r="584" customFormat="false" ht="15" hidden="false" customHeight="false" outlineLevel="0" collapsed="false">
      <c r="A584" s="12" t="s">
        <v>2176</v>
      </c>
      <c r="B584" s="26" t="str">
        <f aca="false">Entities!$A$18</f>
        <v>OM</v>
      </c>
      <c r="C584" s="12" t="str">
        <f aca="false">INDEX(Entities!$B$5:$B$34,MATCH(B584,Entities!$A$5:$A$34,0))</f>
        <v>Oman Arab Bank (affiliate)</v>
      </c>
      <c r="D584" s="7" t="str">
        <f aca="false">INDEX(Entities!$F$5:$F$34,MATCH(B584,Entities!$A$5:$A$34,0))</f>
        <v>Tier 2</v>
      </c>
      <c r="E584" s="26" t="str">
        <f aca="false">'Control Library'!$A$25</f>
        <v>CTL-FRD-03</v>
      </c>
      <c r="F584" s="12" t="str">
        <f aca="false">INDEX('Control Library'!$B$5:$B$47,MATCH(E584,'Control Library'!$A$5:$A$47,0))</f>
        <v>Mandatory consecutive leave and rotation for sensitive roles</v>
      </c>
      <c r="G584" s="7" t="str">
        <f aca="false">INDEX('Control Library'!$F$5:$F$47,MATCH(E584,'Control Library'!$A$5:$A$47,0))</f>
        <v>N</v>
      </c>
      <c r="H584" s="12" t="str">
        <f aca="false">INDEX('Control Library'!$E$5:$E$47,MATCH(E584,'Control Library'!$A$5:$A$47,0))</f>
        <v>Annual</v>
      </c>
      <c r="I584" s="7" t="str">
        <f aca="false">IF(INDEX('Control Library'!$I$5:$I$47,MATCH(E584,'Control Library'!$A$5:$A$47,0))="All","Y",IF(INDEX('Control Library'!$I$5:$I$47,MATCH(E584,'Control Library'!$A$5:$A$47,0))="Banks only",IF(COUNTIF('Residual Config'!$L$28:$L$30,INDEX(Entities!$E$5:$E$34,MATCH(B584,Entities!$A$5:$A$34,0)))&gt;0,"N/A","Y"),IF(INDEX(Entities!$G$5:$G$34,MATCH(B584,Entities!$A$5:$A$34,0))="Y","Y","N/A")))</f>
        <v>Y</v>
      </c>
      <c r="J584" s="8" t="s">
        <v>2177</v>
      </c>
      <c r="K584" s="8" t="s">
        <v>2126</v>
      </c>
      <c r="L584" s="7" t="str">
        <f aca="false">IF(OR(J584="",K584=""),"",IF(J584=K584,"Breach","OK"))</f>
        <v>OK</v>
      </c>
      <c r="M584" s="24" t="n">
        <v>2</v>
      </c>
      <c r="N584" s="50" t="n">
        <v>46016</v>
      </c>
      <c r="O584" s="8" t="s">
        <v>546</v>
      </c>
      <c r="P584" s="24" t="n">
        <v>1</v>
      </c>
      <c r="Q584" s="31" t="n">
        <f aca="false">IF(I584="N/A","",IFERROR(INDEX('Residual Config'!$B$35:$B$42,MATCH(H584,'Residual Config'!$A$35:$A$42,0)),""))</f>
        <v>1</v>
      </c>
      <c r="R584" s="24" t="n">
        <v>1</v>
      </c>
      <c r="S584" s="8" t="s">
        <v>524</v>
      </c>
      <c r="T584" s="31" t="n">
        <f aca="false">IF(S584="","",MATCH(S584,'Residual Config'!$L$9:$L$12,0))</f>
        <v>3</v>
      </c>
      <c r="U584" s="8" t="s">
        <v>2178</v>
      </c>
      <c r="V584" s="24" t="n">
        <v>3</v>
      </c>
      <c r="W584" s="33" t="s">
        <v>533</v>
      </c>
      <c r="X584" s="8" t="s">
        <v>754</v>
      </c>
      <c r="Y584" s="51" t="n">
        <f aca="false">IF(N584="","",EDATE(N584,IF(G584="N",INDEX('Residual Config'!$B$31:$D$31,1,MATCH(D584,'Residual Config'!$B$27:$D$27,0)),INDEX('Residual Config'!$B$28:$D$30,IF(T584=1,1,IF(T584=4,3,2)),MATCH(D584,'Residual Config'!$B$27:$D$27,0)))))</f>
        <v>46381</v>
      </c>
      <c r="Z584" s="7" t="str">
        <f aca="false">IF(I584="N/A","N/A",IF(N584="","Not tested",IF(W584="Rejected","Evidence rejected",IF(W584&lt;&gt;"Accepted","Evidence pending",IF(Y584&lt;'Residual Config'!$C$4,"Overdue","Current")))))</f>
        <v>Current</v>
      </c>
      <c r="AA584" s="34" t="n">
        <f aca="false">IF(I584="N/A","",IF(Z584&lt;&gt;"Current",4,IF(MAX(M584,T584)=0,4,MAX(M584,T584))))</f>
        <v>3</v>
      </c>
      <c r="AB584" s="7" t="str">
        <f aca="false">IF(AA584="","N/A",IF(Z584&lt;&gt;"Current","Not tested / overdue",INDEX('Residual Config'!$B$11:$B$14,AA584)))</f>
        <v>Partially effective</v>
      </c>
      <c r="AC584" s="36" t="n">
        <f aca="false">IF(AA584="","",INDEX('Residual Config'!$D$11:$D$14,AA584))</f>
        <v>0.2</v>
      </c>
      <c r="AD584" s="7" t="str">
        <f aca="false">IF(OR(I584="N/A",P584="",Q584=""),"",IF(P584&gt;=Q584,"Yes","No"))</f>
        <v>Yes</v>
      </c>
      <c r="AE584" s="8"/>
    </row>
    <row r="585" customFormat="false" ht="15" hidden="false" customHeight="false" outlineLevel="0" collapsed="false">
      <c r="A585" s="12" t="s">
        <v>2179</v>
      </c>
      <c r="B585" s="26" t="str">
        <f aca="false">Entities!$A$18</f>
        <v>OM</v>
      </c>
      <c r="C585" s="12" t="str">
        <f aca="false">INDEX(Entities!$B$5:$B$34,MATCH(B585,Entities!$A$5:$A$34,0))</f>
        <v>Oman Arab Bank (affiliate)</v>
      </c>
      <c r="D585" s="7" t="str">
        <f aca="false">INDEX(Entities!$F$5:$F$34,MATCH(B585,Entities!$A$5:$A$34,0))</f>
        <v>Tier 2</v>
      </c>
      <c r="E585" s="26" t="str">
        <f aca="false">'Control Library'!$A$26</f>
        <v>CTL-TAX-01</v>
      </c>
      <c r="F585" s="12" t="str">
        <f aca="false">INDEX('Control Library'!$B$5:$B$47,MATCH(E585,'Control Library'!$A$5:$A$47,0))</f>
        <v>FATCA/CRS self-certification and classification</v>
      </c>
      <c r="G585" s="7" t="str">
        <f aca="false">INDEX('Control Library'!$F$5:$F$47,MATCH(E585,'Control Library'!$A$5:$A$47,0))</f>
        <v>Y</v>
      </c>
      <c r="H585" s="12" t="str">
        <f aca="false">INDEX('Control Library'!$E$5:$E$47,MATCH(E585,'Control Library'!$A$5:$A$47,0))</f>
        <v>Event-driven</v>
      </c>
      <c r="I585" s="7" t="str">
        <f aca="false">IF(INDEX('Control Library'!$I$5:$I$47,MATCH(E585,'Control Library'!$A$5:$A$47,0))="All","Y",IF(INDEX('Control Library'!$I$5:$I$47,MATCH(E585,'Control Library'!$A$5:$A$47,0))="Banks only",IF(COUNTIF('Residual Config'!$L$28:$L$30,INDEX(Entities!$E$5:$E$34,MATCH(B585,Entities!$A$5:$A$34,0)))&gt;0,"N/A","Y"),IF(INDEX(Entities!$G$5:$G$34,MATCH(B585,Entities!$A$5:$A$34,0))="Y","Y","N/A")))</f>
        <v>Y</v>
      </c>
      <c r="J585" s="8" t="s">
        <v>2125</v>
      </c>
      <c r="K585" s="8" t="s">
        <v>2126</v>
      </c>
      <c r="L585" s="7" t="str">
        <f aca="false">IF(OR(J585="",K585=""),"",IF(J585=K585,"Breach","OK"))</f>
        <v>OK</v>
      </c>
      <c r="M585" s="24" t="n">
        <v>2</v>
      </c>
      <c r="N585" s="50" t="n">
        <v>46230</v>
      </c>
      <c r="O585" s="8" t="s">
        <v>545</v>
      </c>
      <c r="P585" s="24" t="n">
        <v>25</v>
      </c>
      <c r="Q585" s="31" t="n">
        <f aca="false">IF(I585="N/A","",IFERROR(INDEX('Residual Config'!$B$35:$B$42,MATCH(H585,'Residual Config'!$A$35:$A$42,0)),""))</f>
        <v>25</v>
      </c>
      <c r="R585" s="24" t="n">
        <v>1</v>
      </c>
      <c r="S585" s="8" t="s">
        <v>521</v>
      </c>
      <c r="T585" s="31" t="n">
        <f aca="false">IF(S585="","",MATCH(S585,'Residual Config'!$L$9:$L$12,0))</f>
        <v>2</v>
      </c>
      <c r="U585" s="8" t="s">
        <v>2180</v>
      </c>
      <c r="V585" s="24" t="n">
        <v>5</v>
      </c>
      <c r="W585" s="33" t="s">
        <v>533</v>
      </c>
      <c r="X585" s="8" t="s">
        <v>760</v>
      </c>
      <c r="Y585" s="51" t="n">
        <f aca="false">IF(N585="","",EDATE(N585,IF(G585="N",INDEX('Residual Config'!$B$31:$D$31,1,MATCH(D585,'Residual Config'!$B$27:$D$27,0)),INDEX('Residual Config'!$B$28:$D$30,IF(T585=1,1,IF(T585=4,3,2)),MATCH(D585,'Residual Config'!$B$27:$D$27,0)))))</f>
        <v>46414</v>
      </c>
      <c r="Z585" s="7" t="str">
        <f aca="false">IF(I585="N/A","N/A",IF(N585="","Not tested",IF(W585="Rejected","Evidence rejected",IF(W585&lt;&gt;"Accepted","Evidence pending",IF(Y585&lt;'Residual Config'!$C$4,"Overdue","Current")))))</f>
        <v>Current</v>
      </c>
      <c r="AA585" s="34" t="n">
        <f aca="false">IF(I585="N/A","",IF(Z585&lt;&gt;"Current",4,IF(MAX(M585,T585)=0,4,MAX(M585,T585))))</f>
        <v>2</v>
      </c>
      <c r="AB585" s="7" t="str">
        <f aca="false">IF(AA585="","N/A",IF(Z585&lt;&gt;"Current","Not tested / overdue",INDEX('Residual Config'!$B$11:$B$14,AA585)))</f>
        <v>Largely effective</v>
      </c>
      <c r="AC585" s="36" t="n">
        <f aca="false">IF(AA585="","",INDEX('Residual Config'!$D$11:$D$14,AA585))</f>
        <v>0.4</v>
      </c>
      <c r="AD585" s="7" t="str">
        <f aca="false">IF(OR(I585="N/A",P585="",Q585=""),"",IF(P585&gt;=Q585,"Yes","No"))</f>
        <v>Yes</v>
      </c>
      <c r="AE585" s="8"/>
    </row>
    <row r="586" customFormat="false" ht="15" hidden="false" customHeight="false" outlineLevel="0" collapsed="false">
      <c r="A586" s="12" t="s">
        <v>2181</v>
      </c>
      <c r="B586" s="26" t="str">
        <f aca="false">Entities!$A$18</f>
        <v>OM</v>
      </c>
      <c r="C586" s="12" t="str">
        <f aca="false">INDEX(Entities!$B$5:$B$34,MATCH(B586,Entities!$A$5:$A$34,0))</f>
        <v>Oman Arab Bank (affiliate)</v>
      </c>
      <c r="D586" s="7" t="str">
        <f aca="false">INDEX(Entities!$F$5:$F$34,MATCH(B586,Entities!$A$5:$A$34,0))</f>
        <v>Tier 2</v>
      </c>
      <c r="E586" s="26" t="str">
        <f aca="false">'Control Library'!$A$27</f>
        <v>CTL-TAX-02</v>
      </c>
      <c r="F586" s="12" t="str">
        <f aca="false">INDEX('Control Library'!$B$5:$B$47,MATCH(E586,'Control Library'!$A$5:$A$47,0))</f>
        <v>FATCA/CRS reporting reconciliation and timely filing</v>
      </c>
      <c r="G586" s="7" t="str">
        <f aca="false">INDEX('Control Library'!$F$5:$F$47,MATCH(E586,'Control Library'!$A$5:$A$47,0))</f>
        <v>N</v>
      </c>
      <c r="H586" s="12" t="str">
        <f aca="false">INDEX('Control Library'!$E$5:$E$47,MATCH(E586,'Control Library'!$A$5:$A$47,0))</f>
        <v>Annual</v>
      </c>
      <c r="I586" s="7" t="str">
        <f aca="false">IF(INDEX('Control Library'!$I$5:$I$47,MATCH(E586,'Control Library'!$A$5:$A$47,0))="All","Y",IF(INDEX('Control Library'!$I$5:$I$47,MATCH(E586,'Control Library'!$A$5:$A$47,0))="Banks only",IF(COUNTIF('Residual Config'!$L$28:$L$30,INDEX(Entities!$E$5:$E$34,MATCH(B586,Entities!$A$5:$A$34,0)))&gt;0,"N/A","Y"),IF(INDEX(Entities!$G$5:$G$34,MATCH(B586,Entities!$A$5:$A$34,0))="Y","Y","N/A")))</f>
        <v>Y</v>
      </c>
      <c r="J586" s="8" t="s">
        <v>2182</v>
      </c>
      <c r="K586" s="8" t="s">
        <v>2126</v>
      </c>
      <c r="L586" s="7" t="str">
        <f aca="false">IF(OR(J586="",K586=""),"",IF(J586=K586,"Breach","OK"))</f>
        <v>OK</v>
      </c>
      <c r="M586" s="24" t="n">
        <v>1</v>
      </c>
      <c r="N586" s="50" t="n">
        <v>46233</v>
      </c>
      <c r="O586" s="8" t="s">
        <v>546</v>
      </c>
      <c r="P586" s="24" t="n">
        <v>1</v>
      </c>
      <c r="Q586" s="31" t="n">
        <f aca="false">IF(I586="N/A","",IFERROR(INDEX('Residual Config'!$B$35:$B$42,MATCH(H586,'Residual Config'!$A$35:$A$42,0)),""))</f>
        <v>1</v>
      </c>
      <c r="R586" s="24" t="n">
        <v>0</v>
      </c>
      <c r="S586" s="8" t="s">
        <v>516</v>
      </c>
      <c r="T586" s="31" t="n">
        <f aca="false">IF(S586="","",MATCH(S586,'Residual Config'!$L$9:$L$12,0))</f>
        <v>1</v>
      </c>
      <c r="U586" s="8" t="s">
        <v>2183</v>
      </c>
      <c r="V586" s="24" t="n">
        <v>4</v>
      </c>
      <c r="W586" s="33" t="s">
        <v>533</v>
      </c>
      <c r="X586" s="8" t="s">
        <v>754</v>
      </c>
      <c r="Y586" s="51" t="n">
        <f aca="false">IF(N586="","",EDATE(N586,IF(G586="N",INDEX('Residual Config'!$B$31:$D$31,1,MATCH(D586,'Residual Config'!$B$27:$D$27,0)),INDEX('Residual Config'!$B$28:$D$30,IF(T586=1,1,IF(T586=4,3,2)),MATCH(D586,'Residual Config'!$B$27:$D$27,0)))))</f>
        <v>46598</v>
      </c>
      <c r="Z586" s="7" t="str">
        <f aca="false">IF(I586="N/A","N/A",IF(N586="","Not tested",IF(W586="Rejected","Evidence rejected",IF(W586&lt;&gt;"Accepted","Evidence pending",IF(Y586&lt;'Residual Config'!$C$4,"Overdue","Current")))))</f>
        <v>Current</v>
      </c>
      <c r="AA586" s="34" t="n">
        <f aca="false">IF(I586="N/A","",IF(Z586&lt;&gt;"Current",4,IF(MAX(M586,T586)=0,4,MAX(M586,T586))))</f>
        <v>1</v>
      </c>
      <c r="AB586" s="7" t="str">
        <f aca="false">IF(AA586="","N/A",IF(Z586&lt;&gt;"Current","Not tested / overdue",INDEX('Residual Config'!$B$11:$B$14,AA586)))</f>
        <v>Effective</v>
      </c>
      <c r="AC586" s="36" t="n">
        <f aca="false">IF(AA586="","",INDEX('Residual Config'!$D$11:$D$14,AA586))</f>
        <v>0.6</v>
      </c>
      <c r="AD586" s="7" t="str">
        <f aca="false">IF(OR(I586="N/A",P586="",Q586=""),"",IF(P586&gt;=Q586,"Yes","No"))</f>
        <v>Yes</v>
      </c>
      <c r="AE586" s="8"/>
    </row>
    <row r="587" customFormat="false" ht="15" hidden="false" customHeight="false" outlineLevel="0" collapsed="false">
      <c r="A587" s="12" t="s">
        <v>2184</v>
      </c>
      <c r="B587" s="26" t="str">
        <f aca="false">Entities!$A$18</f>
        <v>OM</v>
      </c>
      <c r="C587" s="12" t="str">
        <f aca="false">INDEX(Entities!$B$5:$B$34,MATCH(B587,Entities!$A$5:$A$34,0))</f>
        <v>Oman Arab Bank (affiliate)</v>
      </c>
      <c r="D587" s="7" t="str">
        <f aca="false">INDEX(Entities!$F$5:$F$34,MATCH(B587,Entities!$A$5:$A$34,0))</f>
        <v>Tier 2</v>
      </c>
      <c r="E587" s="26" t="str">
        <f aca="false">'Control Library'!$A$28</f>
        <v>CTL-TRN-01</v>
      </c>
      <c r="F587" s="12" t="str">
        <f aca="false">INDEX('Control Library'!$B$5:$B$47,MATCH(E587,'Control Library'!$A$5:$A$47,0))</f>
        <v>Annual AML, sanctions and anti-bribery training</v>
      </c>
      <c r="G587" s="7" t="str">
        <f aca="false">INDEX('Control Library'!$F$5:$F$47,MATCH(E587,'Control Library'!$A$5:$A$47,0))</f>
        <v>N</v>
      </c>
      <c r="H587" s="12" t="str">
        <f aca="false">INDEX('Control Library'!$E$5:$E$47,MATCH(E587,'Control Library'!$A$5:$A$47,0))</f>
        <v>Annual</v>
      </c>
      <c r="I587" s="7" t="str">
        <f aca="false">IF(INDEX('Control Library'!$I$5:$I$47,MATCH(E587,'Control Library'!$A$5:$A$47,0))="All","Y",IF(INDEX('Control Library'!$I$5:$I$47,MATCH(E587,'Control Library'!$A$5:$A$47,0))="Banks only",IF(COUNTIF('Residual Config'!$L$28:$L$30,INDEX(Entities!$E$5:$E$34,MATCH(B587,Entities!$A$5:$A$34,0)))&gt;0,"N/A","Y"),IF(INDEX(Entities!$G$5:$G$34,MATCH(B587,Entities!$A$5:$A$34,0))="Y","Y","N/A")))</f>
        <v>Y</v>
      </c>
      <c r="J587" s="8" t="s">
        <v>2129</v>
      </c>
      <c r="K587" s="8" t="s">
        <v>2126</v>
      </c>
      <c r="L587" s="7" t="str">
        <f aca="false">IF(OR(J587="",K587=""),"",IF(J587=K587,"Breach","OK"))</f>
        <v>OK</v>
      </c>
      <c r="M587" s="24" t="n">
        <v>1</v>
      </c>
      <c r="N587" s="50" t="n">
        <v>46187</v>
      </c>
      <c r="O587" s="8" t="s">
        <v>545</v>
      </c>
      <c r="P587" s="24" t="n">
        <v>1</v>
      </c>
      <c r="Q587" s="31" t="n">
        <f aca="false">IF(I587="N/A","",IFERROR(INDEX('Residual Config'!$B$35:$B$42,MATCH(H587,'Residual Config'!$A$35:$A$42,0)),""))</f>
        <v>1</v>
      </c>
      <c r="R587" s="24" t="n">
        <v>1</v>
      </c>
      <c r="S587" s="8" t="s">
        <v>521</v>
      </c>
      <c r="T587" s="31" t="n">
        <f aca="false">IF(S587="","",MATCH(S587,'Residual Config'!$L$9:$L$12,0))</f>
        <v>2</v>
      </c>
      <c r="U587" s="8" t="s">
        <v>2185</v>
      </c>
      <c r="V587" s="24" t="n">
        <v>3</v>
      </c>
      <c r="W587" s="33" t="s">
        <v>533</v>
      </c>
      <c r="X587" s="8" t="s">
        <v>754</v>
      </c>
      <c r="Y587" s="51" t="n">
        <f aca="false">IF(N587="","",EDATE(N587,IF(G587="N",INDEX('Residual Config'!$B$31:$D$31,1,MATCH(D587,'Residual Config'!$B$27:$D$27,0)),INDEX('Residual Config'!$B$28:$D$30,IF(T587=1,1,IF(T587=4,3,2)),MATCH(D587,'Residual Config'!$B$27:$D$27,0)))))</f>
        <v>46552</v>
      </c>
      <c r="Z587" s="7" t="str">
        <f aca="false">IF(I587="N/A","N/A",IF(N587="","Not tested",IF(W587="Rejected","Evidence rejected",IF(W587&lt;&gt;"Accepted","Evidence pending",IF(Y587&lt;'Residual Config'!$C$4,"Overdue","Current")))))</f>
        <v>Current</v>
      </c>
      <c r="AA587" s="34" t="n">
        <f aca="false">IF(I587="N/A","",IF(Z587&lt;&gt;"Current",4,IF(MAX(M587,T587)=0,4,MAX(M587,T587))))</f>
        <v>2</v>
      </c>
      <c r="AB587" s="7" t="str">
        <f aca="false">IF(AA587="","N/A",IF(Z587&lt;&gt;"Current","Not tested / overdue",INDEX('Residual Config'!$B$11:$B$14,AA587)))</f>
        <v>Largely effective</v>
      </c>
      <c r="AC587" s="36" t="n">
        <f aca="false">IF(AA587="","",INDEX('Residual Config'!$D$11:$D$14,AA587))</f>
        <v>0.4</v>
      </c>
      <c r="AD587" s="7" t="str">
        <f aca="false">IF(OR(I587="N/A",P587="",Q587=""),"",IF(P587&gt;=Q587,"Yes","No"))</f>
        <v>Yes</v>
      </c>
      <c r="AE587" s="8"/>
    </row>
    <row r="588" customFormat="false" ht="15" hidden="false" customHeight="false" outlineLevel="0" collapsed="false">
      <c r="A588" s="12" t="s">
        <v>2186</v>
      </c>
      <c r="B588" s="26" t="str">
        <f aca="false">Entities!$A$18</f>
        <v>OM</v>
      </c>
      <c r="C588" s="12" t="str">
        <f aca="false">INDEX(Entities!$B$5:$B$34,MATCH(B588,Entities!$A$5:$A$34,0))</f>
        <v>Oman Arab Bank (affiliate)</v>
      </c>
      <c r="D588" s="7" t="str">
        <f aca="false">INDEX(Entities!$F$5:$F$34,MATCH(B588,Entities!$A$5:$A$34,0))</f>
        <v>Tier 2</v>
      </c>
      <c r="E588" s="26" t="str">
        <f aca="false">'Control Library'!$A$29</f>
        <v>CTL-REG-01</v>
      </c>
      <c r="F588" s="12" t="str">
        <f aca="false">INDEX('Control Library'!$B$5:$B$47,MATCH(E588,'Control Library'!$A$5:$A$47,0))</f>
        <v>Regulatory change management and obligations register</v>
      </c>
      <c r="G588" s="7" t="str">
        <f aca="false">INDEX('Control Library'!$F$5:$F$47,MATCH(E588,'Control Library'!$A$5:$A$47,0))</f>
        <v>Y</v>
      </c>
      <c r="H588" s="12" t="str">
        <f aca="false">INDEX('Control Library'!$E$5:$E$47,MATCH(E588,'Control Library'!$A$5:$A$47,0))</f>
        <v>Monthly</v>
      </c>
      <c r="I588" s="7" t="str">
        <f aca="false">IF(INDEX('Control Library'!$I$5:$I$47,MATCH(E588,'Control Library'!$A$5:$A$47,0))="All","Y",IF(INDEX('Control Library'!$I$5:$I$47,MATCH(E588,'Control Library'!$A$5:$A$47,0))="Banks only",IF(COUNTIF('Residual Config'!$L$28:$L$30,INDEX(Entities!$E$5:$E$34,MATCH(B588,Entities!$A$5:$A$34,0)))&gt;0,"N/A","Y"),IF(INDEX(Entities!$G$5:$G$34,MATCH(B588,Entities!$A$5:$A$34,0))="Y","Y","N/A")))</f>
        <v>Y</v>
      </c>
      <c r="J588" s="8" t="s">
        <v>2129</v>
      </c>
      <c r="K588" s="8" t="s">
        <v>2126</v>
      </c>
      <c r="L588" s="7" t="str">
        <f aca="false">IF(OR(J588="",K588=""),"",IF(J588=K588,"Breach","OK"))</f>
        <v>OK</v>
      </c>
      <c r="M588" s="24" t="n">
        <v>2</v>
      </c>
      <c r="N588" s="50" t="n">
        <v>46176</v>
      </c>
      <c r="O588" s="8" t="s">
        <v>545</v>
      </c>
      <c r="P588" s="24" t="n">
        <v>3</v>
      </c>
      <c r="Q588" s="31" t="n">
        <f aca="false">IF(I588="N/A","",IFERROR(INDEX('Residual Config'!$B$35:$B$42,MATCH(H588,'Residual Config'!$A$35:$A$42,0)),""))</f>
        <v>3</v>
      </c>
      <c r="R588" s="24" t="n">
        <v>0</v>
      </c>
      <c r="S588" s="8" t="s">
        <v>516</v>
      </c>
      <c r="T588" s="31" t="n">
        <f aca="false">IF(S588="","",MATCH(S588,'Residual Config'!$L$9:$L$12,0))</f>
        <v>1</v>
      </c>
      <c r="U588" s="8" t="s">
        <v>2187</v>
      </c>
      <c r="V588" s="24" t="n">
        <v>3</v>
      </c>
      <c r="W588" s="33" t="s">
        <v>533</v>
      </c>
      <c r="X588" s="8" t="s">
        <v>754</v>
      </c>
      <c r="Y588" s="51" t="n">
        <f aca="false">IF(N588="","",EDATE(N588,IF(G588="N",INDEX('Residual Config'!$B$31:$D$31,1,MATCH(D588,'Residual Config'!$B$27:$D$27,0)),INDEX('Residual Config'!$B$28:$D$30,IF(T588=1,1,IF(T588=4,3,2)),MATCH(D588,'Residual Config'!$B$27:$D$27,0)))))</f>
        <v>46541</v>
      </c>
      <c r="Z588" s="7" t="str">
        <f aca="false">IF(I588="N/A","N/A",IF(N588="","Not tested",IF(W588="Rejected","Evidence rejected",IF(W588&lt;&gt;"Accepted","Evidence pending",IF(Y588&lt;'Residual Config'!$C$4,"Overdue","Current")))))</f>
        <v>Current</v>
      </c>
      <c r="AA588" s="34" t="n">
        <f aca="false">IF(I588="N/A","",IF(Z588&lt;&gt;"Current",4,IF(MAX(M588,T588)=0,4,MAX(M588,T588))))</f>
        <v>2</v>
      </c>
      <c r="AB588" s="7" t="str">
        <f aca="false">IF(AA588="","N/A",IF(Z588&lt;&gt;"Current","Not tested / overdue",INDEX('Residual Config'!$B$11:$B$14,AA588)))</f>
        <v>Largely effective</v>
      </c>
      <c r="AC588" s="36" t="n">
        <f aca="false">IF(AA588="","",INDEX('Residual Config'!$D$11:$D$14,AA588))</f>
        <v>0.4</v>
      </c>
      <c r="AD588" s="7" t="str">
        <f aca="false">IF(OR(I588="N/A",P588="",Q588=""),"",IF(P588&gt;=Q588,"Yes","No"))</f>
        <v>Yes</v>
      </c>
      <c r="AE588" s="8"/>
    </row>
    <row r="589" customFormat="false" ht="15" hidden="false" customHeight="false" outlineLevel="0" collapsed="false">
      <c r="A589" s="12" t="s">
        <v>2188</v>
      </c>
      <c r="B589" s="26" t="str">
        <f aca="false">Entities!$A$18</f>
        <v>OM</v>
      </c>
      <c r="C589" s="12" t="str">
        <f aca="false">INDEX(Entities!$B$5:$B$34,MATCH(B589,Entities!$A$5:$A$34,0))</f>
        <v>Oman Arab Bank (affiliate)</v>
      </c>
      <c r="D589" s="7" t="str">
        <f aca="false">INDEX(Entities!$F$5:$F$34,MATCH(B589,Entities!$A$5:$A$34,0))</f>
        <v>Tier 2</v>
      </c>
      <c r="E589" s="26" t="str">
        <f aca="false">'Control Library'!$A$30</f>
        <v>CTL-REG-02</v>
      </c>
      <c r="F589" s="12" t="str">
        <f aca="false">INDEX('Control Library'!$B$5:$B$47,MATCH(E589,'Control Library'!$A$5:$A$47,0))</f>
        <v>Regulatory return review and senior sign-off</v>
      </c>
      <c r="G589" s="7" t="str">
        <f aca="false">INDEX('Control Library'!$F$5:$F$47,MATCH(E589,'Control Library'!$A$5:$A$47,0))</f>
        <v>Y</v>
      </c>
      <c r="H589" s="12" t="str">
        <f aca="false">INDEX('Control Library'!$E$5:$E$47,MATCH(E589,'Control Library'!$A$5:$A$47,0))</f>
        <v>Monthly</v>
      </c>
      <c r="I589" s="7" t="str">
        <f aca="false">IF(INDEX('Control Library'!$I$5:$I$47,MATCH(E589,'Control Library'!$A$5:$A$47,0))="All","Y",IF(INDEX('Control Library'!$I$5:$I$47,MATCH(E589,'Control Library'!$A$5:$A$47,0))="Banks only",IF(COUNTIF('Residual Config'!$L$28:$L$30,INDEX(Entities!$E$5:$E$34,MATCH(B589,Entities!$A$5:$A$34,0)))&gt;0,"N/A","Y"),IF(INDEX(Entities!$G$5:$G$34,MATCH(B589,Entities!$A$5:$A$34,0))="Y","Y","N/A")))</f>
        <v>Y</v>
      </c>
      <c r="J589" s="8" t="s">
        <v>2182</v>
      </c>
      <c r="K589" s="8" t="s">
        <v>2126</v>
      </c>
      <c r="L589" s="7" t="str">
        <f aca="false">IF(OR(J589="",K589=""),"",IF(J589=K589,"Breach","OK"))</f>
        <v>OK</v>
      </c>
      <c r="M589" s="24" t="n">
        <v>2</v>
      </c>
      <c r="N589" s="50" t="n">
        <v>46254</v>
      </c>
      <c r="O589" s="8" t="s">
        <v>546</v>
      </c>
      <c r="P589" s="24" t="n">
        <v>3</v>
      </c>
      <c r="Q589" s="31" t="n">
        <f aca="false">IF(I589="N/A","",IFERROR(INDEX('Residual Config'!$B$35:$B$42,MATCH(H589,'Residual Config'!$A$35:$A$42,0)),""))</f>
        <v>3</v>
      </c>
      <c r="R589" s="24" t="n">
        <v>1</v>
      </c>
      <c r="S589" s="8" t="s">
        <v>521</v>
      </c>
      <c r="T589" s="31" t="n">
        <f aca="false">IF(S589="","",MATCH(S589,'Residual Config'!$L$9:$L$12,0))</f>
        <v>2</v>
      </c>
      <c r="U589" s="8" t="s">
        <v>2189</v>
      </c>
      <c r="V589" s="24" t="n">
        <v>1</v>
      </c>
      <c r="W589" s="33" t="s">
        <v>533</v>
      </c>
      <c r="X589" s="8" t="s">
        <v>754</v>
      </c>
      <c r="Y589" s="51" t="n">
        <f aca="false">IF(N589="","",EDATE(N589,IF(G589="N",INDEX('Residual Config'!$B$31:$D$31,1,MATCH(D589,'Residual Config'!$B$27:$D$27,0)),INDEX('Residual Config'!$B$28:$D$30,IF(T589=1,1,IF(T589=4,3,2)),MATCH(D589,'Residual Config'!$B$27:$D$27,0)))))</f>
        <v>46438</v>
      </c>
      <c r="Z589" s="7" t="str">
        <f aca="false">IF(I589="N/A","N/A",IF(N589="","Not tested",IF(W589="Rejected","Evidence rejected",IF(W589&lt;&gt;"Accepted","Evidence pending",IF(Y589&lt;'Residual Config'!$C$4,"Overdue","Current")))))</f>
        <v>Current</v>
      </c>
      <c r="AA589" s="34" t="n">
        <f aca="false">IF(I589="N/A","",IF(Z589&lt;&gt;"Current",4,IF(MAX(M589,T589)=0,4,MAX(M589,T589))))</f>
        <v>2</v>
      </c>
      <c r="AB589" s="7" t="str">
        <f aca="false">IF(AA589="","N/A",IF(Z589&lt;&gt;"Current","Not tested / overdue",INDEX('Residual Config'!$B$11:$B$14,AA589)))</f>
        <v>Largely effective</v>
      </c>
      <c r="AC589" s="36" t="n">
        <f aca="false">IF(AA589="","",INDEX('Residual Config'!$D$11:$D$14,AA589))</f>
        <v>0.4</v>
      </c>
      <c r="AD589" s="7" t="str">
        <f aca="false">IF(OR(I589="N/A",P589="",Q589=""),"",IF(P589&gt;=Q589,"Yes","No"))</f>
        <v>Yes</v>
      </c>
      <c r="AE589" s="8"/>
    </row>
    <row r="590" customFormat="false" ht="15" hidden="false" customHeight="false" outlineLevel="0" collapsed="false">
      <c r="A590" s="12" t="s">
        <v>2190</v>
      </c>
      <c r="B590" s="26" t="str">
        <f aca="false">Entities!$A$18</f>
        <v>OM</v>
      </c>
      <c r="C590" s="12" t="str">
        <f aca="false">INDEX(Entities!$B$5:$B$34,MATCH(B590,Entities!$A$5:$A$34,0))</f>
        <v>Oman Arab Bank (affiliate)</v>
      </c>
      <c r="D590" s="7" t="str">
        <f aca="false">INDEX(Entities!$F$5:$F$34,MATCH(B590,Entities!$A$5:$A$34,0))</f>
        <v>Tier 2</v>
      </c>
      <c r="E590" s="26" t="str">
        <f aca="false">'Control Library'!$A$31</f>
        <v>CTL-CON-01</v>
      </c>
      <c r="F590" s="12" t="str">
        <f aca="false">INDEX('Control Library'!$B$5:$B$47,MATCH(E590,'Control Library'!$A$5:$A$47,0))</f>
        <v>New product approval and suitability assessment</v>
      </c>
      <c r="G590" s="7" t="str">
        <f aca="false">INDEX('Control Library'!$F$5:$F$47,MATCH(E590,'Control Library'!$A$5:$A$47,0))</f>
        <v>Y</v>
      </c>
      <c r="H590" s="12" t="str">
        <f aca="false">INDEX('Control Library'!$E$5:$E$47,MATCH(E590,'Control Library'!$A$5:$A$47,0))</f>
        <v>Event-driven</v>
      </c>
      <c r="I590" s="7" t="str">
        <f aca="false">IF(INDEX('Control Library'!$I$5:$I$47,MATCH(E590,'Control Library'!$A$5:$A$47,0))="All","Y",IF(INDEX('Control Library'!$I$5:$I$47,MATCH(E590,'Control Library'!$A$5:$A$47,0))="Banks only",IF(COUNTIF('Residual Config'!$L$28:$L$30,INDEX(Entities!$E$5:$E$34,MATCH(B590,Entities!$A$5:$A$34,0)))&gt;0,"N/A","Y"),IF(INDEX(Entities!$G$5:$G$34,MATCH(B590,Entities!$A$5:$A$34,0))="Y","Y","N/A")))</f>
        <v>Y</v>
      </c>
      <c r="J590" s="8" t="s">
        <v>2129</v>
      </c>
      <c r="K590" s="8" t="s">
        <v>2126</v>
      </c>
      <c r="L590" s="7" t="str">
        <f aca="false">IF(OR(J590="",K590=""),"",IF(J590=K590,"Breach","OK"))</f>
        <v>OK</v>
      </c>
      <c r="M590" s="24" t="n">
        <v>2</v>
      </c>
      <c r="N590" s="50" t="n">
        <v>46069</v>
      </c>
      <c r="O590" s="8" t="s">
        <v>546</v>
      </c>
      <c r="P590" s="24" t="n">
        <v>25</v>
      </c>
      <c r="Q590" s="31" t="n">
        <f aca="false">IF(I590="N/A","",IFERROR(INDEX('Residual Config'!$B$35:$B$42,MATCH(H590,'Residual Config'!$A$35:$A$42,0)),""))</f>
        <v>25</v>
      </c>
      <c r="R590" s="24" t="n">
        <v>0</v>
      </c>
      <c r="S590" s="8" t="s">
        <v>516</v>
      </c>
      <c r="T590" s="31" t="n">
        <f aca="false">IF(S590="","",MATCH(S590,'Residual Config'!$L$9:$L$12,0))</f>
        <v>1</v>
      </c>
      <c r="U590" s="8" t="s">
        <v>2191</v>
      </c>
      <c r="V590" s="24" t="n">
        <v>4</v>
      </c>
      <c r="W590" s="33" t="s">
        <v>533</v>
      </c>
      <c r="X590" s="8" t="s">
        <v>754</v>
      </c>
      <c r="Y590" s="51" t="n">
        <f aca="false">IF(N590="","",EDATE(N590,IF(G590="N",INDEX('Residual Config'!$B$31:$D$31,1,MATCH(D590,'Residual Config'!$B$27:$D$27,0)),INDEX('Residual Config'!$B$28:$D$30,IF(T590=1,1,IF(T590=4,3,2)),MATCH(D590,'Residual Config'!$B$27:$D$27,0)))))</f>
        <v>46434</v>
      </c>
      <c r="Z590" s="7" t="str">
        <f aca="false">IF(I590="N/A","N/A",IF(N590="","Not tested",IF(W590="Rejected","Evidence rejected",IF(W590&lt;&gt;"Accepted","Evidence pending",IF(Y590&lt;'Residual Config'!$C$4,"Overdue","Current")))))</f>
        <v>Current</v>
      </c>
      <c r="AA590" s="34" t="n">
        <f aca="false">IF(I590="N/A","",IF(Z590&lt;&gt;"Current",4,IF(MAX(M590,T590)=0,4,MAX(M590,T590))))</f>
        <v>2</v>
      </c>
      <c r="AB590" s="7" t="str">
        <f aca="false">IF(AA590="","N/A",IF(Z590&lt;&gt;"Current","Not tested / overdue",INDEX('Residual Config'!$B$11:$B$14,AA590)))</f>
        <v>Largely effective</v>
      </c>
      <c r="AC590" s="36" t="n">
        <f aca="false">IF(AA590="","",INDEX('Residual Config'!$D$11:$D$14,AA590))</f>
        <v>0.4</v>
      </c>
      <c r="AD590" s="7" t="str">
        <f aca="false">IF(OR(I590="N/A",P590="",Q590=""),"",IF(P590&gt;=Q590,"Yes","No"))</f>
        <v>Yes</v>
      </c>
      <c r="AE590" s="8"/>
    </row>
    <row r="591" customFormat="false" ht="15" hidden="false" customHeight="false" outlineLevel="0" collapsed="false">
      <c r="A591" s="12" t="s">
        <v>2192</v>
      </c>
      <c r="B591" s="26" t="str">
        <f aca="false">Entities!$A$18</f>
        <v>OM</v>
      </c>
      <c r="C591" s="12" t="str">
        <f aca="false">INDEX(Entities!$B$5:$B$34,MATCH(B591,Entities!$A$5:$A$34,0))</f>
        <v>Oman Arab Bank (affiliate)</v>
      </c>
      <c r="D591" s="7" t="str">
        <f aca="false">INDEX(Entities!$F$5:$F$34,MATCH(B591,Entities!$A$5:$A$34,0))</f>
        <v>Tier 2</v>
      </c>
      <c r="E591" s="26" t="str">
        <f aca="false">'Control Library'!$A$32</f>
        <v>CTL-CON-02</v>
      </c>
      <c r="F591" s="12" t="str">
        <f aca="false">INDEX('Control Library'!$B$5:$B$47,MATCH(E591,'Control Library'!$A$5:$A$47,0))</f>
        <v>Complaints handling and root-cause analysis</v>
      </c>
      <c r="G591" s="7" t="str">
        <f aca="false">INDEX('Control Library'!$F$5:$F$47,MATCH(E591,'Control Library'!$A$5:$A$47,0))</f>
        <v>N</v>
      </c>
      <c r="H591" s="12" t="str">
        <f aca="false">INDEX('Control Library'!$E$5:$E$47,MATCH(E591,'Control Library'!$A$5:$A$47,0))</f>
        <v>Monthly</v>
      </c>
      <c r="I591" s="7" t="str">
        <f aca="false">IF(INDEX('Control Library'!$I$5:$I$47,MATCH(E591,'Control Library'!$A$5:$A$47,0))="All","Y",IF(INDEX('Control Library'!$I$5:$I$47,MATCH(E591,'Control Library'!$A$5:$A$47,0))="Banks only",IF(COUNTIF('Residual Config'!$L$28:$L$30,INDEX(Entities!$E$5:$E$34,MATCH(B591,Entities!$A$5:$A$34,0)))&gt;0,"N/A","Y"),IF(INDEX(Entities!$G$5:$G$34,MATCH(B591,Entities!$A$5:$A$34,0))="Y","Y","N/A")))</f>
        <v>Y</v>
      </c>
      <c r="J591" s="8" t="s">
        <v>2193</v>
      </c>
      <c r="K591" s="8" t="s">
        <v>2126</v>
      </c>
      <c r="L591" s="7" t="str">
        <f aca="false">IF(OR(J591="",K591=""),"",IF(J591=K591,"Breach","OK"))</f>
        <v>OK</v>
      </c>
      <c r="M591" s="24" t="n">
        <v>2</v>
      </c>
      <c r="N591" s="50" t="n">
        <v>46255</v>
      </c>
      <c r="O591" s="8" t="s">
        <v>545</v>
      </c>
      <c r="P591" s="24" t="n">
        <v>3</v>
      </c>
      <c r="Q591" s="31" t="n">
        <f aca="false">IF(I591="N/A","",IFERROR(INDEX('Residual Config'!$B$35:$B$42,MATCH(H591,'Residual Config'!$A$35:$A$42,0)),""))</f>
        <v>3</v>
      </c>
      <c r="R591" s="24" t="n">
        <v>0</v>
      </c>
      <c r="S591" s="8" t="s">
        <v>516</v>
      </c>
      <c r="T591" s="31" t="n">
        <f aca="false">IF(S591="","",MATCH(S591,'Residual Config'!$L$9:$L$12,0))</f>
        <v>1</v>
      </c>
      <c r="U591" s="8" t="s">
        <v>2194</v>
      </c>
      <c r="V591" s="24" t="n">
        <v>5</v>
      </c>
      <c r="W591" s="33" t="s">
        <v>533</v>
      </c>
      <c r="X591" s="8" t="s">
        <v>760</v>
      </c>
      <c r="Y591" s="51" t="n">
        <f aca="false">IF(N591="","",EDATE(N591,IF(G591="N",INDEX('Residual Config'!$B$31:$D$31,1,MATCH(D591,'Residual Config'!$B$27:$D$27,0)),INDEX('Residual Config'!$B$28:$D$30,IF(T591=1,1,IF(T591=4,3,2)),MATCH(D591,'Residual Config'!$B$27:$D$27,0)))))</f>
        <v>46620</v>
      </c>
      <c r="Z591" s="7" t="str">
        <f aca="false">IF(I591="N/A","N/A",IF(N591="","Not tested",IF(W591="Rejected","Evidence rejected",IF(W591&lt;&gt;"Accepted","Evidence pending",IF(Y591&lt;'Residual Config'!$C$4,"Overdue","Current")))))</f>
        <v>Current</v>
      </c>
      <c r="AA591" s="34" t="n">
        <f aca="false">IF(I591="N/A","",IF(Z591&lt;&gt;"Current",4,IF(MAX(M591,T591)=0,4,MAX(M591,T591))))</f>
        <v>2</v>
      </c>
      <c r="AB591" s="7" t="str">
        <f aca="false">IF(AA591="","N/A",IF(Z591&lt;&gt;"Current","Not tested / overdue",INDEX('Residual Config'!$B$11:$B$14,AA591)))</f>
        <v>Largely effective</v>
      </c>
      <c r="AC591" s="36" t="n">
        <f aca="false">IF(AA591="","",INDEX('Residual Config'!$D$11:$D$14,AA591))</f>
        <v>0.4</v>
      </c>
      <c r="AD591" s="7" t="str">
        <f aca="false">IF(OR(I591="N/A",P591="",Q591=""),"",IF(P591&gt;=Q591,"Yes","No"))</f>
        <v>Yes</v>
      </c>
      <c r="AE591" s="8"/>
    </row>
    <row r="592" customFormat="false" ht="15" hidden="false" customHeight="false" outlineLevel="0" collapsed="false">
      <c r="A592" s="12" t="s">
        <v>2195</v>
      </c>
      <c r="B592" s="26" t="str">
        <f aca="false">Entities!$A$18</f>
        <v>OM</v>
      </c>
      <c r="C592" s="12" t="str">
        <f aca="false">INDEX(Entities!$B$5:$B$34,MATCH(B592,Entities!$A$5:$A$34,0))</f>
        <v>Oman Arab Bank (affiliate)</v>
      </c>
      <c r="D592" s="7" t="str">
        <f aca="false">INDEX(Entities!$F$5:$F$34,MATCH(B592,Entities!$A$5:$A$34,0))</f>
        <v>Tier 2</v>
      </c>
      <c r="E592" s="26" t="str">
        <f aca="false">'Control Library'!$A$33</f>
        <v>CTL-DP-01</v>
      </c>
      <c r="F592" s="12" t="str">
        <f aca="false">INDEX('Control Library'!$B$5:$B$47,MATCH(E592,'Control Library'!$A$5:$A$47,0))</f>
        <v>Data protection impact assessments and processing records</v>
      </c>
      <c r="G592" s="7" t="str">
        <f aca="false">INDEX('Control Library'!$F$5:$F$47,MATCH(E592,'Control Library'!$A$5:$A$47,0))</f>
        <v>Y</v>
      </c>
      <c r="H592" s="12" t="str">
        <f aca="false">INDEX('Control Library'!$E$5:$E$47,MATCH(E592,'Control Library'!$A$5:$A$47,0))</f>
        <v>Event-driven</v>
      </c>
      <c r="I592" s="7" t="str">
        <f aca="false">IF(INDEX('Control Library'!$I$5:$I$47,MATCH(E592,'Control Library'!$A$5:$A$47,0))="All","Y",IF(INDEX('Control Library'!$I$5:$I$47,MATCH(E592,'Control Library'!$A$5:$A$47,0))="Banks only",IF(COUNTIF('Residual Config'!$L$28:$L$30,INDEX(Entities!$E$5:$E$34,MATCH(B592,Entities!$A$5:$A$34,0)))&gt;0,"N/A","Y"),IF(INDEX(Entities!$G$5:$G$34,MATCH(B592,Entities!$A$5:$A$34,0))="Y","Y","N/A")))</f>
        <v>Y</v>
      </c>
      <c r="J592" s="8" t="s">
        <v>2196</v>
      </c>
      <c r="K592" s="8" t="s">
        <v>2126</v>
      </c>
      <c r="L592" s="7" t="str">
        <f aca="false">IF(OR(J592="",K592=""),"",IF(J592=K592,"Breach","OK"))</f>
        <v>OK</v>
      </c>
      <c r="M592" s="24" t="n">
        <v>2</v>
      </c>
      <c r="N592" s="50" t="n">
        <v>46263</v>
      </c>
      <c r="O592" s="8" t="s">
        <v>546</v>
      </c>
      <c r="P592" s="24" t="n">
        <v>25</v>
      </c>
      <c r="Q592" s="31" t="n">
        <f aca="false">IF(I592="N/A","",IFERROR(INDEX('Residual Config'!$B$35:$B$42,MATCH(H592,'Residual Config'!$A$35:$A$42,0)),""))</f>
        <v>25</v>
      </c>
      <c r="R592" s="24" t="n">
        <v>1</v>
      </c>
      <c r="S592" s="8" t="s">
        <v>521</v>
      </c>
      <c r="T592" s="31" t="n">
        <f aca="false">IF(S592="","",MATCH(S592,'Residual Config'!$L$9:$L$12,0))</f>
        <v>2</v>
      </c>
      <c r="U592" s="8" t="s">
        <v>2197</v>
      </c>
      <c r="V592" s="24" t="n">
        <v>6</v>
      </c>
      <c r="W592" s="33" t="s">
        <v>533</v>
      </c>
      <c r="X592" s="8" t="s">
        <v>760</v>
      </c>
      <c r="Y592" s="51" t="n">
        <f aca="false">IF(N592="","",EDATE(N592,IF(G592="N",INDEX('Residual Config'!$B$31:$D$31,1,MATCH(D592,'Residual Config'!$B$27:$D$27,0)),INDEX('Residual Config'!$B$28:$D$30,IF(T592=1,1,IF(T592=4,3,2)),MATCH(D592,'Residual Config'!$B$27:$D$27,0)))))</f>
        <v>46446</v>
      </c>
      <c r="Z592" s="7" t="str">
        <f aca="false">IF(I592="N/A","N/A",IF(N592="","Not tested",IF(W592="Rejected","Evidence rejected",IF(W592&lt;&gt;"Accepted","Evidence pending",IF(Y592&lt;'Residual Config'!$C$4,"Overdue","Current")))))</f>
        <v>Current</v>
      </c>
      <c r="AA592" s="34" t="n">
        <f aca="false">IF(I592="N/A","",IF(Z592&lt;&gt;"Current",4,IF(MAX(M592,T592)=0,4,MAX(M592,T592))))</f>
        <v>2</v>
      </c>
      <c r="AB592" s="7" t="str">
        <f aca="false">IF(AA592="","N/A",IF(Z592&lt;&gt;"Current","Not tested / overdue",INDEX('Residual Config'!$B$11:$B$14,AA592)))</f>
        <v>Largely effective</v>
      </c>
      <c r="AC592" s="36" t="n">
        <f aca="false">IF(AA592="","",INDEX('Residual Config'!$D$11:$D$14,AA592))</f>
        <v>0.4</v>
      </c>
      <c r="AD592" s="7" t="str">
        <f aca="false">IF(OR(I592="N/A",P592="",Q592=""),"",IF(P592&gt;=Q592,"Yes","No"))</f>
        <v>Yes</v>
      </c>
      <c r="AE592" s="8"/>
    </row>
    <row r="593" customFormat="false" ht="15" hidden="false" customHeight="false" outlineLevel="0" collapsed="false">
      <c r="A593" s="12" t="s">
        <v>2198</v>
      </c>
      <c r="B593" s="26" t="str">
        <f aca="false">Entities!$A$18</f>
        <v>OM</v>
      </c>
      <c r="C593" s="12" t="str">
        <f aca="false">INDEX(Entities!$B$5:$B$34,MATCH(B593,Entities!$A$5:$A$34,0))</f>
        <v>Oman Arab Bank (affiliate)</v>
      </c>
      <c r="D593" s="7" t="str">
        <f aca="false">INDEX(Entities!$F$5:$F$34,MATCH(B593,Entities!$A$5:$A$34,0))</f>
        <v>Tier 2</v>
      </c>
      <c r="E593" s="26" t="str">
        <f aca="false">'Control Library'!$A$34</f>
        <v>CTL-DP-02</v>
      </c>
      <c r="F593" s="12" t="str">
        <f aca="false">INDEX('Control Library'!$B$5:$B$47,MATCH(E593,'Control Library'!$A$5:$A$47,0))</f>
        <v>Data loss prevention and quarterly access recertification</v>
      </c>
      <c r="G593" s="7" t="str">
        <f aca="false">INDEX('Control Library'!$F$5:$F$47,MATCH(E593,'Control Library'!$A$5:$A$47,0))</f>
        <v>Y</v>
      </c>
      <c r="H593" s="12" t="str">
        <f aca="false">INDEX('Control Library'!$E$5:$E$47,MATCH(E593,'Control Library'!$A$5:$A$47,0))</f>
        <v>Quarterly</v>
      </c>
      <c r="I593" s="7" t="str">
        <f aca="false">IF(INDEX('Control Library'!$I$5:$I$47,MATCH(E593,'Control Library'!$A$5:$A$47,0))="All","Y",IF(INDEX('Control Library'!$I$5:$I$47,MATCH(E593,'Control Library'!$A$5:$A$47,0))="Banks only",IF(COUNTIF('Residual Config'!$L$28:$L$30,INDEX(Entities!$E$5:$E$34,MATCH(B593,Entities!$A$5:$A$34,0)))&gt;0,"N/A","Y"),IF(INDEX(Entities!$G$5:$G$34,MATCH(B593,Entities!$A$5:$A$34,0))="Y","Y","N/A")))</f>
        <v>Y</v>
      </c>
      <c r="J593" s="8" t="s">
        <v>2199</v>
      </c>
      <c r="K593" s="8" t="s">
        <v>2126</v>
      </c>
      <c r="L593" s="7" t="str">
        <f aca="false">IF(OR(J593="",K593=""),"",IF(J593=K593,"Breach","OK"))</f>
        <v>OK</v>
      </c>
      <c r="M593" s="24" t="n">
        <v>1</v>
      </c>
      <c r="N593" s="50" t="n">
        <v>45988</v>
      </c>
      <c r="O593" s="8" t="s">
        <v>546</v>
      </c>
      <c r="P593" s="24" t="n">
        <v>2</v>
      </c>
      <c r="Q593" s="31" t="n">
        <f aca="false">IF(I593="N/A","",IFERROR(INDEX('Residual Config'!$B$35:$B$42,MATCH(H593,'Residual Config'!$A$35:$A$42,0)),""))</f>
        <v>2</v>
      </c>
      <c r="R593" s="24" t="n">
        <v>0</v>
      </c>
      <c r="S593" s="8" t="s">
        <v>516</v>
      </c>
      <c r="T593" s="31" t="n">
        <f aca="false">IF(S593="","",MATCH(S593,'Residual Config'!$L$9:$L$12,0))</f>
        <v>1</v>
      </c>
      <c r="U593" s="8" t="s">
        <v>2200</v>
      </c>
      <c r="V593" s="24" t="n">
        <v>1</v>
      </c>
      <c r="W593" s="33" t="s">
        <v>533</v>
      </c>
      <c r="X593" s="8" t="s">
        <v>760</v>
      </c>
      <c r="Y593" s="51" t="n">
        <f aca="false">IF(N593="","",EDATE(N593,IF(G593="N",INDEX('Residual Config'!$B$31:$D$31,1,MATCH(D593,'Residual Config'!$B$27:$D$27,0)),INDEX('Residual Config'!$B$28:$D$30,IF(T593=1,1,IF(T593=4,3,2)),MATCH(D593,'Residual Config'!$B$27:$D$27,0)))))</f>
        <v>46353</v>
      </c>
      <c r="Z593" s="7" t="str">
        <f aca="false">IF(I593="N/A","N/A",IF(N593="","Not tested",IF(W593="Rejected","Evidence rejected",IF(W593&lt;&gt;"Accepted","Evidence pending",IF(Y593&lt;'Residual Config'!$C$4,"Overdue","Current")))))</f>
        <v>Current</v>
      </c>
      <c r="AA593" s="34" t="n">
        <f aca="false">IF(I593="N/A","",IF(Z593&lt;&gt;"Current",4,IF(MAX(M593,T593)=0,4,MAX(M593,T593))))</f>
        <v>1</v>
      </c>
      <c r="AB593" s="7" t="str">
        <f aca="false">IF(AA593="","N/A",IF(Z593&lt;&gt;"Current","Not tested / overdue",INDEX('Residual Config'!$B$11:$B$14,AA593)))</f>
        <v>Effective</v>
      </c>
      <c r="AC593" s="36" t="n">
        <f aca="false">IF(AA593="","",INDEX('Residual Config'!$D$11:$D$14,AA593))</f>
        <v>0.6</v>
      </c>
      <c r="AD593" s="7" t="str">
        <f aca="false">IF(OR(I593="N/A",P593="",Q593=""),"",IF(P593&gt;=Q593,"Yes","No"))</f>
        <v>Yes</v>
      </c>
      <c r="AE593" s="8"/>
    </row>
    <row r="594" customFormat="false" ht="15" hidden="false" customHeight="false" outlineLevel="0" collapsed="false">
      <c r="A594" s="12" t="s">
        <v>2201</v>
      </c>
      <c r="B594" s="26" t="str">
        <f aca="false">Entities!$A$18</f>
        <v>OM</v>
      </c>
      <c r="C594" s="12" t="str">
        <f aca="false">INDEX(Entities!$B$5:$B$34,MATCH(B594,Entities!$A$5:$A$34,0))</f>
        <v>Oman Arab Bank (affiliate)</v>
      </c>
      <c r="D594" s="7" t="str">
        <f aca="false">INDEX(Entities!$F$5:$F$34,MATCH(B594,Entities!$A$5:$A$34,0))</f>
        <v>Tier 2</v>
      </c>
      <c r="E594" s="26" t="str">
        <f aca="false">'Control Library'!$A$35</f>
        <v>CTL-SH-01</v>
      </c>
      <c r="F594" s="12" t="str">
        <f aca="false">INDEX('Control Library'!$B$5:$B$47,MATCH(E594,'Control Library'!$A$5:$A$47,0))</f>
        <v>Shariah review of products and income purification</v>
      </c>
      <c r="G594" s="7" t="str">
        <f aca="false">INDEX('Control Library'!$F$5:$F$47,MATCH(E594,'Control Library'!$A$5:$A$47,0))</f>
        <v>Y</v>
      </c>
      <c r="H594" s="12" t="str">
        <f aca="false">INDEX('Control Library'!$E$5:$E$47,MATCH(E594,'Control Library'!$A$5:$A$47,0))</f>
        <v>Quarterly</v>
      </c>
      <c r="I594" s="7" t="str">
        <f aca="false">IF(INDEX('Control Library'!$I$5:$I$47,MATCH(E594,'Control Library'!$A$5:$A$47,0))="All","Y",IF(INDEX('Control Library'!$I$5:$I$47,MATCH(E594,'Control Library'!$A$5:$A$47,0))="Banks only",IF(COUNTIF('Residual Config'!$L$28:$L$30,INDEX(Entities!$E$5:$E$34,MATCH(B594,Entities!$A$5:$A$34,0)))&gt;0,"N/A","Y"),IF(INDEX(Entities!$G$5:$G$34,MATCH(B594,Entities!$A$5:$A$34,0))="Y","Y","N/A")))</f>
        <v>N/A</v>
      </c>
      <c r="J594" s="8"/>
      <c r="K594" s="8"/>
      <c r="L594" s="7" t="str">
        <f aca="false">IF(OR(J594="",K594=""),"",IF(J594=K594,"Breach","OK"))</f>
        <v/>
      </c>
      <c r="M594" s="24"/>
      <c r="N594" s="50"/>
      <c r="O594" s="8"/>
      <c r="P594" s="24"/>
      <c r="Q594" s="31" t="str">
        <f aca="false">IF(I594="N/A","",IFERROR(INDEX('Residual Config'!$B$35:$B$42,MATCH(H594,'Residual Config'!$A$35:$A$42,0)),""))</f>
        <v/>
      </c>
      <c r="R594" s="24"/>
      <c r="S594" s="8"/>
      <c r="T594" s="31" t="str">
        <f aca="false">IF(S594="","",MATCH(S594,'Residual Config'!$L$9:$L$12,0))</f>
        <v/>
      </c>
      <c r="U594" s="8"/>
      <c r="V594" s="24"/>
      <c r="W594" s="33"/>
      <c r="X594" s="8"/>
      <c r="Y594" s="51" t="str">
        <f aca="false">IF(N594="","",EDATE(N594,IF(G594="N",INDEX('Residual Config'!$B$31:$D$31,1,MATCH(D594,'Residual Config'!$B$27:$D$27,0)),INDEX('Residual Config'!$B$28:$D$30,IF(T594=1,1,IF(T594=4,3,2)),MATCH(D594,'Residual Config'!$B$27:$D$27,0)))))</f>
        <v/>
      </c>
      <c r="Z594" s="7" t="str">
        <f aca="false">IF(I594="N/A","N/A",IF(N594="","Not tested",IF(W594="Rejected","Evidence rejected",IF(W594&lt;&gt;"Accepted","Evidence pending",IF(Y594&lt;'Residual Config'!$C$4,"Overdue","Current")))))</f>
        <v>N/A</v>
      </c>
      <c r="AA594" s="34" t="str">
        <f aca="false">IF(I594="N/A","",IF(Z594&lt;&gt;"Current",4,IF(MAX(M594,T594)=0,4,MAX(M594,T594))))</f>
        <v/>
      </c>
      <c r="AB594" s="7" t="str">
        <f aca="false">IF(AA594="","N/A",IF(Z594&lt;&gt;"Current","Not tested / overdue",INDEX('Residual Config'!$B$11:$B$14,AA594)))</f>
        <v>N/A</v>
      </c>
      <c r="AC594" s="36" t="str">
        <f aca="false">IF(AA594="","",INDEX('Residual Config'!$D$11:$D$14,AA594))</f>
        <v/>
      </c>
      <c r="AD594" s="7" t="str">
        <f aca="false">IF(OR(I594="N/A",P594="",Q594=""),"",IF(P594&gt;=Q594,"Yes","No"))</f>
        <v/>
      </c>
      <c r="AE594" s="8"/>
    </row>
    <row r="595" customFormat="false" ht="15" hidden="false" customHeight="false" outlineLevel="0" collapsed="false">
      <c r="A595" s="12" t="s">
        <v>2202</v>
      </c>
      <c r="B595" s="26" t="str">
        <f aca="false">Entities!$A$18</f>
        <v>OM</v>
      </c>
      <c r="C595" s="12" t="str">
        <f aca="false">INDEX(Entities!$B$5:$B$34,MATCH(B595,Entities!$A$5:$A$34,0))</f>
        <v>Oman Arab Bank (affiliate)</v>
      </c>
      <c r="D595" s="7" t="str">
        <f aca="false">INDEX(Entities!$F$5:$F$34,MATCH(B595,Entities!$A$5:$A$34,0))</f>
        <v>Tier 2</v>
      </c>
      <c r="E595" s="26" t="str">
        <f aca="false">'Control Library'!$A$36</f>
        <v>CTL-CR-01</v>
      </c>
      <c r="F595" s="12" t="str">
        <f aca="false">INDEX('Control Library'!$B$5:$B$47,MATCH(E595,'Control Library'!$A$5:$A$47,0))</f>
        <v>Credit approval authorities and committee review</v>
      </c>
      <c r="G595" s="7" t="str">
        <f aca="false">INDEX('Control Library'!$F$5:$F$47,MATCH(E595,'Control Library'!$A$5:$A$47,0))</f>
        <v>Y</v>
      </c>
      <c r="H595" s="12" t="str">
        <f aca="false">INDEX('Control Library'!$E$5:$E$47,MATCH(E595,'Control Library'!$A$5:$A$47,0))</f>
        <v>Event-driven</v>
      </c>
      <c r="I595" s="7" t="str">
        <f aca="false">IF(INDEX('Control Library'!$I$5:$I$47,MATCH(E595,'Control Library'!$A$5:$A$47,0))="All","Y",IF(INDEX('Control Library'!$I$5:$I$47,MATCH(E595,'Control Library'!$A$5:$A$47,0))="Banks only",IF(COUNTIF('Residual Config'!$L$28:$L$30,INDEX(Entities!$E$5:$E$34,MATCH(B595,Entities!$A$5:$A$34,0)))&gt;0,"N/A","Y"),IF(INDEX(Entities!$G$5:$G$34,MATCH(B595,Entities!$A$5:$A$34,0))="Y","Y","N/A")))</f>
        <v>Y</v>
      </c>
      <c r="J595" s="8" t="s">
        <v>2203</v>
      </c>
      <c r="K595" s="8" t="s">
        <v>2126</v>
      </c>
      <c r="L595" s="7" t="str">
        <f aca="false">IF(OR(J595="",K595=""),"",IF(J595=K595,"Breach","OK"))</f>
        <v>OK</v>
      </c>
      <c r="M595" s="24" t="n">
        <v>2</v>
      </c>
      <c r="N595" s="50" t="n">
        <v>46101</v>
      </c>
      <c r="O595" s="8" t="s">
        <v>545</v>
      </c>
      <c r="P595" s="24" t="n">
        <v>30</v>
      </c>
      <c r="Q595" s="31" t="n">
        <f aca="false">IF(I595="N/A","",IFERROR(INDEX('Residual Config'!$B$35:$B$42,MATCH(H595,'Residual Config'!$A$35:$A$42,0)),""))</f>
        <v>25</v>
      </c>
      <c r="R595" s="24" t="n">
        <v>0</v>
      </c>
      <c r="S595" s="8" t="s">
        <v>516</v>
      </c>
      <c r="T595" s="31" t="n">
        <f aca="false">IF(S595="","",MATCH(S595,'Residual Config'!$L$9:$L$12,0))</f>
        <v>1</v>
      </c>
      <c r="U595" s="8" t="s">
        <v>2204</v>
      </c>
      <c r="V595" s="24" t="n">
        <v>5</v>
      </c>
      <c r="W595" s="33" t="s">
        <v>533</v>
      </c>
      <c r="X595" s="8" t="s">
        <v>754</v>
      </c>
      <c r="Y595" s="51" t="n">
        <f aca="false">IF(N595="","",EDATE(N595,IF(G595="N",INDEX('Residual Config'!$B$31:$D$31,1,MATCH(D595,'Residual Config'!$B$27:$D$27,0)),INDEX('Residual Config'!$B$28:$D$30,IF(T595=1,1,IF(T595=4,3,2)),MATCH(D595,'Residual Config'!$B$27:$D$27,0)))))</f>
        <v>46466</v>
      </c>
      <c r="Z595" s="7" t="str">
        <f aca="false">IF(I595="N/A","N/A",IF(N595="","Not tested",IF(W595="Rejected","Evidence rejected",IF(W595&lt;&gt;"Accepted","Evidence pending",IF(Y595&lt;'Residual Config'!$C$4,"Overdue","Current")))))</f>
        <v>Current</v>
      </c>
      <c r="AA595" s="34" t="n">
        <f aca="false">IF(I595="N/A","",IF(Z595&lt;&gt;"Current",4,IF(MAX(M595,T595)=0,4,MAX(M595,T595))))</f>
        <v>2</v>
      </c>
      <c r="AB595" s="7" t="str">
        <f aca="false">IF(AA595="","N/A",IF(Z595&lt;&gt;"Current","Not tested / overdue",INDEX('Residual Config'!$B$11:$B$14,AA595)))</f>
        <v>Largely effective</v>
      </c>
      <c r="AC595" s="36" t="n">
        <f aca="false">IF(AA595="","",INDEX('Residual Config'!$D$11:$D$14,AA595))</f>
        <v>0.4</v>
      </c>
      <c r="AD595" s="7" t="str">
        <f aca="false">IF(OR(I595="N/A",P595="",Q595=""),"",IF(P595&gt;=Q595,"Yes","No"))</f>
        <v>Yes</v>
      </c>
      <c r="AE595" s="8"/>
    </row>
    <row r="596" customFormat="false" ht="15" hidden="false" customHeight="false" outlineLevel="0" collapsed="false">
      <c r="A596" s="12" t="s">
        <v>2205</v>
      </c>
      <c r="B596" s="26" t="str">
        <f aca="false">Entities!$A$18</f>
        <v>OM</v>
      </c>
      <c r="C596" s="12" t="str">
        <f aca="false">INDEX(Entities!$B$5:$B$34,MATCH(B596,Entities!$A$5:$A$34,0))</f>
        <v>Oman Arab Bank (affiliate)</v>
      </c>
      <c r="D596" s="7" t="str">
        <f aca="false">INDEX(Entities!$F$5:$F$34,MATCH(B596,Entities!$A$5:$A$34,0))</f>
        <v>Tier 2</v>
      </c>
      <c r="E596" s="26" t="str">
        <f aca="false">'Control Library'!$A$37</f>
        <v>CTL-CR-02</v>
      </c>
      <c r="F596" s="12" t="str">
        <f aca="false">INDEX('Control Library'!$B$5:$B$47,MATCH(E596,'Control Library'!$A$5:$A$47,0))</f>
        <v>Collateral valuation and exposure limit monitoring</v>
      </c>
      <c r="G596" s="7" t="str">
        <f aca="false">INDEX('Control Library'!$F$5:$F$47,MATCH(E596,'Control Library'!$A$5:$A$47,0))</f>
        <v>N</v>
      </c>
      <c r="H596" s="12" t="str">
        <f aca="false">INDEX('Control Library'!$E$5:$E$47,MATCH(E596,'Control Library'!$A$5:$A$47,0))</f>
        <v>Monthly</v>
      </c>
      <c r="I596" s="7" t="str">
        <f aca="false">IF(INDEX('Control Library'!$I$5:$I$47,MATCH(E596,'Control Library'!$A$5:$A$47,0))="All","Y",IF(INDEX('Control Library'!$I$5:$I$47,MATCH(E596,'Control Library'!$A$5:$A$47,0))="Banks only",IF(COUNTIF('Residual Config'!$L$28:$L$30,INDEX(Entities!$E$5:$E$34,MATCH(B596,Entities!$A$5:$A$34,0)))&gt;0,"N/A","Y"),IF(INDEX(Entities!$G$5:$G$34,MATCH(B596,Entities!$A$5:$A$34,0))="Y","Y","N/A")))</f>
        <v>Y</v>
      </c>
      <c r="J596" s="8" t="s">
        <v>2206</v>
      </c>
      <c r="K596" s="8" t="s">
        <v>2126</v>
      </c>
      <c r="L596" s="7" t="str">
        <f aca="false">IF(OR(J596="",K596=""),"",IF(J596=K596,"Breach","OK"))</f>
        <v>OK</v>
      </c>
      <c r="M596" s="24" t="n">
        <v>1</v>
      </c>
      <c r="N596" s="50" t="n">
        <v>46280</v>
      </c>
      <c r="O596" s="8" t="s">
        <v>545</v>
      </c>
      <c r="P596" s="24" t="n">
        <v>3</v>
      </c>
      <c r="Q596" s="31" t="n">
        <f aca="false">IF(I596="N/A","",IFERROR(INDEX('Residual Config'!$B$35:$B$42,MATCH(H596,'Residual Config'!$A$35:$A$42,0)),""))</f>
        <v>3</v>
      </c>
      <c r="R596" s="24" t="n">
        <v>0</v>
      </c>
      <c r="S596" s="8" t="s">
        <v>516</v>
      </c>
      <c r="T596" s="31" t="n">
        <f aca="false">IF(S596="","",MATCH(S596,'Residual Config'!$L$9:$L$12,0))</f>
        <v>1</v>
      </c>
      <c r="U596" s="8" t="s">
        <v>2207</v>
      </c>
      <c r="V596" s="24" t="n">
        <v>6</v>
      </c>
      <c r="W596" s="33" t="s">
        <v>533</v>
      </c>
      <c r="X596" s="8" t="s">
        <v>754</v>
      </c>
      <c r="Y596" s="51" t="n">
        <f aca="false">IF(N596="","",EDATE(N596,IF(G596="N",INDEX('Residual Config'!$B$31:$D$31,1,MATCH(D596,'Residual Config'!$B$27:$D$27,0)),INDEX('Residual Config'!$B$28:$D$30,IF(T596=1,1,IF(T596=4,3,2)),MATCH(D596,'Residual Config'!$B$27:$D$27,0)))))</f>
        <v>46645</v>
      </c>
      <c r="Z596" s="7" t="str">
        <f aca="false">IF(I596="N/A","N/A",IF(N596="","Not tested",IF(W596="Rejected","Evidence rejected",IF(W596&lt;&gt;"Accepted","Evidence pending",IF(Y596&lt;'Residual Config'!$C$4,"Overdue","Current")))))</f>
        <v>Current</v>
      </c>
      <c r="AA596" s="34" t="n">
        <f aca="false">IF(I596="N/A","",IF(Z596&lt;&gt;"Current",4,IF(MAX(M596,T596)=0,4,MAX(M596,T596))))</f>
        <v>1</v>
      </c>
      <c r="AB596" s="7" t="str">
        <f aca="false">IF(AA596="","N/A",IF(Z596&lt;&gt;"Current","Not tested / overdue",INDEX('Residual Config'!$B$11:$B$14,AA596)))</f>
        <v>Effective</v>
      </c>
      <c r="AC596" s="36" t="n">
        <f aca="false">IF(AA596="","",INDEX('Residual Config'!$D$11:$D$14,AA596))</f>
        <v>0.6</v>
      </c>
      <c r="AD596" s="7" t="str">
        <f aca="false">IF(OR(I596="N/A",P596="",Q596=""),"",IF(P596&gt;=Q596,"Yes","No"))</f>
        <v>Yes</v>
      </c>
      <c r="AE596" s="8"/>
    </row>
    <row r="597" customFormat="false" ht="15" hidden="false" customHeight="false" outlineLevel="0" collapsed="false">
      <c r="A597" s="12" t="s">
        <v>2208</v>
      </c>
      <c r="B597" s="26" t="str">
        <f aca="false">Entities!$A$18</f>
        <v>OM</v>
      </c>
      <c r="C597" s="12" t="str">
        <f aca="false">INDEX(Entities!$B$5:$B$34,MATCH(B597,Entities!$A$5:$A$34,0))</f>
        <v>Oman Arab Bank (affiliate)</v>
      </c>
      <c r="D597" s="7" t="str">
        <f aca="false">INDEX(Entities!$F$5:$F$34,MATCH(B597,Entities!$A$5:$A$34,0))</f>
        <v>Tier 2</v>
      </c>
      <c r="E597" s="26" t="str">
        <f aca="false">'Control Library'!$A$38</f>
        <v>CTL-MR-01</v>
      </c>
      <c r="F597" s="12" t="str">
        <f aca="false">INDEX('Control Library'!$B$5:$B$47,MATCH(E597,'Control Library'!$A$5:$A$47,0))</f>
        <v>Market risk limits and daily VaR monitoring</v>
      </c>
      <c r="G597" s="7" t="str">
        <f aca="false">INDEX('Control Library'!$F$5:$F$47,MATCH(E597,'Control Library'!$A$5:$A$47,0))</f>
        <v>Y</v>
      </c>
      <c r="H597" s="12" t="str">
        <f aca="false">INDEX('Control Library'!$E$5:$E$47,MATCH(E597,'Control Library'!$A$5:$A$47,0))</f>
        <v>Daily</v>
      </c>
      <c r="I597" s="7" t="str">
        <f aca="false">IF(INDEX('Control Library'!$I$5:$I$47,MATCH(E597,'Control Library'!$A$5:$A$47,0))="All","Y",IF(INDEX('Control Library'!$I$5:$I$47,MATCH(E597,'Control Library'!$A$5:$A$47,0))="Banks only",IF(COUNTIF('Residual Config'!$L$28:$L$30,INDEX(Entities!$E$5:$E$34,MATCH(B597,Entities!$A$5:$A$34,0)))&gt;0,"N/A","Y"),IF(INDEX(Entities!$G$5:$G$34,MATCH(B597,Entities!$A$5:$A$34,0))="Y","Y","N/A")))</f>
        <v>Y</v>
      </c>
      <c r="J597" s="8" t="s">
        <v>2206</v>
      </c>
      <c r="K597" s="8" t="s">
        <v>2126</v>
      </c>
      <c r="L597" s="7" t="str">
        <f aca="false">IF(OR(J597="",K597=""),"",IF(J597=K597,"Breach","OK"))</f>
        <v>OK</v>
      </c>
      <c r="M597" s="24" t="n">
        <v>2</v>
      </c>
      <c r="N597" s="50" t="n">
        <v>45968</v>
      </c>
      <c r="O597" s="8" t="s">
        <v>546</v>
      </c>
      <c r="P597" s="24" t="n">
        <v>25</v>
      </c>
      <c r="Q597" s="31" t="n">
        <f aca="false">IF(I597="N/A","",IFERROR(INDEX('Residual Config'!$B$35:$B$42,MATCH(H597,'Residual Config'!$A$35:$A$42,0)),""))</f>
        <v>25</v>
      </c>
      <c r="R597" s="24" t="n">
        <v>0</v>
      </c>
      <c r="S597" s="8" t="s">
        <v>516</v>
      </c>
      <c r="T597" s="31" t="n">
        <f aca="false">IF(S597="","",MATCH(S597,'Residual Config'!$L$9:$L$12,0))</f>
        <v>1</v>
      </c>
      <c r="U597" s="8" t="s">
        <v>2209</v>
      </c>
      <c r="V597" s="24" t="n">
        <v>3</v>
      </c>
      <c r="W597" s="33" t="s">
        <v>533</v>
      </c>
      <c r="X597" s="8" t="s">
        <v>760</v>
      </c>
      <c r="Y597" s="51" t="n">
        <f aca="false">IF(N597="","",EDATE(N597,IF(G597="N",INDEX('Residual Config'!$B$31:$D$31,1,MATCH(D597,'Residual Config'!$B$27:$D$27,0)),INDEX('Residual Config'!$B$28:$D$30,IF(T597=1,1,IF(T597=4,3,2)),MATCH(D597,'Residual Config'!$B$27:$D$27,0)))))</f>
        <v>46333</v>
      </c>
      <c r="Z597" s="7" t="str">
        <f aca="false">IF(I597="N/A","N/A",IF(N597="","Not tested",IF(W597="Rejected","Evidence rejected",IF(W597&lt;&gt;"Accepted","Evidence pending",IF(Y597&lt;'Residual Config'!$C$4,"Overdue","Current")))))</f>
        <v>Current</v>
      </c>
      <c r="AA597" s="34" t="n">
        <f aca="false">IF(I597="N/A","",IF(Z597&lt;&gt;"Current",4,IF(MAX(M597,T597)=0,4,MAX(M597,T597))))</f>
        <v>2</v>
      </c>
      <c r="AB597" s="7" t="str">
        <f aca="false">IF(AA597="","N/A",IF(Z597&lt;&gt;"Current","Not tested / overdue",INDEX('Residual Config'!$B$11:$B$14,AA597)))</f>
        <v>Largely effective</v>
      </c>
      <c r="AC597" s="36" t="n">
        <f aca="false">IF(AA597="","",INDEX('Residual Config'!$D$11:$D$14,AA597))</f>
        <v>0.4</v>
      </c>
      <c r="AD597" s="7" t="str">
        <f aca="false">IF(OR(I597="N/A",P597="",Q597=""),"",IF(P597&gt;=Q597,"Yes","No"))</f>
        <v>Yes</v>
      </c>
      <c r="AE597" s="8"/>
    </row>
    <row r="598" customFormat="false" ht="15" hidden="false" customHeight="false" outlineLevel="0" collapsed="false">
      <c r="A598" s="12" t="s">
        <v>2210</v>
      </c>
      <c r="B598" s="26" t="str">
        <f aca="false">Entities!$A$18</f>
        <v>OM</v>
      </c>
      <c r="C598" s="12" t="str">
        <f aca="false">INDEX(Entities!$B$5:$B$34,MATCH(B598,Entities!$A$5:$A$34,0))</f>
        <v>Oman Arab Bank (affiliate)</v>
      </c>
      <c r="D598" s="7" t="str">
        <f aca="false">INDEX(Entities!$F$5:$F$34,MATCH(B598,Entities!$A$5:$A$34,0))</f>
        <v>Tier 2</v>
      </c>
      <c r="E598" s="26" t="str">
        <f aca="false">'Control Library'!$A$39</f>
        <v>CTL-LQ-01</v>
      </c>
      <c r="F598" s="12" t="str">
        <f aca="false">INDEX('Control Library'!$B$5:$B$47,MATCH(E598,'Control Library'!$A$5:$A$47,0))</f>
        <v>Liquidity buffers, LCR/NSFR monitoring and contingency funding plan</v>
      </c>
      <c r="G598" s="7" t="str">
        <f aca="false">INDEX('Control Library'!$F$5:$F$47,MATCH(E598,'Control Library'!$A$5:$A$47,0))</f>
        <v>Y</v>
      </c>
      <c r="H598" s="12" t="str">
        <f aca="false">INDEX('Control Library'!$E$5:$E$47,MATCH(E598,'Control Library'!$A$5:$A$47,0))</f>
        <v>Daily</v>
      </c>
      <c r="I598" s="7" t="str">
        <f aca="false">IF(INDEX('Control Library'!$I$5:$I$47,MATCH(E598,'Control Library'!$A$5:$A$47,0))="All","Y",IF(INDEX('Control Library'!$I$5:$I$47,MATCH(E598,'Control Library'!$A$5:$A$47,0))="Banks only",IF(COUNTIF('Residual Config'!$L$28:$L$30,INDEX(Entities!$E$5:$E$34,MATCH(B598,Entities!$A$5:$A$34,0)))&gt;0,"N/A","Y"),IF(INDEX(Entities!$G$5:$G$34,MATCH(B598,Entities!$A$5:$A$34,0))="Y","Y","N/A")))</f>
        <v>Y</v>
      </c>
      <c r="J598" s="8" t="s">
        <v>2211</v>
      </c>
      <c r="K598" s="8" t="s">
        <v>2126</v>
      </c>
      <c r="L598" s="7" t="str">
        <f aca="false">IF(OR(J598="",K598=""),"",IF(J598=K598,"Breach","OK"))</f>
        <v>OK</v>
      </c>
      <c r="M598" s="24" t="n">
        <v>2</v>
      </c>
      <c r="N598" s="50" t="n">
        <v>46031</v>
      </c>
      <c r="O598" s="8" t="s">
        <v>546</v>
      </c>
      <c r="P598" s="24" t="n">
        <v>20</v>
      </c>
      <c r="Q598" s="31" t="n">
        <f aca="false">IF(I598="N/A","",IFERROR(INDEX('Residual Config'!$B$35:$B$42,MATCH(H598,'Residual Config'!$A$35:$A$42,0)),""))</f>
        <v>25</v>
      </c>
      <c r="R598" s="24" t="n">
        <v>0</v>
      </c>
      <c r="S598" s="8" t="s">
        <v>516</v>
      </c>
      <c r="T598" s="31" t="n">
        <f aca="false">IF(S598="","",MATCH(S598,'Residual Config'!$L$9:$L$12,0))</f>
        <v>1</v>
      </c>
      <c r="U598" s="8" t="s">
        <v>2212</v>
      </c>
      <c r="V598" s="24" t="n">
        <v>1</v>
      </c>
      <c r="W598" s="33" t="s">
        <v>533</v>
      </c>
      <c r="X598" s="8" t="s">
        <v>754</v>
      </c>
      <c r="Y598" s="51" t="n">
        <f aca="false">IF(N598="","",EDATE(N598,IF(G598="N",INDEX('Residual Config'!$B$31:$D$31,1,MATCH(D598,'Residual Config'!$B$27:$D$27,0)),INDEX('Residual Config'!$B$28:$D$30,IF(T598=1,1,IF(T598=4,3,2)),MATCH(D598,'Residual Config'!$B$27:$D$27,0)))))</f>
        <v>46396</v>
      </c>
      <c r="Z598" s="7" t="str">
        <f aca="false">IF(I598="N/A","N/A",IF(N598="","Not tested",IF(W598="Rejected","Evidence rejected",IF(W598&lt;&gt;"Accepted","Evidence pending",IF(Y598&lt;'Residual Config'!$C$4,"Overdue","Current")))))</f>
        <v>Current</v>
      </c>
      <c r="AA598" s="34" t="n">
        <f aca="false">IF(I598="N/A","",IF(Z598&lt;&gt;"Current",4,IF(MAX(M598,T598)=0,4,MAX(M598,T598))))</f>
        <v>2</v>
      </c>
      <c r="AB598" s="7" t="str">
        <f aca="false">IF(AA598="","N/A",IF(Z598&lt;&gt;"Current","Not tested / overdue",INDEX('Residual Config'!$B$11:$B$14,AA598)))</f>
        <v>Largely effective</v>
      </c>
      <c r="AC598" s="36" t="n">
        <f aca="false">IF(AA598="","",INDEX('Residual Config'!$D$11:$D$14,AA598))</f>
        <v>0.4</v>
      </c>
      <c r="AD598" s="7" t="str">
        <f aca="false">IF(OR(I598="N/A",P598="",Q598=""),"",IF(P598&gt;=Q598,"Yes","No"))</f>
        <v>No</v>
      </c>
      <c r="AE598" s="8"/>
    </row>
    <row r="599" customFormat="false" ht="15" hidden="false" customHeight="false" outlineLevel="0" collapsed="false">
      <c r="A599" s="12" t="s">
        <v>2213</v>
      </c>
      <c r="B599" s="26" t="str">
        <f aca="false">Entities!$A$18</f>
        <v>OM</v>
      </c>
      <c r="C599" s="12" t="str">
        <f aca="false">INDEX(Entities!$B$5:$B$34,MATCH(B599,Entities!$A$5:$A$34,0))</f>
        <v>Oman Arab Bank (affiliate)</v>
      </c>
      <c r="D599" s="7" t="str">
        <f aca="false">INDEX(Entities!$F$5:$F$34,MATCH(B599,Entities!$A$5:$A$34,0))</f>
        <v>Tier 2</v>
      </c>
      <c r="E599" s="26" t="str">
        <f aca="false">'Control Library'!$A$40</f>
        <v>CTL-OR-01</v>
      </c>
      <c r="F599" s="12" t="str">
        <f aca="false">INDEX('Control Library'!$B$5:$B$47,MATCH(E599,'Control Library'!$A$5:$A$47,0))</f>
        <v>Business continuity plans and annual testing</v>
      </c>
      <c r="G599" s="7" t="str">
        <f aca="false">INDEX('Control Library'!$F$5:$F$47,MATCH(E599,'Control Library'!$A$5:$A$47,0))</f>
        <v>Y</v>
      </c>
      <c r="H599" s="12" t="str">
        <f aca="false">INDEX('Control Library'!$E$5:$E$47,MATCH(E599,'Control Library'!$A$5:$A$47,0))</f>
        <v>Annual</v>
      </c>
      <c r="I599" s="7" t="str">
        <f aca="false">IF(INDEX('Control Library'!$I$5:$I$47,MATCH(E599,'Control Library'!$A$5:$A$47,0))="All","Y",IF(INDEX('Control Library'!$I$5:$I$47,MATCH(E599,'Control Library'!$A$5:$A$47,0))="Banks only",IF(COUNTIF('Residual Config'!$L$28:$L$30,INDEX(Entities!$E$5:$E$34,MATCH(B599,Entities!$A$5:$A$34,0)))&gt;0,"N/A","Y"),IF(INDEX(Entities!$G$5:$G$34,MATCH(B599,Entities!$A$5:$A$34,0))="Y","Y","N/A")))</f>
        <v>Y</v>
      </c>
      <c r="J599" s="8" t="s">
        <v>2214</v>
      </c>
      <c r="K599" s="8" t="s">
        <v>2126</v>
      </c>
      <c r="L599" s="7" t="str">
        <f aca="false">IF(OR(J599="",K599=""),"",IF(J599=K599,"Breach","OK"))</f>
        <v>OK</v>
      </c>
      <c r="M599" s="24" t="n">
        <v>2</v>
      </c>
      <c r="N599" s="50" t="n">
        <v>46165</v>
      </c>
      <c r="O599" s="8" t="s">
        <v>545</v>
      </c>
      <c r="P599" s="24" t="n">
        <v>1</v>
      </c>
      <c r="Q599" s="31" t="n">
        <f aca="false">IF(I599="N/A","",IFERROR(INDEX('Residual Config'!$B$35:$B$42,MATCH(H599,'Residual Config'!$A$35:$A$42,0)),""))</f>
        <v>1</v>
      </c>
      <c r="R599" s="24" t="n">
        <v>1</v>
      </c>
      <c r="S599" s="8" t="s">
        <v>521</v>
      </c>
      <c r="T599" s="31" t="n">
        <f aca="false">IF(S599="","",MATCH(S599,'Residual Config'!$L$9:$L$12,0))</f>
        <v>2</v>
      </c>
      <c r="U599" s="8" t="s">
        <v>2215</v>
      </c>
      <c r="V599" s="24" t="n">
        <v>6</v>
      </c>
      <c r="W599" s="33" t="s">
        <v>533</v>
      </c>
      <c r="X599" s="8" t="s">
        <v>754</v>
      </c>
      <c r="Y599" s="51" t="n">
        <f aca="false">IF(N599="","",EDATE(N599,IF(G599="N",INDEX('Residual Config'!$B$31:$D$31,1,MATCH(D599,'Residual Config'!$B$27:$D$27,0)),INDEX('Residual Config'!$B$28:$D$30,IF(T599=1,1,IF(T599=4,3,2)),MATCH(D599,'Residual Config'!$B$27:$D$27,0)))))</f>
        <v>46349</v>
      </c>
      <c r="Z599" s="7" t="str">
        <f aca="false">IF(I599="N/A","N/A",IF(N599="","Not tested",IF(W599="Rejected","Evidence rejected",IF(W599&lt;&gt;"Accepted","Evidence pending",IF(Y599&lt;'Residual Config'!$C$4,"Overdue","Current")))))</f>
        <v>Current</v>
      </c>
      <c r="AA599" s="34" t="n">
        <f aca="false">IF(I599="N/A","",IF(Z599&lt;&gt;"Current",4,IF(MAX(M599,T599)=0,4,MAX(M599,T599))))</f>
        <v>2</v>
      </c>
      <c r="AB599" s="7" t="str">
        <f aca="false">IF(AA599="","N/A",IF(Z599&lt;&gt;"Current","Not tested / overdue",INDEX('Residual Config'!$B$11:$B$14,AA599)))</f>
        <v>Largely effective</v>
      </c>
      <c r="AC599" s="36" t="n">
        <f aca="false">IF(AA599="","",INDEX('Residual Config'!$D$11:$D$14,AA599))</f>
        <v>0.4</v>
      </c>
      <c r="AD599" s="7" t="str">
        <f aca="false">IF(OR(I599="N/A",P599="",Q599=""),"",IF(P599&gt;=Q599,"Yes","No"))</f>
        <v>Yes</v>
      </c>
      <c r="AE599" s="8"/>
    </row>
    <row r="600" customFormat="false" ht="15" hidden="false" customHeight="false" outlineLevel="0" collapsed="false">
      <c r="A600" s="12" t="s">
        <v>2216</v>
      </c>
      <c r="B600" s="26" t="str">
        <f aca="false">Entities!$A$18</f>
        <v>OM</v>
      </c>
      <c r="C600" s="12" t="str">
        <f aca="false">INDEX(Entities!$B$5:$B$34,MATCH(B600,Entities!$A$5:$A$34,0))</f>
        <v>Oman Arab Bank (affiliate)</v>
      </c>
      <c r="D600" s="7" t="str">
        <f aca="false">INDEX(Entities!$F$5:$F$34,MATCH(B600,Entities!$A$5:$A$34,0))</f>
        <v>Tier 2</v>
      </c>
      <c r="E600" s="26" t="str">
        <f aca="false">'Control Library'!$A$41</f>
        <v>CTL-OR-02</v>
      </c>
      <c r="F600" s="12" t="str">
        <f aca="false">INDEX('Control Library'!$B$5:$B$47,MATCH(E600,'Control Library'!$A$5:$A$47,0))</f>
        <v>Operational loss event capture and RCSA</v>
      </c>
      <c r="G600" s="7" t="str">
        <f aca="false">INDEX('Control Library'!$F$5:$F$47,MATCH(E600,'Control Library'!$A$5:$A$47,0))</f>
        <v>N</v>
      </c>
      <c r="H600" s="12" t="str">
        <f aca="false">INDEX('Control Library'!$E$5:$E$47,MATCH(E600,'Control Library'!$A$5:$A$47,0))</f>
        <v>Quarterly</v>
      </c>
      <c r="I600" s="7" t="str">
        <f aca="false">IF(INDEX('Control Library'!$I$5:$I$47,MATCH(E600,'Control Library'!$A$5:$A$47,0))="All","Y",IF(INDEX('Control Library'!$I$5:$I$47,MATCH(E600,'Control Library'!$A$5:$A$47,0))="Banks only",IF(COUNTIF('Residual Config'!$L$28:$L$30,INDEX(Entities!$E$5:$E$34,MATCH(B600,Entities!$A$5:$A$34,0)))&gt;0,"N/A","Y"),IF(INDEX(Entities!$G$5:$G$34,MATCH(B600,Entities!$A$5:$A$34,0))="Y","Y","N/A")))</f>
        <v>Y</v>
      </c>
      <c r="J600" s="8" t="s">
        <v>2206</v>
      </c>
      <c r="K600" s="8" t="s">
        <v>2126</v>
      </c>
      <c r="L600" s="7" t="str">
        <f aca="false">IF(OR(J600="",K600=""),"",IF(J600=K600,"Breach","OK"))</f>
        <v>OK</v>
      </c>
      <c r="M600" s="24" t="n">
        <v>1</v>
      </c>
      <c r="N600" s="50" t="n">
        <v>46012</v>
      </c>
      <c r="O600" s="8" t="s">
        <v>545</v>
      </c>
      <c r="P600" s="24" t="n">
        <v>2</v>
      </c>
      <c r="Q600" s="31" t="n">
        <f aca="false">IF(I600="N/A","",IFERROR(INDEX('Residual Config'!$B$35:$B$42,MATCH(H600,'Residual Config'!$A$35:$A$42,0)),""))</f>
        <v>2</v>
      </c>
      <c r="R600" s="24" t="n">
        <v>1</v>
      </c>
      <c r="S600" s="8" t="s">
        <v>521</v>
      </c>
      <c r="T600" s="31" t="n">
        <f aca="false">IF(S600="","",MATCH(S600,'Residual Config'!$L$9:$L$12,0))</f>
        <v>2</v>
      </c>
      <c r="U600" s="8" t="s">
        <v>2217</v>
      </c>
      <c r="V600" s="24" t="n">
        <v>6</v>
      </c>
      <c r="W600" s="33" t="s">
        <v>533</v>
      </c>
      <c r="X600" s="8" t="s">
        <v>760</v>
      </c>
      <c r="Y600" s="51" t="n">
        <f aca="false">IF(N600="","",EDATE(N600,IF(G600="N",INDEX('Residual Config'!$B$31:$D$31,1,MATCH(D600,'Residual Config'!$B$27:$D$27,0)),INDEX('Residual Config'!$B$28:$D$30,IF(T600=1,1,IF(T600=4,3,2)),MATCH(D600,'Residual Config'!$B$27:$D$27,0)))))</f>
        <v>46377</v>
      </c>
      <c r="Z600" s="7" t="str">
        <f aca="false">IF(I600="N/A","N/A",IF(N600="","Not tested",IF(W600="Rejected","Evidence rejected",IF(W600&lt;&gt;"Accepted","Evidence pending",IF(Y600&lt;'Residual Config'!$C$4,"Overdue","Current")))))</f>
        <v>Current</v>
      </c>
      <c r="AA600" s="34" t="n">
        <f aca="false">IF(I600="N/A","",IF(Z600&lt;&gt;"Current",4,IF(MAX(M600,T600)=0,4,MAX(M600,T600))))</f>
        <v>2</v>
      </c>
      <c r="AB600" s="7" t="str">
        <f aca="false">IF(AA600="","N/A",IF(Z600&lt;&gt;"Current","Not tested / overdue",INDEX('Residual Config'!$B$11:$B$14,AA600)))</f>
        <v>Largely effective</v>
      </c>
      <c r="AC600" s="36" t="n">
        <f aca="false">IF(AA600="","",INDEX('Residual Config'!$D$11:$D$14,AA600))</f>
        <v>0.4</v>
      </c>
      <c r="AD600" s="7" t="str">
        <f aca="false">IF(OR(I600="N/A",P600="",Q600=""),"",IF(P600&gt;=Q600,"Yes","No"))</f>
        <v>Yes</v>
      </c>
      <c r="AE600" s="8"/>
    </row>
    <row r="601" customFormat="false" ht="15" hidden="false" customHeight="false" outlineLevel="0" collapsed="false">
      <c r="A601" s="12" t="s">
        <v>2218</v>
      </c>
      <c r="B601" s="26" t="str">
        <f aca="false">Entities!$A$18</f>
        <v>OM</v>
      </c>
      <c r="C601" s="12" t="str">
        <f aca="false">INDEX(Entities!$B$5:$B$34,MATCH(B601,Entities!$A$5:$A$34,0))</f>
        <v>Oman Arab Bank (affiliate)</v>
      </c>
      <c r="D601" s="7" t="str">
        <f aca="false">INDEX(Entities!$F$5:$F$34,MATCH(B601,Entities!$A$5:$A$34,0))</f>
        <v>Tier 2</v>
      </c>
      <c r="E601" s="26" t="str">
        <f aca="false">'Control Library'!$A$42</f>
        <v>CTL-CY-01</v>
      </c>
      <c r="F601" s="12" t="str">
        <f aca="false">INDEX('Control Library'!$B$5:$B$47,MATCH(E601,'Control Library'!$A$5:$A$47,0))</f>
        <v>Vulnerability and patch management</v>
      </c>
      <c r="G601" s="7" t="str">
        <f aca="false">INDEX('Control Library'!$F$5:$F$47,MATCH(E601,'Control Library'!$A$5:$A$47,0))</f>
        <v>Y</v>
      </c>
      <c r="H601" s="12" t="str">
        <f aca="false">INDEX('Control Library'!$E$5:$E$47,MATCH(E601,'Control Library'!$A$5:$A$47,0))</f>
        <v>Monthly</v>
      </c>
      <c r="I601" s="7" t="str">
        <f aca="false">IF(INDEX('Control Library'!$I$5:$I$47,MATCH(E601,'Control Library'!$A$5:$A$47,0))="All","Y",IF(INDEX('Control Library'!$I$5:$I$47,MATCH(E601,'Control Library'!$A$5:$A$47,0))="Banks only",IF(COUNTIF('Residual Config'!$L$28:$L$30,INDEX(Entities!$E$5:$E$34,MATCH(B601,Entities!$A$5:$A$34,0)))&gt;0,"N/A","Y"),IF(INDEX(Entities!$G$5:$G$34,MATCH(B601,Entities!$A$5:$A$34,0))="Y","Y","N/A")))</f>
        <v>Y</v>
      </c>
      <c r="J601" s="8" t="s">
        <v>2150</v>
      </c>
      <c r="K601" s="8" t="s">
        <v>2126</v>
      </c>
      <c r="L601" s="7" t="str">
        <f aca="false">IF(OR(J601="",K601=""),"",IF(J601=K601,"Breach","OK"))</f>
        <v>OK</v>
      </c>
      <c r="M601" s="24" t="n">
        <v>1</v>
      </c>
      <c r="N601" s="50" t="n">
        <v>46283</v>
      </c>
      <c r="O601" s="8" t="s">
        <v>545</v>
      </c>
      <c r="P601" s="24" t="n">
        <v>3</v>
      </c>
      <c r="Q601" s="31" t="n">
        <f aca="false">IF(I601="N/A","",IFERROR(INDEX('Residual Config'!$B$35:$B$42,MATCH(H601,'Residual Config'!$A$35:$A$42,0)),""))</f>
        <v>3</v>
      </c>
      <c r="R601" s="24" t="n">
        <v>1</v>
      </c>
      <c r="S601" s="8" t="s">
        <v>521</v>
      </c>
      <c r="T601" s="31" t="n">
        <f aca="false">IF(S601="","",MATCH(S601,'Residual Config'!$L$9:$L$12,0))</f>
        <v>2</v>
      </c>
      <c r="U601" s="8" t="s">
        <v>2219</v>
      </c>
      <c r="V601" s="24" t="n">
        <v>1</v>
      </c>
      <c r="W601" s="33" t="s">
        <v>533</v>
      </c>
      <c r="X601" s="8" t="s">
        <v>754</v>
      </c>
      <c r="Y601" s="51" t="n">
        <f aca="false">IF(N601="","",EDATE(N601,IF(G601="N",INDEX('Residual Config'!$B$31:$D$31,1,MATCH(D601,'Residual Config'!$B$27:$D$27,0)),INDEX('Residual Config'!$B$28:$D$30,IF(T601=1,1,IF(T601=4,3,2)),MATCH(D601,'Residual Config'!$B$27:$D$27,0)))))</f>
        <v>46464</v>
      </c>
      <c r="Z601" s="7" t="str">
        <f aca="false">IF(I601="N/A","N/A",IF(N601="","Not tested",IF(W601="Rejected","Evidence rejected",IF(W601&lt;&gt;"Accepted","Evidence pending",IF(Y601&lt;'Residual Config'!$C$4,"Overdue","Current")))))</f>
        <v>Current</v>
      </c>
      <c r="AA601" s="34" t="n">
        <f aca="false">IF(I601="N/A","",IF(Z601&lt;&gt;"Current",4,IF(MAX(M601,T601)=0,4,MAX(M601,T601))))</f>
        <v>2</v>
      </c>
      <c r="AB601" s="7" t="str">
        <f aca="false">IF(AA601="","N/A",IF(Z601&lt;&gt;"Current","Not tested / overdue",INDEX('Residual Config'!$B$11:$B$14,AA601)))</f>
        <v>Largely effective</v>
      </c>
      <c r="AC601" s="36" t="n">
        <f aca="false">IF(AA601="","",INDEX('Residual Config'!$D$11:$D$14,AA601))</f>
        <v>0.4</v>
      </c>
      <c r="AD601" s="7" t="str">
        <f aca="false">IF(OR(I601="N/A",P601="",Q601=""),"",IF(P601&gt;=Q601,"Yes","No"))</f>
        <v>Yes</v>
      </c>
      <c r="AE601" s="8"/>
    </row>
    <row r="602" customFormat="false" ht="15" hidden="false" customHeight="false" outlineLevel="0" collapsed="false">
      <c r="A602" s="12" t="s">
        <v>2220</v>
      </c>
      <c r="B602" s="26" t="str">
        <f aca="false">Entities!$A$18</f>
        <v>OM</v>
      </c>
      <c r="C602" s="12" t="str">
        <f aca="false">INDEX(Entities!$B$5:$B$34,MATCH(B602,Entities!$A$5:$A$34,0))</f>
        <v>Oman Arab Bank (affiliate)</v>
      </c>
      <c r="D602" s="7" t="str">
        <f aca="false">INDEX(Entities!$F$5:$F$34,MATCH(B602,Entities!$A$5:$A$34,0))</f>
        <v>Tier 2</v>
      </c>
      <c r="E602" s="26" t="str">
        <f aca="false">'Control Library'!$A$43</f>
        <v>CTL-CY-02</v>
      </c>
      <c r="F602" s="12" t="str">
        <f aca="false">INDEX('Control Library'!$B$5:$B$47,MATCH(E602,'Control Library'!$A$5:$A$47,0))</f>
        <v>Privileged access management and SOC monitoring</v>
      </c>
      <c r="G602" s="7" t="str">
        <f aca="false">INDEX('Control Library'!$F$5:$F$47,MATCH(E602,'Control Library'!$A$5:$A$47,0))</f>
        <v>Y</v>
      </c>
      <c r="H602" s="12" t="str">
        <f aca="false">INDEX('Control Library'!$E$5:$E$47,MATCH(E602,'Control Library'!$A$5:$A$47,0))</f>
        <v>Continuous</v>
      </c>
      <c r="I602" s="7" t="str">
        <f aca="false">IF(INDEX('Control Library'!$I$5:$I$47,MATCH(E602,'Control Library'!$A$5:$A$47,0))="All","Y",IF(INDEX('Control Library'!$I$5:$I$47,MATCH(E602,'Control Library'!$A$5:$A$47,0))="Banks only",IF(COUNTIF('Residual Config'!$L$28:$L$30,INDEX(Entities!$E$5:$E$34,MATCH(B602,Entities!$A$5:$A$34,0)))&gt;0,"N/A","Y"),IF(INDEX(Entities!$G$5:$G$34,MATCH(B602,Entities!$A$5:$A$34,0))="Y","Y","N/A")))</f>
        <v>Y</v>
      </c>
      <c r="J602" s="8" t="s">
        <v>2199</v>
      </c>
      <c r="K602" s="8" t="s">
        <v>2126</v>
      </c>
      <c r="L602" s="7" t="str">
        <f aca="false">IF(OR(J602="",K602=""),"",IF(J602=K602,"Breach","OK"))</f>
        <v>OK</v>
      </c>
      <c r="M602" s="24" t="n">
        <v>2</v>
      </c>
      <c r="N602" s="50" t="n">
        <v>46020</v>
      </c>
      <c r="O602" s="8" t="s">
        <v>546</v>
      </c>
      <c r="P602" s="24" t="n">
        <v>1</v>
      </c>
      <c r="Q602" s="31" t="n">
        <f aca="false">IF(I602="N/A","",IFERROR(INDEX('Residual Config'!$B$35:$B$42,MATCH(H602,'Residual Config'!$A$35:$A$42,0)),""))</f>
        <v>1</v>
      </c>
      <c r="R602" s="24" t="n">
        <v>0</v>
      </c>
      <c r="S602" s="8" t="s">
        <v>516</v>
      </c>
      <c r="T602" s="31" t="n">
        <f aca="false">IF(S602="","",MATCH(S602,'Residual Config'!$L$9:$L$12,0))</f>
        <v>1</v>
      </c>
      <c r="U602" s="8" t="s">
        <v>2221</v>
      </c>
      <c r="V602" s="24" t="n">
        <v>6</v>
      </c>
      <c r="W602" s="33" t="s">
        <v>533</v>
      </c>
      <c r="X602" s="8" t="s">
        <v>754</v>
      </c>
      <c r="Y602" s="51" t="n">
        <f aca="false">IF(N602="","",EDATE(N602,IF(G602="N",INDEX('Residual Config'!$B$31:$D$31,1,MATCH(D602,'Residual Config'!$B$27:$D$27,0)),INDEX('Residual Config'!$B$28:$D$30,IF(T602=1,1,IF(T602=4,3,2)),MATCH(D602,'Residual Config'!$B$27:$D$27,0)))))</f>
        <v>46385</v>
      </c>
      <c r="Z602" s="7" t="str">
        <f aca="false">IF(I602="N/A","N/A",IF(N602="","Not tested",IF(W602="Rejected","Evidence rejected",IF(W602&lt;&gt;"Accepted","Evidence pending",IF(Y602&lt;'Residual Config'!$C$4,"Overdue","Current")))))</f>
        <v>Current</v>
      </c>
      <c r="AA602" s="34" t="n">
        <f aca="false">IF(I602="N/A","",IF(Z602&lt;&gt;"Current",4,IF(MAX(M602,T602)=0,4,MAX(M602,T602))))</f>
        <v>2</v>
      </c>
      <c r="AB602" s="7" t="str">
        <f aca="false">IF(AA602="","N/A",IF(Z602&lt;&gt;"Current","Not tested / overdue",INDEX('Residual Config'!$B$11:$B$14,AA602)))</f>
        <v>Largely effective</v>
      </c>
      <c r="AC602" s="36" t="n">
        <f aca="false">IF(AA602="","",INDEX('Residual Config'!$D$11:$D$14,AA602))</f>
        <v>0.4</v>
      </c>
      <c r="AD602" s="7" t="str">
        <f aca="false">IF(OR(I602="N/A",P602="",Q602=""),"",IF(P602&gt;=Q602,"Yes","No"))</f>
        <v>Yes</v>
      </c>
      <c r="AE602" s="8"/>
    </row>
    <row r="603" customFormat="false" ht="15" hidden="false" customHeight="false" outlineLevel="0" collapsed="false">
      <c r="A603" s="12" t="s">
        <v>2222</v>
      </c>
      <c r="B603" s="26" t="str">
        <f aca="false">Entities!$A$18</f>
        <v>OM</v>
      </c>
      <c r="C603" s="12" t="str">
        <f aca="false">INDEX(Entities!$B$5:$B$34,MATCH(B603,Entities!$A$5:$A$34,0))</f>
        <v>Oman Arab Bank (affiliate)</v>
      </c>
      <c r="D603" s="7" t="str">
        <f aca="false">INDEX(Entities!$F$5:$F$34,MATCH(B603,Entities!$A$5:$A$34,0))</f>
        <v>Tier 2</v>
      </c>
      <c r="E603" s="26" t="str">
        <f aca="false">'Control Library'!$A$44</f>
        <v>CTL-TP-01</v>
      </c>
      <c r="F603" s="12" t="str">
        <f aca="false">INDEX('Control Library'!$B$5:$B$47,MATCH(E603,'Control Library'!$A$5:$A$47,0))</f>
        <v>Critical vendor due diligence and tested exit plans</v>
      </c>
      <c r="G603" s="7" t="str">
        <f aca="false">INDEX('Control Library'!$F$5:$F$47,MATCH(E603,'Control Library'!$A$5:$A$47,0))</f>
        <v>Y</v>
      </c>
      <c r="H603" s="12" t="str">
        <f aca="false">INDEX('Control Library'!$E$5:$E$47,MATCH(E603,'Control Library'!$A$5:$A$47,0))</f>
        <v>Annual</v>
      </c>
      <c r="I603" s="7" t="str">
        <f aca="false">IF(INDEX('Control Library'!$I$5:$I$47,MATCH(E603,'Control Library'!$A$5:$A$47,0))="All","Y",IF(INDEX('Control Library'!$I$5:$I$47,MATCH(E603,'Control Library'!$A$5:$A$47,0))="Banks only",IF(COUNTIF('Residual Config'!$L$28:$L$30,INDEX(Entities!$E$5:$E$34,MATCH(B603,Entities!$A$5:$A$34,0)))&gt;0,"N/A","Y"),IF(INDEX(Entities!$G$5:$G$34,MATCH(B603,Entities!$A$5:$A$34,0))="Y","Y","N/A")))</f>
        <v>Y</v>
      </c>
      <c r="J603" s="8" t="s">
        <v>2167</v>
      </c>
      <c r="K603" s="8" t="s">
        <v>2126</v>
      </c>
      <c r="L603" s="7" t="str">
        <f aca="false">IF(OR(J603="",K603=""),"",IF(J603=K603,"Breach","OK"))</f>
        <v>OK</v>
      </c>
      <c r="M603" s="24" t="n">
        <v>1</v>
      </c>
      <c r="N603" s="50" t="n">
        <v>46209</v>
      </c>
      <c r="O603" s="8" t="s">
        <v>545</v>
      </c>
      <c r="P603" s="24" t="n">
        <v>1</v>
      </c>
      <c r="Q603" s="31" t="n">
        <f aca="false">IF(I603="N/A","",IFERROR(INDEX('Residual Config'!$B$35:$B$42,MATCH(H603,'Residual Config'!$A$35:$A$42,0)),""))</f>
        <v>1</v>
      </c>
      <c r="R603" s="24" t="n">
        <v>1</v>
      </c>
      <c r="S603" s="8" t="s">
        <v>521</v>
      </c>
      <c r="T603" s="31" t="n">
        <f aca="false">IF(S603="","",MATCH(S603,'Residual Config'!$L$9:$L$12,0))</f>
        <v>2</v>
      </c>
      <c r="U603" s="8" t="s">
        <v>2223</v>
      </c>
      <c r="V603" s="24" t="n">
        <v>5</v>
      </c>
      <c r="W603" s="33" t="s">
        <v>533</v>
      </c>
      <c r="X603" s="8" t="s">
        <v>754</v>
      </c>
      <c r="Y603" s="51" t="n">
        <f aca="false">IF(N603="","",EDATE(N603,IF(G603="N",INDEX('Residual Config'!$B$31:$D$31,1,MATCH(D603,'Residual Config'!$B$27:$D$27,0)),INDEX('Residual Config'!$B$28:$D$30,IF(T603=1,1,IF(T603=4,3,2)),MATCH(D603,'Residual Config'!$B$27:$D$27,0)))))</f>
        <v>46393</v>
      </c>
      <c r="Z603" s="7" t="str">
        <f aca="false">IF(I603="N/A","N/A",IF(N603="","Not tested",IF(W603="Rejected","Evidence rejected",IF(W603&lt;&gt;"Accepted","Evidence pending",IF(Y603&lt;'Residual Config'!$C$4,"Overdue","Current")))))</f>
        <v>Current</v>
      </c>
      <c r="AA603" s="34" t="n">
        <f aca="false">IF(I603="N/A","",IF(Z603&lt;&gt;"Current",4,IF(MAX(M603,T603)=0,4,MAX(M603,T603))))</f>
        <v>2</v>
      </c>
      <c r="AB603" s="7" t="str">
        <f aca="false">IF(AA603="","N/A",IF(Z603&lt;&gt;"Current","Not tested / overdue",INDEX('Residual Config'!$B$11:$B$14,AA603)))</f>
        <v>Largely effective</v>
      </c>
      <c r="AC603" s="36" t="n">
        <f aca="false">IF(AA603="","",INDEX('Residual Config'!$D$11:$D$14,AA603))</f>
        <v>0.4</v>
      </c>
      <c r="AD603" s="7" t="str">
        <f aca="false">IF(OR(I603="N/A",P603="",Q603=""),"",IF(P603&gt;=Q603,"Yes","No"))</f>
        <v>Yes</v>
      </c>
      <c r="AE603" s="8"/>
    </row>
    <row r="604" customFormat="false" ht="15" hidden="false" customHeight="false" outlineLevel="0" collapsed="false">
      <c r="A604" s="12" t="s">
        <v>2224</v>
      </c>
      <c r="B604" s="26" t="str">
        <f aca="false">Entities!$A$18</f>
        <v>OM</v>
      </c>
      <c r="C604" s="12" t="str">
        <f aca="false">INDEX(Entities!$B$5:$B$34,MATCH(B604,Entities!$A$5:$A$34,0))</f>
        <v>Oman Arab Bank (affiliate)</v>
      </c>
      <c r="D604" s="7" t="str">
        <f aca="false">INDEX(Entities!$F$5:$F$34,MATCH(B604,Entities!$A$5:$A$34,0))</f>
        <v>Tier 2</v>
      </c>
      <c r="E604" s="26" t="str">
        <f aca="false">'Control Library'!$A$45</f>
        <v>CTL-LG-01</v>
      </c>
      <c r="F604" s="12" t="str">
        <f aca="false">INDEX('Control Library'!$B$5:$B$47,MATCH(E604,'Control Library'!$A$5:$A$47,0))</f>
        <v>Legal review of contracts and litigation register</v>
      </c>
      <c r="G604" s="7" t="str">
        <f aca="false">INDEX('Control Library'!$F$5:$F$47,MATCH(E604,'Control Library'!$A$5:$A$47,0))</f>
        <v>Y</v>
      </c>
      <c r="H604" s="12" t="str">
        <f aca="false">INDEX('Control Library'!$E$5:$E$47,MATCH(E604,'Control Library'!$A$5:$A$47,0))</f>
        <v>Event-driven</v>
      </c>
      <c r="I604" s="7" t="str">
        <f aca="false">IF(INDEX('Control Library'!$I$5:$I$47,MATCH(E604,'Control Library'!$A$5:$A$47,0))="All","Y",IF(INDEX('Control Library'!$I$5:$I$47,MATCH(E604,'Control Library'!$A$5:$A$47,0))="Banks only",IF(COUNTIF('Residual Config'!$L$28:$L$30,INDEX(Entities!$E$5:$E$34,MATCH(B604,Entities!$A$5:$A$34,0)))&gt;0,"N/A","Y"),IF(INDEX(Entities!$G$5:$G$34,MATCH(B604,Entities!$A$5:$A$34,0))="Y","Y","N/A")))</f>
        <v>Y</v>
      </c>
      <c r="J604" s="8" t="s">
        <v>2225</v>
      </c>
      <c r="K604" s="8" t="s">
        <v>2126</v>
      </c>
      <c r="L604" s="7" t="str">
        <f aca="false">IF(OR(J604="",K604=""),"",IF(J604=K604,"Breach","OK"))</f>
        <v>OK</v>
      </c>
      <c r="M604" s="24" t="n">
        <v>2</v>
      </c>
      <c r="N604" s="50" t="n">
        <v>46169</v>
      </c>
      <c r="O604" s="8" t="s">
        <v>546</v>
      </c>
      <c r="P604" s="24" t="n">
        <v>25</v>
      </c>
      <c r="Q604" s="31" t="n">
        <f aca="false">IF(I604="N/A","",IFERROR(INDEX('Residual Config'!$B$35:$B$42,MATCH(H604,'Residual Config'!$A$35:$A$42,0)),""))</f>
        <v>25</v>
      </c>
      <c r="R604" s="24" t="n">
        <v>0</v>
      </c>
      <c r="S604" s="8" t="s">
        <v>516</v>
      </c>
      <c r="T604" s="31" t="n">
        <f aca="false">IF(S604="","",MATCH(S604,'Residual Config'!$L$9:$L$12,0))</f>
        <v>1</v>
      </c>
      <c r="U604" s="8" t="s">
        <v>2226</v>
      </c>
      <c r="V604" s="24" t="n">
        <v>4</v>
      </c>
      <c r="W604" s="33" t="s">
        <v>533</v>
      </c>
      <c r="X604" s="8" t="s">
        <v>754</v>
      </c>
      <c r="Y604" s="51" t="n">
        <f aca="false">IF(N604="","",EDATE(N604,IF(G604="N",INDEX('Residual Config'!$B$31:$D$31,1,MATCH(D604,'Residual Config'!$B$27:$D$27,0)),INDEX('Residual Config'!$B$28:$D$30,IF(T604=1,1,IF(T604=4,3,2)),MATCH(D604,'Residual Config'!$B$27:$D$27,0)))))</f>
        <v>46534</v>
      </c>
      <c r="Z604" s="7" t="str">
        <f aca="false">IF(I604="N/A","N/A",IF(N604="","Not tested",IF(W604="Rejected","Evidence rejected",IF(W604&lt;&gt;"Accepted","Evidence pending",IF(Y604&lt;'Residual Config'!$C$4,"Overdue","Current")))))</f>
        <v>Current</v>
      </c>
      <c r="AA604" s="34" t="n">
        <f aca="false">IF(I604="N/A","",IF(Z604&lt;&gt;"Current",4,IF(MAX(M604,T604)=0,4,MAX(M604,T604))))</f>
        <v>2</v>
      </c>
      <c r="AB604" s="7" t="str">
        <f aca="false">IF(AA604="","N/A",IF(Z604&lt;&gt;"Current","Not tested / overdue",INDEX('Residual Config'!$B$11:$B$14,AA604)))</f>
        <v>Largely effective</v>
      </c>
      <c r="AC604" s="36" t="n">
        <f aca="false">IF(AA604="","",INDEX('Residual Config'!$D$11:$D$14,AA604))</f>
        <v>0.4</v>
      </c>
      <c r="AD604" s="7" t="str">
        <f aca="false">IF(OR(I604="N/A",P604="",Q604=""),"",IF(P604&gt;=Q604,"Yes","No"))</f>
        <v>Yes</v>
      </c>
      <c r="AE604" s="8"/>
    </row>
    <row r="605" customFormat="false" ht="15" hidden="false" customHeight="false" outlineLevel="0" collapsed="false">
      <c r="A605" s="12" t="s">
        <v>2227</v>
      </c>
      <c r="B605" s="26" t="str">
        <f aca="false">Entities!$A$18</f>
        <v>OM</v>
      </c>
      <c r="C605" s="12" t="str">
        <f aca="false">INDEX(Entities!$B$5:$B$34,MATCH(B605,Entities!$A$5:$A$34,0))</f>
        <v>Oman Arab Bank (affiliate)</v>
      </c>
      <c r="D605" s="7" t="str">
        <f aca="false">INDEX(Entities!$F$5:$F$34,MATCH(B605,Entities!$A$5:$A$34,0))</f>
        <v>Tier 2</v>
      </c>
      <c r="E605" s="26" t="str">
        <f aca="false">'Control Library'!$A$46</f>
        <v>CTL-RP-01</v>
      </c>
      <c r="F605" s="12" t="str">
        <f aca="false">INDEX('Control Library'!$B$5:$B$47,MATCH(E605,'Control Library'!$A$5:$A$47,0))</f>
        <v>Media monitoring and reputational-risk escalation</v>
      </c>
      <c r="G605" s="7" t="str">
        <f aca="false">INDEX('Control Library'!$F$5:$F$47,MATCH(E605,'Control Library'!$A$5:$A$47,0))</f>
        <v>Y</v>
      </c>
      <c r="H605" s="12" t="str">
        <f aca="false">INDEX('Control Library'!$E$5:$E$47,MATCH(E605,'Control Library'!$A$5:$A$47,0))</f>
        <v>Daily</v>
      </c>
      <c r="I605" s="7" t="str">
        <f aca="false">IF(INDEX('Control Library'!$I$5:$I$47,MATCH(E605,'Control Library'!$A$5:$A$47,0))="All","Y",IF(INDEX('Control Library'!$I$5:$I$47,MATCH(E605,'Control Library'!$A$5:$A$47,0))="Banks only",IF(COUNTIF('Residual Config'!$L$28:$L$30,INDEX(Entities!$E$5:$E$34,MATCH(B605,Entities!$A$5:$A$34,0)))&gt;0,"N/A","Y"),IF(INDEX(Entities!$G$5:$G$34,MATCH(B605,Entities!$A$5:$A$34,0))="Y","Y","N/A")))</f>
        <v>Y</v>
      </c>
      <c r="J605" s="8" t="s">
        <v>2228</v>
      </c>
      <c r="K605" s="8" t="s">
        <v>2126</v>
      </c>
      <c r="L605" s="7" t="str">
        <f aca="false">IF(OR(J605="",K605=""),"",IF(J605=K605,"Breach","OK"))</f>
        <v>OK</v>
      </c>
      <c r="M605" s="24" t="n">
        <v>2</v>
      </c>
      <c r="N605" s="50" t="n">
        <v>46241</v>
      </c>
      <c r="O605" s="8" t="s">
        <v>545</v>
      </c>
      <c r="P605" s="24" t="n">
        <v>35</v>
      </c>
      <c r="Q605" s="31" t="n">
        <f aca="false">IF(I605="N/A","",IFERROR(INDEX('Residual Config'!$B$35:$B$42,MATCH(H605,'Residual Config'!$A$35:$A$42,0)),""))</f>
        <v>25</v>
      </c>
      <c r="R605" s="24" t="n">
        <v>1</v>
      </c>
      <c r="S605" s="8" t="s">
        <v>521</v>
      </c>
      <c r="T605" s="31" t="n">
        <f aca="false">IF(S605="","",MATCH(S605,'Residual Config'!$L$9:$L$12,0))</f>
        <v>2</v>
      </c>
      <c r="U605" s="8" t="s">
        <v>2229</v>
      </c>
      <c r="V605" s="24" t="n">
        <v>3</v>
      </c>
      <c r="W605" s="33" t="s">
        <v>533</v>
      </c>
      <c r="X605" s="8" t="s">
        <v>760</v>
      </c>
      <c r="Y605" s="51" t="n">
        <f aca="false">IF(N605="","",EDATE(N605,IF(G605="N",INDEX('Residual Config'!$B$31:$D$31,1,MATCH(D605,'Residual Config'!$B$27:$D$27,0)),INDEX('Residual Config'!$B$28:$D$30,IF(T605=1,1,IF(T605=4,3,2)),MATCH(D605,'Residual Config'!$B$27:$D$27,0)))))</f>
        <v>46425</v>
      </c>
      <c r="Z605" s="7" t="str">
        <f aca="false">IF(I605="N/A","N/A",IF(N605="","Not tested",IF(W605="Rejected","Evidence rejected",IF(W605&lt;&gt;"Accepted","Evidence pending",IF(Y605&lt;'Residual Config'!$C$4,"Overdue","Current")))))</f>
        <v>Current</v>
      </c>
      <c r="AA605" s="34" t="n">
        <f aca="false">IF(I605="N/A","",IF(Z605&lt;&gt;"Current",4,IF(MAX(M605,T605)=0,4,MAX(M605,T605))))</f>
        <v>2</v>
      </c>
      <c r="AB605" s="7" t="str">
        <f aca="false">IF(AA605="","N/A",IF(Z605&lt;&gt;"Current","Not tested / overdue",INDEX('Residual Config'!$B$11:$B$14,AA605)))</f>
        <v>Largely effective</v>
      </c>
      <c r="AC605" s="36" t="n">
        <f aca="false">IF(AA605="","",INDEX('Residual Config'!$D$11:$D$14,AA605))</f>
        <v>0.4</v>
      </c>
      <c r="AD605" s="7" t="str">
        <f aca="false">IF(OR(I605="N/A",P605="",Q605=""),"",IF(P605&gt;=Q605,"Yes","No"))</f>
        <v>Yes</v>
      </c>
      <c r="AE605" s="8"/>
    </row>
    <row r="606" customFormat="false" ht="15" hidden="false" customHeight="false" outlineLevel="0" collapsed="false">
      <c r="A606" s="12" t="s">
        <v>2230</v>
      </c>
      <c r="B606" s="26" t="str">
        <f aca="false">Entities!$A$18</f>
        <v>OM</v>
      </c>
      <c r="C606" s="12" t="str">
        <f aca="false">INDEX(Entities!$B$5:$B$34,MATCH(B606,Entities!$A$5:$A$34,0))</f>
        <v>Oman Arab Bank (affiliate)</v>
      </c>
      <c r="D606" s="7" t="str">
        <f aca="false">INDEX(Entities!$F$5:$F$34,MATCH(B606,Entities!$A$5:$A$34,0))</f>
        <v>Tier 2</v>
      </c>
      <c r="E606" s="26" t="str">
        <f aca="false">'Control Library'!$A$47</f>
        <v>CTL-ST-01</v>
      </c>
      <c r="F606" s="12" t="str">
        <f aca="false">INDEX('Control Library'!$B$5:$B$47,MATCH(E606,'Control Library'!$A$5:$A$47,0))</f>
        <v>Strategy execution monitoring and E&amp;S screening of lending</v>
      </c>
      <c r="G606" s="7" t="str">
        <f aca="false">INDEX('Control Library'!$F$5:$F$47,MATCH(E606,'Control Library'!$A$5:$A$47,0))</f>
        <v>Y</v>
      </c>
      <c r="H606" s="12" t="str">
        <f aca="false">INDEX('Control Library'!$E$5:$E$47,MATCH(E606,'Control Library'!$A$5:$A$47,0))</f>
        <v>Quarterly</v>
      </c>
      <c r="I606" s="7" t="str">
        <f aca="false">IF(INDEX('Control Library'!$I$5:$I$47,MATCH(E606,'Control Library'!$A$5:$A$47,0))="All","Y",IF(INDEX('Control Library'!$I$5:$I$47,MATCH(E606,'Control Library'!$A$5:$A$47,0))="Banks only",IF(COUNTIF('Residual Config'!$L$28:$L$30,INDEX(Entities!$E$5:$E$34,MATCH(B606,Entities!$A$5:$A$34,0)))&gt;0,"N/A","Y"),IF(INDEX(Entities!$G$5:$G$34,MATCH(B606,Entities!$A$5:$A$34,0))="Y","Y","N/A")))</f>
        <v>Y</v>
      </c>
      <c r="J606" s="8" t="s">
        <v>2231</v>
      </c>
      <c r="K606" s="8" t="s">
        <v>2126</v>
      </c>
      <c r="L606" s="7" t="str">
        <f aca="false">IF(OR(J606="",K606=""),"",IF(J606=K606,"Breach","OK"))</f>
        <v>OK</v>
      </c>
      <c r="M606" s="24" t="n">
        <v>1</v>
      </c>
      <c r="N606" s="50" t="n">
        <v>46220</v>
      </c>
      <c r="O606" s="8" t="s">
        <v>545</v>
      </c>
      <c r="P606" s="24" t="n">
        <v>2</v>
      </c>
      <c r="Q606" s="31" t="n">
        <f aca="false">IF(I606="N/A","",IFERROR(INDEX('Residual Config'!$B$35:$B$42,MATCH(H606,'Residual Config'!$A$35:$A$42,0)),""))</f>
        <v>2</v>
      </c>
      <c r="R606" s="24" t="n">
        <v>0</v>
      </c>
      <c r="S606" s="8" t="s">
        <v>516</v>
      </c>
      <c r="T606" s="31" t="n">
        <f aca="false">IF(S606="","",MATCH(S606,'Residual Config'!$L$9:$L$12,0))</f>
        <v>1</v>
      </c>
      <c r="U606" s="8" t="s">
        <v>2232</v>
      </c>
      <c r="V606" s="24" t="n">
        <v>5</v>
      </c>
      <c r="W606" s="33" t="s">
        <v>533</v>
      </c>
      <c r="X606" s="8" t="s">
        <v>760</v>
      </c>
      <c r="Y606" s="51" t="n">
        <f aca="false">IF(N606="","",EDATE(N606,IF(G606="N",INDEX('Residual Config'!$B$31:$D$31,1,MATCH(D606,'Residual Config'!$B$27:$D$27,0)),INDEX('Residual Config'!$B$28:$D$30,IF(T606=1,1,IF(T606=4,3,2)),MATCH(D606,'Residual Config'!$B$27:$D$27,0)))))</f>
        <v>46585</v>
      </c>
      <c r="Z606" s="7" t="str">
        <f aca="false">IF(I606="N/A","N/A",IF(N606="","Not tested",IF(W606="Rejected","Evidence rejected",IF(W606&lt;&gt;"Accepted","Evidence pending",IF(Y606&lt;'Residual Config'!$C$4,"Overdue","Current")))))</f>
        <v>Current</v>
      </c>
      <c r="AA606" s="34" t="n">
        <f aca="false">IF(I606="N/A","",IF(Z606&lt;&gt;"Current",4,IF(MAX(M606,T606)=0,4,MAX(M606,T606))))</f>
        <v>1</v>
      </c>
      <c r="AB606" s="7" t="str">
        <f aca="false">IF(AA606="","N/A",IF(Z606&lt;&gt;"Current","Not tested / overdue",INDEX('Residual Config'!$B$11:$B$14,AA606)))</f>
        <v>Effective</v>
      </c>
      <c r="AC606" s="36" t="n">
        <f aca="false">IF(AA606="","",INDEX('Residual Config'!$D$11:$D$14,AA606))</f>
        <v>0.6</v>
      </c>
      <c r="AD606" s="7" t="str">
        <f aca="false">IF(OR(I606="N/A",P606="",Q606=""),"",IF(P606&gt;=Q606,"Yes","No"))</f>
        <v>Yes</v>
      </c>
      <c r="AE606" s="8"/>
    </row>
    <row r="607" customFormat="false" ht="15" hidden="false" customHeight="false" outlineLevel="0" collapsed="false">
      <c r="A607" s="12" t="s">
        <v>2233</v>
      </c>
      <c r="B607" s="26" t="str">
        <f aca="false">Entities!$A$19</f>
        <v>IQ</v>
      </c>
      <c r="C607" s="12" t="str">
        <f aca="false">INDEX(Entities!$B$5:$B$34,MATCH(B607,Entities!$A$5:$A$34,0))</f>
        <v>Arab Bank Iraq</v>
      </c>
      <c r="D607" s="7" t="str">
        <f aca="false">INDEX(Entities!$F$5:$F$34,MATCH(B607,Entities!$A$5:$A$34,0))</f>
        <v>Tier 2</v>
      </c>
      <c r="E607" s="26" t="str">
        <f aca="false">'Control Library'!$A$5</f>
        <v>CTL-KYC-01</v>
      </c>
      <c r="F607" s="12" t="str">
        <f aca="false">INDEX('Control Library'!$B$5:$B$47,MATCH(E607,'Control Library'!$A$5:$A$47,0))</f>
        <v>Customer due diligence and ID verification at onboarding</v>
      </c>
      <c r="G607" s="7" t="str">
        <f aca="false">INDEX('Control Library'!$F$5:$F$47,MATCH(E607,'Control Library'!$A$5:$A$47,0))</f>
        <v>Y</v>
      </c>
      <c r="H607" s="12" t="str">
        <f aca="false">INDEX('Control Library'!$E$5:$E$47,MATCH(E607,'Control Library'!$A$5:$A$47,0))</f>
        <v>Event-driven</v>
      </c>
      <c r="I607" s="7" t="str">
        <f aca="false">IF(INDEX('Control Library'!$I$5:$I$47,MATCH(E607,'Control Library'!$A$5:$A$47,0))="All","Y",IF(INDEX('Control Library'!$I$5:$I$47,MATCH(E607,'Control Library'!$A$5:$A$47,0))="Banks only",IF(COUNTIF('Residual Config'!$L$28:$L$30,INDEX(Entities!$E$5:$E$34,MATCH(B607,Entities!$A$5:$A$34,0)))&gt;0,"N/A","Y"),IF(INDEX(Entities!$G$5:$G$34,MATCH(B607,Entities!$A$5:$A$34,0))="Y","Y","N/A")))</f>
        <v>Y</v>
      </c>
      <c r="J607" s="8" t="s">
        <v>2234</v>
      </c>
      <c r="K607" s="8" t="s">
        <v>2235</v>
      </c>
      <c r="L607" s="7" t="str">
        <f aca="false">IF(OR(J607="",K607=""),"",IF(J607=K607,"Breach","OK"))</f>
        <v>OK</v>
      </c>
      <c r="M607" s="24" t="n">
        <v>3</v>
      </c>
      <c r="N607" s="50" t="n">
        <v>46221</v>
      </c>
      <c r="O607" s="8" t="s">
        <v>545</v>
      </c>
      <c r="P607" s="24" t="n">
        <v>30</v>
      </c>
      <c r="Q607" s="31" t="n">
        <f aca="false">IF(I607="N/A","",IFERROR(INDEX('Residual Config'!$B$35:$B$42,MATCH(H607,'Residual Config'!$A$35:$A$42,0)),""))</f>
        <v>25</v>
      </c>
      <c r="R607" s="24" t="n">
        <v>1</v>
      </c>
      <c r="S607" s="8" t="s">
        <v>521</v>
      </c>
      <c r="T607" s="31" t="n">
        <f aca="false">IF(S607="","",MATCH(S607,'Residual Config'!$L$9:$L$12,0))</f>
        <v>2</v>
      </c>
      <c r="U607" s="8" t="s">
        <v>2236</v>
      </c>
      <c r="V607" s="24" t="n">
        <v>4</v>
      </c>
      <c r="W607" s="33" t="s">
        <v>533</v>
      </c>
      <c r="X607" s="8" t="s">
        <v>754</v>
      </c>
      <c r="Y607" s="51" t="n">
        <f aca="false">IF(N607="","",EDATE(N607,IF(G607="N",INDEX('Residual Config'!$B$31:$D$31,1,MATCH(D607,'Residual Config'!$B$27:$D$27,0)),INDEX('Residual Config'!$B$28:$D$30,IF(T607=1,1,IF(T607=4,3,2)),MATCH(D607,'Residual Config'!$B$27:$D$27,0)))))</f>
        <v>46405</v>
      </c>
      <c r="Z607" s="7" t="str">
        <f aca="false">IF(I607="N/A","N/A",IF(N607="","Not tested",IF(W607="Rejected","Evidence rejected",IF(W607&lt;&gt;"Accepted","Evidence pending",IF(Y607&lt;'Residual Config'!$C$4,"Overdue","Current")))))</f>
        <v>Current</v>
      </c>
      <c r="AA607" s="34" t="n">
        <f aca="false">IF(I607="N/A","",IF(Z607&lt;&gt;"Current",4,IF(MAX(M607,T607)=0,4,MAX(M607,T607))))</f>
        <v>3</v>
      </c>
      <c r="AB607" s="7" t="str">
        <f aca="false">IF(AA607="","N/A",IF(Z607&lt;&gt;"Current","Not tested / overdue",INDEX('Residual Config'!$B$11:$B$14,AA607)))</f>
        <v>Partially effective</v>
      </c>
      <c r="AC607" s="36" t="n">
        <f aca="false">IF(AA607="","",INDEX('Residual Config'!$D$11:$D$14,AA607))</f>
        <v>0.2</v>
      </c>
      <c r="AD607" s="7" t="str">
        <f aca="false">IF(OR(I607="N/A",P607="",Q607=""),"",IF(P607&gt;=Q607,"Yes","No"))</f>
        <v>Yes</v>
      </c>
      <c r="AE607" s="8"/>
    </row>
    <row r="608" customFormat="false" ht="15" hidden="false" customHeight="false" outlineLevel="0" collapsed="false">
      <c r="A608" s="12" t="s">
        <v>2237</v>
      </c>
      <c r="B608" s="26" t="str">
        <f aca="false">Entities!$A$19</f>
        <v>IQ</v>
      </c>
      <c r="C608" s="12" t="str">
        <f aca="false">INDEX(Entities!$B$5:$B$34,MATCH(B608,Entities!$A$5:$A$34,0))</f>
        <v>Arab Bank Iraq</v>
      </c>
      <c r="D608" s="7" t="str">
        <f aca="false">INDEX(Entities!$F$5:$F$34,MATCH(B608,Entities!$A$5:$A$34,0))</f>
        <v>Tier 2</v>
      </c>
      <c r="E608" s="26" t="str">
        <f aca="false">'Control Library'!$A$6</f>
        <v>CTL-KYC-02</v>
      </c>
      <c r="F608" s="12" t="str">
        <f aca="false">INDEX('Control Library'!$B$5:$B$47,MATCH(E608,'Control Library'!$A$5:$A$47,0))</f>
        <v>Enhanced due diligence for high-risk customers and PEPs, senior approval</v>
      </c>
      <c r="G608" s="7" t="str">
        <f aca="false">INDEX('Control Library'!$F$5:$F$47,MATCH(E608,'Control Library'!$A$5:$A$47,0))</f>
        <v>Y</v>
      </c>
      <c r="H608" s="12" t="str">
        <f aca="false">INDEX('Control Library'!$E$5:$E$47,MATCH(E608,'Control Library'!$A$5:$A$47,0))</f>
        <v>Event-driven</v>
      </c>
      <c r="I608" s="7" t="str">
        <f aca="false">IF(INDEX('Control Library'!$I$5:$I$47,MATCH(E608,'Control Library'!$A$5:$A$47,0))="All","Y",IF(INDEX('Control Library'!$I$5:$I$47,MATCH(E608,'Control Library'!$A$5:$A$47,0))="Banks only",IF(COUNTIF('Residual Config'!$L$28:$L$30,INDEX(Entities!$E$5:$E$34,MATCH(B608,Entities!$A$5:$A$34,0)))&gt;0,"N/A","Y"),IF(INDEX(Entities!$G$5:$G$34,MATCH(B608,Entities!$A$5:$A$34,0))="Y","Y","N/A")))</f>
        <v>Y</v>
      </c>
      <c r="J608" s="8" t="s">
        <v>2238</v>
      </c>
      <c r="K608" s="8" t="s">
        <v>2235</v>
      </c>
      <c r="L608" s="7" t="str">
        <f aca="false">IF(OR(J608="",K608=""),"",IF(J608=K608,"Breach","OK"))</f>
        <v>OK</v>
      </c>
      <c r="M608" s="24" t="n">
        <v>3</v>
      </c>
      <c r="N608" s="50" t="n">
        <v>46236</v>
      </c>
      <c r="O608" s="8" t="s">
        <v>545</v>
      </c>
      <c r="P608" s="24" t="n">
        <v>30</v>
      </c>
      <c r="Q608" s="31" t="n">
        <f aca="false">IF(I608="N/A","",IFERROR(INDEX('Residual Config'!$B$35:$B$42,MATCH(H608,'Residual Config'!$A$35:$A$42,0)),""))</f>
        <v>25</v>
      </c>
      <c r="R608" s="24" t="n">
        <v>1</v>
      </c>
      <c r="S608" s="8" t="s">
        <v>521</v>
      </c>
      <c r="T608" s="31" t="n">
        <f aca="false">IF(S608="","",MATCH(S608,'Residual Config'!$L$9:$L$12,0))</f>
        <v>2</v>
      </c>
      <c r="U608" s="8" t="s">
        <v>2239</v>
      </c>
      <c r="V608" s="24" t="n">
        <v>3</v>
      </c>
      <c r="W608" s="33" t="s">
        <v>533</v>
      </c>
      <c r="X608" s="8" t="s">
        <v>760</v>
      </c>
      <c r="Y608" s="51" t="n">
        <f aca="false">IF(N608="","",EDATE(N608,IF(G608="N",INDEX('Residual Config'!$B$31:$D$31,1,MATCH(D608,'Residual Config'!$B$27:$D$27,0)),INDEX('Residual Config'!$B$28:$D$30,IF(T608=1,1,IF(T608=4,3,2)),MATCH(D608,'Residual Config'!$B$27:$D$27,0)))))</f>
        <v>46420</v>
      </c>
      <c r="Z608" s="7" t="str">
        <f aca="false">IF(I608="N/A","N/A",IF(N608="","Not tested",IF(W608="Rejected","Evidence rejected",IF(W608&lt;&gt;"Accepted","Evidence pending",IF(Y608&lt;'Residual Config'!$C$4,"Overdue","Current")))))</f>
        <v>Current</v>
      </c>
      <c r="AA608" s="34" t="n">
        <f aca="false">IF(I608="N/A","",IF(Z608&lt;&gt;"Current",4,IF(MAX(M608,T608)=0,4,MAX(M608,T608))))</f>
        <v>3</v>
      </c>
      <c r="AB608" s="7" t="str">
        <f aca="false">IF(AA608="","N/A",IF(Z608&lt;&gt;"Current","Not tested / overdue",INDEX('Residual Config'!$B$11:$B$14,AA608)))</f>
        <v>Partially effective</v>
      </c>
      <c r="AC608" s="36" t="n">
        <f aca="false">IF(AA608="","",INDEX('Residual Config'!$D$11:$D$14,AA608))</f>
        <v>0.2</v>
      </c>
      <c r="AD608" s="7" t="str">
        <f aca="false">IF(OR(I608="N/A",P608="",Q608=""),"",IF(P608&gt;=Q608,"Yes","No"))</f>
        <v>Yes</v>
      </c>
      <c r="AE608" s="8"/>
    </row>
    <row r="609" customFormat="false" ht="15" hidden="false" customHeight="false" outlineLevel="0" collapsed="false">
      <c r="A609" s="12" t="s">
        <v>2240</v>
      </c>
      <c r="B609" s="26" t="str">
        <f aca="false">Entities!$A$19</f>
        <v>IQ</v>
      </c>
      <c r="C609" s="12" t="str">
        <f aca="false">INDEX(Entities!$B$5:$B$34,MATCH(B609,Entities!$A$5:$A$34,0))</f>
        <v>Arab Bank Iraq</v>
      </c>
      <c r="D609" s="7" t="str">
        <f aca="false">INDEX(Entities!$F$5:$F$34,MATCH(B609,Entities!$A$5:$A$34,0))</f>
        <v>Tier 2</v>
      </c>
      <c r="E609" s="26" t="str">
        <f aca="false">'Control Library'!$A$7</f>
        <v>CTL-KYC-03</v>
      </c>
      <c r="F609" s="12" t="str">
        <f aca="false">INDEX('Control Library'!$B$5:$B$47,MATCH(E609,'Control Library'!$A$5:$A$47,0))</f>
        <v>Ultimate beneficial owner identification and verification</v>
      </c>
      <c r="G609" s="7" t="str">
        <f aca="false">INDEX('Control Library'!$F$5:$F$47,MATCH(E609,'Control Library'!$A$5:$A$47,0))</f>
        <v>Y</v>
      </c>
      <c r="H609" s="12" t="str">
        <f aca="false">INDEX('Control Library'!$E$5:$E$47,MATCH(E609,'Control Library'!$A$5:$A$47,0))</f>
        <v>Event-driven</v>
      </c>
      <c r="I609" s="7" t="str">
        <f aca="false">IF(INDEX('Control Library'!$I$5:$I$47,MATCH(E609,'Control Library'!$A$5:$A$47,0))="All","Y",IF(INDEX('Control Library'!$I$5:$I$47,MATCH(E609,'Control Library'!$A$5:$A$47,0))="Banks only",IF(COUNTIF('Residual Config'!$L$28:$L$30,INDEX(Entities!$E$5:$E$34,MATCH(B609,Entities!$A$5:$A$34,0)))&gt;0,"N/A","Y"),IF(INDEX(Entities!$G$5:$G$34,MATCH(B609,Entities!$A$5:$A$34,0))="Y","Y","N/A")))</f>
        <v>Y</v>
      </c>
      <c r="J609" s="8" t="s">
        <v>2234</v>
      </c>
      <c r="K609" s="8" t="s">
        <v>2235</v>
      </c>
      <c r="L609" s="7" t="str">
        <f aca="false">IF(OR(J609="",K609=""),"",IF(J609=K609,"Breach","OK"))</f>
        <v>OK</v>
      </c>
      <c r="M609" s="24" t="n">
        <v>3</v>
      </c>
      <c r="N609" s="50" t="n">
        <v>46258</v>
      </c>
      <c r="O609" s="8" t="s">
        <v>546</v>
      </c>
      <c r="P609" s="24" t="n">
        <v>25</v>
      </c>
      <c r="Q609" s="31" t="n">
        <f aca="false">IF(I609="N/A","",IFERROR(INDEX('Residual Config'!$B$35:$B$42,MATCH(H609,'Residual Config'!$A$35:$A$42,0)),""))</f>
        <v>25</v>
      </c>
      <c r="R609" s="24" t="n">
        <v>1</v>
      </c>
      <c r="S609" s="8" t="s">
        <v>521</v>
      </c>
      <c r="T609" s="31" t="n">
        <f aca="false">IF(S609="","",MATCH(S609,'Residual Config'!$L$9:$L$12,0))</f>
        <v>2</v>
      </c>
      <c r="U609" s="8" t="s">
        <v>2241</v>
      </c>
      <c r="V609" s="24" t="n">
        <v>6</v>
      </c>
      <c r="W609" s="33" t="s">
        <v>533</v>
      </c>
      <c r="X609" s="8" t="s">
        <v>760</v>
      </c>
      <c r="Y609" s="51" t="n">
        <f aca="false">IF(N609="","",EDATE(N609,IF(G609="N",INDEX('Residual Config'!$B$31:$D$31,1,MATCH(D609,'Residual Config'!$B$27:$D$27,0)),INDEX('Residual Config'!$B$28:$D$30,IF(T609=1,1,IF(T609=4,3,2)),MATCH(D609,'Residual Config'!$B$27:$D$27,0)))))</f>
        <v>46442</v>
      </c>
      <c r="Z609" s="7" t="str">
        <f aca="false">IF(I609="N/A","N/A",IF(N609="","Not tested",IF(W609="Rejected","Evidence rejected",IF(W609&lt;&gt;"Accepted","Evidence pending",IF(Y609&lt;'Residual Config'!$C$4,"Overdue","Current")))))</f>
        <v>Current</v>
      </c>
      <c r="AA609" s="34" t="n">
        <f aca="false">IF(I609="N/A","",IF(Z609&lt;&gt;"Current",4,IF(MAX(M609,T609)=0,4,MAX(M609,T609))))</f>
        <v>3</v>
      </c>
      <c r="AB609" s="7" t="str">
        <f aca="false">IF(AA609="","N/A",IF(Z609&lt;&gt;"Current","Not tested / overdue",INDEX('Residual Config'!$B$11:$B$14,AA609)))</f>
        <v>Partially effective</v>
      </c>
      <c r="AC609" s="36" t="n">
        <f aca="false">IF(AA609="","",INDEX('Residual Config'!$D$11:$D$14,AA609))</f>
        <v>0.2</v>
      </c>
      <c r="AD609" s="7" t="str">
        <f aca="false">IF(OR(I609="N/A",P609="",Q609=""),"",IF(P609&gt;=Q609,"Yes","No"))</f>
        <v>Yes</v>
      </c>
      <c r="AE609" s="8"/>
    </row>
    <row r="610" customFormat="false" ht="15" hidden="false" customHeight="false" outlineLevel="0" collapsed="false">
      <c r="A610" s="12" t="s">
        <v>2242</v>
      </c>
      <c r="B610" s="26" t="str">
        <f aca="false">Entities!$A$19</f>
        <v>IQ</v>
      </c>
      <c r="C610" s="12" t="str">
        <f aca="false">INDEX(Entities!$B$5:$B$34,MATCH(B610,Entities!$A$5:$A$34,0))</f>
        <v>Arab Bank Iraq</v>
      </c>
      <c r="D610" s="7" t="str">
        <f aca="false">INDEX(Entities!$F$5:$F$34,MATCH(B610,Entities!$A$5:$A$34,0))</f>
        <v>Tier 2</v>
      </c>
      <c r="E610" s="26" t="str">
        <f aca="false">'Control Library'!$A$8</f>
        <v>CTL-KYC-04</v>
      </c>
      <c r="F610" s="12" t="str">
        <f aca="false">INDEX('Control Library'!$B$5:$B$47,MATCH(E610,'Control Library'!$A$5:$A$47,0))</f>
        <v>Periodic KYC review by customer risk rating</v>
      </c>
      <c r="G610" s="7" t="str">
        <f aca="false">INDEX('Control Library'!$F$5:$F$47,MATCH(E610,'Control Library'!$A$5:$A$47,0))</f>
        <v>Y</v>
      </c>
      <c r="H610" s="12" t="str">
        <f aca="false">INDEX('Control Library'!$E$5:$E$47,MATCH(E610,'Control Library'!$A$5:$A$47,0))</f>
        <v>Monthly</v>
      </c>
      <c r="I610" s="7" t="str">
        <f aca="false">IF(INDEX('Control Library'!$I$5:$I$47,MATCH(E610,'Control Library'!$A$5:$A$47,0))="All","Y",IF(INDEX('Control Library'!$I$5:$I$47,MATCH(E610,'Control Library'!$A$5:$A$47,0))="Banks only",IF(COUNTIF('Residual Config'!$L$28:$L$30,INDEX(Entities!$E$5:$E$34,MATCH(B610,Entities!$A$5:$A$34,0)))&gt;0,"N/A","Y"),IF(INDEX(Entities!$G$5:$G$34,MATCH(B610,Entities!$A$5:$A$34,0))="Y","Y","N/A")))</f>
        <v>Y</v>
      </c>
      <c r="J610" s="8" t="s">
        <v>2234</v>
      </c>
      <c r="K610" s="8" t="s">
        <v>2235</v>
      </c>
      <c r="L610" s="7" t="str">
        <f aca="false">IF(OR(J610="",K610=""),"",IF(J610=K610,"Breach","OK"))</f>
        <v>OK</v>
      </c>
      <c r="M610" s="24" t="n">
        <v>2</v>
      </c>
      <c r="N610" s="50" t="n">
        <v>46235</v>
      </c>
      <c r="O610" s="8" t="s">
        <v>545</v>
      </c>
      <c r="P610" s="24" t="n">
        <v>3</v>
      </c>
      <c r="Q610" s="31" t="n">
        <f aca="false">IF(I610="N/A","",IFERROR(INDEX('Residual Config'!$B$35:$B$42,MATCH(H610,'Residual Config'!$A$35:$A$42,0)),""))</f>
        <v>3</v>
      </c>
      <c r="R610" s="24" t="n">
        <v>1</v>
      </c>
      <c r="S610" s="8" t="s">
        <v>521</v>
      </c>
      <c r="T610" s="31" t="n">
        <f aca="false">IF(S610="","",MATCH(S610,'Residual Config'!$L$9:$L$12,0))</f>
        <v>2</v>
      </c>
      <c r="U610" s="8" t="s">
        <v>2243</v>
      </c>
      <c r="V610" s="24" t="n">
        <v>3</v>
      </c>
      <c r="W610" s="33" t="s">
        <v>533</v>
      </c>
      <c r="X610" s="8" t="s">
        <v>754</v>
      </c>
      <c r="Y610" s="51" t="n">
        <f aca="false">IF(N610="","",EDATE(N610,IF(G610="N",INDEX('Residual Config'!$B$31:$D$31,1,MATCH(D610,'Residual Config'!$B$27:$D$27,0)),INDEX('Residual Config'!$B$28:$D$30,IF(T610=1,1,IF(T610=4,3,2)),MATCH(D610,'Residual Config'!$B$27:$D$27,0)))))</f>
        <v>46419</v>
      </c>
      <c r="Z610" s="7" t="str">
        <f aca="false">IF(I610="N/A","N/A",IF(N610="","Not tested",IF(W610="Rejected","Evidence rejected",IF(W610&lt;&gt;"Accepted","Evidence pending",IF(Y610&lt;'Residual Config'!$C$4,"Overdue","Current")))))</f>
        <v>Current</v>
      </c>
      <c r="AA610" s="34" t="n">
        <f aca="false">IF(I610="N/A","",IF(Z610&lt;&gt;"Current",4,IF(MAX(M610,T610)=0,4,MAX(M610,T610))))</f>
        <v>2</v>
      </c>
      <c r="AB610" s="7" t="str">
        <f aca="false">IF(AA610="","N/A",IF(Z610&lt;&gt;"Current","Not tested / overdue",INDEX('Residual Config'!$B$11:$B$14,AA610)))</f>
        <v>Largely effective</v>
      </c>
      <c r="AC610" s="36" t="n">
        <f aca="false">IF(AA610="","",INDEX('Residual Config'!$D$11:$D$14,AA610))</f>
        <v>0.4</v>
      </c>
      <c r="AD610" s="7" t="str">
        <f aca="false">IF(OR(I610="N/A",P610="",Q610=""),"",IF(P610&gt;=Q610,"Yes","No"))</f>
        <v>Yes</v>
      </c>
      <c r="AE610" s="8"/>
    </row>
    <row r="611" customFormat="false" ht="15" hidden="false" customHeight="false" outlineLevel="0" collapsed="false">
      <c r="A611" s="12" t="s">
        <v>2244</v>
      </c>
      <c r="B611" s="26" t="str">
        <f aca="false">Entities!$A$19</f>
        <v>IQ</v>
      </c>
      <c r="C611" s="12" t="str">
        <f aca="false">INDEX(Entities!$B$5:$B$34,MATCH(B611,Entities!$A$5:$A$34,0))</f>
        <v>Arab Bank Iraq</v>
      </c>
      <c r="D611" s="7" t="str">
        <f aca="false">INDEX(Entities!$F$5:$F$34,MATCH(B611,Entities!$A$5:$A$34,0))</f>
        <v>Tier 2</v>
      </c>
      <c r="E611" s="26" t="str">
        <f aca="false">'Control Library'!$A$9</f>
        <v>CTL-CRR-01</v>
      </c>
      <c r="F611" s="12" t="str">
        <f aca="false">INDEX('Control Library'!$B$5:$B$47,MATCH(E611,'Control Library'!$A$5:$A$47,0))</f>
        <v>Customer risk rating model and annual validation</v>
      </c>
      <c r="G611" s="7" t="str">
        <f aca="false">INDEX('Control Library'!$F$5:$F$47,MATCH(E611,'Control Library'!$A$5:$A$47,0))</f>
        <v>N</v>
      </c>
      <c r="H611" s="12" t="str">
        <f aca="false">INDEX('Control Library'!$E$5:$E$47,MATCH(E611,'Control Library'!$A$5:$A$47,0))</f>
        <v>Annual</v>
      </c>
      <c r="I611" s="7" t="str">
        <f aca="false">IF(INDEX('Control Library'!$I$5:$I$47,MATCH(E611,'Control Library'!$A$5:$A$47,0))="All","Y",IF(INDEX('Control Library'!$I$5:$I$47,MATCH(E611,'Control Library'!$A$5:$A$47,0))="Banks only",IF(COUNTIF('Residual Config'!$L$28:$L$30,INDEX(Entities!$E$5:$E$34,MATCH(B611,Entities!$A$5:$A$34,0)))&gt;0,"N/A","Y"),IF(INDEX(Entities!$G$5:$G$34,MATCH(B611,Entities!$A$5:$A$34,0))="Y","Y","N/A")))</f>
        <v>Y</v>
      </c>
      <c r="J611" s="8" t="s">
        <v>2238</v>
      </c>
      <c r="K611" s="8" t="s">
        <v>2235</v>
      </c>
      <c r="L611" s="7" t="str">
        <f aca="false">IF(OR(J611="",K611=""),"",IF(J611=K611,"Breach","OK"))</f>
        <v>OK</v>
      </c>
      <c r="M611" s="24" t="n">
        <v>3</v>
      </c>
      <c r="N611" s="50" t="n">
        <v>45967</v>
      </c>
      <c r="O611" s="8" t="s">
        <v>546</v>
      </c>
      <c r="P611" s="24" t="n">
        <v>1</v>
      </c>
      <c r="Q611" s="31" t="n">
        <f aca="false">IF(I611="N/A","",IFERROR(INDEX('Residual Config'!$B$35:$B$42,MATCH(H611,'Residual Config'!$A$35:$A$42,0)),""))</f>
        <v>1</v>
      </c>
      <c r="R611" s="24" t="n">
        <v>0</v>
      </c>
      <c r="S611" s="8" t="s">
        <v>516</v>
      </c>
      <c r="T611" s="31" t="n">
        <f aca="false">IF(S611="","",MATCH(S611,'Residual Config'!$L$9:$L$12,0))</f>
        <v>1</v>
      </c>
      <c r="U611" s="8" t="s">
        <v>2245</v>
      </c>
      <c r="V611" s="24" t="n">
        <v>6</v>
      </c>
      <c r="W611" s="33" t="s">
        <v>533</v>
      </c>
      <c r="X611" s="8" t="s">
        <v>760</v>
      </c>
      <c r="Y611" s="51" t="n">
        <f aca="false">IF(N611="","",EDATE(N611,IF(G611="N",INDEX('Residual Config'!$B$31:$D$31,1,MATCH(D611,'Residual Config'!$B$27:$D$27,0)),INDEX('Residual Config'!$B$28:$D$30,IF(T611=1,1,IF(T611=4,3,2)),MATCH(D611,'Residual Config'!$B$27:$D$27,0)))))</f>
        <v>46332</v>
      </c>
      <c r="Z611" s="7" t="str">
        <f aca="false">IF(I611="N/A","N/A",IF(N611="","Not tested",IF(W611="Rejected","Evidence rejected",IF(W611&lt;&gt;"Accepted","Evidence pending",IF(Y611&lt;'Residual Config'!$C$4,"Overdue","Current")))))</f>
        <v>Current</v>
      </c>
      <c r="AA611" s="34" t="n">
        <f aca="false">IF(I611="N/A","",IF(Z611&lt;&gt;"Current",4,IF(MAX(M611,T611)=0,4,MAX(M611,T611))))</f>
        <v>3</v>
      </c>
      <c r="AB611" s="7" t="str">
        <f aca="false">IF(AA611="","N/A",IF(Z611&lt;&gt;"Current","Not tested / overdue",INDEX('Residual Config'!$B$11:$B$14,AA611)))</f>
        <v>Partially effective</v>
      </c>
      <c r="AC611" s="36" t="n">
        <f aca="false">IF(AA611="","",INDEX('Residual Config'!$D$11:$D$14,AA611))</f>
        <v>0.2</v>
      </c>
      <c r="AD611" s="7" t="str">
        <f aca="false">IF(OR(I611="N/A",P611="",Q611=""),"",IF(P611&gt;=Q611,"Yes","No"))</f>
        <v>Yes</v>
      </c>
      <c r="AE611" s="8"/>
    </row>
    <row r="612" customFormat="false" ht="15" hidden="false" customHeight="false" outlineLevel="0" collapsed="false">
      <c r="A612" s="12" t="s">
        <v>2246</v>
      </c>
      <c r="B612" s="26" t="str">
        <f aca="false">Entities!$A$19</f>
        <v>IQ</v>
      </c>
      <c r="C612" s="12" t="str">
        <f aca="false">INDEX(Entities!$B$5:$B$34,MATCH(B612,Entities!$A$5:$A$34,0))</f>
        <v>Arab Bank Iraq</v>
      </c>
      <c r="D612" s="7" t="str">
        <f aca="false">INDEX(Entities!$F$5:$F$34,MATCH(B612,Entities!$A$5:$A$34,0))</f>
        <v>Tier 2</v>
      </c>
      <c r="E612" s="26" t="str">
        <f aca="false">'Control Library'!$A$10</f>
        <v>CTL-TM-01</v>
      </c>
      <c r="F612" s="12" t="str">
        <f aca="false">INDEX('Control Library'!$B$5:$B$47,MATCH(E612,'Control Library'!$A$5:$A$47,0))</f>
        <v>Automated transaction monitoring scenarios and annual tuning</v>
      </c>
      <c r="G612" s="7" t="str">
        <f aca="false">INDEX('Control Library'!$F$5:$F$47,MATCH(E612,'Control Library'!$A$5:$A$47,0))</f>
        <v>Y</v>
      </c>
      <c r="H612" s="12" t="str">
        <f aca="false">INDEX('Control Library'!$E$5:$E$47,MATCH(E612,'Control Library'!$A$5:$A$47,0))</f>
        <v>Continuous</v>
      </c>
      <c r="I612" s="7" t="str">
        <f aca="false">IF(INDEX('Control Library'!$I$5:$I$47,MATCH(E612,'Control Library'!$A$5:$A$47,0))="All","Y",IF(INDEX('Control Library'!$I$5:$I$47,MATCH(E612,'Control Library'!$A$5:$A$47,0))="Banks only",IF(COUNTIF('Residual Config'!$L$28:$L$30,INDEX(Entities!$E$5:$E$34,MATCH(B612,Entities!$A$5:$A$34,0)))&gt;0,"N/A","Y"),IF(INDEX(Entities!$G$5:$G$34,MATCH(B612,Entities!$A$5:$A$34,0))="Y","Y","N/A")))</f>
        <v>Y</v>
      </c>
      <c r="J612" s="8" t="s">
        <v>2247</v>
      </c>
      <c r="K612" s="8" t="s">
        <v>2235</v>
      </c>
      <c r="L612" s="7" t="str">
        <f aca="false">IF(OR(J612="",K612=""),"",IF(J612=K612,"Breach","OK"))</f>
        <v>OK</v>
      </c>
      <c r="M612" s="24" t="n">
        <v>1</v>
      </c>
      <c r="N612" s="50" t="n">
        <v>46174</v>
      </c>
      <c r="O612" s="8" t="s">
        <v>547</v>
      </c>
      <c r="P612" s="24" t="n">
        <v>1</v>
      </c>
      <c r="Q612" s="31" t="n">
        <f aca="false">IF(I612="N/A","",IFERROR(INDEX('Residual Config'!$B$35:$B$42,MATCH(H612,'Residual Config'!$A$35:$A$42,0)),""))</f>
        <v>1</v>
      </c>
      <c r="R612" s="24" t="n">
        <v>1</v>
      </c>
      <c r="S612" s="8" t="s">
        <v>521</v>
      </c>
      <c r="T612" s="31" t="n">
        <f aca="false">IF(S612="","",MATCH(S612,'Residual Config'!$L$9:$L$12,0))</f>
        <v>2</v>
      </c>
      <c r="U612" s="8" t="s">
        <v>2248</v>
      </c>
      <c r="V612" s="24" t="n">
        <v>5</v>
      </c>
      <c r="W612" s="33" t="s">
        <v>533</v>
      </c>
      <c r="X612" s="8" t="s">
        <v>754</v>
      </c>
      <c r="Y612" s="51" t="n">
        <f aca="false">IF(N612="","",EDATE(N612,IF(G612="N",INDEX('Residual Config'!$B$31:$D$31,1,MATCH(D612,'Residual Config'!$B$27:$D$27,0)),INDEX('Residual Config'!$B$28:$D$30,IF(T612=1,1,IF(T612=4,3,2)),MATCH(D612,'Residual Config'!$B$27:$D$27,0)))))</f>
        <v>46357</v>
      </c>
      <c r="Z612" s="7" t="str">
        <f aca="false">IF(I612="N/A","N/A",IF(N612="","Not tested",IF(W612="Rejected","Evidence rejected",IF(W612&lt;&gt;"Accepted","Evidence pending",IF(Y612&lt;'Residual Config'!$C$4,"Overdue","Current")))))</f>
        <v>Current</v>
      </c>
      <c r="AA612" s="34" t="n">
        <f aca="false">IF(I612="N/A","",IF(Z612&lt;&gt;"Current",4,IF(MAX(M612,T612)=0,4,MAX(M612,T612))))</f>
        <v>2</v>
      </c>
      <c r="AB612" s="7" t="str">
        <f aca="false">IF(AA612="","N/A",IF(Z612&lt;&gt;"Current","Not tested / overdue",INDEX('Residual Config'!$B$11:$B$14,AA612)))</f>
        <v>Largely effective</v>
      </c>
      <c r="AC612" s="36" t="n">
        <f aca="false">IF(AA612="","",INDEX('Residual Config'!$D$11:$D$14,AA612))</f>
        <v>0.4</v>
      </c>
      <c r="AD612" s="7" t="str">
        <f aca="false">IF(OR(I612="N/A",P612="",Q612=""),"",IF(P612&gt;=Q612,"Yes","No"))</f>
        <v>Yes</v>
      </c>
      <c r="AE612" s="8"/>
    </row>
    <row r="613" customFormat="false" ht="15" hidden="false" customHeight="false" outlineLevel="0" collapsed="false">
      <c r="A613" s="12" t="s">
        <v>2249</v>
      </c>
      <c r="B613" s="26" t="str">
        <f aca="false">Entities!$A$19</f>
        <v>IQ</v>
      </c>
      <c r="C613" s="12" t="str">
        <f aca="false">INDEX(Entities!$B$5:$B$34,MATCH(B613,Entities!$A$5:$A$34,0))</f>
        <v>Arab Bank Iraq</v>
      </c>
      <c r="D613" s="7" t="str">
        <f aca="false">INDEX(Entities!$F$5:$F$34,MATCH(B613,Entities!$A$5:$A$34,0))</f>
        <v>Tier 2</v>
      </c>
      <c r="E613" s="26" t="str">
        <f aca="false">'Control Library'!$A$11</f>
        <v>CTL-TM-02</v>
      </c>
      <c r="F613" s="12" t="str">
        <f aca="false">INDEX('Control Library'!$B$5:$B$47,MATCH(E613,'Control Library'!$A$5:$A$47,0))</f>
        <v>Alert investigation and quality assurance within SLA</v>
      </c>
      <c r="G613" s="7" t="str">
        <f aca="false">INDEX('Control Library'!$F$5:$F$47,MATCH(E613,'Control Library'!$A$5:$A$47,0))</f>
        <v>Y</v>
      </c>
      <c r="H613" s="12" t="str">
        <f aca="false">INDEX('Control Library'!$E$5:$E$47,MATCH(E613,'Control Library'!$A$5:$A$47,0))</f>
        <v>Daily</v>
      </c>
      <c r="I613" s="7" t="str">
        <f aca="false">IF(INDEX('Control Library'!$I$5:$I$47,MATCH(E613,'Control Library'!$A$5:$A$47,0))="All","Y",IF(INDEX('Control Library'!$I$5:$I$47,MATCH(E613,'Control Library'!$A$5:$A$47,0))="Banks only",IF(COUNTIF('Residual Config'!$L$28:$L$30,INDEX(Entities!$E$5:$E$34,MATCH(B613,Entities!$A$5:$A$34,0)))&gt;0,"N/A","Y"),IF(INDEX(Entities!$G$5:$G$34,MATCH(B613,Entities!$A$5:$A$34,0))="Y","Y","N/A")))</f>
        <v>Y</v>
      </c>
      <c r="J613" s="8" t="s">
        <v>2247</v>
      </c>
      <c r="K613" s="8" t="s">
        <v>2235</v>
      </c>
      <c r="L613" s="7" t="str">
        <f aca="false">IF(OR(J613="",K613=""),"",IF(J613=K613,"Breach","OK"))</f>
        <v>OK</v>
      </c>
      <c r="M613" s="24" t="n">
        <v>2</v>
      </c>
      <c r="N613" s="50" t="n">
        <v>46275</v>
      </c>
      <c r="O613" s="8" t="s">
        <v>545</v>
      </c>
      <c r="P613" s="24" t="n">
        <v>35</v>
      </c>
      <c r="Q613" s="31" t="n">
        <f aca="false">IF(I613="N/A","",IFERROR(INDEX('Residual Config'!$B$35:$B$42,MATCH(H613,'Residual Config'!$A$35:$A$42,0)),""))</f>
        <v>25</v>
      </c>
      <c r="R613" s="24" t="n">
        <v>1</v>
      </c>
      <c r="S613" s="8" t="s">
        <v>521</v>
      </c>
      <c r="T613" s="31" t="n">
        <f aca="false">IF(S613="","",MATCH(S613,'Residual Config'!$L$9:$L$12,0))</f>
        <v>2</v>
      </c>
      <c r="U613" s="8" t="s">
        <v>2250</v>
      </c>
      <c r="V613" s="24" t="n">
        <v>2</v>
      </c>
      <c r="W613" s="33" t="s">
        <v>533</v>
      </c>
      <c r="X613" s="8" t="s">
        <v>754</v>
      </c>
      <c r="Y613" s="51" t="n">
        <f aca="false">IF(N613="","",EDATE(N613,IF(G613="N",INDEX('Residual Config'!$B$31:$D$31,1,MATCH(D613,'Residual Config'!$B$27:$D$27,0)),INDEX('Residual Config'!$B$28:$D$30,IF(T613=1,1,IF(T613=4,3,2)),MATCH(D613,'Residual Config'!$B$27:$D$27,0)))))</f>
        <v>46456</v>
      </c>
      <c r="Z613" s="7" t="str">
        <f aca="false">IF(I613="N/A","N/A",IF(N613="","Not tested",IF(W613="Rejected","Evidence rejected",IF(W613&lt;&gt;"Accepted","Evidence pending",IF(Y613&lt;'Residual Config'!$C$4,"Overdue","Current")))))</f>
        <v>Current</v>
      </c>
      <c r="AA613" s="34" t="n">
        <f aca="false">IF(I613="N/A","",IF(Z613&lt;&gt;"Current",4,IF(MAX(M613,T613)=0,4,MAX(M613,T613))))</f>
        <v>2</v>
      </c>
      <c r="AB613" s="7" t="str">
        <f aca="false">IF(AA613="","N/A",IF(Z613&lt;&gt;"Current","Not tested / overdue",INDEX('Residual Config'!$B$11:$B$14,AA613)))</f>
        <v>Largely effective</v>
      </c>
      <c r="AC613" s="36" t="n">
        <f aca="false">IF(AA613="","",INDEX('Residual Config'!$D$11:$D$14,AA613))</f>
        <v>0.4</v>
      </c>
      <c r="AD613" s="7" t="str">
        <f aca="false">IF(OR(I613="N/A",P613="",Q613=""),"",IF(P613&gt;=Q613,"Yes","No"))</f>
        <v>Yes</v>
      </c>
      <c r="AE613" s="8"/>
    </row>
    <row r="614" customFormat="false" ht="15" hidden="false" customHeight="false" outlineLevel="0" collapsed="false">
      <c r="A614" s="12" t="s">
        <v>2251</v>
      </c>
      <c r="B614" s="26" t="str">
        <f aca="false">Entities!$A$19</f>
        <v>IQ</v>
      </c>
      <c r="C614" s="12" t="str">
        <f aca="false">INDEX(Entities!$B$5:$B$34,MATCH(B614,Entities!$A$5:$A$34,0))</f>
        <v>Arab Bank Iraq</v>
      </c>
      <c r="D614" s="7" t="str">
        <f aca="false">INDEX(Entities!$F$5:$F$34,MATCH(B614,Entities!$A$5:$A$34,0))</f>
        <v>Tier 2</v>
      </c>
      <c r="E614" s="26" t="str">
        <f aca="false">'Control Library'!$A$12</f>
        <v>CTL-STR-01</v>
      </c>
      <c r="F614" s="12" t="str">
        <f aca="false">INDEX('Control Library'!$B$5:$B$47,MATCH(E614,'Control Library'!$A$5:$A$47,0))</f>
        <v>STR decision and filing within regulatory deadline</v>
      </c>
      <c r="G614" s="7" t="str">
        <f aca="false">INDEX('Control Library'!$F$5:$F$47,MATCH(E614,'Control Library'!$A$5:$A$47,0))</f>
        <v>Y</v>
      </c>
      <c r="H614" s="12" t="str">
        <f aca="false">INDEX('Control Library'!$E$5:$E$47,MATCH(E614,'Control Library'!$A$5:$A$47,0))</f>
        <v>Event-driven</v>
      </c>
      <c r="I614" s="7" t="str">
        <f aca="false">IF(INDEX('Control Library'!$I$5:$I$47,MATCH(E614,'Control Library'!$A$5:$A$47,0))="All","Y",IF(INDEX('Control Library'!$I$5:$I$47,MATCH(E614,'Control Library'!$A$5:$A$47,0))="Banks only",IF(COUNTIF('Residual Config'!$L$28:$L$30,INDEX(Entities!$E$5:$E$34,MATCH(B614,Entities!$A$5:$A$34,0)))&gt;0,"N/A","Y"),IF(INDEX(Entities!$G$5:$G$34,MATCH(B614,Entities!$A$5:$A$34,0))="Y","Y","N/A")))</f>
        <v>Y</v>
      </c>
      <c r="J614" s="8" t="s">
        <v>2247</v>
      </c>
      <c r="K614" s="8" t="s">
        <v>2235</v>
      </c>
      <c r="L614" s="7" t="str">
        <f aca="false">IF(OR(J614="",K614=""),"",IF(J614=K614,"Breach","OK"))</f>
        <v>OK</v>
      </c>
      <c r="M614" s="24" t="n">
        <v>2</v>
      </c>
      <c r="N614" s="50" t="n">
        <v>46253</v>
      </c>
      <c r="O614" s="8" t="s">
        <v>545</v>
      </c>
      <c r="P614" s="24" t="n">
        <v>30</v>
      </c>
      <c r="Q614" s="31" t="n">
        <f aca="false">IF(I614="N/A","",IFERROR(INDEX('Residual Config'!$B$35:$B$42,MATCH(H614,'Residual Config'!$A$35:$A$42,0)),""))</f>
        <v>25</v>
      </c>
      <c r="R614" s="24" t="n">
        <v>1</v>
      </c>
      <c r="S614" s="8" t="s">
        <v>521</v>
      </c>
      <c r="T614" s="31" t="n">
        <f aca="false">IF(S614="","",MATCH(S614,'Residual Config'!$L$9:$L$12,0))</f>
        <v>2</v>
      </c>
      <c r="U614" s="8" t="s">
        <v>2252</v>
      </c>
      <c r="V614" s="24" t="n">
        <v>4</v>
      </c>
      <c r="W614" s="33" t="s">
        <v>533</v>
      </c>
      <c r="X614" s="8" t="s">
        <v>754</v>
      </c>
      <c r="Y614" s="51" t="n">
        <f aca="false">IF(N614="","",EDATE(N614,IF(G614="N",INDEX('Residual Config'!$B$31:$D$31,1,MATCH(D614,'Residual Config'!$B$27:$D$27,0)),INDEX('Residual Config'!$B$28:$D$30,IF(T614=1,1,IF(T614=4,3,2)),MATCH(D614,'Residual Config'!$B$27:$D$27,0)))))</f>
        <v>46437</v>
      </c>
      <c r="Z614" s="7" t="str">
        <f aca="false">IF(I614="N/A","N/A",IF(N614="","Not tested",IF(W614="Rejected","Evidence rejected",IF(W614&lt;&gt;"Accepted","Evidence pending",IF(Y614&lt;'Residual Config'!$C$4,"Overdue","Current")))))</f>
        <v>Current</v>
      </c>
      <c r="AA614" s="34" t="n">
        <f aca="false">IF(I614="N/A","",IF(Z614&lt;&gt;"Current",4,IF(MAX(M614,T614)=0,4,MAX(M614,T614))))</f>
        <v>2</v>
      </c>
      <c r="AB614" s="7" t="str">
        <f aca="false">IF(AA614="","N/A",IF(Z614&lt;&gt;"Current","Not tested / overdue",INDEX('Residual Config'!$B$11:$B$14,AA614)))</f>
        <v>Largely effective</v>
      </c>
      <c r="AC614" s="36" t="n">
        <f aca="false">IF(AA614="","",INDEX('Residual Config'!$D$11:$D$14,AA614))</f>
        <v>0.4</v>
      </c>
      <c r="AD614" s="7" t="str">
        <f aca="false">IF(OR(I614="N/A",P614="",Q614=""),"",IF(P614&gt;=Q614,"Yes","No"))</f>
        <v>Yes</v>
      </c>
      <c r="AE614" s="8"/>
    </row>
    <row r="615" customFormat="false" ht="15" hidden="false" customHeight="false" outlineLevel="0" collapsed="false">
      <c r="A615" s="12" t="s">
        <v>2253</v>
      </c>
      <c r="B615" s="26" t="str">
        <f aca="false">Entities!$A$19</f>
        <v>IQ</v>
      </c>
      <c r="C615" s="12" t="str">
        <f aca="false">INDEX(Entities!$B$5:$B$34,MATCH(B615,Entities!$A$5:$A$34,0))</f>
        <v>Arab Bank Iraq</v>
      </c>
      <c r="D615" s="7" t="str">
        <f aca="false">INDEX(Entities!$F$5:$F$34,MATCH(B615,Entities!$A$5:$A$34,0))</f>
        <v>Tier 2</v>
      </c>
      <c r="E615" s="26" t="str">
        <f aca="false">'Control Library'!$A$13</f>
        <v>CTL-SAN-01</v>
      </c>
      <c r="F615" s="12" t="str">
        <f aca="false">INDEX('Control Library'!$B$5:$B$47,MATCH(E615,'Control Library'!$A$5:$A$47,0))</f>
        <v>Real-time payment and transaction sanctions screening</v>
      </c>
      <c r="G615" s="7" t="str">
        <f aca="false">INDEX('Control Library'!$F$5:$F$47,MATCH(E615,'Control Library'!$A$5:$A$47,0))</f>
        <v>Y</v>
      </c>
      <c r="H615" s="12" t="str">
        <f aca="false">INDEX('Control Library'!$E$5:$E$47,MATCH(E615,'Control Library'!$A$5:$A$47,0))</f>
        <v>Continuous</v>
      </c>
      <c r="I615" s="7" t="str">
        <f aca="false">IF(INDEX('Control Library'!$I$5:$I$47,MATCH(E615,'Control Library'!$A$5:$A$47,0))="All","Y",IF(INDEX('Control Library'!$I$5:$I$47,MATCH(E615,'Control Library'!$A$5:$A$47,0))="Banks only",IF(COUNTIF('Residual Config'!$L$28:$L$30,INDEX(Entities!$E$5:$E$34,MATCH(B615,Entities!$A$5:$A$34,0)))&gt;0,"N/A","Y"),IF(INDEX(Entities!$G$5:$G$34,MATCH(B615,Entities!$A$5:$A$34,0))="Y","Y","N/A")))</f>
        <v>Y</v>
      </c>
      <c r="J615" s="8" t="s">
        <v>2254</v>
      </c>
      <c r="K615" s="8" t="s">
        <v>2235</v>
      </c>
      <c r="L615" s="7" t="str">
        <f aca="false">IF(OR(J615="",K615=""),"",IF(J615=K615,"Breach","OK"))</f>
        <v>OK</v>
      </c>
      <c r="M615" s="24" t="n">
        <v>2</v>
      </c>
      <c r="N615" s="50" t="n">
        <v>46234</v>
      </c>
      <c r="O615" s="8" t="s">
        <v>546</v>
      </c>
      <c r="P615" s="24" t="n">
        <v>1</v>
      </c>
      <c r="Q615" s="31" t="n">
        <f aca="false">IF(I615="N/A","",IFERROR(INDEX('Residual Config'!$B$35:$B$42,MATCH(H615,'Residual Config'!$A$35:$A$42,0)),""))</f>
        <v>1</v>
      </c>
      <c r="R615" s="24" t="n">
        <v>1</v>
      </c>
      <c r="S615" s="8" t="s">
        <v>521</v>
      </c>
      <c r="T615" s="31" t="n">
        <f aca="false">IF(S615="","",MATCH(S615,'Residual Config'!$L$9:$L$12,0))</f>
        <v>2</v>
      </c>
      <c r="U615" s="8" t="s">
        <v>2255</v>
      </c>
      <c r="V615" s="24" t="n">
        <v>3</v>
      </c>
      <c r="W615" s="33" t="s">
        <v>533</v>
      </c>
      <c r="X615" s="8" t="s">
        <v>760</v>
      </c>
      <c r="Y615" s="51" t="n">
        <f aca="false">IF(N615="","",EDATE(N615,IF(G615="N",INDEX('Residual Config'!$B$31:$D$31,1,MATCH(D615,'Residual Config'!$B$27:$D$27,0)),INDEX('Residual Config'!$B$28:$D$30,IF(T615=1,1,IF(T615=4,3,2)),MATCH(D615,'Residual Config'!$B$27:$D$27,0)))))</f>
        <v>46418</v>
      </c>
      <c r="Z615" s="7" t="str">
        <f aca="false">IF(I615="N/A","N/A",IF(N615="","Not tested",IF(W615="Rejected","Evidence rejected",IF(W615&lt;&gt;"Accepted","Evidence pending",IF(Y615&lt;'Residual Config'!$C$4,"Overdue","Current")))))</f>
        <v>Current</v>
      </c>
      <c r="AA615" s="34" t="n">
        <f aca="false">IF(I615="N/A","",IF(Z615&lt;&gt;"Current",4,IF(MAX(M615,T615)=0,4,MAX(M615,T615))))</f>
        <v>2</v>
      </c>
      <c r="AB615" s="7" t="str">
        <f aca="false">IF(AA615="","N/A",IF(Z615&lt;&gt;"Current","Not tested / overdue",INDEX('Residual Config'!$B$11:$B$14,AA615)))</f>
        <v>Largely effective</v>
      </c>
      <c r="AC615" s="36" t="n">
        <f aca="false">IF(AA615="","",INDEX('Residual Config'!$D$11:$D$14,AA615))</f>
        <v>0.4</v>
      </c>
      <c r="AD615" s="7" t="str">
        <f aca="false">IF(OR(I615="N/A",P615="",Q615=""),"",IF(P615&gt;=Q615,"Yes","No"))</f>
        <v>Yes</v>
      </c>
      <c r="AE615" s="8"/>
    </row>
    <row r="616" customFormat="false" ht="15" hidden="false" customHeight="false" outlineLevel="0" collapsed="false">
      <c r="A616" s="12" t="s">
        <v>2256</v>
      </c>
      <c r="B616" s="26" t="str">
        <f aca="false">Entities!$A$19</f>
        <v>IQ</v>
      </c>
      <c r="C616" s="12" t="str">
        <f aca="false">INDEX(Entities!$B$5:$B$34,MATCH(B616,Entities!$A$5:$A$34,0))</f>
        <v>Arab Bank Iraq</v>
      </c>
      <c r="D616" s="7" t="str">
        <f aca="false">INDEX(Entities!$F$5:$F$34,MATCH(B616,Entities!$A$5:$A$34,0))</f>
        <v>Tier 2</v>
      </c>
      <c r="E616" s="26" t="str">
        <f aca="false">'Control Library'!$A$14</f>
        <v>CTL-SAN-02</v>
      </c>
      <c r="F616" s="12" t="str">
        <f aca="false">INDEX('Control Library'!$B$5:$B$47,MATCH(E616,'Control Library'!$A$5:$A$47,0))</f>
        <v>Customer and counterparty screening at onboarding and on list change</v>
      </c>
      <c r="G616" s="7" t="str">
        <f aca="false">INDEX('Control Library'!$F$5:$F$47,MATCH(E616,'Control Library'!$A$5:$A$47,0))</f>
        <v>Y</v>
      </c>
      <c r="H616" s="12" t="str">
        <f aca="false">INDEX('Control Library'!$E$5:$E$47,MATCH(E616,'Control Library'!$A$5:$A$47,0))</f>
        <v>Continuous</v>
      </c>
      <c r="I616" s="7" t="str">
        <f aca="false">IF(INDEX('Control Library'!$I$5:$I$47,MATCH(E616,'Control Library'!$A$5:$A$47,0))="All","Y",IF(INDEX('Control Library'!$I$5:$I$47,MATCH(E616,'Control Library'!$A$5:$A$47,0))="Banks only",IF(COUNTIF('Residual Config'!$L$28:$L$30,INDEX(Entities!$E$5:$E$34,MATCH(B616,Entities!$A$5:$A$34,0)))&gt;0,"N/A","Y"),IF(INDEX(Entities!$G$5:$G$34,MATCH(B616,Entities!$A$5:$A$34,0))="Y","Y","N/A")))</f>
        <v>Y</v>
      </c>
      <c r="J616" s="8" t="s">
        <v>2254</v>
      </c>
      <c r="K616" s="8" t="s">
        <v>2235</v>
      </c>
      <c r="L616" s="7" t="str">
        <f aca="false">IF(OR(J616="",K616=""),"",IF(J616=K616,"Breach","OK"))</f>
        <v>OK</v>
      </c>
      <c r="M616" s="24" t="n">
        <v>2</v>
      </c>
      <c r="N616" s="50" t="n">
        <v>46172</v>
      </c>
      <c r="O616" s="8" t="s">
        <v>546</v>
      </c>
      <c r="P616" s="24" t="n">
        <v>1</v>
      </c>
      <c r="Q616" s="31" t="n">
        <f aca="false">IF(I616="N/A","",IFERROR(INDEX('Residual Config'!$B$35:$B$42,MATCH(H616,'Residual Config'!$A$35:$A$42,0)),""))</f>
        <v>1</v>
      </c>
      <c r="R616" s="24" t="n">
        <v>1</v>
      </c>
      <c r="S616" s="8" t="s">
        <v>521</v>
      </c>
      <c r="T616" s="31" t="n">
        <f aca="false">IF(S616="","",MATCH(S616,'Residual Config'!$L$9:$L$12,0))</f>
        <v>2</v>
      </c>
      <c r="U616" s="8" t="s">
        <v>2257</v>
      </c>
      <c r="V616" s="24" t="n">
        <v>3</v>
      </c>
      <c r="W616" s="33" t="s">
        <v>533</v>
      </c>
      <c r="X616" s="8" t="s">
        <v>760</v>
      </c>
      <c r="Y616" s="51" t="n">
        <f aca="false">IF(N616="","",EDATE(N616,IF(G616="N",INDEX('Residual Config'!$B$31:$D$31,1,MATCH(D616,'Residual Config'!$B$27:$D$27,0)),INDEX('Residual Config'!$B$28:$D$30,IF(T616=1,1,IF(T616=4,3,2)),MATCH(D616,'Residual Config'!$B$27:$D$27,0)))))</f>
        <v>46356</v>
      </c>
      <c r="Z616" s="7" t="str">
        <f aca="false">IF(I616="N/A","N/A",IF(N616="","Not tested",IF(W616="Rejected","Evidence rejected",IF(W616&lt;&gt;"Accepted","Evidence pending",IF(Y616&lt;'Residual Config'!$C$4,"Overdue","Current")))))</f>
        <v>Current</v>
      </c>
      <c r="AA616" s="34" t="n">
        <f aca="false">IF(I616="N/A","",IF(Z616&lt;&gt;"Current",4,IF(MAX(M616,T616)=0,4,MAX(M616,T616))))</f>
        <v>2</v>
      </c>
      <c r="AB616" s="7" t="str">
        <f aca="false">IF(AA616="","N/A",IF(Z616&lt;&gt;"Current","Not tested / overdue",INDEX('Residual Config'!$B$11:$B$14,AA616)))</f>
        <v>Largely effective</v>
      </c>
      <c r="AC616" s="36" t="n">
        <f aca="false">IF(AA616="","",INDEX('Residual Config'!$D$11:$D$14,AA616))</f>
        <v>0.4</v>
      </c>
      <c r="AD616" s="7" t="str">
        <f aca="false">IF(OR(I616="N/A",P616="",Q616=""),"",IF(P616&gt;=Q616,"Yes","No"))</f>
        <v>Yes</v>
      </c>
      <c r="AE616" s="8"/>
    </row>
    <row r="617" customFormat="false" ht="15" hidden="false" customHeight="false" outlineLevel="0" collapsed="false">
      <c r="A617" s="12" t="s">
        <v>2258</v>
      </c>
      <c r="B617" s="26" t="str">
        <f aca="false">Entities!$A$19</f>
        <v>IQ</v>
      </c>
      <c r="C617" s="12" t="str">
        <f aca="false">INDEX(Entities!$B$5:$B$34,MATCH(B617,Entities!$A$5:$A$34,0))</f>
        <v>Arab Bank Iraq</v>
      </c>
      <c r="D617" s="7" t="str">
        <f aca="false">INDEX(Entities!$F$5:$F$34,MATCH(B617,Entities!$A$5:$A$34,0))</f>
        <v>Tier 2</v>
      </c>
      <c r="E617" s="26" t="str">
        <f aca="false">'Control Library'!$A$15</f>
        <v>CTL-SAN-03</v>
      </c>
      <c r="F617" s="12" t="str">
        <f aca="false">INDEX('Control Library'!$B$5:$B$47,MATCH(E617,'Control Library'!$A$5:$A$47,0))</f>
        <v>Sanctions list updates applied within 24 hours</v>
      </c>
      <c r="G617" s="7" t="str">
        <f aca="false">INDEX('Control Library'!$F$5:$F$47,MATCH(E617,'Control Library'!$A$5:$A$47,0))</f>
        <v>N</v>
      </c>
      <c r="H617" s="12" t="str">
        <f aca="false">INDEX('Control Library'!$E$5:$E$47,MATCH(E617,'Control Library'!$A$5:$A$47,0))</f>
        <v>Daily</v>
      </c>
      <c r="I617" s="7" t="str">
        <f aca="false">IF(INDEX('Control Library'!$I$5:$I$47,MATCH(E617,'Control Library'!$A$5:$A$47,0))="All","Y",IF(INDEX('Control Library'!$I$5:$I$47,MATCH(E617,'Control Library'!$A$5:$A$47,0))="Banks only",IF(COUNTIF('Residual Config'!$L$28:$L$30,INDEX(Entities!$E$5:$E$34,MATCH(B617,Entities!$A$5:$A$34,0)))&gt;0,"N/A","Y"),IF(INDEX(Entities!$G$5:$G$34,MATCH(B617,Entities!$A$5:$A$34,0))="Y","Y","N/A")))</f>
        <v>Y</v>
      </c>
      <c r="J617" s="8" t="s">
        <v>2259</v>
      </c>
      <c r="K617" s="8" t="s">
        <v>2235</v>
      </c>
      <c r="L617" s="7" t="str">
        <f aca="false">IF(OR(J617="",K617=""),"",IF(J617=K617,"Breach","OK"))</f>
        <v>OK</v>
      </c>
      <c r="M617" s="24" t="n">
        <v>2</v>
      </c>
      <c r="N617" s="50" t="n">
        <v>46031</v>
      </c>
      <c r="O617" s="8" t="s">
        <v>545</v>
      </c>
      <c r="P617" s="24" t="n">
        <v>25</v>
      </c>
      <c r="Q617" s="31" t="n">
        <f aca="false">IF(I617="N/A","",IFERROR(INDEX('Residual Config'!$B$35:$B$42,MATCH(H617,'Residual Config'!$A$35:$A$42,0)),""))</f>
        <v>25</v>
      </c>
      <c r="R617" s="24" t="n">
        <v>0</v>
      </c>
      <c r="S617" s="8" t="s">
        <v>516</v>
      </c>
      <c r="T617" s="31" t="n">
        <f aca="false">IF(S617="","",MATCH(S617,'Residual Config'!$L$9:$L$12,0))</f>
        <v>1</v>
      </c>
      <c r="U617" s="8" t="s">
        <v>2260</v>
      </c>
      <c r="V617" s="24" t="n">
        <v>1</v>
      </c>
      <c r="W617" s="33" t="s">
        <v>533</v>
      </c>
      <c r="X617" s="8" t="s">
        <v>760</v>
      </c>
      <c r="Y617" s="51" t="n">
        <f aca="false">IF(N617="","",EDATE(N617,IF(G617="N",INDEX('Residual Config'!$B$31:$D$31,1,MATCH(D617,'Residual Config'!$B$27:$D$27,0)),INDEX('Residual Config'!$B$28:$D$30,IF(T617=1,1,IF(T617=4,3,2)),MATCH(D617,'Residual Config'!$B$27:$D$27,0)))))</f>
        <v>46396</v>
      </c>
      <c r="Z617" s="7" t="str">
        <f aca="false">IF(I617="N/A","N/A",IF(N617="","Not tested",IF(W617="Rejected","Evidence rejected",IF(W617&lt;&gt;"Accepted","Evidence pending",IF(Y617&lt;'Residual Config'!$C$4,"Overdue","Current")))))</f>
        <v>Current</v>
      </c>
      <c r="AA617" s="34" t="n">
        <f aca="false">IF(I617="N/A","",IF(Z617&lt;&gt;"Current",4,IF(MAX(M617,T617)=0,4,MAX(M617,T617))))</f>
        <v>2</v>
      </c>
      <c r="AB617" s="7" t="str">
        <f aca="false">IF(AA617="","N/A",IF(Z617&lt;&gt;"Current","Not tested / overdue",INDEX('Residual Config'!$B$11:$B$14,AA617)))</f>
        <v>Largely effective</v>
      </c>
      <c r="AC617" s="36" t="n">
        <f aca="false">IF(AA617="","",INDEX('Residual Config'!$D$11:$D$14,AA617))</f>
        <v>0.4</v>
      </c>
      <c r="AD617" s="7" t="str">
        <f aca="false">IF(OR(I617="N/A",P617="",Q617=""),"",IF(P617&gt;=Q617,"Yes","No"))</f>
        <v>Yes</v>
      </c>
      <c r="AE617" s="8"/>
    </row>
    <row r="618" customFormat="false" ht="15" hidden="false" customHeight="false" outlineLevel="0" collapsed="false">
      <c r="A618" s="12" t="s">
        <v>2261</v>
      </c>
      <c r="B618" s="26" t="str">
        <f aca="false">Entities!$A$19</f>
        <v>IQ</v>
      </c>
      <c r="C618" s="12" t="str">
        <f aca="false">INDEX(Entities!$B$5:$B$34,MATCH(B618,Entities!$A$5:$A$34,0))</f>
        <v>Arab Bank Iraq</v>
      </c>
      <c r="D618" s="7" t="str">
        <f aca="false">INDEX(Entities!$F$5:$F$34,MATCH(B618,Entities!$A$5:$A$34,0))</f>
        <v>Tier 2</v>
      </c>
      <c r="E618" s="26" t="str">
        <f aca="false">'Control Library'!$A$16</f>
        <v>CTL-TF-01</v>
      </c>
      <c r="F618" s="12" t="str">
        <f aca="false">INDEX('Control Library'!$B$5:$B$47,MATCH(E618,'Control Library'!$A$5:$A$47,0))</f>
        <v>NPO and charity enhanced due diligence</v>
      </c>
      <c r="G618" s="7" t="str">
        <f aca="false">INDEX('Control Library'!$F$5:$F$47,MATCH(E618,'Control Library'!$A$5:$A$47,0))</f>
        <v>N</v>
      </c>
      <c r="H618" s="12" t="str">
        <f aca="false">INDEX('Control Library'!$E$5:$E$47,MATCH(E618,'Control Library'!$A$5:$A$47,0))</f>
        <v>Event-driven</v>
      </c>
      <c r="I618" s="7" t="str">
        <f aca="false">IF(INDEX('Control Library'!$I$5:$I$47,MATCH(E618,'Control Library'!$A$5:$A$47,0))="All","Y",IF(INDEX('Control Library'!$I$5:$I$47,MATCH(E618,'Control Library'!$A$5:$A$47,0))="Banks only",IF(COUNTIF('Residual Config'!$L$28:$L$30,INDEX(Entities!$E$5:$E$34,MATCH(B618,Entities!$A$5:$A$34,0)))&gt;0,"N/A","Y"),IF(INDEX(Entities!$G$5:$G$34,MATCH(B618,Entities!$A$5:$A$34,0))="Y","Y","N/A")))</f>
        <v>Y</v>
      </c>
      <c r="J618" s="8" t="s">
        <v>2262</v>
      </c>
      <c r="K618" s="8" t="s">
        <v>2235</v>
      </c>
      <c r="L618" s="7" t="str">
        <f aca="false">IF(OR(J618="",K618=""),"",IF(J618=K618,"Breach","OK"))</f>
        <v>OK</v>
      </c>
      <c r="M618" s="24" t="n">
        <v>1</v>
      </c>
      <c r="N618" s="50" t="n">
        <v>46125</v>
      </c>
      <c r="O618" s="8" t="s">
        <v>546</v>
      </c>
      <c r="P618" s="24" t="n">
        <v>25</v>
      </c>
      <c r="Q618" s="31" t="n">
        <f aca="false">IF(I618="N/A","",IFERROR(INDEX('Residual Config'!$B$35:$B$42,MATCH(H618,'Residual Config'!$A$35:$A$42,0)),""))</f>
        <v>25</v>
      </c>
      <c r="R618" s="24" t="n">
        <v>2</v>
      </c>
      <c r="S618" s="8" t="s">
        <v>524</v>
      </c>
      <c r="T618" s="31" t="n">
        <f aca="false">IF(S618="","",MATCH(S618,'Residual Config'!$L$9:$L$12,0))</f>
        <v>3</v>
      </c>
      <c r="U618" s="8" t="s">
        <v>2263</v>
      </c>
      <c r="V618" s="24" t="n">
        <v>5</v>
      </c>
      <c r="W618" s="33" t="s">
        <v>533</v>
      </c>
      <c r="X618" s="8" t="s">
        <v>754</v>
      </c>
      <c r="Y618" s="51" t="n">
        <f aca="false">IF(N618="","",EDATE(N618,IF(G618="N",INDEX('Residual Config'!$B$31:$D$31,1,MATCH(D618,'Residual Config'!$B$27:$D$27,0)),INDEX('Residual Config'!$B$28:$D$30,IF(T618=1,1,IF(T618=4,3,2)),MATCH(D618,'Residual Config'!$B$27:$D$27,0)))))</f>
        <v>46490</v>
      </c>
      <c r="Z618" s="7" t="str">
        <f aca="false">IF(I618="N/A","N/A",IF(N618="","Not tested",IF(W618="Rejected","Evidence rejected",IF(W618&lt;&gt;"Accepted","Evidence pending",IF(Y618&lt;'Residual Config'!$C$4,"Overdue","Current")))))</f>
        <v>Current</v>
      </c>
      <c r="AA618" s="34" t="n">
        <f aca="false">IF(I618="N/A","",IF(Z618&lt;&gt;"Current",4,IF(MAX(M618,T618)=0,4,MAX(M618,T618))))</f>
        <v>3</v>
      </c>
      <c r="AB618" s="7" t="str">
        <f aca="false">IF(AA618="","N/A",IF(Z618&lt;&gt;"Current","Not tested / overdue",INDEX('Residual Config'!$B$11:$B$14,AA618)))</f>
        <v>Partially effective</v>
      </c>
      <c r="AC618" s="36" t="n">
        <f aca="false">IF(AA618="","",INDEX('Residual Config'!$D$11:$D$14,AA618))</f>
        <v>0.2</v>
      </c>
      <c r="AD618" s="7" t="str">
        <f aca="false">IF(OR(I618="N/A",P618="",Q618=""),"",IF(P618&gt;=Q618,"Yes","No"))</f>
        <v>Yes</v>
      </c>
      <c r="AE618" s="8"/>
    </row>
    <row r="619" customFormat="false" ht="15" hidden="false" customHeight="false" outlineLevel="0" collapsed="false">
      <c r="A619" s="12" t="s">
        <v>2264</v>
      </c>
      <c r="B619" s="26" t="str">
        <f aca="false">Entities!$A$19</f>
        <v>IQ</v>
      </c>
      <c r="C619" s="12" t="str">
        <f aca="false">INDEX(Entities!$B$5:$B$34,MATCH(B619,Entities!$A$5:$A$34,0))</f>
        <v>Arab Bank Iraq</v>
      </c>
      <c r="D619" s="7" t="str">
        <f aca="false">INDEX(Entities!$F$5:$F$34,MATCH(B619,Entities!$A$5:$A$34,0))</f>
        <v>Tier 2</v>
      </c>
      <c r="E619" s="26" t="str">
        <f aca="false">'Control Library'!$A$17</f>
        <v>CTL-TBML-01</v>
      </c>
      <c r="F619" s="12" t="str">
        <f aca="false">INDEX('Control Library'!$B$5:$B$47,MATCH(E619,'Control Library'!$A$5:$A$47,0))</f>
        <v>Trade-based ML red-flag review and pricing checks</v>
      </c>
      <c r="G619" s="7" t="str">
        <f aca="false">INDEX('Control Library'!$F$5:$F$47,MATCH(E619,'Control Library'!$A$5:$A$47,0))</f>
        <v>Y</v>
      </c>
      <c r="H619" s="12" t="str">
        <f aca="false">INDEX('Control Library'!$E$5:$E$47,MATCH(E619,'Control Library'!$A$5:$A$47,0))</f>
        <v>Event-driven</v>
      </c>
      <c r="I619" s="7" t="str">
        <f aca="false">IF(INDEX('Control Library'!$I$5:$I$47,MATCH(E619,'Control Library'!$A$5:$A$47,0))="All","Y",IF(INDEX('Control Library'!$I$5:$I$47,MATCH(E619,'Control Library'!$A$5:$A$47,0))="Banks only",IF(COUNTIF('Residual Config'!$L$28:$L$30,INDEX(Entities!$E$5:$E$34,MATCH(B619,Entities!$A$5:$A$34,0)))&gt;0,"N/A","Y"),IF(INDEX(Entities!$G$5:$G$34,MATCH(B619,Entities!$A$5:$A$34,0))="Y","Y","N/A")))</f>
        <v>Y</v>
      </c>
      <c r="J619" s="8" t="s">
        <v>2265</v>
      </c>
      <c r="K619" s="8" t="s">
        <v>2235</v>
      </c>
      <c r="L619" s="7" t="str">
        <f aca="false">IF(OR(J619="",K619=""),"",IF(J619=K619,"Breach","OK"))</f>
        <v>OK</v>
      </c>
      <c r="M619" s="24" t="n">
        <v>2</v>
      </c>
      <c r="N619" s="50"/>
      <c r="O619" s="8"/>
      <c r="P619" s="24"/>
      <c r="Q619" s="31" t="n">
        <f aca="false">IF(I619="N/A","",IFERROR(INDEX('Residual Config'!$B$35:$B$42,MATCH(H619,'Residual Config'!$A$35:$A$42,0)),""))</f>
        <v>25</v>
      </c>
      <c r="R619" s="24"/>
      <c r="S619" s="8"/>
      <c r="T619" s="31" t="str">
        <f aca="false">IF(S619="","",MATCH(S619,'Residual Config'!$L$9:$L$12,0))</f>
        <v/>
      </c>
      <c r="U619" s="8"/>
      <c r="V619" s="24"/>
      <c r="W619" s="33"/>
      <c r="X619" s="8"/>
      <c r="Y619" s="51" t="str">
        <f aca="false">IF(N619="","",EDATE(N619,IF(G619="N",INDEX('Residual Config'!$B$31:$D$31,1,MATCH(D619,'Residual Config'!$B$27:$D$27,0)),INDEX('Residual Config'!$B$28:$D$30,IF(T619=1,1,IF(T619=4,3,2)),MATCH(D619,'Residual Config'!$B$27:$D$27,0)))))</f>
        <v/>
      </c>
      <c r="Z619" s="7" t="str">
        <f aca="false">IF(I619="N/A","N/A",IF(N619="","Not tested",IF(W619="Rejected","Evidence rejected",IF(W619&lt;&gt;"Accepted","Evidence pending",IF(Y619&lt;'Residual Config'!$C$4,"Overdue","Current")))))</f>
        <v>Not tested</v>
      </c>
      <c r="AA619" s="34" t="n">
        <f aca="false">IF(I619="N/A","",IF(Z619&lt;&gt;"Current",4,IF(MAX(M619,T619)=0,4,MAX(M619,T619))))</f>
        <v>4</v>
      </c>
      <c r="AB619" s="7" t="str">
        <f aca="false">IF(AA619="","N/A",IF(Z619&lt;&gt;"Current","Not tested / overdue",INDEX('Residual Config'!$B$11:$B$14,AA619)))</f>
        <v>Not tested / overdue</v>
      </c>
      <c r="AC619" s="36" t="n">
        <f aca="false">IF(AA619="","",INDEX('Residual Config'!$D$11:$D$14,AA619))</f>
        <v>0</v>
      </c>
      <c r="AD619" s="7" t="str">
        <f aca="false">IF(OR(I619="N/A",P619="",Q619=""),"",IF(P619&gt;=Q619,"Yes","No"))</f>
        <v/>
      </c>
      <c r="AE619" s="8"/>
    </row>
    <row r="620" customFormat="false" ht="15" hidden="false" customHeight="false" outlineLevel="0" collapsed="false">
      <c r="A620" s="12" t="s">
        <v>2266</v>
      </c>
      <c r="B620" s="26" t="str">
        <f aca="false">Entities!$A$19</f>
        <v>IQ</v>
      </c>
      <c r="C620" s="12" t="str">
        <f aca="false">INDEX(Entities!$B$5:$B$34,MATCH(B620,Entities!$A$5:$A$34,0))</f>
        <v>Arab Bank Iraq</v>
      </c>
      <c r="D620" s="7" t="str">
        <f aca="false">INDEX(Entities!$F$5:$F$34,MATCH(B620,Entities!$A$5:$A$34,0))</f>
        <v>Tier 2</v>
      </c>
      <c r="E620" s="26" t="str">
        <f aca="false">'Control Library'!$A$18</f>
        <v>CTL-PF-01</v>
      </c>
      <c r="F620" s="12" t="str">
        <f aca="false">INDEX('Control Library'!$B$5:$B$47,MATCH(E620,'Control Library'!$A$5:$A$47,0))</f>
        <v>Dual-use goods, vessel and port screening</v>
      </c>
      <c r="G620" s="7" t="str">
        <f aca="false">INDEX('Control Library'!$F$5:$F$47,MATCH(E620,'Control Library'!$A$5:$A$47,0))</f>
        <v>Y</v>
      </c>
      <c r="H620" s="12" t="str">
        <f aca="false">INDEX('Control Library'!$E$5:$E$47,MATCH(E620,'Control Library'!$A$5:$A$47,0))</f>
        <v>Event-driven</v>
      </c>
      <c r="I620" s="7" t="str">
        <f aca="false">IF(INDEX('Control Library'!$I$5:$I$47,MATCH(E620,'Control Library'!$A$5:$A$47,0))="All","Y",IF(INDEX('Control Library'!$I$5:$I$47,MATCH(E620,'Control Library'!$A$5:$A$47,0))="Banks only",IF(COUNTIF('Residual Config'!$L$28:$L$30,INDEX(Entities!$E$5:$E$34,MATCH(B620,Entities!$A$5:$A$34,0)))&gt;0,"N/A","Y"),IF(INDEX(Entities!$G$5:$G$34,MATCH(B620,Entities!$A$5:$A$34,0))="Y","Y","N/A")))</f>
        <v>Y</v>
      </c>
      <c r="J620" s="8" t="s">
        <v>2265</v>
      </c>
      <c r="K620" s="8" t="s">
        <v>2235</v>
      </c>
      <c r="L620" s="7" t="str">
        <f aca="false">IF(OR(J620="",K620=""),"",IF(J620=K620,"Breach","OK"))</f>
        <v>OK</v>
      </c>
      <c r="M620" s="24" t="n">
        <v>2</v>
      </c>
      <c r="N620" s="50" t="n">
        <v>46272</v>
      </c>
      <c r="O620" s="8" t="s">
        <v>546</v>
      </c>
      <c r="P620" s="24" t="n">
        <v>30</v>
      </c>
      <c r="Q620" s="31" t="n">
        <f aca="false">IF(I620="N/A","",IFERROR(INDEX('Residual Config'!$B$35:$B$42,MATCH(H620,'Residual Config'!$A$35:$A$42,0)),""))</f>
        <v>25</v>
      </c>
      <c r="R620" s="24" t="n">
        <v>1</v>
      </c>
      <c r="S620" s="8" t="s">
        <v>521</v>
      </c>
      <c r="T620" s="31" t="n">
        <f aca="false">IF(S620="","",MATCH(S620,'Residual Config'!$L$9:$L$12,0))</f>
        <v>2</v>
      </c>
      <c r="U620" s="8" t="s">
        <v>2267</v>
      </c>
      <c r="V620" s="24" t="n">
        <v>3</v>
      </c>
      <c r="W620" s="33" t="s">
        <v>533</v>
      </c>
      <c r="X620" s="8" t="s">
        <v>760</v>
      </c>
      <c r="Y620" s="51" t="n">
        <f aca="false">IF(N620="","",EDATE(N620,IF(G620="N",INDEX('Residual Config'!$B$31:$D$31,1,MATCH(D620,'Residual Config'!$B$27:$D$27,0)),INDEX('Residual Config'!$B$28:$D$30,IF(T620=1,1,IF(T620=4,3,2)),MATCH(D620,'Residual Config'!$B$27:$D$27,0)))))</f>
        <v>46453</v>
      </c>
      <c r="Z620" s="7" t="str">
        <f aca="false">IF(I620="N/A","N/A",IF(N620="","Not tested",IF(W620="Rejected","Evidence rejected",IF(W620&lt;&gt;"Accepted","Evidence pending",IF(Y620&lt;'Residual Config'!$C$4,"Overdue","Current")))))</f>
        <v>Current</v>
      </c>
      <c r="AA620" s="34" t="n">
        <f aca="false">IF(I620="N/A","",IF(Z620&lt;&gt;"Current",4,IF(MAX(M620,T620)=0,4,MAX(M620,T620))))</f>
        <v>2</v>
      </c>
      <c r="AB620" s="7" t="str">
        <f aca="false">IF(AA620="","N/A",IF(Z620&lt;&gt;"Current","Not tested / overdue",INDEX('Residual Config'!$B$11:$B$14,AA620)))</f>
        <v>Largely effective</v>
      </c>
      <c r="AC620" s="36" t="n">
        <f aca="false">IF(AA620="","",INDEX('Residual Config'!$D$11:$D$14,AA620))</f>
        <v>0.4</v>
      </c>
      <c r="AD620" s="7" t="str">
        <f aca="false">IF(OR(I620="N/A",P620="",Q620=""),"",IF(P620&gt;=Q620,"Yes","No"))</f>
        <v>Yes</v>
      </c>
      <c r="AE620" s="8"/>
    </row>
    <row r="621" customFormat="false" ht="15" hidden="false" customHeight="false" outlineLevel="0" collapsed="false">
      <c r="A621" s="12" t="s">
        <v>2268</v>
      </c>
      <c r="B621" s="26" t="str">
        <f aca="false">Entities!$A$19</f>
        <v>IQ</v>
      </c>
      <c r="C621" s="12" t="str">
        <f aca="false">INDEX(Entities!$B$5:$B$34,MATCH(B621,Entities!$A$5:$A$34,0))</f>
        <v>Arab Bank Iraq</v>
      </c>
      <c r="D621" s="7" t="str">
        <f aca="false">INDEX(Entities!$F$5:$F$34,MATCH(B621,Entities!$A$5:$A$34,0))</f>
        <v>Tier 2</v>
      </c>
      <c r="E621" s="26" t="str">
        <f aca="false">'Control Library'!$A$19</f>
        <v>CTL-CB-01</v>
      </c>
      <c r="F621" s="12" t="str">
        <f aca="false">INDEX('Control Library'!$B$5:$B$47,MATCH(E621,'Control Library'!$A$5:$A$47,0))</f>
        <v>Correspondent bank due diligence (CBDDQ) and nesting detection</v>
      </c>
      <c r="G621" s="7" t="str">
        <f aca="false">INDEX('Control Library'!$F$5:$F$47,MATCH(E621,'Control Library'!$A$5:$A$47,0))</f>
        <v>Y</v>
      </c>
      <c r="H621" s="12" t="str">
        <f aca="false">INDEX('Control Library'!$E$5:$E$47,MATCH(E621,'Control Library'!$A$5:$A$47,0))</f>
        <v>Annual</v>
      </c>
      <c r="I621" s="7" t="str">
        <f aca="false">IF(INDEX('Control Library'!$I$5:$I$47,MATCH(E621,'Control Library'!$A$5:$A$47,0))="All","Y",IF(INDEX('Control Library'!$I$5:$I$47,MATCH(E621,'Control Library'!$A$5:$A$47,0))="Banks only",IF(COUNTIF('Residual Config'!$L$28:$L$30,INDEX(Entities!$E$5:$E$34,MATCH(B621,Entities!$A$5:$A$34,0)))&gt;0,"N/A","Y"),IF(INDEX(Entities!$G$5:$G$34,MATCH(B621,Entities!$A$5:$A$34,0))="Y","Y","N/A")))</f>
        <v>Y</v>
      </c>
      <c r="J621" s="8" t="s">
        <v>2269</v>
      </c>
      <c r="K621" s="8" t="s">
        <v>2235</v>
      </c>
      <c r="L621" s="7" t="str">
        <f aca="false">IF(OR(J621="",K621=""),"",IF(J621=K621,"Breach","OK"))</f>
        <v>OK</v>
      </c>
      <c r="M621" s="24" t="n">
        <v>2</v>
      </c>
      <c r="N621" s="50" t="n">
        <v>46259</v>
      </c>
      <c r="O621" s="8" t="s">
        <v>545</v>
      </c>
      <c r="P621" s="24" t="n">
        <v>1</v>
      </c>
      <c r="Q621" s="31" t="n">
        <f aca="false">IF(I621="N/A","",IFERROR(INDEX('Residual Config'!$B$35:$B$42,MATCH(H621,'Residual Config'!$A$35:$A$42,0)),""))</f>
        <v>1</v>
      </c>
      <c r="R621" s="24" t="n">
        <v>1</v>
      </c>
      <c r="S621" s="8" t="s">
        <v>524</v>
      </c>
      <c r="T621" s="31" t="n">
        <f aca="false">IF(S621="","",MATCH(S621,'Residual Config'!$L$9:$L$12,0))</f>
        <v>3</v>
      </c>
      <c r="U621" s="8" t="s">
        <v>2270</v>
      </c>
      <c r="V621" s="24" t="n">
        <v>4</v>
      </c>
      <c r="W621" s="33" t="s">
        <v>533</v>
      </c>
      <c r="X621" s="8" t="s">
        <v>760</v>
      </c>
      <c r="Y621" s="51" t="n">
        <f aca="false">IF(N621="","",EDATE(N621,IF(G621="N",INDEX('Residual Config'!$B$31:$D$31,1,MATCH(D621,'Residual Config'!$B$27:$D$27,0)),INDEX('Residual Config'!$B$28:$D$30,IF(T621=1,1,IF(T621=4,3,2)),MATCH(D621,'Residual Config'!$B$27:$D$27,0)))))</f>
        <v>46443</v>
      </c>
      <c r="Z621" s="7" t="str">
        <f aca="false">IF(I621="N/A","N/A",IF(N621="","Not tested",IF(W621="Rejected","Evidence rejected",IF(W621&lt;&gt;"Accepted","Evidence pending",IF(Y621&lt;'Residual Config'!$C$4,"Overdue","Current")))))</f>
        <v>Current</v>
      </c>
      <c r="AA621" s="34" t="n">
        <f aca="false">IF(I621="N/A","",IF(Z621&lt;&gt;"Current",4,IF(MAX(M621,T621)=0,4,MAX(M621,T621))))</f>
        <v>3</v>
      </c>
      <c r="AB621" s="7" t="str">
        <f aca="false">IF(AA621="","N/A",IF(Z621&lt;&gt;"Current","Not tested / overdue",INDEX('Residual Config'!$B$11:$B$14,AA621)))</f>
        <v>Partially effective</v>
      </c>
      <c r="AC621" s="36" t="n">
        <f aca="false">IF(AA621="","",INDEX('Residual Config'!$D$11:$D$14,AA621))</f>
        <v>0.2</v>
      </c>
      <c r="AD621" s="7" t="str">
        <f aca="false">IF(OR(I621="N/A",P621="",Q621=""),"",IF(P621&gt;=Q621,"Yes","No"))</f>
        <v>Yes</v>
      </c>
      <c r="AE621" s="8"/>
    </row>
    <row r="622" customFormat="false" ht="15" hidden="false" customHeight="false" outlineLevel="0" collapsed="false">
      <c r="A622" s="12" t="s">
        <v>2271</v>
      </c>
      <c r="B622" s="26" t="str">
        <f aca="false">Entities!$A$19</f>
        <v>IQ</v>
      </c>
      <c r="C622" s="12" t="str">
        <f aca="false">INDEX(Entities!$B$5:$B$34,MATCH(B622,Entities!$A$5:$A$34,0))</f>
        <v>Arab Bank Iraq</v>
      </c>
      <c r="D622" s="7" t="str">
        <f aca="false">INDEX(Entities!$F$5:$F$34,MATCH(B622,Entities!$A$5:$A$34,0))</f>
        <v>Tier 2</v>
      </c>
      <c r="E622" s="26" t="str">
        <f aca="false">'Control Library'!$A$20</f>
        <v>CTL-PAY-01</v>
      </c>
      <c r="F622" s="12" t="str">
        <f aca="false">INDEX('Control Library'!$B$5:$B$47,MATCH(E622,'Control Library'!$A$5:$A$47,0))</f>
        <v>Payment transparency checks (FATF R.16)</v>
      </c>
      <c r="G622" s="7" t="str">
        <f aca="false">INDEX('Control Library'!$F$5:$F$47,MATCH(E622,'Control Library'!$A$5:$A$47,0))</f>
        <v>N</v>
      </c>
      <c r="H622" s="12" t="str">
        <f aca="false">INDEX('Control Library'!$E$5:$E$47,MATCH(E622,'Control Library'!$A$5:$A$47,0))</f>
        <v>Continuous</v>
      </c>
      <c r="I622" s="7" t="str">
        <f aca="false">IF(INDEX('Control Library'!$I$5:$I$47,MATCH(E622,'Control Library'!$A$5:$A$47,0))="All","Y",IF(INDEX('Control Library'!$I$5:$I$47,MATCH(E622,'Control Library'!$A$5:$A$47,0))="Banks only",IF(COUNTIF('Residual Config'!$L$28:$L$30,INDEX(Entities!$E$5:$E$34,MATCH(B622,Entities!$A$5:$A$34,0)))&gt;0,"N/A","Y"),IF(INDEX(Entities!$G$5:$G$34,MATCH(B622,Entities!$A$5:$A$34,0))="Y","Y","N/A")))</f>
        <v>Y</v>
      </c>
      <c r="J622" s="8" t="s">
        <v>2272</v>
      </c>
      <c r="K622" s="8" t="s">
        <v>2235</v>
      </c>
      <c r="L622" s="7" t="str">
        <f aca="false">IF(OR(J622="",K622=""),"",IF(J622=K622,"Breach","OK"))</f>
        <v>OK</v>
      </c>
      <c r="M622" s="24" t="n">
        <v>2</v>
      </c>
      <c r="N622" s="50" t="n">
        <v>45979</v>
      </c>
      <c r="O622" s="8" t="s">
        <v>546</v>
      </c>
      <c r="P622" s="24" t="n">
        <v>1</v>
      </c>
      <c r="Q622" s="31" t="n">
        <f aca="false">IF(I622="N/A","",IFERROR(INDEX('Residual Config'!$B$35:$B$42,MATCH(H622,'Residual Config'!$A$35:$A$42,0)),""))</f>
        <v>1</v>
      </c>
      <c r="R622" s="24" t="n">
        <v>1</v>
      </c>
      <c r="S622" s="8" t="s">
        <v>521</v>
      </c>
      <c r="T622" s="31" t="n">
        <f aca="false">IF(S622="","",MATCH(S622,'Residual Config'!$L$9:$L$12,0))</f>
        <v>2</v>
      </c>
      <c r="U622" s="8" t="s">
        <v>2273</v>
      </c>
      <c r="V622" s="24" t="n">
        <v>2</v>
      </c>
      <c r="W622" s="33" t="s">
        <v>533</v>
      </c>
      <c r="X622" s="8" t="s">
        <v>754</v>
      </c>
      <c r="Y622" s="51" t="n">
        <f aca="false">IF(N622="","",EDATE(N622,IF(G622="N",INDEX('Residual Config'!$B$31:$D$31,1,MATCH(D622,'Residual Config'!$B$27:$D$27,0)),INDEX('Residual Config'!$B$28:$D$30,IF(T622=1,1,IF(T622=4,3,2)),MATCH(D622,'Residual Config'!$B$27:$D$27,0)))))</f>
        <v>46344</v>
      </c>
      <c r="Z622" s="7" t="str">
        <f aca="false">IF(I622="N/A","N/A",IF(N622="","Not tested",IF(W622="Rejected","Evidence rejected",IF(W622&lt;&gt;"Accepted","Evidence pending",IF(Y622&lt;'Residual Config'!$C$4,"Overdue","Current")))))</f>
        <v>Current</v>
      </c>
      <c r="AA622" s="34" t="n">
        <f aca="false">IF(I622="N/A","",IF(Z622&lt;&gt;"Current",4,IF(MAX(M622,T622)=0,4,MAX(M622,T622))))</f>
        <v>2</v>
      </c>
      <c r="AB622" s="7" t="str">
        <f aca="false">IF(AA622="","N/A",IF(Z622&lt;&gt;"Current","Not tested / overdue",INDEX('Residual Config'!$B$11:$B$14,AA622)))</f>
        <v>Largely effective</v>
      </c>
      <c r="AC622" s="36" t="n">
        <f aca="false">IF(AA622="","",INDEX('Residual Config'!$D$11:$D$14,AA622))</f>
        <v>0.4</v>
      </c>
      <c r="AD622" s="7" t="str">
        <f aca="false">IF(OR(I622="N/A",P622="",Q622=""),"",IF(P622&gt;=Q622,"Yes","No"))</f>
        <v>Yes</v>
      </c>
      <c r="AE622" s="8"/>
    </row>
    <row r="623" customFormat="false" ht="15" hidden="false" customHeight="false" outlineLevel="0" collapsed="false">
      <c r="A623" s="12" t="s">
        <v>2274</v>
      </c>
      <c r="B623" s="26" t="str">
        <f aca="false">Entities!$A$19</f>
        <v>IQ</v>
      </c>
      <c r="C623" s="12" t="str">
        <f aca="false">INDEX(Entities!$B$5:$B$34,MATCH(B623,Entities!$A$5:$A$34,0))</f>
        <v>Arab Bank Iraq</v>
      </c>
      <c r="D623" s="7" t="str">
        <f aca="false">INDEX(Entities!$F$5:$F$34,MATCH(B623,Entities!$A$5:$A$34,0))</f>
        <v>Tier 2</v>
      </c>
      <c r="E623" s="26" t="str">
        <f aca="false">'Control Library'!$A$21</f>
        <v>CTL-ABC-01</v>
      </c>
      <c r="F623" s="12" t="str">
        <f aca="false">INDEX('Control Library'!$B$5:$B$47,MATCH(E623,'Control Library'!$A$5:$A$47,0))</f>
        <v>Third-party and intermediary anti-bribery due diligence</v>
      </c>
      <c r="G623" s="7" t="str">
        <f aca="false">INDEX('Control Library'!$F$5:$F$47,MATCH(E623,'Control Library'!$A$5:$A$47,0))</f>
        <v>Y</v>
      </c>
      <c r="H623" s="12" t="str">
        <f aca="false">INDEX('Control Library'!$E$5:$E$47,MATCH(E623,'Control Library'!$A$5:$A$47,0))</f>
        <v>Event-driven</v>
      </c>
      <c r="I623" s="7" t="str">
        <f aca="false">IF(INDEX('Control Library'!$I$5:$I$47,MATCH(E623,'Control Library'!$A$5:$A$47,0))="All","Y",IF(INDEX('Control Library'!$I$5:$I$47,MATCH(E623,'Control Library'!$A$5:$A$47,0))="Banks only",IF(COUNTIF('Residual Config'!$L$28:$L$30,INDEX(Entities!$E$5:$E$34,MATCH(B623,Entities!$A$5:$A$34,0)))&gt;0,"N/A","Y"),IF(INDEX(Entities!$G$5:$G$34,MATCH(B623,Entities!$A$5:$A$34,0))="Y","Y","N/A")))</f>
        <v>Y</v>
      </c>
      <c r="J623" s="8" t="s">
        <v>2275</v>
      </c>
      <c r="K623" s="8" t="s">
        <v>2235</v>
      </c>
      <c r="L623" s="7" t="str">
        <f aca="false">IF(OR(J623="",K623=""),"",IF(J623=K623,"Breach","OK"))</f>
        <v>OK</v>
      </c>
      <c r="M623" s="24" t="n">
        <v>2</v>
      </c>
      <c r="N623" s="50" t="n">
        <v>46169</v>
      </c>
      <c r="O623" s="8" t="s">
        <v>545</v>
      </c>
      <c r="P623" s="24" t="n">
        <v>35</v>
      </c>
      <c r="Q623" s="31" t="n">
        <f aca="false">IF(I623="N/A","",IFERROR(INDEX('Residual Config'!$B$35:$B$42,MATCH(H623,'Residual Config'!$A$35:$A$42,0)),""))</f>
        <v>25</v>
      </c>
      <c r="R623" s="24" t="n">
        <v>2</v>
      </c>
      <c r="S623" s="8" t="s">
        <v>524</v>
      </c>
      <c r="T623" s="31" t="n">
        <f aca="false">IF(S623="","",MATCH(S623,'Residual Config'!$L$9:$L$12,0))</f>
        <v>3</v>
      </c>
      <c r="U623" s="8" t="s">
        <v>2276</v>
      </c>
      <c r="V623" s="24" t="n">
        <v>3</v>
      </c>
      <c r="W623" s="33" t="s">
        <v>533</v>
      </c>
      <c r="X623" s="8" t="s">
        <v>760</v>
      </c>
      <c r="Y623" s="51" t="n">
        <f aca="false">IF(N623="","",EDATE(N623,IF(G623="N",INDEX('Residual Config'!$B$31:$D$31,1,MATCH(D623,'Residual Config'!$B$27:$D$27,0)),INDEX('Residual Config'!$B$28:$D$30,IF(T623=1,1,IF(T623=4,3,2)),MATCH(D623,'Residual Config'!$B$27:$D$27,0)))))</f>
        <v>46353</v>
      </c>
      <c r="Z623" s="7" t="str">
        <f aca="false">IF(I623="N/A","N/A",IF(N623="","Not tested",IF(W623="Rejected","Evidence rejected",IF(W623&lt;&gt;"Accepted","Evidence pending",IF(Y623&lt;'Residual Config'!$C$4,"Overdue","Current")))))</f>
        <v>Current</v>
      </c>
      <c r="AA623" s="34" t="n">
        <f aca="false">IF(I623="N/A","",IF(Z623&lt;&gt;"Current",4,IF(MAX(M623,T623)=0,4,MAX(M623,T623))))</f>
        <v>3</v>
      </c>
      <c r="AB623" s="7" t="str">
        <f aca="false">IF(AA623="","N/A",IF(Z623&lt;&gt;"Current","Not tested / overdue",INDEX('Residual Config'!$B$11:$B$14,AA623)))</f>
        <v>Partially effective</v>
      </c>
      <c r="AC623" s="36" t="n">
        <f aca="false">IF(AA623="","",INDEX('Residual Config'!$D$11:$D$14,AA623))</f>
        <v>0.2</v>
      </c>
      <c r="AD623" s="7" t="str">
        <f aca="false">IF(OR(I623="N/A",P623="",Q623=""),"",IF(P623&gt;=Q623,"Yes","No"))</f>
        <v>Yes</v>
      </c>
      <c r="AE623" s="8"/>
    </row>
    <row r="624" customFormat="false" ht="15" hidden="false" customHeight="false" outlineLevel="0" collapsed="false">
      <c r="A624" s="12" t="s">
        <v>2277</v>
      </c>
      <c r="B624" s="26" t="str">
        <f aca="false">Entities!$A$19</f>
        <v>IQ</v>
      </c>
      <c r="C624" s="12" t="str">
        <f aca="false">INDEX(Entities!$B$5:$B$34,MATCH(B624,Entities!$A$5:$A$34,0))</f>
        <v>Arab Bank Iraq</v>
      </c>
      <c r="D624" s="7" t="str">
        <f aca="false">INDEX(Entities!$F$5:$F$34,MATCH(B624,Entities!$A$5:$A$34,0))</f>
        <v>Tier 2</v>
      </c>
      <c r="E624" s="26" t="str">
        <f aca="false">'Control Library'!$A$22</f>
        <v>CTL-ABC-02</v>
      </c>
      <c r="F624" s="12" t="str">
        <f aca="false">INDEX('Control Library'!$B$5:$B$47,MATCH(E624,'Control Library'!$A$5:$A$47,0))</f>
        <v>Gifts, hospitality and donations register with pre-approval</v>
      </c>
      <c r="G624" s="7" t="str">
        <f aca="false">INDEX('Control Library'!$F$5:$F$47,MATCH(E624,'Control Library'!$A$5:$A$47,0))</f>
        <v>N</v>
      </c>
      <c r="H624" s="12" t="str">
        <f aca="false">INDEX('Control Library'!$E$5:$E$47,MATCH(E624,'Control Library'!$A$5:$A$47,0))</f>
        <v>Event-driven</v>
      </c>
      <c r="I624" s="7" t="str">
        <f aca="false">IF(INDEX('Control Library'!$I$5:$I$47,MATCH(E624,'Control Library'!$A$5:$A$47,0))="All","Y",IF(INDEX('Control Library'!$I$5:$I$47,MATCH(E624,'Control Library'!$A$5:$A$47,0))="Banks only",IF(COUNTIF('Residual Config'!$L$28:$L$30,INDEX(Entities!$E$5:$E$34,MATCH(B624,Entities!$A$5:$A$34,0)))&gt;0,"N/A","Y"),IF(INDEX(Entities!$G$5:$G$34,MATCH(B624,Entities!$A$5:$A$34,0))="Y","Y","N/A")))</f>
        <v>Y</v>
      </c>
      <c r="J624" s="8" t="s">
        <v>2238</v>
      </c>
      <c r="K624" s="8" t="s">
        <v>2235</v>
      </c>
      <c r="L624" s="7" t="str">
        <f aca="false">IF(OR(J624="",K624=""),"",IF(J624=K624,"Breach","OK"))</f>
        <v>OK</v>
      </c>
      <c r="M624" s="24" t="n">
        <v>1</v>
      </c>
      <c r="N624" s="50" t="n">
        <v>46287</v>
      </c>
      <c r="O624" s="8" t="s">
        <v>545</v>
      </c>
      <c r="P624" s="24" t="n">
        <v>25</v>
      </c>
      <c r="Q624" s="31" t="n">
        <f aca="false">IF(I624="N/A","",IFERROR(INDEX('Residual Config'!$B$35:$B$42,MATCH(H624,'Residual Config'!$A$35:$A$42,0)),""))</f>
        <v>25</v>
      </c>
      <c r="R624" s="24" t="n">
        <v>0</v>
      </c>
      <c r="S624" s="8" t="s">
        <v>516</v>
      </c>
      <c r="T624" s="31" t="n">
        <f aca="false">IF(S624="","",MATCH(S624,'Residual Config'!$L$9:$L$12,0))</f>
        <v>1</v>
      </c>
      <c r="U624" s="8" t="s">
        <v>2278</v>
      </c>
      <c r="V624" s="24" t="n">
        <v>6</v>
      </c>
      <c r="W624" s="33" t="s">
        <v>533</v>
      </c>
      <c r="X624" s="8" t="s">
        <v>760</v>
      </c>
      <c r="Y624" s="51" t="n">
        <f aca="false">IF(N624="","",EDATE(N624,IF(G624="N",INDEX('Residual Config'!$B$31:$D$31,1,MATCH(D624,'Residual Config'!$B$27:$D$27,0)),INDEX('Residual Config'!$B$28:$D$30,IF(T624=1,1,IF(T624=4,3,2)),MATCH(D624,'Residual Config'!$B$27:$D$27,0)))))</f>
        <v>46652</v>
      </c>
      <c r="Z624" s="7" t="str">
        <f aca="false">IF(I624="N/A","N/A",IF(N624="","Not tested",IF(W624="Rejected","Evidence rejected",IF(W624&lt;&gt;"Accepted","Evidence pending",IF(Y624&lt;'Residual Config'!$C$4,"Overdue","Current")))))</f>
        <v>Current</v>
      </c>
      <c r="AA624" s="34" t="n">
        <f aca="false">IF(I624="N/A","",IF(Z624&lt;&gt;"Current",4,IF(MAX(M624,T624)=0,4,MAX(M624,T624))))</f>
        <v>1</v>
      </c>
      <c r="AB624" s="7" t="str">
        <f aca="false">IF(AA624="","N/A",IF(Z624&lt;&gt;"Current","Not tested / overdue",INDEX('Residual Config'!$B$11:$B$14,AA624)))</f>
        <v>Effective</v>
      </c>
      <c r="AC624" s="36" t="n">
        <f aca="false">IF(AA624="","",INDEX('Residual Config'!$D$11:$D$14,AA624))</f>
        <v>0.6</v>
      </c>
      <c r="AD624" s="7" t="str">
        <f aca="false">IF(OR(I624="N/A",P624="",Q624=""),"",IF(P624&gt;=Q624,"Yes","No"))</f>
        <v>Yes</v>
      </c>
      <c r="AE624" s="8"/>
    </row>
    <row r="625" customFormat="false" ht="15" hidden="false" customHeight="false" outlineLevel="0" collapsed="false">
      <c r="A625" s="12" t="s">
        <v>2279</v>
      </c>
      <c r="B625" s="26" t="str">
        <f aca="false">Entities!$A$19</f>
        <v>IQ</v>
      </c>
      <c r="C625" s="12" t="str">
        <f aca="false">INDEX(Entities!$B$5:$B$34,MATCH(B625,Entities!$A$5:$A$34,0))</f>
        <v>Arab Bank Iraq</v>
      </c>
      <c r="D625" s="7" t="str">
        <f aca="false">INDEX(Entities!$F$5:$F$34,MATCH(B625,Entities!$A$5:$A$34,0))</f>
        <v>Tier 2</v>
      </c>
      <c r="E625" s="26" t="str">
        <f aca="false">'Control Library'!$A$23</f>
        <v>CTL-FRD-01</v>
      </c>
      <c r="F625" s="12" t="str">
        <f aca="false">INDEX('Control Library'!$B$5:$B$47,MATCH(E625,'Control Library'!$A$5:$A$47,0))</f>
        <v>Real-time fraud monitoring for cards and digital channels</v>
      </c>
      <c r="G625" s="7" t="str">
        <f aca="false">INDEX('Control Library'!$F$5:$F$47,MATCH(E625,'Control Library'!$A$5:$A$47,0))</f>
        <v>Y</v>
      </c>
      <c r="H625" s="12" t="str">
        <f aca="false">INDEX('Control Library'!$E$5:$E$47,MATCH(E625,'Control Library'!$A$5:$A$47,0))</f>
        <v>Continuous</v>
      </c>
      <c r="I625" s="7" t="str">
        <f aca="false">IF(INDEX('Control Library'!$I$5:$I$47,MATCH(E625,'Control Library'!$A$5:$A$47,0))="All","Y",IF(INDEX('Control Library'!$I$5:$I$47,MATCH(E625,'Control Library'!$A$5:$A$47,0))="Banks only",IF(COUNTIF('Residual Config'!$L$28:$L$30,INDEX(Entities!$E$5:$E$34,MATCH(B625,Entities!$A$5:$A$34,0)))&gt;0,"N/A","Y"),IF(INDEX(Entities!$G$5:$G$34,MATCH(B625,Entities!$A$5:$A$34,0))="Y","Y","N/A")))</f>
        <v>Y</v>
      </c>
      <c r="J625" s="8" t="s">
        <v>2280</v>
      </c>
      <c r="K625" s="8" t="s">
        <v>2235</v>
      </c>
      <c r="L625" s="7" t="str">
        <f aca="false">IF(OR(J625="",K625=""),"",IF(J625=K625,"Breach","OK"))</f>
        <v>OK</v>
      </c>
      <c r="M625" s="24" t="n">
        <v>1</v>
      </c>
      <c r="N625" s="50" t="n">
        <v>46196</v>
      </c>
      <c r="O625" s="8" t="s">
        <v>546</v>
      </c>
      <c r="P625" s="24" t="n">
        <v>1</v>
      </c>
      <c r="Q625" s="31" t="n">
        <f aca="false">IF(I625="N/A","",IFERROR(INDEX('Residual Config'!$B$35:$B$42,MATCH(H625,'Residual Config'!$A$35:$A$42,0)),""))</f>
        <v>1</v>
      </c>
      <c r="R625" s="24" t="n">
        <v>1</v>
      </c>
      <c r="S625" s="8" t="s">
        <v>521</v>
      </c>
      <c r="T625" s="31" t="n">
        <f aca="false">IF(S625="","",MATCH(S625,'Residual Config'!$L$9:$L$12,0))</f>
        <v>2</v>
      </c>
      <c r="U625" s="8" t="s">
        <v>2281</v>
      </c>
      <c r="V625" s="24" t="n">
        <v>3</v>
      </c>
      <c r="W625" s="33" t="s">
        <v>533</v>
      </c>
      <c r="X625" s="8" t="s">
        <v>754</v>
      </c>
      <c r="Y625" s="51" t="n">
        <f aca="false">IF(N625="","",EDATE(N625,IF(G625="N",INDEX('Residual Config'!$B$31:$D$31,1,MATCH(D625,'Residual Config'!$B$27:$D$27,0)),INDEX('Residual Config'!$B$28:$D$30,IF(T625=1,1,IF(T625=4,3,2)),MATCH(D625,'Residual Config'!$B$27:$D$27,0)))))</f>
        <v>46379</v>
      </c>
      <c r="Z625" s="7" t="str">
        <f aca="false">IF(I625="N/A","N/A",IF(N625="","Not tested",IF(W625="Rejected","Evidence rejected",IF(W625&lt;&gt;"Accepted","Evidence pending",IF(Y625&lt;'Residual Config'!$C$4,"Overdue","Current")))))</f>
        <v>Current</v>
      </c>
      <c r="AA625" s="34" t="n">
        <f aca="false">IF(I625="N/A","",IF(Z625&lt;&gt;"Current",4,IF(MAX(M625,T625)=0,4,MAX(M625,T625))))</f>
        <v>2</v>
      </c>
      <c r="AB625" s="7" t="str">
        <f aca="false">IF(AA625="","N/A",IF(Z625&lt;&gt;"Current","Not tested / overdue",INDEX('Residual Config'!$B$11:$B$14,AA625)))</f>
        <v>Largely effective</v>
      </c>
      <c r="AC625" s="36" t="n">
        <f aca="false">IF(AA625="","",INDEX('Residual Config'!$D$11:$D$14,AA625))</f>
        <v>0.4</v>
      </c>
      <c r="AD625" s="7" t="str">
        <f aca="false">IF(OR(I625="N/A",P625="",Q625=""),"",IF(P625&gt;=Q625,"Yes","No"))</f>
        <v>Yes</v>
      </c>
      <c r="AE625" s="8"/>
    </row>
    <row r="626" customFormat="false" ht="15" hidden="false" customHeight="false" outlineLevel="0" collapsed="false">
      <c r="A626" s="12" t="s">
        <v>2282</v>
      </c>
      <c r="B626" s="26" t="str">
        <f aca="false">Entities!$A$19</f>
        <v>IQ</v>
      </c>
      <c r="C626" s="12" t="str">
        <f aca="false">INDEX(Entities!$B$5:$B$34,MATCH(B626,Entities!$A$5:$A$34,0))</f>
        <v>Arab Bank Iraq</v>
      </c>
      <c r="D626" s="7" t="str">
        <f aca="false">INDEX(Entities!$F$5:$F$34,MATCH(B626,Entities!$A$5:$A$34,0))</f>
        <v>Tier 2</v>
      </c>
      <c r="E626" s="26" t="str">
        <f aca="false">'Control Library'!$A$24</f>
        <v>CTL-FRD-02</v>
      </c>
      <c r="F626" s="12" t="str">
        <f aca="false">INDEX('Control Library'!$B$5:$B$47,MATCH(E626,'Control Library'!$A$5:$A$47,0))</f>
        <v>Maker-checker and dual control on payments and static data</v>
      </c>
      <c r="G626" s="7" t="str">
        <f aca="false">INDEX('Control Library'!$F$5:$F$47,MATCH(E626,'Control Library'!$A$5:$A$47,0))</f>
        <v>Y</v>
      </c>
      <c r="H626" s="12" t="str">
        <f aca="false">INDEX('Control Library'!$E$5:$E$47,MATCH(E626,'Control Library'!$A$5:$A$47,0))</f>
        <v>Daily</v>
      </c>
      <c r="I626" s="7" t="str">
        <f aca="false">IF(INDEX('Control Library'!$I$5:$I$47,MATCH(E626,'Control Library'!$A$5:$A$47,0))="All","Y",IF(INDEX('Control Library'!$I$5:$I$47,MATCH(E626,'Control Library'!$A$5:$A$47,0))="Banks only",IF(COUNTIF('Residual Config'!$L$28:$L$30,INDEX(Entities!$E$5:$E$34,MATCH(B626,Entities!$A$5:$A$34,0)))&gt;0,"N/A","Y"),IF(INDEX(Entities!$G$5:$G$34,MATCH(B626,Entities!$A$5:$A$34,0))="Y","Y","N/A")))</f>
        <v>Y</v>
      </c>
      <c r="J626" s="8" t="s">
        <v>2234</v>
      </c>
      <c r="K626" s="8" t="s">
        <v>2235</v>
      </c>
      <c r="L626" s="7" t="str">
        <f aca="false">IF(OR(J626="",K626=""),"",IF(J626=K626,"Breach","OK"))</f>
        <v>OK</v>
      </c>
      <c r="M626" s="24" t="n">
        <v>2</v>
      </c>
      <c r="N626" s="50"/>
      <c r="O626" s="8"/>
      <c r="P626" s="24"/>
      <c r="Q626" s="31" t="n">
        <f aca="false">IF(I626="N/A","",IFERROR(INDEX('Residual Config'!$B$35:$B$42,MATCH(H626,'Residual Config'!$A$35:$A$42,0)),""))</f>
        <v>25</v>
      </c>
      <c r="R626" s="24"/>
      <c r="S626" s="8"/>
      <c r="T626" s="31" t="str">
        <f aca="false">IF(S626="","",MATCH(S626,'Residual Config'!$L$9:$L$12,0))</f>
        <v/>
      </c>
      <c r="U626" s="8"/>
      <c r="V626" s="24"/>
      <c r="W626" s="33"/>
      <c r="X626" s="8"/>
      <c r="Y626" s="51" t="str">
        <f aca="false">IF(N626="","",EDATE(N626,IF(G626="N",INDEX('Residual Config'!$B$31:$D$31,1,MATCH(D626,'Residual Config'!$B$27:$D$27,0)),INDEX('Residual Config'!$B$28:$D$30,IF(T626=1,1,IF(T626=4,3,2)),MATCH(D626,'Residual Config'!$B$27:$D$27,0)))))</f>
        <v/>
      </c>
      <c r="Z626" s="7" t="str">
        <f aca="false">IF(I626="N/A","N/A",IF(N626="","Not tested",IF(W626="Rejected","Evidence rejected",IF(W626&lt;&gt;"Accepted","Evidence pending",IF(Y626&lt;'Residual Config'!$C$4,"Overdue","Current")))))</f>
        <v>Not tested</v>
      </c>
      <c r="AA626" s="34" t="n">
        <f aca="false">IF(I626="N/A","",IF(Z626&lt;&gt;"Current",4,IF(MAX(M626,T626)=0,4,MAX(M626,T626))))</f>
        <v>4</v>
      </c>
      <c r="AB626" s="7" t="str">
        <f aca="false">IF(AA626="","N/A",IF(Z626&lt;&gt;"Current","Not tested / overdue",INDEX('Residual Config'!$B$11:$B$14,AA626)))</f>
        <v>Not tested / overdue</v>
      </c>
      <c r="AC626" s="36" t="n">
        <f aca="false">IF(AA626="","",INDEX('Residual Config'!$D$11:$D$14,AA626))</f>
        <v>0</v>
      </c>
      <c r="AD626" s="7" t="str">
        <f aca="false">IF(OR(I626="N/A",P626="",Q626=""),"",IF(P626&gt;=Q626,"Yes","No"))</f>
        <v/>
      </c>
      <c r="AE626" s="8"/>
    </row>
    <row r="627" customFormat="false" ht="15" hidden="false" customHeight="false" outlineLevel="0" collapsed="false">
      <c r="A627" s="12" t="s">
        <v>2283</v>
      </c>
      <c r="B627" s="26" t="str">
        <f aca="false">Entities!$A$19</f>
        <v>IQ</v>
      </c>
      <c r="C627" s="12" t="str">
        <f aca="false">INDEX(Entities!$B$5:$B$34,MATCH(B627,Entities!$A$5:$A$34,0))</f>
        <v>Arab Bank Iraq</v>
      </c>
      <c r="D627" s="7" t="str">
        <f aca="false">INDEX(Entities!$F$5:$F$34,MATCH(B627,Entities!$A$5:$A$34,0))</f>
        <v>Tier 2</v>
      </c>
      <c r="E627" s="26" t="str">
        <f aca="false">'Control Library'!$A$25</f>
        <v>CTL-FRD-03</v>
      </c>
      <c r="F627" s="12" t="str">
        <f aca="false">INDEX('Control Library'!$B$5:$B$47,MATCH(E627,'Control Library'!$A$5:$A$47,0))</f>
        <v>Mandatory consecutive leave and rotation for sensitive roles</v>
      </c>
      <c r="G627" s="7" t="str">
        <f aca="false">INDEX('Control Library'!$F$5:$F$47,MATCH(E627,'Control Library'!$A$5:$A$47,0))</f>
        <v>N</v>
      </c>
      <c r="H627" s="12" t="str">
        <f aca="false">INDEX('Control Library'!$E$5:$E$47,MATCH(E627,'Control Library'!$A$5:$A$47,0))</f>
        <v>Annual</v>
      </c>
      <c r="I627" s="7" t="str">
        <f aca="false">IF(INDEX('Control Library'!$I$5:$I$47,MATCH(E627,'Control Library'!$A$5:$A$47,0))="All","Y",IF(INDEX('Control Library'!$I$5:$I$47,MATCH(E627,'Control Library'!$A$5:$A$47,0))="Banks only",IF(COUNTIF('Residual Config'!$L$28:$L$30,INDEX(Entities!$E$5:$E$34,MATCH(B627,Entities!$A$5:$A$34,0)))&gt;0,"N/A","Y"),IF(INDEX(Entities!$G$5:$G$34,MATCH(B627,Entities!$A$5:$A$34,0))="Y","Y","N/A")))</f>
        <v>Y</v>
      </c>
      <c r="J627" s="8" t="s">
        <v>2284</v>
      </c>
      <c r="K627" s="8" t="s">
        <v>2235</v>
      </c>
      <c r="L627" s="7" t="str">
        <f aca="false">IF(OR(J627="",K627=""),"",IF(J627=K627,"Breach","OK"))</f>
        <v>OK</v>
      </c>
      <c r="M627" s="24" t="n">
        <v>2</v>
      </c>
      <c r="N627" s="50" t="n">
        <v>46121</v>
      </c>
      <c r="O627" s="8" t="s">
        <v>546</v>
      </c>
      <c r="P627" s="24" t="n">
        <v>1</v>
      </c>
      <c r="Q627" s="31" t="n">
        <f aca="false">IF(I627="N/A","",IFERROR(INDEX('Residual Config'!$B$35:$B$42,MATCH(H627,'Residual Config'!$A$35:$A$42,0)),""))</f>
        <v>1</v>
      </c>
      <c r="R627" s="24" t="n">
        <v>1</v>
      </c>
      <c r="S627" s="8" t="s">
        <v>521</v>
      </c>
      <c r="T627" s="31" t="n">
        <f aca="false">IF(S627="","",MATCH(S627,'Residual Config'!$L$9:$L$12,0))</f>
        <v>2</v>
      </c>
      <c r="U627" s="8" t="s">
        <v>2285</v>
      </c>
      <c r="V627" s="24" t="n">
        <v>3</v>
      </c>
      <c r="W627" s="33" t="s">
        <v>533</v>
      </c>
      <c r="X627" s="8" t="s">
        <v>754</v>
      </c>
      <c r="Y627" s="51" t="n">
        <f aca="false">IF(N627="","",EDATE(N627,IF(G627="N",INDEX('Residual Config'!$B$31:$D$31,1,MATCH(D627,'Residual Config'!$B$27:$D$27,0)),INDEX('Residual Config'!$B$28:$D$30,IF(T627=1,1,IF(T627=4,3,2)),MATCH(D627,'Residual Config'!$B$27:$D$27,0)))))</f>
        <v>46486</v>
      </c>
      <c r="Z627" s="7" t="str">
        <f aca="false">IF(I627="N/A","N/A",IF(N627="","Not tested",IF(W627="Rejected","Evidence rejected",IF(W627&lt;&gt;"Accepted","Evidence pending",IF(Y627&lt;'Residual Config'!$C$4,"Overdue","Current")))))</f>
        <v>Current</v>
      </c>
      <c r="AA627" s="34" t="n">
        <f aca="false">IF(I627="N/A","",IF(Z627&lt;&gt;"Current",4,IF(MAX(M627,T627)=0,4,MAX(M627,T627))))</f>
        <v>2</v>
      </c>
      <c r="AB627" s="7" t="str">
        <f aca="false">IF(AA627="","N/A",IF(Z627&lt;&gt;"Current","Not tested / overdue",INDEX('Residual Config'!$B$11:$B$14,AA627)))</f>
        <v>Largely effective</v>
      </c>
      <c r="AC627" s="36" t="n">
        <f aca="false">IF(AA627="","",INDEX('Residual Config'!$D$11:$D$14,AA627))</f>
        <v>0.4</v>
      </c>
      <c r="AD627" s="7" t="str">
        <f aca="false">IF(OR(I627="N/A",P627="",Q627=""),"",IF(P627&gt;=Q627,"Yes","No"))</f>
        <v>Yes</v>
      </c>
      <c r="AE627" s="8"/>
    </row>
    <row r="628" customFormat="false" ht="15" hidden="false" customHeight="false" outlineLevel="0" collapsed="false">
      <c r="A628" s="12" t="s">
        <v>2286</v>
      </c>
      <c r="B628" s="26" t="str">
        <f aca="false">Entities!$A$19</f>
        <v>IQ</v>
      </c>
      <c r="C628" s="12" t="str">
        <f aca="false">INDEX(Entities!$B$5:$B$34,MATCH(B628,Entities!$A$5:$A$34,0))</f>
        <v>Arab Bank Iraq</v>
      </c>
      <c r="D628" s="7" t="str">
        <f aca="false">INDEX(Entities!$F$5:$F$34,MATCH(B628,Entities!$A$5:$A$34,0))</f>
        <v>Tier 2</v>
      </c>
      <c r="E628" s="26" t="str">
        <f aca="false">'Control Library'!$A$26</f>
        <v>CTL-TAX-01</v>
      </c>
      <c r="F628" s="12" t="str">
        <f aca="false">INDEX('Control Library'!$B$5:$B$47,MATCH(E628,'Control Library'!$A$5:$A$47,0))</f>
        <v>FATCA/CRS self-certification and classification</v>
      </c>
      <c r="G628" s="7" t="str">
        <f aca="false">INDEX('Control Library'!$F$5:$F$47,MATCH(E628,'Control Library'!$A$5:$A$47,0))</f>
        <v>Y</v>
      </c>
      <c r="H628" s="12" t="str">
        <f aca="false">INDEX('Control Library'!$E$5:$E$47,MATCH(E628,'Control Library'!$A$5:$A$47,0))</f>
        <v>Event-driven</v>
      </c>
      <c r="I628" s="7" t="str">
        <f aca="false">IF(INDEX('Control Library'!$I$5:$I$47,MATCH(E628,'Control Library'!$A$5:$A$47,0))="All","Y",IF(INDEX('Control Library'!$I$5:$I$47,MATCH(E628,'Control Library'!$A$5:$A$47,0))="Banks only",IF(COUNTIF('Residual Config'!$L$28:$L$30,INDEX(Entities!$E$5:$E$34,MATCH(B628,Entities!$A$5:$A$34,0)))&gt;0,"N/A","Y"),IF(INDEX(Entities!$G$5:$G$34,MATCH(B628,Entities!$A$5:$A$34,0))="Y","Y","N/A")))</f>
        <v>Y</v>
      </c>
      <c r="J628" s="8" t="s">
        <v>2234</v>
      </c>
      <c r="K628" s="8" t="s">
        <v>2235</v>
      </c>
      <c r="L628" s="7" t="str">
        <f aca="false">IF(OR(J628="",K628=""),"",IF(J628=K628,"Breach","OK"))</f>
        <v>OK</v>
      </c>
      <c r="M628" s="24" t="n">
        <v>2</v>
      </c>
      <c r="N628" s="50" t="n">
        <v>46269</v>
      </c>
      <c r="O628" s="8" t="s">
        <v>545</v>
      </c>
      <c r="P628" s="24" t="n">
        <v>20</v>
      </c>
      <c r="Q628" s="31" t="n">
        <f aca="false">IF(I628="N/A","",IFERROR(INDEX('Residual Config'!$B$35:$B$42,MATCH(H628,'Residual Config'!$A$35:$A$42,0)),""))</f>
        <v>25</v>
      </c>
      <c r="R628" s="24" t="n">
        <v>2</v>
      </c>
      <c r="S628" s="8" t="s">
        <v>524</v>
      </c>
      <c r="T628" s="31" t="n">
        <f aca="false">IF(S628="","",MATCH(S628,'Residual Config'!$L$9:$L$12,0))</f>
        <v>3</v>
      </c>
      <c r="U628" s="8" t="s">
        <v>2287</v>
      </c>
      <c r="V628" s="24" t="n">
        <v>3</v>
      </c>
      <c r="W628" s="33" t="s">
        <v>533</v>
      </c>
      <c r="X628" s="8" t="s">
        <v>754</v>
      </c>
      <c r="Y628" s="51" t="n">
        <f aca="false">IF(N628="","",EDATE(N628,IF(G628="N",INDEX('Residual Config'!$B$31:$D$31,1,MATCH(D628,'Residual Config'!$B$27:$D$27,0)),INDEX('Residual Config'!$B$28:$D$30,IF(T628=1,1,IF(T628=4,3,2)),MATCH(D628,'Residual Config'!$B$27:$D$27,0)))))</f>
        <v>46450</v>
      </c>
      <c r="Z628" s="7" t="str">
        <f aca="false">IF(I628="N/A","N/A",IF(N628="","Not tested",IF(W628="Rejected","Evidence rejected",IF(W628&lt;&gt;"Accepted","Evidence pending",IF(Y628&lt;'Residual Config'!$C$4,"Overdue","Current")))))</f>
        <v>Current</v>
      </c>
      <c r="AA628" s="34" t="n">
        <f aca="false">IF(I628="N/A","",IF(Z628&lt;&gt;"Current",4,IF(MAX(M628,T628)=0,4,MAX(M628,T628))))</f>
        <v>3</v>
      </c>
      <c r="AB628" s="7" t="str">
        <f aca="false">IF(AA628="","N/A",IF(Z628&lt;&gt;"Current","Not tested / overdue",INDEX('Residual Config'!$B$11:$B$14,AA628)))</f>
        <v>Partially effective</v>
      </c>
      <c r="AC628" s="36" t="n">
        <f aca="false">IF(AA628="","",INDEX('Residual Config'!$D$11:$D$14,AA628))</f>
        <v>0.2</v>
      </c>
      <c r="AD628" s="7" t="str">
        <f aca="false">IF(OR(I628="N/A",P628="",Q628=""),"",IF(P628&gt;=Q628,"Yes","No"))</f>
        <v>No</v>
      </c>
      <c r="AE628" s="8"/>
    </row>
    <row r="629" customFormat="false" ht="15" hidden="false" customHeight="false" outlineLevel="0" collapsed="false">
      <c r="A629" s="12" t="s">
        <v>2288</v>
      </c>
      <c r="B629" s="26" t="str">
        <f aca="false">Entities!$A$19</f>
        <v>IQ</v>
      </c>
      <c r="C629" s="12" t="str">
        <f aca="false">INDEX(Entities!$B$5:$B$34,MATCH(B629,Entities!$A$5:$A$34,0))</f>
        <v>Arab Bank Iraq</v>
      </c>
      <c r="D629" s="7" t="str">
        <f aca="false">INDEX(Entities!$F$5:$F$34,MATCH(B629,Entities!$A$5:$A$34,0))</f>
        <v>Tier 2</v>
      </c>
      <c r="E629" s="26" t="str">
        <f aca="false">'Control Library'!$A$27</f>
        <v>CTL-TAX-02</v>
      </c>
      <c r="F629" s="12" t="str">
        <f aca="false">INDEX('Control Library'!$B$5:$B$47,MATCH(E629,'Control Library'!$A$5:$A$47,0))</f>
        <v>FATCA/CRS reporting reconciliation and timely filing</v>
      </c>
      <c r="G629" s="7" t="str">
        <f aca="false">INDEX('Control Library'!$F$5:$F$47,MATCH(E629,'Control Library'!$A$5:$A$47,0))</f>
        <v>N</v>
      </c>
      <c r="H629" s="12" t="str">
        <f aca="false">INDEX('Control Library'!$E$5:$E$47,MATCH(E629,'Control Library'!$A$5:$A$47,0))</f>
        <v>Annual</v>
      </c>
      <c r="I629" s="7" t="str">
        <f aca="false">IF(INDEX('Control Library'!$I$5:$I$47,MATCH(E629,'Control Library'!$A$5:$A$47,0))="All","Y",IF(INDEX('Control Library'!$I$5:$I$47,MATCH(E629,'Control Library'!$A$5:$A$47,0))="Banks only",IF(COUNTIF('Residual Config'!$L$28:$L$30,INDEX(Entities!$E$5:$E$34,MATCH(B629,Entities!$A$5:$A$34,0)))&gt;0,"N/A","Y"),IF(INDEX(Entities!$G$5:$G$34,MATCH(B629,Entities!$A$5:$A$34,0))="Y","Y","N/A")))</f>
        <v>Y</v>
      </c>
      <c r="J629" s="8" t="s">
        <v>2289</v>
      </c>
      <c r="K629" s="8" t="s">
        <v>2235</v>
      </c>
      <c r="L629" s="7" t="str">
        <f aca="false">IF(OR(J629="",K629=""),"",IF(J629=K629,"Breach","OK"))</f>
        <v>OK</v>
      </c>
      <c r="M629" s="24" t="n">
        <v>2</v>
      </c>
      <c r="N629" s="50" t="n">
        <v>46129</v>
      </c>
      <c r="O629" s="8" t="s">
        <v>545</v>
      </c>
      <c r="P629" s="24" t="n">
        <v>1</v>
      </c>
      <c r="Q629" s="31" t="n">
        <f aca="false">IF(I629="N/A","",IFERROR(INDEX('Residual Config'!$B$35:$B$42,MATCH(H629,'Residual Config'!$A$35:$A$42,0)),""))</f>
        <v>1</v>
      </c>
      <c r="R629" s="24" t="n">
        <v>1</v>
      </c>
      <c r="S629" s="8" t="s">
        <v>521</v>
      </c>
      <c r="T629" s="31" t="n">
        <f aca="false">IF(S629="","",MATCH(S629,'Residual Config'!$L$9:$L$12,0))</f>
        <v>2</v>
      </c>
      <c r="U629" s="8" t="s">
        <v>2290</v>
      </c>
      <c r="V629" s="24" t="n">
        <v>5</v>
      </c>
      <c r="W629" s="33" t="s">
        <v>533</v>
      </c>
      <c r="X629" s="8" t="s">
        <v>760</v>
      </c>
      <c r="Y629" s="51" t="n">
        <f aca="false">IF(N629="","",EDATE(N629,IF(G629="N",INDEX('Residual Config'!$B$31:$D$31,1,MATCH(D629,'Residual Config'!$B$27:$D$27,0)),INDEX('Residual Config'!$B$28:$D$30,IF(T629=1,1,IF(T629=4,3,2)),MATCH(D629,'Residual Config'!$B$27:$D$27,0)))))</f>
        <v>46494</v>
      </c>
      <c r="Z629" s="7" t="str">
        <f aca="false">IF(I629="N/A","N/A",IF(N629="","Not tested",IF(W629="Rejected","Evidence rejected",IF(W629&lt;&gt;"Accepted","Evidence pending",IF(Y629&lt;'Residual Config'!$C$4,"Overdue","Current")))))</f>
        <v>Current</v>
      </c>
      <c r="AA629" s="34" t="n">
        <f aca="false">IF(I629="N/A","",IF(Z629&lt;&gt;"Current",4,IF(MAX(M629,T629)=0,4,MAX(M629,T629))))</f>
        <v>2</v>
      </c>
      <c r="AB629" s="7" t="str">
        <f aca="false">IF(AA629="","N/A",IF(Z629&lt;&gt;"Current","Not tested / overdue",INDEX('Residual Config'!$B$11:$B$14,AA629)))</f>
        <v>Largely effective</v>
      </c>
      <c r="AC629" s="36" t="n">
        <f aca="false">IF(AA629="","",INDEX('Residual Config'!$D$11:$D$14,AA629))</f>
        <v>0.4</v>
      </c>
      <c r="AD629" s="7" t="str">
        <f aca="false">IF(OR(I629="N/A",P629="",Q629=""),"",IF(P629&gt;=Q629,"Yes","No"))</f>
        <v>Yes</v>
      </c>
      <c r="AE629" s="8"/>
    </row>
    <row r="630" customFormat="false" ht="15" hidden="false" customHeight="false" outlineLevel="0" collapsed="false">
      <c r="A630" s="12" t="s">
        <v>2291</v>
      </c>
      <c r="B630" s="26" t="str">
        <f aca="false">Entities!$A$19</f>
        <v>IQ</v>
      </c>
      <c r="C630" s="12" t="str">
        <f aca="false">INDEX(Entities!$B$5:$B$34,MATCH(B630,Entities!$A$5:$A$34,0))</f>
        <v>Arab Bank Iraq</v>
      </c>
      <c r="D630" s="7" t="str">
        <f aca="false">INDEX(Entities!$F$5:$F$34,MATCH(B630,Entities!$A$5:$A$34,0))</f>
        <v>Tier 2</v>
      </c>
      <c r="E630" s="26" t="str">
        <f aca="false">'Control Library'!$A$28</f>
        <v>CTL-TRN-01</v>
      </c>
      <c r="F630" s="12" t="str">
        <f aca="false">INDEX('Control Library'!$B$5:$B$47,MATCH(E630,'Control Library'!$A$5:$A$47,0))</f>
        <v>Annual AML, sanctions and anti-bribery training</v>
      </c>
      <c r="G630" s="7" t="str">
        <f aca="false">INDEX('Control Library'!$F$5:$F$47,MATCH(E630,'Control Library'!$A$5:$A$47,0))</f>
        <v>N</v>
      </c>
      <c r="H630" s="12" t="str">
        <f aca="false">INDEX('Control Library'!$E$5:$E$47,MATCH(E630,'Control Library'!$A$5:$A$47,0))</f>
        <v>Annual</v>
      </c>
      <c r="I630" s="7" t="str">
        <f aca="false">IF(INDEX('Control Library'!$I$5:$I$47,MATCH(E630,'Control Library'!$A$5:$A$47,0))="All","Y",IF(INDEX('Control Library'!$I$5:$I$47,MATCH(E630,'Control Library'!$A$5:$A$47,0))="Banks only",IF(COUNTIF('Residual Config'!$L$28:$L$30,INDEX(Entities!$E$5:$E$34,MATCH(B630,Entities!$A$5:$A$34,0)))&gt;0,"N/A","Y"),IF(INDEX(Entities!$G$5:$G$34,MATCH(B630,Entities!$A$5:$A$34,0))="Y","Y","N/A")))</f>
        <v>Y</v>
      </c>
      <c r="J630" s="8" t="s">
        <v>2238</v>
      </c>
      <c r="K630" s="8" t="s">
        <v>2235</v>
      </c>
      <c r="L630" s="7" t="str">
        <f aca="false">IF(OR(J630="",K630=""),"",IF(J630=K630,"Breach","OK"))</f>
        <v>OK</v>
      </c>
      <c r="M630" s="24" t="n">
        <v>2</v>
      </c>
      <c r="N630" s="50" t="n">
        <v>46184</v>
      </c>
      <c r="O630" s="8" t="s">
        <v>545</v>
      </c>
      <c r="P630" s="24" t="n">
        <v>1</v>
      </c>
      <c r="Q630" s="31" t="n">
        <f aca="false">IF(I630="N/A","",IFERROR(INDEX('Residual Config'!$B$35:$B$42,MATCH(H630,'Residual Config'!$A$35:$A$42,0)),""))</f>
        <v>1</v>
      </c>
      <c r="R630" s="24" t="n">
        <v>0</v>
      </c>
      <c r="S630" s="8" t="s">
        <v>516</v>
      </c>
      <c r="T630" s="31" t="n">
        <f aca="false">IF(S630="","",MATCH(S630,'Residual Config'!$L$9:$L$12,0))</f>
        <v>1</v>
      </c>
      <c r="U630" s="8" t="s">
        <v>2292</v>
      </c>
      <c r="V630" s="24" t="n">
        <v>6</v>
      </c>
      <c r="W630" s="33" t="s">
        <v>533</v>
      </c>
      <c r="X630" s="8" t="s">
        <v>760</v>
      </c>
      <c r="Y630" s="51" t="n">
        <f aca="false">IF(N630="","",EDATE(N630,IF(G630="N",INDEX('Residual Config'!$B$31:$D$31,1,MATCH(D630,'Residual Config'!$B$27:$D$27,0)),INDEX('Residual Config'!$B$28:$D$30,IF(T630=1,1,IF(T630=4,3,2)),MATCH(D630,'Residual Config'!$B$27:$D$27,0)))))</f>
        <v>46549</v>
      </c>
      <c r="Z630" s="7" t="str">
        <f aca="false">IF(I630="N/A","N/A",IF(N630="","Not tested",IF(W630="Rejected","Evidence rejected",IF(W630&lt;&gt;"Accepted","Evidence pending",IF(Y630&lt;'Residual Config'!$C$4,"Overdue","Current")))))</f>
        <v>Current</v>
      </c>
      <c r="AA630" s="34" t="n">
        <f aca="false">IF(I630="N/A","",IF(Z630&lt;&gt;"Current",4,IF(MAX(M630,T630)=0,4,MAX(M630,T630))))</f>
        <v>2</v>
      </c>
      <c r="AB630" s="7" t="str">
        <f aca="false">IF(AA630="","N/A",IF(Z630&lt;&gt;"Current","Not tested / overdue",INDEX('Residual Config'!$B$11:$B$14,AA630)))</f>
        <v>Largely effective</v>
      </c>
      <c r="AC630" s="36" t="n">
        <f aca="false">IF(AA630="","",INDEX('Residual Config'!$D$11:$D$14,AA630))</f>
        <v>0.4</v>
      </c>
      <c r="AD630" s="7" t="str">
        <f aca="false">IF(OR(I630="N/A",P630="",Q630=""),"",IF(P630&gt;=Q630,"Yes","No"))</f>
        <v>Yes</v>
      </c>
      <c r="AE630" s="8"/>
    </row>
    <row r="631" customFormat="false" ht="15" hidden="false" customHeight="false" outlineLevel="0" collapsed="false">
      <c r="A631" s="12" t="s">
        <v>2293</v>
      </c>
      <c r="B631" s="26" t="str">
        <f aca="false">Entities!$A$19</f>
        <v>IQ</v>
      </c>
      <c r="C631" s="12" t="str">
        <f aca="false">INDEX(Entities!$B$5:$B$34,MATCH(B631,Entities!$A$5:$A$34,0))</f>
        <v>Arab Bank Iraq</v>
      </c>
      <c r="D631" s="7" t="str">
        <f aca="false">INDEX(Entities!$F$5:$F$34,MATCH(B631,Entities!$A$5:$A$34,0))</f>
        <v>Tier 2</v>
      </c>
      <c r="E631" s="26" t="str">
        <f aca="false">'Control Library'!$A$29</f>
        <v>CTL-REG-01</v>
      </c>
      <c r="F631" s="12" t="str">
        <f aca="false">INDEX('Control Library'!$B$5:$B$47,MATCH(E631,'Control Library'!$A$5:$A$47,0))</f>
        <v>Regulatory change management and obligations register</v>
      </c>
      <c r="G631" s="7" t="str">
        <f aca="false">INDEX('Control Library'!$F$5:$F$47,MATCH(E631,'Control Library'!$A$5:$A$47,0))</f>
        <v>Y</v>
      </c>
      <c r="H631" s="12" t="str">
        <f aca="false">INDEX('Control Library'!$E$5:$E$47,MATCH(E631,'Control Library'!$A$5:$A$47,0))</f>
        <v>Monthly</v>
      </c>
      <c r="I631" s="7" t="str">
        <f aca="false">IF(INDEX('Control Library'!$I$5:$I$47,MATCH(E631,'Control Library'!$A$5:$A$47,0))="All","Y",IF(INDEX('Control Library'!$I$5:$I$47,MATCH(E631,'Control Library'!$A$5:$A$47,0))="Banks only",IF(COUNTIF('Residual Config'!$L$28:$L$30,INDEX(Entities!$E$5:$E$34,MATCH(B631,Entities!$A$5:$A$34,0)))&gt;0,"N/A","Y"),IF(INDEX(Entities!$G$5:$G$34,MATCH(B631,Entities!$A$5:$A$34,0))="Y","Y","N/A")))</f>
        <v>Y</v>
      </c>
      <c r="J631" s="8" t="s">
        <v>2238</v>
      </c>
      <c r="K631" s="8" t="s">
        <v>2235</v>
      </c>
      <c r="L631" s="7" t="str">
        <f aca="false">IF(OR(J631="",K631=""),"",IF(J631=K631,"Breach","OK"))</f>
        <v>OK</v>
      </c>
      <c r="M631" s="24" t="n">
        <v>3</v>
      </c>
      <c r="N631" s="50" t="n">
        <v>46258</v>
      </c>
      <c r="O631" s="8" t="s">
        <v>545</v>
      </c>
      <c r="P631" s="24" t="n">
        <v>3</v>
      </c>
      <c r="Q631" s="31" t="n">
        <f aca="false">IF(I631="N/A","",IFERROR(INDEX('Residual Config'!$B$35:$B$42,MATCH(H631,'Residual Config'!$A$35:$A$42,0)),""))</f>
        <v>3</v>
      </c>
      <c r="R631" s="24" t="n">
        <v>1</v>
      </c>
      <c r="S631" s="8" t="s">
        <v>521</v>
      </c>
      <c r="T631" s="31" t="n">
        <f aca="false">IF(S631="","",MATCH(S631,'Residual Config'!$L$9:$L$12,0))</f>
        <v>2</v>
      </c>
      <c r="U631" s="8" t="s">
        <v>2294</v>
      </c>
      <c r="V631" s="24" t="n">
        <v>6</v>
      </c>
      <c r="W631" s="33" t="s">
        <v>533</v>
      </c>
      <c r="X631" s="8" t="s">
        <v>754</v>
      </c>
      <c r="Y631" s="51" t="n">
        <f aca="false">IF(N631="","",EDATE(N631,IF(G631="N",INDEX('Residual Config'!$B$31:$D$31,1,MATCH(D631,'Residual Config'!$B$27:$D$27,0)),INDEX('Residual Config'!$B$28:$D$30,IF(T631=1,1,IF(T631=4,3,2)),MATCH(D631,'Residual Config'!$B$27:$D$27,0)))))</f>
        <v>46442</v>
      </c>
      <c r="Z631" s="7" t="str">
        <f aca="false">IF(I631="N/A","N/A",IF(N631="","Not tested",IF(W631="Rejected","Evidence rejected",IF(W631&lt;&gt;"Accepted","Evidence pending",IF(Y631&lt;'Residual Config'!$C$4,"Overdue","Current")))))</f>
        <v>Current</v>
      </c>
      <c r="AA631" s="34" t="n">
        <f aca="false">IF(I631="N/A","",IF(Z631&lt;&gt;"Current",4,IF(MAX(M631,T631)=0,4,MAX(M631,T631))))</f>
        <v>3</v>
      </c>
      <c r="AB631" s="7" t="str">
        <f aca="false">IF(AA631="","N/A",IF(Z631&lt;&gt;"Current","Not tested / overdue",INDEX('Residual Config'!$B$11:$B$14,AA631)))</f>
        <v>Partially effective</v>
      </c>
      <c r="AC631" s="36" t="n">
        <f aca="false">IF(AA631="","",INDEX('Residual Config'!$D$11:$D$14,AA631))</f>
        <v>0.2</v>
      </c>
      <c r="AD631" s="7" t="str">
        <f aca="false">IF(OR(I631="N/A",P631="",Q631=""),"",IF(P631&gt;=Q631,"Yes","No"))</f>
        <v>Yes</v>
      </c>
      <c r="AE631" s="8"/>
    </row>
    <row r="632" customFormat="false" ht="15" hidden="false" customHeight="false" outlineLevel="0" collapsed="false">
      <c r="A632" s="12" t="s">
        <v>2295</v>
      </c>
      <c r="B632" s="26" t="str">
        <f aca="false">Entities!$A$19</f>
        <v>IQ</v>
      </c>
      <c r="C632" s="12" t="str">
        <f aca="false">INDEX(Entities!$B$5:$B$34,MATCH(B632,Entities!$A$5:$A$34,0))</f>
        <v>Arab Bank Iraq</v>
      </c>
      <c r="D632" s="7" t="str">
        <f aca="false">INDEX(Entities!$F$5:$F$34,MATCH(B632,Entities!$A$5:$A$34,0))</f>
        <v>Tier 2</v>
      </c>
      <c r="E632" s="26" t="str">
        <f aca="false">'Control Library'!$A$30</f>
        <v>CTL-REG-02</v>
      </c>
      <c r="F632" s="12" t="str">
        <f aca="false">INDEX('Control Library'!$B$5:$B$47,MATCH(E632,'Control Library'!$A$5:$A$47,0))</f>
        <v>Regulatory return review and senior sign-off</v>
      </c>
      <c r="G632" s="7" t="str">
        <f aca="false">INDEX('Control Library'!$F$5:$F$47,MATCH(E632,'Control Library'!$A$5:$A$47,0))</f>
        <v>Y</v>
      </c>
      <c r="H632" s="12" t="str">
        <f aca="false">INDEX('Control Library'!$E$5:$E$47,MATCH(E632,'Control Library'!$A$5:$A$47,0))</f>
        <v>Monthly</v>
      </c>
      <c r="I632" s="7" t="str">
        <f aca="false">IF(INDEX('Control Library'!$I$5:$I$47,MATCH(E632,'Control Library'!$A$5:$A$47,0))="All","Y",IF(INDEX('Control Library'!$I$5:$I$47,MATCH(E632,'Control Library'!$A$5:$A$47,0))="Banks only",IF(COUNTIF('Residual Config'!$L$28:$L$30,INDEX(Entities!$E$5:$E$34,MATCH(B632,Entities!$A$5:$A$34,0)))&gt;0,"N/A","Y"),IF(INDEX(Entities!$G$5:$G$34,MATCH(B632,Entities!$A$5:$A$34,0))="Y","Y","N/A")))</f>
        <v>Y</v>
      </c>
      <c r="J632" s="8" t="s">
        <v>2289</v>
      </c>
      <c r="K632" s="8" t="s">
        <v>2235</v>
      </c>
      <c r="L632" s="7" t="str">
        <f aca="false">IF(OR(J632="",K632=""),"",IF(J632=K632,"Breach","OK"))</f>
        <v>OK</v>
      </c>
      <c r="M632" s="24" t="n">
        <v>2</v>
      </c>
      <c r="N632" s="50" t="n">
        <v>46262</v>
      </c>
      <c r="O632" s="8" t="s">
        <v>546</v>
      </c>
      <c r="P632" s="24" t="n">
        <v>3</v>
      </c>
      <c r="Q632" s="31" t="n">
        <f aca="false">IF(I632="N/A","",IFERROR(INDEX('Residual Config'!$B$35:$B$42,MATCH(H632,'Residual Config'!$A$35:$A$42,0)),""))</f>
        <v>3</v>
      </c>
      <c r="R632" s="24" t="n">
        <v>0</v>
      </c>
      <c r="S632" s="8" t="s">
        <v>516</v>
      </c>
      <c r="T632" s="31" t="n">
        <f aca="false">IF(S632="","",MATCH(S632,'Residual Config'!$L$9:$L$12,0))</f>
        <v>1</v>
      </c>
      <c r="U632" s="8" t="s">
        <v>2296</v>
      </c>
      <c r="V632" s="24" t="n">
        <v>3</v>
      </c>
      <c r="W632" s="33" t="s">
        <v>533</v>
      </c>
      <c r="X632" s="8" t="s">
        <v>754</v>
      </c>
      <c r="Y632" s="51" t="n">
        <f aca="false">IF(N632="","",EDATE(N632,IF(G632="N",INDEX('Residual Config'!$B$31:$D$31,1,MATCH(D632,'Residual Config'!$B$27:$D$27,0)),INDEX('Residual Config'!$B$28:$D$30,IF(T632=1,1,IF(T632=4,3,2)),MATCH(D632,'Residual Config'!$B$27:$D$27,0)))))</f>
        <v>46627</v>
      </c>
      <c r="Z632" s="7" t="str">
        <f aca="false">IF(I632="N/A","N/A",IF(N632="","Not tested",IF(W632="Rejected","Evidence rejected",IF(W632&lt;&gt;"Accepted","Evidence pending",IF(Y632&lt;'Residual Config'!$C$4,"Overdue","Current")))))</f>
        <v>Current</v>
      </c>
      <c r="AA632" s="34" t="n">
        <f aca="false">IF(I632="N/A","",IF(Z632&lt;&gt;"Current",4,IF(MAX(M632,T632)=0,4,MAX(M632,T632))))</f>
        <v>2</v>
      </c>
      <c r="AB632" s="7" t="str">
        <f aca="false">IF(AA632="","N/A",IF(Z632&lt;&gt;"Current","Not tested / overdue",INDEX('Residual Config'!$B$11:$B$14,AA632)))</f>
        <v>Largely effective</v>
      </c>
      <c r="AC632" s="36" t="n">
        <f aca="false">IF(AA632="","",INDEX('Residual Config'!$D$11:$D$14,AA632))</f>
        <v>0.4</v>
      </c>
      <c r="AD632" s="7" t="str">
        <f aca="false">IF(OR(I632="N/A",P632="",Q632=""),"",IF(P632&gt;=Q632,"Yes","No"))</f>
        <v>Yes</v>
      </c>
      <c r="AE632" s="8"/>
    </row>
    <row r="633" customFormat="false" ht="15" hidden="false" customHeight="false" outlineLevel="0" collapsed="false">
      <c r="A633" s="12" t="s">
        <v>2297</v>
      </c>
      <c r="B633" s="26" t="str">
        <f aca="false">Entities!$A$19</f>
        <v>IQ</v>
      </c>
      <c r="C633" s="12" t="str">
        <f aca="false">INDEX(Entities!$B$5:$B$34,MATCH(B633,Entities!$A$5:$A$34,0))</f>
        <v>Arab Bank Iraq</v>
      </c>
      <c r="D633" s="7" t="str">
        <f aca="false">INDEX(Entities!$F$5:$F$34,MATCH(B633,Entities!$A$5:$A$34,0))</f>
        <v>Tier 2</v>
      </c>
      <c r="E633" s="26" t="str">
        <f aca="false">'Control Library'!$A$31</f>
        <v>CTL-CON-01</v>
      </c>
      <c r="F633" s="12" t="str">
        <f aca="false">INDEX('Control Library'!$B$5:$B$47,MATCH(E633,'Control Library'!$A$5:$A$47,0))</f>
        <v>New product approval and suitability assessment</v>
      </c>
      <c r="G633" s="7" t="str">
        <f aca="false">INDEX('Control Library'!$F$5:$F$47,MATCH(E633,'Control Library'!$A$5:$A$47,0))</f>
        <v>Y</v>
      </c>
      <c r="H633" s="12" t="str">
        <f aca="false">INDEX('Control Library'!$E$5:$E$47,MATCH(E633,'Control Library'!$A$5:$A$47,0))</f>
        <v>Event-driven</v>
      </c>
      <c r="I633" s="7" t="str">
        <f aca="false">IF(INDEX('Control Library'!$I$5:$I$47,MATCH(E633,'Control Library'!$A$5:$A$47,0))="All","Y",IF(INDEX('Control Library'!$I$5:$I$47,MATCH(E633,'Control Library'!$A$5:$A$47,0))="Banks only",IF(COUNTIF('Residual Config'!$L$28:$L$30,INDEX(Entities!$E$5:$E$34,MATCH(B633,Entities!$A$5:$A$34,0)))&gt;0,"N/A","Y"),IF(INDEX(Entities!$G$5:$G$34,MATCH(B633,Entities!$A$5:$A$34,0))="Y","Y","N/A")))</f>
        <v>Y</v>
      </c>
      <c r="J633" s="8" t="s">
        <v>2238</v>
      </c>
      <c r="K633" s="8" t="s">
        <v>2235</v>
      </c>
      <c r="L633" s="7" t="str">
        <f aca="false">IF(OR(J633="",K633=""),"",IF(J633=K633,"Breach","OK"))</f>
        <v>OK</v>
      </c>
      <c r="M633" s="24" t="n">
        <v>2</v>
      </c>
      <c r="N633" s="50" t="n">
        <v>46262</v>
      </c>
      <c r="O633" s="8" t="s">
        <v>545</v>
      </c>
      <c r="P633" s="24" t="n">
        <v>35</v>
      </c>
      <c r="Q633" s="31" t="n">
        <f aca="false">IF(I633="N/A","",IFERROR(INDEX('Residual Config'!$B$35:$B$42,MATCH(H633,'Residual Config'!$A$35:$A$42,0)),""))</f>
        <v>25</v>
      </c>
      <c r="R633" s="24" t="n">
        <v>1</v>
      </c>
      <c r="S633" s="8" t="s">
        <v>521</v>
      </c>
      <c r="T633" s="31" t="n">
        <f aca="false">IF(S633="","",MATCH(S633,'Residual Config'!$L$9:$L$12,0))</f>
        <v>2</v>
      </c>
      <c r="U633" s="8" t="s">
        <v>2298</v>
      </c>
      <c r="V633" s="24" t="n">
        <v>6</v>
      </c>
      <c r="W633" s="33" t="s">
        <v>533</v>
      </c>
      <c r="X633" s="8" t="s">
        <v>754</v>
      </c>
      <c r="Y633" s="51" t="n">
        <f aca="false">IF(N633="","",EDATE(N633,IF(G633="N",INDEX('Residual Config'!$B$31:$D$31,1,MATCH(D633,'Residual Config'!$B$27:$D$27,0)),INDEX('Residual Config'!$B$28:$D$30,IF(T633=1,1,IF(T633=4,3,2)),MATCH(D633,'Residual Config'!$B$27:$D$27,0)))))</f>
        <v>46446</v>
      </c>
      <c r="Z633" s="7" t="str">
        <f aca="false">IF(I633="N/A","N/A",IF(N633="","Not tested",IF(W633="Rejected","Evidence rejected",IF(W633&lt;&gt;"Accepted","Evidence pending",IF(Y633&lt;'Residual Config'!$C$4,"Overdue","Current")))))</f>
        <v>Current</v>
      </c>
      <c r="AA633" s="34" t="n">
        <f aca="false">IF(I633="N/A","",IF(Z633&lt;&gt;"Current",4,IF(MAX(M633,T633)=0,4,MAX(M633,T633))))</f>
        <v>2</v>
      </c>
      <c r="AB633" s="7" t="str">
        <f aca="false">IF(AA633="","N/A",IF(Z633&lt;&gt;"Current","Not tested / overdue",INDEX('Residual Config'!$B$11:$B$14,AA633)))</f>
        <v>Largely effective</v>
      </c>
      <c r="AC633" s="36" t="n">
        <f aca="false">IF(AA633="","",INDEX('Residual Config'!$D$11:$D$14,AA633))</f>
        <v>0.4</v>
      </c>
      <c r="AD633" s="7" t="str">
        <f aca="false">IF(OR(I633="N/A",P633="",Q633=""),"",IF(P633&gt;=Q633,"Yes","No"))</f>
        <v>Yes</v>
      </c>
      <c r="AE633" s="8"/>
    </row>
    <row r="634" customFormat="false" ht="15" hidden="false" customHeight="false" outlineLevel="0" collapsed="false">
      <c r="A634" s="12" t="s">
        <v>2299</v>
      </c>
      <c r="B634" s="26" t="str">
        <f aca="false">Entities!$A$19</f>
        <v>IQ</v>
      </c>
      <c r="C634" s="12" t="str">
        <f aca="false">INDEX(Entities!$B$5:$B$34,MATCH(B634,Entities!$A$5:$A$34,0))</f>
        <v>Arab Bank Iraq</v>
      </c>
      <c r="D634" s="7" t="str">
        <f aca="false">INDEX(Entities!$F$5:$F$34,MATCH(B634,Entities!$A$5:$A$34,0))</f>
        <v>Tier 2</v>
      </c>
      <c r="E634" s="26" t="str">
        <f aca="false">'Control Library'!$A$32</f>
        <v>CTL-CON-02</v>
      </c>
      <c r="F634" s="12" t="str">
        <f aca="false">INDEX('Control Library'!$B$5:$B$47,MATCH(E634,'Control Library'!$A$5:$A$47,0))</f>
        <v>Complaints handling and root-cause analysis</v>
      </c>
      <c r="G634" s="7" t="str">
        <f aca="false">INDEX('Control Library'!$F$5:$F$47,MATCH(E634,'Control Library'!$A$5:$A$47,0))</f>
        <v>N</v>
      </c>
      <c r="H634" s="12" t="str">
        <f aca="false">INDEX('Control Library'!$E$5:$E$47,MATCH(E634,'Control Library'!$A$5:$A$47,0))</f>
        <v>Monthly</v>
      </c>
      <c r="I634" s="7" t="str">
        <f aca="false">IF(INDEX('Control Library'!$I$5:$I$47,MATCH(E634,'Control Library'!$A$5:$A$47,0))="All","Y",IF(INDEX('Control Library'!$I$5:$I$47,MATCH(E634,'Control Library'!$A$5:$A$47,0))="Banks only",IF(COUNTIF('Residual Config'!$L$28:$L$30,INDEX(Entities!$E$5:$E$34,MATCH(B634,Entities!$A$5:$A$34,0)))&gt;0,"N/A","Y"),IF(INDEX(Entities!$G$5:$G$34,MATCH(B634,Entities!$A$5:$A$34,0))="Y","Y","N/A")))</f>
        <v>Y</v>
      </c>
      <c r="J634" s="8" t="s">
        <v>2300</v>
      </c>
      <c r="K634" s="8" t="s">
        <v>2235</v>
      </c>
      <c r="L634" s="7" t="str">
        <f aca="false">IF(OR(J634="",K634=""),"",IF(J634=K634,"Breach","OK"))</f>
        <v>OK</v>
      </c>
      <c r="M634" s="24" t="n">
        <v>3</v>
      </c>
      <c r="N634" s="50" t="n">
        <v>46094</v>
      </c>
      <c r="O634" s="8" t="s">
        <v>546</v>
      </c>
      <c r="P634" s="24" t="n">
        <v>3</v>
      </c>
      <c r="Q634" s="31" t="n">
        <f aca="false">IF(I634="N/A","",IFERROR(INDEX('Residual Config'!$B$35:$B$42,MATCH(H634,'Residual Config'!$A$35:$A$42,0)),""))</f>
        <v>3</v>
      </c>
      <c r="R634" s="24" t="n">
        <v>1</v>
      </c>
      <c r="S634" s="8" t="s">
        <v>521</v>
      </c>
      <c r="T634" s="31" t="n">
        <f aca="false">IF(S634="","",MATCH(S634,'Residual Config'!$L$9:$L$12,0))</f>
        <v>2</v>
      </c>
      <c r="U634" s="8" t="s">
        <v>2301</v>
      </c>
      <c r="V634" s="24" t="n">
        <v>2</v>
      </c>
      <c r="W634" s="33" t="s">
        <v>533</v>
      </c>
      <c r="X634" s="8" t="s">
        <v>754</v>
      </c>
      <c r="Y634" s="51" t="n">
        <f aca="false">IF(N634="","",EDATE(N634,IF(G634="N",INDEX('Residual Config'!$B$31:$D$31,1,MATCH(D634,'Residual Config'!$B$27:$D$27,0)),INDEX('Residual Config'!$B$28:$D$30,IF(T634=1,1,IF(T634=4,3,2)),MATCH(D634,'Residual Config'!$B$27:$D$27,0)))))</f>
        <v>46459</v>
      </c>
      <c r="Z634" s="7" t="str">
        <f aca="false">IF(I634="N/A","N/A",IF(N634="","Not tested",IF(W634="Rejected","Evidence rejected",IF(W634&lt;&gt;"Accepted","Evidence pending",IF(Y634&lt;'Residual Config'!$C$4,"Overdue","Current")))))</f>
        <v>Current</v>
      </c>
      <c r="AA634" s="34" t="n">
        <f aca="false">IF(I634="N/A","",IF(Z634&lt;&gt;"Current",4,IF(MAX(M634,T634)=0,4,MAX(M634,T634))))</f>
        <v>3</v>
      </c>
      <c r="AB634" s="7" t="str">
        <f aca="false">IF(AA634="","N/A",IF(Z634&lt;&gt;"Current","Not tested / overdue",INDEX('Residual Config'!$B$11:$B$14,AA634)))</f>
        <v>Partially effective</v>
      </c>
      <c r="AC634" s="36" t="n">
        <f aca="false">IF(AA634="","",INDEX('Residual Config'!$D$11:$D$14,AA634))</f>
        <v>0.2</v>
      </c>
      <c r="AD634" s="7" t="str">
        <f aca="false">IF(OR(I634="N/A",P634="",Q634=""),"",IF(P634&gt;=Q634,"Yes","No"))</f>
        <v>Yes</v>
      </c>
      <c r="AE634" s="8"/>
    </row>
    <row r="635" customFormat="false" ht="15" hidden="false" customHeight="false" outlineLevel="0" collapsed="false">
      <c r="A635" s="12" t="s">
        <v>2302</v>
      </c>
      <c r="B635" s="26" t="str">
        <f aca="false">Entities!$A$19</f>
        <v>IQ</v>
      </c>
      <c r="C635" s="12" t="str">
        <f aca="false">INDEX(Entities!$B$5:$B$34,MATCH(B635,Entities!$A$5:$A$34,0))</f>
        <v>Arab Bank Iraq</v>
      </c>
      <c r="D635" s="7" t="str">
        <f aca="false">INDEX(Entities!$F$5:$F$34,MATCH(B635,Entities!$A$5:$A$34,0))</f>
        <v>Tier 2</v>
      </c>
      <c r="E635" s="26" t="str">
        <f aca="false">'Control Library'!$A$33</f>
        <v>CTL-DP-01</v>
      </c>
      <c r="F635" s="12" t="str">
        <f aca="false">INDEX('Control Library'!$B$5:$B$47,MATCH(E635,'Control Library'!$A$5:$A$47,0))</f>
        <v>Data protection impact assessments and processing records</v>
      </c>
      <c r="G635" s="7" t="str">
        <f aca="false">INDEX('Control Library'!$F$5:$F$47,MATCH(E635,'Control Library'!$A$5:$A$47,0))</f>
        <v>Y</v>
      </c>
      <c r="H635" s="12" t="str">
        <f aca="false">INDEX('Control Library'!$E$5:$E$47,MATCH(E635,'Control Library'!$A$5:$A$47,0))</f>
        <v>Event-driven</v>
      </c>
      <c r="I635" s="7" t="str">
        <f aca="false">IF(INDEX('Control Library'!$I$5:$I$47,MATCH(E635,'Control Library'!$A$5:$A$47,0))="All","Y",IF(INDEX('Control Library'!$I$5:$I$47,MATCH(E635,'Control Library'!$A$5:$A$47,0))="Banks only",IF(COUNTIF('Residual Config'!$L$28:$L$30,INDEX(Entities!$E$5:$E$34,MATCH(B635,Entities!$A$5:$A$34,0)))&gt;0,"N/A","Y"),IF(INDEX(Entities!$G$5:$G$34,MATCH(B635,Entities!$A$5:$A$34,0))="Y","Y","N/A")))</f>
        <v>Y</v>
      </c>
      <c r="J635" s="8" t="s">
        <v>2303</v>
      </c>
      <c r="K635" s="8" t="s">
        <v>2235</v>
      </c>
      <c r="L635" s="7" t="str">
        <f aca="false">IF(OR(J635="",K635=""),"",IF(J635=K635,"Breach","OK"))</f>
        <v>OK</v>
      </c>
      <c r="M635" s="24" t="n">
        <v>3</v>
      </c>
      <c r="N635" s="50" t="n">
        <v>46192</v>
      </c>
      <c r="O635" s="8" t="s">
        <v>545</v>
      </c>
      <c r="P635" s="24" t="n">
        <v>30</v>
      </c>
      <c r="Q635" s="31" t="n">
        <f aca="false">IF(I635="N/A","",IFERROR(INDEX('Residual Config'!$B$35:$B$42,MATCH(H635,'Residual Config'!$A$35:$A$42,0)),""))</f>
        <v>25</v>
      </c>
      <c r="R635" s="24" t="n">
        <v>1</v>
      </c>
      <c r="S635" s="8" t="s">
        <v>521</v>
      </c>
      <c r="T635" s="31" t="n">
        <f aca="false">IF(S635="","",MATCH(S635,'Residual Config'!$L$9:$L$12,0))</f>
        <v>2</v>
      </c>
      <c r="U635" s="8" t="s">
        <v>2304</v>
      </c>
      <c r="V635" s="24" t="n">
        <v>4</v>
      </c>
      <c r="W635" s="33" t="s">
        <v>533</v>
      </c>
      <c r="X635" s="8" t="s">
        <v>760</v>
      </c>
      <c r="Y635" s="51" t="n">
        <f aca="false">IF(N635="","",EDATE(N635,IF(G635="N",INDEX('Residual Config'!$B$31:$D$31,1,MATCH(D635,'Residual Config'!$B$27:$D$27,0)),INDEX('Residual Config'!$B$28:$D$30,IF(T635=1,1,IF(T635=4,3,2)),MATCH(D635,'Residual Config'!$B$27:$D$27,0)))))</f>
        <v>46375</v>
      </c>
      <c r="Z635" s="7" t="str">
        <f aca="false">IF(I635="N/A","N/A",IF(N635="","Not tested",IF(W635="Rejected","Evidence rejected",IF(W635&lt;&gt;"Accepted","Evidence pending",IF(Y635&lt;'Residual Config'!$C$4,"Overdue","Current")))))</f>
        <v>Current</v>
      </c>
      <c r="AA635" s="34" t="n">
        <f aca="false">IF(I635="N/A","",IF(Z635&lt;&gt;"Current",4,IF(MAX(M635,T635)=0,4,MAX(M635,T635))))</f>
        <v>3</v>
      </c>
      <c r="AB635" s="7" t="str">
        <f aca="false">IF(AA635="","N/A",IF(Z635&lt;&gt;"Current","Not tested / overdue",INDEX('Residual Config'!$B$11:$B$14,AA635)))</f>
        <v>Partially effective</v>
      </c>
      <c r="AC635" s="36" t="n">
        <f aca="false">IF(AA635="","",INDEX('Residual Config'!$D$11:$D$14,AA635))</f>
        <v>0.2</v>
      </c>
      <c r="AD635" s="7" t="str">
        <f aca="false">IF(OR(I635="N/A",P635="",Q635=""),"",IF(P635&gt;=Q635,"Yes","No"))</f>
        <v>Yes</v>
      </c>
      <c r="AE635" s="8"/>
    </row>
    <row r="636" customFormat="false" ht="15" hidden="false" customHeight="false" outlineLevel="0" collapsed="false">
      <c r="A636" s="12" t="s">
        <v>2305</v>
      </c>
      <c r="B636" s="26" t="str">
        <f aca="false">Entities!$A$19</f>
        <v>IQ</v>
      </c>
      <c r="C636" s="12" t="str">
        <f aca="false">INDEX(Entities!$B$5:$B$34,MATCH(B636,Entities!$A$5:$A$34,0))</f>
        <v>Arab Bank Iraq</v>
      </c>
      <c r="D636" s="7" t="str">
        <f aca="false">INDEX(Entities!$F$5:$F$34,MATCH(B636,Entities!$A$5:$A$34,0))</f>
        <v>Tier 2</v>
      </c>
      <c r="E636" s="26" t="str">
        <f aca="false">'Control Library'!$A$34</f>
        <v>CTL-DP-02</v>
      </c>
      <c r="F636" s="12" t="str">
        <f aca="false">INDEX('Control Library'!$B$5:$B$47,MATCH(E636,'Control Library'!$A$5:$A$47,0))</f>
        <v>Data loss prevention and quarterly access recertification</v>
      </c>
      <c r="G636" s="7" t="str">
        <f aca="false">INDEX('Control Library'!$F$5:$F$47,MATCH(E636,'Control Library'!$A$5:$A$47,0))</f>
        <v>Y</v>
      </c>
      <c r="H636" s="12" t="str">
        <f aca="false">INDEX('Control Library'!$E$5:$E$47,MATCH(E636,'Control Library'!$A$5:$A$47,0))</f>
        <v>Quarterly</v>
      </c>
      <c r="I636" s="7" t="str">
        <f aca="false">IF(INDEX('Control Library'!$I$5:$I$47,MATCH(E636,'Control Library'!$A$5:$A$47,0))="All","Y",IF(INDEX('Control Library'!$I$5:$I$47,MATCH(E636,'Control Library'!$A$5:$A$47,0))="Banks only",IF(COUNTIF('Residual Config'!$L$28:$L$30,INDEX(Entities!$E$5:$E$34,MATCH(B636,Entities!$A$5:$A$34,0)))&gt;0,"N/A","Y"),IF(INDEX(Entities!$G$5:$G$34,MATCH(B636,Entities!$A$5:$A$34,0))="Y","Y","N/A")))</f>
        <v>Y</v>
      </c>
      <c r="J636" s="8" t="s">
        <v>2306</v>
      </c>
      <c r="K636" s="8" t="s">
        <v>2235</v>
      </c>
      <c r="L636" s="7" t="str">
        <f aca="false">IF(OR(J636="",K636=""),"",IF(J636=K636,"Breach","OK"))</f>
        <v>OK</v>
      </c>
      <c r="M636" s="24" t="n">
        <v>2</v>
      </c>
      <c r="N636" s="50" t="n">
        <v>46273</v>
      </c>
      <c r="O636" s="8" t="s">
        <v>546</v>
      </c>
      <c r="P636" s="24" t="n">
        <v>2</v>
      </c>
      <c r="Q636" s="31" t="n">
        <f aca="false">IF(I636="N/A","",IFERROR(INDEX('Residual Config'!$B$35:$B$42,MATCH(H636,'Residual Config'!$A$35:$A$42,0)),""))</f>
        <v>2</v>
      </c>
      <c r="R636" s="24" t="n">
        <v>2</v>
      </c>
      <c r="S636" s="8" t="s">
        <v>524</v>
      </c>
      <c r="T636" s="31" t="n">
        <f aca="false">IF(S636="","",MATCH(S636,'Residual Config'!$L$9:$L$12,0))</f>
        <v>3</v>
      </c>
      <c r="U636" s="8" t="s">
        <v>2307</v>
      </c>
      <c r="V636" s="24" t="n">
        <v>4</v>
      </c>
      <c r="W636" s="33" t="s">
        <v>533</v>
      </c>
      <c r="X636" s="8" t="s">
        <v>754</v>
      </c>
      <c r="Y636" s="51" t="n">
        <f aca="false">IF(N636="","",EDATE(N636,IF(G636="N",INDEX('Residual Config'!$B$31:$D$31,1,MATCH(D636,'Residual Config'!$B$27:$D$27,0)),INDEX('Residual Config'!$B$28:$D$30,IF(T636=1,1,IF(T636=4,3,2)),MATCH(D636,'Residual Config'!$B$27:$D$27,0)))))</f>
        <v>46454</v>
      </c>
      <c r="Z636" s="7" t="str">
        <f aca="false">IF(I636="N/A","N/A",IF(N636="","Not tested",IF(W636="Rejected","Evidence rejected",IF(W636&lt;&gt;"Accepted","Evidence pending",IF(Y636&lt;'Residual Config'!$C$4,"Overdue","Current")))))</f>
        <v>Current</v>
      </c>
      <c r="AA636" s="34" t="n">
        <f aca="false">IF(I636="N/A","",IF(Z636&lt;&gt;"Current",4,IF(MAX(M636,T636)=0,4,MAX(M636,T636))))</f>
        <v>3</v>
      </c>
      <c r="AB636" s="7" t="str">
        <f aca="false">IF(AA636="","N/A",IF(Z636&lt;&gt;"Current","Not tested / overdue",INDEX('Residual Config'!$B$11:$B$14,AA636)))</f>
        <v>Partially effective</v>
      </c>
      <c r="AC636" s="36" t="n">
        <f aca="false">IF(AA636="","",INDEX('Residual Config'!$D$11:$D$14,AA636))</f>
        <v>0.2</v>
      </c>
      <c r="AD636" s="7" t="str">
        <f aca="false">IF(OR(I636="N/A",P636="",Q636=""),"",IF(P636&gt;=Q636,"Yes","No"))</f>
        <v>Yes</v>
      </c>
      <c r="AE636" s="8"/>
    </row>
    <row r="637" customFormat="false" ht="15" hidden="false" customHeight="false" outlineLevel="0" collapsed="false">
      <c r="A637" s="12" t="s">
        <v>2308</v>
      </c>
      <c r="B637" s="26" t="str">
        <f aca="false">Entities!$A$19</f>
        <v>IQ</v>
      </c>
      <c r="C637" s="12" t="str">
        <f aca="false">INDEX(Entities!$B$5:$B$34,MATCH(B637,Entities!$A$5:$A$34,0))</f>
        <v>Arab Bank Iraq</v>
      </c>
      <c r="D637" s="7" t="str">
        <f aca="false">INDEX(Entities!$F$5:$F$34,MATCH(B637,Entities!$A$5:$A$34,0))</f>
        <v>Tier 2</v>
      </c>
      <c r="E637" s="26" t="str">
        <f aca="false">'Control Library'!$A$35</f>
        <v>CTL-SH-01</v>
      </c>
      <c r="F637" s="12" t="str">
        <f aca="false">INDEX('Control Library'!$B$5:$B$47,MATCH(E637,'Control Library'!$A$5:$A$47,0))</f>
        <v>Shariah review of products and income purification</v>
      </c>
      <c r="G637" s="7" t="str">
        <f aca="false">INDEX('Control Library'!$F$5:$F$47,MATCH(E637,'Control Library'!$A$5:$A$47,0))</f>
        <v>Y</v>
      </c>
      <c r="H637" s="12" t="str">
        <f aca="false">INDEX('Control Library'!$E$5:$E$47,MATCH(E637,'Control Library'!$A$5:$A$47,0))</f>
        <v>Quarterly</v>
      </c>
      <c r="I637" s="7" t="str">
        <f aca="false">IF(INDEX('Control Library'!$I$5:$I$47,MATCH(E637,'Control Library'!$A$5:$A$47,0))="All","Y",IF(INDEX('Control Library'!$I$5:$I$47,MATCH(E637,'Control Library'!$A$5:$A$47,0))="Banks only",IF(COUNTIF('Residual Config'!$L$28:$L$30,INDEX(Entities!$E$5:$E$34,MATCH(B637,Entities!$A$5:$A$34,0)))&gt;0,"N/A","Y"),IF(INDEX(Entities!$G$5:$G$34,MATCH(B637,Entities!$A$5:$A$34,0))="Y","Y","N/A")))</f>
        <v>N/A</v>
      </c>
      <c r="J637" s="8"/>
      <c r="K637" s="8"/>
      <c r="L637" s="7" t="str">
        <f aca="false">IF(OR(J637="",K637=""),"",IF(J637=K637,"Breach","OK"))</f>
        <v/>
      </c>
      <c r="M637" s="24"/>
      <c r="N637" s="50"/>
      <c r="O637" s="8"/>
      <c r="P637" s="24"/>
      <c r="Q637" s="31" t="str">
        <f aca="false">IF(I637="N/A","",IFERROR(INDEX('Residual Config'!$B$35:$B$42,MATCH(H637,'Residual Config'!$A$35:$A$42,0)),""))</f>
        <v/>
      </c>
      <c r="R637" s="24"/>
      <c r="S637" s="8"/>
      <c r="T637" s="31" t="str">
        <f aca="false">IF(S637="","",MATCH(S637,'Residual Config'!$L$9:$L$12,0))</f>
        <v/>
      </c>
      <c r="U637" s="8"/>
      <c r="V637" s="24"/>
      <c r="W637" s="33"/>
      <c r="X637" s="8"/>
      <c r="Y637" s="51" t="str">
        <f aca="false">IF(N637="","",EDATE(N637,IF(G637="N",INDEX('Residual Config'!$B$31:$D$31,1,MATCH(D637,'Residual Config'!$B$27:$D$27,0)),INDEX('Residual Config'!$B$28:$D$30,IF(T637=1,1,IF(T637=4,3,2)),MATCH(D637,'Residual Config'!$B$27:$D$27,0)))))</f>
        <v/>
      </c>
      <c r="Z637" s="7" t="str">
        <f aca="false">IF(I637="N/A","N/A",IF(N637="","Not tested",IF(W637="Rejected","Evidence rejected",IF(W637&lt;&gt;"Accepted","Evidence pending",IF(Y637&lt;'Residual Config'!$C$4,"Overdue","Current")))))</f>
        <v>N/A</v>
      </c>
      <c r="AA637" s="34" t="str">
        <f aca="false">IF(I637="N/A","",IF(Z637&lt;&gt;"Current",4,IF(MAX(M637,T637)=0,4,MAX(M637,T637))))</f>
        <v/>
      </c>
      <c r="AB637" s="7" t="str">
        <f aca="false">IF(AA637="","N/A",IF(Z637&lt;&gt;"Current","Not tested / overdue",INDEX('Residual Config'!$B$11:$B$14,AA637)))</f>
        <v>N/A</v>
      </c>
      <c r="AC637" s="36" t="str">
        <f aca="false">IF(AA637="","",INDEX('Residual Config'!$D$11:$D$14,AA637))</f>
        <v/>
      </c>
      <c r="AD637" s="7" t="str">
        <f aca="false">IF(OR(I637="N/A",P637="",Q637=""),"",IF(P637&gt;=Q637,"Yes","No"))</f>
        <v/>
      </c>
      <c r="AE637" s="8"/>
    </row>
    <row r="638" customFormat="false" ht="15" hidden="false" customHeight="false" outlineLevel="0" collapsed="false">
      <c r="A638" s="12" t="s">
        <v>2309</v>
      </c>
      <c r="B638" s="26" t="str">
        <f aca="false">Entities!$A$19</f>
        <v>IQ</v>
      </c>
      <c r="C638" s="12" t="str">
        <f aca="false">INDEX(Entities!$B$5:$B$34,MATCH(B638,Entities!$A$5:$A$34,0))</f>
        <v>Arab Bank Iraq</v>
      </c>
      <c r="D638" s="7" t="str">
        <f aca="false">INDEX(Entities!$F$5:$F$34,MATCH(B638,Entities!$A$5:$A$34,0))</f>
        <v>Tier 2</v>
      </c>
      <c r="E638" s="26" t="str">
        <f aca="false">'Control Library'!$A$36</f>
        <v>CTL-CR-01</v>
      </c>
      <c r="F638" s="12" t="str">
        <f aca="false">INDEX('Control Library'!$B$5:$B$47,MATCH(E638,'Control Library'!$A$5:$A$47,0))</f>
        <v>Credit approval authorities and committee review</v>
      </c>
      <c r="G638" s="7" t="str">
        <f aca="false">INDEX('Control Library'!$F$5:$F$47,MATCH(E638,'Control Library'!$A$5:$A$47,0))</f>
        <v>Y</v>
      </c>
      <c r="H638" s="12" t="str">
        <f aca="false">INDEX('Control Library'!$E$5:$E$47,MATCH(E638,'Control Library'!$A$5:$A$47,0))</f>
        <v>Event-driven</v>
      </c>
      <c r="I638" s="7" t="str">
        <f aca="false">IF(INDEX('Control Library'!$I$5:$I$47,MATCH(E638,'Control Library'!$A$5:$A$47,0))="All","Y",IF(INDEX('Control Library'!$I$5:$I$47,MATCH(E638,'Control Library'!$A$5:$A$47,0))="Banks only",IF(COUNTIF('Residual Config'!$L$28:$L$30,INDEX(Entities!$E$5:$E$34,MATCH(B638,Entities!$A$5:$A$34,0)))&gt;0,"N/A","Y"),IF(INDEX(Entities!$G$5:$G$34,MATCH(B638,Entities!$A$5:$A$34,0))="Y","Y","N/A")))</f>
        <v>Y</v>
      </c>
      <c r="J638" s="8" t="s">
        <v>2310</v>
      </c>
      <c r="K638" s="8" t="s">
        <v>2235</v>
      </c>
      <c r="L638" s="7" t="str">
        <f aca="false">IF(OR(J638="",K638=""),"",IF(J638=K638,"Breach","OK"))</f>
        <v>OK</v>
      </c>
      <c r="M638" s="24" t="n">
        <v>2</v>
      </c>
      <c r="N638" s="50" t="n">
        <v>46197</v>
      </c>
      <c r="O638" s="8" t="s">
        <v>545</v>
      </c>
      <c r="P638" s="24" t="n">
        <v>30</v>
      </c>
      <c r="Q638" s="31" t="n">
        <f aca="false">IF(I638="N/A","",IFERROR(INDEX('Residual Config'!$B$35:$B$42,MATCH(H638,'Residual Config'!$A$35:$A$42,0)),""))</f>
        <v>25</v>
      </c>
      <c r="R638" s="24" t="n">
        <v>1</v>
      </c>
      <c r="S638" s="8" t="s">
        <v>521</v>
      </c>
      <c r="T638" s="31" t="n">
        <f aca="false">IF(S638="","",MATCH(S638,'Residual Config'!$L$9:$L$12,0))</f>
        <v>2</v>
      </c>
      <c r="U638" s="8" t="s">
        <v>2311</v>
      </c>
      <c r="V638" s="24" t="n">
        <v>1</v>
      </c>
      <c r="W638" s="33" t="s">
        <v>536</v>
      </c>
      <c r="X638" s="8"/>
      <c r="Y638" s="51" t="n">
        <f aca="false">IF(N638="","",EDATE(N638,IF(G638="N",INDEX('Residual Config'!$B$31:$D$31,1,MATCH(D638,'Residual Config'!$B$27:$D$27,0)),INDEX('Residual Config'!$B$28:$D$30,IF(T638=1,1,IF(T638=4,3,2)),MATCH(D638,'Residual Config'!$B$27:$D$27,0)))))</f>
        <v>46380</v>
      </c>
      <c r="Z638" s="7" t="str">
        <f aca="false">IF(I638="N/A","N/A",IF(N638="","Not tested",IF(W638="Rejected","Evidence rejected",IF(W638&lt;&gt;"Accepted","Evidence pending",IF(Y638&lt;'Residual Config'!$C$4,"Overdue","Current")))))</f>
        <v>Evidence pending</v>
      </c>
      <c r="AA638" s="34" t="n">
        <f aca="false">IF(I638="N/A","",IF(Z638&lt;&gt;"Current",4,IF(MAX(M638,T638)=0,4,MAX(M638,T638))))</f>
        <v>4</v>
      </c>
      <c r="AB638" s="7" t="str">
        <f aca="false">IF(AA638="","N/A",IF(Z638&lt;&gt;"Current","Not tested / overdue",INDEX('Residual Config'!$B$11:$B$14,AA638)))</f>
        <v>Not tested / overdue</v>
      </c>
      <c r="AC638" s="36" t="n">
        <f aca="false">IF(AA638="","",INDEX('Residual Config'!$D$11:$D$14,AA638))</f>
        <v>0</v>
      </c>
      <c r="AD638" s="7" t="str">
        <f aca="false">IF(OR(I638="N/A",P638="",Q638=""),"",IF(P638&gt;=Q638,"Yes","No"))</f>
        <v>Yes</v>
      </c>
      <c r="AE638" s="8"/>
    </row>
    <row r="639" customFormat="false" ht="15" hidden="false" customHeight="false" outlineLevel="0" collapsed="false">
      <c r="A639" s="12" t="s">
        <v>2312</v>
      </c>
      <c r="B639" s="26" t="str">
        <f aca="false">Entities!$A$19</f>
        <v>IQ</v>
      </c>
      <c r="C639" s="12" t="str">
        <f aca="false">INDEX(Entities!$B$5:$B$34,MATCH(B639,Entities!$A$5:$A$34,0))</f>
        <v>Arab Bank Iraq</v>
      </c>
      <c r="D639" s="7" t="str">
        <f aca="false">INDEX(Entities!$F$5:$F$34,MATCH(B639,Entities!$A$5:$A$34,0))</f>
        <v>Tier 2</v>
      </c>
      <c r="E639" s="26" t="str">
        <f aca="false">'Control Library'!$A$37</f>
        <v>CTL-CR-02</v>
      </c>
      <c r="F639" s="12" t="str">
        <f aca="false">INDEX('Control Library'!$B$5:$B$47,MATCH(E639,'Control Library'!$A$5:$A$47,0))</f>
        <v>Collateral valuation and exposure limit monitoring</v>
      </c>
      <c r="G639" s="7" t="str">
        <f aca="false">INDEX('Control Library'!$F$5:$F$47,MATCH(E639,'Control Library'!$A$5:$A$47,0))</f>
        <v>N</v>
      </c>
      <c r="H639" s="12" t="str">
        <f aca="false">INDEX('Control Library'!$E$5:$E$47,MATCH(E639,'Control Library'!$A$5:$A$47,0))</f>
        <v>Monthly</v>
      </c>
      <c r="I639" s="7" t="str">
        <f aca="false">IF(INDEX('Control Library'!$I$5:$I$47,MATCH(E639,'Control Library'!$A$5:$A$47,0))="All","Y",IF(INDEX('Control Library'!$I$5:$I$47,MATCH(E639,'Control Library'!$A$5:$A$47,0))="Banks only",IF(COUNTIF('Residual Config'!$L$28:$L$30,INDEX(Entities!$E$5:$E$34,MATCH(B639,Entities!$A$5:$A$34,0)))&gt;0,"N/A","Y"),IF(INDEX(Entities!$G$5:$G$34,MATCH(B639,Entities!$A$5:$A$34,0))="Y","Y","N/A")))</f>
        <v>Y</v>
      </c>
      <c r="J639" s="8" t="s">
        <v>2313</v>
      </c>
      <c r="K639" s="8" t="s">
        <v>2235</v>
      </c>
      <c r="L639" s="7" t="str">
        <f aca="false">IF(OR(J639="",K639=""),"",IF(J639=K639,"Breach","OK"))</f>
        <v>OK</v>
      </c>
      <c r="M639" s="24" t="n">
        <v>1</v>
      </c>
      <c r="N639" s="50" t="n">
        <v>46264</v>
      </c>
      <c r="O639" s="8" t="s">
        <v>546</v>
      </c>
      <c r="P639" s="24" t="n">
        <v>3</v>
      </c>
      <c r="Q639" s="31" t="n">
        <f aca="false">IF(I639="N/A","",IFERROR(INDEX('Residual Config'!$B$35:$B$42,MATCH(H639,'Residual Config'!$A$35:$A$42,0)),""))</f>
        <v>3</v>
      </c>
      <c r="R639" s="24" t="n">
        <v>1</v>
      </c>
      <c r="S639" s="8" t="s">
        <v>521</v>
      </c>
      <c r="T639" s="31" t="n">
        <f aca="false">IF(S639="","",MATCH(S639,'Residual Config'!$L$9:$L$12,0))</f>
        <v>2</v>
      </c>
      <c r="U639" s="8" t="s">
        <v>2314</v>
      </c>
      <c r="V639" s="24" t="n">
        <v>6</v>
      </c>
      <c r="W639" s="33" t="s">
        <v>533</v>
      </c>
      <c r="X639" s="8" t="s">
        <v>754</v>
      </c>
      <c r="Y639" s="51" t="n">
        <f aca="false">IF(N639="","",EDATE(N639,IF(G639="N",INDEX('Residual Config'!$B$31:$D$31,1,MATCH(D639,'Residual Config'!$B$27:$D$27,0)),INDEX('Residual Config'!$B$28:$D$30,IF(T639=1,1,IF(T639=4,3,2)),MATCH(D639,'Residual Config'!$B$27:$D$27,0)))))</f>
        <v>46629</v>
      </c>
      <c r="Z639" s="7" t="str">
        <f aca="false">IF(I639="N/A","N/A",IF(N639="","Not tested",IF(W639="Rejected","Evidence rejected",IF(W639&lt;&gt;"Accepted","Evidence pending",IF(Y639&lt;'Residual Config'!$C$4,"Overdue","Current")))))</f>
        <v>Current</v>
      </c>
      <c r="AA639" s="34" t="n">
        <f aca="false">IF(I639="N/A","",IF(Z639&lt;&gt;"Current",4,IF(MAX(M639,T639)=0,4,MAX(M639,T639))))</f>
        <v>2</v>
      </c>
      <c r="AB639" s="7" t="str">
        <f aca="false">IF(AA639="","N/A",IF(Z639&lt;&gt;"Current","Not tested / overdue",INDEX('Residual Config'!$B$11:$B$14,AA639)))</f>
        <v>Largely effective</v>
      </c>
      <c r="AC639" s="36" t="n">
        <f aca="false">IF(AA639="","",INDEX('Residual Config'!$D$11:$D$14,AA639))</f>
        <v>0.4</v>
      </c>
      <c r="AD639" s="7" t="str">
        <f aca="false">IF(OR(I639="N/A",P639="",Q639=""),"",IF(P639&gt;=Q639,"Yes","No"))</f>
        <v>Yes</v>
      </c>
      <c r="AE639" s="8"/>
    </row>
    <row r="640" customFormat="false" ht="15" hidden="false" customHeight="false" outlineLevel="0" collapsed="false">
      <c r="A640" s="12" t="s">
        <v>2315</v>
      </c>
      <c r="B640" s="26" t="str">
        <f aca="false">Entities!$A$19</f>
        <v>IQ</v>
      </c>
      <c r="C640" s="12" t="str">
        <f aca="false">INDEX(Entities!$B$5:$B$34,MATCH(B640,Entities!$A$5:$A$34,0))</f>
        <v>Arab Bank Iraq</v>
      </c>
      <c r="D640" s="7" t="str">
        <f aca="false">INDEX(Entities!$F$5:$F$34,MATCH(B640,Entities!$A$5:$A$34,0))</f>
        <v>Tier 2</v>
      </c>
      <c r="E640" s="26" t="str">
        <f aca="false">'Control Library'!$A$38</f>
        <v>CTL-MR-01</v>
      </c>
      <c r="F640" s="12" t="str">
        <f aca="false">INDEX('Control Library'!$B$5:$B$47,MATCH(E640,'Control Library'!$A$5:$A$47,0))</f>
        <v>Market risk limits and daily VaR monitoring</v>
      </c>
      <c r="G640" s="7" t="str">
        <f aca="false">INDEX('Control Library'!$F$5:$F$47,MATCH(E640,'Control Library'!$A$5:$A$47,0))</f>
        <v>Y</v>
      </c>
      <c r="H640" s="12" t="str">
        <f aca="false">INDEX('Control Library'!$E$5:$E$47,MATCH(E640,'Control Library'!$A$5:$A$47,0))</f>
        <v>Daily</v>
      </c>
      <c r="I640" s="7" t="str">
        <f aca="false">IF(INDEX('Control Library'!$I$5:$I$47,MATCH(E640,'Control Library'!$A$5:$A$47,0))="All","Y",IF(INDEX('Control Library'!$I$5:$I$47,MATCH(E640,'Control Library'!$A$5:$A$47,0))="Banks only",IF(COUNTIF('Residual Config'!$L$28:$L$30,INDEX(Entities!$E$5:$E$34,MATCH(B640,Entities!$A$5:$A$34,0)))&gt;0,"N/A","Y"),IF(INDEX(Entities!$G$5:$G$34,MATCH(B640,Entities!$A$5:$A$34,0))="Y","Y","N/A")))</f>
        <v>Y</v>
      </c>
      <c r="J640" s="8" t="s">
        <v>2313</v>
      </c>
      <c r="K640" s="8" t="s">
        <v>2235</v>
      </c>
      <c r="L640" s="7" t="str">
        <f aca="false">IF(OR(J640="",K640=""),"",IF(J640=K640,"Breach","OK"))</f>
        <v>OK</v>
      </c>
      <c r="M640" s="24" t="n">
        <v>2</v>
      </c>
      <c r="N640" s="50" t="n">
        <v>46052</v>
      </c>
      <c r="O640" s="8" t="s">
        <v>546</v>
      </c>
      <c r="P640" s="24" t="n">
        <v>25</v>
      </c>
      <c r="Q640" s="31" t="n">
        <f aca="false">IF(I640="N/A","",IFERROR(INDEX('Residual Config'!$B$35:$B$42,MATCH(H640,'Residual Config'!$A$35:$A$42,0)),""))</f>
        <v>25</v>
      </c>
      <c r="R640" s="24" t="n">
        <v>1</v>
      </c>
      <c r="S640" s="8" t="s">
        <v>521</v>
      </c>
      <c r="T640" s="31" t="n">
        <f aca="false">IF(S640="","",MATCH(S640,'Residual Config'!$L$9:$L$12,0))</f>
        <v>2</v>
      </c>
      <c r="U640" s="8" t="s">
        <v>2316</v>
      </c>
      <c r="V640" s="24" t="n">
        <v>2</v>
      </c>
      <c r="W640" s="33" t="s">
        <v>533</v>
      </c>
      <c r="X640" s="8" t="s">
        <v>760</v>
      </c>
      <c r="Y640" s="51" t="n">
        <f aca="false">IF(N640="","",EDATE(N640,IF(G640="N",INDEX('Residual Config'!$B$31:$D$31,1,MATCH(D640,'Residual Config'!$B$27:$D$27,0)),INDEX('Residual Config'!$B$28:$D$30,IF(T640=1,1,IF(T640=4,3,2)),MATCH(D640,'Residual Config'!$B$27:$D$27,0)))))</f>
        <v>46233</v>
      </c>
      <c r="Z640" s="7" t="str">
        <f aca="false">IF(I640="N/A","N/A",IF(N640="","Not tested",IF(W640="Rejected","Evidence rejected",IF(W640&lt;&gt;"Accepted","Evidence pending",IF(Y640&lt;'Residual Config'!$C$4,"Overdue","Current")))))</f>
        <v>Overdue</v>
      </c>
      <c r="AA640" s="34" t="n">
        <f aca="false">IF(I640="N/A","",IF(Z640&lt;&gt;"Current",4,IF(MAX(M640,T640)=0,4,MAX(M640,T640))))</f>
        <v>4</v>
      </c>
      <c r="AB640" s="7" t="str">
        <f aca="false">IF(AA640="","N/A",IF(Z640&lt;&gt;"Current","Not tested / overdue",INDEX('Residual Config'!$B$11:$B$14,AA640)))</f>
        <v>Not tested / overdue</v>
      </c>
      <c r="AC640" s="36" t="n">
        <f aca="false">IF(AA640="","",INDEX('Residual Config'!$D$11:$D$14,AA640))</f>
        <v>0</v>
      </c>
      <c r="AD640" s="7" t="str">
        <f aca="false">IF(OR(I640="N/A",P640="",Q640=""),"",IF(P640&gt;=Q640,"Yes","No"))</f>
        <v>Yes</v>
      </c>
      <c r="AE640" s="8"/>
    </row>
    <row r="641" customFormat="false" ht="15" hidden="false" customHeight="false" outlineLevel="0" collapsed="false">
      <c r="A641" s="12" t="s">
        <v>2317</v>
      </c>
      <c r="B641" s="26" t="str">
        <f aca="false">Entities!$A$19</f>
        <v>IQ</v>
      </c>
      <c r="C641" s="12" t="str">
        <f aca="false">INDEX(Entities!$B$5:$B$34,MATCH(B641,Entities!$A$5:$A$34,0))</f>
        <v>Arab Bank Iraq</v>
      </c>
      <c r="D641" s="7" t="str">
        <f aca="false">INDEX(Entities!$F$5:$F$34,MATCH(B641,Entities!$A$5:$A$34,0))</f>
        <v>Tier 2</v>
      </c>
      <c r="E641" s="26" t="str">
        <f aca="false">'Control Library'!$A$39</f>
        <v>CTL-LQ-01</v>
      </c>
      <c r="F641" s="12" t="str">
        <f aca="false">INDEX('Control Library'!$B$5:$B$47,MATCH(E641,'Control Library'!$A$5:$A$47,0))</f>
        <v>Liquidity buffers, LCR/NSFR monitoring and contingency funding plan</v>
      </c>
      <c r="G641" s="7" t="str">
        <f aca="false">INDEX('Control Library'!$F$5:$F$47,MATCH(E641,'Control Library'!$A$5:$A$47,0))</f>
        <v>Y</v>
      </c>
      <c r="H641" s="12" t="str">
        <f aca="false">INDEX('Control Library'!$E$5:$E$47,MATCH(E641,'Control Library'!$A$5:$A$47,0))</f>
        <v>Daily</v>
      </c>
      <c r="I641" s="7" t="str">
        <f aca="false">IF(INDEX('Control Library'!$I$5:$I$47,MATCH(E641,'Control Library'!$A$5:$A$47,0))="All","Y",IF(INDEX('Control Library'!$I$5:$I$47,MATCH(E641,'Control Library'!$A$5:$A$47,0))="Banks only",IF(COUNTIF('Residual Config'!$L$28:$L$30,INDEX(Entities!$E$5:$E$34,MATCH(B641,Entities!$A$5:$A$34,0)))&gt;0,"N/A","Y"),IF(INDEX(Entities!$G$5:$G$34,MATCH(B641,Entities!$A$5:$A$34,0))="Y","Y","N/A")))</f>
        <v>Y</v>
      </c>
      <c r="J641" s="8" t="s">
        <v>2318</v>
      </c>
      <c r="K641" s="8" t="s">
        <v>2235</v>
      </c>
      <c r="L641" s="7" t="str">
        <f aca="false">IF(OR(J641="",K641=""),"",IF(J641=K641,"Breach","OK"))</f>
        <v>OK</v>
      </c>
      <c r="M641" s="24" t="n">
        <v>1</v>
      </c>
      <c r="N641" s="50" t="n">
        <v>46187</v>
      </c>
      <c r="O641" s="8" t="s">
        <v>546</v>
      </c>
      <c r="P641" s="24" t="n">
        <v>25</v>
      </c>
      <c r="Q641" s="31" t="n">
        <f aca="false">IF(I641="N/A","",IFERROR(INDEX('Residual Config'!$B$35:$B$42,MATCH(H641,'Residual Config'!$A$35:$A$42,0)),""))</f>
        <v>25</v>
      </c>
      <c r="R641" s="24" t="n">
        <v>1</v>
      </c>
      <c r="S641" s="8" t="s">
        <v>521</v>
      </c>
      <c r="T641" s="31" t="n">
        <f aca="false">IF(S641="","",MATCH(S641,'Residual Config'!$L$9:$L$12,0))</f>
        <v>2</v>
      </c>
      <c r="U641" s="8" t="s">
        <v>2319</v>
      </c>
      <c r="V641" s="24" t="n">
        <v>6</v>
      </c>
      <c r="W641" s="33" t="s">
        <v>533</v>
      </c>
      <c r="X641" s="8" t="s">
        <v>760</v>
      </c>
      <c r="Y641" s="51" t="n">
        <f aca="false">IF(N641="","",EDATE(N641,IF(G641="N",INDEX('Residual Config'!$B$31:$D$31,1,MATCH(D641,'Residual Config'!$B$27:$D$27,0)),INDEX('Residual Config'!$B$28:$D$30,IF(T641=1,1,IF(T641=4,3,2)),MATCH(D641,'Residual Config'!$B$27:$D$27,0)))))</f>
        <v>46370</v>
      </c>
      <c r="Z641" s="7" t="str">
        <f aca="false">IF(I641="N/A","N/A",IF(N641="","Not tested",IF(W641="Rejected","Evidence rejected",IF(W641&lt;&gt;"Accepted","Evidence pending",IF(Y641&lt;'Residual Config'!$C$4,"Overdue","Current")))))</f>
        <v>Current</v>
      </c>
      <c r="AA641" s="34" t="n">
        <f aca="false">IF(I641="N/A","",IF(Z641&lt;&gt;"Current",4,IF(MAX(M641,T641)=0,4,MAX(M641,T641))))</f>
        <v>2</v>
      </c>
      <c r="AB641" s="7" t="str">
        <f aca="false">IF(AA641="","N/A",IF(Z641&lt;&gt;"Current","Not tested / overdue",INDEX('Residual Config'!$B$11:$B$14,AA641)))</f>
        <v>Largely effective</v>
      </c>
      <c r="AC641" s="36" t="n">
        <f aca="false">IF(AA641="","",INDEX('Residual Config'!$D$11:$D$14,AA641))</f>
        <v>0.4</v>
      </c>
      <c r="AD641" s="7" t="str">
        <f aca="false">IF(OR(I641="N/A",P641="",Q641=""),"",IF(P641&gt;=Q641,"Yes","No"))</f>
        <v>Yes</v>
      </c>
      <c r="AE641" s="8"/>
    </row>
    <row r="642" customFormat="false" ht="15" hidden="false" customHeight="false" outlineLevel="0" collapsed="false">
      <c r="A642" s="12" t="s">
        <v>2320</v>
      </c>
      <c r="B642" s="26" t="str">
        <f aca="false">Entities!$A$19</f>
        <v>IQ</v>
      </c>
      <c r="C642" s="12" t="str">
        <f aca="false">INDEX(Entities!$B$5:$B$34,MATCH(B642,Entities!$A$5:$A$34,0))</f>
        <v>Arab Bank Iraq</v>
      </c>
      <c r="D642" s="7" t="str">
        <f aca="false">INDEX(Entities!$F$5:$F$34,MATCH(B642,Entities!$A$5:$A$34,0))</f>
        <v>Tier 2</v>
      </c>
      <c r="E642" s="26" t="str">
        <f aca="false">'Control Library'!$A$40</f>
        <v>CTL-OR-01</v>
      </c>
      <c r="F642" s="12" t="str">
        <f aca="false">INDEX('Control Library'!$B$5:$B$47,MATCH(E642,'Control Library'!$A$5:$A$47,0))</f>
        <v>Business continuity plans and annual testing</v>
      </c>
      <c r="G642" s="7" t="str">
        <f aca="false">INDEX('Control Library'!$F$5:$F$47,MATCH(E642,'Control Library'!$A$5:$A$47,0))</f>
        <v>Y</v>
      </c>
      <c r="H642" s="12" t="str">
        <f aca="false">INDEX('Control Library'!$E$5:$E$47,MATCH(E642,'Control Library'!$A$5:$A$47,0))</f>
        <v>Annual</v>
      </c>
      <c r="I642" s="7" t="str">
        <f aca="false">IF(INDEX('Control Library'!$I$5:$I$47,MATCH(E642,'Control Library'!$A$5:$A$47,0))="All","Y",IF(INDEX('Control Library'!$I$5:$I$47,MATCH(E642,'Control Library'!$A$5:$A$47,0))="Banks only",IF(COUNTIF('Residual Config'!$L$28:$L$30,INDEX(Entities!$E$5:$E$34,MATCH(B642,Entities!$A$5:$A$34,0)))&gt;0,"N/A","Y"),IF(INDEX(Entities!$G$5:$G$34,MATCH(B642,Entities!$A$5:$A$34,0))="Y","Y","N/A")))</f>
        <v>Y</v>
      </c>
      <c r="J642" s="8" t="s">
        <v>2321</v>
      </c>
      <c r="K642" s="8" t="s">
        <v>2235</v>
      </c>
      <c r="L642" s="7" t="str">
        <f aca="false">IF(OR(J642="",K642=""),"",IF(J642=K642,"Breach","OK"))</f>
        <v>OK</v>
      </c>
      <c r="M642" s="24" t="n">
        <v>1</v>
      </c>
      <c r="N642" s="50" t="n">
        <v>46176</v>
      </c>
      <c r="O642" s="8" t="s">
        <v>546</v>
      </c>
      <c r="P642" s="24" t="n">
        <v>1</v>
      </c>
      <c r="Q642" s="31" t="n">
        <f aca="false">IF(I642="N/A","",IFERROR(INDEX('Residual Config'!$B$35:$B$42,MATCH(H642,'Residual Config'!$A$35:$A$42,0)),""))</f>
        <v>1</v>
      </c>
      <c r="R642" s="24" t="n">
        <v>1</v>
      </c>
      <c r="S642" s="8" t="s">
        <v>521</v>
      </c>
      <c r="T642" s="31" t="n">
        <f aca="false">IF(S642="","",MATCH(S642,'Residual Config'!$L$9:$L$12,0))</f>
        <v>2</v>
      </c>
      <c r="U642" s="8" t="s">
        <v>2322</v>
      </c>
      <c r="V642" s="24" t="n">
        <v>5</v>
      </c>
      <c r="W642" s="33" t="s">
        <v>533</v>
      </c>
      <c r="X642" s="8" t="s">
        <v>760</v>
      </c>
      <c r="Y642" s="51" t="n">
        <f aca="false">IF(N642="","",EDATE(N642,IF(G642="N",INDEX('Residual Config'!$B$31:$D$31,1,MATCH(D642,'Residual Config'!$B$27:$D$27,0)),INDEX('Residual Config'!$B$28:$D$30,IF(T642=1,1,IF(T642=4,3,2)),MATCH(D642,'Residual Config'!$B$27:$D$27,0)))))</f>
        <v>46359</v>
      </c>
      <c r="Z642" s="7" t="str">
        <f aca="false">IF(I642="N/A","N/A",IF(N642="","Not tested",IF(W642="Rejected","Evidence rejected",IF(W642&lt;&gt;"Accepted","Evidence pending",IF(Y642&lt;'Residual Config'!$C$4,"Overdue","Current")))))</f>
        <v>Current</v>
      </c>
      <c r="AA642" s="34" t="n">
        <f aca="false">IF(I642="N/A","",IF(Z642&lt;&gt;"Current",4,IF(MAX(M642,T642)=0,4,MAX(M642,T642))))</f>
        <v>2</v>
      </c>
      <c r="AB642" s="7" t="str">
        <f aca="false">IF(AA642="","N/A",IF(Z642&lt;&gt;"Current","Not tested / overdue",INDEX('Residual Config'!$B$11:$B$14,AA642)))</f>
        <v>Largely effective</v>
      </c>
      <c r="AC642" s="36" t="n">
        <f aca="false">IF(AA642="","",INDEX('Residual Config'!$D$11:$D$14,AA642))</f>
        <v>0.4</v>
      </c>
      <c r="AD642" s="7" t="str">
        <f aca="false">IF(OR(I642="N/A",P642="",Q642=""),"",IF(P642&gt;=Q642,"Yes","No"))</f>
        <v>Yes</v>
      </c>
      <c r="AE642" s="8"/>
    </row>
    <row r="643" customFormat="false" ht="15" hidden="false" customHeight="false" outlineLevel="0" collapsed="false">
      <c r="A643" s="12" t="s">
        <v>2323</v>
      </c>
      <c r="B643" s="26" t="str">
        <f aca="false">Entities!$A$19</f>
        <v>IQ</v>
      </c>
      <c r="C643" s="12" t="str">
        <f aca="false">INDEX(Entities!$B$5:$B$34,MATCH(B643,Entities!$A$5:$A$34,0))</f>
        <v>Arab Bank Iraq</v>
      </c>
      <c r="D643" s="7" t="str">
        <f aca="false">INDEX(Entities!$F$5:$F$34,MATCH(B643,Entities!$A$5:$A$34,0))</f>
        <v>Tier 2</v>
      </c>
      <c r="E643" s="26" t="str">
        <f aca="false">'Control Library'!$A$41</f>
        <v>CTL-OR-02</v>
      </c>
      <c r="F643" s="12" t="str">
        <f aca="false">INDEX('Control Library'!$B$5:$B$47,MATCH(E643,'Control Library'!$A$5:$A$47,0))</f>
        <v>Operational loss event capture and RCSA</v>
      </c>
      <c r="G643" s="7" t="str">
        <f aca="false">INDEX('Control Library'!$F$5:$F$47,MATCH(E643,'Control Library'!$A$5:$A$47,0))</f>
        <v>N</v>
      </c>
      <c r="H643" s="12" t="str">
        <f aca="false">INDEX('Control Library'!$E$5:$E$47,MATCH(E643,'Control Library'!$A$5:$A$47,0))</f>
        <v>Quarterly</v>
      </c>
      <c r="I643" s="7" t="str">
        <f aca="false">IF(INDEX('Control Library'!$I$5:$I$47,MATCH(E643,'Control Library'!$A$5:$A$47,0))="All","Y",IF(INDEX('Control Library'!$I$5:$I$47,MATCH(E643,'Control Library'!$A$5:$A$47,0))="Banks only",IF(COUNTIF('Residual Config'!$L$28:$L$30,INDEX(Entities!$E$5:$E$34,MATCH(B643,Entities!$A$5:$A$34,0)))&gt;0,"N/A","Y"),IF(INDEX(Entities!$G$5:$G$34,MATCH(B643,Entities!$A$5:$A$34,0))="Y","Y","N/A")))</f>
        <v>Y</v>
      </c>
      <c r="J643" s="8" t="s">
        <v>2313</v>
      </c>
      <c r="K643" s="8" t="s">
        <v>2235</v>
      </c>
      <c r="L643" s="7" t="str">
        <f aca="false">IF(OR(J643="",K643=""),"",IF(J643=K643,"Breach","OK"))</f>
        <v>OK</v>
      </c>
      <c r="M643" s="24" t="n">
        <v>2</v>
      </c>
      <c r="N643" s="50" t="n">
        <v>46139</v>
      </c>
      <c r="O643" s="8" t="s">
        <v>545</v>
      </c>
      <c r="P643" s="24" t="n">
        <v>2</v>
      </c>
      <c r="Q643" s="31" t="n">
        <f aca="false">IF(I643="N/A","",IFERROR(INDEX('Residual Config'!$B$35:$B$42,MATCH(H643,'Residual Config'!$A$35:$A$42,0)),""))</f>
        <v>2</v>
      </c>
      <c r="R643" s="24" t="n">
        <v>1</v>
      </c>
      <c r="S643" s="8" t="s">
        <v>521</v>
      </c>
      <c r="T643" s="31" t="n">
        <f aca="false">IF(S643="","",MATCH(S643,'Residual Config'!$L$9:$L$12,0))</f>
        <v>2</v>
      </c>
      <c r="U643" s="8" t="s">
        <v>2324</v>
      </c>
      <c r="V643" s="24" t="n">
        <v>5</v>
      </c>
      <c r="W643" s="33" t="s">
        <v>533</v>
      </c>
      <c r="X643" s="8" t="s">
        <v>760</v>
      </c>
      <c r="Y643" s="51" t="n">
        <f aca="false">IF(N643="","",EDATE(N643,IF(G643="N",INDEX('Residual Config'!$B$31:$D$31,1,MATCH(D643,'Residual Config'!$B$27:$D$27,0)),INDEX('Residual Config'!$B$28:$D$30,IF(T643=1,1,IF(T643=4,3,2)),MATCH(D643,'Residual Config'!$B$27:$D$27,0)))))</f>
        <v>46504</v>
      </c>
      <c r="Z643" s="7" t="str">
        <f aca="false">IF(I643="N/A","N/A",IF(N643="","Not tested",IF(W643="Rejected","Evidence rejected",IF(W643&lt;&gt;"Accepted","Evidence pending",IF(Y643&lt;'Residual Config'!$C$4,"Overdue","Current")))))</f>
        <v>Current</v>
      </c>
      <c r="AA643" s="34" t="n">
        <f aca="false">IF(I643="N/A","",IF(Z643&lt;&gt;"Current",4,IF(MAX(M643,T643)=0,4,MAX(M643,T643))))</f>
        <v>2</v>
      </c>
      <c r="AB643" s="7" t="str">
        <f aca="false">IF(AA643="","N/A",IF(Z643&lt;&gt;"Current","Not tested / overdue",INDEX('Residual Config'!$B$11:$B$14,AA643)))</f>
        <v>Largely effective</v>
      </c>
      <c r="AC643" s="36" t="n">
        <f aca="false">IF(AA643="","",INDEX('Residual Config'!$D$11:$D$14,AA643))</f>
        <v>0.4</v>
      </c>
      <c r="AD643" s="7" t="str">
        <f aca="false">IF(OR(I643="N/A",P643="",Q643=""),"",IF(P643&gt;=Q643,"Yes","No"))</f>
        <v>Yes</v>
      </c>
      <c r="AE643" s="8"/>
    </row>
    <row r="644" customFormat="false" ht="15" hidden="false" customHeight="false" outlineLevel="0" collapsed="false">
      <c r="A644" s="12" t="s">
        <v>2325</v>
      </c>
      <c r="B644" s="26" t="str">
        <f aca="false">Entities!$A$19</f>
        <v>IQ</v>
      </c>
      <c r="C644" s="12" t="str">
        <f aca="false">INDEX(Entities!$B$5:$B$34,MATCH(B644,Entities!$A$5:$A$34,0))</f>
        <v>Arab Bank Iraq</v>
      </c>
      <c r="D644" s="7" t="str">
        <f aca="false">INDEX(Entities!$F$5:$F$34,MATCH(B644,Entities!$A$5:$A$34,0))</f>
        <v>Tier 2</v>
      </c>
      <c r="E644" s="26" t="str">
        <f aca="false">'Control Library'!$A$42</f>
        <v>CTL-CY-01</v>
      </c>
      <c r="F644" s="12" t="str">
        <f aca="false">INDEX('Control Library'!$B$5:$B$47,MATCH(E644,'Control Library'!$A$5:$A$47,0))</f>
        <v>Vulnerability and patch management</v>
      </c>
      <c r="G644" s="7" t="str">
        <f aca="false">INDEX('Control Library'!$F$5:$F$47,MATCH(E644,'Control Library'!$A$5:$A$47,0))</f>
        <v>Y</v>
      </c>
      <c r="H644" s="12" t="str">
        <f aca="false">INDEX('Control Library'!$E$5:$E$47,MATCH(E644,'Control Library'!$A$5:$A$47,0))</f>
        <v>Monthly</v>
      </c>
      <c r="I644" s="7" t="str">
        <f aca="false">IF(INDEX('Control Library'!$I$5:$I$47,MATCH(E644,'Control Library'!$A$5:$A$47,0))="All","Y",IF(INDEX('Control Library'!$I$5:$I$47,MATCH(E644,'Control Library'!$A$5:$A$47,0))="Banks only",IF(COUNTIF('Residual Config'!$L$28:$L$30,INDEX(Entities!$E$5:$E$34,MATCH(B644,Entities!$A$5:$A$34,0)))&gt;0,"N/A","Y"),IF(INDEX(Entities!$G$5:$G$34,MATCH(B644,Entities!$A$5:$A$34,0))="Y","Y","N/A")))</f>
        <v>Y</v>
      </c>
      <c r="J644" s="8" t="s">
        <v>2259</v>
      </c>
      <c r="K644" s="8" t="s">
        <v>2235</v>
      </c>
      <c r="L644" s="7" t="str">
        <f aca="false">IF(OR(J644="",K644=""),"",IF(J644=K644,"Breach","OK"))</f>
        <v>OK</v>
      </c>
      <c r="M644" s="24" t="n">
        <v>2</v>
      </c>
      <c r="N644" s="50" t="n">
        <v>46178</v>
      </c>
      <c r="O644" s="8" t="s">
        <v>545</v>
      </c>
      <c r="P644" s="24" t="n">
        <v>3</v>
      </c>
      <c r="Q644" s="31" t="n">
        <f aca="false">IF(I644="N/A","",IFERROR(INDEX('Residual Config'!$B$35:$B$42,MATCH(H644,'Residual Config'!$A$35:$A$42,0)),""))</f>
        <v>3</v>
      </c>
      <c r="R644" s="24" t="n">
        <v>0</v>
      </c>
      <c r="S644" s="8" t="s">
        <v>516</v>
      </c>
      <c r="T644" s="31" t="n">
        <f aca="false">IF(S644="","",MATCH(S644,'Residual Config'!$L$9:$L$12,0))</f>
        <v>1</v>
      </c>
      <c r="U644" s="8" t="s">
        <v>2326</v>
      </c>
      <c r="V644" s="24" t="n">
        <v>6</v>
      </c>
      <c r="W644" s="33" t="s">
        <v>533</v>
      </c>
      <c r="X644" s="8" t="s">
        <v>754</v>
      </c>
      <c r="Y644" s="51" t="n">
        <f aca="false">IF(N644="","",EDATE(N644,IF(G644="N",INDEX('Residual Config'!$B$31:$D$31,1,MATCH(D644,'Residual Config'!$B$27:$D$27,0)),INDEX('Residual Config'!$B$28:$D$30,IF(T644=1,1,IF(T644=4,3,2)),MATCH(D644,'Residual Config'!$B$27:$D$27,0)))))</f>
        <v>46543</v>
      </c>
      <c r="Z644" s="7" t="str">
        <f aca="false">IF(I644="N/A","N/A",IF(N644="","Not tested",IF(W644="Rejected","Evidence rejected",IF(W644&lt;&gt;"Accepted","Evidence pending",IF(Y644&lt;'Residual Config'!$C$4,"Overdue","Current")))))</f>
        <v>Current</v>
      </c>
      <c r="AA644" s="34" t="n">
        <f aca="false">IF(I644="N/A","",IF(Z644&lt;&gt;"Current",4,IF(MAX(M644,T644)=0,4,MAX(M644,T644))))</f>
        <v>2</v>
      </c>
      <c r="AB644" s="7" t="str">
        <f aca="false">IF(AA644="","N/A",IF(Z644&lt;&gt;"Current","Not tested / overdue",INDEX('Residual Config'!$B$11:$B$14,AA644)))</f>
        <v>Largely effective</v>
      </c>
      <c r="AC644" s="36" t="n">
        <f aca="false">IF(AA644="","",INDEX('Residual Config'!$D$11:$D$14,AA644))</f>
        <v>0.4</v>
      </c>
      <c r="AD644" s="7" t="str">
        <f aca="false">IF(OR(I644="N/A",P644="",Q644=""),"",IF(P644&gt;=Q644,"Yes","No"))</f>
        <v>Yes</v>
      </c>
      <c r="AE644" s="8"/>
    </row>
    <row r="645" customFormat="false" ht="15" hidden="false" customHeight="false" outlineLevel="0" collapsed="false">
      <c r="A645" s="12" t="s">
        <v>2327</v>
      </c>
      <c r="B645" s="26" t="str">
        <f aca="false">Entities!$A$19</f>
        <v>IQ</v>
      </c>
      <c r="C645" s="12" t="str">
        <f aca="false">INDEX(Entities!$B$5:$B$34,MATCH(B645,Entities!$A$5:$A$34,0))</f>
        <v>Arab Bank Iraq</v>
      </c>
      <c r="D645" s="7" t="str">
        <f aca="false">INDEX(Entities!$F$5:$F$34,MATCH(B645,Entities!$A$5:$A$34,0))</f>
        <v>Tier 2</v>
      </c>
      <c r="E645" s="26" t="str">
        <f aca="false">'Control Library'!$A$43</f>
        <v>CTL-CY-02</v>
      </c>
      <c r="F645" s="12" t="str">
        <f aca="false">INDEX('Control Library'!$B$5:$B$47,MATCH(E645,'Control Library'!$A$5:$A$47,0))</f>
        <v>Privileged access management and SOC monitoring</v>
      </c>
      <c r="G645" s="7" t="str">
        <f aca="false">INDEX('Control Library'!$F$5:$F$47,MATCH(E645,'Control Library'!$A$5:$A$47,0))</f>
        <v>Y</v>
      </c>
      <c r="H645" s="12" t="str">
        <f aca="false">INDEX('Control Library'!$E$5:$E$47,MATCH(E645,'Control Library'!$A$5:$A$47,0))</f>
        <v>Continuous</v>
      </c>
      <c r="I645" s="7" t="str">
        <f aca="false">IF(INDEX('Control Library'!$I$5:$I$47,MATCH(E645,'Control Library'!$A$5:$A$47,0))="All","Y",IF(INDEX('Control Library'!$I$5:$I$47,MATCH(E645,'Control Library'!$A$5:$A$47,0))="Banks only",IF(COUNTIF('Residual Config'!$L$28:$L$30,INDEX(Entities!$E$5:$E$34,MATCH(B645,Entities!$A$5:$A$34,0)))&gt;0,"N/A","Y"),IF(INDEX(Entities!$G$5:$G$34,MATCH(B645,Entities!$A$5:$A$34,0))="Y","Y","N/A")))</f>
        <v>Y</v>
      </c>
      <c r="J645" s="8" t="s">
        <v>2306</v>
      </c>
      <c r="K645" s="8" t="s">
        <v>2235</v>
      </c>
      <c r="L645" s="7" t="str">
        <f aca="false">IF(OR(J645="",K645=""),"",IF(J645=K645,"Breach","OK"))</f>
        <v>OK</v>
      </c>
      <c r="M645" s="24" t="n">
        <v>3</v>
      </c>
      <c r="N645" s="50" t="n">
        <v>46197</v>
      </c>
      <c r="O645" s="8" t="s">
        <v>547</v>
      </c>
      <c r="P645" s="24" t="n">
        <v>1</v>
      </c>
      <c r="Q645" s="31" t="n">
        <f aca="false">IF(I645="N/A","",IFERROR(INDEX('Residual Config'!$B$35:$B$42,MATCH(H645,'Residual Config'!$A$35:$A$42,0)),""))</f>
        <v>1</v>
      </c>
      <c r="R645" s="24" t="n">
        <v>1</v>
      </c>
      <c r="S645" s="8" t="s">
        <v>521</v>
      </c>
      <c r="T645" s="31" t="n">
        <f aca="false">IF(S645="","",MATCH(S645,'Residual Config'!$L$9:$L$12,0))</f>
        <v>2</v>
      </c>
      <c r="U645" s="8" t="s">
        <v>2328</v>
      </c>
      <c r="V645" s="24" t="n">
        <v>5</v>
      </c>
      <c r="W645" s="33" t="s">
        <v>533</v>
      </c>
      <c r="X645" s="8" t="s">
        <v>760</v>
      </c>
      <c r="Y645" s="51" t="n">
        <f aca="false">IF(N645="","",EDATE(N645,IF(G645="N",INDEX('Residual Config'!$B$31:$D$31,1,MATCH(D645,'Residual Config'!$B$27:$D$27,0)),INDEX('Residual Config'!$B$28:$D$30,IF(T645=1,1,IF(T645=4,3,2)),MATCH(D645,'Residual Config'!$B$27:$D$27,0)))))</f>
        <v>46380</v>
      </c>
      <c r="Z645" s="7" t="str">
        <f aca="false">IF(I645="N/A","N/A",IF(N645="","Not tested",IF(W645="Rejected","Evidence rejected",IF(W645&lt;&gt;"Accepted","Evidence pending",IF(Y645&lt;'Residual Config'!$C$4,"Overdue","Current")))))</f>
        <v>Current</v>
      </c>
      <c r="AA645" s="34" t="n">
        <f aca="false">IF(I645="N/A","",IF(Z645&lt;&gt;"Current",4,IF(MAX(M645,T645)=0,4,MAX(M645,T645))))</f>
        <v>3</v>
      </c>
      <c r="AB645" s="7" t="str">
        <f aca="false">IF(AA645="","N/A",IF(Z645&lt;&gt;"Current","Not tested / overdue",INDEX('Residual Config'!$B$11:$B$14,AA645)))</f>
        <v>Partially effective</v>
      </c>
      <c r="AC645" s="36" t="n">
        <f aca="false">IF(AA645="","",INDEX('Residual Config'!$D$11:$D$14,AA645))</f>
        <v>0.2</v>
      </c>
      <c r="AD645" s="7" t="str">
        <f aca="false">IF(OR(I645="N/A",P645="",Q645=""),"",IF(P645&gt;=Q645,"Yes","No"))</f>
        <v>Yes</v>
      </c>
      <c r="AE645" s="8"/>
    </row>
    <row r="646" customFormat="false" ht="15" hidden="false" customHeight="false" outlineLevel="0" collapsed="false">
      <c r="A646" s="12" t="s">
        <v>2329</v>
      </c>
      <c r="B646" s="26" t="str">
        <f aca="false">Entities!$A$19</f>
        <v>IQ</v>
      </c>
      <c r="C646" s="12" t="str">
        <f aca="false">INDEX(Entities!$B$5:$B$34,MATCH(B646,Entities!$A$5:$A$34,0))</f>
        <v>Arab Bank Iraq</v>
      </c>
      <c r="D646" s="7" t="str">
        <f aca="false">INDEX(Entities!$F$5:$F$34,MATCH(B646,Entities!$A$5:$A$34,0))</f>
        <v>Tier 2</v>
      </c>
      <c r="E646" s="26" t="str">
        <f aca="false">'Control Library'!$A$44</f>
        <v>CTL-TP-01</v>
      </c>
      <c r="F646" s="12" t="str">
        <f aca="false">INDEX('Control Library'!$B$5:$B$47,MATCH(E646,'Control Library'!$A$5:$A$47,0))</f>
        <v>Critical vendor due diligence and tested exit plans</v>
      </c>
      <c r="G646" s="7" t="str">
        <f aca="false">INDEX('Control Library'!$F$5:$F$47,MATCH(E646,'Control Library'!$A$5:$A$47,0))</f>
        <v>Y</v>
      </c>
      <c r="H646" s="12" t="str">
        <f aca="false">INDEX('Control Library'!$E$5:$E$47,MATCH(E646,'Control Library'!$A$5:$A$47,0))</f>
        <v>Annual</v>
      </c>
      <c r="I646" s="7" t="str">
        <f aca="false">IF(INDEX('Control Library'!$I$5:$I$47,MATCH(E646,'Control Library'!$A$5:$A$47,0))="All","Y",IF(INDEX('Control Library'!$I$5:$I$47,MATCH(E646,'Control Library'!$A$5:$A$47,0))="Banks only",IF(COUNTIF('Residual Config'!$L$28:$L$30,INDEX(Entities!$E$5:$E$34,MATCH(B646,Entities!$A$5:$A$34,0)))&gt;0,"N/A","Y"),IF(INDEX(Entities!$G$5:$G$34,MATCH(B646,Entities!$A$5:$A$34,0))="Y","Y","N/A")))</f>
        <v>Y</v>
      </c>
      <c r="J646" s="8" t="s">
        <v>2275</v>
      </c>
      <c r="K646" s="8" t="s">
        <v>2235</v>
      </c>
      <c r="L646" s="7" t="str">
        <f aca="false">IF(OR(J646="",K646=""),"",IF(J646=K646,"Breach","OK"))</f>
        <v>OK</v>
      </c>
      <c r="M646" s="24" t="n">
        <v>2</v>
      </c>
      <c r="N646" s="50" t="n">
        <v>45989</v>
      </c>
      <c r="O646" s="8" t="s">
        <v>545</v>
      </c>
      <c r="P646" s="24" t="n">
        <v>1</v>
      </c>
      <c r="Q646" s="31" t="n">
        <f aca="false">IF(I646="N/A","",IFERROR(INDEX('Residual Config'!$B$35:$B$42,MATCH(H646,'Residual Config'!$A$35:$A$42,0)),""))</f>
        <v>1</v>
      </c>
      <c r="R646" s="24" t="n">
        <v>0</v>
      </c>
      <c r="S646" s="8" t="s">
        <v>516</v>
      </c>
      <c r="T646" s="31" t="n">
        <f aca="false">IF(S646="","",MATCH(S646,'Residual Config'!$L$9:$L$12,0))</f>
        <v>1</v>
      </c>
      <c r="U646" s="8" t="s">
        <v>2330</v>
      </c>
      <c r="V646" s="24" t="n">
        <v>6</v>
      </c>
      <c r="W646" s="33" t="s">
        <v>533</v>
      </c>
      <c r="X646" s="8" t="s">
        <v>760</v>
      </c>
      <c r="Y646" s="51" t="n">
        <f aca="false">IF(N646="","",EDATE(N646,IF(G646="N",INDEX('Residual Config'!$B$31:$D$31,1,MATCH(D646,'Residual Config'!$B$27:$D$27,0)),INDEX('Residual Config'!$B$28:$D$30,IF(T646=1,1,IF(T646=4,3,2)),MATCH(D646,'Residual Config'!$B$27:$D$27,0)))))</f>
        <v>46354</v>
      </c>
      <c r="Z646" s="7" t="str">
        <f aca="false">IF(I646="N/A","N/A",IF(N646="","Not tested",IF(W646="Rejected","Evidence rejected",IF(W646&lt;&gt;"Accepted","Evidence pending",IF(Y646&lt;'Residual Config'!$C$4,"Overdue","Current")))))</f>
        <v>Current</v>
      </c>
      <c r="AA646" s="34" t="n">
        <f aca="false">IF(I646="N/A","",IF(Z646&lt;&gt;"Current",4,IF(MAX(M646,T646)=0,4,MAX(M646,T646))))</f>
        <v>2</v>
      </c>
      <c r="AB646" s="7" t="str">
        <f aca="false">IF(AA646="","N/A",IF(Z646&lt;&gt;"Current","Not tested / overdue",INDEX('Residual Config'!$B$11:$B$14,AA646)))</f>
        <v>Largely effective</v>
      </c>
      <c r="AC646" s="36" t="n">
        <f aca="false">IF(AA646="","",INDEX('Residual Config'!$D$11:$D$14,AA646))</f>
        <v>0.4</v>
      </c>
      <c r="AD646" s="7" t="str">
        <f aca="false">IF(OR(I646="N/A",P646="",Q646=""),"",IF(P646&gt;=Q646,"Yes","No"))</f>
        <v>Yes</v>
      </c>
      <c r="AE646" s="8"/>
    </row>
    <row r="647" customFormat="false" ht="15" hidden="false" customHeight="false" outlineLevel="0" collapsed="false">
      <c r="A647" s="12" t="s">
        <v>2331</v>
      </c>
      <c r="B647" s="26" t="str">
        <f aca="false">Entities!$A$19</f>
        <v>IQ</v>
      </c>
      <c r="C647" s="12" t="str">
        <f aca="false">INDEX(Entities!$B$5:$B$34,MATCH(B647,Entities!$A$5:$A$34,0))</f>
        <v>Arab Bank Iraq</v>
      </c>
      <c r="D647" s="7" t="str">
        <f aca="false">INDEX(Entities!$F$5:$F$34,MATCH(B647,Entities!$A$5:$A$34,0))</f>
        <v>Tier 2</v>
      </c>
      <c r="E647" s="26" t="str">
        <f aca="false">'Control Library'!$A$45</f>
        <v>CTL-LG-01</v>
      </c>
      <c r="F647" s="12" t="str">
        <f aca="false">INDEX('Control Library'!$B$5:$B$47,MATCH(E647,'Control Library'!$A$5:$A$47,0))</f>
        <v>Legal review of contracts and litigation register</v>
      </c>
      <c r="G647" s="7" t="str">
        <f aca="false">INDEX('Control Library'!$F$5:$F$47,MATCH(E647,'Control Library'!$A$5:$A$47,0))</f>
        <v>Y</v>
      </c>
      <c r="H647" s="12" t="str">
        <f aca="false">INDEX('Control Library'!$E$5:$E$47,MATCH(E647,'Control Library'!$A$5:$A$47,0))</f>
        <v>Event-driven</v>
      </c>
      <c r="I647" s="7" t="str">
        <f aca="false">IF(INDEX('Control Library'!$I$5:$I$47,MATCH(E647,'Control Library'!$A$5:$A$47,0))="All","Y",IF(INDEX('Control Library'!$I$5:$I$47,MATCH(E647,'Control Library'!$A$5:$A$47,0))="Banks only",IF(COUNTIF('Residual Config'!$L$28:$L$30,INDEX(Entities!$E$5:$E$34,MATCH(B647,Entities!$A$5:$A$34,0)))&gt;0,"N/A","Y"),IF(INDEX(Entities!$G$5:$G$34,MATCH(B647,Entities!$A$5:$A$34,0))="Y","Y","N/A")))</f>
        <v>Y</v>
      </c>
      <c r="J647" s="8" t="s">
        <v>2332</v>
      </c>
      <c r="K647" s="8" t="s">
        <v>2235</v>
      </c>
      <c r="L647" s="7" t="str">
        <f aca="false">IF(OR(J647="",K647=""),"",IF(J647=K647,"Breach","OK"))</f>
        <v>OK</v>
      </c>
      <c r="M647" s="24" t="n">
        <v>1</v>
      </c>
      <c r="N647" s="50" t="n">
        <v>46248</v>
      </c>
      <c r="O647" s="8" t="s">
        <v>546</v>
      </c>
      <c r="P647" s="24" t="n">
        <v>25</v>
      </c>
      <c r="Q647" s="31" t="n">
        <f aca="false">IF(I647="N/A","",IFERROR(INDEX('Residual Config'!$B$35:$B$42,MATCH(H647,'Residual Config'!$A$35:$A$42,0)),""))</f>
        <v>25</v>
      </c>
      <c r="R647" s="24" t="n">
        <v>7</v>
      </c>
      <c r="S647" s="8" t="s">
        <v>527</v>
      </c>
      <c r="T647" s="31" t="n">
        <f aca="false">IF(S647="","",MATCH(S647,'Residual Config'!$L$9:$L$12,0))</f>
        <v>4</v>
      </c>
      <c r="U647" s="8" t="s">
        <v>2333</v>
      </c>
      <c r="V647" s="24" t="n">
        <v>2</v>
      </c>
      <c r="W647" s="33" t="s">
        <v>533</v>
      </c>
      <c r="X647" s="8" t="s">
        <v>754</v>
      </c>
      <c r="Y647" s="51" t="n">
        <f aca="false">IF(N647="","",EDATE(N647,IF(G647="N",INDEX('Residual Config'!$B$31:$D$31,1,MATCH(D647,'Residual Config'!$B$27:$D$27,0)),INDEX('Residual Config'!$B$28:$D$30,IF(T647=1,1,IF(T647=4,3,2)),MATCH(D647,'Residual Config'!$B$27:$D$27,0)))))</f>
        <v>46340</v>
      </c>
      <c r="Z647" s="7" t="str">
        <f aca="false">IF(I647="N/A","N/A",IF(N647="","Not tested",IF(W647="Rejected","Evidence rejected",IF(W647&lt;&gt;"Accepted","Evidence pending",IF(Y647&lt;'Residual Config'!$C$4,"Overdue","Current")))))</f>
        <v>Current</v>
      </c>
      <c r="AA647" s="34" t="n">
        <f aca="false">IF(I647="N/A","",IF(Z647&lt;&gt;"Current",4,IF(MAX(M647,T647)=0,4,MAX(M647,T647))))</f>
        <v>4</v>
      </c>
      <c r="AB647" s="7" t="str">
        <f aca="false">IF(AA647="","N/A",IF(Z647&lt;&gt;"Current","Not tested / overdue",INDEX('Residual Config'!$B$11:$B$14,AA647)))</f>
        <v>Ineffective</v>
      </c>
      <c r="AC647" s="36" t="n">
        <f aca="false">IF(AA647="","",INDEX('Residual Config'!$D$11:$D$14,AA647))</f>
        <v>0</v>
      </c>
      <c r="AD647" s="7" t="str">
        <f aca="false">IF(OR(I647="N/A",P647="",Q647=""),"",IF(P647&gt;=Q647,"Yes","No"))</f>
        <v>Yes</v>
      </c>
      <c r="AE647" s="8"/>
    </row>
    <row r="648" customFormat="false" ht="15" hidden="false" customHeight="false" outlineLevel="0" collapsed="false">
      <c r="A648" s="12" t="s">
        <v>2334</v>
      </c>
      <c r="B648" s="26" t="str">
        <f aca="false">Entities!$A$19</f>
        <v>IQ</v>
      </c>
      <c r="C648" s="12" t="str">
        <f aca="false">INDEX(Entities!$B$5:$B$34,MATCH(B648,Entities!$A$5:$A$34,0))</f>
        <v>Arab Bank Iraq</v>
      </c>
      <c r="D648" s="7" t="str">
        <f aca="false">INDEX(Entities!$F$5:$F$34,MATCH(B648,Entities!$A$5:$A$34,0))</f>
        <v>Tier 2</v>
      </c>
      <c r="E648" s="26" t="str">
        <f aca="false">'Control Library'!$A$46</f>
        <v>CTL-RP-01</v>
      </c>
      <c r="F648" s="12" t="str">
        <f aca="false">INDEX('Control Library'!$B$5:$B$47,MATCH(E648,'Control Library'!$A$5:$A$47,0))</f>
        <v>Media monitoring and reputational-risk escalation</v>
      </c>
      <c r="G648" s="7" t="str">
        <f aca="false">INDEX('Control Library'!$F$5:$F$47,MATCH(E648,'Control Library'!$A$5:$A$47,0))</f>
        <v>Y</v>
      </c>
      <c r="H648" s="12" t="str">
        <f aca="false">INDEX('Control Library'!$E$5:$E$47,MATCH(E648,'Control Library'!$A$5:$A$47,0))</f>
        <v>Daily</v>
      </c>
      <c r="I648" s="7" t="str">
        <f aca="false">IF(INDEX('Control Library'!$I$5:$I$47,MATCH(E648,'Control Library'!$A$5:$A$47,0))="All","Y",IF(INDEX('Control Library'!$I$5:$I$47,MATCH(E648,'Control Library'!$A$5:$A$47,0))="Banks only",IF(COUNTIF('Residual Config'!$L$28:$L$30,INDEX(Entities!$E$5:$E$34,MATCH(B648,Entities!$A$5:$A$34,0)))&gt;0,"N/A","Y"),IF(INDEX(Entities!$G$5:$G$34,MATCH(B648,Entities!$A$5:$A$34,0))="Y","Y","N/A")))</f>
        <v>Y</v>
      </c>
      <c r="J648" s="8" t="s">
        <v>2335</v>
      </c>
      <c r="K648" s="8" t="s">
        <v>2235</v>
      </c>
      <c r="L648" s="7" t="str">
        <f aca="false">IF(OR(J648="",K648=""),"",IF(J648=K648,"Breach","OK"))</f>
        <v>OK</v>
      </c>
      <c r="M648" s="24" t="n">
        <v>3</v>
      </c>
      <c r="N648" s="50" t="n">
        <v>46165</v>
      </c>
      <c r="O648" s="8" t="s">
        <v>546</v>
      </c>
      <c r="P648" s="24" t="n">
        <v>35</v>
      </c>
      <c r="Q648" s="31" t="n">
        <f aca="false">IF(I648="N/A","",IFERROR(INDEX('Residual Config'!$B$35:$B$42,MATCH(H648,'Residual Config'!$A$35:$A$42,0)),""))</f>
        <v>25</v>
      </c>
      <c r="R648" s="24" t="n">
        <v>1</v>
      </c>
      <c r="S648" s="8" t="s">
        <v>521</v>
      </c>
      <c r="T648" s="31" t="n">
        <f aca="false">IF(S648="","",MATCH(S648,'Residual Config'!$L$9:$L$12,0))</f>
        <v>2</v>
      </c>
      <c r="U648" s="8" t="s">
        <v>2336</v>
      </c>
      <c r="V648" s="24" t="n">
        <v>6</v>
      </c>
      <c r="W648" s="33" t="s">
        <v>536</v>
      </c>
      <c r="X648" s="8"/>
      <c r="Y648" s="51" t="n">
        <f aca="false">IF(N648="","",EDATE(N648,IF(G648="N",INDEX('Residual Config'!$B$31:$D$31,1,MATCH(D648,'Residual Config'!$B$27:$D$27,0)),INDEX('Residual Config'!$B$28:$D$30,IF(T648=1,1,IF(T648=4,3,2)),MATCH(D648,'Residual Config'!$B$27:$D$27,0)))))</f>
        <v>46349</v>
      </c>
      <c r="Z648" s="7" t="str">
        <f aca="false">IF(I648="N/A","N/A",IF(N648="","Not tested",IF(W648="Rejected","Evidence rejected",IF(W648&lt;&gt;"Accepted","Evidence pending",IF(Y648&lt;'Residual Config'!$C$4,"Overdue","Current")))))</f>
        <v>Evidence pending</v>
      </c>
      <c r="AA648" s="34" t="n">
        <f aca="false">IF(I648="N/A","",IF(Z648&lt;&gt;"Current",4,IF(MAX(M648,T648)=0,4,MAX(M648,T648))))</f>
        <v>4</v>
      </c>
      <c r="AB648" s="7" t="str">
        <f aca="false">IF(AA648="","N/A",IF(Z648&lt;&gt;"Current","Not tested / overdue",INDEX('Residual Config'!$B$11:$B$14,AA648)))</f>
        <v>Not tested / overdue</v>
      </c>
      <c r="AC648" s="36" t="n">
        <f aca="false">IF(AA648="","",INDEX('Residual Config'!$D$11:$D$14,AA648))</f>
        <v>0</v>
      </c>
      <c r="AD648" s="7" t="str">
        <f aca="false">IF(OR(I648="N/A",P648="",Q648=""),"",IF(P648&gt;=Q648,"Yes","No"))</f>
        <v>Yes</v>
      </c>
      <c r="AE648" s="8"/>
    </row>
    <row r="649" customFormat="false" ht="15" hidden="false" customHeight="false" outlineLevel="0" collapsed="false">
      <c r="A649" s="12" t="s">
        <v>2337</v>
      </c>
      <c r="B649" s="26" t="str">
        <f aca="false">Entities!$A$19</f>
        <v>IQ</v>
      </c>
      <c r="C649" s="12" t="str">
        <f aca="false">INDEX(Entities!$B$5:$B$34,MATCH(B649,Entities!$A$5:$A$34,0))</f>
        <v>Arab Bank Iraq</v>
      </c>
      <c r="D649" s="7" t="str">
        <f aca="false">INDEX(Entities!$F$5:$F$34,MATCH(B649,Entities!$A$5:$A$34,0))</f>
        <v>Tier 2</v>
      </c>
      <c r="E649" s="26" t="str">
        <f aca="false">'Control Library'!$A$47</f>
        <v>CTL-ST-01</v>
      </c>
      <c r="F649" s="12" t="str">
        <f aca="false">INDEX('Control Library'!$B$5:$B$47,MATCH(E649,'Control Library'!$A$5:$A$47,0))</f>
        <v>Strategy execution monitoring and E&amp;S screening of lending</v>
      </c>
      <c r="G649" s="7" t="str">
        <f aca="false">INDEX('Control Library'!$F$5:$F$47,MATCH(E649,'Control Library'!$A$5:$A$47,0))</f>
        <v>Y</v>
      </c>
      <c r="H649" s="12" t="str">
        <f aca="false">INDEX('Control Library'!$E$5:$E$47,MATCH(E649,'Control Library'!$A$5:$A$47,0))</f>
        <v>Quarterly</v>
      </c>
      <c r="I649" s="7" t="str">
        <f aca="false">IF(INDEX('Control Library'!$I$5:$I$47,MATCH(E649,'Control Library'!$A$5:$A$47,0))="All","Y",IF(INDEX('Control Library'!$I$5:$I$47,MATCH(E649,'Control Library'!$A$5:$A$47,0))="Banks only",IF(COUNTIF('Residual Config'!$L$28:$L$30,INDEX(Entities!$E$5:$E$34,MATCH(B649,Entities!$A$5:$A$34,0)))&gt;0,"N/A","Y"),IF(INDEX(Entities!$G$5:$G$34,MATCH(B649,Entities!$A$5:$A$34,0))="Y","Y","N/A")))</f>
        <v>Y</v>
      </c>
      <c r="J649" s="8" t="s">
        <v>2338</v>
      </c>
      <c r="K649" s="8" t="s">
        <v>2235</v>
      </c>
      <c r="L649" s="7" t="str">
        <f aca="false">IF(OR(J649="",K649=""),"",IF(J649=K649,"Breach","OK"))</f>
        <v>OK</v>
      </c>
      <c r="M649" s="24" t="n">
        <v>3</v>
      </c>
      <c r="N649" s="50" t="n">
        <v>46052</v>
      </c>
      <c r="O649" s="8" t="s">
        <v>545</v>
      </c>
      <c r="P649" s="24" t="n">
        <v>2</v>
      </c>
      <c r="Q649" s="31" t="n">
        <f aca="false">IF(I649="N/A","",IFERROR(INDEX('Residual Config'!$B$35:$B$42,MATCH(H649,'Residual Config'!$A$35:$A$42,0)),""))</f>
        <v>2</v>
      </c>
      <c r="R649" s="24" t="n">
        <v>2</v>
      </c>
      <c r="S649" s="8" t="s">
        <v>524</v>
      </c>
      <c r="T649" s="31" t="n">
        <f aca="false">IF(S649="","",MATCH(S649,'Residual Config'!$L$9:$L$12,0))</f>
        <v>3</v>
      </c>
      <c r="U649" s="8" t="s">
        <v>2339</v>
      </c>
      <c r="V649" s="24" t="n">
        <v>3</v>
      </c>
      <c r="W649" s="33" t="s">
        <v>533</v>
      </c>
      <c r="X649" s="8" t="s">
        <v>760</v>
      </c>
      <c r="Y649" s="51" t="n">
        <f aca="false">IF(N649="","",EDATE(N649,IF(G649="N",INDEX('Residual Config'!$B$31:$D$31,1,MATCH(D649,'Residual Config'!$B$27:$D$27,0)),INDEX('Residual Config'!$B$28:$D$30,IF(T649=1,1,IF(T649=4,3,2)),MATCH(D649,'Residual Config'!$B$27:$D$27,0)))))</f>
        <v>46233</v>
      </c>
      <c r="Z649" s="7" t="str">
        <f aca="false">IF(I649="N/A","N/A",IF(N649="","Not tested",IF(W649="Rejected","Evidence rejected",IF(W649&lt;&gt;"Accepted","Evidence pending",IF(Y649&lt;'Residual Config'!$C$4,"Overdue","Current")))))</f>
        <v>Overdue</v>
      </c>
      <c r="AA649" s="34" t="n">
        <f aca="false">IF(I649="N/A","",IF(Z649&lt;&gt;"Current",4,IF(MAX(M649,T649)=0,4,MAX(M649,T649))))</f>
        <v>4</v>
      </c>
      <c r="AB649" s="7" t="str">
        <f aca="false">IF(AA649="","N/A",IF(Z649&lt;&gt;"Current","Not tested / overdue",INDEX('Residual Config'!$B$11:$B$14,AA649)))</f>
        <v>Not tested / overdue</v>
      </c>
      <c r="AC649" s="36" t="n">
        <f aca="false">IF(AA649="","",INDEX('Residual Config'!$D$11:$D$14,AA649))</f>
        <v>0</v>
      </c>
      <c r="AD649" s="7" t="str">
        <f aca="false">IF(OR(I649="N/A",P649="",Q649=""),"",IF(P649&gt;=Q649,"Yes","No"))</f>
        <v>Yes</v>
      </c>
      <c r="AE649" s="8"/>
    </row>
    <row r="650" customFormat="false" ht="15" hidden="false" customHeight="false" outlineLevel="0" collapsed="false">
      <c r="A650" s="12" t="s">
        <v>2340</v>
      </c>
      <c r="B650" s="26" t="str">
        <f aca="false">Entities!$A$20</f>
        <v>YE</v>
      </c>
      <c r="C650" s="12" t="str">
        <f aca="false">INDEX(Entities!$B$5:$B$34,MATCH(B650,Entities!$A$5:$A$34,0))</f>
        <v>Arab Bank – Yemen</v>
      </c>
      <c r="D650" s="7" t="str">
        <f aca="false">INDEX(Entities!$F$5:$F$34,MATCH(B650,Entities!$A$5:$A$34,0))</f>
        <v>Tier 3</v>
      </c>
      <c r="E650" s="26" t="str">
        <f aca="false">'Control Library'!$A$5</f>
        <v>CTL-KYC-01</v>
      </c>
      <c r="F650" s="12" t="str">
        <f aca="false">INDEX('Control Library'!$B$5:$B$47,MATCH(E650,'Control Library'!$A$5:$A$47,0))</f>
        <v>Customer due diligence and ID verification at onboarding</v>
      </c>
      <c r="G650" s="7" t="str">
        <f aca="false">INDEX('Control Library'!$F$5:$F$47,MATCH(E650,'Control Library'!$A$5:$A$47,0))</f>
        <v>Y</v>
      </c>
      <c r="H650" s="12" t="str">
        <f aca="false">INDEX('Control Library'!$E$5:$E$47,MATCH(E650,'Control Library'!$A$5:$A$47,0))</f>
        <v>Event-driven</v>
      </c>
      <c r="I650" s="7" t="str">
        <f aca="false">IF(INDEX('Control Library'!$I$5:$I$47,MATCH(E650,'Control Library'!$A$5:$A$47,0))="All","Y",IF(INDEX('Control Library'!$I$5:$I$47,MATCH(E650,'Control Library'!$A$5:$A$47,0))="Banks only",IF(COUNTIF('Residual Config'!$L$28:$L$30,INDEX(Entities!$E$5:$E$34,MATCH(B650,Entities!$A$5:$A$34,0)))&gt;0,"N/A","Y"),IF(INDEX(Entities!$G$5:$G$34,MATCH(B650,Entities!$A$5:$A$34,0))="Y","Y","N/A")))</f>
        <v>Y</v>
      </c>
      <c r="J650" s="8" t="s">
        <v>2341</v>
      </c>
      <c r="K650" s="8" t="s">
        <v>2342</v>
      </c>
      <c r="L650" s="7" t="str">
        <f aca="false">IF(OR(J650="",K650=""),"",IF(J650=K650,"Breach","OK"))</f>
        <v>OK</v>
      </c>
      <c r="M650" s="24" t="n">
        <v>3</v>
      </c>
      <c r="N650" s="50" t="n">
        <v>46052</v>
      </c>
      <c r="O650" s="8" t="s">
        <v>545</v>
      </c>
      <c r="P650" s="24" t="n">
        <v>35</v>
      </c>
      <c r="Q650" s="31" t="n">
        <f aca="false">IF(I650="N/A","",IFERROR(INDEX('Residual Config'!$B$35:$B$42,MATCH(H650,'Residual Config'!$A$35:$A$42,0)),""))</f>
        <v>25</v>
      </c>
      <c r="R650" s="24" t="n">
        <v>2</v>
      </c>
      <c r="S650" s="8" t="s">
        <v>524</v>
      </c>
      <c r="T650" s="31" t="n">
        <f aca="false">IF(S650="","",MATCH(S650,'Residual Config'!$L$9:$L$12,0))</f>
        <v>3</v>
      </c>
      <c r="U650" s="8" t="s">
        <v>2343</v>
      </c>
      <c r="V650" s="24" t="n">
        <v>6</v>
      </c>
      <c r="W650" s="33" t="s">
        <v>533</v>
      </c>
      <c r="X650" s="8" t="s">
        <v>760</v>
      </c>
      <c r="Y650" s="51" t="n">
        <f aca="false">IF(N650="","",EDATE(N650,IF(G650="N",INDEX('Residual Config'!$B$31:$D$31,1,MATCH(D650,'Residual Config'!$B$27:$D$27,0)),INDEX('Residual Config'!$B$28:$D$30,IF(T650=1,1,IF(T650=4,3,2)),MATCH(D650,'Residual Config'!$B$27:$D$27,0)))))</f>
        <v>46233</v>
      </c>
      <c r="Z650" s="7" t="str">
        <f aca="false">IF(I650="N/A","N/A",IF(N650="","Not tested",IF(W650="Rejected","Evidence rejected",IF(W650&lt;&gt;"Accepted","Evidence pending",IF(Y650&lt;'Residual Config'!$C$4,"Overdue","Current")))))</f>
        <v>Overdue</v>
      </c>
      <c r="AA650" s="34" t="n">
        <f aca="false">IF(I650="N/A","",IF(Z650&lt;&gt;"Current",4,IF(MAX(M650,T650)=0,4,MAX(M650,T650))))</f>
        <v>4</v>
      </c>
      <c r="AB650" s="7" t="str">
        <f aca="false">IF(AA650="","N/A",IF(Z650&lt;&gt;"Current","Not tested / overdue",INDEX('Residual Config'!$B$11:$B$14,AA650)))</f>
        <v>Not tested / overdue</v>
      </c>
      <c r="AC650" s="36" t="n">
        <f aca="false">IF(AA650="","",INDEX('Residual Config'!$D$11:$D$14,AA650))</f>
        <v>0</v>
      </c>
      <c r="AD650" s="7" t="str">
        <f aca="false">IF(OR(I650="N/A",P650="",Q650=""),"",IF(P650&gt;=Q650,"Yes","No"))</f>
        <v>Yes</v>
      </c>
      <c r="AE650" s="8"/>
    </row>
    <row r="651" customFormat="false" ht="15" hidden="false" customHeight="false" outlineLevel="0" collapsed="false">
      <c r="A651" s="12" t="s">
        <v>2344</v>
      </c>
      <c r="B651" s="26" t="str">
        <f aca="false">Entities!$A$20</f>
        <v>YE</v>
      </c>
      <c r="C651" s="12" t="str">
        <f aca="false">INDEX(Entities!$B$5:$B$34,MATCH(B651,Entities!$A$5:$A$34,0))</f>
        <v>Arab Bank – Yemen</v>
      </c>
      <c r="D651" s="7" t="str">
        <f aca="false">INDEX(Entities!$F$5:$F$34,MATCH(B651,Entities!$A$5:$A$34,0))</f>
        <v>Tier 3</v>
      </c>
      <c r="E651" s="26" t="str">
        <f aca="false">'Control Library'!$A$6</f>
        <v>CTL-KYC-02</v>
      </c>
      <c r="F651" s="12" t="str">
        <f aca="false">INDEX('Control Library'!$B$5:$B$47,MATCH(E651,'Control Library'!$A$5:$A$47,0))</f>
        <v>Enhanced due diligence for high-risk customers and PEPs, senior approval</v>
      </c>
      <c r="G651" s="7" t="str">
        <f aca="false">INDEX('Control Library'!$F$5:$F$47,MATCH(E651,'Control Library'!$A$5:$A$47,0))</f>
        <v>Y</v>
      </c>
      <c r="H651" s="12" t="str">
        <f aca="false">INDEX('Control Library'!$E$5:$E$47,MATCH(E651,'Control Library'!$A$5:$A$47,0))</f>
        <v>Event-driven</v>
      </c>
      <c r="I651" s="7" t="str">
        <f aca="false">IF(INDEX('Control Library'!$I$5:$I$47,MATCH(E651,'Control Library'!$A$5:$A$47,0))="All","Y",IF(INDEX('Control Library'!$I$5:$I$47,MATCH(E651,'Control Library'!$A$5:$A$47,0))="Banks only",IF(COUNTIF('Residual Config'!$L$28:$L$30,INDEX(Entities!$E$5:$E$34,MATCH(B651,Entities!$A$5:$A$34,0)))&gt;0,"N/A","Y"),IF(INDEX(Entities!$G$5:$G$34,MATCH(B651,Entities!$A$5:$A$34,0))="Y","Y","N/A")))</f>
        <v>Y</v>
      </c>
      <c r="J651" s="8" t="s">
        <v>2345</v>
      </c>
      <c r="K651" s="8" t="s">
        <v>2342</v>
      </c>
      <c r="L651" s="7" t="str">
        <f aca="false">IF(OR(J651="",K651=""),"",IF(J651=K651,"Breach","OK"))</f>
        <v>OK</v>
      </c>
      <c r="M651" s="24" t="n">
        <v>2</v>
      </c>
      <c r="N651" s="50" t="n">
        <v>46270</v>
      </c>
      <c r="O651" s="8" t="s">
        <v>546</v>
      </c>
      <c r="P651" s="24" t="n">
        <v>35</v>
      </c>
      <c r="Q651" s="31" t="n">
        <f aca="false">IF(I651="N/A","",IFERROR(INDEX('Residual Config'!$B$35:$B$42,MATCH(H651,'Residual Config'!$A$35:$A$42,0)),""))</f>
        <v>25</v>
      </c>
      <c r="R651" s="24" t="n">
        <v>1</v>
      </c>
      <c r="S651" s="8" t="s">
        <v>521</v>
      </c>
      <c r="T651" s="31" t="n">
        <f aca="false">IF(S651="","",MATCH(S651,'Residual Config'!$L$9:$L$12,0))</f>
        <v>2</v>
      </c>
      <c r="U651" s="8" t="s">
        <v>2346</v>
      </c>
      <c r="V651" s="24" t="n">
        <v>3</v>
      </c>
      <c r="W651" s="33" t="s">
        <v>533</v>
      </c>
      <c r="X651" s="8" t="s">
        <v>760</v>
      </c>
      <c r="Y651" s="51" t="n">
        <f aca="false">IF(N651="","",EDATE(N651,IF(G651="N",INDEX('Residual Config'!$B$31:$D$31,1,MATCH(D651,'Residual Config'!$B$27:$D$27,0)),INDEX('Residual Config'!$B$28:$D$30,IF(T651=1,1,IF(T651=4,3,2)),MATCH(D651,'Residual Config'!$B$27:$D$27,0)))))</f>
        <v>46451</v>
      </c>
      <c r="Z651" s="7" t="str">
        <f aca="false">IF(I651="N/A","N/A",IF(N651="","Not tested",IF(W651="Rejected","Evidence rejected",IF(W651&lt;&gt;"Accepted","Evidence pending",IF(Y651&lt;'Residual Config'!$C$4,"Overdue","Current")))))</f>
        <v>Current</v>
      </c>
      <c r="AA651" s="34" t="n">
        <f aca="false">IF(I651="N/A","",IF(Z651&lt;&gt;"Current",4,IF(MAX(M651,T651)=0,4,MAX(M651,T651))))</f>
        <v>2</v>
      </c>
      <c r="AB651" s="7" t="str">
        <f aca="false">IF(AA651="","N/A",IF(Z651&lt;&gt;"Current","Not tested / overdue",INDEX('Residual Config'!$B$11:$B$14,AA651)))</f>
        <v>Largely effective</v>
      </c>
      <c r="AC651" s="36" t="n">
        <f aca="false">IF(AA651="","",INDEX('Residual Config'!$D$11:$D$14,AA651))</f>
        <v>0.4</v>
      </c>
      <c r="AD651" s="7" t="str">
        <f aca="false">IF(OR(I651="N/A",P651="",Q651=""),"",IF(P651&gt;=Q651,"Yes","No"))</f>
        <v>Yes</v>
      </c>
      <c r="AE651" s="8"/>
    </row>
    <row r="652" customFormat="false" ht="15" hidden="false" customHeight="false" outlineLevel="0" collapsed="false">
      <c r="A652" s="12" t="s">
        <v>2347</v>
      </c>
      <c r="B652" s="26" t="str">
        <f aca="false">Entities!$A$20</f>
        <v>YE</v>
      </c>
      <c r="C652" s="12" t="str">
        <f aca="false">INDEX(Entities!$B$5:$B$34,MATCH(B652,Entities!$A$5:$A$34,0))</f>
        <v>Arab Bank – Yemen</v>
      </c>
      <c r="D652" s="7" t="str">
        <f aca="false">INDEX(Entities!$F$5:$F$34,MATCH(B652,Entities!$A$5:$A$34,0))</f>
        <v>Tier 3</v>
      </c>
      <c r="E652" s="26" t="str">
        <f aca="false">'Control Library'!$A$7</f>
        <v>CTL-KYC-03</v>
      </c>
      <c r="F652" s="12" t="str">
        <f aca="false">INDEX('Control Library'!$B$5:$B$47,MATCH(E652,'Control Library'!$A$5:$A$47,0))</f>
        <v>Ultimate beneficial owner identification and verification</v>
      </c>
      <c r="G652" s="7" t="str">
        <f aca="false">INDEX('Control Library'!$F$5:$F$47,MATCH(E652,'Control Library'!$A$5:$A$47,0))</f>
        <v>Y</v>
      </c>
      <c r="H652" s="12" t="str">
        <f aca="false">INDEX('Control Library'!$E$5:$E$47,MATCH(E652,'Control Library'!$A$5:$A$47,0))</f>
        <v>Event-driven</v>
      </c>
      <c r="I652" s="7" t="str">
        <f aca="false">IF(INDEX('Control Library'!$I$5:$I$47,MATCH(E652,'Control Library'!$A$5:$A$47,0))="All","Y",IF(INDEX('Control Library'!$I$5:$I$47,MATCH(E652,'Control Library'!$A$5:$A$47,0))="Banks only",IF(COUNTIF('Residual Config'!$L$28:$L$30,INDEX(Entities!$E$5:$E$34,MATCH(B652,Entities!$A$5:$A$34,0)))&gt;0,"N/A","Y"),IF(INDEX(Entities!$G$5:$G$34,MATCH(B652,Entities!$A$5:$A$34,0))="Y","Y","N/A")))</f>
        <v>Y</v>
      </c>
      <c r="J652" s="8" t="s">
        <v>2341</v>
      </c>
      <c r="K652" s="8" t="s">
        <v>2342</v>
      </c>
      <c r="L652" s="7" t="str">
        <f aca="false">IF(OR(J652="",K652=""),"",IF(J652=K652,"Breach","OK"))</f>
        <v>OK</v>
      </c>
      <c r="M652" s="24" t="n">
        <v>2</v>
      </c>
      <c r="N652" s="50" t="n">
        <v>46052</v>
      </c>
      <c r="O652" s="8" t="s">
        <v>546</v>
      </c>
      <c r="P652" s="24" t="n">
        <v>30</v>
      </c>
      <c r="Q652" s="31" t="n">
        <f aca="false">IF(I652="N/A","",IFERROR(INDEX('Residual Config'!$B$35:$B$42,MATCH(H652,'Residual Config'!$A$35:$A$42,0)),""))</f>
        <v>25</v>
      </c>
      <c r="R652" s="24" t="n">
        <v>1</v>
      </c>
      <c r="S652" s="8" t="s">
        <v>521</v>
      </c>
      <c r="T652" s="31" t="n">
        <f aca="false">IF(S652="","",MATCH(S652,'Residual Config'!$L$9:$L$12,0))</f>
        <v>2</v>
      </c>
      <c r="U652" s="8" t="s">
        <v>2348</v>
      </c>
      <c r="V652" s="24" t="n">
        <v>6</v>
      </c>
      <c r="W652" s="33" t="s">
        <v>533</v>
      </c>
      <c r="X652" s="8" t="s">
        <v>760</v>
      </c>
      <c r="Y652" s="51" t="n">
        <f aca="false">IF(N652="","",EDATE(N652,IF(G652="N",INDEX('Residual Config'!$B$31:$D$31,1,MATCH(D652,'Residual Config'!$B$27:$D$27,0)),INDEX('Residual Config'!$B$28:$D$30,IF(T652=1,1,IF(T652=4,3,2)),MATCH(D652,'Residual Config'!$B$27:$D$27,0)))))</f>
        <v>46233</v>
      </c>
      <c r="Z652" s="7" t="str">
        <f aca="false">IF(I652="N/A","N/A",IF(N652="","Not tested",IF(W652="Rejected","Evidence rejected",IF(W652&lt;&gt;"Accepted","Evidence pending",IF(Y652&lt;'Residual Config'!$C$4,"Overdue","Current")))))</f>
        <v>Overdue</v>
      </c>
      <c r="AA652" s="34" t="n">
        <f aca="false">IF(I652="N/A","",IF(Z652&lt;&gt;"Current",4,IF(MAX(M652,T652)=0,4,MAX(M652,T652))))</f>
        <v>4</v>
      </c>
      <c r="AB652" s="7" t="str">
        <f aca="false">IF(AA652="","N/A",IF(Z652&lt;&gt;"Current","Not tested / overdue",INDEX('Residual Config'!$B$11:$B$14,AA652)))</f>
        <v>Not tested / overdue</v>
      </c>
      <c r="AC652" s="36" t="n">
        <f aca="false">IF(AA652="","",INDEX('Residual Config'!$D$11:$D$14,AA652))</f>
        <v>0</v>
      </c>
      <c r="AD652" s="7" t="str">
        <f aca="false">IF(OR(I652="N/A",P652="",Q652=""),"",IF(P652&gt;=Q652,"Yes","No"))</f>
        <v>Yes</v>
      </c>
      <c r="AE652" s="8"/>
    </row>
    <row r="653" customFormat="false" ht="15" hidden="false" customHeight="false" outlineLevel="0" collapsed="false">
      <c r="A653" s="12" t="s">
        <v>2349</v>
      </c>
      <c r="B653" s="26" t="str">
        <f aca="false">Entities!$A$20</f>
        <v>YE</v>
      </c>
      <c r="C653" s="12" t="str">
        <f aca="false">INDEX(Entities!$B$5:$B$34,MATCH(B653,Entities!$A$5:$A$34,0))</f>
        <v>Arab Bank – Yemen</v>
      </c>
      <c r="D653" s="7" t="str">
        <f aca="false">INDEX(Entities!$F$5:$F$34,MATCH(B653,Entities!$A$5:$A$34,0))</f>
        <v>Tier 3</v>
      </c>
      <c r="E653" s="26" t="str">
        <f aca="false">'Control Library'!$A$8</f>
        <v>CTL-KYC-04</v>
      </c>
      <c r="F653" s="12" t="str">
        <f aca="false">INDEX('Control Library'!$B$5:$B$47,MATCH(E653,'Control Library'!$A$5:$A$47,0))</f>
        <v>Periodic KYC review by customer risk rating</v>
      </c>
      <c r="G653" s="7" t="str">
        <f aca="false">INDEX('Control Library'!$F$5:$F$47,MATCH(E653,'Control Library'!$A$5:$A$47,0))</f>
        <v>Y</v>
      </c>
      <c r="H653" s="12" t="str">
        <f aca="false">INDEX('Control Library'!$E$5:$E$47,MATCH(E653,'Control Library'!$A$5:$A$47,0))</f>
        <v>Monthly</v>
      </c>
      <c r="I653" s="7" t="str">
        <f aca="false">IF(INDEX('Control Library'!$I$5:$I$47,MATCH(E653,'Control Library'!$A$5:$A$47,0))="All","Y",IF(INDEX('Control Library'!$I$5:$I$47,MATCH(E653,'Control Library'!$A$5:$A$47,0))="Banks only",IF(COUNTIF('Residual Config'!$L$28:$L$30,INDEX(Entities!$E$5:$E$34,MATCH(B653,Entities!$A$5:$A$34,0)))&gt;0,"N/A","Y"),IF(INDEX(Entities!$G$5:$G$34,MATCH(B653,Entities!$A$5:$A$34,0))="Y","Y","N/A")))</f>
        <v>Y</v>
      </c>
      <c r="J653" s="8" t="s">
        <v>2341</v>
      </c>
      <c r="K653" s="8" t="s">
        <v>2342</v>
      </c>
      <c r="L653" s="7" t="str">
        <f aca="false">IF(OR(J653="",K653=""),"",IF(J653=K653,"Breach","OK"))</f>
        <v>OK</v>
      </c>
      <c r="M653" s="24" t="n">
        <v>2</v>
      </c>
      <c r="N653" s="50" t="n">
        <v>46200</v>
      </c>
      <c r="O653" s="8" t="s">
        <v>546</v>
      </c>
      <c r="P653" s="24" t="n">
        <v>3</v>
      </c>
      <c r="Q653" s="31" t="n">
        <f aca="false">IF(I653="N/A","",IFERROR(INDEX('Residual Config'!$B$35:$B$42,MATCH(H653,'Residual Config'!$A$35:$A$42,0)),""))</f>
        <v>3</v>
      </c>
      <c r="R653" s="24" t="n">
        <v>1</v>
      </c>
      <c r="S653" s="8" t="s">
        <v>521</v>
      </c>
      <c r="T653" s="31" t="n">
        <f aca="false">IF(S653="","",MATCH(S653,'Residual Config'!$L$9:$L$12,0))</f>
        <v>2</v>
      </c>
      <c r="U653" s="8" t="s">
        <v>2350</v>
      </c>
      <c r="V653" s="24" t="n">
        <v>1</v>
      </c>
      <c r="W653" s="33" t="s">
        <v>533</v>
      </c>
      <c r="X653" s="8" t="s">
        <v>760</v>
      </c>
      <c r="Y653" s="51" t="n">
        <f aca="false">IF(N653="","",EDATE(N653,IF(G653="N",INDEX('Residual Config'!$B$31:$D$31,1,MATCH(D653,'Residual Config'!$B$27:$D$27,0)),INDEX('Residual Config'!$B$28:$D$30,IF(T653=1,1,IF(T653=4,3,2)),MATCH(D653,'Residual Config'!$B$27:$D$27,0)))))</f>
        <v>46383</v>
      </c>
      <c r="Z653" s="7" t="str">
        <f aca="false">IF(I653="N/A","N/A",IF(N653="","Not tested",IF(W653="Rejected","Evidence rejected",IF(W653&lt;&gt;"Accepted","Evidence pending",IF(Y653&lt;'Residual Config'!$C$4,"Overdue","Current")))))</f>
        <v>Current</v>
      </c>
      <c r="AA653" s="34" t="n">
        <f aca="false">IF(I653="N/A","",IF(Z653&lt;&gt;"Current",4,IF(MAX(M653,T653)=0,4,MAX(M653,T653))))</f>
        <v>2</v>
      </c>
      <c r="AB653" s="7" t="str">
        <f aca="false">IF(AA653="","N/A",IF(Z653&lt;&gt;"Current","Not tested / overdue",INDEX('Residual Config'!$B$11:$B$14,AA653)))</f>
        <v>Largely effective</v>
      </c>
      <c r="AC653" s="36" t="n">
        <f aca="false">IF(AA653="","",INDEX('Residual Config'!$D$11:$D$14,AA653))</f>
        <v>0.4</v>
      </c>
      <c r="AD653" s="7" t="str">
        <f aca="false">IF(OR(I653="N/A",P653="",Q653=""),"",IF(P653&gt;=Q653,"Yes","No"))</f>
        <v>Yes</v>
      </c>
      <c r="AE653" s="8"/>
    </row>
    <row r="654" customFormat="false" ht="15" hidden="false" customHeight="false" outlineLevel="0" collapsed="false">
      <c r="A654" s="12" t="s">
        <v>2351</v>
      </c>
      <c r="B654" s="26" t="str">
        <f aca="false">Entities!$A$20</f>
        <v>YE</v>
      </c>
      <c r="C654" s="12" t="str">
        <f aca="false">INDEX(Entities!$B$5:$B$34,MATCH(B654,Entities!$A$5:$A$34,0))</f>
        <v>Arab Bank – Yemen</v>
      </c>
      <c r="D654" s="7" t="str">
        <f aca="false">INDEX(Entities!$F$5:$F$34,MATCH(B654,Entities!$A$5:$A$34,0))</f>
        <v>Tier 3</v>
      </c>
      <c r="E654" s="26" t="str">
        <f aca="false">'Control Library'!$A$9</f>
        <v>CTL-CRR-01</v>
      </c>
      <c r="F654" s="12" t="str">
        <f aca="false">INDEX('Control Library'!$B$5:$B$47,MATCH(E654,'Control Library'!$A$5:$A$47,0))</f>
        <v>Customer risk rating model and annual validation</v>
      </c>
      <c r="G654" s="7" t="str">
        <f aca="false">INDEX('Control Library'!$F$5:$F$47,MATCH(E654,'Control Library'!$A$5:$A$47,0))</f>
        <v>N</v>
      </c>
      <c r="H654" s="12" t="str">
        <f aca="false">INDEX('Control Library'!$E$5:$E$47,MATCH(E654,'Control Library'!$A$5:$A$47,0))</f>
        <v>Annual</v>
      </c>
      <c r="I654" s="7" t="str">
        <f aca="false">IF(INDEX('Control Library'!$I$5:$I$47,MATCH(E654,'Control Library'!$A$5:$A$47,0))="All","Y",IF(INDEX('Control Library'!$I$5:$I$47,MATCH(E654,'Control Library'!$A$5:$A$47,0))="Banks only",IF(COUNTIF('Residual Config'!$L$28:$L$30,INDEX(Entities!$E$5:$E$34,MATCH(B654,Entities!$A$5:$A$34,0)))&gt;0,"N/A","Y"),IF(INDEX(Entities!$G$5:$G$34,MATCH(B654,Entities!$A$5:$A$34,0))="Y","Y","N/A")))</f>
        <v>Y</v>
      </c>
      <c r="J654" s="8" t="s">
        <v>2345</v>
      </c>
      <c r="K654" s="8" t="s">
        <v>2342</v>
      </c>
      <c r="L654" s="7" t="str">
        <f aca="false">IF(OR(J654="",K654=""),"",IF(J654=K654,"Breach","OK"))</f>
        <v>OK</v>
      </c>
      <c r="M654" s="24" t="n">
        <v>2</v>
      </c>
      <c r="N654" s="50" t="n">
        <v>46267</v>
      </c>
      <c r="O654" s="8" t="s">
        <v>547</v>
      </c>
      <c r="P654" s="24" t="n">
        <v>1</v>
      </c>
      <c r="Q654" s="31" t="n">
        <f aca="false">IF(I654="N/A","",IFERROR(INDEX('Residual Config'!$B$35:$B$42,MATCH(H654,'Residual Config'!$A$35:$A$42,0)),""))</f>
        <v>1</v>
      </c>
      <c r="R654" s="24" t="n">
        <v>0</v>
      </c>
      <c r="S654" s="8" t="s">
        <v>516</v>
      </c>
      <c r="T654" s="31" t="n">
        <f aca="false">IF(S654="","",MATCH(S654,'Residual Config'!$L$9:$L$12,0))</f>
        <v>1</v>
      </c>
      <c r="U654" s="8" t="s">
        <v>2352</v>
      </c>
      <c r="V654" s="24" t="n">
        <v>4</v>
      </c>
      <c r="W654" s="33" t="s">
        <v>533</v>
      </c>
      <c r="X654" s="8" t="s">
        <v>754</v>
      </c>
      <c r="Y654" s="51" t="n">
        <f aca="false">IF(N654="","",EDATE(N654,IF(G654="N",INDEX('Residual Config'!$B$31:$D$31,1,MATCH(D654,'Residual Config'!$B$27:$D$27,0)),INDEX('Residual Config'!$B$28:$D$30,IF(T654=1,1,IF(T654=4,3,2)),MATCH(D654,'Residual Config'!$B$27:$D$27,0)))))</f>
        <v>46998</v>
      </c>
      <c r="Z654" s="7" t="str">
        <f aca="false">IF(I654="N/A","N/A",IF(N654="","Not tested",IF(W654="Rejected","Evidence rejected",IF(W654&lt;&gt;"Accepted","Evidence pending",IF(Y654&lt;'Residual Config'!$C$4,"Overdue","Current")))))</f>
        <v>Current</v>
      </c>
      <c r="AA654" s="34" t="n">
        <f aca="false">IF(I654="N/A","",IF(Z654&lt;&gt;"Current",4,IF(MAX(M654,T654)=0,4,MAX(M654,T654))))</f>
        <v>2</v>
      </c>
      <c r="AB654" s="7" t="str">
        <f aca="false">IF(AA654="","N/A",IF(Z654&lt;&gt;"Current","Not tested / overdue",INDEX('Residual Config'!$B$11:$B$14,AA654)))</f>
        <v>Largely effective</v>
      </c>
      <c r="AC654" s="36" t="n">
        <f aca="false">IF(AA654="","",INDEX('Residual Config'!$D$11:$D$14,AA654))</f>
        <v>0.4</v>
      </c>
      <c r="AD654" s="7" t="str">
        <f aca="false">IF(OR(I654="N/A",P654="",Q654=""),"",IF(P654&gt;=Q654,"Yes","No"))</f>
        <v>Yes</v>
      </c>
      <c r="AE654" s="8"/>
    </row>
    <row r="655" customFormat="false" ht="15" hidden="false" customHeight="false" outlineLevel="0" collapsed="false">
      <c r="A655" s="12" t="s">
        <v>2353</v>
      </c>
      <c r="B655" s="26" t="str">
        <f aca="false">Entities!$A$20</f>
        <v>YE</v>
      </c>
      <c r="C655" s="12" t="str">
        <f aca="false">INDEX(Entities!$B$5:$B$34,MATCH(B655,Entities!$A$5:$A$34,0))</f>
        <v>Arab Bank – Yemen</v>
      </c>
      <c r="D655" s="7" t="str">
        <f aca="false">INDEX(Entities!$F$5:$F$34,MATCH(B655,Entities!$A$5:$A$34,0))</f>
        <v>Tier 3</v>
      </c>
      <c r="E655" s="26" t="str">
        <f aca="false">'Control Library'!$A$10</f>
        <v>CTL-TM-01</v>
      </c>
      <c r="F655" s="12" t="str">
        <f aca="false">INDEX('Control Library'!$B$5:$B$47,MATCH(E655,'Control Library'!$A$5:$A$47,0))</f>
        <v>Automated transaction monitoring scenarios and annual tuning</v>
      </c>
      <c r="G655" s="7" t="str">
        <f aca="false">INDEX('Control Library'!$F$5:$F$47,MATCH(E655,'Control Library'!$A$5:$A$47,0))</f>
        <v>Y</v>
      </c>
      <c r="H655" s="12" t="str">
        <f aca="false">INDEX('Control Library'!$E$5:$E$47,MATCH(E655,'Control Library'!$A$5:$A$47,0))</f>
        <v>Continuous</v>
      </c>
      <c r="I655" s="7" t="str">
        <f aca="false">IF(INDEX('Control Library'!$I$5:$I$47,MATCH(E655,'Control Library'!$A$5:$A$47,0))="All","Y",IF(INDEX('Control Library'!$I$5:$I$47,MATCH(E655,'Control Library'!$A$5:$A$47,0))="Banks only",IF(COUNTIF('Residual Config'!$L$28:$L$30,INDEX(Entities!$E$5:$E$34,MATCH(B655,Entities!$A$5:$A$34,0)))&gt;0,"N/A","Y"),IF(INDEX(Entities!$G$5:$G$34,MATCH(B655,Entities!$A$5:$A$34,0))="Y","Y","N/A")))</f>
        <v>Y</v>
      </c>
      <c r="J655" s="8" t="s">
        <v>2354</v>
      </c>
      <c r="K655" s="8" t="s">
        <v>2342</v>
      </c>
      <c r="L655" s="7" t="str">
        <f aca="false">IF(OR(J655="",K655=""),"",IF(J655=K655,"Breach","OK"))</f>
        <v>OK</v>
      </c>
      <c r="M655" s="24" t="n">
        <v>2</v>
      </c>
      <c r="N655" s="50" t="n">
        <v>46212</v>
      </c>
      <c r="O655" s="8" t="s">
        <v>546</v>
      </c>
      <c r="P655" s="24" t="n">
        <v>1</v>
      </c>
      <c r="Q655" s="31" t="n">
        <f aca="false">IF(I655="N/A","",IFERROR(INDEX('Residual Config'!$B$35:$B$42,MATCH(H655,'Residual Config'!$A$35:$A$42,0)),""))</f>
        <v>1</v>
      </c>
      <c r="R655" s="24" t="n">
        <v>1</v>
      </c>
      <c r="S655" s="8" t="s">
        <v>521</v>
      </c>
      <c r="T655" s="31" t="n">
        <f aca="false">IF(S655="","",MATCH(S655,'Residual Config'!$L$9:$L$12,0))</f>
        <v>2</v>
      </c>
      <c r="U655" s="8" t="s">
        <v>2355</v>
      </c>
      <c r="V655" s="24" t="n">
        <v>6</v>
      </c>
      <c r="W655" s="33" t="s">
        <v>533</v>
      </c>
      <c r="X655" s="8" t="s">
        <v>760</v>
      </c>
      <c r="Y655" s="51" t="n">
        <f aca="false">IF(N655="","",EDATE(N655,IF(G655="N",INDEX('Residual Config'!$B$31:$D$31,1,MATCH(D655,'Residual Config'!$B$27:$D$27,0)),INDEX('Residual Config'!$B$28:$D$30,IF(T655=1,1,IF(T655=4,3,2)),MATCH(D655,'Residual Config'!$B$27:$D$27,0)))))</f>
        <v>46396</v>
      </c>
      <c r="Z655" s="7" t="str">
        <f aca="false">IF(I655="N/A","N/A",IF(N655="","Not tested",IF(W655="Rejected","Evidence rejected",IF(W655&lt;&gt;"Accepted","Evidence pending",IF(Y655&lt;'Residual Config'!$C$4,"Overdue","Current")))))</f>
        <v>Current</v>
      </c>
      <c r="AA655" s="34" t="n">
        <f aca="false">IF(I655="N/A","",IF(Z655&lt;&gt;"Current",4,IF(MAX(M655,T655)=0,4,MAX(M655,T655))))</f>
        <v>2</v>
      </c>
      <c r="AB655" s="7" t="str">
        <f aca="false">IF(AA655="","N/A",IF(Z655&lt;&gt;"Current","Not tested / overdue",INDEX('Residual Config'!$B$11:$B$14,AA655)))</f>
        <v>Largely effective</v>
      </c>
      <c r="AC655" s="36" t="n">
        <f aca="false">IF(AA655="","",INDEX('Residual Config'!$D$11:$D$14,AA655))</f>
        <v>0.4</v>
      </c>
      <c r="AD655" s="7" t="str">
        <f aca="false">IF(OR(I655="N/A",P655="",Q655=""),"",IF(P655&gt;=Q655,"Yes","No"))</f>
        <v>Yes</v>
      </c>
      <c r="AE655" s="8"/>
    </row>
    <row r="656" customFormat="false" ht="15" hidden="false" customHeight="false" outlineLevel="0" collapsed="false">
      <c r="A656" s="12" t="s">
        <v>2356</v>
      </c>
      <c r="B656" s="26" t="str">
        <f aca="false">Entities!$A$20</f>
        <v>YE</v>
      </c>
      <c r="C656" s="12" t="str">
        <f aca="false">INDEX(Entities!$B$5:$B$34,MATCH(B656,Entities!$A$5:$A$34,0))</f>
        <v>Arab Bank – Yemen</v>
      </c>
      <c r="D656" s="7" t="str">
        <f aca="false">INDEX(Entities!$F$5:$F$34,MATCH(B656,Entities!$A$5:$A$34,0))</f>
        <v>Tier 3</v>
      </c>
      <c r="E656" s="26" t="str">
        <f aca="false">'Control Library'!$A$11</f>
        <v>CTL-TM-02</v>
      </c>
      <c r="F656" s="12" t="str">
        <f aca="false">INDEX('Control Library'!$B$5:$B$47,MATCH(E656,'Control Library'!$A$5:$A$47,0))</f>
        <v>Alert investigation and quality assurance within SLA</v>
      </c>
      <c r="G656" s="7" t="str">
        <f aca="false">INDEX('Control Library'!$F$5:$F$47,MATCH(E656,'Control Library'!$A$5:$A$47,0))</f>
        <v>Y</v>
      </c>
      <c r="H656" s="12" t="str">
        <f aca="false">INDEX('Control Library'!$E$5:$E$47,MATCH(E656,'Control Library'!$A$5:$A$47,0))</f>
        <v>Daily</v>
      </c>
      <c r="I656" s="7" t="str">
        <f aca="false">IF(INDEX('Control Library'!$I$5:$I$47,MATCH(E656,'Control Library'!$A$5:$A$47,0))="All","Y",IF(INDEX('Control Library'!$I$5:$I$47,MATCH(E656,'Control Library'!$A$5:$A$47,0))="Banks only",IF(COUNTIF('Residual Config'!$L$28:$L$30,INDEX(Entities!$E$5:$E$34,MATCH(B656,Entities!$A$5:$A$34,0)))&gt;0,"N/A","Y"),IF(INDEX(Entities!$G$5:$G$34,MATCH(B656,Entities!$A$5:$A$34,0))="Y","Y","N/A")))</f>
        <v>Y</v>
      </c>
      <c r="J656" s="8" t="s">
        <v>2354</v>
      </c>
      <c r="K656" s="8" t="s">
        <v>2342</v>
      </c>
      <c r="L656" s="7" t="str">
        <f aca="false">IF(OR(J656="",K656=""),"",IF(J656=K656,"Breach","OK"))</f>
        <v>OK</v>
      </c>
      <c r="M656" s="24" t="n">
        <v>2</v>
      </c>
      <c r="N656" s="50" t="n">
        <v>46163</v>
      </c>
      <c r="O656" s="8" t="s">
        <v>545</v>
      </c>
      <c r="P656" s="24" t="n">
        <v>30</v>
      </c>
      <c r="Q656" s="31" t="n">
        <f aca="false">IF(I656="N/A","",IFERROR(INDEX('Residual Config'!$B$35:$B$42,MATCH(H656,'Residual Config'!$A$35:$A$42,0)),""))</f>
        <v>25</v>
      </c>
      <c r="R656" s="24" t="n">
        <v>1</v>
      </c>
      <c r="S656" s="8" t="s">
        <v>521</v>
      </c>
      <c r="T656" s="31" t="n">
        <f aca="false">IF(S656="","",MATCH(S656,'Residual Config'!$L$9:$L$12,0))</f>
        <v>2</v>
      </c>
      <c r="U656" s="8" t="s">
        <v>2357</v>
      </c>
      <c r="V656" s="24" t="n">
        <v>1</v>
      </c>
      <c r="W656" s="33" t="s">
        <v>533</v>
      </c>
      <c r="X656" s="8" t="s">
        <v>760</v>
      </c>
      <c r="Y656" s="51" t="n">
        <f aca="false">IF(N656="","",EDATE(N656,IF(G656="N",INDEX('Residual Config'!$B$31:$D$31,1,MATCH(D656,'Residual Config'!$B$27:$D$27,0)),INDEX('Residual Config'!$B$28:$D$30,IF(T656=1,1,IF(T656=4,3,2)),MATCH(D656,'Residual Config'!$B$27:$D$27,0)))))</f>
        <v>46347</v>
      </c>
      <c r="Z656" s="7" t="str">
        <f aca="false">IF(I656="N/A","N/A",IF(N656="","Not tested",IF(W656="Rejected","Evidence rejected",IF(W656&lt;&gt;"Accepted","Evidence pending",IF(Y656&lt;'Residual Config'!$C$4,"Overdue","Current")))))</f>
        <v>Current</v>
      </c>
      <c r="AA656" s="34" t="n">
        <f aca="false">IF(I656="N/A","",IF(Z656&lt;&gt;"Current",4,IF(MAX(M656,T656)=0,4,MAX(M656,T656))))</f>
        <v>2</v>
      </c>
      <c r="AB656" s="7" t="str">
        <f aca="false">IF(AA656="","N/A",IF(Z656&lt;&gt;"Current","Not tested / overdue",INDEX('Residual Config'!$B$11:$B$14,AA656)))</f>
        <v>Largely effective</v>
      </c>
      <c r="AC656" s="36" t="n">
        <f aca="false">IF(AA656="","",INDEX('Residual Config'!$D$11:$D$14,AA656))</f>
        <v>0.4</v>
      </c>
      <c r="AD656" s="7" t="str">
        <f aca="false">IF(OR(I656="N/A",P656="",Q656=""),"",IF(P656&gt;=Q656,"Yes","No"))</f>
        <v>Yes</v>
      </c>
      <c r="AE656" s="8"/>
    </row>
    <row r="657" customFormat="false" ht="15" hidden="false" customHeight="false" outlineLevel="0" collapsed="false">
      <c r="A657" s="12" t="s">
        <v>2358</v>
      </c>
      <c r="B657" s="26" t="str">
        <f aca="false">Entities!$A$20</f>
        <v>YE</v>
      </c>
      <c r="C657" s="12" t="str">
        <f aca="false">INDEX(Entities!$B$5:$B$34,MATCH(B657,Entities!$A$5:$A$34,0))</f>
        <v>Arab Bank – Yemen</v>
      </c>
      <c r="D657" s="7" t="str">
        <f aca="false">INDEX(Entities!$F$5:$F$34,MATCH(B657,Entities!$A$5:$A$34,0))</f>
        <v>Tier 3</v>
      </c>
      <c r="E657" s="26" t="str">
        <f aca="false">'Control Library'!$A$12</f>
        <v>CTL-STR-01</v>
      </c>
      <c r="F657" s="12" t="str">
        <f aca="false">INDEX('Control Library'!$B$5:$B$47,MATCH(E657,'Control Library'!$A$5:$A$47,0))</f>
        <v>STR decision and filing within regulatory deadline</v>
      </c>
      <c r="G657" s="7" t="str">
        <f aca="false">INDEX('Control Library'!$F$5:$F$47,MATCH(E657,'Control Library'!$A$5:$A$47,0))</f>
        <v>Y</v>
      </c>
      <c r="H657" s="12" t="str">
        <f aca="false">INDEX('Control Library'!$E$5:$E$47,MATCH(E657,'Control Library'!$A$5:$A$47,0))</f>
        <v>Event-driven</v>
      </c>
      <c r="I657" s="7" t="str">
        <f aca="false">IF(INDEX('Control Library'!$I$5:$I$47,MATCH(E657,'Control Library'!$A$5:$A$47,0))="All","Y",IF(INDEX('Control Library'!$I$5:$I$47,MATCH(E657,'Control Library'!$A$5:$A$47,0))="Banks only",IF(COUNTIF('Residual Config'!$L$28:$L$30,INDEX(Entities!$E$5:$E$34,MATCH(B657,Entities!$A$5:$A$34,0)))&gt;0,"N/A","Y"),IF(INDEX(Entities!$G$5:$G$34,MATCH(B657,Entities!$A$5:$A$34,0))="Y","Y","N/A")))</f>
        <v>Y</v>
      </c>
      <c r="J657" s="8" t="s">
        <v>2354</v>
      </c>
      <c r="K657" s="8" t="s">
        <v>2342</v>
      </c>
      <c r="L657" s="7" t="str">
        <f aca="false">IF(OR(J657="",K657=""),"",IF(J657=K657,"Breach","OK"))</f>
        <v>OK</v>
      </c>
      <c r="M657" s="24" t="n">
        <v>3</v>
      </c>
      <c r="N657" s="50" t="n">
        <v>46201</v>
      </c>
      <c r="O657" s="8" t="s">
        <v>545</v>
      </c>
      <c r="P657" s="24" t="n">
        <v>30</v>
      </c>
      <c r="Q657" s="31" t="n">
        <f aca="false">IF(I657="N/A","",IFERROR(INDEX('Residual Config'!$B$35:$B$42,MATCH(H657,'Residual Config'!$A$35:$A$42,0)),""))</f>
        <v>25</v>
      </c>
      <c r="R657" s="24" t="n">
        <v>1</v>
      </c>
      <c r="S657" s="8" t="s">
        <v>521</v>
      </c>
      <c r="T657" s="31" t="n">
        <f aca="false">IF(S657="","",MATCH(S657,'Residual Config'!$L$9:$L$12,0))</f>
        <v>2</v>
      </c>
      <c r="U657" s="8" t="s">
        <v>2359</v>
      </c>
      <c r="V657" s="24" t="n">
        <v>2</v>
      </c>
      <c r="W657" s="33" t="s">
        <v>533</v>
      </c>
      <c r="X657" s="8" t="s">
        <v>754</v>
      </c>
      <c r="Y657" s="51" t="n">
        <f aca="false">IF(N657="","",EDATE(N657,IF(G657="N",INDEX('Residual Config'!$B$31:$D$31,1,MATCH(D657,'Residual Config'!$B$27:$D$27,0)),INDEX('Residual Config'!$B$28:$D$30,IF(T657=1,1,IF(T657=4,3,2)),MATCH(D657,'Residual Config'!$B$27:$D$27,0)))))</f>
        <v>46384</v>
      </c>
      <c r="Z657" s="7" t="str">
        <f aca="false">IF(I657="N/A","N/A",IF(N657="","Not tested",IF(W657="Rejected","Evidence rejected",IF(W657&lt;&gt;"Accepted","Evidence pending",IF(Y657&lt;'Residual Config'!$C$4,"Overdue","Current")))))</f>
        <v>Current</v>
      </c>
      <c r="AA657" s="34" t="n">
        <f aca="false">IF(I657="N/A","",IF(Z657&lt;&gt;"Current",4,IF(MAX(M657,T657)=0,4,MAX(M657,T657))))</f>
        <v>3</v>
      </c>
      <c r="AB657" s="7" t="str">
        <f aca="false">IF(AA657="","N/A",IF(Z657&lt;&gt;"Current","Not tested / overdue",INDEX('Residual Config'!$B$11:$B$14,AA657)))</f>
        <v>Partially effective</v>
      </c>
      <c r="AC657" s="36" t="n">
        <f aca="false">IF(AA657="","",INDEX('Residual Config'!$D$11:$D$14,AA657))</f>
        <v>0.2</v>
      </c>
      <c r="AD657" s="7" t="str">
        <f aca="false">IF(OR(I657="N/A",P657="",Q657=""),"",IF(P657&gt;=Q657,"Yes","No"))</f>
        <v>Yes</v>
      </c>
      <c r="AE657" s="8"/>
    </row>
    <row r="658" customFormat="false" ht="15" hidden="false" customHeight="false" outlineLevel="0" collapsed="false">
      <c r="A658" s="12" t="s">
        <v>2360</v>
      </c>
      <c r="B658" s="26" t="str">
        <f aca="false">Entities!$A$20</f>
        <v>YE</v>
      </c>
      <c r="C658" s="12" t="str">
        <f aca="false">INDEX(Entities!$B$5:$B$34,MATCH(B658,Entities!$A$5:$A$34,0))</f>
        <v>Arab Bank – Yemen</v>
      </c>
      <c r="D658" s="7" t="str">
        <f aca="false">INDEX(Entities!$F$5:$F$34,MATCH(B658,Entities!$A$5:$A$34,0))</f>
        <v>Tier 3</v>
      </c>
      <c r="E658" s="26" t="str">
        <f aca="false">'Control Library'!$A$13</f>
        <v>CTL-SAN-01</v>
      </c>
      <c r="F658" s="12" t="str">
        <f aca="false">INDEX('Control Library'!$B$5:$B$47,MATCH(E658,'Control Library'!$A$5:$A$47,0))</f>
        <v>Real-time payment and transaction sanctions screening</v>
      </c>
      <c r="G658" s="7" t="str">
        <f aca="false">INDEX('Control Library'!$F$5:$F$47,MATCH(E658,'Control Library'!$A$5:$A$47,0))</f>
        <v>Y</v>
      </c>
      <c r="H658" s="12" t="str">
        <f aca="false">INDEX('Control Library'!$E$5:$E$47,MATCH(E658,'Control Library'!$A$5:$A$47,0))</f>
        <v>Continuous</v>
      </c>
      <c r="I658" s="7" t="str">
        <f aca="false">IF(INDEX('Control Library'!$I$5:$I$47,MATCH(E658,'Control Library'!$A$5:$A$47,0))="All","Y",IF(INDEX('Control Library'!$I$5:$I$47,MATCH(E658,'Control Library'!$A$5:$A$47,0))="Banks only",IF(COUNTIF('Residual Config'!$L$28:$L$30,INDEX(Entities!$E$5:$E$34,MATCH(B658,Entities!$A$5:$A$34,0)))&gt;0,"N/A","Y"),IF(INDEX(Entities!$G$5:$G$34,MATCH(B658,Entities!$A$5:$A$34,0))="Y","Y","N/A")))</f>
        <v>Y</v>
      </c>
      <c r="J658" s="8" t="s">
        <v>2361</v>
      </c>
      <c r="K658" s="8" t="s">
        <v>2342</v>
      </c>
      <c r="L658" s="7" t="str">
        <f aca="false">IF(OR(J658="",K658=""),"",IF(J658=K658,"Breach","OK"))</f>
        <v>OK</v>
      </c>
      <c r="M658" s="24" t="n">
        <v>3</v>
      </c>
      <c r="N658" s="50" t="n">
        <v>46218</v>
      </c>
      <c r="O658" s="8" t="s">
        <v>546</v>
      </c>
      <c r="P658" s="24" t="n">
        <v>1</v>
      </c>
      <c r="Q658" s="31" t="n">
        <f aca="false">IF(I658="N/A","",IFERROR(INDEX('Residual Config'!$B$35:$B$42,MATCH(H658,'Residual Config'!$A$35:$A$42,0)),""))</f>
        <v>1</v>
      </c>
      <c r="R658" s="24" t="n">
        <v>1</v>
      </c>
      <c r="S658" s="8" t="s">
        <v>521</v>
      </c>
      <c r="T658" s="31" t="n">
        <f aca="false">IF(S658="","",MATCH(S658,'Residual Config'!$L$9:$L$12,0))</f>
        <v>2</v>
      </c>
      <c r="U658" s="8" t="s">
        <v>2362</v>
      </c>
      <c r="V658" s="24" t="n">
        <v>1</v>
      </c>
      <c r="W658" s="33" t="s">
        <v>533</v>
      </c>
      <c r="X658" s="8" t="s">
        <v>760</v>
      </c>
      <c r="Y658" s="51" t="n">
        <f aca="false">IF(N658="","",EDATE(N658,IF(G658="N",INDEX('Residual Config'!$B$31:$D$31,1,MATCH(D658,'Residual Config'!$B$27:$D$27,0)),INDEX('Residual Config'!$B$28:$D$30,IF(T658=1,1,IF(T658=4,3,2)),MATCH(D658,'Residual Config'!$B$27:$D$27,0)))))</f>
        <v>46402</v>
      </c>
      <c r="Z658" s="7" t="str">
        <f aca="false">IF(I658="N/A","N/A",IF(N658="","Not tested",IF(W658="Rejected","Evidence rejected",IF(W658&lt;&gt;"Accepted","Evidence pending",IF(Y658&lt;'Residual Config'!$C$4,"Overdue","Current")))))</f>
        <v>Current</v>
      </c>
      <c r="AA658" s="34" t="n">
        <f aca="false">IF(I658="N/A","",IF(Z658&lt;&gt;"Current",4,IF(MAX(M658,T658)=0,4,MAX(M658,T658))))</f>
        <v>3</v>
      </c>
      <c r="AB658" s="7" t="str">
        <f aca="false">IF(AA658="","N/A",IF(Z658&lt;&gt;"Current","Not tested / overdue",INDEX('Residual Config'!$B$11:$B$14,AA658)))</f>
        <v>Partially effective</v>
      </c>
      <c r="AC658" s="36" t="n">
        <f aca="false">IF(AA658="","",INDEX('Residual Config'!$D$11:$D$14,AA658))</f>
        <v>0.2</v>
      </c>
      <c r="AD658" s="7" t="str">
        <f aca="false">IF(OR(I658="N/A",P658="",Q658=""),"",IF(P658&gt;=Q658,"Yes","No"))</f>
        <v>Yes</v>
      </c>
      <c r="AE658" s="8"/>
    </row>
    <row r="659" customFormat="false" ht="15" hidden="false" customHeight="false" outlineLevel="0" collapsed="false">
      <c r="A659" s="12" t="s">
        <v>2363</v>
      </c>
      <c r="B659" s="26" t="str">
        <f aca="false">Entities!$A$20</f>
        <v>YE</v>
      </c>
      <c r="C659" s="12" t="str">
        <f aca="false">INDEX(Entities!$B$5:$B$34,MATCH(B659,Entities!$A$5:$A$34,0))</f>
        <v>Arab Bank – Yemen</v>
      </c>
      <c r="D659" s="7" t="str">
        <f aca="false">INDEX(Entities!$F$5:$F$34,MATCH(B659,Entities!$A$5:$A$34,0))</f>
        <v>Tier 3</v>
      </c>
      <c r="E659" s="26" t="str">
        <f aca="false">'Control Library'!$A$14</f>
        <v>CTL-SAN-02</v>
      </c>
      <c r="F659" s="12" t="str">
        <f aca="false">INDEX('Control Library'!$B$5:$B$47,MATCH(E659,'Control Library'!$A$5:$A$47,0))</f>
        <v>Customer and counterparty screening at onboarding and on list change</v>
      </c>
      <c r="G659" s="7" t="str">
        <f aca="false">INDEX('Control Library'!$F$5:$F$47,MATCH(E659,'Control Library'!$A$5:$A$47,0))</f>
        <v>Y</v>
      </c>
      <c r="H659" s="12" t="str">
        <f aca="false">INDEX('Control Library'!$E$5:$E$47,MATCH(E659,'Control Library'!$A$5:$A$47,0))</f>
        <v>Continuous</v>
      </c>
      <c r="I659" s="7" t="str">
        <f aca="false">IF(INDEX('Control Library'!$I$5:$I$47,MATCH(E659,'Control Library'!$A$5:$A$47,0))="All","Y",IF(INDEX('Control Library'!$I$5:$I$47,MATCH(E659,'Control Library'!$A$5:$A$47,0))="Banks only",IF(COUNTIF('Residual Config'!$L$28:$L$30,INDEX(Entities!$E$5:$E$34,MATCH(B659,Entities!$A$5:$A$34,0)))&gt;0,"N/A","Y"),IF(INDEX(Entities!$G$5:$G$34,MATCH(B659,Entities!$A$5:$A$34,0))="Y","Y","N/A")))</f>
        <v>Y</v>
      </c>
      <c r="J659" s="8" t="s">
        <v>2361</v>
      </c>
      <c r="K659" s="8" t="s">
        <v>2342</v>
      </c>
      <c r="L659" s="7" t="str">
        <f aca="false">IF(OR(J659="",K659=""),"",IF(J659=K659,"Breach","OK"))</f>
        <v>OK</v>
      </c>
      <c r="M659" s="24" t="n">
        <v>2</v>
      </c>
      <c r="N659" s="50" t="n">
        <v>46287</v>
      </c>
      <c r="O659" s="8" t="s">
        <v>547</v>
      </c>
      <c r="P659" s="24" t="n">
        <v>1</v>
      </c>
      <c r="Q659" s="31" t="n">
        <f aca="false">IF(I659="N/A","",IFERROR(INDEX('Residual Config'!$B$35:$B$42,MATCH(H659,'Residual Config'!$A$35:$A$42,0)),""))</f>
        <v>1</v>
      </c>
      <c r="R659" s="24" t="n">
        <v>1</v>
      </c>
      <c r="S659" s="8" t="s">
        <v>521</v>
      </c>
      <c r="T659" s="31" t="n">
        <f aca="false">IF(S659="","",MATCH(S659,'Residual Config'!$L$9:$L$12,0))</f>
        <v>2</v>
      </c>
      <c r="U659" s="8" t="s">
        <v>2364</v>
      </c>
      <c r="V659" s="24" t="n">
        <v>4</v>
      </c>
      <c r="W659" s="33" t="s">
        <v>533</v>
      </c>
      <c r="X659" s="8" t="s">
        <v>754</v>
      </c>
      <c r="Y659" s="51" t="n">
        <f aca="false">IF(N659="","",EDATE(N659,IF(G659="N",INDEX('Residual Config'!$B$31:$D$31,1,MATCH(D659,'Residual Config'!$B$27:$D$27,0)),INDEX('Residual Config'!$B$28:$D$30,IF(T659=1,1,IF(T659=4,3,2)),MATCH(D659,'Residual Config'!$B$27:$D$27,0)))))</f>
        <v>46468</v>
      </c>
      <c r="Z659" s="7" t="str">
        <f aca="false">IF(I659="N/A","N/A",IF(N659="","Not tested",IF(W659="Rejected","Evidence rejected",IF(W659&lt;&gt;"Accepted","Evidence pending",IF(Y659&lt;'Residual Config'!$C$4,"Overdue","Current")))))</f>
        <v>Current</v>
      </c>
      <c r="AA659" s="34" t="n">
        <f aca="false">IF(I659="N/A","",IF(Z659&lt;&gt;"Current",4,IF(MAX(M659,T659)=0,4,MAX(M659,T659))))</f>
        <v>2</v>
      </c>
      <c r="AB659" s="7" t="str">
        <f aca="false">IF(AA659="","N/A",IF(Z659&lt;&gt;"Current","Not tested / overdue",INDEX('Residual Config'!$B$11:$B$14,AA659)))</f>
        <v>Largely effective</v>
      </c>
      <c r="AC659" s="36" t="n">
        <f aca="false">IF(AA659="","",INDEX('Residual Config'!$D$11:$D$14,AA659))</f>
        <v>0.4</v>
      </c>
      <c r="AD659" s="7" t="str">
        <f aca="false">IF(OR(I659="N/A",P659="",Q659=""),"",IF(P659&gt;=Q659,"Yes","No"))</f>
        <v>Yes</v>
      </c>
      <c r="AE659" s="8"/>
    </row>
    <row r="660" customFormat="false" ht="15" hidden="false" customHeight="false" outlineLevel="0" collapsed="false">
      <c r="A660" s="12" t="s">
        <v>2365</v>
      </c>
      <c r="B660" s="26" t="str">
        <f aca="false">Entities!$A$20</f>
        <v>YE</v>
      </c>
      <c r="C660" s="12" t="str">
        <f aca="false">INDEX(Entities!$B$5:$B$34,MATCH(B660,Entities!$A$5:$A$34,0))</f>
        <v>Arab Bank – Yemen</v>
      </c>
      <c r="D660" s="7" t="str">
        <f aca="false">INDEX(Entities!$F$5:$F$34,MATCH(B660,Entities!$A$5:$A$34,0))</f>
        <v>Tier 3</v>
      </c>
      <c r="E660" s="26" t="str">
        <f aca="false">'Control Library'!$A$15</f>
        <v>CTL-SAN-03</v>
      </c>
      <c r="F660" s="12" t="str">
        <f aca="false">INDEX('Control Library'!$B$5:$B$47,MATCH(E660,'Control Library'!$A$5:$A$47,0))</f>
        <v>Sanctions list updates applied within 24 hours</v>
      </c>
      <c r="G660" s="7" t="str">
        <f aca="false">INDEX('Control Library'!$F$5:$F$47,MATCH(E660,'Control Library'!$A$5:$A$47,0))</f>
        <v>N</v>
      </c>
      <c r="H660" s="12" t="str">
        <f aca="false">INDEX('Control Library'!$E$5:$E$47,MATCH(E660,'Control Library'!$A$5:$A$47,0))</f>
        <v>Daily</v>
      </c>
      <c r="I660" s="7" t="str">
        <f aca="false">IF(INDEX('Control Library'!$I$5:$I$47,MATCH(E660,'Control Library'!$A$5:$A$47,0))="All","Y",IF(INDEX('Control Library'!$I$5:$I$47,MATCH(E660,'Control Library'!$A$5:$A$47,0))="Banks only",IF(COUNTIF('Residual Config'!$L$28:$L$30,INDEX(Entities!$E$5:$E$34,MATCH(B660,Entities!$A$5:$A$34,0)))&gt;0,"N/A","Y"),IF(INDEX(Entities!$G$5:$G$34,MATCH(B660,Entities!$A$5:$A$34,0))="Y","Y","N/A")))</f>
        <v>Y</v>
      </c>
      <c r="J660" s="8" t="s">
        <v>2366</v>
      </c>
      <c r="K660" s="8" t="s">
        <v>2342</v>
      </c>
      <c r="L660" s="7" t="str">
        <f aca="false">IF(OR(J660="",K660=""),"",IF(J660=K660,"Breach","OK"))</f>
        <v>OK</v>
      </c>
      <c r="M660" s="24" t="n">
        <v>2</v>
      </c>
      <c r="N660" s="50" t="n">
        <v>46066</v>
      </c>
      <c r="O660" s="8" t="s">
        <v>545</v>
      </c>
      <c r="P660" s="24" t="n">
        <v>25</v>
      </c>
      <c r="Q660" s="31" t="n">
        <f aca="false">IF(I660="N/A","",IFERROR(INDEX('Residual Config'!$B$35:$B$42,MATCH(H660,'Residual Config'!$A$35:$A$42,0)),""))</f>
        <v>25</v>
      </c>
      <c r="R660" s="24" t="n">
        <v>1</v>
      </c>
      <c r="S660" s="8" t="s">
        <v>521</v>
      </c>
      <c r="T660" s="31" t="n">
        <f aca="false">IF(S660="","",MATCH(S660,'Residual Config'!$L$9:$L$12,0))</f>
        <v>2</v>
      </c>
      <c r="U660" s="8" t="s">
        <v>2367</v>
      </c>
      <c r="V660" s="24" t="n">
        <v>2</v>
      </c>
      <c r="W660" s="33" t="s">
        <v>533</v>
      </c>
      <c r="X660" s="8" t="s">
        <v>754</v>
      </c>
      <c r="Y660" s="51" t="n">
        <f aca="false">IF(N660="","",EDATE(N660,IF(G660="N",INDEX('Residual Config'!$B$31:$D$31,1,MATCH(D660,'Residual Config'!$B$27:$D$27,0)),INDEX('Residual Config'!$B$28:$D$30,IF(T660=1,1,IF(T660=4,3,2)),MATCH(D660,'Residual Config'!$B$27:$D$27,0)))))</f>
        <v>46796</v>
      </c>
      <c r="Z660" s="7" t="str">
        <f aca="false">IF(I660="N/A","N/A",IF(N660="","Not tested",IF(W660="Rejected","Evidence rejected",IF(W660&lt;&gt;"Accepted","Evidence pending",IF(Y660&lt;'Residual Config'!$C$4,"Overdue","Current")))))</f>
        <v>Current</v>
      </c>
      <c r="AA660" s="34" t="n">
        <f aca="false">IF(I660="N/A","",IF(Z660&lt;&gt;"Current",4,IF(MAX(M660,T660)=0,4,MAX(M660,T660))))</f>
        <v>2</v>
      </c>
      <c r="AB660" s="7" t="str">
        <f aca="false">IF(AA660="","N/A",IF(Z660&lt;&gt;"Current","Not tested / overdue",INDEX('Residual Config'!$B$11:$B$14,AA660)))</f>
        <v>Largely effective</v>
      </c>
      <c r="AC660" s="36" t="n">
        <f aca="false">IF(AA660="","",INDEX('Residual Config'!$D$11:$D$14,AA660))</f>
        <v>0.4</v>
      </c>
      <c r="AD660" s="7" t="str">
        <f aca="false">IF(OR(I660="N/A",P660="",Q660=""),"",IF(P660&gt;=Q660,"Yes","No"))</f>
        <v>Yes</v>
      </c>
      <c r="AE660" s="8"/>
    </row>
    <row r="661" customFormat="false" ht="15" hidden="false" customHeight="false" outlineLevel="0" collapsed="false">
      <c r="A661" s="12" t="s">
        <v>2368</v>
      </c>
      <c r="B661" s="26" t="str">
        <f aca="false">Entities!$A$20</f>
        <v>YE</v>
      </c>
      <c r="C661" s="12" t="str">
        <f aca="false">INDEX(Entities!$B$5:$B$34,MATCH(B661,Entities!$A$5:$A$34,0))</f>
        <v>Arab Bank – Yemen</v>
      </c>
      <c r="D661" s="7" t="str">
        <f aca="false">INDEX(Entities!$F$5:$F$34,MATCH(B661,Entities!$A$5:$A$34,0))</f>
        <v>Tier 3</v>
      </c>
      <c r="E661" s="26" t="str">
        <f aca="false">'Control Library'!$A$16</f>
        <v>CTL-TF-01</v>
      </c>
      <c r="F661" s="12" t="str">
        <f aca="false">INDEX('Control Library'!$B$5:$B$47,MATCH(E661,'Control Library'!$A$5:$A$47,0))</f>
        <v>NPO and charity enhanced due diligence</v>
      </c>
      <c r="G661" s="7" t="str">
        <f aca="false">INDEX('Control Library'!$F$5:$F$47,MATCH(E661,'Control Library'!$A$5:$A$47,0))</f>
        <v>N</v>
      </c>
      <c r="H661" s="12" t="str">
        <f aca="false">INDEX('Control Library'!$E$5:$E$47,MATCH(E661,'Control Library'!$A$5:$A$47,0))</f>
        <v>Event-driven</v>
      </c>
      <c r="I661" s="7" t="str">
        <f aca="false">IF(INDEX('Control Library'!$I$5:$I$47,MATCH(E661,'Control Library'!$A$5:$A$47,0))="All","Y",IF(INDEX('Control Library'!$I$5:$I$47,MATCH(E661,'Control Library'!$A$5:$A$47,0))="Banks only",IF(COUNTIF('Residual Config'!$L$28:$L$30,INDEX(Entities!$E$5:$E$34,MATCH(B661,Entities!$A$5:$A$34,0)))&gt;0,"N/A","Y"),IF(INDEX(Entities!$G$5:$G$34,MATCH(B661,Entities!$A$5:$A$34,0))="Y","Y","N/A")))</f>
        <v>Y</v>
      </c>
      <c r="J661" s="8" t="s">
        <v>2369</v>
      </c>
      <c r="K661" s="8" t="s">
        <v>2342</v>
      </c>
      <c r="L661" s="7" t="str">
        <f aca="false">IF(OR(J661="",K661=""),"",IF(J661=K661,"Breach","OK"))</f>
        <v>OK</v>
      </c>
      <c r="M661" s="24" t="n">
        <v>2</v>
      </c>
      <c r="N661" s="50" t="n">
        <v>45766</v>
      </c>
      <c r="O661" s="8" t="s">
        <v>545</v>
      </c>
      <c r="P661" s="24" t="n">
        <v>20</v>
      </c>
      <c r="Q661" s="31" t="n">
        <f aca="false">IF(I661="N/A","",IFERROR(INDEX('Residual Config'!$B$35:$B$42,MATCH(H661,'Residual Config'!$A$35:$A$42,0)),""))</f>
        <v>25</v>
      </c>
      <c r="R661" s="24" t="n">
        <v>1</v>
      </c>
      <c r="S661" s="8" t="s">
        <v>521</v>
      </c>
      <c r="T661" s="31" t="n">
        <f aca="false">IF(S661="","",MATCH(S661,'Residual Config'!$L$9:$L$12,0))</f>
        <v>2</v>
      </c>
      <c r="U661" s="8" t="s">
        <v>2370</v>
      </c>
      <c r="V661" s="24" t="n">
        <v>1</v>
      </c>
      <c r="W661" s="33" t="s">
        <v>533</v>
      </c>
      <c r="X661" s="8" t="s">
        <v>760</v>
      </c>
      <c r="Y661" s="51" t="n">
        <f aca="false">IF(N661="","",EDATE(N661,IF(G661="N",INDEX('Residual Config'!$B$31:$D$31,1,MATCH(D661,'Residual Config'!$B$27:$D$27,0)),INDEX('Residual Config'!$B$28:$D$30,IF(T661=1,1,IF(T661=4,3,2)),MATCH(D661,'Residual Config'!$B$27:$D$27,0)))))</f>
        <v>46496</v>
      </c>
      <c r="Z661" s="7" t="str">
        <f aca="false">IF(I661="N/A","N/A",IF(N661="","Not tested",IF(W661="Rejected","Evidence rejected",IF(W661&lt;&gt;"Accepted","Evidence pending",IF(Y661&lt;'Residual Config'!$C$4,"Overdue","Current")))))</f>
        <v>Current</v>
      </c>
      <c r="AA661" s="34" t="n">
        <f aca="false">IF(I661="N/A","",IF(Z661&lt;&gt;"Current",4,IF(MAX(M661,T661)=0,4,MAX(M661,T661))))</f>
        <v>2</v>
      </c>
      <c r="AB661" s="7" t="str">
        <f aca="false">IF(AA661="","N/A",IF(Z661&lt;&gt;"Current","Not tested / overdue",INDEX('Residual Config'!$B$11:$B$14,AA661)))</f>
        <v>Largely effective</v>
      </c>
      <c r="AC661" s="36" t="n">
        <f aca="false">IF(AA661="","",INDEX('Residual Config'!$D$11:$D$14,AA661))</f>
        <v>0.4</v>
      </c>
      <c r="AD661" s="7" t="str">
        <f aca="false">IF(OR(I661="N/A",P661="",Q661=""),"",IF(P661&gt;=Q661,"Yes","No"))</f>
        <v>No</v>
      </c>
      <c r="AE661" s="8"/>
    </row>
    <row r="662" customFormat="false" ht="15" hidden="false" customHeight="false" outlineLevel="0" collapsed="false">
      <c r="A662" s="12" t="s">
        <v>2371</v>
      </c>
      <c r="B662" s="26" t="str">
        <f aca="false">Entities!$A$20</f>
        <v>YE</v>
      </c>
      <c r="C662" s="12" t="str">
        <f aca="false">INDEX(Entities!$B$5:$B$34,MATCH(B662,Entities!$A$5:$A$34,0))</f>
        <v>Arab Bank – Yemen</v>
      </c>
      <c r="D662" s="7" t="str">
        <f aca="false">INDEX(Entities!$F$5:$F$34,MATCH(B662,Entities!$A$5:$A$34,0))</f>
        <v>Tier 3</v>
      </c>
      <c r="E662" s="26" t="str">
        <f aca="false">'Control Library'!$A$17</f>
        <v>CTL-TBML-01</v>
      </c>
      <c r="F662" s="12" t="str">
        <f aca="false">INDEX('Control Library'!$B$5:$B$47,MATCH(E662,'Control Library'!$A$5:$A$47,0))</f>
        <v>Trade-based ML red-flag review and pricing checks</v>
      </c>
      <c r="G662" s="7" t="str">
        <f aca="false">INDEX('Control Library'!$F$5:$F$47,MATCH(E662,'Control Library'!$A$5:$A$47,0))</f>
        <v>Y</v>
      </c>
      <c r="H662" s="12" t="str">
        <f aca="false">INDEX('Control Library'!$E$5:$E$47,MATCH(E662,'Control Library'!$A$5:$A$47,0))</f>
        <v>Event-driven</v>
      </c>
      <c r="I662" s="7" t="str">
        <f aca="false">IF(INDEX('Control Library'!$I$5:$I$47,MATCH(E662,'Control Library'!$A$5:$A$47,0))="All","Y",IF(INDEX('Control Library'!$I$5:$I$47,MATCH(E662,'Control Library'!$A$5:$A$47,0))="Banks only",IF(COUNTIF('Residual Config'!$L$28:$L$30,INDEX(Entities!$E$5:$E$34,MATCH(B662,Entities!$A$5:$A$34,0)))&gt;0,"N/A","Y"),IF(INDEX(Entities!$G$5:$G$34,MATCH(B662,Entities!$A$5:$A$34,0))="Y","Y","N/A")))</f>
        <v>Y</v>
      </c>
      <c r="J662" s="8" t="s">
        <v>2372</v>
      </c>
      <c r="K662" s="8" t="s">
        <v>2342</v>
      </c>
      <c r="L662" s="7" t="str">
        <f aca="false">IF(OR(J662="",K662=""),"",IF(J662=K662,"Breach","OK"))</f>
        <v>OK</v>
      </c>
      <c r="M662" s="24" t="n">
        <v>2</v>
      </c>
      <c r="N662" s="50" t="n">
        <v>46184</v>
      </c>
      <c r="O662" s="8" t="s">
        <v>546</v>
      </c>
      <c r="P662" s="24" t="n">
        <v>25</v>
      </c>
      <c r="Q662" s="31" t="n">
        <f aca="false">IF(I662="N/A","",IFERROR(INDEX('Residual Config'!$B$35:$B$42,MATCH(H662,'Residual Config'!$A$35:$A$42,0)),""))</f>
        <v>25</v>
      </c>
      <c r="R662" s="24" t="n">
        <v>3</v>
      </c>
      <c r="S662" s="8" t="s">
        <v>524</v>
      </c>
      <c r="T662" s="31" t="n">
        <f aca="false">IF(S662="","",MATCH(S662,'Residual Config'!$L$9:$L$12,0))</f>
        <v>3</v>
      </c>
      <c r="U662" s="8" t="s">
        <v>2373</v>
      </c>
      <c r="V662" s="24" t="n">
        <v>6</v>
      </c>
      <c r="W662" s="33" t="s">
        <v>533</v>
      </c>
      <c r="X662" s="8" t="s">
        <v>760</v>
      </c>
      <c r="Y662" s="51" t="n">
        <f aca="false">IF(N662="","",EDATE(N662,IF(G662="N",INDEX('Residual Config'!$B$31:$D$31,1,MATCH(D662,'Residual Config'!$B$27:$D$27,0)),INDEX('Residual Config'!$B$28:$D$30,IF(T662=1,1,IF(T662=4,3,2)),MATCH(D662,'Residual Config'!$B$27:$D$27,0)))))</f>
        <v>46367</v>
      </c>
      <c r="Z662" s="7" t="str">
        <f aca="false">IF(I662="N/A","N/A",IF(N662="","Not tested",IF(W662="Rejected","Evidence rejected",IF(W662&lt;&gt;"Accepted","Evidence pending",IF(Y662&lt;'Residual Config'!$C$4,"Overdue","Current")))))</f>
        <v>Current</v>
      </c>
      <c r="AA662" s="34" t="n">
        <f aca="false">IF(I662="N/A","",IF(Z662&lt;&gt;"Current",4,IF(MAX(M662,T662)=0,4,MAX(M662,T662))))</f>
        <v>3</v>
      </c>
      <c r="AB662" s="7" t="str">
        <f aca="false">IF(AA662="","N/A",IF(Z662&lt;&gt;"Current","Not tested / overdue",INDEX('Residual Config'!$B$11:$B$14,AA662)))</f>
        <v>Partially effective</v>
      </c>
      <c r="AC662" s="36" t="n">
        <f aca="false">IF(AA662="","",INDEX('Residual Config'!$D$11:$D$14,AA662))</f>
        <v>0.2</v>
      </c>
      <c r="AD662" s="7" t="str">
        <f aca="false">IF(OR(I662="N/A",P662="",Q662=""),"",IF(P662&gt;=Q662,"Yes","No"))</f>
        <v>Yes</v>
      </c>
      <c r="AE662" s="8"/>
    </row>
    <row r="663" customFormat="false" ht="15" hidden="false" customHeight="false" outlineLevel="0" collapsed="false">
      <c r="A663" s="12" t="s">
        <v>2374</v>
      </c>
      <c r="B663" s="26" t="str">
        <f aca="false">Entities!$A$20</f>
        <v>YE</v>
      </c>
      <c r="C663" s="12" t="str">
        <f aca="false">INDEX(Entities!$B$5:$B$34,MATCH(B663,Entities!$A$5:$A$34,0))</f>
        <v>Arab Bank – Yemen</v>
      </c>
      <c r="D663" s="7" t="str">
        <f aca="false">INDEX(Entities!$F$5:$F$34,MATCH(B663,Entities!$A$5:$A$34,0))</f>
        <v>Tier 3</v>
      </c>
      <c r="E663" s="26" t="str">
        <f aca="false">'Control Library'!$A$18</f>
        <v>CTL-PF-01</v>
      </c>
      <c r="F663" s="12" t="str">
        <f aca="false">INDEX('Control Library'!$B$5:$B$47,MATCH(E663,'Control Library'!$A$5:$A$47,0))</f>
        <v>Dual-use goods, vessel and port screening</v>
      </c>
      <c r="G663" s="7" t="str">
        <f aca="false">INDEX('Control Library'!$F$5:$F$47,MATCH(E663,'Control Library'!$A$5:$A$47,0))</f>
        <v>Y</v>
      </c>
      <c r="H663" s="12" t="str">
        <f aca="false">INDEX('Control Library'!$E$5:$E$47,MATCH(E663,'Control Library'!$A$5:$A$47,0))</f>
        <v>Event-driven</v>
      </c>
      <c r="I663" s="7" t="str">
        <f aca="false">IF(INDEX('Control Library'!$I$5:$I$47,MATCH(E663,'Control Library'!$A$5:$A$47,0))="All","Y",IF(INDEX('Control Library'!$I$5:$I$47,MATCH(E663,'Control Library'!$A$5:$A$47,0))="Banks only",IF(COUNTIF('Residual Config'!$L$28:$L$30,INDEX(Entities!$E$5:$E$34,MATCH(B663,Entities!$A$5:$A$34,0)))&gt;0,"N/A","Y"),IF(INDEX(Entities!$G$5:$G$34,MATCH(B663,Entities!$A$5:$A$34,0))="Y","Y","N/A")))</f>
        <v>Y</v>
      </c>
      <c r="J663" s="8" t="s">
        <v>2372</v>
      </c>
      <c r="K663" s="8" t="s">
        <v>2342</v>
      </c>
      <c r="L663" s="7" t="str">
        <f aca="false">IF(OR(J663="",K663=""),"",IF(J663=K663,"Breach","OK"))</f>
        <v>OK</v>
      </c>
      <c r="M663" s="24" t="n">
        <v>2</v>
      </c>
      <c r="N663" s="50" t="n">
        <v>46076</v>
      </c>
      <c r="O663" s="8" t="s">
        <v>546</v>
      </c>
      <c r="P663" s="24" t="n">
        <v>30</v>
      </c>
      <c r="Q663" s="31" t="n">
        <f aca="false">IF(I663="N/A","",IFERROR(INDEX('Residual Config'!$B$35:$B$42,MATCH(H663,'Residual Config'!$A$35:$A$42,0)),""))</f>
        <v>25</v>
      </c>
      <c r="R663" s="24" t="n">
        <v>0</v>
      </c>
      <c r="S663" s="8" t="s">
        <v>516</v>
      </c>
      <c r="T663" s="31" t="n">
        <f aca="false">IF(S663="","",MATCH(S663,'Residual Config'!$L$9:$L$12,0))</f>
        <v>1</v>
      </c>
      <c r="U663" s="8" t="s">
        <v>2375</v>
      </c>
      <c r="V663" s="24" t="n">
        <v>5</v>
      </c>
      <c r="W663" s="33" t="s">
        <v>533</v>
      </c>
      <c r="X663" s="8" t="s">
        <v>760</v>
      </c>
      <c r="Y663" s="51" t="n">
        <f aca="false">IF(N663="","",EDATE(N663,IF(G663="N",INDEX('Residual Config'!$B$31:$D$31,1,MATCH(D663,'Residual Config'!$B$27:$D$27,0)),INDEX('Residual Config'!$B$28:$D$30,IF(T663=1,1,IF(T663=4,3,2)),MATCH(D663,'Residual Config'!$B$27:$D$27,0)))))</f>
        <v>46441</v>
      </c>
      <c r="Z663" s="7" t="str">
        <f aca="false">IF(I663="N/A","N/A",IF(N663="","Not tested",IF(W663="Rejected","Evidence rejected",IF(W663&lt;&gt;"Accepted","Evidence pending",IF(Y663&lt;'Residual Config'!$C$4,"Overdue","Current")))))</f>
        <v>Current</v>
      </c>
      <c r="AA663" s="34" t="n">
        <f aca="false">IF(I663="N/A","",IF(Z663&lt;&gt;"Current",4,IF(MAX(M663,T663)=0,4,MAX(M663,T663))))</f>
        <v>2</v>
      </c>
      <c r="AB663" s="7" t="str">
        <f aca="false">IF(AA663="","N/A",IF(Z663&lt;&gt;"Current","Not tested / overdue",INDEX('Residual Config'!$B$11:$B$14,AA663)))</f>
        <v>Largely effective</v>
      </c>
      <c r="AC663" s="36" t="n">
        <f aca="false">IF(AA663="","",INDEX('Residual Config'!$D$11:$D$14,AA663))</f>
        <v>0.4</v>
      </c>
      <c r="AD663" s="7" t="str">
        <f aca="false">IF(OR(I663="N/A",P663="",Q663=""),"",IF(P663&gt;=Q663,"Yes","No"))</f>
        <v>Yes</v>
      </c>
      <c r="AE663" s="8"/>
    </row>
    <row r="664" customFormat="false" ht="15" hidden="false" customHeight="false" outlineLevel="0" collapsed="false">
      <c r="A664" s="12" t="s">
        <v>2376</v>
      </c>
      <c r="B664" s="26" t="str">
        <f aca="false">Entities!$A$20</f>
        <v>YE</v>
      </c>
      <c r="C664" s="12" t="str">
        <f aca="false">INDEX(Entities!$B$5:$B$34,MATCH(B664,Entities!$A$5:$A$34,0))</f>
        <v>Arab Bank – Yemen</v>
      </c>
      <c r="D664" s="7" t="str">
        <f aca="false">INDEX(Entities!$F$5:$F$34,MATCH(B664,Entities!$A$5:$A$34,0))</f>
        <v>Tier 3</v>
      </c>
      <c r="E664" s="26" t="str">
        <f aca="false">'Control Library'!$A$19</f>
        <v>CTL-CB-01</v>
      </c>
      <c r="F664" s="12" t="str">
        <f aca="false">INDEX('Control Library'!$B$5:$B$47,MATCH(E664,'Control Library'!$A$5:$A$47,0))</f>
        <v>Correspondent bank due diligence (CBDDQ) and nesting detection</v>
      </c>
      <c r="G664" s="7" t="str">
        <f aca="false">INDEX('Control Library'!$F$5:$F$47,MATCH(E664,'Control Library'!$A$5:$A$47,0))</f>
        <v>Y</v>
      </c>
      <c r="H664" s="12" t="str">
        <f aca="false">INDEX('Control Library'!$E$5:$E$47,MATCH(E664,'Control Library'!$A$5:$A$47,0))</f>
        <v>Annual</v>
      </c>
      <c r="I664" s="7" t="str">
        <f aca="false">IF(INDEX('Control Library'!$I$5:$I$47,MATCH(E664,'Control Library'!$A$5:$A$47,0))="All","Y",IF(INDEX('Control Library'!$I$5:$I$47,MATCH(E664,'Control Library'!$A$5:$A$47,0))="Banks only",IF(COUNTIF('Residual Config'!$L$28:$L$30,INDEX(Entities!$E$5:$E$34,MATCH(B664,Entities!$A$5:$A$34,0)))&gt;0,"N/A","Y"),IF(INDEX(Entities!$G$5:$G$34,MATCH(B664,Entities!$A$5:$A$34,0))="Y","Y","N/A")))</f>
        <v>Y</v>
      </c>
      <c r="J664" s="8" t="s">
        <v>2377</v>
      </c>
      <c r="K664" s="8" t="s">
        <v>2342</v>
      </c>
      <c r="L664" s="7" t="str">
        <f aca="false">IF(OR(J664="",K664=""),"",IF(J664=K664,"Breach","OK"))</f>
        <v>OK</v>
      </c>
      <c r="M664" s="24" t="n">
        <v>3</v>
      </c>
      <c r="N664" s="50" t="n">
        <v>46204</v>
      </c>
      <c r="O664" s="8" t="s">
        <v>545</v>
      </c>
      <c r="P664" s="24" t="n">
        <v>1</v>
      </c>
      <c r="Q664" s="31" t="n">
        <f aca="false">IF(I664="N/A","",IFERROR(INDEX('Residual Config'!$B$35:$B$42,MATCH(H664,'Residual Config'!$A$35:$A$42,0)),""))</f>
        <v>1</v>
      </c>
      <c r="R664" s="24" t="n">
        <v>1</v>
      </c>
      <c r="S664" s="8" t="s">
        <v>521</v>
      </c>
      <c r="T664" s="31" t="n">
        <f aca="false">IF(S664="","",MATCH(S664,'Residual Config'!$L$9:$L$12,0))</f>
        <v>2</v>
      </c>
      <c r="U664" s="8" t="s">
        <v>2378</v>
      </c>
      <c r="V664" s="24" t="n">
        <v>2</v>
      </c>
      <c r="W664" s="33" t="s">
        <v>533</v>
      </c>
      <c r="X664" s="8" t="s">
        <v>754</v>
      </c>
      <c r="Y664" s="51" t="n">
        <f aca="false">IF(N664="","",EDATE(N664,IF(G664="N",INDEX('Residual Config'!$B$31:$D$31,1,MATCH(D664,'Residual Config'!$B$27:$D$27,0)),INDEX('Residual Config'!$B$28:$D$30,IF(T664=1,1,IF(T664=4,3,2)),MATCH(D664,'Residual Config'!$B$27:$D$27,0)))))</f>
        <v>46388</v>
      </c>
      <c r="Z664" s="7" t="str">
        <f aca="false">IF(I664="N/A","N/A",IF(N664="","Not tested",IF(W664="Rejected","Evidence rejected",IF(W664&lt;&gt;"Accepted","Evidence pending",IF(Y664&lt;'Residual Config'!$C$4,"Overdue","Current")))))</f>
        <v>Current</v>
      </c>
      <c r="AA664" s="34" t="n">
        <f aca="false">IF(I664="N/A","",IF(Z664&lt;&gt;"Current",4,IF(MAX(M664,T664)=0,4,MAX(M664,T664))))</f>
        <v>3</v>
      </c>
      <c r="AB664" s="7" t="str">
        <f aca="false">IF(AA664="","N/A",IF(Z664&lt;&gt;"Current","Not tested / overdue",INDEX('Residual Config'!$B$11:$B$14,AA664)))</f>
        <v>Partially effective</v>
      </c>
      <c r="AC664" s="36" t="n">
        <f aca="false">IF(AA664="","",INDEX('Residual Config'!$D$11:$D$14,AA664))</f>
        <v>0.2</v>
      </c>
      <c r="AD664" s="7" t="str">
        <f aca="false">IF(OR(I664="N/A",P664="",Q664=""),"",IF(P664&gt;=Q664,"Yes","No"))</f>
        <v>Yes</v>
      </c>
      <c r="AE664" s="8"/>
    </row>
    <row r="665" customFormat="false" ht="15" hidden="false" customHeight="false" outlineLevel="0" collapsed="false">
      <c r="A665" s="12" t="s">
        <v>2379</v>
      </c>
      <c r="B665" s="26" t="str">
        <f aca="false">Entities!$A$20</f>
        <v>YE</v>
      </c>
      <c r="C665" s="12" t="str">
        <f aca="false">INDEX(Entities!$B$5:$B$34,MATCH(B665,Entities!$A$5:$A$34,0))</f>
        <v>Arab Bank – Yemen</v>
      </c>
      <c r="D665" s="7" t="str">
        <f aca="false">INDEX(Entities!$F$5:$F$34,MATCH(B665,Entities!$A$5:$A$34,0))</f>
        <v>Tier 3</v>
      </c>
      <c r="E665" s="26" t="str">
        <f aca="false">'Control Library'!$A$20</f>
        <v>CTL-PAY-01</v>
      </c>
      <c r="F665" s="12" t="str">
        <f aca="false">INDEX('Control Library'!$B$5:$B$47,MATCH(E665,'Control Library'!$A$5:$A$47,0))</f>
        <v>Payment transparency checks (FATF R.16)</v>
      </c>
      <c r="G665" s="7" t="str">
        <f aca="false">INDEX('Control Library'!$F$5:$F$47,MATCH(E665,'Control Library'!$A$5:$A$47,0))</f>
        <v>N</v>
      </c>
      <c r="H665" s="12" t="str">
        <f aca="false">INDEX('Control Library'!$E$5:$E$47,MATCH(E665,'Control Library'!$A$5:$A$47,0))</f>
        <v>Continuous</v>
      </c>
      <c r="I665" s="7" t="str">
        <f aca="false">IF(INDEX('Control Library'!$I$5:$I$47,MATCH(E665,'Control Library'!$A$5:$A$47,0))="All","Y",IF(INDEX('Control Library'!$I$5:$I$47,MATCH(E665,'Control Library'!$A$5:$A$47,0))="Banks only",IF(COUNTIF('Residual Config'!$L$28:$L$30,INDEX(Entities!$E$5:$E$34,MATCH(B665,Entities!$A$5:$A$34,0)))&gt;0,"N/A","Y"),IF(INDEX(Entities!$G$5:$G$34,MATCH(B665,Entities!$A$5:$A$34,0))="Y","Y","N/A")))</f>
        <v>Y</v>
      </c>
      <c r="J665" s="8" t="s">
        <v>2380</v>
      </c>
      <c r="K665" s="8" t="s">
        <v>2342</v>
      </c>
      <c r="L665" s="7" t="str">
        <f aca="false">IF(OR(J665="",K665=""),"",IF(J665=K665,"Breach","OK"))</f>
        <v>OK</v>
      </c>
      <c r="M665" s="24" t="n">
        <v>3</v>
      </c>
      <c r="N665" s="50" t="n">
        <v>45631</v>
      </c>
      <c r="O665" s="8" t="s">
        <v>547</v>
      </c>
      <c r="P665" s="24" t="n">
        <v>1</v>
      </c>
      <c r="Q665" s="31" t="n">
        <f aca="false">IF(I665="N/A","",IFERROR(INDEX('Residual Config'!$B$35:$B$42,MATCH(H665,'Residual Config'!$A$35:$A$42,0)),""))</f>
        <v>1</v>
      </c>
      <c r="R665" s="24" t="n">
        <v>1</v>
      </c>
      <c r="S665" s="8" t="s">
        <v>521</v>
      </c>
      <c r="T665" s="31" t="n">
        <f aca="false">IF(S665="","",MATCH(S665,'Residual Config'!$L$9:$L$12,0))</f>
        <v>2</v>
      </c>
      <c r="U665" s="8" t="s">
        <v>2381</v>
      </c>
      <c r="V665" s="24" t="n">
        <v>6</v>
      </c>
      <c r="W665" s="33" t="s">
        <v>533</v>
      </c>
      <c r="X665" s="8" t="s">
        <v>754</v>
      </c>
      <c r="Y665" s="51" t="n">
        <f aca="false">IF(N665="","",EDATE(N665,IF(G665="N",INDEX('Residual Config'!$B$31:$D$31,1,MATCH(D665,'Residual Config'!$B$27:$D$27,0)),INDEX('Residual Config'!$B$28:$D$30,IF(T665=1,1,IF(T665=4,3,2)),MATCH(D665,'Residual Config'!$B$27:$D$27,0)))))</f>
        <v>46361</v>
      </c>
      <c r="Z665" s="7" t="str">
        <f aca="false">IF(I665="N/A","N/A",IF(N665="","Not tested",IF(W665="Rejected","Evidence rejected",IF(W665&lt;&gt;"Accepted","Evidence pending",IF(Y665&lt;'Residual Config'!$C$4,"Overdue","Current")))))</f>
        <v>Current</v>
      </c>
      <c r="AA665" s="34" t="n">
        <f aca="false">IF(I665="N/A","",IF(Z665&lt;&gt;"Current",4,IF(MAX(M665,T665)=0,4,MAX(M665,T665))))</f>
        <v>3</v>
      </c>
      <c r="AB665" s="7" t="str">
        <f aca="false">IF(AA665="","N/A",IF(Z665&lt;&gt;"Current","Not tested / overdue",INDEX('Residual Config'!$B$11:$B$14,AA665)))</f>
        <v>Partially effective</v>
      </c>
      <c r="AC665" s="36" t="n">
        <f aca="false">IF(AA665="","",INDEX('Residual Config'!$D$11:$D$14,AA665))</f>
        <v>0.2</v>
      </c>
      <c r="AD665" s="7" t="str">
        <f aca="false">IF(OR(I665="N/A",P665="",Q665=""),"",IF(P665&gt;=Q665,"Yes","No"))</f>
        <v>Yes</v>
      </c>
      <c r="AE665" s="8"/>
    </row>
    <row r="666" customFormat="false" ht="15" hidden="false" customHeight="false" outlineLevel="0" collapsed="false">
      <c r="A666" s="12" t="s">
        <v>2382</v>
      </c>
      <c r="B666" s="26" t="str">
        <f aca="false">Entities!$A$20</f>
        <v>YE</v>
      </c>
      <c r="C666" s="12" t="str">
        <f aca="false">INDEX(Entities!$B$5:$B$34,MATCH(B666,Entities!$A$5:$A$34,0))</f>
        <v>Arab Bank – Yemen</v>
      </c>
      <c r="D666" s="7" t="str">
        <f aca="false">INDEX(Entities!$F$5:$F$34,MATCH(B666,Entities!$A$5:$A$34,0))</f>
        <v>Tier 3</v>
      </c>
      <c r="E666" s="26" t="str">
        <f aca="false">'Control Library'!$A$21</f>
        <v>CTL-ABC-01</v>
      </c>
      <c r="F666" s="12" t="str">
        <f aca="false">INDEX('Control Library'!$B$5:$B$47,MATCH(E666,'Control Library'!$A$5:$A$47,0))</f>
        <v>Third-party and intermediary anti-bribery due diligence</v>
      </c>
      <c r="G666" s="7" t="str">
        <f aca="false">INDEX('Control Library'!$F$5:$F$47,MATCH(E666,'Control Library'!$A$5:$A$47,0))</f>
        <v>Y</v>
      </c>
      <c r="H666" s="12" t="str">
        <f aca="false">INDEX('Control Library'!$E$5:$E$47,MATCH(E666,'Control Library'!$A$5:$A$47,0))</f>
        <v>Event-driven</v>
      </c>
      <c r="I666" s="7" t="str">
        <f aca="false">IF(INDEX('Control Library'!$I$5:$I$47,MATCH(E666,'Control Library'!$A$5:$A$47,0))="All","Y",IF(INDEX('Control Library'!$I$5:$I$47,MATCH(E666,'Control Library'!$A$5:$A$47,0))="Banks only",IF(COUNTIF('Residual Config'!$L$28:$L$30,INDEX(Entities!$E$5:$E$34,MATCH(B666,Entities!$A$5:$A$34,0)))&gt;0,"N/A","Y"),IF(INDEX(Entities!$G$5:$G$34,MATCH(B666,Entities!$A$5:$A$34,0))="Y","Y","N/A")))</f>
        <v>Y</v>
      </c>
      <c r="J666" s="8" t="s">
        <v>2383</v>
      </c>
      <c r="K666" s="8" t="s">
        <v>2342</v>
      </c>
      <c r="L666" s="7" t="str">
        <f aca="false">IF(OR(J666="",K666=""),"",IF(J666=K666,"Breach","OK"))</f>
        <v>OK</v>
      </c>
      <c r="M666" s="24" t="n">
        <v>2</v>
      </c>
      <c r="N666" s="50" t="n">
        <v>46204</v>
      </c>
      <c r="O666" s="8" t="s">
        <v>545</v>
      </c>
      <c r="P666" s="24" t="n">
        <v>30</v>
      </c>
      <c r="Q666" s="31" t="n">
        <f aca="false">IF(I666="N/A","",IFERROR(INDEX('Residual Config'!$B$35:$B$42,MATCH(H666,'Residual Config'!$A$35:$A$42,0)),""))</f>
        <v>25</v>
      </c>
      <c r="R666" s="24" t="n">
        <v>1</v>
      </c>
      <c r="S666" s="8" t="s">
        <v>521</v>
      </c>
      <c r="T666" s="31" t="n">
        <f aca="false">IF(S666="","",MATCH(S666,'Residual Config'!$L$9:$L$12,0))</f>
        <v>2</v>
      </c>
      <c r="U666" s="8" t="s">
        <v>2384</v>
      </c>
      <c r="V666" s="24" t="n">
        <v>2</v>
      </c>
      <c r="W666" s="33" t="s">
        <v>536</v>
      </c>
      <c r="X666" s="8"/>
      <c r="Y666" s="51" t="n">
        <f aca="false">IF(N666="","",EDATE(N666,IF(G666="N",INDEX('Residual Config'!$B$31:$D$31,1,MATCH(D666,'Residual Config'!$B$27:$D$27,0)),INDEX('Residual Config'!$B$28:$D$30,IF(T666=1,1,IF(T666=4,3,2)),MATCH(D666,'Residual Config'!$B$27:$D$27,0)))))</f>
        <v>46388</v>
      </c>
      <c r="Z666" s="7" t="str">
        <f aca="false">IF(I666="N/A","N/A",IF(N666="","Not tested",IF(W666="Rejected","Evidence rejected",IF(W666&lt;&gt;"Accepted","Evidence pending",IF(Y666&lt;'Residual Config'!$C$4,"Overdue","Current")))))</f>
        <v>Evidence pending</v>
      </c>
      <c r="AA666" s="34" t="n">
        <f aca="false">IF(I666="N/A","",IF(Z666&lt;&gt;"Current",4,IF(MAX(M666,T666)=0,4,MAX(M666,T666))))</f>
        <v>4</v>
      </c>
      <c r="AB666" s="7" t="str">
        <f aca="false">IF(AA666="","N/A",IF(Z666&lt;&gt;"Current","Not tested / overdue",INDEX('Residual Config'!$B$11:$B$14,AA666)))</f>
        <v>Not tested / overdue</v>
      </c>
      <c r="AC666" s="36" t="n">
        <f aca="false">IF(AA666="","",INDEX('Residual Config'!$D$11:$D$14,AA666))</f>
        <v>0</v>
      </c>
      <c r="AD666" s="7" t="str">
        <f aca="false">IF(OR(I666="N/A",P666="",Q666=""),"",IF(P666&gt;=Q666,"Yes","No"))</f>
        <v>Yes</v>
      </c>
      <c r="AE666" s="8"/>
    </row>
    <row r="667" customFormat="false" ht="15" hidden="false" customHeight="false" outlineLevel="0" collapsed="false">
      <c r="A667" s="12" t="s">
        <v>2385</v>
      </c>
      <c r="B667" s="26" t="str">
        <f aca="false">Entities!$A$20</f>
        <v>YE</v>
      </c>
      <c r="C667" s="12" t="str">
        <f aca="false">INDEX(Entities!$B$5:$B$34,MATCH(B667,Entities!$A$5:$A$34,0))</f>
        <v>Arab Bank – Yemen</v>
      </c>
      <c r="D667" s="7" t="str">
        <f aca="false">INDEX(Entities!$F$5:$F$34,MATCH(B667,Entities!$A$5:$A$34,0))</f>
        <v>Tier 3</v>
      </c>
      <c r="E667" s="26" t="str">
        <f aca="false">'Control Library'!$A$22</f>
        <v>CTL-ABC-02</v>
      </c>
      <c r="F667" s="12" t="str">
        <f aca="false">INDEX('Control Library'!$B$5:$B$47,MATCH(E667,'Control Library'!$A$5:$A$47,0))</f>
        <v>Gifts, hospitality and donations register with pre-approval</v>
      </c>
      <c r="G667" s="7" t="str">
        <f aca="false">INDEX('Control Library'!$F$5:$F$47,MATCH(E667,'Control Library'!$A$5:$A$47,0))</f>
        <v>N</v>
      </c>
      <c r="H667" s="12" t="str">
        <f aca="false">INDEX('Control Library'!$E$5:$E$47,MATCH(E667,'Control Library'!$A$5:$A$47,0))</f>
        <v>Event-driven</v>
      </c>
      <c r="I667" s="7" t="str">
        <f aca="false">IF(INDEX('Control Library'!$I$5:$I$47,MATCH(E667,'Control Library'!$A$5:$A$47,0))="All","Y",IF(INDEX('Control Library'!$I$5:$I$47,MATCH(E667,'Control Library'!$A$5:$A$47,0))="Banks only",IF(COUNTIF('Residual Config'!$L$28:$L$30,INDEX(Entities!$E$5:$E$34,MATCH(B667,Entities!$A$5:$A$34,0)))&gt;0,"N/A","Y"),IF(INDEX(Entities!$G$5:$G$34,MATCH(B667,Entities!$A$5:$A$34,0))="Y","Y","N/A")))</f>
        <v>Y</v>
      </c>
      <c r="J667" s="8" t="s">
        <v>2345</v>
      </c>
      <c r="K667" s="8" t="s">
        <v>2342</v>
      </c>
      <c r="L667" s="7" t="str">
        <f aca="false">IF(OR(J667="",K667=""),"",IF(J667=K667,"Breach","OK"))</f>
        <v>OK</v>
      </c>
      <c r="M667" s="24" t="n">
        <v>2</v>
      </c>
      <c r="N667" s="50" t="n">
        <v>45768</v>
      </c>
      <c r="O667" s="8" t="s">
        <v>546</v>
      </c>
      <c r="P667" s="24" t="n">
        <v>25</v>
      </c>
      <c r="Q667" s="31" t="n">
        <f aca="false">IF(I667="N/A","",IFERROR(INDEX('Residual Config'!$B$35:$B$42,MATCH(H667,'Residual Config'!$A$35:$A$42,0)),""))</f>
        <v>25</v>
      </c>
      <c r="R667" s="24" t="n">
        <v>0</v>
      </c>
      <c r="S667" s="8" t="s">
        <v>516</v>
      </c>
      <c r="T667" s="31" t="n">
        <f aca="false">IF(S667="","",MATCH(S667,'Residual Config'!$L$9:$L$12,0))</f>
        <v>1</v>
      </c>
      <c r="U667" s="8" t="s">
        <v>2386</v>
      </c>
      <c r="V667" s="24" t="n">
        <v>6</v>
      </c>
      <c r="W667" s="33" t="s">
        <v>533</v>
      </c>
      <c r="X667" s="8" t="s">
        <v>760</v>
      </c>
      <c r="Y667" s="51" t="n">
        <f aca="false">IF(N667="","",EDATE(N667,IF(G667="N",INDEX('Residual Config'!$B$31:$D$31,1,MATCH(D667,'Residual Config'!$B$27:$D$27,0)),INDEX('Residual Config'!$B$28:$D$30,IF(T667=1,1,IF(T667=4,3,2)),MATCH(D667,'Residual Config'!$B$27:$D$27,0)))))</f>
        <v>46498</v>
      </c>
      <c r="Z667" s="7" t="str">
        <f aca="false">IF(I667="N/A","N/A",IF(N667="","Not tested",IF(W667="Rejected","Evidence rejected",IF(W667&lt;&gt;"Accepted","Evidence pending",IF(Y667&lt;'Residual Config'!$C$4,"Overdue","Current")))))</f>
        <v>Current</v>
      </c>
      <c r="AA667" s="34" t="n">
        <f aca="false">IF(I667="N/A","",IF(Z667&lt;&gt;"Current",4,IF(MAX(M667,T667)=0,4,MAX(M667,T667))))</f>
        <v>2</v>
      </c>
      <c r="AB667" s="7" t="str">
        <f aca="false">IF(AA667="","N/A",IF(Z667&lt;&gt;"Current","Not tested / overdue",INDEX('Residual Config'!$B$11:$B$14,AA667)))</f>
        <v>Largely effective</v>
      </c>
      <c r="AC667" s="36" t="n">
        <f aca="false">IF(AA667="","",INDEX('Residual Config'!$D$11:$D$14,AA667))</f>
        <v>0.4</v>
      </c>
      <c r="AD667" s="7" t="str">
        <f aca="false">IF(OR(I667="N/A",P667="",Q667=""),"",IF(P667&gt;=Q667,"Yes","No"))</f>
        <v>Yes</v>
      </c>
      <c r="AE667" s="8"/>
    </row>
    <row r="668" customFormat="false" ht="15" hidden="false" customHeight="false" outlineLevel="0" collapsed="false">
      <c r="A668" s="12" t="s">
        <v>2387</v>
      </c>
      <c r="B668" s="26" t="str">
        <f aca="false">Entities!$A$20</f>
        <v>YE</v>
      </c>
      <c r="C668" s="12" t="str">
        <f aca="false">INDEX(Entities!$B$5:$B$34,MATCH(B668,Entities!$A$5:$A$34,0))</f>
        <v>Arab Bank – Yemen</v>
      </c>
      <c r="D668" s="7" t="str">
        <f aca="false">INDEX(Entities!$F$5:$F$34,MATCH(B668,Entities!$A$5:$A$34,0))</f>
        <v>Tier 3</v>
      </c>
      <c r="E668" s="26" t="str">
        <f aca="false">'Control Library'!$A$23</f>
        <v>CTL-FRD-01</v>
      </c>
      <c r="F668" s="12" t="str">
        <f aca="false">INDEX('Control Library'!$B$5:$B$47,MATCH(E668,'Control Library'!$A$5:$A$47,0))</f>
        <v>Real-time fraud monitoring for cards and digital channels</v>
      </c>
      <c r="G668" s="7" t="str">
        <f aca="false">INDEX('Control Library'!$F$5:$F$47,MATCH(E668,'Control Library'!$A$5:$A$47,0))</f>
        <v>Y</v>
      </c>
      <c r="H668" s="12" t="str">
        <f aca="false">INDEX('Control Library'!$E$5:$E$47,MATCH(E668,'Control Library'!$A$5:$A$47,0))</f>
        <v>Continuous</v>
      </c>
      <c r="I668" s="7" t="str">
        <f aca="false">IF(INDEX('Control Library'!$I$5:$I$47,MATCH(E668,'Control Library'!$A$5:$A$47,0))="All","Y",IF(INDEX('Control Library'!$I$5:$I$47,MATCH(E668,'Control Library'!$A$5:$A$47,0))="Banks only",IF(COUNTIF('Residual Config'!$L$28:$L$30,INDEX(Entities!$E$5:$E$34,MATCH(B668,Entities!$A$5:$A$34,0)))&gt;0,"N/A","Y"),IF(INDEX(Entities!$G$5:$G$34,MATCH(B668,Entities!$A$5:$A$34,0))="Y","Y","N/A")))</f>
        <v>Y</v>
      </c>
      <c r="J668" s="8" t="s">
        <v>2388</v>
      </c>
      <c r="K668" s="8" t="s">
        <v>2342</v>
      </c>
      <c r="L668" s="7" t="str">
        <f aca="false">IF(OR(J668="",K668=""),"",IF(J668=K668,"Breach","OK"))</f>
        <v>OK</v>
      </c>
      <c r="M668" s="24" t="n">
        <v>3</v>
      </c>
      <c r="N668" s="50" t="n">
        <v>46236</v>
      </c>
      <c r="O668" s="8" t="s">
        <v>546</v>
      </c>
      <c r="P668" s="24" t="n">
        <v>1</v>
      </c>
      <c r="Q668" s="31" t="n">
        <f aca="false">IF(I668="N/A","",IFERROR(INDEX('Residual Config'!$B$35:$B$42,MATCH(H668,'Residual Config'!$A$35:$A$42,0)),""))</f>
        <v>1</v>
      </c>
      <c r="R668" s="24" t="n">
        <v>1</v>
      </c>
      <c r="S668" s="8" t="s">
        <v>524</v>
      </c>
      <c r="T668" s="31" t="n">
        <f aca="false">IF(S668="","",MATCH(S668,'Residual Config'!$L$9:$L$12,0))</f>
        <v>3</v>
      </c>
      <c r="U668" s="8" t="s">
        <v>2389</v>
      </c>
      <c r="V668" s="24" t="n">
        <v>6</v>
      </c>
      <c r="W668" s="33" t="s">
        <v>533</v>
      </c>
      <c r="X668" s="8" t="s">
        <v>760</v>
      </c>
      <c r="Y668" s="51" t="n">
        <f aca="false">IF(N668="","",EDATE(N668,IF(G668="N",INDEX('Residual Config'!$B$31:$D$31,1,MATCH(D668,'Residual Config'!$B$27:$D$27,0)),INDEX('Residual Config'!$B$28:$D$30,IF(T668=1,1,IF(T668=4,3,2)),MATCH(D668,'Residual Config'!$B$27:$D$27,0)))))</f>
        <v>46420</v>
      </c>
      <c r="Z668" s="7" t="str">
        <f aca="false">IF(I668="N/A","N/A",IF(N668="","Not tested",IF(W668="Rejected","Evidence rejected",IF(W668&lt;&gt;"Accepted","Evidence pending",IF(Y668&lt;'Residual Config'!$C$4,"Overdue","Current")))))</f>
        <v>Current</v>
      </c>
      <c r="AA668" s="34" t="n">
        <f aca="false">IF(I668="N/A","",IF(Z668&lt;&gt;"Current",4,IF(MAX(M668,T668)=0,4,MAX(M668,T668))))</f>
        <v>3</v>
      </c>
      <c r="AB668" s="7" t="str">
        <f aca="false">IF(AA668="","N/A",IF(Z668&lt;&gt;"Current","Not tested / overdue",INDEX('Residual Config'!$B$11:$B$14,AA668)))</f>
        <v>Partially effective</v>
      </c>
      <c r="AC668" s="36" t="n">
        <f aca="false">IF(AA668="","",INDEX('Residual Config'!$D$11:$D$14,AA668))</f>
        <v>0.2</v>
      </c>
      <c r="AD668" s="7" t="str">
        <f aca="false">IF(OR(I668="N/A",P668="",Q668=""),"",IF(P668&gt;=Q668,"Yes","No"))</f>
        <v>Yes</v>
      </c>
      <c r="AE668" s="8"/>
    </row>
    <row r="669" customFormat="false" ht="15" hidden="false" customHeight="false" outlineLevel="0" collapsed="false">
      <c r="A669" s="12" t="s">
        <v>2390</v>
      </c>
      <c r="B669" s="26" t="str">
        <f aca="false">Entities!$A$20</f>
        <v>YE</v>
      </c>
      <c r="C669" s="12" t="str">
        <f aca="false">INDEX(Entities!$B$5:$B$34,MATCH(B669,Entities!$A$5:$A$34,0))</f>
        <v>Arab Bank – Yemen</v>
      </c>
      <c r="D669" s="7" t="str">
        <f aca="false">INDEX(Entities!$F$5:$F$34,MATCH(B669,Entities!$A$5:$A$34,0))</f>
        <v>Tier 3</v>
      </c>
      <c r="E669" s="26" t="str">
        <f aca="false">'Control Library'!$A$24</f>
        <v>CTL-FRD-02</v>
      </c>
      <c r="F669" s="12" t="str">
        <f aca="false">INDEX('Control Library'!$B$5:$B$47,MATCH(E669,'Control Library'!$A$5:$A$47,0))</f>
        <v>Maker-checker and dual control on payments and static data</v>
      </c>
      <c r="G669" s="7" t="str">
        <f aca="false">INDEX('Control Library'!$F$5:$F$47,MATCH(E669,'Control Library'!$A$5:$A$47,0))</f>
        <v>Y</v>
      </c>
      <c r="H669" s="12" t="str">
        <f aca="false">INDEX('Control Library'!$E$5:$E$47,MATCH(E669,'Control Library'!$A$5:$A$47,0))</f>
        <v>Daily</v>
      </c>
      <c r="I669" s="7" t="str">
        <f aca="false">IF(INDEX('Control Library'!$I$5:$I$47,MATCH(E669,'Control Library'!$A$5:$A$47,0))="All","Y",IF(INDEX('Control Library'!$I$5:$I$47,MATCH(E669,'Control Library'!$A$5:$A$47,0))="Banks only",IF(COUNTIF('Residual Config'!$L$28:$L$30,INDEX(Entities!$E$5:$E$34,MATCH(B669,Entities!$A$5:$A$34,0)))&gt;0,"N/A","Y"),IF(INDEX(Entities!$G$5:$G$34,MATCH(B669,Entities!$A$5:$A$34,0))="Y","Y","N/A")))</f>
        <v>Y</v>
      </c>
      <c r="J669" s="8" t="s">
        <v>2341</v>
      </c>
      <c r="K669" s="8" t="s">
        <v>2342</v>
      </c>
      <c r="L669" s="7" t="str">
        <f aca="false">IF(OR(J669="",K669=""),"",IF(J669=K669,"Breach","OK"))</f>
        <v>OK</v>
      </c>
      <c r="M669" s="24" t="n">
        <v>2</v>
      </c>
      <c r="N669" s="50" t="n">
        <v>46138</v>
      </c>
      <c r="O669" s="8" t="s">
        <v>546</v>
      </c>
      <c r="P669" s="24" t="n">
        <v>35</v>
      </c>
      <c r="Q669" s="31" t="n">
        <f aca="false">IF(I669="N/A","",IFERROR(INDEX('Residual Config'!$B$35:$B$42,MATCH(H669,'Residual Config'!$A$35:$A$42,0)),""))</f>
        <v>25</v>
      </c>
      <c r="R669" s="24" t="n">
        <v>1</v>
      </c>
      <c r="S669" s="8" t="s">
        <v>521</v>
      </c>
      <c r="T669" s="31" t="n">
        <f aca="false">IF(S669="","",MATCH(S669,'Residual Config'!$L$9:$L$12,0))</f>
        <v>2</v>
      </c>
      <c r="U669" s="8" t="s">
        <v>2391</v>
      </c>
      <c r="V669" s="24" t="n">
        <v>2</v>
      </c>
      <c r="W669" s="33" t="s">
        <v>533</v>
      </c>
      <c r="X669" s="8" t="s">
        <v>754</v>
      </c>
      <c r="Y669" s="51" t="n">
        <f aca="false">IF(N669="","",EDATE(N669,IF(G669="N",INDEX('Residual Config'!$B$31:$D$31,1,MATCH(D669,'Residual Config'!$B$27:$D$27,0)),INDEX('Residual Config'!$B$28:$D$30,IF(T669=1,1,IF(T669=4,3,2)),MATCH(D669,'Residual Config'!$B$27:$D$27,0)))))</f>
        <v>46321</v>
      </c>
      <c r="Z669" s="7" t="str">
        <f aca="false">IF(I669="N/A","N/A",IF(N669="","Not tested",IF(W669="Rejected","Evidence rejected",IF(W669&lt;&gt;"Accepted","Evidence pending",IF(Y669&lt;'Residual Config'!$C$4,"Overdue","Current")))))</f>
        <v>Current</v>
      </c>
      <c r="AA669" s="34" t="n">
        <f aca="false">IF(I669="N/A","",IF(Z669&lt;&gt;"Current",4,IF(MAX(M669,T669)=0,4,MAX(M669,T669))))</f>
        <v>2</v>
      </c>
      <c r="AB669" s="7" t="str">
        <f aca="false">IF(AA669="","N/A",IF(Z669&lt;&gt;"Current","Not tested / overdue",INDEX('Residual Config'!$B$11:$B$14,AA669)))</f>
        <v>Largely effective</v>
      </c>
      <c r="AC669" s="36" t="n">
        <f aca="false">IF(AA669="","",INDEX('Residual Config'!$D$11:$D$14,AA669))</f>
        <v>0.4</v>
      </c>
      <c r="AD669" s="7" t="str">
        <f aca="false">IF(OR(I669="N/A",P669="",Q669=""),"",IF(P669&gt;=Q669,"Yes","No"))</f>
        <v>Yes</v>
      </c>
      <c r="AE669" s="8"/>
    </row>
    <row r="670" customFormat="false" ht="15" hidden="false" customHeight="false" outlineLevel="0" collapsed="false">
      <c r="A670" s="12" t="s">
        <v>2392</v>
      </c>
      <c r="B670" s="26" t="str">
        <f aca="false">Entities!$A$20</f>
        <v>YE</v>
      </c>
      <c r="C670" s="12" t="str">
        <f aca="false">INDEX(Entities!$B$5:$B$34,MATCH(B670,Entities!$A$5:$A$34,0))</f>
        <v>Arab Bank – Yemen</v>
      </c>
      <c r="D670" s="7" t="str">
        <f aca="false">INDEX(Entities!$F$5:$F$34,MATCH(B670,Entities!$A$5:$A$34,0))</f>
        <v>Tier 3</v>
      </c>
      <c r="E670" s="26" t="str">
        <f aca="false">'Control Library'!$A$25</f>
        <v>CTL-FRD-03</v>
      </c>
      <c r="F670" s="12" t="str">
        <f aca="false">INDEX('Control Library'!$B$5:$B$47,MATCH(E670,'Control Library'!$A$5:$A$47,0))</f>
        <v>Mandatory consecutive leave and rotation for sensitive roles</v>
      </c>
      <c r="G670" s="7" t="str">
        <f aca="false">INDEX('Control Library'!$F$5:$F$47,MATCH(E670,'Control Library'!$A$5:$A$47,0))</f>
        <v>N</v>
      </c>
      <c r="H670" s="12" t="str">
        <f aca="false">INDEX('Control Library'!$E$5:$E$47,MATCH(E670,'Control Library'!$A$5:$A$47,0))</f>
        <v>Annual</v>
      </c>
      <c r="I670" s="7" t="str">
        <f aca="false">IF(INDEX('Control Library'!$I$5:$I$47,MATCH(E670,'Control Library'!$A$5:$A$47,0))="All","Y",IF(INDEX('Control Library'!$I$5:$I$47,MATCH(E670,'Control Library'!$A$5:$A$47,0))="Banks only",IF(COUNTIF('Residual Config'!$L$28:$L$30,INDEX(Entities!$E$5:$E$34,MATCH(B670,Entities!$A$5:$A$34,0)))&gt;0,"N/A","Y"),IF(INDEX(Entities!$G$5:$G$34,MATCH(B670,Entities!$A$5:$A$34,0))="Y","Y","N/A")))</f>
        <v>Y</v>
      </c>
      <c r="J670" s="8" t="s">
        <v>2393</v>
      </c>
      <c r="K670" s="8" t="s">
        <v>2342</v>
      </c>
      <c r="L670" s="7" t="str">
        <f aca="false">IF(OR(J670="",K670=""),"",IF(J670=K670,"Breach","OK"))</f>
        <v>OK</v>
      </c>
      <c r="M670" s="24" t="n">
        <v>2</v>
      </c>
      <c r="N670" s="50" t="n">
        <v>46268</v>
      </c>
      <c r="O670" s="8" t="s">
        <v>545</v>
      </c>
      <c r="P670" s="24" t="n">
        <v>1</v>
      </c>
      <c r="Q670" s="31" t="n">
        <f aca="false">IF(I670="N/A","",IFERROR(INDEX('Residual Config'!$B$35:$B$42,MATCH(H670,'Residual Config'!$A$35:$A$42,0)),""))</f>
        <v>1</v>
      </c>
      <c r="R670" s="24" t="n">
        <v>1</v>
      </c>
      <c r="S670" s="8" t="s">
        <v>521</v>
      </c>
      <c r="T670" s="31" t="n">
        <f aca="false">IF(S670="","",MATCH(S670,'Residual Config'!$L$9:$L$12,0))</f>
        <v>2</v>
      </c>
      <c r="U670" s="8" t="s">
        <v>2394</v>
      </c>
      <c r="V670" s="24" t="n">
        <v>4</v>
      </c>
      <c r="W670" s="33" t="s">
        <v>533</v>
      </c>
      <c r="X670" s="8" t="s">
        <v>754</v>
      </c>
      <c r="Y670" s="51" t="n">
        <f aca="false">IF(N670="","",EDATE(N670,IF(G670="N",INDEX('Residual Config'!$B$31:$D$31,1,MATCH(D670,'Residual Config'!$B$27:$D$27,0)),INDEX('Residual Config'!$B$28:$D$30,IF(T670=1,1,IF(T670=4,3,2)),MATCH(D670,'Residual Config'!$B$27:$D$27,0)))))</f>
        <v>46999</v>
      </c>
      <c r="Z670" s="7" t="str">
        <f aca="false">IF(I670="N/A","N/A",IF(N670="","Not tested",IF(W670="Rejected","Evidence rejected",IF(W670&lt;&gt;"Accepted","Evidence pending",IF(Y670&lt;'Residual Config'!$C$4,"Overdue","Current")))))</f>
        <v>Current</v>
      </c>
      <c r="AA670" s="34" t="n">
        <f aca="false">IF(I670="N/A","",IF(Z670&lt;&gt;"Current",4,IF(MAX(M670,T670)=0,4,MAX(M670,T670))))</f>
        <v>2</v>
      </c>
      <c r="AB670" s="7" t="str">
        <f aca="false">IF(AA670="","N/A",IF(Z670&lt;&gt;"Current","Not tested / overdue",INDEX('Residual Config'!$B$11:$B$14,AA670)))</f>
        <v>Largely effective</v>
      </c>
      <c r="AC670" s="36" t="n">
        <f aca="false">IF(AA670="","",INDEX('Residual Config'!$D$11:$D$14,AA670))</f>
        <v>0.4</v>
      </c>
      <c r="AD670" s="7" t="str">
        <f aca="false">IF(OR(I670="N/A",P670="",Q670=""),"",IF(P670&gt;=Q670,"Yes","No"))</f>
        <v>Yes</v>
      </c>
      <c r="AE670" s="8"/>
    </row>
    <row r="671" customFormat="false" ht="15" hidden="false" customHeight="false" outlineLevel="0" collapsed="false">
      <c r="A671" s="12" t="s">
        <v>2395</v>
      </c>
      <c r="B671" s="26" t="str">
        <f aca="false">Entities!$A$20</f>
        <v>YE</v>
      </c>
      <c r="C671" s="12" t="str">
        <f aca="false">INDEX(Entities!$B$5:$B$34,MATCH(B671,Entities!$A$5:$A$34,0))</f>
        <v>Arab Bank – Yemen</v>
      </c>
      <c r="D671" s="7" t="str">
        <f aca="false">INDEX(Entities!$F$5:$F$34,MATCH(B671,Entities!$A$5:$A$34,0))</f>
        <v>Tier 3</v>
      </c>
      <c r="E671" s="26" t="str">
        <f aca="false">'Control Library'!$A$26</f>
        <v>CTL-TAX-01</v>
      </c>
      <c r="F671" s="12" t="str">
        <f aca="false">INDEX('Control Library'!$B$5:$B$47,MATCH(E671,'Control Library'!$A$5:$A$47,0))</f>
        <v>FATCA/CRS self-certification and classification</v>
      </c>
      <c r="G671" s="7" t="str">
        <f aca="false">INDEX('Control Library'!$F$5:$F$47,MATCH(E671,'Control Library'!$A$5:$A$47,0))</f>
        <v>Y</v>
      </c>
      <c r="H671" s="12" t="str">
        <f aca="false">INDEX('Control Library'!$E$5:$E$47,MATCH(E671,'Control Library'!$A$5:$A$47,0))</f>
        <v>Event-driven</v>
      </c>
      <c r="I671" s="7" t="str">
        <f aca="false">IF(INDEX('Control Library'!$I$5:$I$47,MATCH(E671,'Control Library'!$A$5:$A$47,0))="All","Y",IF(INDEX('Control Library'!$I$5:$I$47,MATCH(E671,'Control Library'!$A$5:$A$47,0))="Banks only",IF(COUNTIF('Residual Config'!$L$28:$L$30,INDEX(Entities!$E$5:$E$34,MATCH(B671,Entities!$A$5:$A$34,0)))&gt;0,"N/A","Y"),IF(INDEX(Entities!$G$5:$G$34,MATCH(B671,Entities!$A$5:$A$34,0))="Y","Y","N/A")))</f>
        <v>Y</v>
      </c>
      <c r="J671" s="8" t="s">
        <v>2341</v>
      </c>
      <c r="K671" s="8" t="s">
        <v>2342</v>
      </c>
      <c r="L671" s="7" t="str">
        <f aca="false">IF(OR(J671="",K671=""),"",IF(J671=K671,"Breach","OK"))</f>
        <v>OK</v>
      </c>
      <c r="M671" s="24" t="n">
        <v>1</v>
      </c>
      <c r="N671" s="50" t="n">
        <v>46212</v>
      </c>
      <c r="O671" s="8" t="s">
        <v>546</v>
      </c>
      <c r="P671" s="24" t="n">
        <v>25</v>
      </c>
      <c r="Q671" s="31" t="n">
        <f aca="false">IF(I671="N/A","",IFERROR(INDEX('Residual Config'!$B$35:$B$42,MATCH(H671,'Residual Config'!$A$35:$A$42,0)),""))</f>
        <v>25</v>
      </c>
      <c r="R671" s="24" t="n">
        <v>1</v>
      </c>
      <c r="S671" s="8" t="s">
        <v>521</v>
      </c>
      <c r="T671" s="31" t="n">
        <f aca="false">IF(S671="","",MATCH(S671,'Residual Config'!$L$9:$L$12,0))</f>
        <v>2</v>
      </c>
      <c r="U671" s="8" t="s">
        <v>2396</v>
      </c>
      <c r="V671" s="24" t="n">
        <v>4</v>
      </c>
      <c r="W671" s="33" t="s">
        <v>533</v>
      </c>
      <c r="X671" s="8" t="s">
        <v>754</v>
      </c>
      <c r="Y671" s="51" t="n">
        <f aca="false">IF(N671="","",EDATE(N671,IF(G671="N",INDEX('Residual Config'!$B$31:$D$31,1,MATCH(D671,'Residual Config'!$B$27:$D$27,0)),INDEX('Residual Config'!$B$28:$D$30,IF(T671=1,1,IF(T671=4,3,2)),MATCH(D671,'Residual Config'!$B$27:$D$27,0)))))</f>
        <v>46396</v>
      </c>
      <c r="Z671" s="7" t="str">
        <f aca="false">IF(I671="N/A","N/A",IF(N671="","Not tested",IF(W671="Rejected","Evidence rejected",IF(W671&lt;&gt;"Accepted","Evidence pending",IF(Y671&lt;'Residual Config'!$C$4,"Overdue","Current")))))</f>
        <v>Current</v>
      </c>
      <c r="AA671" s="34" t="n">
        <f aca="false">IF(I671="N/A","",IF(Z671&lt;&gt;"Current",4,IF(MAX(M671,T671)=0,4,MAX(M671,T671))))</f>
        <v>2</v>
      </c>
      <c r="AB671" s="7" t="str">
        <f aca="false">IF(AA671="","N/A",IF(Z671&lt;&gt;"Current","Not tested / overdue",INDEX('Residual Config'!$B$11:$B$14,AA671)))</f>
        <v>Largely effective</v>
      </c>
      <c r="AC671" s="36" t="n">
        <f aca="false">IF(AA671="","",INDEX('Residual Config'!$D$11:$D$14,AA671))</f>
        <v>0.4</v>
      </c>
      <c r="AD671" s="7" t="str">
        <f aca="false">IF(OR(I671="N/A",P671="",Q671=""),"",IF(P671&gt;=Q671,"Yes","No"))</f>
        <v>Yes</v>
      </c>
      <c r="AE671" s="8"/>
    </row>
    <row r="672" customFormat="false" ht="15" hidden="false" customHeight="false" outlineLevel="0" collapsed="false">
      <c r="A672" s="12" t="s">
        <v>2397</v>
      </c>
      <c r="B672" s="26" t="str">
        <f aca="false">Entities!$A$20</f>
        <v>YE</v>
      </c>
      <c r="C672" s="12" t="str">
        <f aca="false">INDEX(Entities!$B$5:$B$34,MATCH(B672,Entities!$A$5:$A$34,0))</f>
        <v>Arab Bank – Yemen</v>
      </c>
      <c r="D672" s="7" t="str">
        <f aca="false">INDEX(Entities!$F$5:$F$34,MATCH(B672,Entities!$A$5:$A$34,0))</f>
        <v>Tier 3</v>
      </c>
      <c r="E672" s="26" t="str">
        <f aca="false">'Control Library'!$A$27</f>
        <v>CTL-TAX-02</v>
      </c>
      <c r="F672" s="12" t="str">
        <f aca="false">INDEX('Control Library'!$B$5:$B$47,MATCH(E672,'Control Library'!$A$5:$A$47,0))</f>
        <v>FATCA/CRS reporting reconciliation and timely filing</v>
      </c>
      <c r="G672" s="7" t="str">
        <f aca="false">INDEX('Control Library'!$F$5:$F$47,MATCH(E672,'Control Library'!$A$5:$A$47,0))</f>
        <v>N</v>
      </c>
      <c r="H672" s="12" t="str">
        <f aca="false">INDEX('Control Library'!$E$5:$E$47,MATCH(E672,'Control Library'!$A$5:$A$47,0))</f>
        <v>Annual</v>
      </c>
      <c r="I672" s="7" t="str">
        <f aca="false">IF(INDEX('Control Library'!$I$5:$I$47,MATCH(E672,'Control Library'!$A$5:$A$47,0))="All","Y",IF(INDEX('Control Library'!$I$5:$I$47,MATCH(E672,'Control Library'!$A$5:$A$47,0))="Banks only",IF(COUNTIF('Residual Config'!$L$28:$L$30,INDEX(Entities!$E$5:$E$34,MATCH(B672,Entities!$A$5:$A$34,0)))&gt;0,"N/A","Y"),IF(INDEX(Entities!$G$5:$G$34,MATCH(B672,Entities!$A$5:$A$34,0))="Y","Y","N/A")))</f>
        <v>Y</v>
      </c>
      <c r="J672" s="8" t="s">
        <v>2398</v>
      </c>
      <c r="K672" s="8" t="s">
        <v>2342</v>
      </c>
      <c r="L672" s="7" t="str">
        <f aca="false">IF(OR(J672="",K672=""),"",IF(J672=K672,"Breach","OK"))</f>
        <v>OK</v>
      </c>
      <c r="M672" s="24" t="n">
        <v>2</v>
      </c>
      <c r="N672" s="50" t="n">
        <v>46052</v>
      </c>
      <c r="O672" s="8" t="s">
        <v>545</v>
      </c>
      <c r="P672" s="24" t="n">
        <v>1</v>
      </c>
      <c r="Q672" s="31" t="n">
        <f aca="false">IF(I672="N/A","",IFERROR(INDEX('Residual Config'!$B$35:$B$42,MATCH(H672,'Residual Config'!$A$35:$A$42,0)),""))</f>
        <v>1</v>
      </c>
      <c r="R672" s="24" t="n">
        <v>0</v>
      </c>
      <c r="S672" s="8" t="s">
        <v>516</v>
      </c>
      <c r="T672" s="31" t="n">
        <f aca="false">IF(S672="","",MATCH(S672,'Residual Config'!$L$9:$L$12,0))</f>
        <v>1</v>
      </c>
      <c r="U672" s="8" t="s">
        <v>2399</v>
      </c>
      <c r="V672" s="24" t="n">
        <v>6</v>
      </c>
      <c r="W672" s="33" t="s">
        <v>533</v>
      </c>
      <c r="X672" s="8" t="s">
        <v>760</v>
      </c>
      <c r="Y672" s="51" t="n">
        <f aca="false">IF(N672="","",EDATE(N672,IF(G672="N",INDEX('Residual Config'!$B$31:$D$31,1,MATCH(D672,'Residual Config'!$B$27:$D$27,0)),INDEX('Residual Config'!$B$28:$D$30,IF(T672=1,1,IF(T672=4,3,2)),MATCH(D672,'Residual Config'!$B$27:$D$27,0)))))</f>
        <v>46782</v>
      </c>
      <c r="Z672" s="7" t="str">
        <f aca="false">IF(I672="N/A","N/A",IF(N672="","Not tested",IF(W672="Rejected","Evidence rejected",IF(W672&lt;&gt;"Accepted","Evidence pending",IF(Y672&lt;'Residual Config'!$C$4,"Overdue","Current")))))</f>
        <v>Current</v>
      </c>
      <c r="AA672" s="34" t="n">
        <f aca="false">IF(I672="N/A","",IF(Z672&lt;&gt;"Current",4,IF(MAX(M672,T672)=0,4,MAX(M672,T672))))</f>
        <v>2</v>
      </c>
      <c r="AB672" s="7" t="str">
        <f aca="false">IF(AA672="","N/A",IF(Z672&lt;&gt;"Current","Not tested / overdue",INDEX('Residual Config'!$B$11:$B$14,AA672)))</f>
        <v>Largely effective</v>
      </c>
      <c r="AC672" s="36" t="n">
        <f aca="false">IF(AA672="","",INDEX('Residual Config'!$D$11:$D$14,AA672))</f>
        <v>0.4</v>
      </c>
      <c r="AD672" s="7" t="str">
        <f aca="false">IF(OR(I672="N/A",P672="",Q672=""),"",IF(P672&gt;=Q672,"Yes","No"))</f>
        <v>Yes</v>
      </c>
      <c r="AE672" s="8"/>
    </row>
    <row r="673" customFormat="false" ht="15" hidden="false" customHeight="false" outlineLevel="0" collapsed="false">
      <c r="A673" s="12" t="s">
        <v>2400</v>
      </c>
      <c r="B673" s="26" t="str">
        <f aca="false">Entities!$A$20</f>
        <v>YE</v>
      </c>
      <c r="C673" s="12" t="str">
        <f aca="false">INDEX(Entities!$B$5:$B$34,MATCH(B673,Entities!$A$5:$A$34,0))</f>
        <v>Arab Bank – Yemen</v>
      </c>
      <c r="D673" s="7" t="str">
        <f aca="false">INDEX(Entities!$F$5:$F$34,MATCH(B673,Entities!$A$5:$A$34,0))</f>
        <v>Tier 3</v>
      </c>
      <c r="E673" s="26" t="str">
        <f aca="false">'Control Library'!$A$28</f>
        <v>CTL-TRN-01</v>
      </c>
      <c r="F673" s="12" t="str">
        <f aca="false">INDEX('Control Library'!$B$5:$B$47,MATCH(E673,'Control Library'!$A$5:$A$47,0))</f>
        <v>Annual AML, sanctions and anti-bribery training</v>
      </c>
      <c r="G673" s="7" t="str">
        <f aca="false">INDEX('Control Library'!$F$5:$F$47,MATCH(E673,'Control Library'!$A$5:$A$47,0))</f>
        <v>N</v>
      </c>
      <c r="H673" s="12" t="str">
        <f aca="false">INDEX('Control Library'!$E$5:$E$47,MATCH(E673,'Control Library'!$A$5:$A$47,0))</f>
        <v>Annual</v>
      </c>
      <c r="I673" s="7" t="str">
        <f aca="false">IF(INDEX('Control Library'!$I$5:$I$47,MATCH(E673,'Control Library'!$A$5:$A$47,0))="All","Y",IF(INDEX('Control Library'!$I$5:$I$47,MATCH(E673,'Control Library'!$A$5:$A$47,0))="Banks only",IF(COUNTIF('Residual Config'!$L$28:$L$30,INDEX(Entities!$E$5:$E$34,MATCH(B673,Entities!$A$5:$A$34,0)))&gt;0,"N/A","Y"),IF(INDEX(Entities!$G$5:$G$34,MATCH(B673,Entities!$A$5:$A$34,0))="Y","Y","N/A")))</f>
        <v>Y</v>
      </c>
      <c r="J673" s="8" t="s">
        <v>2345</v>
      </c>
      <c r="K673" s="8" t="s">
        <v>2342</v>
      </c>
      <c r="L673" s="7" t="str">
        <f aca="false">IF(OR(J673="",K673=""),"",IF(J673=K673,"Breach","OK"))</f>
        <v>OK</v>
      </c>
      <c r="M673" s="24" t="n">
        <v>2</v>
      </c>
      <c r="N673" s="50" t="n">
        <v>46053</v>
      </c>
      <c r="O673" s="8" t="s">
        <v>546</v>
      </c>
      <c r="P673" s="24" t="n">
        <v>1</v>
      </c>
      <c r="Q673" s="31" t="n">
        <f aca="false">IF(I673="N/A","",IFERROR(INDEX('Residual Config'!$B$35:$B$42,MATCH(H673,'Residual Config'!$A$35:$A$42,0)),""))</f>
        <v>1</v>
      </c>
      <c r="R673" s="24" t="n">
        <v>1</v>
      </c>
      <c r="S673" s="8" t="s">
        <v>521</v>
      </c>
      <c r="T673" s="31" t="n">
        <f aca="false">IF(S673="","",MATCH(S673,'Residual Config'!$L$9:$L$12,0))</f>
        <v>2</v>
      </c>
      <c r="U673" s="8" t="s">
        <v>2401</v>
      </c>
      <c r="V673" s="24" t="n">
        <v>5</v>
      </c>
      <c r="W673" s="33" t="s">
        <v>533</v>
      </c>
      <c r="X673" s="8" t="s">
        <v>760</v>
      </c>
      <c r="Y673" s="51" t="n">
        <f aca="false">IF(N673="","",EDATE(N673,IF(G673="N",INDEX('Residual Config'!$B$31:$D$31,1,MATCH(D673,'Residual Config'!$B$27:$D$27,0)),INDEX('Residual Config'!$B$28:$D$30,IF(T673=1,1,IF(T673=4,3,2)),MATCH(D673,'Residual Config'!$B$27:$D$27,0)))))</f>
        <v>46783</v>
      </c>
      <c r="Z673" s="7" t="str">
        <f aca="false">IF(I673="N/A","N/A",IF(N673="","Not tested",IF(W673="Rejected","Evidence rejected",IF(W673&lt;&gt;"Accepted","Evidence pending",IF(Y673&lt;'Residual Config'!$C$4,"Overdue","Current")))))</f>
        <v>Current</v>
      </c>
      <c r="AA673" s="34" t="n">
        <f aca="false">IF(I673="N/A","",IF(Z673&lt;&gt;"Current",4,IF(MAX(M673,T673)=0,4,MAX(M673,T673))))</f>
        <v>2</v>
      </c>
      <c r="AB673" s="7" t="str">
        <f aca="false">IF(AA673="","N/A",IF(Z673&lt;&gt;"Current","Not tested / overdue",INDEX('Residual Config'!$B$11:$B$14,AA673)))</f>
        <v>Largely effective</v>
      </c>
      <c r="AC673" s="36" t="n">
        <f aca="false">IF(AA673="","",INDEX('Residual Config'!$D$11:$D$14,AA673))</f>
        <v>0.4</v>
      </c>
      <c r="AD673" s="7" t="str">
        <f aca="false">IF(OR(I673="N/A",P673="",Q673=""),"",IF(P673&gt;=Q673,"Yes","No"))</f>
        <v>Yes</v>
      </c>
      <c r="AE673" s="8"/>
    </row>
    <row r="674" customFormat="false" ht="15" hidden="false" customHeight="false" outlineLevel="0" collapsed="false">
      <c r="A674" s="12" t="s">
        <v>2402</v>
      </c>
      <c r="B674" s="26" t="str">
        <f aca="false">Entities!$A$20</f>
        <v>YE</v>
      </c>
      <c r="C674" s="12" t="str">
        <f aca="false">INDEX(Entities!$B$5:$B$34,MATCH(B674,Entities!$A$5:$A$34,0))</f>
        <v>Arab Bank – Yemen</v>
      </c>
      <c r="D674" s="7" t="str">
        <f aca="false">INDEX(Entities!$F$5:$F$34,MATCH(B674,Entities!$A$5:$A$34,0))</f>
        <v>Tier 3</v>
      </c>
      <c r="E674" s="26" t="str">
        <f aca="false">'Control Library'!$A$29</f>
        <v>CTL-REG-01</v>
      </c>
      <c r="F674" s="12" t="str">
        <f aca="false">INDEX('Control Library'!$B$5:$B$47,MATCH(E674,'Control Library'!$A$5:$A$47,0))</f>
        <v>Regulatory change management and obligations register</v>
      </c>
      <c r="G674" s="7" t="str">
        <f aca="false">INDEX('Control Library'!$F$5:$F$47,MATCH(E674,'Control Library'!$A$5:$A$47,0))</f>
        <v>Y</v>
      </c>
      <c r="H674" s="12" t="str">
        <f aca="false">INDEX('Control Library'!$E$5:$E$47,MATCH(E674,'Control Library'!$A$5:$A$47,0))</f>
        <v>Monthly</v>
      </c>
      <c r="I674" s="7" t="str">
        <f aca="false">IF(INDEX('Control Library'!$I$5:$I$47,MATCH(E674,'Control Library'!$A$5:$A$47,0))="All","Y",IF(INDEX('Control Library'!$I$5:$I$47,MATCH(E674,'Control Library'!$A$5:$A$47,0))="Banks only",IF(COUNTIF('Residual Config'!$L$28:$L$30,INDEX(Entities!$E$5:$E$34,MATCH(B674,Entities!$A$5:$A$34,0)))&gt;0,"N/A","Y"),IF(INDEX(Entities!$G$5:$G$34,MATCH(B674,Entities!$A$5:$A$34,0))="Y","Y","N/A")))</f>
        <v>Y</v>
      </c>
      <c r="J674" s="8" t="s">
        <v>2345</v>
      </c>
      <c r="K674" s="8" t="s">
        <v>2342</v>
      </c>
      <c r="L674" s="7" t="str">
        <f aca="false">IF(OR(J674="",K674=""),"",IF(J674=K674,"Breach","OK"))</f>
        <v>OK</v>
      </c>
      <c r="M674" s="24" t="n">
        <v>3</v>
      </c>
      <c r="N674" s="50" t="n">
        <v>46149</v>
      </c>
      <c r="O674" s="8" t="s">
        <v>545</v>
      </c>
      <c r="P674" s="24" t="n">
        <v>3</v>
      </c>
      <c r="Q674" s="31" t="n">
        <f aca="false">IF(I674="N/A","",IFERROR(INDEX('Residual Config'!$B$35:$B$42,MATCH(H674,'Residual Config'!$A$35:$A$42,0)),""))</f>
        <v>3</v>
      </c>
      <c r="R674" s="24" t="n">
        <v>1</v>
      </c>
      <c r="S674" s="8" t="s">
        <v>521</v>
      </c>
      <c r="T674" s="31" t="n">
        <f aca="false">IF(S674="","",MATCH(S674,'Residual Config'!$L$9:$L$12,0))</f>
        <v>2</v>
      </c>
      <c r="U674" s="8" t="s">
        <v>2403</v>
      </c>
      <c r="V674" s="24" t="n">
        <v>4</v>
      </c>
      <c r="W674" s="33" t="s">
        <v>533</v>
      </c>
      <c r="X674" s="8" t="s">
        <v>760</v>
      </c>
      <c r="Y674" s="51" t="n">
        <f aca="false">IF(N674="","",EDATE(N674,IF(G674="N",INDEX('Residual Config'!$B$31:$D$31,1,MATCH(D674,'Residual Config'!$B$27:$D$27,0)),INDEX('Residual Config'!$B$28:$D$30,IF(T674=1,1,IF(T674=4,3,2)),MATCH(D674,'Residual Config'!$B$27:$D$27,0)))))</f>
        <v>46333</v>
      </c>
      <c r="Z674" s="7" t="str">
        <f aca="false">IF(I674="N/A","N/A",IF(N674="","Not tested",IF(W674="Rejected","Evidence rejected",IF(W674&lt;&gt;"Accepted","Evidence pending",IF(Y674&lt;'Residual Config'!$C$4,"Overdue","Current")))))</f>
        <v>Current</v>
      </c>
      <c r="AA674" s="34" t="n">
        <f aca="false">IF(I674="N/A","",IF(Z674&lt;&gt;"Current",4,IF(MAX(M674,T674)=0,4,MAX(M674,T674))))</f>
        <v>3</v>
      </c>
      <c r="AB674" s="7" t="str">
        <f aca="false">IF(AA674="","N/A",IF(Z674&lt;&gt;"Current","Not tested / overdue",INDEX('Residual Config'!$B$11:$B$14,AA674)))</f>
        <v>Partially effective</v>
      </c>
      <c r="AC674" s="36" t="n">
        <f aca="false">IF(AA674="","",INDEX('Residual Config'!$D$11:$D$14,AA674))</f>
        <v>0.2</v>
      </c>
      <c r="AD674" s="7" t="str">
        <f aca="false">IF(OR(I674="N/A",P674="",Q674=""),"",IF(P674&gt;=Q674,"Yes","No"))</f>
        <v>Yes</v>
      </c>
      <c r="AE674" s="8"/>
    </row>
    <row r="675" customFormat="false" ht="15" hidden="false" customHeight="false" outlineLevel="0" collapsed="false">
      <c r="A675" s="12" t="s">
        <v>2404</v>
      </c>
      <c r="B675" s="26" t="str">
        <f aca="false">Entities!$A$20</f>
        <v>YE</v>
      </c>
      <c r="C675" s="12" t="str">
        <f aca="false">INDEX(Entities!$B$5:$B$34,MATCH(B675,Entities!$A$5:$A$34,0))</f>
        <v>Arab Bank – Yemen</v>
      </c>
      <c r="D675" s="7" t="str">
        <f aca="false">INDEX(Entities!$F$5:$F$34,MATCH(B675,Entities!$A$5:$A$34,0))</f>
        <v>Tier 3</v>
      </c>
      <c r="E675" s="26" t="str">
        <f aca="false">'Control Library'!$A$30</f>
        <v>CTL-REG-02</v>
      </c>
      <c r="F675" s="12" t="str">
        <f aca="false">INDEX('Control Library'!$B$5:$B$47,MATCH(E675,'Control Library'!$A$5:$A$47,0))</f>
        <v>Regulatory return review and senior sign-off</v>
      </c>
      <c r="G675" s="7" t="str">
        <f aca="false">INDEX('Control Library'!$F$5:$F$47,MATCH(E675,'Control Library'!$A$5:$A$47,0))</f>
        <v>Y</v>
      </c>
      <c r="H675" s="12" t="str">
        <f aca="false">INDEX('Control Library'!$E$5:$E$47,MATCH(E675,'Control Library'!$A$5:$A$47,0))</f>
        <v>Monthly</v>
      </c>
      <c r="I675" s="7" t="str">
        <f aca="false">IF(INDEX('Control Library'!$I$5:$I$47,MATCH(E675,'Control Library'!$A$5:$A$47,0))="All","Y",IF(INDEX('Control Library'!$I$5:$I$47,MATCH(E675,'Control Library'!$A$5:$A$47,0))="Banks only",IF(COUNTIF('Residual Config'!$L$28:$L$30,INDEX(Entities!$E$5:$E$34,MATCH(B675,Entities!$A$5:$A$34,0)))&gt;0,"N/A","Y"),IF(INDEX(Entities!$G$5:$G$34,MATCH(B675,Entities!$A$5:$A$34,0))="Y","Y","N/A")))</f>
        <v>Y</v>
      </c>
      <c r="J675" s="8" t="s">
        <v>2398</v>
      </c>
      <c r="K675" s="8" t="s">
        <v>2342</v>
      </c>
      <c r="L675" s="7" t="str">
        <f aca="false">IF(OR(J675="",K675=""),"",IF(J675=K675,"Breach","OK"))</f>
        <v>OK</v>
      </c>
      <c r="M675" s="24" t="n">
        <v>2</v>
      </c>
      <c r="N675" s="50" t="n">
        <v>46144</v>
      </c>
      <c r="O675" s="8" t="s">
        <v>545</v>
      </c>
      <c r="P675" s="24" t="n">
        <v>3</v>
      </c>
      <c r="Q675" s="31" t="n">
        <f aca="false">IF(I675="N/A","",IFERROR(INDEX('Residual Config'!$B$35:$B$42,MATCH(H675,'Residual Config'!$A$35:$A$42,0)),""))</f>
        <v>3</v>
      </c>
      <c r="R675" s="24" t="n">
        <v>1</v>
      </c>
      <c r="S675" s="8" t="s">
        <v>521</v>
      </c>
      <c r="T675" s="31" t="n">
        <f aca="false">IF(S675="","",MATCH(S675,'Residual Config'!$L$9:$L$12,0))</f>
        <v>2</v>
      </c>
      <c r="U675" s="8" t="s">
        <v>2405</v>
      </c>
      <c r="V675" s="24" t="n">
        <v>4</v>
      </c>
      <c r="W675" s="33" t="s">
        <v>533</v>
      </c>
      <c r="X675" s="8" t="s">
        <v>760</v>
      </c>
      <c r="Y675" s="51" t="n">
        <f aca="false">IF(N675="","",EDATE(N675,IF(G675="N",INDEX('Residual Config'!$B$31:$D$31,1,MATCH(D675,'Residual Config'!$B$27:$D$27,0)),INDEX('Residual Config'!$B$28:$D$30,IF(T675=1,1,IF(T675=4,3,2)),MATCH(D675,'Residual Config'!$B$27:$D$27,0)))))</f>
        <v>46328</v>
      </c>
      <c r="Z675" s="7" t="str">
        <f aca="false">IF(I675="N/A","N/A",IF(N675="","Not tested",IF(W675="Rejected","Evidence rejected",IF(W675&lt;&gt;"Accepted","Evidence pending",IF(Y675&lt;'Residual Config'!$C$4,"Overdue","Current")))))</f>
        <v>Current</v>
      </c>
      <c r="AA675" s="34" t="n">
        <f aca="false">IF(I675="N/A","",IF(Z675&lt;&gt;"Current",4,IF(MAX(M675,T675)=0,4,MAX(M675,T675))))</f>
        <v>2</v>
      </c>
      <c r="AB675" s="7" t="str">
        <f aca="false">IF(AA675="","N/A",IF(Z675&lt;&gt;"Current","Not tested / overdue",INDEX('Residual Config'!$B$11:$B$14,AA675)))</f>
        <v>Largely effective</v>
      </c>
      <c r="AC675" s="36" t="n">
        <f aca="false">IF(AA675="","",INDEX('Residual Config'!$D$11:$D$14,AA675))</f>
        <v>0.4</v>
      </c>
      <c r="AD675" s="7" t="str">
        <f aca="false">IF(OR(I675="N/A",P675="",Q675=""),"",IF(P675&gt;=Q675,"Yes","No"))</f>
        <v>Yes</v>
      </c>
      <c r="AE675" s="8"/>
    </row>
    <row r="676" customFormat="false" ht="15" hidden="false" customHeight="false" outlineLevel="0" collapsed="false">
      <c r="A676" s="12" t="s">
        <v>2406</v>
      </c>
      <c r="B676" s="26" t="str">
        <f aca="false">Entities!$A$20</f>
        <v>YE</v>
      </c>
      <c r="C676" s="12" t="str">
        <f aca="false">INDEX(Entities!$B$5:$B$34,MATCH(B676,Entities!$A$5:$A$34,0))</f>
        <v>Arab Bank – Yemen</v>
      </c>
      <c r="D676" s="7" t="str">
        <f aca="false">INDEX(Entities!$F$5:$F$34,MATCH(B676,Entities!$A$5:$A$34,0))</f>
        <v>Tier 3</v>
      </c>
      <c r="E676" s="26" t="str">
        <f aca="false">'Control Library'!$A$31</f>
        <v>CTL-CON-01</v>
      </c>
      <c r="F676" s="12" t="str">
        <f aca="false">INDEX('Control Library'!$B$5:$B$47,MATCH(E676,'Control Library'!$A$5:$A$47,0))</f>
        <v>New product approval and suitability assessment</v>
      </c>
      <c r="G676" s="7" t="str">
        <f aca="false">INDEX('Control Library'!$F$5:$F$47,MATCH(E676,'Control Library'!$A$5:$A$47,0))</f>
        <v>Y</v>
      </c>
      <c r="H676" s="12" t="str">
        <f aca="false">INDEX('Control Library'!$E$5:$E$47,MATCH(E676,'Control Library'!$A$5:$A$47,0))</f>
        <v>Event-driven</v>
      </c>
      <c r="I676" s="7" t="str">
        <f aca="false">IF(INDEX('Control Library'!$I$5:$I$47,MATCH(E676,'Control Library'!$A$5:$A$47,0))="All","Y",IF(INDEX('Control Library'!$I$5:$I$47,MATCH(E676,'Control Library'!$A$5:$A$47,0))="Banks only",IF(COUNTIF('Residual Config'!$L$28:$L$30,INDEX(Entities!$E$5:$E$34,MATCH(B676,Entities!$A$5:$A$34,0)))&gt;0,"N/A","Y"),IF(INDEX(Entities!$G$5:$G$34,MATCH(B676,Entities!$A$5:$A$34,0))="Y","Y","N/A")))</f>
        <v>Y</v>
      </c>
      <c r="J676" s="8" t="s">
        <v>2345</v>
      </c>
      <c r="K676" s="8" t="s">
        <v>2342</v>
      </c>
      <c r="L676" s="7" t="str">
        <f aca="false">IF(OR(J676="",K676=""),"",IF(J676=K676,"Breach","OK"))</f>
        <v>OK</v>
      </c>
      <c r="M676" s="24" t="n">
        <v>2</v>
      </c>
      <c r="N676" s="50" t="n">
        <v>46214</v>
      </c>
      <c r="O676" s="8" t="s">
        <v>546</v>
      </c>
      <c r="P676" s="24" t="n">
        <v>30</v>
      </c>
      <c r="Q676" s="31" t="n">
        <f aca="false">IF(I676="N/A","",IFERROR(INDEX('Residual Config'!$B$35:$B$42,MATCH(H676,'Residual Config'!$A$35:$A$42,0)),""))</f>
        <v>25</v>
      </c>
      <c r="R676" s="24" t="n">
        <v>1</v>
      </c>
      <c r="S676" s="8" t="s">
        <v>521</v>
      </c>
      <c r="T676" s="31" t="n">
        <f aca="false">IF(S676="","",MATCH(S676,'Residual Config'!$L$9:$L$12,0))</f>
        <v>2</v>
      </c>
      <c r="U676" s="8" t="s">
        <v>2407</v>
      </c>
      <c r="V676" s="24" t="n">
        <v>4</v>
      </c>
      <c r="W676" s="33" t="s">
        <v>533</v>
      </c>
      <c r="X676" s="8" t="s">
        <v>754</v>
      </c>
      <c r="Y676" s="51" t="n">
        <f aca="false">IF(N676="","",EDATE(N676,IF(G676="N",INDEX('Residual Config'!$B$31:$D$31,1,MATCH(D676,'Residual Config'!$B$27:$D$27,0)),INDEX('Residual Config'!$B$28:$D$30,IF(T676=1,1,IF(T676=4,3,2)),MATCH(D676,'Residual Config'!$B$27:$D$27,0)))))</f>
        <v>46398</v>
      </c>
      <c r="Z676" s="7" t="str">
        <f aca="false">IF(I676="N/A","N/A",IF(N676="","Not tested",IF(W676="Rejected","Evidence rejected",IF(W676&lt;&gt;"Accepted","Evidence pending",IF(Y676&lt;'Residual Config'!$C$4,"Overdue","Current")))))</f>
        <v>Current</v>
      </c>
      <c r="AA676" s="34" t="n">
        <f aca="false">IF(I676="N/A","",IF(Z676&lt;&gt;"Current",4,IF(MAX(M676,T676)=0,4,MAX(M676,T676))))</f>
        <v>2</v>
      </c>
      <c r="AB676" s="7" t="str">
        <f aca="false">IF(AA676="","N/A",IF(Z676&lt;&gt;"Current","Not tested / overdue",INDEX('Residual Config'!$B$11:$B$14,AA676)))</f>
        <v>Largely effective</v>
      </c>
      <c r="AC676" s="36" t="n">
        <f aca="false">IF(AA676="","",INDEX('Residual Config'!$D$11:$D$14,AA676))</f>
        <v>0.4</v>
      </c>
      <c r="AD676" s="7" t="str">
        <f aca="false">IF(OR(I676="N/A",P676="",Q676=""),"",IF(P676&gt;=Q676,"Yes","No"))</f>
        <v>Yes</v>
      </c>
      <c r="AE676" s="8"/>
    </row>
    <row r="677" customFormat="false" ht="15" hidden="false" customHeight="false" outlineLevel="0" collapsed="false">
      <c r="A677" s="12" t="s">
        <v>2408</v>
      </c>
      <c r="B677" s="26" t="str">
        <f aca="false">Entities!$A$20</f>
        <v>YE</v>
      </c>
      <c r="C677" s="12" t="str">
        <f aca="false">INDEX(Entities!$B$5:$B$34,MATCH(B677,Entities!$A$5:$A$34,0))</f>
        <v>Arab Bank – Yemen</v>
      </c>
      <c r="D677" s="7" t="str">
        <f aca="false">INDEX(Entities!$F$5:$F$34,MATCH(B677,Entities!$A$5:$A$34,0))</f>
        <v>Tier 3</v>
      </c>
      <c r="E677" s="26" t="str">
        <f aca="false">'Control Library'!$A$32</f>
        <v>CTL-CON-02</v>
      </c>
      <c r="F677" s="12" t="str">
        <f aca="false">INDEX('Control Library'!$B$5:$B$47,MATCH(E677,'Control Library'!$A$5:$A$47,0))</f>
        <v>Complaints handling and root-cause analysis</v>
      </c>
      <c r="G677" s="7" t="str">
        <f aca="false">INDEX('Control Library'!$F$5:$F$47,MATCH(E677,'Control Library'!$A$5:$A$47,0))</f>
        <v>N</v>
      </c>
      <c r="H677" s="12" t="str">
        <f aca="false">INDEX('Control Library'!$E$5:$E$47,MATCH(E677,'Control Library'!$A$5:$A$47,0))</f>
        <v>Monthly</v>
      </c>
      <c r="I677" s="7" t="str">
        <f aca="false">IF(INDEX('Control Library'!$I$5:$I$47,MATCH(E677,'Control Library'!$A$5:$A$47,0))="All","Y",IF(INDEX('Control Library'!$I$5:$I$47,MATCH(E677,'Control Library'!$A$5:$A$47,0))="Banks only",IF(COUNTIF('Residual Config'!$L$28:$L$30,INDEX(Entities!$E$5:$E$34,MATCH(B677,Entities!$A$5:$A$34,0)))&gt;0,"N/A","Y"),IF(INDEX(Entities!$G$5:$G$34,MATCH(B677,Entities!$A$5:$A$34,0))="Y","Y","N/A")))</f>
        <v>Y</v>
      </c>
      <c r="J677" s="8" t="s">
        <v>2409</v>
      </c>
      <c r="K677" s="8" t="s">
        <v>2342</v>
      </c>
      <c r="L677" s="7" t="str">
        <f aca="false">IF(OR(J677="",K677=""),"",IF(J677=K677,"Breach","OK"))</f>
        <v>OK</v>
      </c>
      <c r="M677" s="24" t="n">
        <v>1</v>
      </c>
      <c r="N677" s="50" t="n">
        <v>46143</v>
      </c>
      <c r="O677" s="8" t="s">
        <v>545</v>
      </c>
      <c r="P677" s="24" t="n">
        <v>3</v>
      </c>
      <c r="Q677" s="31" t="n">
        <f aca="false">IF(I677="N/A","",IFERROR(INDEX('Residual Config'!$B$35:$B$42,MATCH(H677,'Residual Config'!$A$35:$A$42,0)),""))</f>
        <v>3</v>
      </c>
      <c r="R677" s="24" t="n">
        <v>0</v>
      </c>
      <c r="S677" s="8" t="s">
        <v>516</v>
      </c>
      <c r="T677" s="31" t="n">
        <f aca="false">IF(S677="","",MATCH(S677,'Residual Config'!$L$9:$L$12,0))</f>
        <v>1</v>
      </c>
      <c r="U677" s="8" t="s">
        <v>2410</v>
      </c>
      <c r="V677" s="24" t="n">
        <v>6</v>
      </c>
      <c r="W677" s="33" t="s">
        <v>533</v>
      </c>
      <c r="X677" s="8" t="s">
        <v>760</v>
      </c>
      <c r="Y677" s="51" t="n">
        <f aca="false">IF(N677="","",EDATE(N677,IF(G677="N",INDEX('Residual Config'!$B$31:$D$31,1,MATCH(D677,'Residual Config'!$B$27:$D$27,0)),INDEX('Residual Config'!$B$28:$D$30,IF(T677=1,1,IF(T677=4,3,2)),MATCH(D677,'Residual Config'!$B$27:$D$27,0)))))</f>
        <v>46874</v>
      </c>
      <c r="Z677" s="7" t="str">
        <f aca="false">IF(I677="N/A","N/A",IF(N677="","Not tested",IF(W677="Rejected","Evidence rejected",IF(W677&lt;&gt;"Accepted","Evidence pending",IF(Y677&lt;'Residual Config'!$C$4,"Overdue","Current")))))</f>
        <v>Current</v>
      </c>
      <c r="AA677" s="34" t="n">
        <f aca="false">IF(I677="N/A","",IF(Z677&lt;&gt;"Current",4,IF(MAX(M677,T677)=0,4,MAX(M677,T677))))</f>
        <v>1</v>
      </c>
      <c r="AB677" s="7" t="str">
        <f aca="false">IF(AA677="","N/A",IF(Z677&lt;&gt;"Current","Not tested / overdue",INDEX('Residual Config'!$B$11:$B$14,AA677)))</f>
        <v>Effective</v>
      </c>
      <c r="AC677" s="36" t="n">
        <f aca="false">IF(AA677="","",INDEX('Residual Config'!$D$11:$D$14,AA677))</f>
        <v>0.6</v>
      </c>
      <c r="AD677" s="7" t="str">
        <f aca="false">IF(OR(I677="N/A",P677="",Q677=""),"",IF(P677&gt;=Q677,"Yes","No"))</f>
        <v>Yes</v>
      </c>
      <c r="AE677" s="8"/>
    </row>
    <row r="678" customFormat="false" ht="15" hidden="false" customHeight="false" outlineLevel="0" collapsed="false">
      <c r="A678" s="12" t="s">
        <v>2411</v>
      </c>
      <c r="B678" s="26" t="str">
        <f aca="false">Entities!$A$20</f>
        <v>YE</v>
      </c>
      <c r="C678" s="12" t="str">
        <f aca="false">INDEX(Entities!$B$5:$B$34,MATCH(B678,Entities!$A$5:$A$34,0))</f>
        <v>Arab Bank – Yemen</v>
      </c>
      <c r="D678" s="7" t="str">
        <f aca="false">INDEX(Entities!$F$5:$F$34,MATCH(B678,Entities!$A$5:$A$34,0))</f>
        <v>Tier 3</v>
      </c>
      <c r="E678" s="26" t="str">
        <f aca="false">'Control Library'!$A$33</f>
        <v>CTL-DP-01</v>
      </c>
      <c r="F678" s="12" t="str">
        <f aca="false">INDEX('Control Library'!$B$5:$B$47,MATCH(E678,'Control Library'!$A$5:$A$47,0))</f>
        <v>Data protection impact assessments and processing records</v>
      </c>
      <c r="G678" s="7" t="str">
        <f aca="false">INDEX('Control Library'!$F$5:$F$47,MATCH(E678,'Control Library'!$A$5:$A$47,0))</f>
        <v>Y</v>
      </c>
      <c r="H678" s="12" t="str">
        <f aca="false">INDEX('Control Library'!$E$5:$E$47,MATCH(E678,'Control Library'!$A$5:$A$47,0))</f>
        <v>Event-driven</v>
      </c>
      <c r="I678" s="7" t="str">
        <f aca="false">IF(INDEX('Control Library'!$I$5:$I$47,MATCH(E678,'Control Library'!$A$5:$A$47,0))="All","Y",IF(INDEX('Control Library'!$I$5:$I$47,MATCH(E678,'Control Library'!$A$5:$A$47,0))="Banks only",IF(COUNTIF('Residual Config'!$L$28:$L$30,INDEX(Entities!$E$5:$E$34,MATCH(B678,Entities!$A$5:$A$34,0)))&gt;0,"N/A","Y"),IF(INDEX(Entities!$G$5:$G$34,MATCH(B678,Entities!$A$5:$A$34,0))="Y","Y","N/A")))</f>
        <v>Y</v>
      </c>
      <c r="J678" s="8" t="s">
        <v>2412</v>
      </c>
      <c r="K678" s="8" t="s">
        <v>2342</v>
      </c>
      <c r="L678" s="7" t="str">
        <f aca="false">IF(OR(J678="",K678=""),"",IF(J678=K678,"Breach","OK"))</f>
        <v>OK</v>
      </c>
      <c r="M678" s="24" t="n">
        <v>3</v>
      </c>
      <c r="N678" s="50" t="n">
        <v>46275</v>
      </c>
      <c r="O678" s="8" t="s">
        <v>546</v>
      </c>
      <c r="P678" s="24" t="n">
        <v>25</v>
      </c>
      <c r="Q678" s="31" t="n">
        <f aca="false">IF(I678="N/A","",IFERROR(INDEX('Residual Config'!$B$35:$B$42,MATCH(H678,'Residual Config'!$A$35:$A$42,0)),""))</f>
        <v>25</v>
      </c>
      <c r="R678" s="24" t="n">
        <v>2</v>
      </c>
      <c r="S678" s="8" t="s">
        <v>524</v>
      </c>
      <c r="T678" s="31" t="n">
        <f aca="false">IF(S678="","",MATCH(S678,'Residual Config'!$L$9:$L$12,0))</f>
        <v>3</v>
      </c>
      <c r="U678" s="8" t="s">
        <v>2413</v>
      </c>
      <c r="V678" s="24" t="n">
        <v>2</v>
      </c>
      <c r="W678" s="33" t="s">
        <v>533</v>
      </c>
      <c r="X678" s="8" t="s">
        <v>754</v>
      </c>
      <c r="Y678" s="51" t="n">
        <f aca="false">IF(N678="","",EDATE(N678,IF(G678="N",INDEX('Residual Config'!$B$31:$D$31,1,MATCH(D678,'Residual Config'!$B$27:$D$27,0)),INDEX('Residual Config'!$B$28:$D$30,IF(T678=1,1,IF(T678=4,3,2)),MATCH(D678,'Residual Config'!$B$27:$D$27,0)))))</f>
        <v>46456</v>
      </c>
      <c r="Z678" s="7" t="str">
        <f aca="false">IF(I678="N/A","N/A",IF(N678="","Not tested",IF(W678="Rejected","Evidence rejected",IF(W678&lt;&gt;"Accepted","Evidence pending",IF(Y678&lt;'Residual Config'!$C$4,"Overdue","Current")))))</f>
        <v>Current</v>
      </c>
      <c r="AA678" s="34" t="n">
        <f aca="false">IF(I678="N/A","",IF(Z678&lt;&gt;"Current",4,IF(MAX(M678,T678)=0,4,MAX(M678,T678))))</f>
        <v>3</v>
      </c>
      <c r="AB678" s="7" t="str">
        <f aca="false">IF(AA678="","N/A",IF(Z678&lt;&gt;"Current","Not tested / overdue",INDEX('Residual Config'!$B$11:$B$14,AA678)))</f>
        <v>Partially effective</v>
      </c>
      <c r="AC678" s="36" t="n">
        <f aca="false">IF(AA678="","",INDEX('Residual Config'!$D$11:$D$14,AA678))</f>
        <v>0.2</v>
      </c>
      <c r="AD678" s="7" t="str">
        <f aca="false">IF(OR(I678="N/A",P678="",Q678=""),"",IF(P678&gt;=Q678,"Yes","No"))</f>
        <v>Yes</v>
      </c>
      <c r="AE678" s="8"/>
    </row>
    <row r="679" customFormat="false" ht="15" hidden="false" customHeight="false" outlineLevel="0" collapsed="false">
      <c r="A679" s="12" t="s">
        <v>2414</v>
      </c>
      <c r="B679" s="26" t="str">
        <f aca="false">Entities!$A$20</f>
        <v>YE</v>
      </c>
      <c r="C679" s="12" t="str">
        <f aca="false">INDEX(Entities!$B$5:$B$34,MATCH(B679,Entities!$A$5:$A$34,0))</f>
        <v>Arab Bank – Yemen</v>
      </c>
      <c r="D679" s="7" t="str">
        <f aca="false">INDEX(Entities!$F$5:$F$34,MATCH(B679,Entities!$A$5:$A$34,0))</f>
        <v>Tier 3</v>
      </c>
      <c r="E679" s="26" t="str">
        <f aca="false">'Control Library'!$A$34</f>
        <v>CTL-DP-02</v>
      </c>
      <c r="F679" s="12" t="str">
        <f aca="false">INDEX('Control Library'!$B$5:$B$47,MATCH(E679,'Control Library'!$A$5:$A$47,0))</f>
        <v>Data loss prevention and quarterly access recertification</v>
      </c>
      <c r="G679" s="7" t="str">
        <f aca="false">INDEX('Control Library'!$F$5:$F$47,MATCH(E679,'Control Library'!$A$5:$A$47,0))</f>
        <v>Y</v>
      </c>
      <c r="H679" s="12" t="str">
        <f aca="false">INDEX('Control Library'!$E$5:$E$47,MATCH(E679,'Control Library'!$A$5:$A$47,0))</f>
        <v>Quarterly</v>
      </c>
      <c r="I679" s="7" t="str">
        <f aca="false">IF(INDEX('Control Library'!$I$5:$I$47,MATCH(E679,'Control Library'!$A$5:$A$47,0))="All","Y",IF(INDEX('Control Library'!$I$5:$I$47,MATCH(E679,'Control Library'!$A$5:$A$47,0))="Banks only",IF(COUNTIF('Residual Config'!$L$28:$L$30,INDEX(Entities!$E$5:$E$34,MATCH(B679,Entities!$A$5:$A$34,0)))&gt;0,"N/A","Y"),IF(INDEX(Entities!$G$5:$G$34,MATCH(B679,Entities!$A$5:$A$34,0))="Y","Y","N/A")))</f>
        <v>Y</v>
      </c>
      <c r="J679" s="8" t="s">
        <v>2415</v>
      </c>
      <c r="K679" s="8" t="s">
        <v>2342</v>
      </c>
      <c r="L679" s="7" t="str">
        <f aca="false">IF(OR(J679="",K679=""),"",IF(J679=K679,"Breach","OK"))</f>
        <v>OK</v>
      </c>
      <c r="M679" s="24" t="n">
        <v>2</v>
      </c>
      <c r="N679" s="50" t="n">
        <v>46139</v>
      </c>
      <c r="O679" s="8" t="s">
        <v>545</v>
      </c>
      <c r="P679" s="24" t="n">
        <v>2</v>
      </c>
      <c r="Q679" s="31" t="n">
        <f aca="false">IF(I679="N/A","",IFERROR(INDEX('Residual Config'!$B$35:$B$42,MATCH(H679,'Residual Config'!$A$35:$A$42,0)),""))</f>
        <v>2</v>
      </c>
      <c r="R679" s="24" t="n">
        <v>1</v>
      </c>
      <c r="S679" s="8" t="s">
        <v>521</v>
      </c>
      <c r="T679" s="31" t="n">
        <f aca="false">IF(S679="","",MATCH(S679,'Residual Config'!$L$9:$L$12,0))</f>
        <v>2</v>
      </c>
      <c r="U679" s="8" t="s">
        <v>2416</v>
      </c>
      <c r="V679" s="24" t="n">
        <v>6</v>
      </c>
      <c r="W679" s="33" t="s">
        <v>533</v>
      </c>
      <c r="X679" s="8" t="s">
        <v>754</v>
      </c>
      <c r="Y679" s="51" t="n">
        <f aca="false">IF(N679="","",EDATE(N679,IF(G679="N",INDEX('Residual Config'!$B$31:$D$31,1,MATCH(D679,'Residual Config'!$B$27:$D$27,0)),INDEX('Residual Config'!$B$28:$D$30,IF(T679=1,1,IF(T679=4,3,2)),MATCH(D679,'Residual Config'!$B$27:$D$27,0)))))</f>
        <v>46322</v>
      </c>
      <c r="Z679" s="7" t="str">
        <f aca="false">IF(I679="N/A","N/A",IF(N679="","Not tested",IF(W679="Rejected","Evidence rejected",IF(W679&lt;&gt;"Accepted","Evidence pending",IF(Y679&lt;'Residual Config'!$C$4,"Overdue","Current")))))</f>
        <v>Current</v>
      </c>
      <c r="AA679" s="34" t="n">
        <f aca="false">IF(I679="N/A","",IF(Z679&lt;&gt;"Current",4,IF(MAX(M679,T679)=0,4,MAX(M679,T679))))</f>
        <v>2</v>
      </c>
      <c r="AB679" s="7" t="str">
        <f aca="false">IF(AA679="","N/A",IF(Z679&lt;&gt;"Current","Not tested / overdue",INDEX('Residual Config'!$B$11:$B$14,AA679)))</f>
        <v>Largely effective</v>
      </c>
      <c r="AC679" s="36" t="n">
        <f aca="false">IF(AA679="","",INDEX('Residual Config'!$D$11:$D$14,AA679))</f>
        <v>0.4</v>
      </c>
      <c r="AD679" s="7" t="str">
        <f aca="false">IF(OR(I679="N/A",P679="",Q679=""),"",IF(P679&gt;=Q679,"Yes","No"))</f>
        <v>Yes</v>
      </c>
      <c r="AE679" s="8"/>
    </row>
    <row r="680" customFormat="false" ht="15" hidden="false" customHeight="false" outlineLevel="0" collapsed="false">
      <c r="A680" s="12" t="s">
        <v>2417</v>
      </c>
      <c r="B680" s="26" t="str">
        <f aca="false">Entities!$A$20</f>
        <v>YE</v>
      </c>
      <c r="C680" s="12" t="str">
        <f aca="false">INDEX(Entities!$B$5:$B$34,MATCH(B680,Entities!$A$5:$A$34,0))</f>
        <v>Arab Bank – Yemen</v>
      </c>
      <c r="D680" s="7" t="str">
        <f aca="false">INDEX(Entities!$F$5:$F$34,MATCH(B680,Entities!$A$5:$A$34,0))</f>
        <v>Tier 3</v>
      </c>
      <c r="E680" s="26" t="str">
        <f aca="false">'Control Library'!$A$35</f>
        <v>CTL-SH-01</v>
      </c>
      <c r="F680" s="12" t="str">
        <f aca="false">INDEX('Control Library'!$B$5:$B$47,MATCH(E680,'Control Library'!$A$5:$A$47,0))</f>
        <v>Shariah review of products and income purification</v>
      </c>
      <c r="G680" s="7" t="str">
        <f aca="false">INDEX('Control Library'!$F$5:$F$47,MATCH(E680,'Control Library'!$A$5:$A$47,0))</f>
        <v>Y</v>
      </c>
      <c r="H680" s="12" t="str">
        <f aca="false">INDEX('Control Library'!$E$5:$E$47,MATCH(E680,'Control Library'!$A$5:$A$47,0))</f>
        <v>Quarterly</v>
      </c>
      <c r="I680" s="7" t="str">
        <f aca="false">IF(INDEX('Control Library'!$I$5:$I$47,MATCH(E680,'Control Library'!$A$5:$A$47,0))="All","Y",IF(INDEX('Control Library'!$I$5:$I$47,MATCH(E680,'Control Library'!$A$5:$A$47,0))="Banks only",IF(COUNTIF('Residual Config'!$L$28:$L$30,INDEX(Entities!$E$5:$E$34,MATCH(B680,Entities!$A$5:$A$34,0)))&gt;0,"N/A","Y"),IF(INDEX(Entities!$G$5:$G$34,MATCH(B680,Entities!$A$5:$A$34,0))="Y","Y","N/A")))</f>
        <v>N/A</v>
      </c>
      <c r="J680" s="8"/>
      <c r="K680" s="8"/>
      <c r="L680" s="7" t="str">
        <f aca="false">IF(OR(J680="",K680=""),"",IF(J680=K680,"Breach","OK"))</f>
        <v/>
      </c>
      <c r="M680" s="24"/>
      <c r="N680" s="50"/>
      <c r="O680" s="8"/>
      <c r="P680" s="24"/>
      <c r="Q680" s="31" t="str">
        <f aca="false">IF(I680="N/A","",IFERROR(INDEX('Residual Config'!$B$35:$B$42,MATCH(H680,'Residual Config'!$A$35:$A$42,0)),""))</f>
        <v/>
      </c>
      <c r="R680" s="24"/>
      <c r="S680" s="8"/>
      <c r="T680" s="31" t="str">
        <f aca="false">IF(S680="","",MATCH(S680,'Residual Config'!$L$9:$L$12,0))</f>
        <v/>
      </c>
      <c r="U680" s="8"/>
      <c r="V680" s="24"/>
      <c r="W680" s="33"/>
      <c r="X680" s="8"/>
      <c r="Y680" s="51" t="str">
        <f aca="false">IF(N680="","",EDATE(N680,IF(G680="N",INDEX('Residual Config'!$B$31:$D$31,1,MATCH(D680,'Residual Config'!$B$27:$D$27,0)),INDEX('Residual Config'!$B$28:$D$30,IF(T680=1,1,IF(T680=4,3,2)),MATCH(D680,'Residual Config'!$B$27:$D$27,0)))))</f>
        <v/>
      </c>
      <c r="Z680" s="7" t="str">
        <f aca="false">IF(I680="N/A","N/A",IF(N680="","Not tested",IF(W680="Rejected","Evidence rejected",IF(W680&lt;&gt;"Accepted","Evidence pending",IF(Y680&lt;'Residual Config'!$C$4,"Overdue","Current")))))</f>
        <v>N/A</v>
      </c>
      <c r="AA680" s="34" t="str">
        <f aca="false">IF(I680="N/A","",IF(Z680&lt;&gt;"Current",4,IF(MAX(M680,T680)=0,4,MAX(M680,T680))))</f>
        <v/>
      </c>
      <c r="AB680" s="7" t="str">
        <f aca="false">IF(AA680="","N/A",IF(Z680&lt;&gt;"Current","Not tested / overdue",INDEX('Residual Config'!$B$11:$B$14,AA680)))</f>
        <v>N/A</v>
      </c>
      <c r="AC680" s="36" t="str">
        <f aca="false">IF(AA680="","",INDEX('Residual Config'!$D$11:$D$14,AA680))</f>
        <v/>
      </c>
      <c r="AD680" s="7" t="str">
        <f aca="false">IF(OR(I680="N/A",P680="",Q680=""),"",IF(P680&gt;=Q680,"Yes","No"))</f>
        <v/>
      </c>
      <c r="AE680" s="8"/>
    </row>
    <row r="681" customFormat="false" ht="15" hidden="false" customHeight="false" outlineLevel="0" collapsed="false">
      <c r="A681" s="12" t="s">
        <v>2418</v>
      </c>
      <c r="B681" s="26" t="str">
        <f aca="false">Entities!$A$20</f>
        <v>YE</v>
      </c>
      <c r="C681" s="12" t="str">
        <f aca="false">INDEX(Entities!$B$5:$B$34,MATCH(B681,Entities!$A$5:$A$34,0))</f>
        <v>Arab Bank – Yemen</v>
      </c>
      <c r="D681" s="7" t="str">
        <f aca="false">INDEX(Entities!$F$5:$F$34,MATCH(B681,Entities!$A$5:$A$34,0))</f>
        <v>Tier 3</v>
      </c>
      <c r="E681" s="26" t="str">
        <f aca="false">'Control Library'!$A$36</f>
        <v>CTL-CR-01</v>
      </c>
      <c r="F681" s="12" t="str">
        <f aca="false">INDEX('Control Library'!$B$5:$B$47,MATCH(E681,'Control Library'!$A$5:$A$47,0))</f>
        <v>Credit approval authorities and committee review</v>
      </c>
      <c r="G681" s="7" t="str">
        <f aca="false">INDEX('Control Library'!$F$5:$F$47,MATCH(E681,'Control Library'!$A$5:$A$47,0))</f>
        <v>Y</v>
      </c>
      <c r="H681" s="12" t="str">
        <f aca="false">INDEX('Control Library'!$E$5:$E$47,MATCH(E681,'Control Library'!$A$5:$A$47,0))</f>
        <v>Event-driven</v>
      </c>
      <c r="I681" s="7" t="str">
        <f aca="false">IF(INDEX('Control Library'!$I$5:$I$47,MATCH(E681,'Control Library'!$A$5:$A$47,0))="All","Y",IF(INDEX('Control Library'!$I$5:$I$47,MATCH(E681,'Control Library'!$A$5:$A$47,0))="Banks only",IF(COUNTIF('Residual Config'!$L$28:$L$30,INDEX(Entities!$E$5:$E$34,MATCH(B681,Entities!$A$5:$A$34,0)))&gt;0,"N/A","Y"),IF(INDEX(Entities!$G$5:$G$34,MATCH(B681,Entities!$A$5:$A$34,0))="Y","Y","N/A")))</f>
        <v>Y</v>
      </c>
      <c r="J681" s="8" t="s">
        <v>2419</v>
      </c>
      <c r="K681" s="8" t="s">
        <v>2342</v>
      </c>
      <c r="L681" s="7" t="str">
        <f aca="false">IF(OR(J681="",K681=""),"",IF(J681=K681,"Breach","OK"))</f>
        <v>OK</v>
      </c>
      <c r="M681" s="24" t="n">
        <v>3</v>
      </c>
      <c r="N681" s="50" t="n">
        <v>46236</v>
      </c>
      <c r="O681" s="8" t="s">
        <v>545</v>
      </c>
      <c r="P681" s="24" t="n">
        <v>35</v>
      </c>
      <c r="Q681" s="31" t="n">
        <f aca="false">IF(I681="N/A","",IFERROR(INDEX('Residual Config'!$B$35:$B$42,MATCH(H681,'Residual Config'!$A$35:$A$42,0)),""))</f>
        <v>25</v>
      </c>
      <c r="R681" s="24" t="n">
        <v>1</v>
      </c>
      <c r="S681" s="8" t="s">
        <v>521</v>
      </c>
      <c r="T681" s="31" t="n">
        <f aca="false">IF(S681="","",MATCH(S681,'Residual Config'!$L$9:$L$12,0))</f>
        <v>2</v>
      </c>
      <c r="U681" s="8" t="s">
        <v>2420</v>
      </c>
      <c r="V681" s="24" t="n">
        <v>3</v>
      </c>
      <c r="W681" s="33" t="s">
        <v>533</v>
      </c>
      <c r="X681" s="8" t="s">
        <v>760</v>
      </c>
      <c r="Y681" s="51" t="n">
        <f aca="false">IF(N681="","",EDATE(N681,IF(G681="N",INDEX('Residual Config'!$B$31:$D$31,1,MATCH(D681,'Residual Config'!$B$27:$D$27,0)),INDEX('Residual Config'!$B$28:$D$30,IF(T681=1,1,IF(T681=4,3,2)),MATCH(D681,'Residual Config'!$B$27:$D$27,0)))))</f>
        <v>46420</v>
      </c>
      <c r="Z681" s="7" t="str">
        <f aca="false">IF(I681="N/A","N/A",IF(N681="","Not tested",IF(W681="Rejected","Evidence rejected",IF(W681&lt;&gt;"Accepted","Evidence pending",IF(Y681&lt;'Residual Config'!$C$4,"Overdue","Current")))))</f>
        <v>Current</v>
      </c>
      <c r="AA681" s="34" t="n">
        <f aca="false">IF(I681="N/A","",IF(Z681&lt;&gt;"Current",4,IF(MAX(M681,T681)=0,4,MAX(M681,T681))))</f>
        <v>3</v>
      </c>
      <c r="AB681" s="7" t="str">
        <f aca="false">IF(AA681="","N/A",IF(Z681&lt;&gt;"Current","Not tested / overdue",INDEX('Residual Config'!$B$11:$B$14,AA681)))</f>
        <v>Partially effective</v>
      </c>
      <c r="AC681" s="36" t="n">
        <f aca="false">IF(AA681="","",INDEX('Residual Config'!$D$11:$D$14,AA681))</f>
        <v>0.2</v>
      </c>
      <c r="AD681" s="7" t="str">
        <f aca="false">IF(OR(I681="N/A",P681="",Q681=""),"",IF(P681&gt;=Q681,"Yes","No"))</f>
        <v>Yes</v>
      </c>
      <c r="AE681" s="8"/>
    </row>
    <row r="682" customFormat="false" ht="15" hidden="false" customHeight="false" outlineLevel="0" collapsed="false">
      <c r="A682" s="12" t="s">
        <v>2421</v>
      </c>
      <c r="B682" s="26" t="str">
        <f aca="false">Entities!$A$20</f>
        <v>YE</v>
      </c>
      <c r="C682" s="12" t="str">
        <f aca="false">INDEX(Entities!$B$5:$B$34,MATCH(B682,Entities!$A$5:$A$34,0))</f>
        <v>Arab Bank – Yemen</v>
      </c>
      <c r="D682" s="7" t="str">
        <f aca="false">INDEX(Entities!$F$5:$F$34,MATCH(B682,Entities!$A$5:$A$34,0))</f>
        <v>Tier 3</v>
      </c>
      <c r="E682" s="26" t="str">
        <f aca="false">'Control Library'!$A$37</f>
        <v>CTL-CR-02</v>
      </c>
      <c r="F682" s="12" t="str">
        <f aca="false">INDEX('Control Library'!$B$5:$B$47,MATCH(E682,'Control Library'!$A$5:$A$47,0))</f>
        <v>Collateral valuation and exposure limit monitoring</v>
      </c>
      <c r="G682" s="7" t="str">
        <f aca="false">INDEX('Control Library'!$F$5:$F$47,MATCH(E682,'Control Library'!$A$5:$A$47,0))</f>
        <v>N</v>
      </c>
      <c r="H682" s="12" t="str">
        <f aca="false">INDEX('Control Library'!$E$5:$E$47,MATCH(E682,'Control Library'!$A$5:$A$47,0))</f>
        <v>Monthly</v>
      </c>
      <c r="I682" s="7" t="str">
        <f aca="false">IF(INDEX('Control Library'!$I$5:$I$47,MATCH(E682,'Control Library'!$A$5:$A$47,0))="All","Y",IF(INDEX('Control Library'!$I$5:$I$47,MATCH(E682,'Control Library'!$A$5:$A$47,0))="Banks only",IF(COUNTIF('Residual Config'!$L$28:$L$30,INDEX(Entities!$E$5:$E$34,MATCH(B682,Entities!$A$5:$A$34,0)))&gt;0,"N/A","Y"),IF(INDEX(Entities!$G$5:$G$34,MATCH(B682,Entities!$A$5:$A$34,0))="Y","Y","N/A")))</f>
        <v>Y</v>
      </c>
      <c r="J682" s="8" t="s">
        <v>2422</v>
      </c>
      <c r="K682" s="8" t="s">
        <v>2342</v>
      </c>
      <c r="L682" s="7" t="str">
        <f aca="false">IF(OR(J682="",K682=""),"",IF(J682=K682,"Breach","OK"))</f>
        <v>OK</v>
      </c>
      <c r="M682" s="24" t="n">
        <v>2</v>
      </c>
      <c r="N682" s="50" t="n">
        <v>45853</v>
      </c>
      <c r="O682" s="8" t="s">
        <v>546</v>
      </c>
      <c r="P682" s="24" t="n">
        <v>3</v>
      </c>
      <c r="Q682" s="31" t="n">
        <f aca="false">IF(I682="N/A","",IFERROR(INDEX('Residual Config'!$B$35:$B$42,MATCH(H682,'Residual Config'!$A$35:$A$42,0)),""))</f>
        <v>3</v>
      </c>
      <c r="R682" s="24" t="n">
        <v>1</v>
      </c>
      <c r="S682" s="8" t="s">
        <v>521</v>
      </c>
      <c r="T682" s="31" t="n">
        <f aca="false">IF(S682="","",MATCH(S682,'Residual Config'!$L$9:$L$12,0))</f>
        <v>2</v>
      </c>
      <c r="U682" s="8" t="s">
        <v>2423</v>
      </c>
      <c r="V682" s="24" t="n">
        <v>4</v>
      </c>
      <c r="W682" s="33" t="s">
        <v>533</v>
      </c>
      <c r="X682" s="8" t="s">
        <v>760</v>
      </c>
      <c r="Y682" s="51" t="n">
        <f aca="false">IF(N682="","",EDATE(N682,IF(G682="N",INDEX('Residual Config'!$B$31:$D$31,1,MATCH(D682,'Residual Config'!$B$27:$D$27,0)),INDEX('Residual Config'!$B$28:$D$30,IF(T682=1,1,IF(T682=4,3,2)),MATCH(D682,'Residual Config'!$B$27:$D$27,0)))))</f>
        <v>46583</v>
      </c>
      <c r="Z682" s="7" t="str">
        <f aca="false">IF(I682="N/A","N/A",IF(N682="","Not tested",IF(W682="Rejected","Evidence rejected",IF(W682&lt;&gt;"Accepted","Evidence pending",IF(Y682&lt;'Residual Config'!$C$4,"Overdue","Current")))))</f>
        <v>Current</v>
      </c>
      <c r="AA682" s="34" t="n">
        <f aca="false">IF(I682="N/A","",IF(Z682&lt;&gt;"Current",4,IF(MAX(M682,T682)=0,4,MAX(M682,T682))))</f>
        <v>2</v>
      </c>
      <c r="AB682" s="7" t="str">
        <f aca="false">IF(AA682="","N/A",IF(Z682&lt;&gt;"Current","Not tested / overdue",INDEX('Residual Config'!$B$11:$B$14,AA682)))</f>
        <v>Largely effective</v>
      </c>
      <c r="AC682" s="36" t="n">
        <f aca="false">IF(AA682="","",INDEX('Residual Config'!$D$11:$D$14,AA682))</f>
        <v>0.4</v>
      </c>
      <c r="AD682" s="7" t="str">
        <f aca="false">IF(OR(I682="N/A",P682="",Q682=""),"",IF(P682&gt;=Q682,"Yes","No"))</f>
        <v>Yes</v>
      </c>
      <c r="AE682" s="8"/>
    </row>
    <row r="683" customFormat="false" ht="15" hidden="false" customHeight="false" outlineLevel="0" collapsed="false">
      <c r="A683" s="12" t="s">
        <v>2424</v>
      </c>
      <c r="B683" s="26" t="str">
        <f aca="false">Entities!$A$20</f>
        <v>YE</v>
      </c>
      <c r="C683" s="12" t="str">
        <f aca="false">INDEX(Entities!$B$5:$B$34,MATCH(B683,Entities!$A$5:$A$34,0))</f>
        <v>Arab Bank – Yemen</v>
      </c>
      <c r="D683" s="7" t="str">
        <f aca="false">INDEX(Entities!$F$5:$F$34,MATCH(B683,Entities!$A$5:$A$34,0))</f>
        <v>Tier 3</v>
      </c>
      <c r="E683" s="26" t="str">
        <f aca="false">'Control Library'!$A$38</f>
        <v>CTL-MR-01</v>
      </c>
      <c r="F683" s="12" t="str">
        <f aca="false">INDEX('Control Library'!$B$5:$B$47,MATCH(E683,'Control Library'!$A$5:$A$47,0))</f>
        <v>Market risk limits and daily VaR monitoring</v>
      </c>
      <c r="G683" s="7" t="str">
        <f aca="false">INDEX('Control Library'!$F$5:$F$47,MATCH(E683,'Control Library'!$A$5:$A$47,0))</f>
        <v>Y</v>
      </c>
      <c r="H683" s="12" t="str">
        <f aca="false">INDEX('Control Library'!$E$5:$E$47,MATCH(E683,'Control Library'!$A$5:$A$47,0))</f>
        <v>Daily</v>
      </c>
      <c r="I683" s="7" t="str">
        <f aca="false">IF(INDEX('Control Library'!$I$5:$I$47,MATCH(E683,'Control Library'!$A$5:$A$47,0))="All","Y",IF(INDEX('Control Library'!$I$5:$I$47,MATCH(E683,'Control Library'!$A$5:$A$47,0))="Banks only",IF(COUNTIF('Residual Config'!$L$28:$L$30,INDEX(Entities!$E$5:$E$34,MATCH(B683,Entities!$A$5:$A$34,0)))&gt;0,"N/A","Y"),IF(INDEX(Entities!$G$5:$G$34,MATCH(B683,Entities!$A$5:$A$34,0))="Y","Y","N/A")))</f>
        <v>Y</v>
      </c>
      <c r="J683" s="8" t="s">
        <v>2422</v>
      </c>
      <c r="K683" s="8" t="s">
        <v>2342</v>
      </c>
      <c r="L683" s="7" t="str">
        <f aca="false">IF(OR(J683="",K683=""),"",IF(J683=K683,"Breach","OK"))</f>
        <v>OK</v>
      </c>
      <c r="M683" s="24" t="n">
        <v>3</v>
      </c>
      <c r="N683" s="50" t="n">
        <v>46139</v>
      </c>
      <c r="O683" s="8" t="s">
        <v>547</v>
      </c>
      <c r="P683" s="24" t="n">
        <v>25</v>
      </c>
      <c r="Q683" s="31" t="n">
        <f aca="false">IF(I683="N/A","",IFERROR(INDEX('Residual Config'!$B$35:$B$42,MATCH(H683,'Residual Config'!$A$35:$A$42,0)),""))</f>
        <v>25</v>
      </c>
      <c r="R683" s="24" t="n">
        <v>1</v>
      </c>
      <c r="S683" s="8" t="s">
        <v>521</v>
      </c>
      <c r="T683" s="31" t="n">
        <f aca="false">IF(S683="","",MATCH(S683,'Residual Config'!$L$9:$L$12,0))</f>
        <v>2</v>
      </c>
      <c r="U683" s="8" t="s">
        <v>2425</v>
      </c>
      <c r="V683" s="24" t="n">
        <v>2</v>
      </c>
      <c r="W683" s="33" t="s">
        <v>533</v>
      </c>
      <c r="X683" s="8" t="s">
        <v>754</v>
      </c>
      <c r="Y683" s="51" t="n">
        <f aca="false">IF(N683="","",EDATE(N683,IF(G683="N",INDEX('Residual Config'!$B$31:$D$31,1,MATCH(D683,'Residual Config'!$B$27:$D$27,0)),INDEX('Residual Config'!$B$28:$D$30,IF(T683=1,1,IF(T683=4,3,2)),MATCH(D683,'Residual Config'!$B$27:$D$27,0)))))</f>
        <v>46322</v>
      </c>
      <c r="Z683" s="7" t="str">
        <f aca="false">IF(I683="N/A","N/A",IF(N683="","Not tested",IF(W683="Rejected","Evidence rejected",IF(W683&lt;&gt;"Accepted","Evidence pending",IF(Y683&lt;'Residual Config'!$C$4,"Overdue","Current")))))</f>
        <v>Current</v>
      </c>
      <c r="AA683" s="34" t="n">
        <f aca="false">IF(I683="N/A","",IF(Z683&lt;&gt;"Current",4,IF(MAX(M683,T683)=0,4,MAX(M683,T683))))</f>
        <v>3</v>
      </c>
      <c r="AB683" s="7" t="str">
        <f aca="false">IF(AA683="","N/A",IF(Z683&lt;&gt;"Current","Not tested / overdue",INDEX('Residual Config'!$B$11:$B$14,AA683)))</f>
        <v>Partially effective</v>
      </c>
      <c r="AC683" s="36" t="n">
        <f aca="false">IF(AA683="","",INDEX('Residual Config'!$D$11:$D$14,AA683))</f>
        <v>0.2</v>
      </c>
      <c r="AD683" s="7" t="str">
        <f aca="false">IF(OR(I683="N/A",P683="",Q683=""),"",IF(P683&gt;=Q683,"Yes","No"))</f>
        <v>Yes</v>
      </c>
      <c r="AE683" s="8"/>
    </row>
    <row r="684" customFormat="false" ht="15" hidden="false" customHeight="false" outlineLevel="0" collapsed="false">
      <c r="A684" s="12" t="s">
        <v>2426</v>
      </c>
      <c r="B684" s="26" t="str">
        <f aca="false">Entities!$A$20</f>
        <v>YE</v>
      </c>
      <c r="C684" s="12" t="str">
        <f aca="false">INDEX(Entities!$B$5:$B$34,MATCH(B684,Entities!$A$5:$A$34,0))</f>
        <v>Arab Bank – Yemen</v>
      </c>
      <c r="D684" s="7" t="str">
        <f aca="false">INDEX(Entities!$F$5:$F$34,MATCH(B684,Entities!$A$5:$A$34,0))</f>
        <v>Tier 3</v>
      </c>
      <c r="E684" s="26" t="str">
        <f aca="false">'Control Library'!$A$39</f>
        <v>CTL-LQ-01</v>
      </c>
      <c r="F684" s="12" t="str">
        <f aca="false">INDEX('Control Library'!$B$5:$B$47,MATCH(E684,'Control Library'!$A$5:$A$47,0))</f>
        <v>Liquidity buffers, LCR/NSFR monitoring and contingency funding plan</v>
      </c>
      <c r="G684" s="7" t="str">
        <f aca="false">INDEX('Control Library'!$F$5:$F$47,MATCH(E684,'Control Library'!$A$5:$A$47,0))</f>
        <v>Y</v>
      </c>
      <c r="H684" s="12" t="str">
        <f aca="false">INDEX('Control Library'!$E$5:$E$47,MATCH(E684,'Control Library'!$A$5:$A$47,0))</f>
        <v>Daily</v>
      </c>
      <c r="I684" s="7" t="str">
        <f aca="false">IF(INDEX('Control Library'!$I$5:$I$47,MATCH(E684,'Control Library'!$A$5:$A$47,0))="All","Y",IF(INDEX('Control Library'!$I$5:$I$47,MATCH(E684,'Control Library'!$A$5:$A$47,0))="Banks only",IF(COUNTIF('Residual Config'!$L$28:$L$30,INDEX(Entities!$E$5:$E$34,MATCH(B684,Entities!$A$5:$A$34,0)))&gt;0,"N/A","Y"),IF(INDEX(Entities!$G$5:$G$34,MATCH(B684,Entities!$A$5:$A$34,0))="Y","Y","N/A")))</f>
        <v>Y</v>
      </c>
      <c r="J684" s="8" t="s">
        <v>2427</v>
      </c>
      <c r="K684" s="8" t="s">
        <v>2342</v>
      </c>
      <c r="L684" s="7" t="str">
        <f aca="false">IF(OR(J684="",K684=""),"",IF(J684=K684,"Breach","OK"))</f>
        <v>OK</v>
      </c>
      <c r="M684" s="24" t="n">
        <v>2</v>
      </c>
      <c r="N684" s="50" t="n">
        <v>46134</v>
      </c>
      <c r="O684" s="8" t="s">
        <v>545</v>
      </c>
      <c r="P684" s="24" t="n">
        <v>25</v>
      </c>
      <c r="Q684" s="31" t="n">
        <f aca="false">IF(I684="N/A","",IFERROR(INDEX('Residual Config'!$B$35:$B$42,MATCH(H684,'Residual Config'!$A$35:$A$42,0)),""))</f>
        <v>25</v>
      </c>
      <c r="R684" s="24" t="n">
        <v>1</v>
      </c>
      <c r="S684" s="8" t="s">
        <v>521</v>
      </c>
      <c r="T684" s="31" t="n">
        <f aca="false">IF(S684="","",MATCH(S684,'Residual Config'!$L$9:$L$12,0))</f>
        <v>2</v>
      </c>
      <c r="U684" s="8" t="s">
        <v>2428</v>
      </c>
      <c r="V684" s="24" t="n">
        <v>4</v>
      </c>
      <c r="W684" s="33" t="s">
        <v>533</v>
      </c>
      <c r="X684" s="8" t="s">
        <v>760</v>
      </c>
      <c r="Y684" s="51" t="n">
        <f aca="false">IF(N684="","",EDATE(N684,IF(G684="N",INDEX('Residual Config'!$B$31:$D$31,1,MATCH(D684,'Residual Config'!$B$27:$D$27,0)),INDEX('Residual Config'!$B$28:$D$30,IF(T684=1,1,IF(T684=4,3,2)),MATCH(D684,'Residual Config'!$B$27:$D$27,0)))))</f>
        <v>46317</v>
      </c>
      <c r="Z684" s="7" t="str">
        <f aca="false">IF(I684="N/A","N/A",IF(N684="","Not tested",IF(W684="Rejected","Evidence rejected",IF(W684&lt;&gt;"Accepted","Evidence pending",IF(Y684&lt;'Residual Config'!$C$4,"Overdue","Current")))))</f>
        <v>Current</v>
      </c>
      <c r="AA684" s="34" t="n">
        <f aca="false">IF(I684="N/A","",IF(Z684&lt;&gt;"Current",4,IF(MAX(M684,T684)=0,4,MAX(M684,T684))))</f>
        <v>2</v>
      </c>
      <c r="AB684" s="7" t="str">
        <f aca="false">IF(AA684="","N/A",IF(Z684&lt;&gt;"Current","Not tested / overdue",INDEX('Residual Config'!$B$11:$B$14,AA684)))</f>
        <v>Largely effective</v>
      </c>
      <c r="AC684" s="36" t="n">
        <f aca="false">IF(AA684="","",INDEX('Residual Config'!$D$11:$D$14,AA684))</f>
        <v>0.4</v>
      </c>
      <c r="AD684" s="7" t="str">
        <f aca="false">IF(OR(I684="N/A",P684="",Q684=""),"",IF(P684&gt;=Q684,"Yes","No"))</f>
        <v>Yes</v>
      </c>
      <c r="AE684" s="8"/>
    </row>
    <row r="685" customFormat="false" ht="15" hidden="false" customHeight="false" outlineLevel="0" collapsed="false">
      <c r="A685" s="12" t="s">
        <v>2429</v>
      </c>
      <c r="B685" s="26" t="str">
        <f aca="false">Entities!$A$20</f>
        <v>YE</v>
      </c>
      <c r="C685" s="12" t="str">
        <f aca="false">INDEX(Entities!$B$5:$B$34,MATCH(B685,Entities!$A$5:$A$34,0))</f>
        <v>Arab Bank – Yemen</v>
      </c>
      <c r="D685" s="7" t="str">
        <f aca="false">INDEX(Entities!$F$5:$F$34,MATCH(B685,Entities!$A$5:$A$34,0))</f>
        <v>Tier 3</v>
      </c>
      <c r="E685" s="26" t="str">
        <f aca="false">'Control Library'!$A$40</f>
        <v>CTL-OR-01</v>
      </c>
      <c r="F685" s="12" t="str">
        <f aca="false">INDEX('Control Library'!$B$5:$B$47,MATCH(E685,'Control Library'!$A$5:$A$47,0))</f>
        <v>Business continuity plans and annual testing</v>
      </c>
      <c r="G685" s="7" t="str">
        <f aca="false">INDEX('Control Library'!$F$5:$F$47,MATCH(E685,'Control Library'!$A$5:$A$47,0))</f>
        <v>Y</v>
      </c>
      <c r="H685" s="12" t="str">
        <f aca="false">INDEX('Control Library'!$E$5:$E$47,MATCH(E685,'Control Library'!$A$5:$A$47,0))</f>
        <v>Annual</v>
      </c>
      <c r="I685" s="7" t="str">
        <f aca="false">IF(INDEX('Control Library'!$I$5:$I$47,MATCH(E685,'Control Library'!$A$5:$A$47,0))="All","Y",IF(INDEX('Control Library'!$I$5:$I$47,MATCH(E685,'Control Library'!$A$5:$A$47,0))="Banks only",IF(COUNTIF('Residual Config'!$L$28:$L$30,INDEX(Entities!$E$5:$E$34,MATCH(B685,Entities!$A$5:$A$34,0)))&gt;0,"N/A","Y"),IF(INDEX(Entities!$G$5:$G$34,MATCH(B685,Entities!$A$5:$A$34,0))="Y","Y","N/A")))</f>
        <v>Y</v>
      </c>
      <c r="J685" s="8" t="s">
        <v>2430</v>
      </c>
      <c r="K685" s="8" t="s">
        <v>2342</v>
      </c>
      <c r="L685" s="7" t="str">
        <f aca="false">IF(OR(J685="",K685=""),"",IF(J685=K685,"Breach","OK"))</f>
        <v>OK</v>
      </c>
      <c r="M685" s="24" t="n">
        <v>2</v>
      </c>
      <c r="N685" s="50" t="n">
        <v>46216</v>
      </c>
      <c r="O685" s="8" t="s">
        <v>546</v>
      </c>
      <c r="P685" s="24" t="n">
        <v>1</v>
      </c>
      <c r="Q685" s="31" t="n">
        <f aca="false">IF(I685="N/A","",IFERROR(INDEX('Residual Config'!$B$35:$B$42,MATCH(H685,'Residual Config'!$A$35:$A$42,0)),""))</f>
        <v>1</v>
      </c>
      <c r="R685" s="24" t="n">
        <v>1</v>
      </c>
      <c r="S685" s="8" t="s">
        <v>521</v>
      </c>
      <c r="T685" s="31" t="n">
        <f aca="false">IF(S685="","",MATCH(S685,'Residual Config'!$L$9:$L$12,0))</f>
        <v>2</v>
      </c>
      <c r="U685" s="8" t="s">
        <v>2431</v>
      </c>
      <c r="V685" s="24" t="n">
        <v>2</v>
      </c>
      <c r="W685" s="33" t="s">
        <v>533</v>
      </c>
      <c r="X685" s="8" t="s">
        <v>760</v>
      </c>
      <c r="Y685" s="51" t="n">
        <f aca="false">IF(N685="","",EDATE(N685,IF(G685="N",INDEX('Residual Config'!$B$31:$D$31,1,MATCH(D685,'Residual Config'!$B$27:$D$27,0)),INDEX('Residual Config'!$B$28:$D$30,IF(T685=1,1,IF(T685=4,3,2)),MATCH(D685,'Residual Config'!$B$27:$D$27,0)))))</f>
        <v>46400</v>
      </c>
      <c r="Z685" s="7" t="str">
        <f aca="false">IF(I685="N/A","N/A",IF(N685="","Not tested",IF(W685="Rejected","Evidence rejected",IF(W685&lt;&gt;"Accepted","Evidence pending",IF(Y685&lt;'Residual Config'!$C$4,"Overdue","Current")))))</f>
        <v>Current</v>
      </c>
      <c r="AA685" s="34" t="n">
        <f aca="false">IF(I685="N/A","",IF(Z685&lt;&gt;"Current",4,IF(MAX(M685,T685)=0,4,MAX(M685,T685))))</f>
        <v>2</v>
      </c>
      <c r="AB685" s="7" t="str">
        <f aca="false">IF(AA685="","N/A",IF(Z685&lt;&gt;"Current","Not tested / overdue",INDEX('Residual Config'!$B$11:$B$14,AA685)))</f>
        <v>Largely effective</v>
      </c>
      <c r="AC685" s="36" t="n">
        <f aca="false">IF(AA685="","",INDEX('Residual Config'!$D$11:$D$14,AA685))</f>
        <v>0.4</v>
      </c>
      <c r="AD685" s="7" t="str">
        <f aca="false">IF(OR(I685="N/A",P685="",Q685=""),"",IF(P685&gt;=Q685,"Yes","No"))</f>
        <v>Yes</v>
      </c>
      <c r="AE685" s="8"/>
    </row>
    <row r="686" customFormat="false" ht="15" hidden="false" customHeight="false" outlineLevel="0" collapsed="false">
      <c r="A686" s="12" t="s">
        <v>2432</v>
      </c>
      <c r="B686" s="26" t="str">
        <f aca="false">Entities!$A$20</f>
        <v>YE</v>
      </c>
      <c r="C686" s="12" t="str">
        <f aca="false">INDEX(Entities!$B$5:$B$34,MATCH(B686,Entities!$A$5:$A$34,0))</f>
        <v>Arab Bank – Yemen</v>
      </c>
      <c r="D686" s="7" t="str">
        <f aca="false">INDEX(Entities!$F$5:$F$34,MATCH(B686,Entities!$A$5:$A$34,0))</f>
        <v>Tier 3</v>
      </c>
      <c r="E686" s="26" t="str">
        <f aca="false">'Control Library'!$A$41</f>
        <v>CTL-OR-02</v>
      </c>
      <c r="F686" s="12" t="str">
        <f aca="false">INDEX('Control Library'!$B$5:$B$47,MATCH(E686,'Control Library'!$A$5:$A$47,0))</f>
        <v>Operational loss event capture and RCSA</v>
      </c>
      <c r="G686" s="7" t="str">
        <f aca="false">INDEX('Control Library'!$F$5:$F$47,MATCH(E686,'Control Library'!$A$5:$A$47,0))</f>
        <v>N</v>
      </c>
      <c r="H686" s="12" t="str">
        <f aca="false">INDEX('Control Library'!$E$5:$E$47,MATCH(E686,'Control Library'!$A$5:$A$47,0))</f>
        <v>Quarterly</v>
      </c>
      <c r="I686" s="7" t="str">
        <f aca="false">IF(INDEX('Control Library'!$I$5:$I$47,MATCH(E686,'Control Library'!$A$5:$A$47,0))="All","Y",IF(INDEX('Control Library'!$I$5:$I$47,MATCH(E686,'Control Library'!$A$5:$A$47,0))="Banks only",IF(COUNTIF('Residual Config'!$L$28:$L$30,INDEX(Entities!$E$5:$E$34,MATCH(B686,Entities!$A$5:$A$34,0)))&gt;0,"N/A","Y"),IF(INDEX(Entities!$G$5:$G$34,MATCH(B686,Entities!$A$5:$A$34,0))="Y","Y","N/A")))</f>
        <v>Y</v>
      </c>
      <c r="J686" s="8" t="s">
        <v>2422</v>
      </c>
      <c r="K686" s="8" t="s">
        <v>2342</v>
      </c>
      <c r="L686" s="7" t="str">
        <f aca="false">IF(OR(J686="",K686=""),"",IF(J686=K686,"Breach","OK"))</f>
        <v>OK</v>
      </c>
      <c r="M686" s="24" t="n">
        <v>2</v>
      </c>
      <c r="N686" s="50" t="n">
        <v>46128</v>
      </c>
      <c r="O686" s="8" t="s">
        <v>546</v>
      </c>
      <c r="P686" s="24" t="n">
        <v>2</v>
      </c>
      <c r="Q686" s="31" t="n">
        <f aca="false">IF(I686="N/A","",IFERROR(INDEX('Residual Config'!$B$35:$B$42,MATCH(H686,'Residual Config'!$A$35:$A$42,0)),""))</f>
        <v>2</v>
      </c>
      <c r="R686" s="24" t="n">
        <v>1</v>
      </c>
      <c r="S686" s="8" t="s">
        <v>521</v>
      </c>
      <c r="T686" s="31" t="n">
        <f aca="false">IF(S686="","",MATCH(S686,'Residual Config'!$L$9:$L$12,0))</f>
        <v>2</v>
      </c>
      <c r="U686" s="8" t="s">
        <v>2433</v>
      </c>
      <c r="V686" s="24" t="n">
        <v>1</v>
      </c>
      <c r="W686" s="33" t="s">
        <v>533</v>
      </c>
      <c r="X686" s="8" t="s">
        <v>760</v>
      </c>
      <c r="Y686" s="51" t="n">
        <f aca="false">IF(N686="","",EDATE(N686,IF(G686="N",INDEX('Residual Config'!$B$31:$D$31,1,MATCH(D686,'Residual Config'!$B$27:$D$27,0)),INDEX('Residual Config'!$B$28:$D$30,IF(T686=1,1,IF(T686=4,3,2)),MATCH(D686,'Residual Config'!$B$27:$D$27,0)))))</f>
        <v>46859</v>
      </c>
      <c r="Z686" s="7" t="str">
        <f aca="false">IF(I686="N/A","N/A",IF(N686="","Not tested",IF(W686="Rejected","Evidence rejected",IF(W686&lt;&gt;"Accepted","Evidence pending",IF(Y686&lt;'Residual Config'!$C$4,"Overdue","Current")))))</f>
        <v>Current</v>
      </c>
      <c r="AA686" s="34" t="n">
        <f aca="false">IF(I686="N/A","",IF(Z686&lt;&gt;"Current",4,IF(MAX(M686,T686)=0,4,MAX(M686,T686))))</f>
        <v>2</v>
      </c>
      <c r="AB686" s="7" t="str">
        <f aca="false">IF(AA686="","N/A",IF(Z686&lt;&gt;"Current","Not tested / overdue",INDEX('Residual Config'!$B$11:$B$14,AA686)))</f>
        <v>Largely effective</v>
      </c>
      <c r="AC686" s="36" t="n">
        <f aca="false">IF(AA686="","",INDEX('Residual Config'!$D$11:$D$14,AA686))</f>
        <v>0.4</v>
      </c>
      <c r="AD686" s="7" t="str">
        <f aca="false">IF(OR(I686="N/A",P686="",Q686=""),"",IF(P686&gt;=Q686,"Yes","No"))</f>
        <v>Yes</v>
      </c>
      <c r="AE686" s="8"/>
    </row>
    <row r="687" customFormat="false" ht="15" hidden="false" customHeight="false" outlineLevel="0" collapsed="false">
      <c r="A687" s="12" t="s">
        <v>2434</v>
      </c>
      <c r="B687" s="26" t="str">
        <f aca="false">Entities!$A$20</f>
        <v>YE</v>
      </c>
      <c r="C687" s="12" t="str">
        <f aca="false">INDEX(Entities!$B$5:$B$34,MATCH(B687,Entities!$A$5:$A$34,0))</f>
        <v>Arab Bank – Yemen</v>
      </c>
      <c r="D687" s="7" t="str">
        <f aca="false">INDEX(Entities!$F$5:$F$34,MATCH(B687,Entities!$A$5:$A$34,0))</f>
        <v>Tier 3</v>
      </c>
      <c r="E687" s="26" t="str">
        <f aca="false">'Control Library'!$A$42</f>
        <v>CTL-CY-01</v>
      </c>
      <c r="F687" s="12" t="str">
        <f aca="false">INDEX('Control Library'!$B$5:$B$47,MATCH(E687,'Control Library'!$A$5:$A$47,0))</f>
        <v>Vulnerability and patch management</v>
      </c>
      <c r="G687" s="7" t="str">
        <f aca="false">INDEX('Control Library'!$F$5:$F$47,MATCH(E687,'Control Library'!$A$5:$A$47,0))</f>
        <v>Y</v>
      </c>
      <c r="H687" s="12" t="str">
        <f aca="false">INDEX('Control Library'!$E$5:$E$47,MATCH(E687,'Control Library'!$A$5:$A$47,0))</f>
        <v>Monthly</v>
      </c>
      <c r="I687" s="7" t="str">
        <f aca="false">IF(INDEX('Control Library'!$I$5:$I$47,MATCH(E687,'Control Library'!$A$5:$A$47,0))="All","Y",IF(INDEX('Control Library'!$I$5:$I$47,MATCH(E687,'Control Library'!$A$5:$A$47,0))="Banks only",IF(COUNTIF('Residual Config'!$L$28:$L$30,INDEX(Entities!$E$5:$E$34,MATCH(B687,Entities!$A$5:$A$34,0)))&gt;0,"N/A","Y"),IF(INDEX(Entities!$G$5:$G$34,MATCH(B687,Entities!$A$5:$A$34,0))="Y","Y","N/A")))</f>
        <v>Y</v>
      </c>
      <c r="J687" s="8" t="s">
        <v>2366</v>
      </c>
      <c r="K687" s="8" t="s">
        <v>2342</v>
      </c>
      <c r="L687" s="7" t="str">
        <f aca="false">IF(OR(J687="",K687=""),"",IF(J687=K687,"Breach","OK"))</f>
        <v>OK</v>
      </c>
      <c r="M687" s="24" t="n">
        <v>3</v>
      </c>
      <c r="N687" s="50" t="n">
        <v>46284</v>
      </c>
      <c r="O687" s="8" t="s">
        <v>545</v>
      </c>
      <c r="P687" s="24" t="n">
        <v>3</v>
      </c>
      <c r="Q687" s="31" t="n">
        <f aca="false">IF(I687="N/A","",IFERROR(INDEX('Residual Config'!$B$35:$B$42,MATCH(H687,'Residual Config'!$A$35:$A$42,0)),""))</f>
        <v>3</v>
      </c>
      <c r="R687" s="24" t="n">
        <v>3</v>
      </c>
      <c r="S687" s="8" t="s">
        <v>524</v>
      </c>
      <c r="T687" s="31" t="n">
        <f aca="false">IF(S687="","",MATCH(S687,'Residual Config'!$L$9:$L$12,0))</f>
        <v>3</v>
      </c>
      <c r="U687" s="8" t="s">
        <v>2435</v>
      </c>
      <c r="V687" s="24" t="n">
        <v>1</v>
      </c>
      <c r="W687" s="33" t="s">
        <v>533</v>
      </c>
      <c r="X687" s="8" t="s">
        <v>760</v>
      </c>
      <c r="Y687" s="51" t="n">
        <f aca="false">IF(N687="","",EDATE(N687,IF(G687="N",INDEX('Residual Config'!$B$31:$D$31,1,MATCH(D687,'Residual Config'!$B$27:$D$27,0)),INDEX('Residual Config'!$B$28:$D$30,IF(T687=1,1,IF(T687=4,3,2)),MATCH(D687,'Residual Config'!$B$27:$D$27,0)))))</f>
        <v>46465</v>
      </c>
      <c r="Z687" s="7" t="str">
        <f aca="false">IF(I687="N/A","N/A",IF(N687="","Not tested",IF(W687="Rejected","Evidence rejected",IF(W687&lt;&gt;"Accepted","Evidence pending",IF(Y687&lt;'Residual Config'!$C$4,"Overdue","Current")))))</f>
        <v>Current</v>
      </c>
      <c r="AA687" s="34" t="n">
        <f aca="false">IF(I687="N/A","",IF(Z687&lt;&gt;"Current",4,IF(MAX(M687,T687)=0,4,MAX(M687,T687))))</f>
        <v>3</v>
      </c>
      <c r="AB687" s="7" t="str">
        <f aca="false">IF(AA687="","N/A",IF(Z687&lt;&gt;"Current","Not tested / overdue",INDEX('Residual Config'!$B$11:$B$14,AA687)))</f>
        <v>Partially effective</v>
      </c>
      <c r="AC687" s="36" t="n">
        <f aca="false">IF(AA687="","",INDEX('Residual Config'!$D$11:$D$14,AA687))</f>
        <v>0.2</v>
      </c>
      <c r="AD687" s="7" t="str">
        <f aca="false">IF(OR(I687="N/A",P687="",Q687=""),"",IF(P687&gt;=Q687,"Yes","No"))</f>
        <v>Yes</v>
      </c>
      <c r="AE687" s="8"/>
    </row>
    <row r="688" customFormat="false" ht="15" hidden="false" customHeight="false" outlineLevel="0" collapsed="false">
      <c r="A688" s="12" t="s">
        <v>2436</v>
      </c>
      <c r="B688" s="26" t="str">
        <f aca="false">Entities!$A$20</f>
        <v>YE</v>
      </c>
      <c r="C688" s="12" t="str">
        <f aca="false">INDEX(Entities!$B$5:$B$34,MATCH(B688,Entities!$A$5:$A$34,0))</f>
        <v>Arab Bank – Yemen</v>
      </c>
      <c r="D688" s="7" t="str">
        <f aca="false">INDEX(Entities!$F$5:$F$34,MATCH(B688,Entities!$A$5:$A$34,0))</f>
        <v>Tier 3</v>
      </c>
      <c r="E688" s="26" t="str">
        <f aca="false">'Control Library'!$A$43</f>
        <v>CTL-CY-02</v>
      </c>
      <c r="F688" s="12" t="str">
        <f aca="false">INDEX('Control Library'!$B$5:$B$47,MATCH(E688,'Control Library'!$A$5:$A$47,0))</f>
        <v>Privileged access management and SOC monitoring</v>
      </c>
      <c r="G688" s="7" t="str">
        <f aca="false">INDEX('Control Library'!$F$5:$F$47,MATCH(E688,'Control Library'!$A$5:$A$47,0))</f>
        <v>Y</v>
      </c>
      <c r="H688" s="12" t="str">
        <f aca="false">INDEX('Control Library'!$E$5:$E$47,MATCH(E688,'Control Library'!$A$5:$A$47,0))</f>
        <v>Continuous</v>
      </c>
      <c r="I688" s="7" t="str">
        <f aca="false">IF(INDEX('Control Library'!$I$5:$I$47,MATCH(E688,'Control Library'!$A$5:$A$47,0))="All","Y",IF(INDEX('Control Library'!$I$5:$I$47,MATCH(E688,'Control Library'!$A$5:$A$47,0))="Banks only",IF(COUNTIF('Residual Config'!$L$28:$L$30,INDEX(Entities!$E$5:$E$34,MATCH(B688,Entities!$A$5:$A$34,0)))&gt;0,"N/A","Y"),IF(INDEX(Entities!$G$5:$G$34,MATCH(B688,Entities!$A$5:$A$34,0))="Y","Y","N/A")))</f>
        <v>Y</v>
      </c>
      <c r="J688" s="8" t="s">
        <v>2415</v>
      </c>
      <c r="K688" s="8" t="s">
        <v>2342</v>
      </c>
      <c r="L688" s="7" t="str">
        <f aca="false">IF(OR(J688="",K688=""),"",IF(J688=K688,"Breach","OK"))</f>
        <v>OK</v>
      </c>
      <c r="M688" s="24" t="n">
        <v>2</v>
      </c>
      <c r="N688" s="50" t="n">
        <v>46237</v>
      </c>
      <c r="O688" s="8" t="s">
        <v>546</v>
      </c>
      <c r="P688" s="24" t="n">
        <v>1</v>
      </c>
      <c r="Q688" s="31" t="n">
        <f aca="false">IF(I688="N/A","",IFERROR(INDEX('Residual Config'!$B$35:$B$42,MATCH(H688,'Residual Config'!$A$35:$A$42,0)),""))</f>
        <v>1</v>
      </c>
      <c r="R688" s="24" t="n">
        <v>1</v>
      </c>
      <c r="S688" s="8" t="s">
        <v>524</v>
      </c>
      <c r="T688" s="31" t="n">
        <f aca="false">IF(S688="","",MATCH(S688,'Residual Config'!$L$9:$L$12,0))</f>
        <v>3</v>
      </c>
      <c r="U688" s="8" t="s">
        <v>2437</v>
      </c>
      <c r="V688" s="24" t="n">
        <v>4</v>
      </c>
      <c r="W688" s="33" t="s">
        <v>533</v>
      </c>
      <c r="X688" s="8" t="s">
        <v>754</v>
      </c>
      <c r="Y688" s="51" t="n">
        <f aca="false">IF(N688="","",EDATE(N688,IF(G688="N",INDEX('Residual Config'!$B$31:$D$31,1,MATCH(D688,'Residual Config'!$B$27:$D$27,0)),INDEX('Residual Config'!$B$28:$D$30,IF(T688=1,1,IF(T688=4,3,2)),MATCH(D688,'Residual Config'!$B$27:$D$27,0)))))</f>
        <v>46421</v>
      </c>
      <c r="Z688" s="7" t="str">
        <f aca="false">IF(I688="N/A","N/A",IF(N688="","Not tested",IF(W688="Rejected","Evidence rejected",IF(W688&lt;&gt;"Accepted","Evidence pending",IF(Y688&lt;'Residual Config'!$C$4,"Overdue","Current")))))</f>
        <v>Current</v>
      </c>
      <c r="AA688" s="34" t="n">
        <f aca="false">IF(I688="N/A","",IF(Z688&lt;&gt;"Current",4,IF(MAX(M688,T688)=0,4,MAX(M688,T688))))</f>
        <v>3</v>
      </c>
      <c r="AB688" s="7" t="str">
        <f aca="false">IF(AA688="","N/A",IF(Z688&lt;&gt;"Current","Not tested / overdue",INDEX('Residual Config'!$B$11:$B$14,AA688)))</f>
        <v>Partially effective</v>
      </c>
      <c r="AC688" s="36" t="n">
        <f aca="false">IF(AA688="","",INDEX('Residual Config'!$D$11:$D$14,AA688))</f>
        <v>0.2</v>
      </c>
      <c r="AD688" s="7" t="str">
        <f aca="false">IF(OR(I688="N/A",P688="",Q688=""),"",IF(P688&gt;=Q688,"Yes","No"))</f>
        <v>Yes</v>
      </c>
      <c r="AE688" s="8"/>
    </row>
    <row r="689" customFormat="false" ht="15" hidden="false" customHeight="false" outlineLevel="0" collapsed="false">
      <c r="A689" s="12" t="s">
        <v>2438</v>
      </c>
      <c r="B689" s="26" t="str">
        <f aca="false">Entities!$A$20</f>
        <v>YE</v>
      </c>
      <c r="C689" s="12" t="str">
        <f aca="false">INDEX(Entities!$B$5:$B$34,MATCH(B689,Entities!$A$5:$A$34,0))</f>
        <v>Arab Bank – Yemen</v>
      </c>
      <c r="D689" s="7" t="str">
        <f aca="false">INDEX(Entities!$F$5:$F$34,MATCH(B689,Entities!$A$5:$A$34,0))</f>
        <v>Tier 3</v>
      </c>
      <c r="E689" s="26" t="str">
        <f aca="false">'Control Library'!$A$44</f>
        <v>CTL-TP-01</v>
      </c>
      <c r="F689" s="12" t="str">
        <f aca="false">INDEX('Control Library'!$B$5:$B$47,MATCH(E689,'Control Library'!$A$5:$A$47,0))</f>
        <v>Critical vendor due diligence and tested exit plans</v>
      </c>
      <c r="G689" s="7" t="str">
        <f aca="false">INDEX('Control Library'!$F$5:$F$47,MATCH(E689,'Control Library'!$A$5:$A$47,0))</f>
        <v>Y</v>
      </c>
      <c r="H689" s="12" t="str">
        <f aca="false">INDEX('Control Library'!$E$5:$E$47,MATCH(E689,'Control Library'!$A$5:$A$47,0))</f>
        <v>Annual</v>
      </c>
      <c r="I689" s="7" t="str">
        <f aca="false">IF(INDEX('Control Library'!$I$5:$I$47,MATCH(E689,'Control Library'!$A$5:$A$47,0))="All","Y",IF(INDEX('Control Library'!$I$5:$I$47,MATCH(E689,'Control Library'!$A$5:$A$47,0))="Banks only",IF(COUNTIF('Residual Config'!$L$28:$L$30,INDEX(Entities!$E$5:$E$34,MATCH(B689,Entities!$A$5:$A$34,0)))&gt;0,"N/A","Y"),IF(INDEX(Entities!$G$5:$G$34,MATCH(B689,Entities!$A$5:$A$34,0))="Y","Y","N/A")))</f>
        <v>Y</v>
      </c>
      <c r="J689" s="8" t="s">
        <v>2383</v>
      </c>
      <c r="K689" s="8" t="s">
        <v>2342</v>
      </c>
      <c r="L689" s="7" t="str">
        <f aca="false">IF(OR(J689="",K689=""),"",IF(J689=K689,"Breach","OK"))</f>
        <v>OK</v>
      </c>
      <c r="M689" s="24" t="n">
        <v>2</v>
      </c>
      <c r="N689" s="50" t="n">
        <v>46258</v>
      </c>
      <c r="O689" s="8" t="s">
        <v>545</v>
      </c>
      <c r="P689" s="24" t="n">
        <v>1</v>
      </c>
      <c r="Q689" s="31" t="n">
        <f aca="false">IF(I689="N/A","",IFERROR(INDEX('Residual Config'!$B$35:$B$42,MATCH(H689,'Residual Config'!$A$35:$A$42,0)),""))</f>
        <v>1</v>
      </c>
      <c r="R689" s="24" t="n">
        <v>1</v>
      </c>
      <c r="S689" s="8" t="s">
        <v>524</v>
      </c>
      <c r="T689" s="31" t="n">
        <f aca="false">IF(S689="","",MATCH(S689,'Residual Config'!$L$9:$L$12,0))</f>
        <v>3</v>
      </c>
      <c r="U689" s="8" t="s">
        <v>2439</v>
      </c>
      <c r="V689" s="24" t="n">
        <v>2</v>
      </c>
      <c r="W689" s="33" t="s">
        <v>533</v>
      </c>
      <c r="X689" s="8" t="s">
        <v>754</v>
      </c>
      <c r="Y689" s="51" t="n">
        <f aca="false">IF(N689="","",EDATE(N689,IF(G689="N",INDEX('Residual Config'!$B$31:$D$31,1,MATCH(D689,'Residual Config'!$B$27:$D$27,0)),INDEX('Residual Config'!$B$28:$D$30,IF(T689=1,1,IF(T689=4,3,2)),MATCH(D689,'Residual Config'!$B$27:$D$27,0)))))</f>
        <v>46442</v>
      </c>
      <c r="Z689" s="7" t="str">
        <f aca="false">IF(I689="N/A","N/A",IF(N689="","Not tested",IF(W689="Rejected","Evidence rejected",IF(W689&lt;&gt;"Accepted","Evidence pending",IF(Y689&lt;'Residual Config'!$C$4,"Overdue","Current")))))</f>
        <v>Current</v>
      </c>
      <c r="AA689" s="34" t="n">
        <f aca="false">IF(I689="N/A","",IF(Z689&lt;&gt;"Current",4,IF(MAX(M689,T689)=0,4,MAX(M689,T689))))</f>
        <v>3</v>
      </c>
      <c r="AB689" s="7" t="str">
        <f aca="false">IF(AA689="","N/A",IF(Z689&lt;&gt;"Current","Not tested / overdue",INDEX('Residual Config'!$B$11:$B$14,AA689)))</f>
        <v>Partially effective</v>
      </c>
      <c r="AC689" s="36" t="n">
        <f aca="false">IF(AA689="","",INDEX('Residual Config'!$D$11:$D$14,AA689))</f>
        <v>0.2</v>
      </c>
      <c r="AD689" s="7" t="str">
        <f aca="false">IF(OR(I689="N/A",P689="",Q689=""),"",IF(P689&gt;=Q689,"Yes","No"))</f>
        <v>Yes</v>
      </c>
      <c r="AE689" s="8"/>
    </row>
    <row r="690" customFormat="false" ht="15" hidden="false" customHeight="false" outlineLevel="0" collapsed="false">
      <c r="A690" s="12" t="s">
        <v>2440</v>
      </c>
      <c r="B690" s="26" t="str">
        <f aca="false">Entities!$A$20</f>
        <v>YE</v>
      </c>
      <c r="C690" s="12" t="str">
        <f aca="false">INDEX(Entities!$B$5:$B$34,MATCH(B690,Entities!$A$5:$A$34,0))</f>
        <v>Arab Bank – Yemen</v>
      </c>
      <c r="D690" s="7" t="str">
        <f aca="false">INDEX(Entities!$F$5:$F$34,MATCH(B690,Entities!$A$5:$A$34,0))</f>
        <v>Tier 3</v>
      </c>
      <c r="E690" s="26" t="str">
        <f aca="false">'Control Library'!$A$45</f>
        <v>CTL-LG-01</v>
      </c>
      <c r="F690" s="12" t="str">
        <f aca="false">INDEX('Control Library'!$B$5:$B$47,MATCH(E690,'Control Library'!$A$5:$A$47,0))</f>
        <v>Legal review of contracts and litigation register</v>
      </c>
      <c r="G690" s="7" t="str">
        <f aca="false">INDEX('Control Library'!$F$5:$F$47,MATCH(E690,'Control Library'!$A$5:$A$47,0))</f>
        <v>Y</v>
      </c>
      <c r="H690" s="12" t="str">
        <f aca="false">INDEX('Control Library'!$E$5:$E$47,MATCH(E690,'Control Library'!$A$5:$A$47,0))</f>
        <v>Event-driven</v>
      </c>
      <c r="I690" s="7" t="str">
        <f aca="false">IF(INDEX('Control Library'!$I$5:$I$47,MATCH(E690,'Control Library'!$A$5:$A$47,0))="All","Y",IF(INDEX('Control Library'!$I$5:$I$47,MATCH(E690,'Control Library'!$A$5:$A$47,0))="Banks only",IF(COUNTIF('Residual Config'!$L$28:$L$30,INDEX(Entities!$E$5:$E$34,MATCH(B690,Entities!$A$5:$A$34,0)))&gt;0,"N/A","Y"),IF(INDEX(Entities!$G$5:$G$34,MATCH(B690,Entities!$A$5:$A$34,0))="Y","Y","N/A")))</f>
        <v>Y</v>
      </c>
      <c r="J690" s="8" t="s">
        <v>2441</v>
      </c>
      <c r="K690" s="8" t="s">
        <v>2342</v>
      </c>
      <c r="L690" s="7" t="str">
        <f aca="false">IF(OR(J690="",K690=""),"",IF(J690=K690,"Breach","OK"))</f>
        <v>OK</v>
      </c>
      <c r="M690" s="24" t="n">
        <v>2</v>
      </c>
      <c r="N690" s="50" t="n">
        <v>46188</v>
      </c>
      <c r="O690" s="8" t="s">
        <v>545</v>
      </c>
      <c r="P690" s="24" t="n">
        <v>30</v>
      </c>
      <c r="Q690" s="31" t="n">
        <f aca="false">IF(I690="N/A","",IFERROR(INDEX('Residual Config'!$B$35:$B$42,MATCH(H690,'Residual Config'!$A$35:$A$42,0)),""))</f>
        <v>25</v>
      </c>
      <c r="R690" s="24" t="n">
        <v>1</v>
      </c>
      <c r="S690" s="8" t="s">
        <v>521</v>
      </c>
      <c r="T690" s="31" t="n">
        <f aca="false">IF(S690="","",MATCH(S690,'Residual Config'!$L$9:$L$12,0))</f>
        <v>2</v>
      </c>
      <c r="U690" s="8" t="s">
        <v>2442</v>
      </c>
      <c r="V690" s="24" t="n">
        <v>2</v>
      </c>
      <c r="W690" s="33" t="s">
        <v>533</v>
      </c>
      <c r="X690" s="8" t="s">
        <v>754</v>
      </c>
      <c r="Y690" s="51" t="n">
        <f aca="false">IF(N690="","",EDATE(N690,IF(G690="N",INDEX('Residual Config'!$B$31:$D$31,1,MATCH(D690,'Residual Config'!$B$27:$D$27,0)),INDEX('Residual Config'!$B$28:$D$30,IF(T690=1,1,IF(T690=4,3,2)),MATCH(D690,'Residual Config'!$B$27:$D$27,0)))))</f>
        <v>46371</v>
      </c>
      <c r="Z690" s="7" t="str">
        <f aca="false">IF(I690="N/A","N/A",IF(N690="","Not tested",IF(W690="Rejected","Evidence rejected",IF(W690&lt;&gt;"Accepted","Evidence pending",IF(Y690&lt;'Residual Config'!$C$4,"Overdue","Current")))))</f>
        <v>Current</v>
      </c>
      <c r="AA690" s="34" t="n">
        <f aca="false">IF(I690="N/A","",IF(Z690&lt;&gt;"Current",4,IF(MAX(M690,T690)=0,4,MAX(M690,T690))))</f>
        <v>2</v>
      </c>
      <c r="AB690" s="7" t="str">
        <f aca="false">IF(AA690="","N/A",IF(Z690&lt;&gt;"Current","Not tested / overdue",INDEX('Residual Config'!$B$11:$B$14,AA690)))</f>
        <v>Largely effective</v>
      </c>
      <c r="AC690" s="36" t="n">
        <f aca="false">IF(AA690="","",INDEX('Residual Config'!$D$11:$D$14,AA690))</f>
        <v>0.4</v>
      </c>
      <c r="AD690" s="7" t="str">
        <f aca="false">IF(OR(I690="N/A",P690="",Q690=""),"",IF(P690&gt;=Q690,"Yes","No"))</f>
        <v>Yes</v>
      </c>
      <c r="AE690" s="8"/>
    </row>
    <row r="691" customFormat="false" ht="15" hidden="false" customHeight="false" outlineLevel="0" collapsed="false">
      <c r="A691" s="12" t="s">
        <v>2443</v>
      </c>
      <c r="B691" s="26" t="str">
        <f aca="false">Entities!$A$20</f>
        <v>YE</v>
      </c>
      <c r="C691" s="12" t="str">
        <f aca="false">INDEX(Entities!$B$5:$B$34,MATCH(B691,Entities!$A$5:$A$34,0))</f>
        <v>Arab Bank – Yemen</v>
      </c>
      <c r="D691" s="7" t="str">
        <f aca="false">INDEX(Entities!$F$5:$F$34,MATCH(B691,Entities!$A$5:$A$34,0))</f>
        <v>Tier 3</v>
      </c>
      <c r="E691" s="26" t="str">
        <f aca="false">'Control Library'!$A$46</f>
        <v>CTL-RP-01</v>
      </c>
      <c r="F691" s="12" t="str">
        <f aca="false">INDEX('Control Library'!$B$5:$B$47,MATCH(E691,'Control Library'!$A$5:$A$47,0))</f>
        <v>Media monitoring and reputational-risk escalation</v>
      </c>
      <c r="G691" s="7" t="str">
        <f aca="false">INDEX('Control Library'!$F$5:$F$47,MATCH(E691,'Control Library'!$A$5:$A$47,0))</f>
        <v>Y</v>
      </c>
      <c r="H691" s="12" t="str">
        <f aca="false">INDEX('Control Library'!$E$5:$E$47,MATCH(E691,'Control Library'!$A$5:$A$47,0))</f>
        <v>Daily</v>
      </c>
      <c r="I691" s="7" t="str">
        <f aca="false">IF(INDEX('Control Library'!$I$5:$I$47,MATCH(E691,'Control Library'!$A$5:$A$47,0))="All","Y",IF(INDEX('Control Library'!$I$5:$I$47,MATCH(E691,'Control Library'!$A$5:$A$47,0))="Banks only",IF(COUNTIF('Residual Config'!$L$28:$L$30,INDEX(Entities!$E$5:$E$34,MATCH(B691,Entities!$A$5:$A$34,0)))&gt;0,"N/A","Y"),IF(INDEX(Entities!$G$5:$G$34,MATCH(B691,Entities!$A$5:$A$34,0))="Y","Y","N/A")))</f>
        <v>Y</v>
      </c>
      <c r="J691" s="8" t="s">
        <v>2444</v>
      </c>
      <c r="K691" s="8" t="s">
        <v>2342</v>
      </c>
      <c r="L691" s="7" t="str">
        <f aca="false">IF(OR(J691="",K691=""),"",IF(J691=K691,"Breach","OK"))</f>
        <v>OK</v>
      </c>
      <c r="M691" s="24" t="n">
        <v>1</v>
      </c>
      <c r="N691" s="50" t="n">
        <v>46156</v>
      </c>
      <c r="O691" s="8" t="s">
        <v>545</v>
      </c>
      <c r="P691" s="24" t="n">
        <v>25</v>
      </c>
      <c r="Q691" s="31" t="n">
        <f aca="false">IF(I691="N/A","",IFERROR(INDEX('Residual Config'!$B$35:$B$42,MATCH(H691,'Residual Config'!$A$35:$A$42,0)),""))</f>
        <v>25</v>
      </c>
      <c r="R691" s="24" t="n">
        <v>1</v>
      </c>
      <c r="S691" s="8" t="s">
        <v>521</v>
      </c>
      <c r="T691" s="31" t="n">
        <f aca="false">IF(S691="","",MATCH(S691,'Residual Config'!$L$9:$L$12,0))</f>
        <v>2</v>
      </c>
      <c r="U691" s="8" t="s">
        <v>2445</v>
      </c>
      <c r="V691" s="24" t="n">
        <v>6</v>
      </c>
      <c r="W691" s="33" t="s">
        <v>533</v>
      </c>
      <c r="X691" s="8" t="s">
        <v>760</v>
      </c>
      <c r="Y691" s="51" t="n">
        <f aca="false">IF(N691="","",EDATE(N691,IF(G691="N",INDEX('Residual Config'!$B$31:$D$31,1,MATCH(D691,'Residual Config'!$B$27:$D$27,0)),INDEX('Residual Config'!$B$28:$D$30,IF(T691=1,1,IF(T691=4,3,2)),MATCH(D691,'Residual Config'!$B$27:$D$27,0)))))</f>
        <v>46340</v>
      </c>
      <c r="Z691" s="7" t="str">
        <f aca="false">IF(I691="N/A","N/A",IF(N691="","Not tested",IF(W691="Rejected","Evidence rejected",IF(W691&lt;&gt;"Accepted","Evidence pending",IF(Y691&lt;'Residual Config'!$C$4,"Overdue","Current")))))</f>
        <v>Current</v>
      </c>
      <c r="AA691" s="34" t="n">
        <f aca="false">IF(I691="N/A","",IF(Z691&lt;&gt;"Current",4,IF(MAX(M691,T691)=0,4,MAX(M691,T691))))</f>
        <v>2</v>
      </c>
      <c r="AB691" s="7" t="str">
        <f aca="false">IF(AA691="","N/A",IF(Z691&lt;&gt;"Current","Not tested / overdue",INDEX('Residual Config'!$B$11:$B$14,AA691)))</f>
        <v>Largely effective</v>
      </c>
      <c r="AC691" s="36" t="n">
        <f aca="false">IF(AA691="","",INDEX('Residual Config'!$D$11:$D$14,AA691))</f>
        <v>0.4</v>
      </c>
      <c r="AD691" s="7" t="str">
        <f aca="false">IF(OR(I691="N/A",P691="",Q691=""),"",IF(P691&gt;=Q691,"Yes","No"))</f>
        <v>Yes</v>
      </c>
      <c r="AE691" s="8"/>
    </row>
    <row r="692" customFormat="false" ht="15" hidden="false" customHeight="false" outlineLevel="0" collapsed="false">
      <c r="A692" s="12" t="s">
        <v>2446</v>
      </c>
      <c r="B692" s="26" t="str">
        <f aca="false">Entities!$A$20</f>
        <v>YE</v>
      </c>
      <c r="C692" s="12" t="str">
        <f aca="false">INDEX(Entities!$B$5:$B$34,MATCH(B692,Entities!$A$5:$A$34,0))</f>
        <v>Arab Bank – Yemen</v>
      </c>
      <c r="D692" s="7" t="str">
        <f aca="false">INDEX(Entities!$F$5:$F$34,MATCH(B692,Entities!$A$5:$A$34,0))</f>
        <v>Tier 3</v>
      </c>
      <c r="E692" s="26" t="str">
        <f aca="false">'Control Library'!$A$47</f>
        <v>CTL-ST-01</v>
      </c>
      <c r="F692" s="12" t="str">
        <f aca="false">INDEX('Control Library'!$B$5:$B$47,MATCH(E692,'Control Library'!$A$5:$A$47,0))</f>
        <v>Strategy execution monitoring and E&amp;S screening of lending</v>
      </c>
      <c r="G692" s="7" t="str">
        <f aca="false">INDEX('Control Library'!$F$5:$F$47,MATCH(E692,'Control Library'!$A$5:$A$47,0))</f>
        <v>Y</v>
      </c>
      <c r="H692" s="12" t="str">
        <f aca="false">INDEX('Control Library'!$E$5:$E$47,MATCH(E692,'Control Library'!$A$5:$A$47,0))</f>
        <v>Quarterly</v>
      </c>
      <c r="I692" s="7" t="str">
        <f aca="false">IF(INDEX('Control Library'!$I$5:$I$47,MATCH(E692,'Control Library'!$A$5:$A$47,0))="All","Y",IF(INDEX('Control Library'!$I$5:$I$47,MATCH(E692,'Control Library'!$A$5:$A$47,0))="Banks only",IF(COUNTIF('Residual Config'!$L$28:$L$30,INDEX(Entities!$E$5:$E$34,MATCH(B692,Entities!$A$5:$A$34,0)))&gt;0,"N/A","Y"),IF(INDEX(Entities!$G$5:$G$34,MATCH(B692,Entities!$A$5:$A$34,0))="Y","Y","N/A")))</f>
        <v>Y</v>
      </c>
      <c r="J692" s="8" t="s">
        <v>2447</v>
      </c>
      <c r="K692" s="8" t="s">
        <v>2342</v>
      </c>
      <c r="L692" s="7" t="str">
        <f aca="false">IF(OR(J692="",K692=""),"",IF(J692=K692,"Breach","OK"))</f>
        <v>OK</v>
      </c>
      <c r="M692" s="24" t="n">
        <v>2</v>
      </c>
      <c r="N692" s="50" t="n">
        <v>46205</v>
      </c>
      <c r="O692" s="8" t="s">
        <v>545</v>
      </c>
      <c r="P692" s="24" t="n">
        <v>2</v>
      </c>
      <c r="Q692" s="31" t="n">
        <f aca="false">IF(I692="N/A","",IFERROR(INDEX('Residual Config'!$B$35:$B$42,MATCH(H692,'Residual Config'!$A$35:$A$42,0)),""))</f>
        <v>2</v>
      </c>
      <c r="R692" s="24" t="n">
        <v>1</v>
      </c>
      <c r="S692" s="8" t="s">
        <v>521</v>
      </c>
      <c r="T692" s="31" t="n">
        <f aca="false">IF(S692="","",MATCH(S692,'Residual Config'!$L$9:$L$12,0))</f>
        <v>2</v>
      </c>
      <c r="U692" s="8" t="s">
        <v>2448</v>
      </c>
      <c r="V692" s="24" t="n">
        <v>4</v>
      </c>
      <c r="W692" s="33" t="s">
        <v>533</v>
      </c>
      <c r="X692" s="8" t="s">
        <v>760</v>
      </c>
      <c r="Y692" s="51" t="n">
        <f aca="false">IF(N692="","",EDATE(N692,IF(G692="N",INDEX('Residual Config'!$B$31:$D$31,1,MATCH(D692,'Residual Config'!$B$27:$D$27,0)),INDEX('Residual Config'!$B$28:$D$30,IF(T692=1,1,IF(T692=4,3,2)),MATCH(D692,'Residual Config'!$B$27:$D$27,0)))))</f>
        <v>46389</v>
      </c>
      <c r="Z692" s="7" t="str">
        <f aca="false">IF(I692="N/A","N/A",IF(N692="","Not tested",IF(W692="Rejected","Evidence rejected",IF(W692&lt;&gt;"Accepted","Evidence pending",IF(Y692&lt;'Residual Config'!$C$4,"Overdue","Current")))))</f>
        <v>Current</v>
      </c>
      <c r="AA692" s="34" t="n">
        <f aca="false">IF(I692="N/A","",IF(Z692&lt;&gt;"Current",4,IF(MAX(M692,T692)=0,4,MAX(M692,T692))))</f>
        <v>2</v>
      </c>
      <c r="AB692" s="7" t="str">
        <f aca="false">IF(AA692="","N/A",IF(Z692&lt;&gt;"Current","Not tested / overdue",INDEX('Residual Config'!$B$11:$B$14,AA692)))</f>
        <v>Largely effective</v>
      </c>
      <c r="AC692" s="36" t="n">
        <f aca="false">IF(AA692="","",INDEX('Residual Config'!$D$11:$D$14,AA692))</f>
        <v>0.4</v>
      </c>
      <c r="AD692" s="7" t="str">
        <f aca="false">IF(OR(I692="N/A",P692="",Q692=""),"",IF(P692&gt;=Q692,"Yes","No"))</f>
        <v>Yes</v>
      </c>
      <c r="AE692" s="8"/>
    </row>
    <row r="693" customFormat="false" ht="15" hidden="false" customHeight="false" outlineLevel="0" collapsed="false">
      <c r="A693" s="12" t="s">
        <v>2449</v>
      </c>
      <c r="B693" s="26" t="str">
        <f aca="false">Entities!$A$21</f>
        <v>EG</v>
      </c>
      <c r="C693" s="12" t="str">
        <f aca="false">INDEX(Entities!$B$5:$B$34,MATCH(B693,Entities!$A$5:$A$34,0))</f>
        <v>Arab Bank – Egypt</v>
      </c>
      <c r="D693" s="7" t="str">
        <f aca="false">INDEX(Entities!$F$5:$F$34,MATCH(B693,Entities!$A$5:$A$34,0))</f>
        <v>Tier 1</v>
      </c>
      <c r="E693" s="26" t="str">
        <f aca="false">'Control Library'!$A$5</f>
        <v>CTL-KYC-01</v>
      </c>
      <c r="F693" s="12" t="str">
        <f aca="false">INDEX('Control Library'!$B$5:$B$47,MATCH(E693,'Control Library'!$A$5:$A$47,0))</f>
        <v>Customer due diligence and ID verification at onboarding</v>
      </c>
      <c r="G693" s="7" t="str">
        <f aca="false">INDEX('Control Library'!$F$5:$F$47,MATCH(E693,'Control Library'!$A$5:$A$47,0))</f>
        <v>Y</v>
      </c>
      <c r="H693" s="12" t="str">
        <f aca="false">INDEX('Control Library'!$E$5:$E$47,MATCH(E693,'Control Library'!$A$5:$A$47,0))</f>
        <v>Event-driven</v>
      </c>
      <c r="I693" s="7" t="str">
        <f aca="false">IF(INDEX('Control Library'!$I$5:$I$47,MATCH(E693,'Control Library'!$A$5:$A$47,0))="All","Y",IF(INDEX('Control Library'!$I$5:$I$47,MATCH(E693,'Control Library'!$A$5:$A$47,0))="Banks only",IF(COUNTIF('Residual Config'!$L$28:$L$30,INDEX(Entities!$E$5:$E$34,MATCH(B693,Entities!$A$5:$A$34,0)))&gt;0,"N/A","Y"),IF(INDEX(Entities!$G$5:$G$34,MATCH(B693,Entities!$A$5:$A$34,0))="Y","Y","N/A")))</f>
        <v>Y</v>
      </c>
      <c r="J693" s="8" t="s">
        <v>2450</v>
      </c>
      <c r="K693" s="8" t="s">
        <v>752</v>
      </c>
      <c r="L693" s="7" t="str">
        <f aca="false">IF(OR(J693="",K693=""),"",IF(J693=K693,"Breach","OK"))</f>
        <v>OK</v>
      </c>
      <c r="M693" s="24" t="n">
        <v>2</v>
      </c>
      <c r="N693" s="50" t="n">
        <v>46226</v>
      </c>
      <c r="O693" s="8" t="s">
        <v>545</v>
      </c>
      <c r="P693" s="24" t="n">
        <v>35</v>
      </c>
      <c r="Q693" s="31" t="n">
        <f aca="false">IF(I693="N/A","",IFERROR(INDEX('Residual Config'!$B$35:$B$42,MATCH(H693,'Residual Config'!$A$35:$A$42,0)),""))</f>
        <v>25</v>
      </c>
      <c r="R693" s="24" t="n">
        <v>1</v>
      </c>
      <c r="S693" s="8" t="s">
        <v>521</v>
      </c>
      <c r="T693" s="31" t="n">
        <f aca="false">IF(S693="","",MATCH(S693,'Residual Config'!$L$9:$L$12,0))</f>
        <v>2</v>
      </c>
      <c r="U693" s="8" t="s">
        <v>2451</v>
      </c>
      <c r="V693" s="24" t="n">
        <v>4</v>
      </c>
      <c r="W693" s="33" t="s">
        <v>533</v>
      </c>
      <c r="X693" s="8" t="s">
        <v>754</v>
      </c>
      <c r="Y693" s="51" t="n">
        <f aca="false">IF(N693="","",EDATE(N693,IF(G693="N",INDEX('Residual Config'!$B$31:$D$31,1,MATCH(D693,'Residual Config'!$B$27:$D$27,0)),INDEX('Residual Config'!$B$28:$D$30,IF(T693=1,1,IF(T693=4,3,2)),MATCH(D693,'Residual Config'!$B$27:$D$27,0)))))</f>
        <v>46318</v>
      </c>
      <c r="Z693" s="7" t="str">
        <f aca="false">IF(I693="N/A","N/A",IF(N693="","Not tested",IF(W693="Rejected","Evidence rejected",IF(W693&lt;&gt;"Accepted","Evidence pending",IF(Y693&lt;'Residual Config'!$C$4,"Overdue","Current")))))</f>
        <v>Current</v>
      </c>
      <c r="AA693" s="34" t="n">
        <f aca="false">IF(I693="N/A","",IF(Z693&lt;&gt;"Current",4,IF(MAX(M693,T693)=0,4,MAX(M693,T693))))</f>
        <v>2</v>
      </c>
      <c r="AB693" s="7" t="str">
        <f aca="false">IF(AA693="","N/A",IF(Z693&lt;&gt;"Current","Not tested / overdue",INDEX('Residual Config'!$B$11:$B$14,AA693)))</f>
        <v>Largely effective</v>
      </c>
      <c r="AC693" s="36" t="n">
        <f aca="false">IF(AA693="","",INDEX('Residual Config'!$D$11:$D$14,AA693))</f>
        <v>0.4</v>
      </c>
      <c r="AD693" s="7" t="str">
        <f aca="false">IF(OR(I693="N/A",P693="",Q693=""),"",IF(P693&gt;=Q693,"Yes","No"))</f>
        <v>Yes</v>
      </c>
      <c r="AE693" s="8"/>
    </row>
    <row r="694" customFormat="false" ht="15" hidden="false" customHeight="false" outlineLevel="0" collapsed="false">
      <c r="A694" s="12" t="s">
        <v>2452</v>
      </c>
      <c r="B694" s="26" t="str">
        <f aca="false">Entities!$A$21</f>
        <v>EG</v>
      </c>
      <c r="C694" s="12" t="str">
        <f aca="false">INDEX(Entities!$B$5:$B$34,MATCH(B694,Entities!$A$5:$A$34,0))</f>
        <v>Arab Bank – Egypt</v>
      </c>
      <c r="D694" s="7" t="str">
        <f aca="false">INDEX(Entities!$F$5:$F$34,MATCH(B694,Entities!$A$5:$A$34,0))</f>
        <v>Tier 1</v>
      </c>
      <c r="E694" s="26" t="str">
        <f aca="false">'Control Library'!$A$6</f>
        <v>CTL-KYC-02</v>
      </c>
      <c r="F694" s="12" t="str">
        <f aca="false">INDEX('Control Library'!$B$5:$B$47,MATCH(E694,'Control Library'!$A$5:$A$47,0))</f>
        <v>Enhanced due diligence for high-risk customers and PEPs, senior approval</v>
      </c>
      <c r="G694" s="7" t="str">
        <f aca="false">INDEX('Control Library'!$F$5:$F$47,MATCH(E694,'Control Library'!$A$5:$A$47,0))</f>
        <v>Y</v>
      </c>
      <c r="H694" s="12" t="str">
        <f aca="false">INDEX('Control Library'!$E$5:$E$47,MATCH(E694,'Control Library'!$A$5:$A$47,0))</f>
        <v>Event-driven</v>
      </c>
      <c r="I694" s="7" t="str">
        <f aca="false">IF(INDEX('Control Library'!$I$5:$I$47,MATCH(E694,'Control Library'!$A$5:$A$47,0))="All","Y",IF(INDEX('Control Library'!$I$5:$I$47,MATCH(E694,'Control Library'!$A$5:$A$47,0))="Banks only",IF(COUNTIF('Residual Config'!$L$28:$L$30,INDEX(Entities!$E$5:$E$34,MATCH(B694,Entities!$A$5:$A$34,0)))&gt;0,"N/A","Y"),IF(INDEX(Entities!$G$5:$G$34,MATCH(B694,Entities!$A$5:$A$34,0))="Y","Y","N/A")))</f>
        <v>Y</v>
      </c>
      <c r="J694" s="8" t="s">
        <v>2453</v>
      </c>
      <c r="K694" s="8" t="s">
        <v>752</v>
      </c>
      <c r="L694" s="7" t="str">
        <f aca="false">IF(OR(J694="",K694=""),"",IF(J694=K694,"Breach","OK"))</f>
        <v>OK</v>
      </c>
      <c r="M694" s="24" t="n">
        <v>2</v>
      </c>
      <c r="N694" s="50" t="n">
        <v>46248</v>
      </c>
      <c r="O694" s="8" t="s">
        <v>545</v>
      </c>
      <c r="P694" s="24" t="n">
        <v>25</v>
      </c>
      <c r="Q694" s="31" t="n">
        <f aca="false">IF(I694="N/A","",IFERROR(INDEX('Residual Config'!$B$35:$B$42,MATCH(H694,'Residual Config'!$A$35:$A$42,0)),""))</f>
        <v>25</v>
      </c>
      <c r="R694" s="24" t="n">
        <v>0</v>
      </c>
      <c r="S694" s="8" t="s">
        <v>516</v>
      </c>
      <c r="T694" s="31" t="n">
        <f aca="false">IF(S694="","",MATCH(S694,'Residual Config'!$L$9:$L$12,0))</f>
        <v>1</v>
      </c>
      <c r="U694" s="8" t="s">
        <v>2454</v>
      </c>
      <c r="V694" s="24" t="n">
        <v>4</v>
      </c>
      <c r="W694" s="33" t="s">
        <v>533</v>
      </c>
      <c r="X694" s="8" t="s">
        <v>754</v>
      </c>
      <c r="Y694" s="51" t="n">
        <f aca="false">IF(N694="","",EDATE(N694,IF(G694="N",INDEX('Residual Config'!$B$31:$D$31,1,MATCH(D694,'Residual Config'!$B$27:$D$27,0)),INDEX('Residual Config'!$B$28:$D$30,IF(T694=1,1,IF(T694=4,3,2)),MATCH(D694,'Residual Config'!$B$27:$D$27,0)))))</f>
        <v>46432</v>
      </c>
      <c r="Z694" s="7" t="str">
        <f aca="false">IF(I694="N/A","N/A",IF(N694="","Not tested",IF(W694="Rejected","Evidence rejected",IF(W694&lt;&gt;"Accepted","Evidence pending",IF(Y694&lt;'Residual Config'!$C$4,"Overdue","Current")))))</f>
        <v>Current</v>
      </c>
      <c r="AA694" s="34" t="n">
        <f aca="false">IF(I694="N/A","",IF(Z694&lt;&gt;"Current",4,IF(MAX(M694,T694)=0,4,MAX(M694,T694))))</f>
        <v>2</v>
      </c>
      <c r="AB694" s="7" t="str">
        <f aca="false">IF(AA694="","N/A",IF(Z694&lt;&gt;"Current","Not tested / overdue",INDEX('Residual Config'!$B$11:$B$14,AA694)))</f>
        <v>Largely effective</v>
      </c>
      <c r="AC694" s="36" t="n">
        <f aca="false">IF(AA694="","",INDEX('Residual Config'!$D$11:$D$14,AA694))</f>
        <v>0.4</v>
      </c>
      <c r="AD694" s="7" t="str">
        <f aca="false">IF(OR(I694="N/A",P694="",Q694=""),"",IF(P694&gt;=Q694,"Yes","No"))</f>
        <v>Yes</v>
      </c>
      <c r="AE694" s="8"/>
    </row>
    <row r="695" customFormat="false" ht="15" hidden="false" customHeight="false" outlineLevel="0" collapsed="false">
      <c r="A695" s="12" t="s">
        <v>2455</v>
      </c>
      <c r="B695" s="26" t="str">
        <f aca="false">Entities!$A$21</f>
        <v>EG</v>
      </c>
      <c r="C695" s="12" t="str">
        <f aca="false">INDEX(Entities!$B$5:$B$34,MATCH(B695,Entities!$A$5:$A$34,0))</f>
        <v>Arab Bank – Egypt</v>
      </c>
      <c r="D695" s="7" t="str">
        <f aca="false">INDEX(Entities!$F$5:$F$34,MATCH(B695,Entities!$A$5:$A$34,0))</f>
        <v>Tier 1</v>
      </c>
      <c r="E695" s="26" t="str">
        <f aca="false">'Control Library'!$A$7</f>
        <v>CTL-KYC-03</v>
      </c>
      <c r="F695" s="12" t="str">
        <f aca="false">INDEX('Control Library'!$B$5:$B$47,MATCH(E695,'Control Library'!$A$5:$A$47,0))</f>
        <v>Ultimate beneficial owner identification and verification</v>
      </c>
      <c r="G695" s="7" t="str">
        <f aca="false">INDEX('Control Library'!$F$5:$F$47,MATCH(E695,'Control Library'!$A$5:$A$47,0))</f>
        <v>Y</v>
      </c>
      <c r="H695" s="12" t="str">
        <f aca="false">INDEX('Control Library'!$E$5:$E$47,MATCH(E695,'Control Library'!$A$5:$A$47,0))</f>
        <v>Event-driven</v>
      </c>
      <c r="I695" s="7" t="str">
        <f aca="false">IF(INDEX('Control Library'!$I$5:$I$47,MATCH(E695,'Control Library'!$A$5:$A$47,0))="All","Y",IF(INDEX('Control Library'!$I$5:$I$47,MATCH(E695,'Control Library'!$A$5:$A$47,0))="Banks only",IF(COUNTIF('Residual Config'!$L$28:$L$30,INDEX(Entities!$E$5:$E$34,MATCH(B695,Entities!$A$5:$A$34,0)))&gt;0,"N/A","Y"),IF(INDEX(Entities!$G$5:$G$34,MATCH(B695,Entities!$A$5:$A$34,0))="Y","Y","N/A")))</f>
        <v>Y</v>
      </c>
      <c r="J695" s="8" t="s">
        <v>2450</v>
      </c>
      <c r="K695" s="8" t="s">
        <v>752</v>
      </c>
      <c r="L695" s="7" t="str">
        <f aca="false">IF(OR(J695="",K695=""),"",IF(J695=K695,"Breach","OK"))</f>
        <v>OK</v>
      </c>
      <c r="M695" s="24" t="n">
        <v>1</v>
      </c>
      <c r="N695" s="50" t="n">
        <v>46289</v>
      </c>
      <c r="O695" s="8" t="s">
        <v>545</v>
      </c>
      <c r="P695" s="24" t="n">
        <v>25</v>
      </c>
      <c r="Q695" s="31" t="n">
        <f aca="false">IF(I695="N/A","",IFERROR(INDEX('Residual Config'!$B$35:$B$42,MATCH(H695,'Residual Config'!$A$35:$A$42,0)),""))</f>
        <v>25</v>
      </c>
      <c r="R695" s="24" t="n">
        <v>1</v>
      </c>
      <c r="S695" s="8" t="s">
        <v>521</v>
      </c>
      <c r="T695" s="31" t="n">
        <f aca="false">IF(S695="","",MATCH(S695,'Residual Config'!$L$9:$L$12,0))</f>
        <v>2</v>
      </c>
      <c r="U695" s="8" t="s">
        <v>2456</v>
      </c>
      <c r="V695" s="24" t="n">
        <v>4</v>
      </c>
      <c r="W695" s="33" t="s">
        <v>533</v>
      </c>
      <c r="X695" s="8" t="s">
        <v>754</v>
      </c>
      <c r="Y695" s="51" t="n">
        <f aca="false">IF(N695="","",EDATE(N695,IF(G695="N",INDEX('Residual Config'!$B$31:$D$31,1,MATCH(D695,'Residual Config'!$B$27:$D$27,0)),INDEX('Residual Config'!$B$28:$D$30,IF(T695=1,1,IF(T695=4,3,2)),MATCH(D695,'Residual Config'!$B$27:$D$27,0)))))</f>
        <v>46380</v>
      </c>
      <c r="Z695" s="7" t="str">
        <f aca="false">IF(I695="N/A","N/A",IF(N695="","Not tested",IF(W695="Rejected","Evidence rejected",IF(W695&lt;&gt;"Accepted","Evidence pending",IF(Y695&lt;'Residual Config'!$C$4,"Overdue","Current")))))</f>
        <v>Current</v>
      </c>
      <c r="AA695" s="34" t="n">
        <f aca="false">IF(I695="N/A","",IF(Z695&lt;&gt;"Current",4,IF(MAX(M695,T695)=0,4,MAX(M695,T695))))</f>
        <v>2</v>
      </c>
      <c r="AB695" s="7" t="str">
        <f aca="false">IF(AA695="","N/A",IF(Z695&lt;&gt;"Current","Not tested / overdue",INDEX('Residual Config'!$B$11:$B$14,AA695)))</f>
        <v>Largely effective</v>
      </c>
      <c r="AC695" s="36" t="n">
        <f aca="false">IF(AA695="","",INDEX('Residual Config'!$D$11:$D$14,AA695))</f>
        <v>0.4</v>
      </c>
      <c r="AD695" s="7" t="str">
        <f aca="false">IF(OR(I695="N/A",P695="",Q695=""),"",IF(P695&gt;=Q695,"Yes","No"))</f>
        <v>Yes</v>
      </c>
      <c r="AE695" s="8"/>
    </row>
    <row r="696" customFormat="false" ht="15" hidden="false" customHeight="false" outlineLevel="0" collapsed="false">
      <c r="A696" s="12" t="s">
        <v>2457</v>
      </c>
      <c r="B696" s="26" t="str">
        <f aca="false">Entities!$A$21</f>
        <v>EG</v>
      </c>
      <c r="C696" s="12" t="str">
        <f aca="false">INDEX(Entities!$B$5:$B$34,MATCH(B696,Entities!$A$5:$A$34,0))</f>
        <v>Arab Bank – Egypt</v>
      </c>
      <c r="D696" s="7" t="str">
        <f aca="false">INDEX(Entities!$F$5:$F$34,MATCH(B696,Entities!$A$5:$A$34,0))</f>
        <v>Tier 1</v>
      </c>
      <c r="E696" s="26" t="str">
        <f aca="false">'Control Library'!$A$8</f>
        <v>CTL-KYC-04</v>
      </c>
      <c r="F696" s="12" t="str">
        <f aca="false">INDEX('Control Library'!$B$5:$B$47,MATCH(E696,'Control Library'!$A$5:$A$47,0))</f>
        <v>Periodic KYC review by customer risk rating</v>
      </c>
      <c r="G696" s="7" t="str">
        <f aca="false">INDEX('Control Library'!$F$5:$F$47,MATCH(E696,'Control Library'!$A$5:$A$47,0))</f>
        <v>Y</v>
      </c>
      <c r="H696" s="12" t="str">
        <f aca="false">INDEX('Control Library'!$E$5:$E$47,MATCH(E696,'Control Library'!$A$5:$A$47,0))</f>
        <v>Monthly</v>
      </c>
      <c r="I696" s="7" t="str">
        <f aca="false">IF(INDEX('Control Library'!$I$5:$I$47,MATCH(E696,'Control Library'!$A$5:$A$47,0))="All","Y",IF(INDEX('Control Library'!$I$5:$I$47,MATCH(E696,'Control Library'!$A$5:$A$47,0))="Banks only",IF(COUNTIF('Residual Config'!$L$28:$L$30,INDEX(Entities!$E$5:$E$34,MATCH(B696,Entities!$A$5:$A$34,0)))&gt;0,"N/A","Y"),IF(INDEX(Entities!$G$5:$G$34,MATCH(B696,Entities!$A$5:$A$34,0))="Y","Y","N/A")))</f>
        <v>Y</v>
      </c>
      <c r="J696" s="8" t="s">
        <v>2450</v>
      </c>
      <c r="K696" s="8" t="s">
        <v>752</v>
      </c>
      <c r="L696" s="7" t="str">
        <f aca="false">IF(OR(J696="",K696=""),"",IF(J696=K696,"Breach","OK"))</f>
        <v>OK</v>
      </c>
      <c r="M696" s="24" t="n">
        <v>2</v>
      </c>
      <c r="N696" s="50" t="n">
        <v>46144</v>
      </c>
      <c r="O696" s="8" t="s">
        <v>545</v>
      </c>
      <c r="P696" s="24" t="n">
        <v>3</v>
      </c>
      <c r="Q696" s="31" t="n">
        <f aca="false">IF(I696="N/A","",IFERROR(INDEX('Residual Config'!$B$35:$B$42,MATCH(H696,'Residual Config'!$A$35:$A$42,0)),""))</f>
        <v>3</v>
      </c>
      <c r="R696" s="24" t="n">
        <v>0</v>
      </c>
      <c r="S696" s="8" t="s">
        <v>516</v>
      </c>
      <c r="T696" s="31" t="n">
        <f aca="false">IF(S696="","",MATCH(S696,'Residual Config'!$L$9:$L$12,0))</f>
        <v>1</v>
      </c>
      <c r="U696" s="8" t="s">
        <v>2458</v>
      </c>
      <c r="V696" s="24" t="n">
        <v>5</v>
      </c>
      <c r="W696" s="33" t="s">
        <v>533</v>
      </c>
      <c r="X696" s="8" t="s">
        <v>754</v>
      </c>
      <c r="Y696" s="51" t="n">
        <f aca="false">IF(N696="","",EDATE(N696,IF(G696="N",INDEX('Residual Config'!$B$31:$D$31,1,MATCH(D696,'Residual Config'!$B$27:$D$27,0)),INDEX('Residual Config'!$B$28:$D$30,IF(T696=1,1,IF(T696=4,3,2)),MATCH(D696,'Residual Config'!$B$27:$D$27,0)))))</f>
        <v>46328</v>
      </c>
      <c r="Z696" s="7" t="str">
        <f aca="false">IF(I696="N/A","N/A",IF(N696="","Not tested",IF(W696="Rejected","Evidence rejected",IF(W696&lt;&gt;"Accepted","Evidence pending",IF(Y696&lt;'Residual Config'!$C$4,"Overdue","Current")))))</f>
        <v>Current</v>
      </c>
      <c r="AA696" s="34" t="n">
        <f aca="false">IF(I696="N/A","",IF(Z696&lt;&gt;"Current",4,IF(MAX(M696,T696)=0,4,MAX(M696,T696))))</f>
        <v>2</v>
      </c>
      <c r="AB696" s="7" t="str">
        <f aca="false">IF(AA696="","N/A",IF(Z696&lt;&gt;"Current","Not tested / overdue",INDEX('Residual Config'!$B$11:$B$14,AA696)))</f>
        <v>Largely effective</v>
      </c>
      <c r="AC696" s="36" t="n">
        <f aca="false">IF(AA696="","",INDEX('Residual Config'!$D$11:$D$14,AA696))</f>
        <v>0.4</v>
      </c>
      <c r="AD696" s="7" t="str">
        <f aca="false">IF(OR(I696="N/A",P696="",Q696=""),"",IF(P696&gt;=Q696,"Yes","No"))</f>
        <v>Yes</v>
      </c>
      <c r="AE696" s="8"/>
    </row>
    <row r="697" customFormat="false" ht="15" hidden="false" customHeight="false" outlineLevel="0" collapsed="false">
      <c r="A697" s="12" t="s">
        <v>2459</v>
      </c>
      <c r="B697" s="26" t="str">
        <f aca="false">Entities!$A$21</f>
        <v>EG</v>
      </c>
      <c r="C697" s="12" t="str">
        <f aca="false">INDEX(Entities!$B$5:$B$34,MATCH(B697,Entities!$A$5:$A$34,0))</f>
        <v>Arab Bank – Egypt</v>
      </c>
      <c r="D697" s="7" t="str">
        <f aca="false">INDEX(Entities!$F$5:$F$34,MATCH(B697,Entities!$A$5:$A$34,0))</f>
        <v>Tier 1</v>
      </c>
      <c r="E697" s="26" t="str">
        <f aca="false">'Control Library'!$A$9</f>
        <v>CTL-CRR-01</v>
      </c>
      <c r="F697" s="12" t="str">
        <f aca="false">INDEX('Control Library'!$B$5:$B$47,MATCH(E697,'Control Library'!$A$5:$A$47,0))</f>
        <v>Customer risk rating model and annual validation</v>
      </c>
      <c r="G697" s="7" t="str">
        <f aca="false">INDEX('Control Library'!$F$5:$F$47,MATCH(E697,'Control Library'!$A$5:$A$47,0))</f>
        <v>N</v>
      </c>
      <c r="H697" s="12" t="str">
        <f aca="false">INDEX('Control Library'!$E$5:$E$47,MATCH(E697,'Control Library'!$A$5:$A$47,0))</f>
        <v>Annual</v>
      </c>
      <c r="I697" s="7" t="str">
        <f aca="false">IF(INDEX('Control Library'!$I$5:$I$47,MATCH(E697,'Control Library'!$A$5:$A$47,0))="All","Y",IF(INDEX('Control Library'!$I$5:$I$47,MATCH(E697,'Control Library'!$A$5:$A$47,0))="Banks only",IF(COUNTIF('Residual Config'!$L$28:$L$30,INDEX(Entities!$E$5:$E$34,MATCH(B697,Entities!$A$5:$A$34,0)))&gt;0,"N/A","Y"),IF(INDEX(Entities!$G$5:$G$34,MATCH(B697,Entities!$A$5:$A$34,0))="Y","Y","N/A")))</f>
        <v>Y</v>
      </c>
      <c r="J697" s="8" t="s">
        <v>2453</v>
      </c>
      <c r="K697" s="8" t="s">
        <v>2460</v>
      </c>
      <c r="L697" s="7" t="str">
        <f aca="false">IF(OR(J697="",K697=""),"",IF(J697=K697,"Breach","OK"))</f>
        <v>OK</v>
      </c>
      <c r="M697" s="24" t="n">
        <v>2</v>
      </c>
      <c r="N697" s="50" t="n">
        <v>45957</v>
      </c>
      <c r="O697" s="8" t="s">
        <v>546</v>
      </c>
      <c r="P697" s="24" t="n">
        <v>1</v>
      </c>
      <c r="Q697" s="31" t="n">
        <f aca="false">IF(I697="N/A","",IFERROR(INDEX('Residual Config'!$B$35:$B$42,MATCH(H697,'Residual Config'!$A$35:$A$42,0)),""))</f>
        <v>1</v>
      </c>
      <c r="R697" s="24" t="n">
        <v>1</v>
      </c>
      <c r="S697" s="8" t="s">
        <v>521</v>
      </c>
      <c r="T697" s="31" t="n">
        <f aca="false">IF(S697="","",MATCH(S697,'Residual Config'!$L$9:$L$12,0))</f>
        <v>2</v>
      </c>
      <c r="U697" s="8" t="s">
        <v>2461</v>
      </c>
      <c r="V697" s="24" t="n">
        <v>2</v>
      </c>
      <c r="W697" s="33" t="s">
        <v>533</v>
      </c>
      <c r="X697" s="8" t="s">
        <v>754</v>
      </c>
      <c r="Y697" s="51" t="n">
        <f aca="false">IF(N697="","",EDATE(N697,IF(G697="N",INDEX('Residual Config'!$B$31:$D$31,1,MATCH(D697,'Residual Config'!$B$27:$D$27,0)),INDEX('Residual Config'!$B$28:$D$30,IF(T697=1,1,IF(T697=4,3,2)),MATCH(D697,'Residual Config'!$B$27:$D$27,0)))))</f>
        <v>46322</v>
      </c>
      <c r="Z697" s="7" t="str">
        <f aca="false">IF(I697="N/A","N/A",IF(N697="","Not tested",IF(W697="Rejected","Evidence rejected",IF(W697&lt;&gt;"Accepted","Evidence pending",IF(Y697&lt;'Residual Config'!$C$4,"Overdue","Current")))))</f>
        <v>Current</v>
      </c>
      <c r="AA697" s="34" t="n">
        <f aca="false">IF(I697="N/A","",IF(Z697&lt;&gt;"Current",4,IF(MAX(M697,T697)=0,4,MAX(M697,T697))))</f>
        <v>2</v>
      </c>
      <c r="AB697" s="7" t="str">
        <f aca="false">IF(AA697="","N/A",IF(Z697&lt;&gt;"Current","Not tested / overdue",INDEX('Residual Config'!$B$11:$B$14,AA697)))</f>
        <v>Largely effective</v>
      </c>
      <c r="AC697" s="36" t="n">
        <f aca="false">IF(AA697="","",INDEX('Residual Config'!$D$11:$D$14,AA697))</f>
        <v>0.4</v>
      </c>
      <c r="AD697" s="7" t="str">
        <f aca="false">IF(OR(I697="N/A",P697="",Q697=""),"",IF(P697&gt;=Q697,"Yes","No"))</f>
        <v>Yes</v>
      </c>
      <c r="AE697" s="8"/>
    </row>
    <row r="698" customFormat="false" ht="15" hidden="false" customHeight="false" outlineLevel="0" collapsed="false">
      <c r="A698" s="12" t="s">
        <v>2462</v>
      </c>
      <c r="B698" s="26" t="str">
        <f aca="false">Entities!$A$21</f>
        <v>EG</v>
      </c>
      <c r="C698" s="12" t="str">
        <f aca="false">INDEX(Entities!$B$5:$B$34,MATCH(B698,Entities!$A$5:$A$34,0))</f>
        <v>Arab Bank – Egypt</v>
      </c>
      <c r="D698" s="7" t="str">
        <f aca="false">INDEX(Entities!$F$5:$F$34,MATCH(B698,Entities!$A$5:$A$34,0))</f>
        <v>Tier 1</v>
      </c>
      <c r="E698" s="26" t="str">
        <f aca="false">'Control Library'!$A$10</f>
        <v>CTL-TM-01</v>
      </c>
      <c r="F698" s="12" t="str">
        <f aca="false">INDEX('Control Library'!$B$5:$B$47,MATCH(E698,'Control Library'!$A$5:$A$47,0))</f>
        <v>Automated transaction monitoring scenarios and annual tuning</v>
      </c>
      <c r="G698" s="7" t="str">
        <f aca="false">INDEX('Control Library'!$F$5:$F$47,MATCH(E698,'Control Library'!$A$5:$A$47,0))</f>
        <v>Y</v>
      </c>
      <c r="H698" s="12" t="str">
        <f aca="false">INDEX('Control Library'!$E$5:$E$47,MATCH(E698,'Control Library'!$A$5:$A$47,0))</f>
        <v>Continuous</v>
      </c>
      <c r="I698" s="7" t="str">
        <f aca="false">IF(INDEX('Control Library'!$I$5:$I$47,MATCH(E698,'Control Library'!$A$5:$A$47,0))="All","Y",IF(INDEX('Control Library'!$I$5:$I$47,MATCH(E698,'Control Library'!$A$5:$A$47,0))="Banks only",IF(COUNTIF('Residual Config'!$L$28:$L$30,INDEX(Entities!$E$5:$E$34,MATCH(B698,Entities!$A$5:$A$34,0)))&gt;0,"N/A","Y"),IF(INDEX(Entities!$G$5:$G$34,MATCH(B698,Entities!$A$5:$A$34,0))="Y","Y","N/A")))</f>
        <v>Y</v>
      </c>
      <c r="J698" s="8" t="s">
        <v>2463</v>
      </c>
      <c r="K698" s="8" t="s">
        <v>752</v>
      </c>
      <c r="L698" s="7" t="str">
        <f aca="false">IF(OR(J698="",K698=""),"",IF(J698=K698,"Breach","OK"))</f>
        <v>OK</v>
      </c>
      <c r="M698" s="24" t="n">
        <v>2</v>
      </c>
      <c r="N698" s="50" t="n">
        <v>46241</v>
      </c>
      <c r="O698" s="8" t="s">
        <v>547</v>
      </c>
      <c r="P698" s="24" t="n">
        <v>1</v>
      </c>
      <c r="Q698" s="31" t="n">
        <f aca="false">IF(I698="N/A","",IFERROR(INDEX('Residual Config'!$B$35:$B$42,MATCH(H698,'Residual Config'!$A$35:$A$42,0)),""))</f>
        <v>1</v>
      </c>
      <c r="R698" s="24" t="n">
        <v>1</v>
      </c>
      <c r="S698" s="8" t="s">
        <v>521</v>
      </c>
      <c r="T698" s="31" t="n">
        <f aca="false">IF(S698="","",MATCH(S698,'Residual Config'!$L$9:$L$12,0))</f>
        <v>2</v>
      </c>
      <c r="U698" s="8" t="s">
        <v>2464</v>
      </c>
      <c r="V698" s="24" t="n">
        <v>4</v>
      </c>
      <c r="W698" s="33" t="s">
        <v>533</v>
      </c>
      <c r="X698" s="8" t="s">
        <v>760</v>
      </c>
      <c r="Y698" s="51" t="n">
        <f aca="false">IF(N698="","",EDATE(N698,IF(G698="N",INDEX('Residual Config'!$B$31:$D$31,1,MATCH(D698,'Residual Config'!$B$27:$D$27,0)),INDEX('Residual Config'!$B$28:$D$30,IF(T698=1,1,IF(T698=4,3,2)),MATCH(D698,'Residual Config'!$B$27:$D$27,0)))))</f>
        <v>46333</v>
      </c>
      <c r="Z698" s="7" t="str">
        <f aca="false">IF(I698="N/A","N/A",IF(N698="","Not tested",IF(W698="Rejected","Evidence rejected",IF(W698&lt;&gt;"Accepted","Evidence pending",IF(Y698&lt;'Residual Config'!$C$4,"Overdue","Current")))))</f>
        <v>Current</v>
      </c>
      <c r="AA698" s="34" t="n">
        <f aca="false">IF(I698="N/A","",IF(Z698&lt;&gt;"Current",4,IF(MAX(M698,T698)=0,4,MAX(M698,T698))))</f>
        <v>2</v>
      </c>
      <c r="AB698" s="7" t="str">
        <f aca="false">IF(AA698="","N/A",IF(Z698&lt;&gt;"Current","Not tested / overdue",INDEX('Residual Config'!$B$11:$B$14,AA698)))</f>
        <v>Largely effective</v>
      </c>
      <c r="AC698" s="36" t="n">
        <f aca="false">IF(AA698="","",INDEX('Residual Config'!$D$11:$D$14,AA698))</f>
        <v>0.4</v>
      </c>
      <c r="AD698" s="7" t="str">
        <f aca="false">IF(OR(I698="N/A",P698="",Q698=""),"",IF(P698&gt;=Q698,"Yes","No"))</f>
        <v>Yes</v>
      </c>
      <c r="AE698" s="8"/>
    </row>
    <row r="699" customFormat="false" ht="15" hidden="false" customHeight="false" outlineLevel="0" collapsed="false">
      <c r="A699" s="12" t="s">
        <v>2465</v>
      </c>
      <c r="B699" s="26" t="str">
        <f aca="false">Entities!$A$21</f>
        <v>EG</v>
      </c>
      <c r="C699" s="12" t="str">
        <f aca="false">INDEX(Entities!$B$5:$B$34,MATCH(B699,Entities!$A$5:$A$34,0))</f>
        <v>Arab Bank – Egypt</v>
      </c>
      <c r="D699" s="7" t="str">
        <f aca="false">INDEX(Entities!$F$5:$F$34,MATCH(B699,Entities!$A$5:$A$34,0))</f>
        <v>Tier 1</v>
      </c>
      <c r="E699" s="26" t="str">
        <f aca="false">'Control Library'!$A$11</f>
        <v>CTL-TM-02</v>
      </c>
      <c r="F699" s="12" t="str">
        <f aca="false">INDEX('Control Library'!$B$5:$B$47,MATCH(E699,'Control Library'!$A$5:$A$47,0))</f>
        <v>Alert investigation and quality assurance within SLA</v>
      </c>
      <c r="G699" s="7" t="str">
        <f aca="false">INDEX('Control Library'!$F$5:$F$47,MATCH(E699,'Control Library'!$A$5:$A$47,0))</f>
        <v>Y</v>
      </c>
      <c r="H699" s="12" t="str">
        <f aca="false">INDEX('Control Library'!$E$5:$E$47,MATCH(E699,'Control Library'!$A$5:$A$47,0))</f>
        <v>Daily</v>
      </c>
      <c r="I699" s="7" t="str">
        <f aca="false">IF(INDEX('Control Library'!$I$5:$I$47,MATCH(E699,'Control Library'!$A$5:$A$47,0))="All","Y",IF(INDEX('Control Library'!$I$5:$I$47,MATCH(E699,'Control Library'!$A$5:$A$47,0))="Banks only",IF(COUNTIF('Residual Config'!$L$28:$L$30,INDEX(Entities!$E$5:$E$34,MATCH(B699,Entities!$A$5:$A$34,0)))&gt;0,"N/A","Y"),IF(INDEX(Entities!$G$5:$G$34,MATCH(B699,Entities!$A$5:$A$34,0))="Y","Y","N/A")))</f>
        <v>Y</v>
      </c>
      <c r="J699" s="8" t="s">
        <v>2463</v>
      </c>
      <c r="K699" s="8" t="s">
        <v>752</v>
      </c>
      <c r="L699" s="7" t="str">
        <f aca="false">IF(OR(J699="",K699=""),"",IF(J699=K699,"Breach","OK"))</f>
        <v>OK</v>
      </c>
      <c r="M699" s="24" t="n">
        <v>2</v>
      </c>
      <c r="N699" s="50" t="n">
        <v>46250</v>
      </c>
      <c r="O699" s="8" t="s">
        <v>546</v>
      </c>
      <c r="P699" s="24" t="n">
        <v>25</v>
      </c>
      <c r="Q699" s="31" t="n">
        <f aca="false">IF(I699="N/A","",IFERROR(INDEX('Residual Config'!$B$35:$B$42,MATCH(H699,'Residual Config'!$A$35:$A$42,0)),""))</f>
        <v>25</v>
      </c>
      <c r="R699" s="24" t="n">
        <v>1</v>
      </c>
      <c r="S699" s="8" t="s">
        <v>521</v>
      </c>
      <c r="T699" s="31" t="n">
        <f aca="false">IF(S699="","",MATCH(S699,'Residual Config'!$L$9:$L$12,0))</f>
        <v>2</v>
      </c>
      <c r="U699" s="8" t="s">
        <v>2466</v>
      </c>
      <c r="V699" s="24" t="n">
        <v>4</v>
      </c>
      <c r="W699" s="33" t="s">
        <v>535</v>
      </c>
      <c r="X699" s="8" t="s">
        <v>754</v>
      </c>
      <c r="Y699" s="51" t="n">
        <f aca="false">IF(N699="","",EDATE(N699,IF(G699="N",INDEX('Residual Config'!$B$31:$D$31,1,MATCH(D699,'Residual Config'!$B$27:$D$27,0)),INDEX('Residual Config'!$B$28:$D$30,IF(T699=1,1,IF(T699=4,3,2)),MATCH(D699,'Residual Config'!$B$27:$D$27,0)))))</f>
        <v>46342</v>
      </c>
      <c r="Z699" s="7" t="str">
        <f aca="false">IF(I699="N/A","N/A",IF(N699="","Not tested",IF(W699="Rejected","Evidence rejected",IF(W699&lt;&gt;"Accepted","Evidence pending",IF(Y699&lt;'Residual Config'!$C$4,"Overdue","Current")))))</f>
        <v>Evidence rejected</v>
      </c>
      <c r="AA699" s="34" t="n">
        <f aca="false">IF(I699="N/A","",IF(Z699&lt;&gt;"Current",4,IF(MAX(M699,T699)=0,4,MAX(M699,T699))))</f>
        <v>4</v>
      </c>
      <c r="AB699" s="7" t="str">
        <f aca="false">IF(AA699="","N/A",IF(Z699&lt;&gt;"Current","Not tested / overdue",INDEX('Residual Config'!$B$11:$B$14,AA699)))</f>
        <v>Not tested / overdue</v>
      </c>
      <c r="AC699" s="36" t="n">
        <f aca="false">IF(AA699="","",INDEX('Residual Config'!$D$11:$D$14,AA699))</f>
        <v>0</v>
      </c>
      <c r="AD699" s="7" t="str">
        <f aca="false">IF(OR(I699="N/A",P699="",Q699=""),"",IF(P699&gt;=Q699,"Yes","No"))</f>
        <v>Yes</v>
      </c>
      <c r="AE699" s="8"/>
    </row>
    <row r="700" customFormat="false" ht="15" hidden="false" customHeight="false" outlineLevel="0" collapsed="false">
      <c r="A700" s="12" t="s">
        <v>2467</v>
      </c>
      <c r="B700" s="26" t="str">
        <f aca="false">Entities!$A$21</f>
        <v>EG</v>
      </c>
      <c r="C700" s="12" t="str">
        <f aca="false">INDEX(Entities!$B$5:$B$34,MATCH(B700,Entities!$A$5:$A$34,0))</f>
        <v>Arab Bank – Egypt</v>
      </c>
      <c r="D700" s="7" t="str">
        <f aca="false">INDEX(Entities!$F$5:$F$34,MATCH(B700,Entities!$A$5:$A$34,0))</f>
        <v>Tier 1</v>
      </c>
      <c r="E700" s="26" t="str">
        <f aca="false">'Control Library'!$A$12</f>
        <v>CTL-STR-01</v>
      </c>
      <c r="F700" s="12" t="str">
        <f aca="false">INDEX('Control Library'!$B$5:$B$47,MATCH(E700,'Control Library'!$A$5:$A$47,0))</f>
        <v>STR decision and filing within regulatory deadline</v>
      </c>
      <c r="G700" s="7" t="str">
        <f aca="false">INDEX('Control Library'!$F$5:$F$47,MATCH(E700,'Control Library'!$A$5:$A$47,0))</f>
        <v>Y</v>
      </c>
      <c r="H700" s="12" t="str">
        <f aca="false">INDEX('Control Library'!$E$5:$E$47,MATCH(E700,'Control Library'!$A$5:$A$47,0))</f>
        <v>Event-driven</v>
      </c>
      <c r="I700" s="7" t="str">
        <f aca="false">IF(INDEX('Control Library'!$I$5:$I$47,MATCH(E700,'Control Library'!$A$5:$A$47,0))="All","Y",IF(INDEX('Control Library'!$I$5:$I$47,MATCH(E700,'Control Library'!$A$5:$A$47,0))="Banks only",IF(COUNTIF('Residual Config'!$L$28:$L$30,INDEX(Entities!$E$5:$E$34,MATCH(B700,Entities!$A$5:$A$34,0)))&gt;0,"N/A","Y"),IF(INDEX(Entities!$G$5:$G$34,MATCH(B700,Entities!$A$5:$A$34,0))="Y","Y","N/A")))</f>
        <v>Y</v>
      </c>
      <c r="J700" s="8" t="s">
        <v>2463</v>
      </c>
      <c r="K700" s="8" t="s">
        <v>752</v>
      </c>
      <c r="L700" s="7" t="str">
        <f aca="false">IF(OR(J700="",K700=""),"",IF(J700=K700,"Breach","OK"))</f>
        <v>OK</v>
      </c>
      <c r="M700" s="24" t="n">
        <v>2</v>
      </c>
      <c r="N700" s="50" t="n">
        <v>46279</v>
      </c>
      <c r="O700" s="8" t="s">
        <v>545</v>
      </c>
      <c r="P700" s="24" t="n">
        <v>30</v>
      </c>
      <c r="Q700" s="31" t="n">
        <f aca="false">IF(I700="N/A","",IFERROR(INDEX('Residual Config'!$B$35:$B$42,MATCH(H700,'Residual Config'!$A$35:$A$42,0)),""))</f>
        <v>25</v>
      </c>
      <c r="R700" s="24" t="n">
        <v>0</v>
      </c>
      <c r="S700" s="8" t="s">
        <v>516</v>
      </c>
      <c r="T700" s="31" t="n">
        <f aca="false">IF(S700="","",MATCH(S700,'Residual Config'!$L$9:$L$12,0))</f>
        <v>1</v>
      </c>
      <c r="U700" s="8" t="s">
        <v>2468</v>
      </c>
      <c r="V700" s="24" t="n">
        <v>5</v>
      </c>
      <c r="W700" s="33" t="s">
        <v>533</v>
      </c>
      <c r="X700" s="8" t="s">
        <v>754</v>
      </c>
      <c r="Y700" s="51" t="n">
        <f aca="false">IF(N700="","",EDATE(N700,IF(G700="N",INDEX('Residual Config'!$B$31:$D$31,1,MATCH(D700,'Residual Config'!$B$27:$D$27,0)),INDEX('Residual Config'!$B$28:$D$30,IF(T700=1,1,IF(T700=4,3,2)),MATCH(D700,'Residual Config'!$B$27:$D$27,0)))))</f>
        <v>46460</v>
      </c>
      <c r="Z700" s="7" t="str">
        <f aca="false">IF(I700="N/A","N/A",IF(N700="","Not tested",IF(W700="Rejected","Evidence rejected",IF(W700&lt;&gt;"Accepted","Evidence pending",IF(Y700&lt;'Residual Config'!$C$4,"Overdue","Current")))))</f>
        <v>Current</v>
      </c>
      <c r="AA700" s="34" t="n">
        <f aca="false">IF(I700="N/A","",IF(Z700&lt;&gt;"Current",4,IF(MAX(M700,T700)=0,4,MAX(M700,T700))))</f>
        <v>2</v>
      </c>
      <c r="AB700" s="7" t="str">
        <f aca="false">IF(AA700="","N/A",IF(Z700&lt;&gt;"Current","Not tested / overdue",INDEX('Residual Config'!$B$11:$B$14,AA700)))</f>
        <v>Largely effective</v>
      </c>
      <c r="AC700" s="36" t="n">
        <f aca="false">IF(AA700="","",INDEX('Residual Config'!$D$11:$D$14,AA700))</f>
        <v>0.4</v>
      </c>
      <c r="AD700" s="7" t="str">
        <f aca="false">IF(OR(I700="N/A",P700="",Q700=""),"",IF(P700&gt;=Q700,"Yes","No"))</f>
        <v>Yes</v>
      </c>
      <c r="AE700" s="8"/>
    </row>
    <row r="701" customFormat="false" ht="15" hidden="false" customHeight="false" outlineLevel="0" collapsed="false">
      <c r="A701" s="12" t="s">
        <v>2469</v>
      </c>
      <c r="B701" s="26" t="str">
        <f aca="false">Entities!$A$21</f>
        <v>EG</v>
      </c>
      <c r="C701" s="12" t="str">
        <f aca="false">INDEX(Entities!$B$5:$B$34,MATCH(B701,Entities!$A$5:$A$34,0))</f>
        <v>Arab Bank – Egypt</v>
      </c>
      <c r="D701" s="7" t="str">
        <f aca="false">INDEX(Entities!$F$5:$F$34,MATCH(B701,Entities!$A$5:$A$34,0))</f>
        <v>Tier 1</v>
      </c>
      <c r="E701" s="26" t="str">
        <f aca="false">'Control Library'!$A$13</f>
        <v>CTL-SAN-01</v>
      </c>
      <c r="F701" s="12" t="str">
        <f aca="false">INDEX('Control Library'!$B$5:$B$47,MATCH(E701,'Control Library'!$A$5:$A$47,0))</f>
        <v>Real-time payment and transaction sanctions screening</v>
      </c>
      <c r="G701" s="7" t="str">
        <f aca="false">INDEX('Control Library'!$F$5:$F$47,MATCH(E701,'Control Library'!$A$5:$A$47,0))</f>
        <v>Y</v>
      </c>
      <c r="H701" s="12" t="str">
        <f aca="false">INDEX('Control Library'!$E$5:$E$47,MATCH(E701,'Control Library'!$A$5:$A$47,0))</f>
        <v>Continuous</v>
      </c>
      <c r="I701" s="7" t="str">
        <f aca="false">IF(INDEX('Control Library'!$I$5:$I$47,MATCH(E701,'Control Library'!$A$5:$A$47,0))="All","Y",IF(INDEX('Control Library'!$I$5:$I$47,MATCH(E701,'Control Library'!$A$5:$A$47,0))="Banks only",IF(COUNTIF('Residual Config'!$L$28:$L$30,INDEX(Entities!$E$5:$E$34,MATCH(B701,Entities!$A$5:$A$34,0)))&gt;0,"N/A","Y"),IF(INDEX(Entities!$G$5:$G$34,MATCH(B701,Entities!$A$5:$A$34,0))="Y","Y","N/A")))</f>
        <v>Y</v>
      </c>
      <c r="J701" s="8" t="s">
        <v>2470</v>
      </c>
      <c r="K701" s="8" t="s">
        <v>752</v>
      </c>
      <c r="L701" s="7" t="str">
        <f aca="false">IF(OR(J701="",K701=""),"",IF(J701=K701,"Breach","OK"))</f>
        <v>OK</v>
      </c>
      <c r="M701" s="24" t="n">
        <v>2</v>
      </c>
      <c r="N701" s="50" t="n">
        <v>46282</v>
      </c>
      <c r="O701" s="8" t="s">
        <v>547</v>
      </c>
      <c r="P701" s="24" t="n">
        <v>1</v>
      </c>
      <c r="Q701" s="31" t="n">
        <f aca="false">IF(I701="N/A","",IFERROR(INDEX('Residual Config'!$B$35:$B$42,MATCH(H701,'Residual Config'!$A$35:$A$42,0)),""))</f>
        <v>1</v>
      </c>
      <c r="R701" s="24" t="n">
        <v>0</v>
      </c>
      <c r="S701" s="8" t="s">
        <v>516</v>
      </c>
      <c r="T701" s="31" t="n">
        <f aca="false">IF(S701="","",MATCH(S701,'Residual Config'!$L$9:$L$12,0))</f>
        <v>1</v>
      </c>
      <c r="U701" s="8" t="s">
        <v>2471</v>
      </c>
      <c r="V701" s="24" t="n">
        <v>1</v>
      </c>
      <c r="W701" s="33" t="s">
        <v>533</v>
      </c>
      <c r="X701" s="8" t="s">
        <v>760</v>
      </c>
      <c r="Y701" s="51" t="n">
        <f aca="false">IF(N701="","",EDATE(N701,IF(G701="N",INDEX('Residual Config'!$B$31:$D$31,1,MATCH(D701,'Residual Config'!$B$27:$D$27,0)),INDEX('Residual Config'!$B$28:$D$30,IF(T701=1,1,IF(T701=4,3,2)),MATCH(D701,'Residual Config'!$B$27:$D$27,0)))))</f>
        <v>46463</v>
      </c>
      <c r="Z701" s="7" t="str">
        <f aca="false">IF(I701="N/A","N/A",IF(N701="","Not tested",IF(W701="Rejected","Evidence rejected",IF(W701&lt;&gt;"Accepted","Evidence pending",IF(Y701&lt;'Residual Config'!$C$4,"Overdue","Current")))))</f>
        <v>Current</v>
      </c>
      <c r="AA701" s="34" t="n">
        <f aca="false">IF(I701="N/A","",IF(Z701&lt;&gt;"Current",4,IF(MAX(M701,T701)=0,4,MAX(M701,T701))))</f>
        <v>2</v>
      </c>
      <c r="AB701" s="7" t="str">
        <f aca="false">IF(AA701="","N/A",IF(Z701&lt;&gt;"Current","Not tested / overdue",INDEX('Residual Config'!$B$11:$B$14,AA701)))</f>
        <v>Largely effective</v>
      </c>
      <c r="AC701" s="36" t="n">
        <f aca="false">IF(AA701="","",INDEX('Residual Config'!$D$11:$D$14,AA701))</f>
        <v>0.4</v>
      </c>
      <c r="AD701" s="7" t="str">
        <f aca="false">IF(OR(I701="N/A",P701="",Q701=""),"",IF(P701&gt;=Q701,"Yes","No"))</f>
        <v>Yes</v>
      </c>
      <c r="AE701" s="8"/>
    </row>
    <row r="702" customFormat="false" ht="15" hidden="false" customHeight="false" outlineLevel="0" collapsed="false">
      <c r="A702" s="12" t="s">
        <v>2472</v>
      </c>
      <c r="B702" s="26" t="str">
        <f aca="false">Entities!$A$21</f>
        <v>EG</v>
      </c>
      <c r="C702" s="12" t="str">
        <f aca="false">INDEX(Entities!$B$5:$B$34,MATCH(B702,Entities!$A$5:$A$34,0))</f>
        <v>Arab Bank – Egypt</v>
      </c>
      <c r="D702" s="7" t="str">
        <f aca="false">INDEX(Entities!$F$5:$F$34,MATCH(B702,Entities!$A$5:$A$34,0))</f>
        <v>Tier 1</v>
      </c>
      <c r="E702" s="26" t="str">
        <f aca="false">'Control Library'!$A$14</f>
        <v>CTL-SAN-02</v>
      </c>
      <c r="F702" s="12" t="str">
        <f aca="false">INDEX('Control Library'!$B$5:$B$47,MATCH(E702,'Control Library'!$A$5:$A$47,0))</f>
        <v>Customer and counterparty screening at onboarding and on list change</v>
      </c>
      <c r="G702" s="7" t="str">
        <f aca="false">INDEX('Control Library'!$F$5:$F$47,MATCH(E702,'Control Library'!$A$5:$A$47,0))</f>
        <v>Y</v>
      </c>
      <c r="H702" s="12" t="str">
        <f aca="false">INDEX('Control Library'!$E$5:$E$47,MATCH(E702,'Control Library'!$A$5:$A$47,0))</f>
        <v>Continuous</v>
      </c>
      <c r="I702" s="7" t="str">
        <f aca="false">IF(INDEX('Control Library'!$I$5:$I$47,MATCH(E702,'Control Library'!$A$5:$A$47,0))="All","Y",IF(INDEX('Control Library'!$I$5:$I$47,MATCH(E702,'Control Library'!$A$5:$A$47,0))="Banks only",IF(COUNTIF('Residual Config'!$L$28:$L$30,INDEX(Entities!$E$5:$E$34,MATCH(B702,Entities!$A$5:$A$34,0)))&gt;0,"N/A","Y"),IF(INDEX(Entities!$G$5:$G$34,MATCH(B702,Entities!$A$5:$A$34,0))="Y","Y","N/A")))</f>
        <v>Y</v>
      </c>
      <c r="J702" s="8" t="s">
        <v>2470</v>
      </c>
      <c r="K702" s="8" t="s">
        <v>752</v>
      </c>
      <c r="L702" s="7" t="str">
        <f aca="false">IF(OR(J702="",K702=""),"",IF(J702=K702,"Breach","OK"))</f>
        <v>OK</v>
      </c>
      <c r="M702" s="24" t="n">
        <v>1</v>
      </c>
      <c r="N702" s="50" t="n">
        <v>46154</v>
      </c>
      <c r="O702" s="8" t="s">
        <v>547</v>
      </c>
      <c r="P702" s="24" t="n">
        <v>1</v>
      </c>
      <c r="Q702" s="31" t="n">
        <f aca="false">IF(I702="N/A","",IFERROR(INDEX('Residual Config'!$B$35:$B$42,MATCH(H702,'Residual Config'!$A$35:$A$42,0)),""))</f>
        <v>1</v>
      </c>
      <c r="R702" s="24" t="n">
        <v>0</v>
      </c>
      <c r="S702" s="8" t="s">
        <v>516</v>
      </c>
      <c r="T702" s="31" t="n">
        <f aca="false">IF(S702="","",MATCH(S702,'Residual Config'!$L$9:$L$12,0))</f>
        <v>1</v>
      </c>
      <c r="U702" s="8" t="s">
        <v>2473</v>
      </c>
      <c r="V702" s="24" t="n">
        <v>2</v>
      </c>
      <c r="W702" s="33" t="s">
        <v>533</v>
      </c>
      <c r="X702" s="8" t="s">
        <v>760</v>
      </c>
      <c r="Y702" s="51" t="n">
        <f aca="false">IF(N702="","",EDATE(N702,IF(G702="N",INDEX('Residual Config'!$B$31:$D$31,1,MATCH(D702,'Residual Config'!$B$27:$D$27,0)),INDEX('Residual Config'!$B$28:$D$30,IF(T702=1,1,IF(T702=4,3,2)),MATCH(D702,'Residual Config'!$B$27:$D$27,0)))))</f>
        <v>46338</v>
      </c>
      <c r="Z702" s="7" t="str">
        <f aca="false">IF(I702="N/A","N/A",IF(N702="","Not tested",IF(W702="Rejected","Evidence rejected",IF(W702&lt;&gt;"Accepted","Evidence pending",IF(Y702&lt;'Residual Config'!$C$4,"Overdue","Current")))))</f>
        <v>Current</v>
      </c>
      <c r="AA702" s="34" t="n">
        <f aca="false">IF(I702="N/A","",IF(Z702&lt;&gt;"Current",4,IF(MAX(M702,T702)=0,4,MAX(M702,T702))))</f>
        <v>1</v>
      </c>
      <c r="AB702" s="7" t="str">
        <f aca="false">IF(AA702="","N/A",IF(Z702&lt;&gt;"Current","Not tested / overdue",INDEX('Residual Config'!$B$11:$B$14,AA702)))</f>
        <v>Effective</v>
      </c>
      <c r="AC702" s="36" t="n">
        <f aca="false">IF(AA702="","",INDEX('Residual Config'!$D$11:$D$14,AA702))</f>
        <v>0.6</v>
      </c>
      <c r="AD702" s="7" t="str">
        <f aca="false">IF(OR(I702="N/A",P702="",Q702=""),"",IF(P702&gt;=Q702,"Yes","No"))</f>
        <v>Yes</v>
      </c>
      <c r="AE702" s="8"/>
    </row>
    <row r="703" customFormat="false" ht="15" hidden="false" customHeight="false" outlineLevel="0" collapsed="false">
      <c r="A703" s="12" t="s">
        <v>2474</v>
      </c>
      <c r="B703" s="26" t="str">
        <f aca="false">Entities!$A$21</f>
        <v>EG</v>
      </c>
      <c r="C703" s="12" t="str">
        <f aca="false">INDEX(Entities!$B$5:$B$34,MATCH(B703,Entities!$A$5:$A$34,0))</f>
        <v>Arab Bank – Egypt</v>
      </c>
      <c r="D703" s="7" t="str">
        <f aca="false">INDEX(Entities!$F$5:$F$34,MATCH(B703,Entities!$A$5:$A$34,0))</f>
        <v>Tier 1</v>
      </c>
      <c r="E703" s="26" t="str">
        <f aca="false">'Control Library'!$A$15</f>
        <v>CTL-SAN-03</v>
      </c>
      <c r="F703" s="12" t="str">
        <f aca="false">INDEX('Control Library'!$B$5:$B$47,MATCH(E703,'Control Library'!$A$5:$A$47,0))</f>
        <v>Sanctions list updates applied within 24 hours</v>
      </c>
      <c r="G703" s="7" t="str">
        <f aca="false">INDEX('Control Library'!$F$5:$F$47,MATCH(E703,'Control Library'!$A$5:$A$47,0))</f>
        <v>N</v>
      </c>
      <c r="H703" s="12" t="str">
        <f aca="false">INDEX('Control Library'!$E$5:$E$47,MATCH(E703,'Control Library'!$A$5:$A$47,0))</f>
        <v>Daily</v>
      </c>
      <c r="I703" s="7" t="str">
        <f aca="false">IF(INDEX('Control Library'!$I$5:$I$47,MATCH(E703,'Control Library'!$A$5:$A$47,0))="All","Y",IF(INDEX('Control Library'!$I$5:$I$47,MATCH(E703,'Control Library'!$A$5:$A$47,0))="Banks only",IF(COUNTIF('Residual Config'!$L$28:$L$30,INDEX(Entities!$E$5:$E$34,MATCH(B703,Entities!$A$5:$A$34,0)))&gt;0,"N/A","Y"),IF(INDEX(Entities!$G$5:$G$34,MATCH(B703,Entities!$A$5:$A$34,0))="Y","Y","N/A")))</f>
        <v>Y</v>
      </c>
      <c r="J703" s="8" t="s">
        <v>2475</v>
      </c>
      <c r="K703" s="8" t="s">
        <v>2460</v>
      </c>
      <c r="L703" s="7" t="str">
        <f aca="false">IF(OR(J703="",K703=""),"",IF(J703=K703,"Breach","OK"))</f>
        <v>OK</v>
      </c>
      <c r="M703" s="24" t="n">
        <v>1</v>
      </c>
      <c r="N703" s="50" t="n">
        <v>46286</v>
      </c>
      <c r="O703" s="8" t="s">
        <v>545</v>
      </c>
      <c r="P703" s="24" t="n">
        <v>35</v>
      </c>
      <c r="Q703" s="31" t="n">
        <f aca="false">IF(I703="N/A","",IFERROR(INDEX('Residual Config'!$B$35:$B$42,MATCH(H703,'Residual Config'!$A$35:$A$42,0)),""))</f>
        <v>25</v>
      </c>
      <c r="R703" s="24" t="n">
        <v>1</v>
      </c>
      <c r="S703" s="8" t="s">
        <v>521</v>
      </c>
      <c r="T703" s="31" t="n">
        <f aca="false">IF(S703="","",MATCH(S703,'Residual Config'!$L$9:$L$12,0))</f>
        <v>2</v>
      </c>
      <c r="U703" s="8" t="s">
        <v>2476</v>
      </c>
      <c r="V703" s="24" t="n">
        <v>1</v>
      </c>
      <c r="W703" s="33" t="s">
        <v>533</v>
      </c>
      <c r="X703" s="8" t="s">
        <v>754</v>
      </c>
      <c r="Y703" s="51" t="n">
        <f aca="false">IF(N703="","",EDATE(N703,IF(G703="N",INDEX('Residual Config'!$B$31:$D$31,1,MATCH(D703,'Residual Config'!$B$27:$D$27,0)),INDEX('Residual Config'!$B$28:$D$30,IF(T703=1,1,IF(T703=4,3,2)),MATCH(D703,'Residual Config'!$B$27:$D$27,0)))))</f>
        <v>46651</v>
      </c>
      <c r="Z703" s="7" t="str">
        <f aca="false">IF(I703="N/A","N/A",IF(N703="","Not tested",IF(W703="Rejected","Evidence rejected",IF(W703&lt;&gt;"Accepted","Evidence pending",IF(Y703&lt;'Residual Config'!$C$4,"Overdue","Current")))))</f>
        <v>Current</v>
      </c>
      <c r="AA703" s="34" t="n">
        <f aca="false">IF(I703="N/A","",IF(Z703&lt;&gt;"Current",4,IF(MAX(M703,T703)=0,4,MAX(M703,T703))))</f>
        <v>2</v>
      </c>
      <c r="AB703" s="7" t="str">
        <f aca="false">IF(AA703="","N/A",IF(Z703&lt;&gt;"Current","Not tested / overdue",INDEX('Residual Config'!$B$11:$B$14,AA703)))</f>
        <v>Largely effective</v>
      </c>
      <c r="AC703" s="36" t="n">
        <f aca="false">IF(AA703="","",INDEX('Residual Config'!$D$11:$D$14,AA703))</f>
        <v>0.4</v>
      </c>
      <c r="AD703" s="7" t="str">
        <f aca="false">IF(OR(I703="N/A",P703="",Q703=""),"",IF(P703&gt;=Q703,"Yes","No"))</f>
        <v>Yes</v>
      </c>
      <c r="AE703" s="8"/>
    </row>
    <row r="704" customFormat="false" ht="15" hidden="false" customHeight="false" outlineLevel="0" collapsed="false">
      <c r="A704" s="12" t="s">
        <v>2477</v>
      </c>
      <c r="B704" s="26" t="str">
        <f aca="false">Entities!$A$21</f>
        <v>EG</v>
      </c>
      <c r="C704" s="12" t="str">
        <f aca="false">INDEX(Entities!$B$5:$B$34,MATCH(B704,Entities!$A$5:$A$34,0))</f>
        <v>Arab Bank – Egypt</v>
      </c>
      <c r="D704" s="7" t="str">
        <f aca="false">INDEX(Entities!$F$5:$F$34,MATCH(B704,Entities!$A$5:$A$34,0))</f>
        <v>Tier 1</v>
      </c>
      <c r="E704" s="26" t="str">
        <f aca="false">'Control Library'!$A$16</f>
        <v>CTL-TF-01</v>
      </c>
      <c r="F704" s="12" t="str">
        <f aca="false">INDEX('Control Library'!$B$5:$B$47,MATCH(E704,'Control Library'!$A$5:$A$47,0))</f>
        <v>NPO and charity enhanced due diligence</v>
      </c>
      <c r="G704" s="7" t="str">
        <f aca="false">INDEX('Control Library'!$F$5:$F$47,MATCH(E704,'Control Library'!$A$5:$A$47,0))</f>
        <v>N</v>
      </c>
      <c r="H704" s="12" t="str">
        <f aca="false">INDEX('Control Library'!$E$5:$E$47,MATCH(E704,'Control Library'!$A$5:$A$47,0))</f>
        <v>Event-driven</v>
      </c>
      <c r="I704" s="7" t="str">
        <f aca="false">IF(INDEX('Control Library'!$I$5:$I$47,MATCH(E704,'Control Library'!$A$5:$A$47,0))="All","Y",IF(INDEX('Control Library'!$I$5:$I$47,MATCH(E704,'Control Library'!$A$5:$A$47,0))="Banks only",IF(COUNTIF('Residual Config'!$L$28:$L$30,INDEX(Entities!$E$5:$E$34,MATCH(B704,Entities!$A$5:$A$34,0)))&gt;0,"N/A","Y"),IF(INDEX(Entities!$G$5:$G$34,MATCH(B704,Entities!$A$5:$A$34,0))="Y","Y","N/A")))</f>
        <v>Y</v>
      </c>
      <c r="J704" s="8" t="s">
        <v>2478</v>
      </c>
      <c r="K704" s="8" t="s">
        <v>2460</v>
      </c>
      <c r="L704" s="7" t="str">
        <f aca="false">IF(OR(J704="",K704=""),"",IF(J704=K704,"Breach","OK"))</f>
        <v>OK</v>
      </c>
      <c r="M704" s="24" t="n">
        <v>1</v>
      </c>
      <c r="N704" s="50" t="n">
        <v>46196</v>
      </c>
      <c r="O704" s="8" t="s">
        <v>545</v>
      </c>
      <c r="P704" s="24" t="n">
        <v>25</v>
      </c>
      <c r="Q704" s="31" t="n">
        <f aca="false">IF(I704="N/A","",IFERROR(INDEX('Residual Config'!$B$35:$B$42,MATCH(H704,'Residual Config'!$A$35:$A$42,0)),""))</f>
        <v>25</v>
      </c>
      <c r="R704" s="24" t="n">
        <v>0</v>
      </c>
      <c r="S704" s="8" t="s">
        <v>516</v>
      </c>
      <c r="T704" s="31" t="n">
        <f aca="false">IF(S704="","",MATCH(S704,'Residual Config'!$L$9:$L$12,0))</f>
        <v>1</v>
      </c>
      <c r="U704" s="8" t="s">
        <v>2479</v>
      </c>
      <c r="V704" s="24" t="n">
        <v>3</v>
      </c>
      <c r="W704" s="33" t="s">
        <v>533</v>
      </c>
      <c r="X704" s="8" t="s">
        <v>754</v>
      </c>
      <c r="Y704" s="51" t="n">
        <f aca="false">IF(N704="","",EDATE(N704,IF(G704="N",INDEX('Residual Config'!$B$31:$D$31,1,MATCH(D704,'Residual Config'!$B$27:$D$27,0)),INDEX('Residual Config'!$B$28:$D$30,IF(T704=1,1,IF(T704=4,3,2)),MATCH(D704,'Residual Config'!$B$27:$D$27,0)))))</f>
        <v>46561</v>
      </c>
      <c r="Z704" s="7" t="str">
        <f aca="false">IF(I704="N/A","N/A",IF(N704="","Not tested",IF(W704="Rejected","Evidence rejected",IF(W704&lt;&gt;"Accepted","Evidence pending",IF(Y704&lt;'Residual Config'!$C$4,"Overdue","Current")))))</f>
        <v>Current</v>
      </c>
      <c r="AA704" s="34" t="n">
        <f aca="false">IF(I704="N/A","",IF(Z704&lt;&gt;"Current",4,IF(MAX(M704,T704)=0,4,MAX(M704,T704))))</f>
        <v>1</v>
      </c>
      <c r="AB704" s="7" t="str">
        <f aca="false">IF(AA704="","N/A",IF(Z704&lt;&gt;"Current","Not tested / overdue",INDEX('Residual Config'!$B$11:$B$14,AA704)))</f>
        <v>Effective</v>
      </c>
      <c r="AC704" s="36" t="n">
        <f aca="false">IF(AA704="","",INDEX('Residual Config'!$D$11:$D$14,AA704))</f>
        <v>0.6</v>
      </c>
      <c r="AD704" s="7" t="str">
        <f aca="false">IF(OR(I704="N/A",P704="",Q704=""),"",IF(P704&gt;=Q704,"Yes","No"))</f>
        <v>Yes</v>
      </c>
      <c r="AE704" s="8"/>
    </row>
    <row r="705" customFormat="false" ht="15" hidden="false" customHeight="false" outlineLevel="0" collapsed="false">
      <c r="A705" s="12" t="s">
        <v>2480</v>
      </c>
      <c r="B705" s="26" t="str">
        <f aca="false">Entities!$A$21</f>
        <v>EG</v>
      </c>
      <c r="C705" s="12" t="str">
        <f aca="false">INDEX(Entities!$B$5:$B$34,MATCH(B705,Entities!$A$5:$A$34,0))</f>
        <v>Arab Bank – Egypt</v>
      </c>
      <c r="D705" s="7" t="str">
        <f aca="false">INDEX(Entities!$F$5:$F$34,MATCH(B705,Entities!$A$5:$A$34,0))</f>
        <v>Tier 1</v>
      </c>
      <c r="E705" s="26" t="str">
        <f aca="false">'Control Library'!$A$17</f>
        <v>CTL-TBML-01</v>
      </c>
      <c r="F705" s="12" t="str">
        <f aca="false">INDEX('Control Library'!$B$5:$B$47,MATCH(E705,'Control Library'!$A$5:$A$47,0))</f>
        <v>Trade-based ML red-flag review and pricing checks</v>
      </c>
      <c r="G705" s="7" t="str">
        <f aca="false">INDEX('Control Library'!$F$5:$F$47,MATCH(E705,'Control Library'!$A$5:$A$47,0))</f>
        <v>Y</v>
      </c>
      <c r="H705" s="12" t="str">
        <f aca="false">INDEX('Control Library'!$E$5:$E$47,MATCH(E705,'Control Library'!$A$5:$A$47,0))</f>
        <v>Event-driven</v>
      </c>
      <c r="I705" s="7" t="str">
        <f aca="false">IF(INDEX('Control Library'!$I$5:$I$47,MATCH(E705,'Control Library'!$A$5:$A$47,0))="All","Y",IF(INDEX('Control Library'!$I$5:$I$47,MATCH(E705,'Control Library'!$A$5:$A$47,0))="Banks only",IF(COUNTIF('Residual Config'!$L$28:$L$30,INDEX(Entities!$E$5:$E$34,MATCH(B705,Entities!$A$5:$A$34,0)))&gt;0,"N/A","Y"),IF(INDEX(Entities!$G$5:$G$34,MATCH(B705,Entities!$A$5:$A$34,0))="Y","Y","N/A")))</f>
        <v>Y</v>
      </c>
      <c r="J705" s="8" t="s">
        <v>2481</v>
      </c>
      <c r="K705" s="8" t="s">
        <v>752</v>
      </c>
      <c r="L705" s="7" t="str">
        <f aca="false">IF(OR(J705="",K705=""),"",IF(J705=K705,"Breach","OK"))</f>
        <v>OK</v>
      </c>
      <c r="M705" s="24" t="n">
        <v>1</v>
      </c>
      <c r="N705" s="50" t="n">
        <v>46136</v>
      </c>
      <c r="O705" s="8" t="s">
        <v>545</v>
      </c>
      <c r="P705" s="24" t="n">
        <v>35</v>
      </c>
      <c r="Q705" s="31" t="n">
        <f aca="false">IF(I705="N/A","",IFERROR(INDEX('Residual Config'!$B$35:$B$42,MATCH(H705,'Residual Config'!$A$35:$A$42,0)),""))</f>
        <v>25</v>
      </c>
      <c r="R705" s="24" t="n">
        <v>0</v>
      </c>
      <c r="S705" s="8" t="s">
        <v>516</v>
      </c>
      <c r="T705" s="31" t="n">
        <f aca="false">IF(S705="","",MATCH(S705,'Residual Config'!$L$9:$L$12,0))</f>
        <v>1</v>
      </c>
      <c r="U705" s="8" t="s">
        <v>2482</v>
      </c>
      <c r="V705" s="24" t="n">
        <v>5</v>
      </c>
      <c r="W705" s="33" t="s">
        <v>533</v>
      </c>
      <c r="X705" s="8" t="s">
        <v>754</v>
      </c>
      <c r="Y705" s="51" t="n">
        <f aca="false">IF(N705="","",EDATE(N705,IF(G705="N",INDEX('Residual Config'!$B$31:$D$31,1,MATCH(D705,'Residual Config'!$B$27:$D$27,0)),INDEX('Residual Config'!$B$28:$D$30,IF(T705=1,1,IF(T705=4,3,2)),MATCH(D705,'Residual Config'!$B$27:$D$27,0)))))</f>
        <v>46319</v>
      </c>
      <c r="Z705" s="7" t="str">
        <f aca="false">IF(I705="N/A","N/A",IF(N705="","Not tested",IF(W705="Rejected","Evidence rejected",IF(W705&lt;&gt;"Accepted","Evidence pending",IF(Y705&lt;'Residual Config'!$C$4,"Overdue","Current")))))</f>
        <v>Current</v>
      </c>
      <c r="AA705" s="34" t="n">
        <f aca="false">IF(I705="N/A","",IF(Z705&lt;&gt;"Current",4,IF(MAX(M705,T705)=0,4,MAX(M705,T705))))</f>
        <v>1</v>
      </c>
      <c r="AB705" s="7" t="str">
        <f aca="false">IF(AA705="","N/A",IF(Z705&lt;&gt;"Current","Not tested / overdue",INDEX('Residual Config'!$B$11:$B$14,AA705)))</f>
        <v>Effective</v>
      </c>
      <c r="AC705" s="36" t="n">
        <f aca="false">IF(AA705="","",INDEX('Residual Config'!$D$11:$D$14,AA705))</f>
        <v>0.6</v>
      </c>
      <c r="AD705" s="7" t="str">
        <f aca="false">IF(OR(I705="N/A",P705="",Q705=""),"",IF(P705&gt;=Q705,"Yes","No"))</f>
        <v>Yes</v>
      </c>
      <c r="AE705" s="8"/>
    </row>
    <row r="706" customFormat="false" ht="15" hidden="false" customHeight="false" outlineLevel="0" collapsed="false">
      <c r="A706" s="12" t="s">
        <v>2483</v>
      </c>
      <c r="B706" s="26" t="str">
        <f aca="false">Entities!$A$21</f>
        <v>EG</v>
      </c>
      <c r="C706" s="12" t="str">
        <f aca="false">INDEX(Entities!$B$5:$B$34,MATCH(B706,Entities!$A$5:$A$34,0))</f>
        <v>Arab Bank – Egypt</v>
      </c>
      <c r="D706" s="7" t="str">
        <f aca="false">INDEX(Entities!$F$5:$F$34,MATCH(B706,Entities!$A$5:$A$34,0))</f>
        <v>Tier 1</v>
      </c>
      <c r="E706" s="26" t="str">
        <f aca="false">'Control Library'!$A$18</f>
        <v>CTL-PF-01</v>
      </c>
      <c r="F706" s="12" t="str">
        <f aca="false">INDEX('Control Library'!$B$5:$B$47,MATCH(E706,'Control Library'!$A$5:$A$47,0))</f>
        <v>Dual-use goods, vessel and port screening</v>
      </c>
      <c r="G706" s="7" t="str">
        <f aca="false">INDEX('Control Library'!$F$5:$F$47,MATCH(E706,'Control Library'!$A$5:$A$47,0))</f>
        <v>Y</v>
      </c>
      <c r="H706" s="12" t="str">
        <f aca="false">INDEX('Control Library'!$E$5:$E$47,MATCH(E706,'Control Library'!$A$5:$A$47,0))</f>
        <v>Event-driven</v>
      </c>
      <c r="I706" s="7" t="str">
        <f aca="false">IF(INDEX('Control Library'!$I$5:$I$47,MATCH(E706,'Control Library'!$A$5:$A$47,0))="All","Y",IF(INDEX('Control Library'!$I$5:$I$47,MATCH(E706,'Control Library'!$A$5:$A$47,0))="Banks only",IF(COUNTIF('Residual Config'!$L$28:$L$30,INDEX(Entities!$E$5:$E$34,MATCH(B706,Entities!$A$5:$A$34,0)))&gt;0,"N/A","Y"),IF(INDEX(Entities!$G$5:$G$34,MATCH(B706,Entities!$A$5:$A$34,0))="Y","Y","N/A")))</f>
        <v>Y</v>
      </c>
      <c r="J706" s="8" t="s">
        <v>2481</v>
      </c>
      <c r="K706" s="8" t="s">
        <v>752</v>
      </c>
      <c r="L706" s="7" t="str">
        <f aca="false">IF(OR(J706="",K706=""),"",IF(J706=K706,"Breach","OK"))</f>
        <v>OK</v>
      </c>
      <c r="M706" s="24" t="n">
        <v>2</v>
      </c>
      <c r="N706" s="50" t="n">
        <v>46253</v>
      </c>
      <c r="O706" s="8" t="s">
        <v>545</v>
      </c>
      <c r="P706" s="24" t="n">
        <v>25</v>
      </c>
      <c r="Q706" s="31" t="n">
        <f aca="false">IF(I706="N/A","",IFERROR(INDEX('Residual Config'!$B$35:$B$42,MATCH(H706,'Residual Config'!$A$35:$A$42,0)),""))</f>
        <v>25</v>
      </c>
      <c r="R706" s="24" t="n">
        <v>1</v>
      </c>
      <c r="S706" s="8" t="s">
        <v>521</v>
      </c>
      <c r="T706" s="31" t="n">
        <f aca="false">IF(S706="","",MATCH(S706,'Residual Config'!$L$9:$L$12,0))</f>
        <v>2</v>
      </c>
      <c r="U706" s="8" t="s">
        <v>2484</v>
      </c>
      <c r="V706" s="24" t="n">
        <v>6</v>
      </c>
      <c r="W706" s="33" t="s">
        <v>533</v>
      </c>
      <c r="X706" s="8" t="s">
        <v>754</v>
      </c>
      <c r="Y706" s="51" t="n">
        <f aca="false">IF(N706="","",EDATE(N706,IF(G706="N",INDEX('Residual Config'!$B$31:$D$31,1,MATCH(D706,'Residual Config'!$B$27:$D$27,0)),INDEX('Residual Config'!$B$28:$D$30,IF(T706=1,1,IF(T706=4,3,2)),MATCH(D706,'Residual Config'!$B$27:$D$27,0)))))</f>
        <v>46345</v>
      </c>
      <c r="Z706" s="7" t="str">
        <f aca="false">IF(I706="N/A","N/A",IF(N706="","Not tested",IF(W706="Rejected","Evidence rejected",IF(W706&lt;&gt;"Accepted","Evidence pending",IF(Y706&lt;'Residual Config'!$C$4,"Overdue","Current")))))</f>
        <v>Current</v>
      </c>
      <c r="AA706" s="34" t="n">
        <f aca="false">IF(I706="N/A","",IF(Z706&lt;&gt;"Current",4,IF(MAX(M706,T706)=0,4,MAX(M706,T706))))</f>
        <v>2</v>
      </c>
      <c r="AB706" s="7" t="str">
        <f aca="false">IF(AA706="","N/A",IF(Z706&lt;&gt;"Current","Not tested / overdue",INDEX('Residual Config'!$B$11:$B$14,AA706)))</f>
        <v>Largely effective</v>
      </c>
      <c r="AC706" s="36" t="n">
        <f aca="false">IF(AA706="","",INDEX('Residual Config'!$D$11:$D$14,AA706))</f>
        <v>0.4</v>
      </c>
      <c r="AD706" s="7" t="str">
        <f aca="false">IF(OR(I706="N/A",P706="",Q706=""),"",IF(P706&gt;=Q706,"Yes","No"))</f>
        <v>Yes</v>
      </c>
      <c r="AE706" s="8"/>
    </row>
    <row r="707" customFormat="false" ht="15" hidden="false" customHeight="false" outlineLevel="0" collapsed="false">
      <c r="A707" s="12" t="s">
        <v>2485</v>
      </c>
      <c r="B707" s="26" t="str">
        <f aca="false">Entities!$A$21</f>
        <v>EG</v>
      </c>
      <c r="C707" s="12" t="str">
        <f aca="false">INDEX(Entities!$B$5:$B$34,MATCH(B707,Entities!$A$5:$A$34,0))</f>
        <v>Arab Bank – Egypt</v>
      </c>
      <c r="D707" s="7" t="str">
        <f aca="false">INDEX(Entities!$F$5:$F$34,MATCH(B707,Entities!$A$5:$A$34,0))</f>
        <v>Tier 1</v>
      </c>
      <c r="E707" s="26" t="str">
        <f aca="false">'Control Library'!$A$19</f>
        <v>CTL-CB-01</v>
      </c>
      <c r="F707" s="12" t="str">
        <f aca="false">INDEX('Control Library'!$B$5:$B$47,MATCH(E707,'Control Library'!$A$5:$A$47,0))</f>
        <v>Correspondent bank due diligence (CBDDQ) and nesting detection</v>
      </c>
      <c r="G707" s="7" t="str">
        <f aca="false">INDEX('Control Library'!$F$5:$F$47,MATCH(E707,'Control Library'!$A$5:$A$47,0))</f>
        <v>Y</v>
      </c>
      <c r="H707" s="12" t="str">
        <f aca="false">INDEX('Control Library'!$E$5:$E$47,MATCH(E707,'Control Library'!$A$5:$A$47,0))</f>
        <v>Annual</v>
      </c>
      <c r="I707" s="7" t="str">
        <f aca="false">IF(INDEX('Control Library'!$I$5:$I$47,MATCH(E707,'Control Library'!$A$5:$A$47,0))="All","Y",IF(INDEX('Control Library'!$I$5:$I$47,MATCH(E707,'Control Library'!$A$5:$A$47,0))="Banks only",IF(COUNTIF('Residual Config'!$L$28:$L$30,INDEX(Entities!$E$5:$E$34,MATCH(B707,Entities!$A$5:$A$34,0)))&gt;0,"N/A","Y"),IF(INDEX(Entities!$G$5:$G$34,MATCH(B707,Entities!$A$5:$A$34,0))="Y","Y","N/A")))</f>
        <v>Y</v>
      </c>
      <c r="J707" s="8" t="s">
        <v>2486</v>
      </c>
      <c r="K707" s="8" t="s">
        <v>752</v>
      </c>
      <c r="L707" s="7" t="str">
        <f aca="false">IF(OR(J707="",K707=""),"",IF(J707=K707,"Breach","OK"))</f>
        <v>OK</v>
      </c>
      <c r="M707" s="24" t="n">
        <v>2</v>
      </c>
      <c r="N707" s="50" t="n">
        <v>46281</v>
      </c>
      <c r="O707" s="8" t="s">
        <v>545</v>
      </c>
      <c r="P707" s="24" t="n">
        <v>1</v>
      </c>
      <c r="Q707" s="31" t="n">
        <f aca="false">IF(I707="N/A","",IFERROR(INDEX('Residual Config'!$B$35:$B$42,MATCH(H707,'Residual Config'!$A$35:$A$42,0)),""))</f>
        <v>1</v>
      </c>
      <c r="R707" s="24" t="n">
        <v>1</v>
      </c>
      <c r="S707" s="8" t="s">
        <v>521</v>
      </c>
      <c r="T707" s="31" t="n">
        <f aca="false">IF(S707="","",MATCH(S707,'Residual Config'!$L$9:$L$12,0))</f>
        <v>2</v>
      </c>
      <c r="U707" s="8" t="s">
        <v>2487</v>
      </c>
      <c r="V707" s="24" t="n">
        <v>5</v>
      </c>
      <c r="W707" s="33" t="s">
        <v>533</v>
      </c>
      <c r="X707" s="8" t="s">
        <v>754</v>
      </c>
      <c r="Y707" s="51" t="n">
        <f aca="false">IF(N707="","",EDATE(N707,IF(G707="N",INDEX('Residual Config'!$B$31:$D$31,1,MATCH(D707,'Residual Config'!$B$27:$D$27,0)),INDEX('Residual Config'!$B$28:$D$30,IF(T707=1,1,IF(T707=4,3,2)),MATCH(D707,'Residual Config'!$B$27:$D$27,0)))))</f>
        <v>46372</v>
      </c>
      <c r="Z707" s="7" t="str">
        <f aca="false">IF(I707="N/A","N/A",IF(N707="","Not tested",IF(W707="Rejected","Evidence rejected",IF(W707&lt;&gt;"Accepted","Evidence pending",IF(Y707&lt;'Residual Config'!$C$4,"Overdue","Current")))))</f>
        <v>Current</v>
      </c>
      <c r="AA707" s="34" t="n">
        <f aca="false">IF(I707="N/A","",IF(Z707&lt;&gt;"Current",4,IF(MAX(M707,T707)=0,4,MAX(M707,T707))))</f>
        <v>2</v>
      </c>
      <c r="AB707" s="7" t="str">
        <f aca="false">IF(AA707="","N/A",IF(Z707&lt;&gt;"Current","Not tested / overdue",INDEX('Residual Config'!$B$11:$B$14,AA707)))</f>
        <v>Largely effective</v>
      </c>
      <c r="AC707" s="36" t="n">
        <f aca="false">IF(AA707="","",INDEX('Residual Config'!$D$11:$D$14,AA707))</f>
        <v>0.4</v>
      </c>
      <c r="AD707" s="7" t="str">
        <f aca="false">IF(OR(I707="N/A",P707="",Q707=""),"",IF(P707&gt;=Q707,"Yes","No"))</f>
        <v>Yes</v>
      </c>
      <c r="AE707" s="8"/>
    </row>
    <row r="708" customFormat="false" ht="15" hidden="false" customHeight="false" outlineLevel="0" collapsed="false">
      <c r="A708" s="12" t="s">
        <v>2488</v>
      </c>
      <c r="B708" s="26" t="str">
        <f aca="false">Entities!$A$21</f>
        <v>EG</v>
      </c>
      <c r="C708" s="12" t="str">
        <f aca="false">INDEX(Entities!$B$5:$B$34,MATCH(B708,Entities!$A$5:$A$34,0))</f>
        <v>Arab Bank – Egypt</v>
      </c>
      <c r="D708" s="7" t="str">
        <f aca="false">INDEX(Entities!$F$5:$F$34,MATCH(B708,Entities!$A$5:$A$34,0))</f>
        <v>Tier 1</v>
      </c>
      <c r="E708" s="26" t="str">
        <f aca="false">'Control Library'!$A$20</f>
        <v>CTL-PAY-01</v>
      </c>
      <c r="F708" s="12" t="str">
        <f aca="false">INDEX('Control Library'!$B$5:$B$47,MATCH(E708,'Control Library'!$A$5:$A$47,0))</f>
        <v>Payment transparency checks (FATF R.16)</v>
      </c>
      <c r="G708" s="7" t="str">
        <f aca="false">INDEX('Control Library'!$F$5:$F$47,MATCH(E708,'Control Library'!$A$5:$A$47,0))</f>
        <v>N</v>
      </c>
      <c r="H708" s="12" t="str">
        <f aca="false">INDEX('Control Library'!$E$5:$E$47,MATCH(E708,'Control Library'!$A$5:$A$47,0))</f>
        <v>Continuous</v>
      </c>
      <c r="I708" s="7" t="str">
        <f aca="false">IF(INDEX('Control Library'!$I$5:$I$47,MATCH(E708,'Control Library'!$A$5:$A$47,0))="All","Y",IF(INDEX('Control Library'!$I$5:$I$47,MATCH(E708,'Control Library'!$A$5:$A$47,0))="Banks only",IF(COUNTIF('Residual Config'!$L$28:$L$30,INDEX(Entities!$E$5:$E$34,MATCH(B708,Entities!$A$5:$A$34,0)))&gt;0,"N/A","Y"),IF(INDEX(Entities!$G$5:$G$34,MATCH(B708,Entities!$A$5:$A$34,0))="Y","Y","N/A")))</f>
        <v>Y</v>
      </c>
      <c r="J708" s="8" t="s">
        <v>2489</v>
      </c>
      <c r="K708" s="8" t="s">
        <v>2460</v>
      </c>
      <c r="L708" s="7" t="str">
        <f aca="false">IF(OR(J708="",K708=""),"",IF(J708=K708,"Breach","OK"))</f>
        <v>OK</v>
      </c>
      <c r="M708" s="24" t="n">
        <v>2</v>
      </c>
      <c r="N708" s="50" t="n">
        <v>46234</v>
      </c>
      <c r="O708" s="8" t="s">
        <v>546</v>
      </c>
      <c r="P708" s="24" t="n">
        <v>1</v>
      </c>
      <c r="Q708" s="31" t="n">
        <f aca="false">IF(I708="N/A","",IFERROR(INDEX('Residual Config'!$B$35:$B$42,MATCH(H708,'Residual Config'!$A$35:$A$42,0)),""))</f>
        <v>1</v>
      </c>
      <c r="R708" s="24" t="n">
        <v>0</v>
      </c>
      <c r="S708" s="8" t="s">
        <v>516</v>
      </c>
      <c r="T708" s="31" t="n">
        <f aca="false">IF(S708="","",MATCH(S708,'Residual Config'!$L$9:$L$12,0))</f>
        <v>1</v>
      </c>
      <c r="U708" s="8" t="s">
        <v>2490</v>
      </c>
      <c r="V708" s="24" t="n">
        <v>4</v>
      </c>
      <c r="W708" s="33" t="s">
        <v>533</v>
      </c>
      <c r="X708" s="8" t="s">
        <v>760</v>
      </c>
      <c r="Y708" s="51" t="n">
        <f aca="false">IF(N708="","",EDATE(N708,IF(G708="N",INDEX('Residual Config'!$B$31:$D$31,1,MATCH(D708,'Residual Config'!$B$27:$D$27,0)),INDEX('Residual Config'!$B$28:$D$30,IF(T708=1,1,IF(T708=4,3,2)),MATCH(D708,'Residual Config'!$B$27:$D$27,0)))))</f>
        <v>46599</v>
      </c>
      <c r="Z708" s="7" t="str">
        <f aca="false">IF(I708="N/A","N/A",IF(N708="","Not tested",IF(W708="Rejected","Evidence rejected",IF(W708&lt;&gt;"Accepted","Evidence pending",IF(Y708&lt;'Residual Config'!$C$4,"Overdue","Current")))))</f>
        <v>Current</v>
      </c>
      <c r="AA708" s="34" t="n">
        <f aca="false">IF(I708="N/A","",IF(Z708&lt;&gt;"Current",4,IF(MAX(M708,T708)=0,4,MAX(M708,T708))))</f>
        <v>2</v>
      </c>
      <c r="AB708" s="7" t="str">
        <f aca="false">IF(AA708="","N/A",IF(Z708&lt;&gt;"Current","Not tested / overdue",INDEX('Residual Config'!$B$11:$B$14,AA708)))</f>
        <v>Largely effective</v>
      </c>
      <c r="AC708" s="36" t="n">
        <f aca="false">IF(AA708="","",INDEX('Residual Config'!$D$11:$D$14,AA708))</f>
        <v>0.4</v>
      </c>
      <c r="AD708" s="7" t="str">
        <f aca="false">IF(OR(I708="N/A",P708="",Q708=""),"",IF(P708&gt;=Q708,"Yes","No"))</f>
        <v>Yes</v>
      </c>
      <c r="AE708" s="8"/>
    </row>
    <row r="709" customFormat="false" ht="15" hidden="false" customHeight="false" outlineLevel="0" collapsed="false">
      <c r="A709" s="12" t="s">
        <v>2491</v>
      </c>
      <c r="B709" s="26" t="str">
        <f aca="false">Entities!$A$21</f>
        <v>EG</v>
      </c>
      <c r="C709" s="12" t="str">
        <f aca="false">INDEX(Entities!$B$5:$B$34,MATCH(B709,Entities!$A$5:$A$34,0))</f>
        <v>Arab Bank – Egypt</v>
      </c>
      <c r="D709" s="7" t="str">
        <f aca="false">INDEX(Entities!$F$5:$F$34,MATCH(B709,Entities!$A$5:$A$34,0))</f>
        <v>Tier 1</v>
      </c>
      <c r="E709" s="26" t="str">
        <f aca="false">'Control Library'!$A$21</f>
        <v>CTL-ABC-01</v>
      </c>
      <c r="F709" s="12" t="str">
        <f aca="false">INDEX('Control Library'!$B$5:$B$47,MATCH(E709,'Control Library'!$A$5:$A$47,0))</f>
        <v>Third-party and intermediary anti-bribery due diligence</v>
      </c>
      <c r="G709" s="7" t="str">
        <f aca="false">INDEX('Control Library'!$F$5:$F$47,MATCH(E709,'Control Library'!$A$5:$A$47,0))</f>
        <v>Y</v>
      </c>
      <c r="H709" s="12" t="str">
        <f aca="false">INDEX('Control Library'!$E$5:$E$47,MATCH(E709,'Control Library'!$A$5:$A$47,0))</f>
        <v>Event-driven</v>
      </c>
      <c r="I709" s="7" t="str">
        <f aca="false">IF(INDEX('Control Library'!$I$5:$I$47,MATCH(E709,'Control Library'!$A$5:$A$47,0))="All","Y",IF(INDEX('Control Library'!$I$5:$I$47,MATCH(E709,'Control Library'!$A$5:$A$47,0))="Banks only",IF(COUNTIF('Residual Config'!$L$28:$L$30,INDEX(Entities!$E$5:$E$34,MATCH(B709,Entities!$A$5:$A$34,0)))&gt;0,"N/A","Y"),IF(INDEX(Entities!$G$5:$G$34,MATCH(B709,Entities!$A$5:$A$34,0))="Y","Y","N/A")))</f>
        <v>Y</v>
      </c>
      <c r="J709" s="8" t="s">
        <v>2492</v>
      </c>
      <c r="K709" s="8" t="s">
        <v>752</v>
      </c>
      <c r="L709" s="7" t="str">
        <f aca="false">IF(OR(J709="",K709=""),"",IF(J709=K709,"Breach","OK"))</f>
        <v>OK</v>
      </c>
      <c r="M709" s="24" t="n">
        <v>1</v>
      </c>
      <c r="N709" s="50" t="n">
        <v>46239</v>
      </c>
      <c r="O709" s="8" t="s">
        <v>545</v>
      </c>
      <c r="P709" s="24" t="n">
        <v>25</v>
      </c>
      <c r="Q709" s="31" t="n">
        <f aca="false">IF(I709="N/A","",IFERROR(INDEX('Residual Config'!$B$35:$B$42,MATCH(H709,'Residual Config'!$A$35:$A$42,0)),""))</f>
        <v>25</v>
      </c>
      <c r="R709" s="24" t="n">
        <v>0</v>
      </c>
      <c r="S709" s="8" t="s">
        <v>516</v>
      </c>
      <c r="T709" s="31" t="n">
        <f aca="false">IF(S709="","",MATCH(S709,'Residual Config'!$L$9:$L$12,0))</f>
        <v>1</v>
      </c>
      <c r="U709" s="8" t="s">
        <v>2493</v>
      </c>
      <c r="V709" s="24" t="n">
        <v>3</v>
      </c>
      <c r="W709" s="33" t="s">
        <v>533</v>
      </c>
      <c r="X709" s="8" t="s">
        <v>754</v>
      </c>
      <c r="Y709" s="51" t="n">
        <f aca="false">IF(N709="","",EDATE(N709,IF(G709="N",INDEX('Residual Config'!$B$31:$D$31,1,MATCH(D709,'Residual Config'!$B$27:$D$27,0)),INDEX('Residual Config'!$B$28:$D$30,IF(T709=1,1,IF(T709=4,3,2)),MATCH(D709,'Residual Config'!$B$27:$D$27,0)))))</f>
        <v>46423</v>
      </c>
      <c r="Z709" s="7" t="str">
        <f aca="false">IF(I709="N/A","N/A",IF(N709="","Not tested",IF(W709="Rejected","Evidence rejected",IF(W709&lt;&gt;"Accepted","Evidence pending",IF(Y709&lt;'Residual Config'!$C$4,"Overdue","Current")))))</f>
        <v>Current</v>
      </c>
      <c r="AA709" s="34" t="n">
        <f aca="false">IF(I709="N/A","",IF(Z709&lt;&gt;"Current",4,IF(MAX(M709,T709)=0,4,MAX(M709,T709))))</f>
        <v>1</v>
      </c>
      <c r="AB709" s="7" t="str">
        <f aca="false">IF(AA709="","N/A",IF(Z709&lt;&gt;"Current","Not tested / overdue",INDEX('Residual Config'!$B$11:$B$14,AA709)))</f>
        <v>Effective</v>
      </c>
      <c r="AC709" s="36" t="n">
        <f aca="false">IF(AA709="","",INDEX('Residual Config'!$D$11:$D$14,AA709))</f>
        <v>0.6</v>
      </c>
      <c r="AD709" s="7" t="str">
        <f aca="false">IF(OR(I709="N/A",P709="",Q709=""),"",IF(P709&gt;=Q709,"Yes","No"))</f>
        <v>Yes</v>
      </c>
      <c r="AE709" s="8"/>
    </row>
    <row r="710" customFormat="false" ht="15" hidden="false" customHeight="false" outlineLevel="0" collapsed="false">
      <c r="A710" s="12" t="s">
        <v>2494</v>
      </c>
      <c r="B710" s="26" t="str">
        <f aca="false">Entities!$A$21</f>
        <v>EG</v>
      </c>
      <c r="C710" s="12" t="str">
        <f aca="false">INDEX(Entities!$B$5:$B$34,MATCH(B710,Entities!$A$5:$A$34,0))</f>
        <v>Arab Bank – Egypt</v>
      </c>
      <c r="D710" s="7" t="str">
        <f aca="false">INDEX(Entities!$F$5:$F$34,MATCH(B710,Entities!$A$5:$A$34,0))</f>
        <v>Tier 1</v>
      </c>
      <c r="E710" s="26" t="str">
        <f aca="false">'Control Library'!$A$22</f>
        <v>CTL-ABC-02</v>
      </c>
      <c r="F710" s="12" t="str">
        <f aca="false">INDEX('Control Library'!$B$5:$B$47,MATCH(E710,'Control Library'!$A$5:$A$47,0))</f>
        <v>Gifts, hospitality and donations register with pre-approval</v>
      </c>
      <c r="G710" s="7" t="str">
        <f aca="false">INDEX('Control Library'!$F$5:$F$47,MATCH(E710,'Control Library'!$A$5:$A$47,0))</f>
        <v>N</v>
      </c>
      <c r="H710" s="12" t="str">
        <f aca="false">INDEX('Control Library'!$E$5:$E$47,MATCH(E710,'Control Library'!$A$5:$A$47,0))</f>
        <v>Event-driven</v>
      </c>
      <c r="I710" s="7" t="str">
        <f aca="false">IF(INDEX('Control Library'!$I$5:$I$47,MATCH(E710,'Control Library'!$A$5:$A$47,0))="All","Y",IF(INDEX('Control Library'!$I$5:$I$47,MATCH(E710,'Control Library'!$A$5:$A$47,0))="Banks only",IF(COUNTIF('Residual Config'!$L$28:$L$30,INDEX(Entities!$E$5:$E$34,MATCH(B710,Entities!$A$5:$A$34,0)))&gt;0,"N/A","Y"),IF(INDEX(Entities!$G$5:$G$34,MATCH(B710,Entities!$A$5:$A$34,0))="Y","Y","N/A")))</f>
        <v>Y</v>
      </c>
      <c r="J710" s="8" t="s">
        <v>2453</v>
      </c>
      <c r="K710" s="8" t="s">
        <v>2460</v>
      </c>
      <c r="L710" s="7" t="str">
        <f aca="false">IF(OR(J710="",K710=""),"",IF(J710=K710,"Breach","OK"))</f>
        <v>OK</v>
      </c>
      <c r="M710" s="24" t="n">
        <v>1</v>
      </c>
      <c r="N710" s="50" t="n">
        <v>45998</v>
      </c>
      <c r="O710" s="8" t="s">
        <v>546</v>
      </c>
      <c r="P710" s="24" t="n">
        <v>25</v>
      </c>
      <c r="Q710" s="31" t="n">
        <f aca="false">IF(I710="N/A","",IFERROR(INDEX('Residual Config'!$B$35:$B$42,MATCH(H710,'Residual Config'!$A$35:$A$42,0)),""))</f>
        <v>25</v>
      </c>
      <c r="R710" s="24" t="n">
        <v>0</v>
      </c>
      <c r="S710" s="8" t="s">
        <v>516</v>
      </c>
      <c r="T710" s="31" t="n">
        <f aca="false">IF(S710="","",MATCH(S710,'Residual Config'!$L$9:$L$12,0))</f>
        <v>1</v>
      </c>
      <c r="U710" s="8" t="s">
        <v>2495</v>
      </c>
      <c r="V710" s="24" t="n">
        <v>4</v>
      </c>
      <c r="W710" s="33" t="s">
        <v>533</v>
      </c>
      <c r="X710" s="8" t="s">
        <v>760</v>
      </c>
      <c r="Y710" s="51" t="n">
        <f aca="false">IF(N710="","",EDATE(N710,IF(G710="N",INDEX('Residual Config'!$B$31:$D$31,1,MATCH(D710,'Residual Config'!$B$27:$D$27,0)),INDEX('Residual Config'!$B$28:$D$30,IF(T710=1,1,IF(T710=4,3,2)),MATCH(D710,'Residual Config'!$B$27:$D$27,0)))))</f>
        <v>46363</v>
      </c>
      <c r="Z710" s="7" t="str">
        <f aca="false">IF(I710="N/A","N/A",IF(N710="","Not tested",IF(W710="Rejected","Evidence rejected",IF(W710&lt;&gt;"Accepted","Evidence pending",IF(Y710&lt;'Residual Config'!$C$4,"Overdue","Current")))))</f>
        <v>Current</v>
      </c>
      <c r="AA710" s="34" t="n">
        <f aca="false">IF(I710="N/A","",IF(Z710&lt;&gt;"Current",4,IF(MAX(M710,T710)=0,4,MAX(M710,T710))))</f>
        <v>1</v>
      </c>
      <c r="AB710" s="7" t="str">
        <f aca="false">IF(AA710="","N/A",IF(Z710&lt;&gt;"Current","Not tested / overdue",INDEX('Residual Config'!$B$11:$B$14,AA710)))</f>
        <v>Effective</v>
      </c>
      <c r="AC710" s="36" t="n">
        <f aca="false">IF(AA710="","",INDEX('Residual Config'!$D$11:$D$14,AA710))</f>
        <v>0.6</v>
      </c>
      <c r="AD710" s="7" t="str">
        <f aca="false">IF(OR(I710="N/A",P710="",Q710=""),"",IF(P710&gt;=Q710,"Yes","No"))</f>
        <v>Yes</v>
      </c>
      <c r="AE710" s="8"/>
    </row>
    <row r="711" customFormat="false" ht="15" hidden="false" customHeight="false" outlineLevel="0" collapsed="false">
      <c r="A711" s="12" t="s">
        <v>2496</v>
      </c>
      <c r="B711" s="26" t="str">
        <f aca="false">Entities!$A$21</f>
        <v>EG</v>
      </c>
      <c r="C711" s="12" t="str">
        <f aca="false">INDEX(Entities!$B$5:$B$34,MATCH(B711,Entities!$A$5:$A$34,0))</f>
        <v>Arab Bank – Egypt</v>
      </c>
      <c r="D711" s="7" t="str">
        <f aca="false">INDEX(Entities!$F$5:$F$34,MATCH(B711,Entities!$A$5:$A$34,0))</f>
        <v>Tier 1</v>
      </c>
      <c r="E711" s="26" t="str">
        <f aca="false">'Control Library'!$A$23</f>
        <v>CTL-FRD-01</v>
      </c>
      <c r="F711" s="12" t="str">
        <f aca="false">INDEX('Control Library'!$B$5:$B$47,MATCH(E711,'Control Library'!$A$5:$A$47,0))</f>
        <v>Real-time fraud monitoring for cards and digital channels</v>
      </c>
      <c r="G711" s="7" t="str">
        <f aca="false">INDEX('Control Library'!$F$5:$F$47,MATCH(E711,'Control Library'!$A$5:$A$47,0))</f>
        <v>Y</v>
      </c>
      <c r="H711" s="12" t="str">
        <f aca="false">INDEX('Control Library'!$E$5:$E$47,MATCH(E711,'Control Library'!$A$5:$A$47,0))</f>
        <v>Continuous</v>
      </c>
      <c r="I711" s="7" t="str">
        <f aca="false">IF(INDEX('Control Library'!$I$5:$I$47,MATCH(E711,'Control Library'!$A$5:$A$47,0))="All","Y",IF(INDEX('Control Library'!$I$5:$I$47,MATCH(E711,'Control Library'!$A$5:$A$47,0))="Banks only",IF(COUNTIF('Residual Config'!$L$28:$L$30,INDEX(Entities!$E$5:$E$34,MATCH(B711,Entities!$A$5:$A$34,0)))&gt;0,"N/A","Y"),IF(INDEX(Entities!$G$5:$G$34,MATCH(B711,Entities!$A$5:$A$34,0))="Y","Y","N/A")))</f>
        <v>Y</v>
      </c>
      <c r="J711" s="8" t="s">
        <v>2497</v>
      </c>
      <c r="K711" s="8" t="s">
        <v>752</v>
      </c>
      <c r="L711" s="7" t="str">
        <f aca="false">IF(OR(J711="",K711=""),"",IF(J711=K711,"Breach","OK"))</f>
        <v>OK</v>
      </c>
      <c r="M711" s="24" t="n">
        <v>2</v>
      </c>
      <c r="N711" s="50" t="n">
        <v>46251</v>
      </c>
      <c r="O711" s="8" t="s">
        <v>547</v>
      </c>
      <c r="P711" s="24" t="n">
        <v>1</v>
      </c>
      <c r="Q711" s="31" t="n">
        <f aca="false">IF(I711="N/A","",IFERROR(INDEX('Residual Config'!$B$35:$B$42,MATCH(H711,'Residual Config'!$A$35:$A$42,0)),""))</f>
        <v>1</v>
      </c>
      <c r="R711" s="24" t="n">
        <v>1</v>
      </c>
      <c r="S711" s="8" t="s">
        <v>524</v>
      </c>
      <c r="T711" s="31" t="n">
        <f aca="false">IF(S711="","",MATCH(S711,'Residual Config'!$L$9:$L$12,0))</f>
        <v>3</v>
      </c>
      <c r="U711" s="8" t="s">
        <v>2498</v>
      </c>
      <c r="V711" s="24" t="n">
        <v>2</v>
      </c>
      <c r="W711" s="33" t="s">
        <v>533</v>
      </c>
      <c r="X711" s="8" t="s">
        <v>760</v>
      </c>
      <c r="Y711" s="51" t="n">
        <f aca="false">IF(N711="","",EDATE(N711,IF(G711="N",INDEX('Residual Config'!$B$31:$D$31,1,MATCH(D711,'Residual Config'!$B$27:$D$27,0)),INDEX('Residual Config'!$B$28:$D$30,IF(T711=1,1,IF(T711=4,3,2)),MATCH(D711,'Residual Config'!$B$27:$D$27,0)))))</f>
        <v>46343</v>
      </c>
      <c r="Z711" s="7" t="str">
        <f aca="false">IF(I711="N/A","N/A",IF(N711="","Not tested",IF(W711="Rejected","Evidence rejected",IF(W711&lt;&gt;"Accepted","Evidence pending",IF(Y711&lt;'Residual Config'!$C$4,"Overdue","Current")))))</f>
        <v>Current</v>
      </c>
      <c r="AA711" s="34" t="n">
        <f aca="false">IF(I711="N/A","",IF(Z711&lt;&gt;"Current",4,IF(MAX(M711,T711)=0,4,MAX(M711,T711))))</f>
        <v>3</v>
      </c>
      <c r="AB711" s="7" t="str">
        <f aca="false">IF(AA711="","N/A",IF(Z711&lt;&gt;"Current","Not tested / overdue",INDEX('Residual Config'!$B$11:$B$14,AA711)))</f>
        <v>Partially effective</v>
      </c>
      <c r="AC711" s="36" t="n">
        <f aca="false">IF(AA711="","",INDEX('Residual Config'!$D$11:$D$14,AA711))</f>
        <v>0.2</v>
      </c>
      <c r="AD711" s="7" t="str">
        <f aca="false">IF(OR(I711="N/A",P711="",Q711=""),"",IF(P711&gt;=Q711,"Yes","No"))</f>
        <v>Yes</v>
      </c>
      <c r="AE711" s="8"/>
    </row>
    <row r="712" customFormat="false" ht="15" hidden="false" customHeight="false" outlineLevel="0" collapsed="false">
      <c r="A712" s="12" t="s">
        <v>2499</v>
      </c>
      <c r="B712" s="26" t="str">
        <f aca="false">Entities!$A$21</f>
        <v>EG</v>
      </c>
      <c r="C712" s="12" t="str">
        <f aca="false">INDEX(Entities!$B$5:$B$34,MATCH(B712,Entities!$A$5:$A$34,0))</f>
        <v>Arab Bank – Egypt</v>
      </c>
      <c r="D712" s="7" t="str">
        <f aca="false">INDEX(Entities!$F$5:$F$34,MATCH(B712,Entities!$A$5:$A$34,0))</f>
        <v>Tier 1</v>
      </c>
      <c r="E712" s="26" t="str">
        <f aca="false">'Control Library'!$A$24</f>
        <v>CTL-FRD-02</v>
      </c>
      <c r="F712" s="12" t="str">
        <f aca="false">INDEX('Control Library'!$B$5:$B$47,MATCH(E712,'Control Library'!$A$5:$A$47,0))</f>
        <v>Maker-checker and dual control on payments and static data</v>
      </c>
      <c r="G712" s="7" t="str">
        <f aca="false">INDEX('Control Library'!$F$5:$F$47,MATCH(E712,'Control Library'!$A$5:$A$47,0))</f>
        <v>Y</v>
      </c>
      <c r="H712" s="12" t="str">
        <f aca="false">INDEX('Control Library'!$E$5:$E$47,MATCH(E712,'Control Library'!$A$5:$A$47,0))</f>
        <v>Daily</v>
      </c>
      <c r="I712" s="7" t="str">
        <f aca="false">IF(INDEX('Control Library'!$I$5:$I$47,MATCH(E712,'Control Library'!$A$5:$A$47,0))="All","Y",IF(INDEX('Control Library'!$I$5:$I$47,MATCH(E712,'Control Library'!$A$5:$A$47,0))="Banks only",IF(COUNTIF('Residual Config'!$L$28:$L$30,INDEX(Entities!$E$5:$E$34,MATCH(B712,Entities!$A$5:$A$34,0)))&gt;0,"N/A","Y"),IF(INDEX(Entities!$G$5:$G$34,MATCH(B712,Entities!$A$5:$A$34,0))="Y","Y","N/A")))</f>
        <v>Y</v>
      </c>
      <c r="J712" s="8" t="s">
        <v>2450</v>
      </c>
      <c r="K712" s="8" t="s">
        <v>752</v>
      </c>
      <c r="L712" s="7" t="str">
        <f aca="false">IF(OR(J712="",K712=""),"",IF(J712=K712,"Breach","OK"))</f>
        <v>OK</v>
      </c>
      <c r="M712" s="24" t="n">
        <v>1</v>
      </c>
      <c r="N712" s="50" t="n">
        <v>46274</v>
      </c>
      <c r="O712" s="8" t="s">
        <v>545</v>
      </c>
      <c r="P712" s="24" t="n">
        <v>25</v>
      </c>
      <c r="Q712" s="31" t="n">
        <f aca="false">IF(I712="N/A","",IFERROR(INDEX('Residual Config'!$B$35:$B$42,MATCH(H712,'Residual Config'!$A$35:$A$42,0)),""))</f>
        <v>25</v>
      </c>
      <c r="R712" s="24" t="n">
        <v>0</v>
      </c>
      <c r="S712" s="8" t="s">
        <v>516</v>
      </c>
      <c r="T712" s="31" t="n">
        <f aca="false">IF(S712="","",MATCH(S712,'Residual Config'!$L$9:$L$12,0))</f>
        <v>1</v>
      </c>
      <c r="U712" s="8" t="s">
        <v>2500</v>
      </c>
      <c r="V712" s="24" t="n">
        <v>1</v>
      </c>
      <c r="W712" s="33" t="s">
        <v>535</v>
      </c>
      <c r="X712" s="8" t="s">
        <v>754</v>
      </c>
      <c r="Y712" s="51" t="n">
        <f aca="false">IF(N712="","",EDATE(N712,IF(G712="N",INDEX('Residual Config'!$B$31:$D$31,1,MATCH(D712,'Residual Config'!$B$27:$D$27,0)),INDEX('Residual Config'!$B$28:$D$30,IF(T712=1,1,IF(T712=4,3,2)),MATCH(D712,'Residual Config'!$B$27:$D$27,0)))))</f>
        <v>46455</v>
      </c>
      <c r="Z712" s="7" t="str">
        <f aca="false">IF(I712="N/A","N/A",IF(N712="","Not tested",IF(W712="Rejected","Evidence rejected",IF(W712&lt;&gt;"Accepted","Evidence pending",IF(Y712&lt;'Residual Config'!$C$4,"Overdue","Current")))))</f>
        <v>Evidence rejected</v>
      </c>
      <c r="AA712" s="34" t="n">
        <f aca="false">IF(I712="N/A","",IF(Z712&lt;&gt;"Current",4,IF(MAX(M712,T712)=0,4,MAX(M712,T712))))</f>
        <v>4</v>
      </c>
      <c r="AB712" s="7" t="str">
        <f aca="false">IF(AA712="","N/A",IF(Z712&lt;&gt;"Current","Not tested / overdue",INDEX('Residual Config'!$B$11:$B$14,AA712)))</f>
        <v>Not tested / overdue</v>
      </c>
      <c r="AC712" s="36" t="n">
        <f aca="false">IF(AA712="","",INDEX('Residual Config'!$D$11:$D$14,AA712))</f>
        <v>0</v>
      </c>
      <c r="AD712" s="7" t="str">
        <f aca="false">IF(OR(I712="N/A",P712="",Q712=""),"",IF(P712&gt;=Q712,"Yes","No"))</f>
        <v>Yes</v>
      </c>
      <c r="AE712" s="8"/>
    </row>
    <row r="713" customFormat="false" ht="15" hidden="false" customHeight="false" outlineLevel="0" collapsed="false">
      <c r="A713" s="12" t="s">
        <v>2501</v>
      </c>
      <c r="B713" s="26" t="str">
        <f aca="false">Entities!$A$21</f>
        <v>EG</v>
      </c>
      <c r="C713" s="12" t="str">
        <f aca="false">INDEX(Entities!$B$5:$B$34,MATCH(B713,Entities!$A$5:$A$34,0))</f>
        <v>Arab Bank – Egypt</v>
      </c>
      <c r="D713" s="7" t="str">
        <f aca="false">INDEX(Entities!$F$5:$F$34,MATCH(B713,Entities!$A$5:$A$34,0))</f>
        <v>Tier 1</v>
      </c>
      <c r="E713" s="26" t="str">
        <f aca="false">'Control Library'!$A$25</f>
        <v>CTL-FRD-03</v>
      </c>
      <c r="F713" s="12" t="str">
        <f aca="false">INDEX('Control Library'!$B$5:$B$47,MATCH(E713,'Control Library'!$A$5:$A$47,0))</f>
        <v>Mandatory consecutive leave and rotation for sensitive roles</v>
      </c>
      <c r="G713" s="7" t="str">
        <f aca="false">INDEX('Control Library'!$F$5:$F$47,MATCH(E713,'Control Library'!$A$5:$A$47,0))</f>
        <v>N</v>
      </c>
      <c r="H713" s="12" t="str">
        <f aca="false">INDEX('Control Library'!$E$5:$E$47,MATCH(E713,'Control Library'!$A$5:$A$47,0))</f>
        <v>Annual</v>
      </c>
      <c r="I713" s="7" t="str">
        <f aca="false">IF(INDEX('Control Library'!$I$5:$I$47,MATCH(E713,'Control Library'!$A$5:$A$47,0))="All","Y",IF(INDEX('Control Library'!$I$5:$I$47,MATCH(E713,'Control Library'!$A$5:$A$47,0))="Banks only",IF(COUNTIF('Residual Config'!$L$28:$L$30,INDEX(Entities!$E$5:$E$34,MATCH(B713,Entities!$A$5:$A$34,0)))&gt;0,"N/A","Y"),IF(INDEX(Entities!$G$5:$G$34,MATCH(B713,Entities!$A$5:$A$34,0))="Y","Y","N/A")))</f>
        <v>Y</v>
      </c>
      <c r="J713" s="8" t="s">
        <v>2502</v>
      </c>
      <c r="K713" s="8" t="s">
        <v>2460</v>
      </c>
      <c r="L713" s="7" t="str">
        <f aca="false">IF(OR(J713="",K713=""),"",IF(J713=K713,"Breach","OK"))</f>
        <v>OK</v>
      </c>
      <c r="M713" s="24" t="n">
        <v>1</v>
      </c>
      <c r="N713" s="50" t="n">
        <v>46069</v>
      </c>
      <c r="O713" s="8" t="s">
        <v>545</v>
      </c>
      <c r="P713" s="24" t="n">
        <v>1</v>
      </c>
      <c r="Q713" s="31" t="n">
        <f aca="false">IF(I713="N/A","",IFERROR(INDEX('Residual Config'!$B$35:$B$42,MATCH(H713,'Residual Config'!$A$35:$A$42,0)),""))</f>
        <v>1</v>
      </c>
      <c r="R713" s="24" t="n">
        <v>0</v>
      </c>
      <c r="S713" s="8" t="s">
        <v>516</v>
      </c>
      <c r="T713" s="31" t="n">
        <f aca="false">IF(S713="","",MATCH(S713,'Residual Config'!$L$9:$L$12,0))</f>
        <v>1</v>
      </c>
      <c r="U713" s="8" t="s">
        <v>2503</v>
      </c>
      <c r="V713" s="24" t="n">
        <v>2</v>
      </c>
      <c r="W713" s="33" t="s">
        <v>533</v>
      </c>
      <c r="X713" s="8" t="s">
        <v>760</v>
      </c>
      <c r="Y713" s="51" t="n">
        <f aca="false">IF(N713="","",EDATE(N713,IF(G713="N",INDEX('Residual Config'!$B$31:$D$31,1,MATCH(D713,'Residual Config'!$B$27:$D$27,0)),INDEX('Residual Config'!$B$28:$D$30,IF(T713=1,1,IF(T713=4,3,2)),MATCH(D713,'Residual Config'!$B$27:$D$27,0)))))</f>
        <v>46434</v>
      </c>
      <c r="Z713" s="7" t="str">
        <f aca="false">IF(I713="N/A","N/A",IF(N713="","Not tested",IF(W713="Rejected","Evidence rejected",IF(W713&lt;&gt;"Accepted","Evidence pending",IF(Y713&lt;'Residual Config'!$C$4,"Overdue","Current")))))</f>
        <v>Current</v>
      </c>
      <c r="AA713" s="34" t="n">
        <f aca="false">IF(I713="N/A","",IF(Z713&lt;&gt;"Current",4,IF(MAX(M713,T713)=0,4,MAX(M713,T713))))</f>
        <v>1</v>
      </c>
      <c r="AB713" s="7" t="str">
        <f aca="false">IF(AA713="","N/A",IF(Z713&lt;&gt;"Current","Not tested / overdue",INDEX('Residual Config'!$B$11:$B$14,AA713)))</f>
        <v>Effective</v>
      </c>
      <c r="AC713" s="36" t="n">
        <f aca="false">IF(AA713="","",INDEX('Residual Config'!$D$11:$D$14,AA713))</f>
        <v>0.6</v>
      </c>
      <c r="AD713" s="7" t="str">
        <f aca="false">IF(OR(I713="N/A",P713="",Q713=""),"",IF(P713&gt;=Q713,"Yes","No"))</f>
        <v>Yes</v>
      </c>
      <c r="AE713" s="8"/>
    </row>
    <row r="714" customFormat="false" ht="15" hidden="false" customHeight="false" outlineLevel="0" collapsed="false">
      <c r="A714" s="12" t="s">
        <v>2504</v>
      </c>
      <c r="B714" s="26" t="str">
        <f aca="false">Entities!$A$21</f>
        <v>EG</v>
      </c>
      <c r="C714" s="12" t="str">
        <f aca="false">INDEX(Entities!$B$5:$B$34,MATCH(B714,Entities!$A$5:$A$34,0))</f>
        <v>Arab Bank – Egypt</v>
      </c>
      <c r="D714" s="7" t="str">
        <f aca="false">INDEX(Entities!$F$5:$F$34,MATCH(B714,Entities!$A$5:$A$34,0))</f>
        <v>Tier 1</v>
      </c>
      <c r="E714" s="26" t="str">
        <f aca="false">'Control Library'!$A$26</f>
        <v>CTL-TAX-01</v>
      </c>
      <c r="F714" s="12" t="str">
        <f aca="false">INDEX('Control Library'!$B$5:$B$47,MATCH(E714,'Control Library'!$A$5:$A$47,0))</f>
        <v>FATCA/CRS self-certification and classification</v>
      </c>
      <c r="G714" s="7" t="str">
        <f aca="false">INDEX('Control Library'!$F$5:$F$47,MATCH(E714,'Control Library'!$A$5:$A$47,0))</f>
        <v>Y</v>
      </c>
      <c r="H714" s="12" t="str">
        <f aca="false">INDEX('Control Library'!$E$5:$E$47,MATCH(E714,'Control Library'!$A$5:$A$47,0))</f>
        <v>Event-driven</v>
      </c>
      <c r="I714" s="7" t="str">
        <f aca="false">IF(INDEX('Control Library'!$I$5:$I$47,MATCH(E714,'Control Library'!$A$5:$A$47,0))="All","Y",IF(INDEX('Control Library'!$I$5:$I$47,MATCH(E714,'Control Library'!$A$5:$A$47,0))="Banks only",IF(COUNTIF('Residual Config'!$L$28:$L$30,INDEX(Entities!$E$5:$E$34,MATCH(B714,Entities!$A$5:$A$34,0)))&gt;0,"N/A","Y"),IF(INDEX(Entities!$G$5:$G$34,MATCH(B714,Entities!$A$5:$A$34,0))="Y","Y","N/A")))</f>
        <v>Y</v>
      </c>
      <c r="J714" s="8" t="s">
        <v>2450</v>
      </c>
      <c r="K714" s="8" t="s">
        <v>752</v>
      </c>
      <c r="L714" s="7" t="str">
        <f aca="false">IF(OR(J714="",K714=""),"",IF(J714=K714,"Breach","OK"))</f>
        <v>OK</v>
      </c>
      <c r="M714" s="24" t="n">
        <v>1</v>
      </c>
      <c r="N714" s="50" t="n">
        <v>46282</v>
      </c>
      <c r="O714" s="8" t="s">
        <v>545</v>
      </c>
      <c r="P714" s="24" t="n">
        <v>30</v>
      </c>
      <c r="Q714" s="31" t="n">
        <f aca="false">IF(I714="N/A","",IFERROR(INDEX('Residual Config'!$B$35:$B$42,MATCH(H714,'Residual Config'!$A$35:$A$42,0)),""))</f>
        <v>25</v>
      </c>
      <c r="R714" s="24" t="n">
        <v>0</v>
      </c>
      <c r="S714" s="8" t="s">
        <v>516</v>
      </c>
      <c r="T714" s="31" t="n">
        <f aca="false">IF(S714="","",MATCH(S714,'Residual Config'!$L$9:$L$12,0))</f>
        <v>1</v>
      </c>
      <c r="U714" s="8" t="s">
        <v>2505</v>
      </c>
      <c r="V714" s="24" t="n">
        <v>1</v>
      </c>
      <c r="W714" s="33" t="s">
        <v>533</v>
      </c>
      <c r="X714" s="8" t="s">
        <v>760</v>
      </c>
      <c r="Y714" s="51" t="n">
        <f aca="false">IF(N714="","",EDATE(N714,IF(G714="N",INDEX('Residual Config'!$B$31:$D$31,1,MATCH(D714,'Residual Config'!$B$27:$D$27,0)),INDEX('Residual Config'!$B$28:$D$30,IF(T714=1,1,IF(T714=4,3,2)),MATCH(D714,'Residual Config'!$B$27:$D$27,0)))))</f>
        <v>46463</v>
      </c>
      <c r="Z714" s="7" t="str">
        <f aca="false">IF(I714="N/A","N/A",IF(N714="","Not tested",IF(W714="Rejected","Evidence rejected",IF(W714&lt;&gt;"Accepted","Evidence pending",IF(Y714&lt;'Residual Config'!$C$4,"Overdue","Current")))))</f>
        <v>Current</v>
      </c>
      <c r="AA714" s="34" t="n">
        <f aca="false">IF(I714="N/A","",IF(Z714&lt;&gt;"Current",4,IF(MAX(M714,T714)=0,4,MAX(M714,T714))))</f>
        <v>1</v>
      </c>
      <c r="AB714" s="7" t="str">
        <f aca="false">IF(AA714="","N/A",IF(Z714&lt;&gt;"Current","Not tested / overdue",INDEX('Residual Config'!$B$11:$B$14,AA714)))</f>
        <v>Effective</v>
      </c>
      <c r="AC714" s="36" t="n">
        <f aca="false">IF(AA714="","",INDEX('Residual Config'!$D$11:$D$14,AA714))</f>
        <v>0.6</v>
      </c>
      <c r="AD714" s="7" t="str">
        <f aca="false">IF(OR(I714="N/A",P714="",Q714=""),"",IF(P714&gt;=Q714,"Yes","No"))</f>
        <v>Yes</v>
      </c>
      <c r="AE714" s="8"/>
    </row>
    <row r="715" customFormat="false" ht="15" hidden="false" customHeight="false" outlineLevel="0" collapsed="false">
      <c r="A715" s="12" t="s">
        <v>2506</v>
      </c>
      <c r="B715" s="26" t="str">
        <f aca="false">Entities!$A$21</f>
        <v>EG</v>
      </c>
      <c r="C715" s="12" t="str">
        <f aca="false">INDEX(Entities!$B$5:$B$34,MATCH(B715,Entities!$A$5:$A$34,0))</f>
        <v>Arab Bank – Egypt</v>
      </c>
      <c r="D715" s="7" t="str">
        <f aca="false">INDEX(Entities!$F$5:$F$34,MATCH(B715,Entities!$A$5:$A$34,0))</f>
        <v>Tier 1</v>
      </c>
      <c r="E715" s="26" t="str">
        <f aca="false">'Control Library'!$A$27</f>
        <v>CTL-TAX-02</v>
      </c>
      <c r="F715" s="12" t="str">
        <f aca="false">INDEX('Control Library'!$B$5:$B$47,MATCH(E715,'Control Library'!$A$5:$A$47,0))</f>
        <v>FATCA/CRS reporting reconciliation and timely filing</v>
      </c>
      <c r="G715" s="7" t="str">
        <f aca="false">INDEX('Control Library'!$F$5:$F$47,MATCH(E715,'Control Library'!$A$5:$A$47,0))</f>
        <v>N</v>
      </c>
      <c r="H715" s="12" t="str">
        <f aca="false">INDEX('Control Library'!$E$5:$E$47,MATCH(E715,'Control Library'!$A$5:$A$47,0))</f>
        <v>Annual</v>
      </c>
      <c r="I715" s="7" t="str">
        <f aca="false">IF(INDEX('Control Library'!$I$5:$I$47,MATCH(E715,'Control Library'!$A$5:$A$47,0))="All","Y",IF(INDEX('Control Library'!$I$5:$I$47,MATCH(E715,'Control Library'!$A$5:$A$47,0))="Banks only",IF(COUNTIF('Residual Config'!$L$28:$L$30,INDEX(Entities!$E$5:$E$34,MATCH(B715,Entities!$A$5:$A$34,0)))&gt;0,"N/A","Y"),IF(INDEX(Entities!$G$5:$G$34,MATCH(B715,Entities!$A$5:$A$34,0))="Y","Y","N/A")))</f>
        <v>Y</v>
      </c>
      <c r="J715" s="8" t="s">
        <v>2507</v>
      </c>
      <c r="K715" s="8" t="s">
        <v>2460</v>
      </c>
      <c r="L715" s="7" t="str">
        <f aca="false">IF(OR(J715="",K715=""),"",IF(J715=K715,"Breach","OK"))</f>
        <v>OK</v>
      </c>
      <c r="M715" s="24" t="n">
        <v>2</v>
      </c>
      <c r="N715" s="50" t="n">
        <v>46079</v>
      </c>
      <c r="O715" s="8" t="s">
        <v>545</v>
      </c>
      <c r="P715" s="24" t="n">
        <v>1</v>
      </c>
      <c r="Q715" s="31" t="n">
        <f aca="false">IF(I715="N/A","",IFERROR(INDEX('Residual Config'!$B$35:$B$42,MATCH(H715,'Residual Config'!$A$35:$A$42,0)),""))</f>
        <v>1</v>
      </c>
      <c r="R715" s="24" t="n">
        <v>1</v>
      </c>
      <c r="S715" s="8" t="s">
        <v>521</v>
      </c>
      <c r="T715" s="31" t="n">
        <f aca="false">IF(S715="","",MATCH(S715,'Residual Config'!$L$9:$L$12,0))</f>
        <v>2</v>
      </c>
      <c r="U715" s="8" t="s">
        <v>2508</v>
      </c>
      <c r="V715" s="24" t="n">
        <v>4</v>
      </c>
      <c r="W715" s="33" t="s">
        <v>533</v>
      </c>
      <c r="X715" s="8" t="s">
        <v>754</v>
      </c>
      <c r="Y715" s="51" t="n">
        <f aca="false">IF(N715="","",EDATE(N715,IF(G715="N",INDEX('Residual Config'!$B$31:$D$31,1,MATCH(D715,'Residual Config'!$B$27:$D$27,0)),INDEX('Residual Config'!$B$28:$D$30,IF(T715=1,1,IF(T715=4,3,2)),MATCH(D715,'Residual Config'!$B$27:$D$27,0)))))</f>
        <v>46444</v>
      </c>
      <c r="Z715" s="7" t="str">
        <f aca="false">IF(I715="N/A","N/A",IF(N715="","Not tested",IF(W715="Rejected","Evidence rejected",IF(W715&lt;&gt;"Accepted","Evidence pending",IF(Y715&lt;'Residual Config'!$C$4,"Overdue","Current")))))</f>
        <v>Current</v>
      </c>
      <c r="AA715" s="34" t="n">
        <f aca="false">IF(I715="N/A","",IF(Z715&lt;&gt;"Current",4,IF(MAX(M715,T715)=0,4,MAX(M715,T715))))</f>
        <v>2</v>
      </c>
      <c r="AB715" s="7" t="str">
        <f aca="false">IF(AA715="","N/A",IF(Z715&lt;&gt;"Current","Not tested / overdue",INDEX('Residual Config'!$B$11:$B$14,AA715)))</f>
        <v>Largely effective</v>
      </c>
      <c r="AC715" s="36" t="n">
        <f aca="false">IF(AA715="","",INDEX('Residual Config'!$D$11:$D$14,AA715))</f>
        <v>0.4</v>
      </c>
      <c r="AD715" s="7" t="str">
        <f aca="false">IF(OR(I715="N/A",P715="",Q715=""),"",IF(P715&gt;=Q715,"Yes","No"))</f>
        <v>Yes</v>
      </c>
      <c r="AE715" s="8"/>
    </row>
    <row r="716" customFormat="false" ht="15" hidden="false" customHeight="false" outlineLevel="0" collapsed="false">
      <c r="A716" s="12" t="s">
        <v>2509</v>
      </c>
      <c r="B716" s="26" t="str">
        <f aca="false">Entities!$A$21</f>
        <v>EG</v>
      </c>
      <c r="C716" s="12" t="str">
        <f aca="false">INDEX(Entities!$B$5:$B$34,MATCH(B716,Entities!$A$5:$A$34,0))</f>
        <v>Arab Bank – Egypt</v>
      </c>
      <c r="D716" s="7" t="str">
        <f aca="false">INDEX(Entities!$F$5:$F$34,MATCH(B716,Entities!$A$5:$A$34,0))</f>
        <v>Tier 1</v>
      </c>
      <c r="E716" s="26" t="str">
        <f aca="false">'Control Library'!$A$28</f>
        <v>CTL-TRN-01</v>
      </c>
      <c r="F716" s="12" t="str">
        <f aca="false">INDEX('Control Library'!$B$5:$B$47,MATCH(E716,'Control Library'!$A$5:$A$47,0))</f>
        <v>Annual AML, sanctions and anti-bribery training</v>
      </c>
      <c r="G716" s="7" t="str">
        <f aca="false">INDEX('Control Library'!$F$5:$F$47,MATCH(E716,'Control Library'!$A$5:$A$47,0))</f>
        <v>N</v>
      </c>
      <c r="H716" s="12" t="str">
        <f aca="false">INDEX('Control Library'!$E$5:$E$47,MATCH(E716,'Control Library'!$A$5:$A$47,0))</f>
        <v>Annual</v>
      </c>
      <c r="I716" s="7" t="str">
        <f aca="false">IF(INDEX('Control Library'!$I$5:$I$47,MATCH(E716,'Control Library'!$A$5:$A$47,0))="All","Y",IF(INDEX('Control Library'!$I$5:$I$47,MATCH(E716,'Control Library'!$A$5:$A$47,0))="Banks only",IF(COUNTIF('Residual Config'!$L$28:$L$30,INDEX(Entities!$E$5:$E$34,MATCH(B716,Entities!$A$5:$A$34,0)))&gt;0,"N/A","Y"),IF(INDEX(Entities!$G$5:$G$34,MATCH(B716,Entities!$A$5:$A$34,0))="Y","Y","N/A")))</f>
        <v>Y</v>
      </c>
      <c r="J716" s="8" t="s">
        <v>2453</v>
      </c>
      <c r="K716" s="8" t="s">
        <v>2460</v>
      </c>
      <c r="L716" s="7" t="str">
        <f aca="false">IF(OR(J716="",K716=""),"",IF(J716=K716,"Breach","OK"))</f>
        <v>OK</v>
      </c>
      <c r="M716" s="24" t="n">
        <v>1</v>
      </c>
      <c r="N716" s="50" t="n">
        <v>45960</v>
      </c>
      <c r="O716" s="8" t="s">
        <v>546</v>
      </c>
      <c r="P716" s="24" t="n">
        <v>1</v>
      </c>
      <c r="Q716" s="31" t="n">
        <f aca="false">IF(I716="N/A","",IFERROR(INDEX('Residual Config'!$B$35:$B$42,MATCH(H716,'Residual Config'!$A$35:$A$42,0)),""))</f>
        <v>1</v>
      </c>
      <c r="R716" s="24" t="n">
        <v>1</v>
      </c>
      <c r="S716" s="8" t="s">
        <v>524</v>
      </c>
      <c r="T716" s="31" t="n">
        <f aca="false">IF(S716="","",MATCH(S716,'Residual Config'!$L$9:$L$12,0))</f>
        <v>3</v>
      </c>
      <c r="U716" s="8" t="s">
        <v>2510</v>
      </c>
      <c r="V716" s="24" t="n">
        <v>3</v>
      </c>
      <c r="W716" s="33" t="s">
        <v>536</v>
      </c>
      <c r="X716" s="8"/>
      <c r="Y716" s="51" t="n">
        <f aca="false">IF(N716="","",EDATE(N716,IF(G716="N",INDEX('Residual Config'!$B$31:$D$31,1,MATCH(D716,'Residual Config'!$B$27:$D$27,0)),INDEX('Residual Config'!$B$28:$D$30,IF(T716=1,1,IF(T716=4,3,2)),MATCH(D716,'Residual Config'!$B$27:$D$27,0)))))</f>
        <v>46325</v>
      </c>
      <c r="Z716" s="7" t="str">
        <f aca="false">IF(I716="N/A","N/A",IF(N716="","Not tested",IF(W716="Rejected","Evidence rejected",IF(W716&lt;&gt;"Accepted","Evidence pending",IF(Y716&lt;'Residual Config'!$C$4,"Overdue","Current")))))</f>
        <v>Evidence pending</v>
      </c>
      <c r="AA716" s="34" t="n">
        <f aca="false">IF(I716="N/A","",IF(Z716&lt;&gt;"Current",4,IF(MAX(M716,T716)=0,4,MAX(M716,T716))))</f>
        <v>4</v>
      </c>
      <c r="AB716" s="7" t="str">
        <f aca="false">IF(AA716="","N/A",IF(Z716&lt;&gt;"Current","Not tested / overdue",INDEX('Residual Config'!$B$11:$B$14,AA716)))</f>
        <v>Not tested / overdue</v>
      </c>
      <c r="AC716" s="36" t="n">
        <f aca="false">IF(AA716="","",INDEX('Residual Config'!$D$11:$D$14,AA716))</f>
        <v>0</v>
      </c>
      <c r="AD716" s="7" t="str">
        <f aca="false">IF(OR(I716="N/A",P716="",Q716=""),"",IF(P716&gt;=Q716,"Yes","No"))</f>
        <v>Yes</v>
      </c>
      <c r="AE716" s="8"/>
    </row>
    <row r="717" customFormat="false" ht="15" hidden="false" customHeight="false" outlineLevel="0" collapsed="false">
      <c r="A717" s="12" t="s">
        <v>2511</v>
      </c>
      <c r="B717" s="26" t="str">
        <f aca="false">Entities!$A$21</f>
        <v>EG</v>
      </c>
      <c r="C717" s="12" t="str">
        <f aca="false">INDEX(Entities!$B$5:$B$34,MATCH(B717,Entities!$A$5:$A$34,0))</f>
        <v>Arab Bank – Egypt</v>
      </c>
      <c r="D717" s="7" t="str">
        <f aca="false">INDEX(Entities!$F$5:$F$34,MATCH(B717,Entities!$A$5:$A$34,0))</f>
        <v>Tier 1</v>
      </c>
      <c r="E717" s="26" t="str">
        <f aca="false">'Control Library'!$A$29</f>
        <v>CTL-REG-01</v>
      </c>
      <c r="F717" s="12" t="str">
        <f aca="false">INDEX('Control Library'!$B$5:$B$47,MATCH(E717,'Control Library'!$A$5:$A$47,0))</f>
        <v>Regulatory change management and obligations register</v>
      </c>
      <c r="G717" s="7" t="str">
        <f aca="false">INDEX('Control Library'!$F$5:$F$47,MATCH(E717,'Control Library'!$A$5:$A$47,0))</f>
        <v>Y</v>
      </c>
      <c r="H717" s="12" t="str">
        <f aca="false">INDEX('Control Library'!$E$5:$E$47,MATCH(E717,'Control Library'!$A$5:$A$47,0))</f>
        <v>Monthly</v>
      </c>
      <c r="I717" s="7" t="str">
        <f aca="false">IF(INDEX('Control Library'!$I$5:$I$47,MATCH(E717,'Control Library'!$A$5:$A$47,0))="All","Y",IF(INDEX('Control Library'!$I$5:$I$47,MATCH(E717,'Control Library'!$A$5:$A$47,0))="Banks only",IF(COUNTIF('Residual Config'!$L$28:$L$30,INDEX(Entities!$E$5:$E$34,MATCH(B717,Entities!$A$5:$A$34,0)))&gt;0,"N/A","Y"),IF(INDEX(Entities!$G$5:$G$34,MATCH(B717,Entities!$A$5:$A$34,0))="Y","Y","N/A")))</f>
        <v>Y</v>
      </c>
      <c r="J717" s="8" t="s">
        <v>2453</v>
      </c>
      <c r="K717" s="8" t="s">
        <v>752</v>
      </c>
      <c r="L717" s="7" t="str">
        <f aca="false">IF(OR(J717="",K717=""),"",IF(J717=K717,"Breach","OK"))</f>
        <v>OK</v>
      </c>
      <c r="M717" s="24" t="n">
        <v>1</v>
      </c>
      <c r="N717" s="50" t="n">
        <v>46227</v>
      </c>
      <c r="O717" s="8" t="s">
        <v>545</v>
      </c>
      <c r="P717" s="24" t="n">
        <v>3</v>
      </c>
      <c r="Q717" s="31" t="n">
        <f aca="false">IF(I717="N/A","",IFERROR(INDEX('Residual Config'!$B$35:$B$42,MATCH(H717,'Residual Config'!$A$35:$A$42,0)),""))</f>
        <v>3</v>
      </c>
      <c r="R717" s="24" t="n">
        <v>1</v>
      </c>
      <c r="S717" s="8" t="s">
        <v>521</v>
      </c>
      <c r="T717" s="31" t="n">
        <f aca="false">IF(S717="","",MATCH(S717,'Residual Config'!$L$9:$L$12,0))</f>
        <v>2</v>
      </c>
      <c r="U717" s="8" t="s">
        <v>2512</v>
      </c>
      <c r="V717" s="24" t="n">
        <v>6</v>
      </c>
      <c r="W717" s="33" t="s">
        <v>533</v>
      </c>
      <c r="X717" s="8" t="s">
        <v>754</v>
      </c>
      <c r="Y717" s="51" t="n">
        <f aca="false">IF(N717="","",EDATE(N717,IF(G717="N",INDEX('Residual Config'!$B$31:$D$31,1,MATCH(D717,'Residual Config'!$B$27:$D$27,0)),INDEX('Residual Config'!$B$28:$D$30,IF(T717=1,1,IF(T717=4,3,2)),MATCH(D717,'Residual Config'!$B$27:$D$27,0)))))</f>
        <v>46319</v>
      </c>
      <c r="Z717" s="7" t="str">
        <f aca="false">IF(I717="N/A","N/A",IF(N717="","Not tested",IF(W717="Rejected","Evidence rejected",IF(W717&lt;&gt;"Accepted","Evidence pending",IF(Y717&lt;'Residual Config'!$C$4,"Overdue","Current")))))</f>
        <v>Current</v>
      </c>
      <c r="AA717" s="34" t="n">
        <f aca="false">IF(I717="N/A","",IF(Z717&lt;&gt;"Current",4,IF(MAX(M717,T717)=0,4,MAX(M717,T717))))</f>
        <v>2</v>
      </c>
      <c r="AB717" s="7" t="str">
        <f aca="false">IF(AA717="","N/A",IF(Z717&lt;&gt;"Current","Not tested / overdue",INDEX('Residual Config'!$B$11:$B$14,AA717)))</f>
        <v>Largely effective</v>
      </c>
      <c r="AC717" s="36" t="n">
        <f aca="false">IF(AA717="","",INDEX('Residual Config'!$D$11:$D$14,AA717))</f>
        <v>0.4</v>
      </c>
      <c r="AD717" s="7" t="str">
        <f aca="false">IF(OR(I717="N/A",P717="",Q717=""),"",IF(P717&gt;=Q717,"Yes","No"))</f>
        <v>Yes</v>
      </c>
      <c r="AE717" s="8"/>
    </row>
    <row r="718" customFormat="false" ht="15" hidden="false" customHeight="false" outlineLevel="0" collapsed="false">
      <c r="A718" s="12" t="s">
        <v>2513</v>
      </c>
      <c r="B718" s="26" t="str">
        <f aca="false">Entities!$A$21</f>
        <v>EG</v>
      </c>
      <c r="C718" s="12" t="str">
        <f aca="false">INDEX(Entities!$B$5:$B$34,MATCH(B718,Entities!$A$5:$A$34,0))</f>
        <v>Arab Bank – Egypt</v>
      </c>
      <c r="D718" s="7" t="str">
        <f aca="false">INDEX(Entities!$F$5:$F$34,MATCH(B718,Entities!$A$5:$A$34,0))</f>
        <v>Tier 1</v>
      </c>
      <c r="E718" s="26" t="str">
        <f aca="false">'Control Library'!$A$30</f>
        <v>CTL-REG-02</v>
      </c>
      <c r="F718" s="12" t="str">
        <f aca="false">INDEX('Control Library'!$B$5:$B$47,MATCH(E718,'Control Library'!$A$5:$A$47,0))</f>
        <v>Regulatory return review and senior sign-off</v>
      </c>
      <c r="G718" s="7" t="str">
        <f aca="false">INDEX('Control Library'!$F$5:$F$47,MATCH(E718,'Control Library'!$A$5:$A$47,0))</f>
        <v>Y</v>
      </c>
      <c r="H718" s="12" t="str">
        <f aca="false">INDEX('Control Library'!$E$5:$E$47,MATCH(E718,'Control Library'!$A$5:$A$47,0))</f>
        <v>Monthly</v>
      </c>
      <c r="I718" s="7" t="str">
        <f aca="false">IF(INDEX('Control Library'!$I$5:$I$47,MATCH(E718,'Control Library'!$A$5:$A$47,0))="All","Y",IF(INDEX('Control Library'!$I$5:$I$47,MATCH(E718,'Control Library'!$A$5:$A$47,0))="Banks only",IF(COUNTIF('Residual Config'!$L$28:$L$30,INDEX(Entities!$E$5:$E$34,MATCH(B718,Entities!$A$5:$A$34,0)))&gt;0,"N/A","Y"),IF(INDEX(Entities!$G$5:$G$34,MATCH(B718,Entities!$A$5:$A$34,0))="Y","Y","N/A")))</f>
        <v>Y</v>
      </c>
      <c r="J718" s="8" t="s">
        <v>2507</v>
      </c>
      <c r="K718" s="8" t="s">
        <v>752</v>
      </c>
      <c r="L718" s="7" t="str">
        <f aca="false">IF(OR(J718="",K718=""),"",IF(J718=K718,"Breach","OK"))</f>
        <v>OK</v>
      </c>
      <c r="M718" s="24" t="n">
        <v>1</v>
      </c>
      <c r="N718" s="50" t="n">
        <v>46260</v>
      </c>
      <c r="O718" s="8" t="s">
        <v>545</v>
      </c>
      <c r="P718" s="24" t="n">
        <v>3</v>
      </c>
      <c r="Q718" s="31" t="n">
        <f aca="false">IF(I718="N/A","",IFERROR(INDEX('Residual Config'!$B$35:$B$42,MATCH(H718,'Residual Config'!$A$35:$A$42,0)),""))</f>
        <v>3</v>
      </c>
      <c r="R718" s="24" t="n">
        <v>0</v>
      </c>
      <c r="S718" s="8" t="s">
        <v>516</v>
      </c>
      <c r="T718" s="31" t="n">
        <f aca="false">IF(S718="","",MATCH(S718,'Residual Config'!$L$9:$L$12,0))</f>
        <v>1</v>
      </c>
      <c r="U718" s="8" t="s">
        <v>2514</v>
      </c>
      <c r="V718" s="24" t="n">
        <v>1</v>
      </c>
      <c r="W718" s="33" t="s">
        <v>533</v>
      </c>
      <c r="X718" s="8" t="s">
        <v>754</v>
      </c>
      <c r="Y718" s="51" t="n">
        <f aca="false">IF(N718="","",EDATE(N718,IF(G718="N",INDEX('Residual Config'!$B$31:$D$31,1,MATCH(D718,'Residual Config'!$B$27:$D$27,0)),INDEX('Residual Config'!$B$28:$D$30,IF(T718=1,1,IF(T718=4,3,2)),MATCH(D718,'Residual Config'!$B$27:$D$27,0)))))</f>
        <v>46444</v>
      </c>
      <c r="Z718" s="7" t="str">
        <f aca="false">IF(I718="N/A","N/A",IF(N718="","Not tested",IF(W718="Rejected","Evidence rejected",IF(W718&lt;&gt;"Accepted","Evidence pending",IF(Y718&lt;'Residual Config'!$C$4,"Overdue","Current")))))</f>
        <v>Current</v>
      </c>
      <c r="AA718" s="34" t="n">
        <f aca="false">IF(I718="N/A","",IF(Z718&lt;&gt;"Current",4,IF(MAX(M718,T718)=0,4,MAX(M718,T718))))</f>
        <v>1</v>
      </c>
      <c r="AB718" s="7" t="str">
        <f aca="false">IF(AA718="","N/A",IF(Z718&lt;&gt;"Current","Not tested / overdue",INDEX('Residual Config'!$B$11:$B$14,AA718)))</f>
        <v>Effective</v>
      </c>
      <c r="AC718" s="36" t="n">
        <f aca="false">IF(AA718="","",INDEX('Residual Config'!$D$11:$D$14,AA718))</f>
        <v>0.6</v>
      </c>
      <c r="AD718" s="7" t="str">
        <f aca="false">IF(OR(I718="N/A",P718="",Q718=""),"",IF(P718&gt;=Q718,"Yes","No"))</f>
        <v>Yes</v>
      </c>
      <c r="AE718" s="8"/>
    </row>
    <row r="719" customFormat="false" ht="15" hidden="false" customHeight="false" outlineLevel="0" collapsed="false">
      <c r="A719" s="12" t="s">
        <v>2515</v>
      </c>
      <c r="B719" s="26" t="str">
        <f aca="false">Entities!$A$21</f>
        <v>EG</v>
      </c>
      <c r="C719" s="12" t="str">
        <f aca="false">INDEX(Entities!$B$5:$B$34,MATCH(B719,Entities!$A$5:$A$34,0))</f>
        <v>Arab Bank – Egypt</v>
      </c>
      <c r="D719" s="7" t="str">
        <f aca="false">INDEX(Entities!$F$5:$F$34,MATCH(B719,Entities!$A$5:$A$34,0))</f>
        <v>Tier 1</v>
      </c>
      <c r="E719" s="26" t="str">
        <f aca="false">'Control Library'!$A$31</f>
        <v>CTL-CON-01</v>
      </c>
      <c r="F719" s="12" t="str">
        <f aca="false">INDEX('Control Library'!$B$5:$B$47,MATCH(E719,'Control Library'!$A$5:$A$47,0))</f>
        <v>New product approval and suitability assessment</v>
      </c>
      <c r="G719" s="7" t="str">
        <f aca="false">INDEX('Control Library'!$F$5:$F$47,MATCH(E719,'Control Library'!$A$5:$A$47,0))</f>
        <v>Y</v>
      </c>
      <c r="H719" s="12" t="str">
        <f aca="false">INDEX('Control Library'!$E$5:$E$47,MATCH(E719,'Control Library'!$A$5:$A$47,0))</f>
        <v>Event-driven</v>
      </c>
      <c r="I719" s="7" t="str">
        <f aca="false">IF(INDEX('Control Library'!$I$5:$I$47,MATCH(E719,'Control Library'!$A$5:$A$47,0))="All","Y",IF(INDEX('Control Library'!$I$5:$I$47,MATCH(E719,'Control Library'!$A$5:$A$47,0))="Banks only",IF(COUNTIF('Residual Config'!$L$28:$L$30,INDEX(Entities!$E$5:$E$34,MATCH(B719,Entities!$A$5:$A$34,0)))&gt;0,"N/A","Y"),IF(INDEX(Entities!$G$5:$G$34,MATCH(B719,Entities!$A$5:$A$34,0))="Y","Y","N/A")))</f>
        <v>Y</v>
      </c>
      <c r="J719" s="8" t="s">
        <v>2453</v>
      </c>
      <c r="K719" s="8" t="s">
        <v>752</v>
      </c>
      <c r="L719" s="7" t="str">
        <f aca="false">IF(OR(J719="",K719=""),"",IF(J719=K719,"Breach","OK"))</f>
        <v>OK</v>
      </c>
      <c r="M719" s="24" t="n">
        <v>1</v>
      </c>
      <c r="N719" s="50" t="n">
        <v>46241</v>
      </c>
      <c r="O719" s="8" t="s">
        <v>545</v>
      </c>
      <c r="P719" s="24" t="n">
        <v>25</v>
      </c>
      <c r="Q719" s="31" t="n">
        <f aca="false">IF(I719="N/A","",IFERROR(INDEX('Residual Config'!$B$35:$B$42,MATCH(H719,'Residual Config'!$A$35:$A$42,0)),""))</f>
        <v>25</v>
      </c>
      <c r="R719" s="24" t="n">
        <v>0</v>
      </c>
      <c r="S719" s="8" t="s">
        <v>516</v>
      </c>
      <c r="T719" s="31" t="n">
        <f aca="false">IF(S719="","",MATCH(S719,'Residual Config'!$L$9:$L$12,0))</f>
        <v>1</v>
      </c>
      <c r="U719" s="8" t="s">
        <v>2516</v>
      </c>
      <c r="V719" s="24" t="n">
        <v>2</v>
      </c>
      <c r="W719" s="33" t="s">
        <v>533</v>
      </c>
      <c r="X719" s="8" t="s">
        <v>760</v>
      </c>
      <c r="Y719" s="51" t="n">
        <f aca="false">IF(N719="","",EDATE(N719,IF(G719="N",INDEX('Residual Config'!$B$31:$D$31,1,MATCH(D719,'Residual Config'!$B$27:$D$27,0)),INDEX('Residual Config'!$B$28:$D$30,IF(T719=1,1,IF(T719=4,3,2)),MATCH(D719,'Residual Config'!$B$27:$D$27,0)))))</f>
        <v>46425</v>
      </c>
      <c r="Z719" s="7" t="str">
        <f aca="false">IF(I719="N/A","N/A",IF(N719="","Not tested",IF(W719="Rejected","Evidence rejected",IF(W719&lt;&gt;"Accepted","Evidence pending",IF(Y719&lt;'Residual Config'!$C$4,"Overdue","Current")))))</f>
        <v>Current</v>
      </c>
      <c r="AA719" s="34" t="n">
        <f aca="false">IF(I719="N/A","",IF(Z719&lt;&gt;"Current",4,IF(MAX(M719,T719)=0,4,MAX(M719,T719))))</f>
        <v>1</v>
      </c>
      <c r="AB719" s="7" t="str">
        <f aca="false">IF(AA719="","N/A",IF(Z719&lt;&gt;"Current","Not tested / overdue",INDEX('Residual Config'!$B$11:$B$14,AA719)))</f>
        <v>Effective</v>
      </c>
      <c r="AC719" s="36" t="n">
        <f aca="false">IF(AA719="","",INDEX('Residual Config'!$D$11:$D$14,AA719))</f>
        <v>0.6</v>
      </c>
      <c r="AD719" s="7" t="str">
        <f aca="false">IF(OR(I719="N/A",P719="",Q719=""),"",IF(P719&gt;=Q719,"Yes","No"))</f>
        <v>Yes</v>
      </c>
      <c r="AE719" s="8"/>
    </row>
    <row r="720" customFormat="false" ht="15" hidden="false" customHeight="false" outlineLevel="0" collapsed="false">
      <c r="A720" s="12" t="s">
        <v>2517</v>
      </c>
      <c r="B720" s="26" t="str">
        <f aca="false">Entities!$A$21</f>
        <v>EG</v>
      </c>
      <c r="C720" s="12" t="str">
        <f aca="false">INDEX(Entities!$B$5:$B$34,MATCH(B720,Entities!$A$5:$A$34,0))</f>
        <v>Arab Bank – Egypt</v>
      </c>
      <c r="D720" s="7" t="str">
        <f aca="false">INDEX(Entities!$F$5:$F$34,MATCH(B720,Entities!$A$5:$A$34,0))</f>
        <v>Tier 1</v>
      </c>
      <c r="E720" s="26" t="str">
        <f aca="false">'Control Library'!$A$32</f>
        <v>CTL-CON-02</v>
      </c>
      <c r="F720" s="12" t="str">
        <f aca="false">INDEX('Control Library'!$B$5:$B$47,MATCH(E720,'Control Library'!$A$5:$A$47,0))</f>
        <v>Complaints handling and root-cause analysis</v>
      </c>
      <c r="G720" s="7" t="str">
        <f aca="false">INDEX('Control Library'!$F$5:$F$47,MATCH(E720,'Control Library'!$A$5:$A$47,0))</f>
        <v>N</v>
      </c>
      <c r="H720" s="12" t="str">
        <f aca="false">INDEX('Control Library'!$E$5:$E$47,MATCH(E720,'Control Library'!$A$5:$A$47,0))</f>
        <v>Monthly</v>
      </c>
      <c r="I720" s="7" t="str">
        <f aca="false">IF(INDEX('Control Library'!$I$5:$I$47,MATCH(E720,'Control Library'!$A$5:$A$47,0))="All","Y",IF(INDEX('Control Library'!$I$5:$I$47,MATCH(E720,'Control Library'!$A$5:$A$47,0))="Banks only",IF(COUNTIF('Residual Config'!$L$28:$L$30,INDEX(Entities!$E$5:$E$34,MATCH(B720,Entities!$A$5:$A$34,0)))&gt;0,"N/A","Y"),IF(INDEX(Entities!$G$5:$G$34,MATCH(B720,Entities!$A$5:$A$34,0))="Y","Y","N/A")))</f>
        <v>Y</v>
      </c>
      <c r="J720" s="8" t="s">
        <v>2518</v>
      </c>
      <c r="K720" s="8" t="s">
        <v>2460</v>
      </c>
      <c r="L720" s="7" t="str">
        <f aca="false">IF(OR(J720="",K720=""),"",IF(J720=K720,"Breach","OK"))</f>
        <v>OK</v>
      </c>
      <c r="M720" s="24" t="n">
        <v>2</v>
      </c>
      <c r="N720" s="50" t="n">
        <v>46214</v>
      </c>
      <c r="O720" s="8" t="s">
        <v>546</v>
      </c>
      <c r="P720" s="24" t="n">
        <v>3</v>
      </c>
      <c r="Q720" s="31" t="n">
        <f aca="false">IF(I720="N/A","",IFERROR(INDEX('Residual Config'!$B$35:$B$42,MATCH(H720,'Residual Config'!$A$35:$A$42,0)),""))</f>
        <v>3</v>
      </c>
      <c r="R720" s="24" t="n">
        <v>0</v>
      </c>
      <c r="S720" s="8" t="s">
        <v>516</v>
      </c>
      <c r="T720" s="31" t="n">
        <f aca="false">IF(S720="","",MATCH(S720,'Residual Config'!$L$9:$L$12,0))</f>
        <v>1</v>
      </c>
      <c r="U720" s="8" t="s">
        <v>2519</v>
      </c>
      <c r="V720" s="24" t="n">
        <v>5</v>
      </c>
      <c r="W720" s="33" t="s">
        <v>533</v>
      </c>
      <c r="X720" s="8" t="s">
        <v>760</v>
      </c>
      <c r="Y720" s="51" t="n">
        <f aca="false">IF(N720="","",EDATE(N720,IF(G720="N",INDEX('Residual Config'!$B$31:$D$31,1,MATCH(D720,'Residual Config'!$B$27:$D$27,0)),INDEX('Residual Config'!$B$28:$D$30,IF(T720=1,1,IF(T720=4,3,2)),MATCH(D720,'Residual Config'!$B$27:$D$27,0)))))</f>
        <v>46579</v>
      </c>
      <c r="Z720" s="7" t="str">
        <f aca="false">IF(I720="N/A","N/A",IF(N720="","Not tested",IF(W720="Rejected","Evidence rejected",IF(W720&lt;&gt;"Accepted","Evidence pending",IF(Y720&lt;'Residual Config'!$C$4,"Overdue","Current")))))</f>
        <v>Current</v>
      </c>
      <c r="AA720" s="34" t="n">
        <f aca="false">IF(I720="N/A","",IF(Z720&lt;&gt;"Current",4,IF(MAX(M720,T720)=0,4,MAX(M720,T720))))</f>
        <v>2</v>
      </c>
      <c r="AB720" s="7" t="str">
        <f aca="false">IF(AA720="","N/A",IF(Z720&lt;&gt;"Current","Not tested / overdue",INDEX('Residual Config'!$B$11:$B$14,AA720)))</f>
        <v>Largely effective</v>
      </c>
      <c r="AC720" s="36" t="n">
        <f aca="false">IF(AA720="","",INDEX('Residual Config'!$D$11:$D$14,AA720))</f>
        <v>0.4</v>
      </c>
      <c r="AD720" s="7" t="str">
        <f aca="false">IF(OR(I720="N/A",P720="",Q720=""),"",IF(P720&gt;=Q720,"Yes","No"))</f>
        <v>Yes</v>
      </c>
      <c r="AE720" s="8"/>
    </row>
    <row r="721" customFormat="false" ht="15" hidden="false" customHeight="false" outlineLevel="0" collapsed="false">
      <c r="A721" s="12" t="s">
        <v>2520</v>
      </c>
      <c r="B721" s="26" t="str">
        <f aca="false">Entities!$A$21</f>
        <v>EG</v>
      </c>
      <c r="C721" s="12" t="str">
        <f aca="false">INDEX(Entities!$B$5:$B$34,MATCH(B721,Entities!$A$5:$A$34,0))</f>
        <v>Arab Bank – Egypt</v>
      </c>
      <c r="D721" s="7" t="str">
        <f aca="false">INDEX(Entities!$F$5:$F$34,MATCH(B721,Entities!$A$5:$A$34,0))</f>
        <v>Tier 1</v>
      </c>
      <c r="E721" s="26" t="str">
        <f aca="false">'Control Library'!$A$33</f>
        <v>CTL-DP-01</v>
      </c>
      <c r="F721" s="12" t="str">
        <f aca="false">INDEX('Control Library'!$B$5:$B$47,MATCH(E721,'Control Library'!$A$5:$A$47,0))</f>
        <v>Data protection impact assessments and processing records</v>
      </c>
      <c r="G721" s="7" t="str">
        <f aca="false">INDEX('Control Library'!$F$5:$F$47,MATCH(E721,'Control Library'!$A$5:$A$47,0))</f>
        <v>Y</v>
      </c>
      <c r="H721" s="12" t="str">
        <f aca="false">INDEX('Control Library'!$E$5:$E$47,MATCH(E721,'Control Library'!$A$5:$A$47,0))</f>
        <v>Event-driven</v>
      </c>
      <c r="I721" s="7" t="str">
        <f aca="false">IF(INDEX('Control Library'!$I$5:$I$47,MATCH(E721,'Control Library'!$A$5:$A$47,0))="All","Y",IF(INDEX('Control Library'!$I$5:$I$47,MATCH(E721,'Control Library'!$A$5:$A$47,0))="Banks only",IF(COUNTIF('Residual Config'!$L$28:$L$30,INDEX(Entities!$E$5:$E$34,MATCH(B721,Entities!$A$5:$A$34,0)))&gt;0,"N/A","Y"),IF(INDEX(Entities!$G$5:$G$34,MATCH(B721,Entities!$A$5:$A$34,0))="Y","Y","N/A")))</f>
        <v>Y</v>
      </c>
      <c r="J721" s="8" t="s">
        <v>2521</v>
      </c>
      <c r="K721" s="8" t="s">
        <v>752</v>
      </c>
      <c r="L721" s="7" t="str">
        <f aca="false">IF(OR(J721="",K721=""),"",IF(J721=K721,"Breach","OK"))</f>
        <v>OK</v>
      </c>
      <c r="M721" s="24" t="n">
        <v>1</v>
      </c>
      <c r="N721" s="50" t="n">
        <v>46247</v>
      </c>
      <c r="O721" s="8" t="s">
        <v>545</v>
      </c>
      <c r="P721" s="24" t="n">
        <v>25</v>
      </c>
      <c r="Q721" s="31" t="n">
        <f aca="false">IF(I721="N/A","",IFERROR(INDEX('Residual Config'!$B$35:$B$42,MATCH(H721,'Residual Config'!$A$35:$A$42,0)),""))</f>
        <v>25</v>
      </c>
      <c r="R721" s="24" t="n">
        <v>0</v>
      </c>
      <c r="S721" s="8" t="s">
        <v>516</v>
      </c>
      <c r="T721" s="31" t="n">
        <f aca="false">IF(S721="","",MATCH(S721,'Residual Config'!$L$9:$L$12,0))</f>
        <v>1</v>
      </c>
      <c r="U721" s="8" t="s">
        <v>2522</v>
      </c>
      <c r="V721" s="24" t="n">
        <v>6</v>
      </c>
      <c r="W721" s="33" t="s">
        <v>533</v>
      </c>
      <c r="X721" s="8" t="s">
        <v>754</v>
      </c>
      <c r="Y721" s="51" t="n">
        <f aca="false">IF(N721="","",EDATE(N721,IF(G721="N",INDEX('Residual Config'!$B$31:$D$31,1,MATCH(D721,'Residual Config'!$B$27:$D$27,0)),INDEX('Residual Config'!$B$28:$D$30,IF(T721=1,1,IF(T721=4,3,2)),MATCH(D721,'Residual Config'!$B$27:$D$27,0)))))</f>
        <v>46431</v>
      </c>
      <c r="Z721" s="7" t="str">
        <f aca="false">IF(I721="N/A","N/A",IF(N721="","Not tested",IF(W721="Rejected","Evidence rejected",IF(W721&lt;&gt;"Accepted","Evidence pending",IF(Y721&lt;'Residual Config'!$C$4,"Overdue","Current")))))</f>
        <v>Current</v>
      </c>
      <c r="AA721" s="34" t="n">
        <f aca="false">IF(I721="N/A","",IF(Z721&lt;&gt;"Current",4,IF(MAX(M721,T721)=0,4,MAX(M721,T721))))</f>
        <v>1</v>
      </c>
      <c r="AB721" s="7" t="str">
        <f aca="false">IF(AA721="","N/A",IF(Z721&lt;&gt;"Current","Not tested / overdue",INDEX('Residual Config'!$B$11:$B$14,AA721)))</f>
        <v>Effective</v>
      </c>
      <c r="AC721" s="36" t="n">
        <f aca="false">IF(AA721="","",INDEX('Residual Config'!$D$11:$D$14,AA721))</f>
        <v>0.6</v>
      </c>
      <c r="AD721" s="7" t="str">
        <f aca="false">IF(OR(I721="N/A",P721="",Q721=""),"",IF(P721&gt;=Q721,"Yes","No"))</f>
        <v>Yes</v>
      </c>
      <c r="AE721" s="8"/>
    </row>
    <row r="722" customFormat="false" ht="15" hidden="false" customHeight="false" outlineLevel="0" collapsed="false">
      <c r="A722" s="12" t="s">
        <v>2523</v>
      </c>
      <c r="B722" s="26" t="str">
        <f aca="false">Entities!$A$21</f>
        <v>EG</v>
      </c>
      <c r="C722" s="12" t="str">
        <f aca="false">INDEX(Entities!$B$5:$B$34,MATCH(B722,Entities!$A$5:$A$34,0))</f>
        <v>Arab Bank – Egypt</v>
      </c>
      <c r="D722" s="7" t="str">
        <f aca="false">INDEX(Entities!$F$5:$F$34,MATCH(B722,Entities!$A$5:$A$34,0))</f>
        <v>Tier 1</v>
      </c>
      <c r="E722" s="26" t="str">
        <f aca="false">'Control Library'!$A$34</f>
        <v>CTL-DP-02</v>
      </c>
      <c r="F722" s="12" t="str">
        <f aca="false">INDEX('Control Library'!$B$5:$B$47,MATCH(E722,'Control Library'!$A$5:$A$47,0))</f>
        <v>Data loss prevention and quarterly access recertification</v>
      </c>
      <c r="G722" s="7" t="str">
        <f aca="false">INDEX('Control Library'!$F$5:$F$47,MATCH(E722,'Control Library'!$A$5:$A$47,0))</f>
        <v>Y</v>
      </c>
      <c r="H722" s="12" t="str">
        <f aca="false">INDEX('Control Library'!$E$5:$E$47,MATCH(E722,'Control Library'!$A$5:$A$47,0))</f>
        <v>Quarterly</v>
      </c>
      <c r="I722" s="7" t="str">
        <f aca="false">IF(INDEX('Control Library'!$I$5:$I$47,MATCH(E722,'Control Library'!$A$5:$A$47,0))="All","Y",IF(INDEX('Control Library'!$I$5:$I$47,MATCH(E722,'Control Library'!$A$5:$A$47,0))="Banks only",IF(COUNTIF('Residual Config'!$L$28:$L$30,INDEX(Entities!$E$5:$E$34,MATCH(B722,Entities!$A$5:$A$34,0)))&gt;0,"N/A","Y"),IF(INDEX(Entities!$G$5:$G$34,MATCH(B722,Entities!$A$5:$A$34,0))="Y","Y","N/A")))</f>
        <v>Y</v>
      </c>
      <c r="J722" s="8" t="s">
        <v>2524</v>
      </c>
      <c r="K722" s="8" t="s">
        <v>752</v>
      </c>
      <c r="L722" s="7" t="str">
        <f aca="false">IF(OR(J722="",K722=""),"",IF(J722=K722,"Breach","OK"))</f>
        <v>OK</v>
      </c>
      <c r="M722" s="24" t="n">
        <v>3</v>
      </c>
      <c r="N722" s="50" t="n">
        <v>46189</v>
      </c>
      <c r="O722" s="8" t="s">
        <v>545</v>
      </c>
      <c r="P722" s="24" t="n">
        <v>2</v>
      </c>
      <c r="Q722" s="31" t="n">
        <f aca="false">IF(I722="N/A","",IFERROR(INDEX('Residual Config'!$B$35:$B$42,MATCH(H722,'Residual Config'!$A$35:$A$42,0)),""))</f>
        <v>2</v>
      </c>
      <c r="R722" s="24" t="n">
        <v>0</v>
      </c>
      <c r="S722" s="8" t="s">
        <v>516</v>
      </c>
      <c r="T722" s="31" t="n">
        <f aca="false">IF(S722="","",MATCH(S722,'Residual Config'!$L$9:$L$12,0))</f>
        <v>1</v>
      </c>
      <c r="U722" s="8" t="s">
        <v>2525</v>
      </c>
      <c r="V722" s="24" t="n">
        <v>5</v>
      </c>
      <c r="W722" s="33" t="s">
        <v>533</v>
      </c>
      <c r="X722" s="8" t="s">
        <v>754</v>
      </c>
      <c r="Y722" s="51" t="n">
        <f aca="false">IF(N722="","",EDATE(N722,IF(G722="N",INDEX('Residual Config'!$B$31:$D$31,1,MATCH(D722,'Residual Config'!$B$27:$D$27,0)),INDEX('Residual Config'!$B$28:$D$30,IF(T722=1,1,IF(T722=4,3,2)),MATCH(D722,'Residual Config'!$B$27:$D$27,0)))))</f>
        <v>46372</v>
      </c>
      <c r="Z722" s="7" t="str">
        <f aca="false">IF(I722="N/A","N/A",IF(N722="","Not tested",IF(W722="Rejected","Evidence rejected",IF(W722&lt;&gt;"Accepted","Evidence pending",IF(Y722&lt;'Residual Config'!$C$4,"Overdue","Current")))))</f>
        <v>Current</v>
      </c>
      <c r="AA722" s="34" t="n">
        <f aca="false">IF(I722="N/A","",IF(Z722&lt;&gt;"Current",4,IF(MAX(M722,T722)=0,4,MAX(M722,T722))))</f>
        <v>3</v>
      </c>
      <c r="AB722" s="7" t="str">
        <f aca="false">IF(AA722="","N/A",IF(Z722&lt;&gt;"Current","Not tested / overdue",INDEX('Residual Config'!$B$11:$B$14,AA722)))</f>
        <v>Partially effective</v>
      </c>
      <c r="AC722" s="36" t="n">
        <f aca="false">IF(AA722="","",INDEX('Residual Config'!$D$11:$D$14,AA722))</f>
        <v>0.2</v>
      </c>
      <c r="AD722" s="7" t="str">
        <f aca="false">IF(OR(I722="N/A",P722="",Q722=""),"",IF(P722&gt;=Q722,"Yes","No"))</f>
        <v>Yes</v>
      </c>
      <c r="AE722" s="8"/>
    </row>
    <row r="723" customFormat="false" ht="15" hidden="false" customHeight="false" outlineLevel="0" collapsed="false">
      <c r="A723" s="12" t="s">
        <v>2526</v>
      </c>
      <c r="B723" s="26" t="str">
        <f aca="false">Entities!$A$21</f>
        <v>EG</v>
      </c>
      <c r="C723" s="12" t="str">
        <f aca="false">INDEX(Entities!$B$5:$B$34,MATCH(B723,Entities!$A$5:$A$34,0))</f>
        <v>Arab Bank – Egypt</v>
      </c>
      <c r="D723" s="7" t="str">
        <f aca="false">INDEX(Entities!$F$5:$F$34,MATCH(B723,Entities!$A$5:$A$34,0))</f>
        <v>Tier 1</v>
      </c>
      <c r="E723" s="26" t="str">
        <f aca="false">'Control Library'!$A$35</f>
        <v>CTL-SH-01</v>
      </c>
      <c r="F723" s="12" t="str">
        <f aca="false">INDEX('Control Library'!$B$5:$B$47,MATCH(E723,'Control Library'!$A$5:$A$47,0))</f>
        <v>Shariah review of products and income purification</v>
      </c>
      <c r="G723" s="7" t="str">
        <f aca="false">INDEX('Control Library'!$F$5:$F$47,MATCH(E723,'Control Library'!$A$5:$A$47,0))</f>
        <v>Y</v>
      </c>
      <c r="H723" s="12" t="str">
        <f aca="false">INDEX('Control Library'!$E$5:$E$47,MATCH(E723,'Control Library'!$A$5:$A$47,0))</f>
        <v>Quarterly</v>
      </c>
      <c r="I723" s="7" t="str">
        <f aca="false">IF(INDEX('Control Library'!$I$5:$I$47,MATCH(E723,'Control Library'!$A$5:$A$47,0))="All","Y",IF(INDEX('Control Library'!$I$5:$I$47,MATCH(E723,'Control Library'!$A$5:$A$47,0))="Banks only",IF(COUNTIF('Residual Config'!$L$28:$L$30,INDEX(Entities!$E$5:$E$34,MATCH(B723,Entities!$A$5:$A$34,0)))&gt;0,"N/A","Y"),IF(INDEX(Entities!$G$5:$G$34,MATCH(B723,Entities!$A$5:$A$34,0))="Y","Y","N/A")))</f>
        <v>N/A</v>
      </c>
      <c r="J723" s="8"/>
      <c r="K723" s="8"/>
      <c r="L723" s="7" t="str">
        <f aca="false">IF(OR(J723="",K723=""),"",IF(J723=K723,"Breach","OK"))</f>
        <v/>
      </c>
      <c r="M723" s="24"/>
      <c r="N723" s="50"/>
      <c r="O723" s="8"/>
      <c r="P723" s="24"/>
      <c r="Q723" s="31" t="str">
        <f aca="false">IF(I723="N/A","",IFERROR(INDEX('Residual Config'!$B$35:$B$42,MATCH(H723,'Residual Config'!$A$35:$A$42,0)),""))</f>
        <v/>
      </c>
      <c r="R723" s="24"/>
      <c r="S723" s="8"/>
      <c r="T723" s="31" t="str">
        <f aca="false">IF(S723="","",MATCH(S723,'Residual Config'!$L$9:$L$12,0))</f>
        <v/>
      </c>
      <c r="U723" s="8"/>
      <c r="V723" s="24"/>
      <c r="W723" s="33"/>
      <c r="X723" s="8"/>
      <c r="Y723" s="51" t="str">
        <f aca="false">IF(N723="","",EDATE(N723,IF(G723="N",INDEX('Residual Config'!$B$31:$D$31,1,MATCH(D723,'Residual Config'!$B$27:$D$27,0)),INDEX('Residual Config'!$B$28:$D$30,IF(T723=1,1,IF(T723=4,3,2)),MATCH(D723,'Residual Config'!$B$27:$D$27,0)))))</f>
        <v/>
      </c>
      <c r="Z723" s="7" t="str">
        <f aca="false">IF(I723="N/A","N/A",IF(N723="","Not tested",IF(W723="Rejected","Evidence rejected",IF(W723&lt;&gt;"Accepted","Evidence pending",IF(Y723&lt;'Residual Config'!$C$4,"Overdue","Current")))))</f>
        <v>N/A</v>
      </c>
      <c r="AA723" s="34" t="str">
        <f aca="false">IF(I723="N/A","",IF(Z723&lt;&gt;"Current",4,IF(MAX(M723,T723)=0,4,MAX(M723,T723))))</f>
        <v/>
      </c>
      <c r="AB723" s="7" t="str">
        <f aca="false">IF(AA723="","N/A",IF(Z723&lt;&gt;"Current","Not tested / overdue",INDEX('Residual Config'!$B$11:$B$14,AA723)))</f>
        <v>N/A</v>
      </c>
      <c r="AC723" s="36" t="str">
        <f aca="false">IF(AA723="","",INDEX('Residual Config'!$D$11:$D$14,AA723))</f>
        <v/>
      </c>
      <c r="AD723" s="7" t="str">
        <f aca="false">IF(OR(I723="N/A",P723="",Q723=""),"",IF(P723&gt;=Q723,"Yes","No"))</f>
        <v/>
      </c>
      <c r="AE723" s="8"/>
    </row>
    <row r="724" customFormat="false" ht="15" hidden="false" customHeight="false" outlineLevel="0" collapsed="false">
      <c r="A724" s="12" t="s">
        <v>2527</v>
      </c>
      <c r="B724" s="26" t="str">
        <f aca="false">Entities!$A$21</f>
        <v>EG</v>
      </c>
      <c r="C724" s="12" t="str">
        <f aca="false">INDEX(Entities!$B$5:$B$34,MATCH(B724,Entities!$A$5:$A$34,0))</f>
        <v>Arab Bank – Egypt</v>
      </c>
      <c r="D724" s="7" t="str">
        <f aca="false">INDEX(Entities!$F$5:$F$34,MATCH(B724,Entities!$A$5:$A$34,0))</f>
        <v>Tier 1</v>
      </c>
      <c r="E724" s="26" t="str">
        <f aca="false">'Control Library'!$A$36</f>
        <v>CTL-CR-01</v>
      </c>
      <c r="F724" s="12" t="str">
        <f aca="false">INDEX('Control Library'!$B$5:$B$47,MATCH(E724,'Control Library'!$A$5:$A$47,0))</f>
        <v>Credit approval authorities and committee review</v>
      </c>
      <c r="G724" s="7" t="str">
        <f aca="false">INDEX('Control Library'!$F$5:$F$47,MATCH(E724,'Control Library'!$A$5:$A$47,0))</f>
        <v>Y</v>
      </c>
      <c r="H724" s="12" t="str">
        <f aca="false">INDEX('Control Library'!$E$5:$E$47,MATCH(E724,'Control Library'!$A$5:$A$47,0))</f>
        <v>Event-driven</v>
      </c>
      <c r="I724" s="7" t="str">
        <f aca="false">IF(INDEX('Control Library'!$I$5:$I$47,MATCH(E724,'Control Library'!$A$5:$A$47,0))="All","Y",IF(INDEX('Control Library'!$I$5:$I$47,MATCH(E724,'Control Library'!$A$5:$A$47,0))="Banks only",IF(COUNTIF('Residual Config'!$L$28:$L$30,INDEX(Entities!$E$5:$E$34,MATCH(B724,Entities!$A$5:$A$34,0)))&gt;0,"N/A","Y"),IF(INDEX(Entities!$G$5:$G$34,MATCH(B724,Entities!$A$5:$A$34,0))="Y","Y","N/A")))</f>
        <v>Y</v>
      </c>
      <c r="J724" s="8" t="s">
        <v>2528</v>
      </c>
      <c r="K724" s="8" t="s">
        <v>752</v>
      </c>
      <c r="L724" s="7" t="str">
        <f aca="false">IF(OR(J724="",K724=""),"",IF(J724=K724,"Breach","OK"))</f>
        <v>OK</v>
      </c>
      <c r="M724" s="24" t="n">
        <v>2</v>
      </c>
      <c r="N724" s="50" t="n">
        <v>46287</v>
      </c>
      <c r="O724" s="8" t="s">
        <v>546</v>
      </c>
      <c r="P724" s="24" t="n">
        <v>25</v>
      </c>
      <c r="Q724" s="31" t="n">
        <f aca="false">IF(I724="N/A","",IFERROR(INDEX('Residual Config'!$B$35:$B$42,MATCH(H724,'Residual Config'!$A$35:$A$42,0)),""))</f>
        <v>25</v>
      </c>
      <c r="R724" s="24" t="n">
        <v>1</v>
      </c>
      <c r="S724" s="8" t="s">
        <v>521</v>
      </c>
      <c r="T724" s="31" t="n">
        <f aca="false">IF(S724="","",MATCH(S724,'Residual Config'!$L$9:$L$12,0))</f>
        <v>2</v>
      </c>
      <c r="U724" s="8" t="s">
        <v>2529</v>
      </c>
      <c r="V724" s="24" t="n">
        <v>2</v>
      </c>
      <c r="W724" s="33" t="s">
        <v>533</v>
      </c>
      <c r="X724" s="8" t="s">
        <v>760</v>
      </c>
      <c r="Y724" s="51" t="n">
        <f aca="false">IF(N724="","",EDATE(N724,IF(G724="N",INDEX('Residual Config'!$B$31:$D$31,1,MATCH(D724,'Residual Config'!$B$27:$D$27,0)),INDEX('Residual Config'!$B$28:$D$30,IF(T724=1,1,IF(T724=4,3,2)),MATCH(D724,'Residual Config'!$B$27:$D$27,0)))))</f>
        <v>46378</v>
      </c>
      <c r="Z724" s="7" t="str">
        <f aca="false">IF(I724="N/A","N/A",IF(N724="","Not tested",IF(W724="Rejected","Evidence rejected",IF(W724&lt;&gt;"Accepted","Evidence pending",IF(Y724&lt;'Residual Config'!$C$4,"Overdue","Current")))))</f>
        <v>Current</v>
      </c>
      <c r="AA724" s="34" t="n">
        <f aca="false">IF(I724="N/A","",IF(Z724&lt;&gt;"Current",4,IF(MAX(M724,T724)=0,4,MAX(M724,T724))))</f>
        <v>2</v>
      </c>
      <c r="AB724" s="7" t="str">
        <f aca="false">IF(AA724="","N/A",IF(Z724&lt;&gt;"Current","Not tested / overdue",INDEX('Residual Config'!$B$11:$B$14,AA724)))</f>
        <v>Largely effective</v>
      </c>
      <c r="AC724" s="36" t="n">
        <f aca="false">IF(AA724="","",INDEX('Residual Config'!$D$11:$D$14,AA724))</f>
        <v>0.4</v>
      </c>
      <c r="AD724" s="7" t="str">
        <f aca="false">IF(OR(I724="N/A",P724="",Q724=""),"",IF(P724&gt;=Q724,"Yes","No"))</f>
        <v>Yes</v>
      </c>
      <c r="AE724" s="8"/>
    </row>
    <row r="725" customFormat="false" ht="15" hidden="false" customHeight="false" outlineLevel="0" collapsed="false">
      <c r="A725" s="12" t="s">
        <v>2530</v>
      </c>
      <c r="B725" s="26" t="str">
        <f aca="false">Entities!$A$21</f>
        <v>EG</v>
      </c>
      <c r="C725" s="12" t="str">
        <f aca="false">INDEX(Entities!$B$5:$B$34,MATCH(B725,Entities!$A$5:$A$34,0))</f>
        <v>Arab Bank – Egypt</v>
      </c>
      <c r="D725" s="7" t="str">
        <f aca="false">INDEX(Entities!$F$5:$F$34,MATCH(B725,Entities!$A$5:$A$34,0))</f>
        <v>Tier 1</v>
      </c>
      <c r="E725" s="26" t="str">
        <f aca="false">'Control Library'!$A$37</f>
        <v>CTL-CR-02</v>
      </c>
      <c r="F725" s="12" t="str">
        <f aca="false">INDEX('Control Library'!$B$5:$B$47,MATCH(E725,'Control Library'!$A$5:$A$47,0))</f>
        <v>Collateral valuation and exposure limit monitoring</v>
      </c>
      <c r="G725" s="7" t="str">
        <f aca="false">INDEX('Control Library'!$F$5:$F$47,MATCH(E725,'Control Library'!$A$5:$A$47,0))</f>
        <v>N</v>
      </c>
      <c r="H725" s="12" t="str">
        <f aca="false">INDEX('Control Library'!$E$5:$E$47,MATCH(E725,'Control Library'!$A$5:$A$47,0))</f>
        <v>Monthly</v>
      </c>
      <c r="I725" s="7" t="str">
        <f aca="false">IF(INDEX('Control Library'!$I$5:$I$47,MATCH(E725,'Control Library'!$A$5:$A$47,0))="All","Y",IF(INDEX('Control Library'!$I$5:$I$47,MATCH(E725,'Control Library'!$A$5:$A$47,0))="Banks only",IF(COUNTIF('Residual Config'!$L$28:$L$30,INDEX(Entities!$E$5:$E$34,MATCH(B725,Entities!$A$5:$A$34,0)))&gt;0,"N/A","Y"),IF(INDEX(Entities!$G$5:$G$34,MATCH(B725,Entities!$A$5:$A$34,0))="Y","Y","N/A")))</f>
        <v>Y</v>
      </c>
      <c r="J725" s="8" t="s">
        <v>2531</v>
      </c>
      <c r="K725" s="8" t="s">
        <v>2460</v>
      </c>
      <c r="L725" s="7" t="str">
        <f aca="false">IF(OR(J725="",K725=""),"",IF(J725=K725,"Breach","OK"))</f>
        <v>OK</v>
      </c>
      <c r="M725" s="24" t="n">
        <v>1</v>
      </c>
      <c r="N725" s="50" t="n">
        <v>46049</v>
      </c>
      <c r="O725" s="8" t="s">
        <v>546</v>
      </c>
      <c r="P725" s="24" t="n">
        <v>3</v>
      </c>
      <c r="Q725" s="31" t="n">
        <f aca="false">IF(I725="N/A","",IFERROR(INDEX('Residual Config'!$B$35:$B$42,MATCH(H725,'Residual Config'!$A$35:$A$42,0)),""))</f>
        <v>3</v>
      </c>
      <c r="R725" s="24" t="n">
        <v>0</v>
      </c>
      <c r="S725" s="8" t="s">
        <v>516</v>
      </c>
      <c r="T725" s="31" t="n">
        <f aca="false">IF(S725="","",MATCH(S725,'Residual Config'!$L$9:$L$12,0))</f>
        <v>1</v>
      </c>
      <c r="U725" s="8" t="s">
        <v>2532</v>
      </c>
      <c r="V725" s="24" t="n">
        <v>2</v>
      </c>
      <c r="W725" s="33" t="s">
        <v>533</v>
      </c>
      <c r="X725" s="8" t="s">
        <v>760</v>
      </c>
      <c r="Y725" s="51" t="n">
        <f aca="false">IF(N725="","",EDATE(N725,IF(G725="N",INDEX('Residual Config'!$B$31:$D$31,1,MATCH(D725,'Residual Config'!$B$27:$D$27,0)),INDEX('Residual Config'!$B$28:$D$30,IF(T725=1,1,IF(T725=4,3,2)),MATCH(D725,'Residual Config'!$B$27:$D$27,0)))))</f>
        <v>46414</v>
      </c>
      <c r="Z725" s="7" t="str">
        <f aca="false">IF(I725="N/A","N/A",IF(N725="","Not tested",IF(W725="Rejected","Evidence rejected",IF(W725&lt;&gt;"Accepted","Evidence pending",IF(Y725&lt;'Residual Config'!$C$4,"Overdue","Current")))))</f>
        <v>Current</v>
      </c>
      <c r="AA725" s="34" t="n">
        <f aca="false">IF(I725="N/A","",IF(Z725&lt;&gt;"Current",4,IF(MAX(M725,T725)=0,4,MAX(M725,T725))))</f>
        <v>1</v>
      </c>
      <c r="AB725" s="7" t="str">
        <f aca="false">IF(AA725="","N/A",IF(Z725&lt;&gt;"Current","Not tested / overdue",INDEX('Residual Config'!$B$11:$B$14,AA725)))</f>
        <v>Effective</v>
      </c>
      <c r="AC725" s="36" t="n">
        <f aca="false">IF(AA725="","",INDEX('Residual Config'!$D$11:$D$14,AA725))</f>
        <v>0.6</v>
      </c>
      <c r="AD725" s="7" t="str">
        <f aca="false">IF(OR(I725="N/A",P725="",Q725=""),"",IF(P725&gt;=Q725,"Yes","No"))</f>
        <v>Yes</v>
      </c>
      <c r="AE725" s="8"/>
    </row>
    <row r="726" customFormat="false" ht="15" hidden="false" customHeight="false" outlineLevel="0" collapsed="false">
      <c r="A726" s="12" t="s">
        <v>2533</v>
      </c>
      <c r="B726" s="26" t="str">
        <f aca="false">Entities!$A$21</f>
        <v>EG</v>
      </c>
      <c r="C726" s="12" t="str">
        <f aca="false">INDEX(Entities!$B$5:$B$34,MATCH(B726,Entities!$A$5:$A$34,0))</f>
        <v>Arab Bank – Egypt</v>
      </c>
      <c r="D726" s="7" t="str">
        <f aca="false">INDEX(Entities!$F$5:$F$34,MATCH(B726,Entities!$A$5:$A$34,0))</f>
        <v>Tier 1</v>
      </c>
      <c r="E726" s="26" t="str">
        <f aca="false">'Control Library'!$A$38</f>
        <v>CTL-MR-01</v>
      </c>
      <c r="F726" s="12" t="str">
        <f aca="false">INDEX('Control Library'!$B$5:$B$47,MATCH(E726,'Control Library'!$A$5:$A$47,0))</f>
        <v>Market risk limits and daily VaR monitoring</v>
      </c>
      <c r="G726" s="7" t="str">
        <f aca="false">INDEX('Control Library'!$F$5:$F$47,MATCH(E726,'Control Library'!$A$5:$A$47,0))</f>
        <v>Y</v>
      </c>
      <c r="H726" s="12" t="str">
        <f aca="false">INDEX('Control Library'!$E$5:$E$47,MATCH(E726,'Control Library'!$A$5:$A$47,0))</f>
        <v>Daily</v>
      </c>
      <c r="I726" s="7" t="str">
        <f aca="false">IF(INDEX('Control Library'!$I$5:$I$47,MATCH(E726,'Control Library'!$A$5:$A$47,0))="All","Y",IF(INDEX('Control Library'!$I$5:$I$47,MATCH(E726,'Control Library'!$A$5:$A$47,0))="Banks only",IF(COUNTIF('Residual Config'!$L$28:$L$30,INDEX(Entities!$E$5:$E$34,MATCH(B726,Entities!$A$5:$A$34,0)))&gt;0,"N/A","Y"),IF(INDEX(Entities!$G$5:$G$34,MATCH(B726,Entities!$A$5:$A$34,0))="Y","Y","N/A")))</f>
        <v>Y</v>
      </c>
      <c r="J726" s="8" t="s">
        <v>2531</v>
      </c>
      <c r="K726" s="8" t="s">
        <v>752</v>
      </c>
      <c r="L726" s="7" t="str">
        <f aca="false">IF(OR(J726="",K726=""),"",IF(J726=K726,"Breach","OK"))</f>
        <v>OK</v>
      </c>
      <c r="M726" s="24" t="n">
        <v>2</v>
      </c>
      <c r="N726" s="50" t="n">
        <v>46171</v>
      </c>
      <c r="O726" s="8" t="s">
        <v>546</v>
      </c>
      <c r="P726" s="24" t="n">
        <v>35</v>
      </c>
      <c r="Q726" s="31" t="n">
        <f aca="false">IF(I726="N/A","",IFERROR(INDEX('Residual Config'!$B$35:$B$42,MATCH(H726,'Residual Config'!$A$35:$A$42,0)),""))</f>
        <v>25</v>
      </c>
      <c r="R726" s="24" t="n">
        <v>0</v>
      </c>
      <c r="S726" s="8" t="s">
        <v>516</v>
      </c>
      <c r="T726" s="31" t="n">
        <f aca="false">IF(S726="","",MATCH(S726,'Residual Config'!$L$9:$L$12,0))</f>
        <v>1</v>
      </c>
      <c r="U726" s="8" t="s">
        <v>2534</v>
      </c>
      <c r="V726" s="24" t="n">
        <v>3</v>
      </c>
      <c r="W726" s="33" t="s">
        <v>533</v>
      </c>
      <c r="X726" s="8" t="s">
        <v>760</v>
      </c>
      <c r="Y726" s="51" t="n">
        <f aca="false">IF(N726="","",EDATE(N726,IF(G726="N",INDEX('Residual Config'!$B$31:$D$31,1,MATCH(D726,'Residual Config'!$B$27:$D$27,0)),INDEX('Residual Config'!$B$28:$D$30,IF(T726=1,1,IF(T726=4,3,2)),MATCH(D726,'Residual Config'!$B$27:$D$27,0)))))</f>
        <v>46355</v>
      </c>
      <c r="Z726" s="7" t="str">
        <f aca="false">IF(I726="N/A","N/A",IF(N726="","Not tested",IF(W726="Rejected","Evidence rejected",IF(W726&lt;&gt;"Accepted","Evidence pending",IF(Y726&lt;'Residual Config'!$C$4,"Overdue","Current")))))</f>
        <v>Current</v>
      </c>
      <c r="AA726" s="34" t="n">
        <f aca="false">IF(I726="N/A","",IF(Z726&lt;&gt;"Current",4,IF(MAX(M726,T726)=0,4,MAX(M726,T726))))</f>
        <v>2</v>
      </c>
      <c r="AB726" s="7" t="str">
        <f aca="false">IF(AA726="","N/A",IF(Z726&lt;&gt;"Current","Not tested / overdue",INDEX('Residual Config'!$B$11:$B$14,AA726)))</f>
        <v>Largely effective</v>
      </c>
      <c r="AC726" s="36" t="n">
        <f aca="false">IF(AA726="","",INDEX('Residual Config'!$D$11:$D$14,AA726))</f>
        <v>0.4</v>
      </c>
      <c r="AD726" s="7" t="str">
        <f aca="false">IF(OR(I726="N/A",P726="",Q726=""),"",IF(P726&gt;=Q726,"Yes","No"))</f>
        <v>Yes</v>
      </c>
      <c r="AE726" s="8"/>
    </row>
    <row r="727" customFormat="false" ht="15" hidden="false" customHeight="false" outlineLevel="0" collapsed="false">
      <c r="A727" s="12" t="s">
        <v>2535</v>
      </c>
      <c r="B727" s="26" t="str">
        <f aca="false">Entities!$A$21</f>
        <v>EG</v>
      </c>
      <c r="C727" s="12" t="str">
        <f aca="false">INDEX(Entities!$B$5:$B$34,MATCH(B727,Entities!$A$5:$A$34,0))</f>
        <v>Arab Bank – Egypt</v>
      </c>
      <c r="D727" s="7" t="str">
        <f aca="false">INDEX(Entities!$F$5:$F$34,MATCH(B727,Entities!$A$5:$A$34,0))</f>
        <v>Tier 1</v>
      </c>
      <c r="E727" s="26" t="str">
        <f aca="false">'Control Library'!$A$39</f>
        <v>CTL-LQ-01</v>
      </c>
      <c r="F727" s="12" t="str">
        <f aca="false">INDEX('Control Library'!$B$5:$B$47,MATCH(E727,'Control Library'!$A$5:$A$47,0))</f>
        <v>Liquidity buffers, LCR/NSFR monitoring and contingency funding plan</v>
      </c>
      <c r="G727" s="7" t="str">
        <f aca="false">INDEX('Control Library'!$F$5:$F$47,MATCH(E727,'Control Library'!$A$5:$A$47,0))</f>
        <v>Y</v>
      </c>
      <c r="H727" s="12" t="str">
        <f aca="false">INDEX('Control Library'!$E$5:$E$47,MATCH(E727,'Control Library'!$A$5:$A$47,0))</f>
        <v>Daily</v>
      </c>
      <c r="I727" s="7" t="str">
        <f aca="false">IF(INDEX('Control Library'!$I$5:$I$47,MATCH(E727,'Control Library'!$A$5:$A$47,0))="All","Y",IF(INDEX('Control Library'!$I$5:$I$47,MATCH(E727,'Control Library'!$A$5:$A$47,0))="Banks only",IF(COUNTIF('Residual Config'!$L$28:$L$30,INDEX(Entities!$E$5:$E$34,MATCH(B727,Entities!$A$5:$A$34,0)))&gt;0,"N/A","Y"),IF(INDEX(Entities!$G$5:$G$34,MATCH(B727,Entities!$A$5:$A$34,0))="Y","Y","N/A")))</f>
        <v>Y</v>
      </c>
      <c r="J727" s="8" t="s">
        <v>2536</v>
      </c>
      <c r="K727" s="8" t="s">
        <v>752</v>
      </c>
      <c r="L727" s="7" t="str">
        <f aca="false">IF(OR(J727="",K727=""),"",IF(J727=K727,"Breach","OK"))</f>
        <v>OK</v>
      </c>
      <c r="M727" s="24" t="n">
        <v>1</v>
      </c>
      <c r="N727" s="50" t="n">
        <v>46139</v>
      </c>
      <c r="O727" s="8" t="s">
        <v>546</v>
      </c>
      <c r="P727" s="24" t="n">
        <v>30</v>
      </c>
      <c r="Q727" s="31" t="n">
        <f aca="false">IF(I727="N/A","",IFERROR(INDEX('Residual Config'!$B$35:$B$42,MATCH(H727,'Residual Config'!$A$35:$A$42,0)),""))</f>
        <v>25</v>
      </c>
      <c r="R727" s="24" t="n">
        <v>0</v>
      </c>
      <c r="S727" s="8" t="s">
        <v>516</v>
      </c>
      <c r="T727" s="31" t="n">
        <f aca="false">IF(S727="","",MATCH(S727,'Residual Config'!$L$9:$L$12,0))</f>
        <v>1</v>
      </c>
      <c r="U727" s="8" t="s">
        <v>2537</v>
      </c>
      <c r="V727" s="24" t="n">
        <v>3</v>
      </c>
      <c r="W727" s="33" t="s">
        <v>533</v>
      </c>
      <c r="X727" s="8" t="s">
        <v>760</v>
      </c>
      <c r="Y727" s="51" t="n">
        <f aca="false">IF(N727="","",EDATE(N727,IF(G727="N",INDEX('Residual Config'!$B$31:$D$31,1,MATCH(D727,'Residual Config'!$B$27:$D$27,0)),INDEX('Residual Config'!$B$28:$D$30,IF(T727=1,1,IF(T727=4,3,2)),MATCH(D727,'Residual Config'!$B$27:$D$27,0)))))</f>
        <v>46322</v>
      </c>
      <c r="Z727" s="7" t="str">
        <f aca="false">IF(I727="N/A","N/A",IF(N727="","Not tested",IF(W727="Rejected","Evidence rejected",IF(W727&lt;&gt;"Accepted","Evidence pending",IF(Y727&lt;'Residual Config'!$C$4,"Overdue","Current")))))</f>
        <v>Current</v>
      </c>
      <c r="AA727" s="34" t="n">
        <f aca="false">IF(I727="N/A","",IF(Z727&lt;&gt;"Current",4,IF(MAX(M727,T727)=0,4,MAX(M727,T727))))</f>
        <v>1</v>
      </c>
      <c r="AB727" s="7" t="str">
        <f aca="false">IF(AA727="","N/A",IF(Z727&lt;&gt;"Current","Not tested / overdue",INDEX('Residual Config'!$B$11:$B$14,AA727)))</f>
        <v>Effective</v>
      </c>
      <c r="AC727" s="36" t="n">
        <f aca="false">IF(AA727="","",INDEX('Residual Config'!$D$11:$D$14,AA727))</f>
        <v>0.6</v>
      </c>
      <c r="AD727" s="7" t="str">
        <f aca="false">IF(OR(I727="N/A",P727="",Q727=""),"",IF(P727&gt;=Q727,"Yes","No"))</f>
        <v>Yes</v>
      </c>
      <c r="AE727" s="8"/>
    </row>
    <row r="728" customFormat="false" ht="15" hidden="false" customHeight="false" outlineLevel="0" collapsed="false">
      <c r="A728" s="12" t="s">
        <v>2538</v>
      </c>
      <c r="B728" s="26" t="str">
        <f aca="false">Entities!$A$21</f>
        <v>EG</v>
      </c>
      <c r="C728" s="12" t="str">
        <f aca="false">INDEX(Entities!$B$5:$B$34,MATCH(B728,Entities!$A$5:$A$34,0))</f>
        <v>Arab Bank – Egypt</v>
      </c>
      <c r="D728" s="7" t="str">
        <f aca="false">INDEX(Entities!$F$5:$F$34,MATCH(B728,Entities!$A$5:$A$34,0))</f>
        <v>Tier 1</v>
      </c>
      <c r="E728" s="26" t="str">
        <f aca="false">'Control Library'!$A$40</f>
        <v>CTL-OR-01</v>
      </c>
      <c r="F728" s="12" t="str">
        <f aca="false">INDEX('Control Library'!$B$5:$B$47,MATCH(E728,'Control Library'!$A$5:$A$47,0))</f>
        <v>Business continuity plans and annual testing</v>
      </c>
      <c r="G728" s="7" t="str">
        <f aca="false">INDEX('Control Library'!$F$5:$F$47,MATCH(E728,'Control Library'!$A$5:$A$47,0))</f>
        <v>Y</v>
      </c>
      <c r="H728" s="12" t="str">
        <f aca="false">INDEX('Control Library'!$E$5:$E$47,MATCH(E728,'Control Library'!$A$5:$A$47,0))</f>
        <v>Annual</v>
      </c>
      <c r="I728" s="7" t="str">
        <f aca="false">IF(INDEX('Control Library'!$I$5:$I$47,MATCH(E728,'Control Library'!$A$5:$A$47,0))="All","Y",IF(INDEX('Control Library'!$I$5:$I$47,MATCH(E728,'Control Library'!$A$5:$A$47,0))="Banks only",IF(COUNTIF('Residual Config'!$L$28:$L$30,INDEX(Entities!$E$5:$E$34,MATCH(B728,Entities!$A$5:$A$34,0)))&gt;0,"N/A","Y"),IF(INDEX(Entities!$G$5:$G$34,MATCH(B728,Entities!$A$5:$A$34,0))="Y","Y","N/A")))</f>
        <v>Y</v>
      </c>
      <c r="J728" s="8" t="s">
        <v>2539</v>
      </c>
      <c r="K728" s="8" t="s">
        <v>752</v>
      </c>
      <c r="L728" s="7" t="str">
        <f aca="false">IF(OR(J728="",K728=""),"",IF(J728=K728,"Breach","OK"))</f>
        <v>OK</v>
      </c>
      <c r="M728" s="24" t="n">
        <v>1</v>
      </c>
      <c r="N728" s="50" t="n">
        <v>46288</v>
      </c>
      <c r="O728" s="8" t="s">
        <v>546</v>
      </c>
      <c r="P728" s="24" t="n">
        <v>1</v>
      </c>
      <c r="Q728" s="31" t="n">
        <f aca="false">IF(I728="N/A","",IFERROR(INDEX('Residual Config'!$B$35:$B$42,MATCH(H728,'Residual Config'!$A$35:$A$42,0)),""))</f>
        <v>1</v>
      </c>
      <c r="R728" s="24" t="n">
        <v>0</v>
      </c>
      <c r="S728" s="8" t="s">
        <v>516</v>
      </c>
      <c r="T728" s="31" t="n">
        <f aca="false">IF(S728="","",MATCH(S728,'Residual Config'!$L$9:$L$12,0))</f>
        <v>1</v>
      </c>
      <c r="U728" s="8" t="s">
        <v>2540</v>
      </c>
      <c r="V728" s="24" t="n">
        <v>6</v>
      </c>
      <c r="W728" s="33" t="s">
        <v>533</v>
      </c>
      <c r="X728" s="8" t="s">
        <v>760</v>
      </c>
      <c r="Y728" s="51" t="n">
        <f aca="false">IF(N728="","",EDATE(N728,IF(G728="N",INDEX('Residual Config'!$B$31:$D$31,1,MATCH(D728,'Residual Config'!$B$27:$D$27,0)),INDEX('Residual Config'!$B$28:$D$30,IF(T728=1,1,IF(T728=4,3,2)),MATCH(D728,'Residual Config'!$B$27:$D$27,0)))))</f>
        <v>46469</v>
      </c>
      <c r="Z728" s="7" t="str">
        <f aca="false">IF(I728="N/A","N/A",IF(N728="","Not tested",IF(W728="Rejected","Evidence rejected",IF(W728&lt;&gt;"Accepted","Evidence pending",IF(Y728&lt;'Residual Config'!$C$4,"Overdue","Current")))))</f>
        <v>Current</v>
      </c>
      <c r="AA728" s="34" t="n">
        <f aca="false">IF(I728="N/A","",IF(Z728&lt;&gt;"Current",4,IF(MAX(M728,T728)=0,4,MAX(M728,T728))))</f>
        <v>1</v>
      </c>
      <c r="AB728" s="7" t="str">
        <f aca="false">IF(AA728="","N/A",IF(Z728&lt;&gt;"Current","Not tested / overdue",INDEX('Residual Config'!$B$11:$B$14,AA728)))</f>
        <v>Effective</v>
      </c>
      <c r="AC728" s="36" t="n">
        <f aca="false">IF(AA728="","",INDEX('Residual Config'!$D$11:$D$14,AA728))</f>
        <v>0.6</v>
      </c>
      <c r="AD728" s="7" t="str">
        <f aca="false">IF(OR(I728="N/A",P728="",Q728=""),"",IF(P728&gt;=Q728,"Yes","No"))</f>
        <v>Yes</v>
      </c>
      <c r="AE728" s="8"/>
    </row>
    <row r="729" customFormat="false" ht="15" hidden="false" customHeight="false" outlineLevel="0" collapsed="false">
      <c r="A729" s="12" t="s">
        <v>2541</v>
      </c>
      <c r="B729" s="26" t="str">
        <f aca="false">Entities!$A$21</f>
        <v>EG</v>
      </c>
      <c r="C729" s="12" t="str">
        <f aca="false">INDEX(Entities!$B$5:$B$34,MATCH(B729,Entities!$A$5:$A$34,0))</f>
        <v>Arab Bank – Egypt</v>
      </c>
      <c r="D729" s="7" t="str">
        <f aca="false">INDEX(Entities!$F$5:$F$34,MATCH(B729,Entities!$A$5:$A$34,0))</f>
        <v>Tier 1</v>
      </c>
      <c r="E729" s="26" t="str">
        <f aca="false">'Control Library'!$A$41</f>
        <v>CTL-OR-02</v>
      </c>
      <c r="F729" s="12" t="str">
        <f aca="false">INDEX('Control Library'!$B$5:$B$47,MATCH(E729,'Control Library'!$A$5:$A$47,0))</f>
        <v>Operational loss event capture and RCSA</v>
      </c>
      <c r="G729" s="7" t="str">
        <f aca="false">INDEX('Control Library'!$F$5:$F$47,MATCH(E729,'Control Library'!$A$5:$A$47,0))</f>
        <v>N</v>
      </c>
      <c r="H729" s="12" t="str">
        <f aca="false">INDEX('Control Library'!$E$5:$E$47,MATCH(E729,'Control Library'!$A$5:$A$47,0))</f>
        <v>Quarterly</v>
      </c>
      <c r="I729" s="7" t="str">
        <f aca="false">IF(INDEX('Control Library'!$I$5:$I$47,MATCH(E729,'Control Library'!$A$5:$A$47,0))="All","Y",IF(INDEX('Control Library'!$I$5:$I$47,MATCH(E729,'Control Library'!$A$5:$A$47,0))="Banks only",IF(COUNTIF('Residual Config'!$L$28:$L$30,INDEX(Entities!$E$5:$E$34,MATCH(B729,Entities!$A$5:$A$34,0)))&gt;0,"N/A","Y"),IF(INDEX(Entities!$G$5:$G$34,MATCH(B729,Entities!$A$5:$A$34,0))="Y","Y","N/A")))</f>
        <v>Y</v>
      </c>
      <c r="J729" s="8" t="s">
        <v>2531</v>
      </c>
      <c r="K729" s="8" t="s">
        <v>2460</v>
      </c>
      <c r="L729" s="7" t="str">
        <f aca="false">IF(OR(J729="",K729=""),"",IF(J729=K729,"Breach","OK"))</f>
        <v>OK</v>
      </c>
      <c r="M729" s="24" t="n">
        <v>2</v>
      </c>
      <c r="N729" s="50" t="n">
        <v>46135</v>
      </c>
      <c r="O729" s="8" t="s">
        <v>545</v>
      </c>
      <c r="P729" s="24" t="n">
        <v>2</v>
      </c>
      <c r="Q729" s="31" t="n">
        <f aca="false">IF(I729="N/A","",IFERROR(INDEX('Residual Config'!$B$35:$B$42,MATCH(H729,'Residual Config'!$A$35:$A$42,0)),""))</f>
        <v>2</v>
      </c>
      <c r="R729" s="24" t="n">
        <v>0</v>
      </c>
      <c r="S729" s="8" t="s">
        <v>516</v>
      </c>
      <c r="T729" s="31" t="n">
        <f aca="false">IF(S729="","",MATCH(S729,'Residual Config'!$L$9:$L$12,0))</f>
        <v>1</v>
      </c>
      <c r="U729" s="8" t="s">
        <v>2542</v>
      </c>
      <c r="V729" s="24" t="n">
        <v>2</v>
      </c>
      <c r="W729" s="33" t="s">
        <v>533</v>
      </c>
      <c r="X729" s="8" t="s">
        <v>760</v>
      </c>
      <c r="Y729" s="51" t="n">
        <f aca="false">IF(N729="","",EDATE(N729,IF(G729="N",INDEX('Residual Config'!$B$31:$D$31,1,MATCH(D729,'Residual Config'!$B$27:$D$27,0)),INDEX('Residual Config'!$B$28:$D$30,IF(T729=1,1,IF(T729=4,3,2)),MATCH(D729,'Residual Config'!$B$27:$D$27,0)))))</f>
        <v>46500</v>
      </c>
      <c r="Z729" s="7" t="str">
        <f aca="false">IF(I729="N/A","N/A",IF(N729="","Not tested",IF(W729="Rejected","Evidence rejected",IF(W729&lt;&gt;"Accepted","Evidence pending",IF(Y729&lt;'Residual Config'!$C$4,"Overdue","Current")))))</f>
        <v>Current</v>
      </c>
      <c r="AA729" s="34" t="n">
        <f aca="false">IF(I729="N/A","",IF(Z729&lt;&gt;"Current",4,IF(MAX(M729,T729)=0,4,MAX(M729,T729))))</f>
        <v>2</v>
      </c>
      <c r="AB729" s="7" t="str">
        <f aca="false">IF(AA729="","N/A",IF(Z729&lt;&gt;"Current","Not tested / overdue",INDEX('Residual Config'!$B$11:$B$14,AA729)))</f>
        <v>Largely effective</v>
      </c>
      <c r="AC729" s="36" t="n">
        <f aca="false">IF(AA729="","",INDEX('Residual Config'!$D$11:$D$14,AA729))</f>
        <v>0.4</v>
      </c>
      <c r="AD729" s="7" t="str">
        <f aca="false">IF(OR(I729="N/A",P729="",Q729=""),"",IF(P729&gt;=Q729,"Yes","No"))</f>
        <v>Yes</v>
      </c>
      <c r="AE729" s="8"/>
    </row>
    <row r="730" customFormat="false" ht="15" hidden="false" customHeight="false" outlineLevel="0" collapsed="false">
      <c r="A730" s="12" t="s">
        <v>2543</v>
      </c>
      <c r="B730" s="26" t="str">
        <f aca="false">Entities!$A$21</f>
        <v>EG</v>
      </c>
      <c r="C730" s="12" t="str">
        <f aca="false">INDEX(Entities!$B$5:$B$34,MATCH(B730,Entities!$A$5:$A$34,0))</f>
        <v>Arab Bank – Egypt</v>
      </c>
      <c r="D730" s="7" t="str">
        <f aca="false">INDEX(Entities!$F$5:$F$34,MATCH(B730,Entities!$A$5:$A$34,0))</f>
        <v>Tier 1</v>
      </c>
      <c r="E730" s="26" t="str">
        <f aca="false">'Control Library'!$A$42</f>
        <v>CTL-CY-01</v>
      </c>
      <c r="F730" s="12" t="str">
        <f aca="false">INDEX('Control Library'!$B$5:$B$47,MATCH(E730,'Control Library'!$A$5:$A$47,0))</f>
        <v>Vulnerability and patch management</v>
      </c>
      <c r="G730" s="7" t="str">
        <f aca="false">INDEX('Control Library'!$F$5:$F$47,MATCH(E730,'Control Library'!$A$5:$A$47,0))</f>
        <v>Y</v>
      </c>
      <c r="H730" s="12" t="str">
        <f aca="false">INDEX('Control Library'!$E$5:$E$47,MATCH(E730,'Control Library'!$A$5:$A$47,0))</f>
        <v>Monthly</v>
      </c>
      <c r="I730" s="7" t="str">
        <f aca="false">IF(INDEX('Control Library'!$I$5:$I$47,MATCH(E730,'Control Library'!$A$5:$A$47,0))="All","Y",IF(INDEX('Control Library'!$I$5:$I$47,MATCH(E730,'Control Library'!$A$5:$A$47,0))="Banks only",IF(COUNTIF('Residual Config'!$L$28:$L$30,INDEX(Entities!$E$5:$E$34,MATCH(B730,Entities!$A$5:$A$34,0)))&gt;0,"N/A","Y"),IF(INDEX(Entities!$G$5:$G$34,MATCH(B730,Entities!$A$5:$A$34,0))="Y","Y","N/A")))</f>
        <v>Y</v>
      </c>
      <c r="J730" s="8" t="s">
        <v>2475</v>
      </c>
      <c r="K730" s="8" t="s">
        <v>752</v>
      </c>
      <c r="L730" s="7" t="str">
        <f aca="false">IF(OR(J730="",K730=""),"",IF(J730=K730,"Breach","OK"))</f>
        <v>OK</v>
      </c>
      <c r="M730" s="24" t="n">
        <v>1</v>
      </c>
      <c r="N730" s="50" t="n">
        <v>46195</v>
      </c>
      <c r="O730" s="8" t="s">
        <v>545</v>
      </c>
      <c r="P730" s="24" t="n">
        <v>3</v>
      </c>
      <c r="Q730" s="31" t="n">
        <f aca="false">IF(I730="N/A","",IFERROR(INDEX('Residual Config'!$B$35:$B$42,MATCH(H730,'Residual Config'!$A$35:$A$42,0)),""))</f>
        <v>3</v>
      </c>
      <c r="R730" s="24" t="n">
        <v>0</v>
      </c>
      <c r="S730" s="8" t="s">
        <v>516</v>
      </c>
      <c r="T730" s="31" t="n">
        <f aca="false">IF(S730="","",MATCH(S730,'Residual Config'!$L$9:$L$12,0))</f>
        <v>1</v>
      </c>
      <c r="U730" s="8" t="s">
        <v>2544</v>
      </c>
      <c r="V730" s="24" t="n">
        <v>1</v>
      </c>
      <c r="W730" s="33" t="s">
        <v>533</v>
      </c>
      <c r="X730" s="8" t="s">
        <v>754</v>
      </c>
      <c r="Y730" s="51" t="n">
        <f aca="false">IF(N730="","",EDATE(N730,IF(G730="N",INDEX('Residual Config'!$B$31:$D$31,1,MATCH(D730,'Residual Config'!$B$27:$D$27,0)),INDEX('Residual Config'!$B$28:$D$30,IF(T730=1,1,IF(T730=4,3,2)),MATCH(D730,'Residual Config'!$B$27:$D$27,0)))))</f>
        <v>46378</v>
      </c>
      <c r="Z730" s="7" t="str">
        <f aca="false">IF(I730="N/A","N/A",IF(N730="","Not tested",IF(W730="Rejected","Evidence rejected",IF(W730&lt;&gt;"Accepted","Evidence pending",IF(Y730&lt;'Residual Config'!$C$4,"Overdue","Current")))))</f>
        <v>Current</v>
      </c>
      <c r="AA730" s="34" t="n">
        <f aca="false">IF(I730="N/A","",IF(Z730&lt;&gt;"Current",4,IF(MAX(M730,T730)=0,4,MAX(M730,T730))))</f>
        <v>1</v>
      </c>
      <c r="AB730" s="7" t="str">
        <f aca="false">IF(AA730="","N/A",IF(Z730&lt;&gt;"Current","Not tested / overdue",INDEX('Residual Config'!$B$11:$B$14,AA730)))</f>
        <v>Effective</v>
      </c>
      <c r="AC730" s="36" t="n">
        <f aca="false">IF(AA730="","",INDEX('Residual Config'!$D$11:$D$14,AA730))</f>
        <v>0.6</v>
      </c>
      <c r="AD730" s="7" t="str">
        <f aca="false">IF(OR(I730="N/A",P730="",Q730=""),"",IF(P730&gt;=Q730,"Yes","No"))</f>
        <v>Yes</v>
      </c>
      <c r="AE730" s="8"/>
    </row>
    <row r="731" customFormat="false" ht="15" hidden="false" customHeight="false" outlineLevel="0" collapsed="false">
      <c r="A731" s="12" t="s">
        <v>2545</v>
      </c>
      <c r="B731" s="26" t="str">
        <f aca="false">Entities!$A$21</f>
        <v>EG</v>
      </c>
      <c r="C731" s="12" t="str">
        <f aca="false">INDEX(Entities!$B$5:$B$34,MATCH(B731,Entities!$A$5:$A$34,0))</f>
        <v>Arab Bank – Egypt</v>
      </c>
      <c r="D731" s="7" t="str">
        <f aca="false">INDEX(Entities!$F$5:$F$34,MATCH(B731,Entities!$A$5:$A$34,0))</f>
        <v>Tier 1</v>
      </c>
      <c r="E731" s="26" t="str">
        <f aca="false">'Control Library'!$A$43</f>
        <v>CTL-CY-02</v>
      </c>
      <c r="F731" s="12" t="str">
        <f aca="false">INDEX('Control Library'!$B$5:$B$47,MATCH(E731,'Control Library'!$A$5:$A$47,0))</f>
        <v>Privileged access management and SOC monitoring</v>
      </c>
      <c r="G731" s="7" t="str">
        <f aca="false">INDEX('Control Library'!$F$5:$F$47,MATCH(E731,'Control Library'!$A$5:$A$47,0))</f>
        <v>Y</v>
      </c>
      <c r="H731" s="12" t="str">
        <f aca="false">INDEX('Control Library'!$E$5:$E$47,MATCH(E731,'Control Library'!$A$5:$A$47,0))</f>
        <v>Continuous</v>
      </c>
      <c r="I731" s="7" t="str">
        <f aca="false">IF(INDEX('Control Library'!$I$5:$I$47,MATCH(E731,'Control Library'!$A$5:$A$47,0))="All","Y",IF(INDEX('Control Library'!$I$5:$I$47,MATCH(E731,'Control Library'!$A$5:$A$47,0))="Banks only",IF(COUNTIF('Residual Config'!$L$28:$L$30,INDEX(Entities!$E$5:$E$34,MATCH(B731,Entities!$A$5:$A$34,0)))&gt;0,"N/A","Y"),IF(INDEX(Entities!$G$5:$G$34,MATCH(B731,Entities!$A$5:$A$34,0))="Y","Y","N/A")))</f>
        <v>Y</v>
      </c>
      <c r="J731" s="8" t="s">
        <v>2524</v>
      </c>
      <c r="K731" s="8" t="s">
        <v>752</v>
      </c>
      <c r="L731" s="7" t="str">
        <f aca="false">IF(OR(J731="",K731=""),"",IF(J731=K731,"Breach","OK"))</f>
        <v>OK</v>
      </c>
      <c r="M731" s="24" t="n">
        <v>2</v>
      </c>
      <c r="N731" s="50" t="n">
        <v>46251</v>
      </c>
      <c r="O731" s="8" t="s">
        <v>546</v>
      </c>
      <c r="P731" s="24" t="n">
        <v>1</v>
      </c>
      <c r="Q731" s="31" t="n">
        <f aca="false">IF(I731="N/A","",IFERROR(INDEX('Residual Config'!$B$35:$B$42,MATCH(H731,'Residual Config'!$A$35:$A$42,0)),""))</f>
        <v>1</v>
      </c>
      <c r="R731" s="24" t="n">
        <v>0</v>
      </c>
      <c r="S731" s="8" t="s">
        <v>516</v>
      </c>
      <c r="T731" s="31" t="n">
        <f aca="false">IF(S731="","",MATCH(S731,'Residual Config'!$L$9:$L$12,0))</f>
        <v>1</v>
      </c>
      <c r="U731" s="8" t="s">
        <v>2546</v>
      </c>
      <c r="V731" s="24" t="n">
        <v>5</v>
      </c>
      <c r="W731" s="33" t="s">
        <v>533</v>
      </c>
      <c r="X731" s="8" t="s">
        <v>754</v>
      </c>
      <c r="Y731" s="51" t="n">
        <f aca="false">IF(N731="","",EDATE(N731,IF(G731="N",INDEX('Residual Config'!$B$31:$D$31,1,MATCH(D731,'Residual Config'!$B$27:$D$27,0)),INDEX('Residual Config'!$B$28:$D$30,IF(T731=1,1,IF(T731=4,3,2)),MATCH(D731,'Residual Config'!$B$27:$D$27,0)))))</f>
        <v>46435</v>
      </c>
      <c r="Z731" s="7" t="str">
        <f aca="false">IF(I731="N/A","N/A",IF(N731="","Not tested",IF(W731="Rejected","Evidence rejected",IF(W731&lt;&gt;"Accepted","Evidence pending",IF(Y731&lt;'Residual Config'!$C$4,"Overdue","Current")))))</f>
        <v>Current</v>
      </c>
      <c r="AA731" s="34" t="n">
        <f aca="false">IF(I731="N/A","",IF(Z731&lt;&gt;"Current",4,IF(MAX(M731,T731)=0,4,MAX(M731,T731))))</f>
        <v>2</v>
      </c>
      <c r="AB731" s="7" t="str">
        <f aca="false">IF(AA731="","N/A",IF(Z731&lt;&gt;"Current","Not tested / overdue",INDEX('Residual Config'!$B$11:$B$14,AA731)))</f>
        <v>Largely effective</v>
      </c>
      <c r="AC731" s="36" t="n">
        <f aca="false">IF(AA731="","",INDEX('Residual Config'!$D$11:$D$14,AA731))</f>
        <v>0.4</v>
      </c>
      <c r="AD731" s="7" t="str">
        <f aca="false">IF(OR(I731="N/A",P731="",Q731=""),"",IF(P731&gt;=Q731,"Yes","No"))</f>
        <v>Yes</v>
      </c>
      <c r="AE731" s="8"/>
    </row>
    <row r="732" customFormat="false" ht="15" hidden="false" customHeight="false" outlineLevel="0" collapsed="false">
      <c r="A732" s="12" t="s">
        <v>2547</v>
      </c>
      <c r="B732" s="26" t="str">
        <f aca="false">Entities!$A$21</f>
        <v>EG</v>
      </c>
      <c r="C732" s="12" t="str">
        <f aca="false">INDEX(Entities!$B$5:$B$34,MATCH(B732,Entities!$A$5:$A$34,0))</f>
        <v>Arab Bank – Egypt</v>
      </c>
      <c r="D732" s="7" t="str">
        <f aca="false">INDEX(Entities!$F$5:$F$34,MATCH(B732,Entities!$A$5:$A$34,0))</f>
        <v>Tier 1</v>
      </c>
      <c r="E732" s="26" t="str">
        <f aca="false">'Control Library'!$A$44</f>
        <v>CTL-TP-01</v>
      </c>
      <c r="F732" s="12" t="str">
        <f aca="false">INDEX('Control Library'!$B$5:$B$47,MATCH(E732,'Control Library'!$A$5:$A$47,0))</f>
        <v>Critical vendor due diligence and tested exit plans</v>
      </c>
      <c r="G732" s="7" t="str">
        <f aca="false">INDEX('Control Library'!$F$5:$F$47,MATCH(E732,'Control Library'!$A$5:$A$47,0))</f>
        <v>Y</v>
      </c>
      <c r="H732" s="12" t="str">
        <f aca="false">INDEX('Control Library'!$E$5:$E$47,MATCH(E732,'Control Library'!$A$5:$A$47,0))</f>
        <v>Annual</v>
      </c>
      <c r="I732" s="7" t="str">
        <f aca="false">IF(INDEX('Control Library'!$I$5:$I$47,MATCH(E732,'Control Library'!$A$5:$A$47,0))="All","Y",IF(INDEX('Control Library'!$I$5:$I$47,MATCH(E732,'Control Library'!$A$5:$A$47,0))="Banks only",IF(COUNTIF('Residual Config'!$L$28:$L$30,INDEX(Entities!$E$5:$E$34,MATCH(B732,Entities!$A$5:$A$34,0)))&gt;0,"N/A","Y"),IF(INDEX(Entities!$G$5:$G$34,MATCH(B732,Entities!$A$5:$A$34,0))="Y","Y","N/A")))</f>
        <v>Y</v>
      </c>
      <c r="J732" s="8" t="s">
        <v>2492</v>
      </c>
      <c r="K732" s="8" t="s">
        <v>752</v>
      </c>
      <c r="L732" s="7" t="str">
        <f aca="false">IF(OR(J732="",K732=""),"",IF(J732=K732,"Breach","OK"))</f>
        <v>OK</v>
      </c>
      <c r="M732" s="24" t="n">
        <v>1</v>
      </c>
      <c r="N732" s="50" t="n">
        <v>46239</v>
      </c>
      <c r="O732" s="8" t="s">
        <v>545</v>
      </c>
      <c r="P732" s="24" t="n">
        <v>1</v>
      </c>
      <c r="Q732" s="31" t="n">
        <f aca="false">IF(I732="N/A","",IFERROR(INDEX('Residual Config'!$B$35:$B$42,MATCH(H732,'Residual Config'!$A$35:$A$42,0)),""))</f>
        <v>1</v>
      </c>
      <c r="R732" s="24" t="n">
        <v>0</v>
      </c>
      <c r="S732" s="8" t="s">
        <v>516</v>
      </c>
      <c r="T732" s="31" t="n">
        <f aca="false">IF(S732="","",MATCH(S732,'Residual Config'!$L$9:$L$12,0))</f>
        <v>1</v>
      </c>
      <c r="U732" s="8" t="s">
        <v>2548</v>
      </c>
      <c r="V732" s="24" t="n">
        <v>3</v>
      </c>
      <c r="W732" s="33" t="s">
        <v>533</v>
      </c>
      <c r="X732" s="8" t="s">
        <v>754</v>
      </c>
      <c r="Y732" s="51" t="n">
        <f aca="false">IF(N732="","",EDATE(N732,IF(G732="N",INDEX('Residual Config'!$B$31:$D$31,1,MATCH(D732,'Residual Config'!$B$27:$D$27,0)),INDEX('Residual Config'!$B$28:$D$30,IF(T732=1,1,IF(T732=4,3,2)),MATCH(D732,'Residual Config'!$B$27:$D$27,0)))))</f>
        <v>46423</v>
      </c>
      <c r="Z732" s="7" t="str">
        <f aca="false">IF(I732="N/A","N/A",IF(N732="","Not tested",IF(W732="Rejected","Evidence rejected",IF(W732&lt;&gt;"Accepted","Evidence pending",IF(Y732&lt;'Residual Config'!$C$4,"Overdue","Current")))))</f>
        <v>Current</v>
      </c>
      <c r="AA732" s="34" t="n">
        <f aca="false">IF(I732="N/A","",IF(Z732&lt;&gt;"Current",4,IF(MAX(M732,T732)=0,4,MAX(M732,T732))))</f>
        <v>1</v>
      </c>
      <c r="AB732" s="7" t="str">
        <f aca="false">IF(AA732="","N/A",IF(Z732&lt;&gt;"Current","Not tested / overdue",INDEX('Residual Config'!$B$11:$B$14,AA732)))</f>
        <v>Effective</v>
      </c>
      <c r="AC732" s="36" t="n">
        <f aca="false">IF(AA732="","",INDEX('Residual Config'!$D$11:$D$14,AA732))</f>
        <v>0.6</v>
      </c>
      <c r="AD732" s="7" t="str">
        <f aca="false">IF(OR(I732="N/A",P732="",Q732=""),"",IF(P732&gt;=Q732,"Yes","No"))</f>
        <v>Yes</v>
      </c>
      <c r="AE732" s="8"/>
    </row>
    <row r="733" customFormat="false" ht="15" hidden="false" customHeight="false" outlineLevel="0" collapsed="false">
      <c r="A733" s="12" t="s">
        <v>2549</v>
      </c>
      <c r="B733" s="26" t="str">
        <f aca="false">Entities!$A$21</f>
        <v>EG</v>
      </c>
      <c r="C733" s="12" t="str">
        <f aca="false">INDEX(Entities!$B$5:$B$34,MATCH(B733,Entities!$A$5:$A$34,0))</f>
        <v>Arab Bank – Egypt</v>
      </c>
      <c r="D733" s="7" t="str">
        <f aca="false">INDEX(Entities!$F$5:$F$34,MATCH(B733,Entities!$A$5:$A$34,0))</f>
        <v>Tier 1</v>
      </c>
      <c r="E733" s="26" t="str">
        <f aca="false">'Control Library'!$A$45</f>
        <v>CTL-LG-01</v>
      </c>
      <c r="F733" s="12" t="str">
        <f aca="false">INDEX('Control Library'!$B$5:$B$47,MATCH(E733,'Control Library'!$A$5:$A$47,0))</f>
        <v>Legal review of contracts and litigation register</v>
      </c>
      <c r="G733" s="7" t="str">
        <f aca="false">INDEX('Control Library'!$F$5:$F$47,MATCH(E733,'Control Library'!$A$5:$A$47,0))</f>
        <v>Y</v>
      </c>
      <c r="H733" s="12" t="str">
        <f aca="false">INDEX('Control Library'!$E$5:$E$47,MATCH(E733,'Control Library'!$A$5:$A$47,0))</f>
        <v>Event-driven</v>
      </c>
      <c r="I733" s="7" t="str">
        <f aca="false">IF(INDEX('Control Library'!$I$5:$I$47,MATCH(E733,'Control Library'!$A$5:$A$47,0))="All","Y",IF(INDEX('Control Library'!$I$5:$I$47,MATCH(E733,'Control Library'!$A$5:$A$47,0))="Banks only",IF(COUNTIF('Residual Config'!$L$28:$L$30,INDEX(Entities!$E$5:$E$34,MATCH(B733,Entities!$A$5:$A$34,0)))&gt;0,"N/A","Y"),IF(INDEX(Entities!$G$5:$G$34,MATCH(B733,Entities!$A$5:$A$34,0))="Y","Y","N/A")))</f>
        <v>Y</v>
      </c>
      <c r="J733" s="8" t="s">
        <v>2550</v>
      </c>
      <c r="K733" s="8" t="s">
        <v>752</v>
      </c>
      <c r="L733" s="7" t="str">
        <f aca="false">IF(OR(J733="",K733=""),"",IF(J733=K733,"Breach","OK"))</f>
        <v>OK</v>
      </c>
      <c r="M733" s="24" t="n">
        <v>1</v>
      </c>
      <c r="N733" s="50" t="n">
        <v>46266</v>
      </c>
      <c r="O733" s="8" t="s">
        <v>545</v>
      </c>
      <c r="P733" s="24" t="n">
        <v>35</v>
      </c>
      <c r="Q733" s="31" t="n">
        <f aca="false">IF(I733="N/A","",IFERROR(INDEX('Residual Config'!$B$35:$B$42,MATCH(H733,'Residual Config'!$A$35:$A$42,0)),""))</f>
        <v>25</v>
      </c>
      <c r="R733" s="24" t="n">
        <v>1</v>
      </c>
      <c r="S733" s="8" t="s">
        <v>521</v>
      </c>
      <c r="T733" s="31" t="n">
        <f aca="false">IF(S733="","",MATCH(S733,'Residual Config'!$L$9:$L$12,0))</f>
        <v>2</v>
      </c>
      <c r="U733" s="8" t="s">
        <v>2551</v>
      </c>
      <c r="V733" s="24" t="n">
        <v>2</v>
      </c>
      <c r="W733" s="33" t="s">
        <v>533</v>
      </c>
      <c r="X733" s="8" t="s">
        <v>754</v>
      </c>
      <c r="Y733" s="51" t="n">
        <f aca="false">IF(N733="","",EDATE(N733,IF(G733="N",INDEX('Residual Config'!$B$31:$D$31,1,MATCH(D733,'Residual Config'!$B$27:$D$27,0)),INDEX('Residual Config'!$B$28:$D$30,IF(T733=1,1,IF(T733=4,3,2)),MATCH(D733,'Residual Config'!$B$27:$D$27,0)))))</f>
        <v>46357</v>
      </c>
      <c r="Z733" s="7" t="str">
        <f aca="false">IF(I733="N/A","N/A",IF(N733="","Not tested",IF(W733="Rejected","Evidence rejected",IF(W733&lt;&gt;"Accepted","Evidence pending",IF(Y733&lt;'Residual Config'!$C$4,"Overdue","Current")))))</f>
        <v>Current</v>
      </c>
      <c r="AA733" s="34" t="n">
        <f aca="false">IF(I733="N/A","",IF(Z733&lt;&gt;"Current",4,IF(MAX(M733,T733)=0,4,MAX(M733,T733))))</f>
        <v>2</v>
      </c>
      <c r="AB733" s="7" t="str">
        <f aca="false">IF(AA733="","N/A",IF(Z733&lt;&gt;"Current","Not tested / overdue",INDEX('Residual Config'!$B$11:$B$14,AA733)))</f>
        <v>Largely effective</v>
      </c>
      <c r="AC733" s="36" t="n">
        <f aca="false">IF(AA733="","",INDEX('Residual Config'!$D$11:$D$14,AA733))</f>
        <v>0.4</v>
      </c>
      <c r="AD733" s="7" t="str">
        <f aca="false">IF(OR(I733="N/A",P733="",Q733=""),"",IF(P733&gt;=Q733,"Yes","No"))</f>
        <v>Yes</v>
      </c>
      <c r="AE733" s="8"/>
    </row>
    <row r="734" customFormat="false" ht="15" hidden="false" customHeight="false" outlineLevel="0" collapsed="false">
      <c r="A734" s="12" t="s">
        <v>2552</v>
      </c>
      <c r="B734" s="26" t="str">
        <f aca="false">Entities!$A$21</f>
        <v>EG</v>
      </c>
      <c r="C734" s="12" t="str">
        <f aca="false">INDEX(Entities!$B$5:$B$34,MATCH(B734,Entities!$A$5:$A$34,0))</f>
        <v>Arab Bank – Egypt</v>
      </c>
      <c r="D734" s="7" t="str">
        <f aca="false">INDEX(Entities!$F$5:$F$34,MATCH(B734,Entities!$A$5:$A$34,0))</f>
        <v>Tier 1</v>
      </c>
      <c r="E734" s="26" t="str">
        <f aca="false">'Control Library'!$A$46</f>
        <v>CTL-RP-01</v>
      </c>
      <c r="F734" s="12" t="str">
        <f aca="false">INDEX('Control Library'!$B$5:$B$47,MATCH(E734,'Control Library'!$A$5:$A$47,0))</f>
        <v>Media monitoring and reputational-risk escalation</v>
      </c>
      <c r="G734" s="7" t="str">
        <f aca="false">INDEX('Control Library'!$F$5:$F$47,MATCH(E734,'Control Library'!$A$5:$A$47,0))</f>
        <v>Y</v>
      </c>
      <c r="H734" s="12" t="str">
        <f aca="false">INDEX('Control Library'!$E$5:$E$47,MATCH(E734,'Control Library'!$A$5:$A$47,0))</f>
        <v>Daily</v>
      </c>
      <c r="I734" s="7" t="str">
        <f aca="false">IF(INDEX('Control Library'!$I$5:$I$47,MATCH(E734,'Control Library'!$A$5:$A$47,0))="All","Y",IF(INDEX('Control Library'!$I$5:$I$47,MATCH(E734,'Control Library'!$A$5:$A$47,0))="Banks only",IF(COUNTIF('Residual Config'!$L$28:$L$30,INDEX(Entities!$E$5:$E$34,MATCH(B734,Entities!$A$5:$A$34,0)))&gt;0,"N/A","Y"),IF(INDEX(Entities!$G$5:$G$34,MATCH(B734,Entities!$A$5:$A$34,0))="Y","Y","N/A")))</f>
        <v>Y</v>
      </c>
      <c r="J734" s="8" t="s">
        <v>2553</v>
      </c>
      <c r="K734" s="8" t="s">
        <v>752</v>
      </c>
      <c r="L734" s="7" t="str">
        <f aca="false">IF(OR(J734="",K734=""),"",IF(J734=K734,"Breach","OK"))</f>
        <v>OK</v>
      </c>
      <c r="M734" s="24" t="n">
        <v>1</v>
      </c>
      <c r="N734" s="50" t="n">
        <v>46267</v>
      </c>
      <c r="O734" s="8" t="s">
        <v>545</v>
      </c>
      <c r="P734" s="24" t="n">
        <v>25</v>
      </c>
      <c r="Q734" s="31" t="n">
        <f aca="false">IF(I734="N/A","",IFERROR(INDEX('Residual Config'!$B$35:$B$42,MATCH(H734,'Residual Config'!$A$35:$A$42,0)),""))</f>
        <v>25</v>
      </c>
      <c r="R734" s="24" t="n">
        <v>0</v>
      </c>
      <c r="S734" s="8" t="s">
        <v>516</v>
      </c>
      <c r="T734" s="31" t="n">
        <f aca="false">IF(S734="","",MATCH(S734,'Residual Config'!$L$9:$L$12,0))</f>
        <v>1</v>
      </c>
      <c r="U734" s="8" t="s">
        <v>2554</v>
      </c>
      <c r="V734" s="24" t="n">
        <v>3</v>
      </c>
      <c r="W734" s="33" t="s">
        <v>533</v>
      </c>
      <c r="X734" s="8" t="s">
        <v>754</v>
      </c>
      <c r="Y734" s="51" t="n">
        <f aca="false">IF(N734="","",EDATE(N734,IF(G734="N",INDEX('Residual Config'!$B$31:$D$31,1,MATCH(D734,'Residual Config'!$B$27:$D$27,0)),INDEX('Residual Config'!$B$28:$D$30,IF(T734=1,1,IF(T734=4,3,2)),MATCH(D734,'Residual Config'!$B$27:$D$27,0)))))</f>
        <v>46448</v>
      </c>
      <c r="Z734" s="7" t="str">
        <f aca="false">IF(I734="N/A","N/A",IF(N734="","Not tested",IF(W734="Rejected","Evidence rejected",IF(W734&lt;&gt;"Accepted","Evidence pending",IF(Y734&lt;'Residual Config'!$C$4,"Overdue","Current")))))</f>
        <v>Current</v>
      </c>
      <c r="AA734" s="34" t="n">
        <f aca="false">IF(I734="N/A","",IF(Z734&lt;&gt;"Current",4,IF(MAX(M734,T734)=0,4,MAX(M734,T734))))</f>
        <v>1</v>
      </c>
      <c r="AB734" s="7" t="str">
        <f aca="false">IF(AA734="","N/A",IF(Z734&lt;&gt;"Current","Not tested / overdue",INDEX('Residual Config'!$B$11:$B$14,AA734)))</f>
        <v>Effective</v>
      </c>
      <c r="AC734" s="36" t="n">
        <f aca="false">IF(AA734="","",INDEX('Residual Config'!$D$11:$D$14,AA734))</f>
        <v>0.6</v>
      </c>
      <c r="AD734" s="7" t="str">
        <f aca="false">IF(OR(I734="N/A",P734="",Q734=""),"",IF(P734&gt;=Q734,"Yes","No"))</f>
        <v>Yes</v>
      </c>
      <c r="AE734" s="8"/>
    </row>
    <row r="735" customFormat="false" ht="15" hidden="false" customHeight="false" outlineLevel="0" collapsed="false">
      <c r="A735" s="12" t="s">
        <v>2555</v>
      </c>
      <c r="B735" s="26" t="str">
        <f aca="false">Entities!$A$21</f>
        <v>EG</v>
      </c>
      <c r="C735" s="12" t="str">
        <f aca="false">INDEX(Entities!$B$5:$B$34,MATCH(B735,Entities!$A$5:$A$34,0))</f>
        <v>Arab Bank – Egypt</v>
      </c>
      <c r="D735" s="7" t="str">
        <f aca="false">INDEX(Entities!$F$5:$F$34,MATCH(B735,Entities!$A$5:$A$34,0))</f>
        <v>Tier 1</v>
      </c>
      <c r="E735" s="26" t="str">
        <f aca="false">'Control Library'!$A$47</f>
        <v>CTL-ST-01</v>
      </c>
      <c r="F735" s="12" t="str">
        <f aca="false">INDEX('Control Library'!$B$5:$B$47,MATCH(E735,'Control Library'!$A$5:$A$47,0))</f>
        <v>Strategy execution monitoring and E&amp;S screening of lending</v>
      </c>
      <c r="G735" s="7" t="str">
        <f aca="false">INDEX('Control Library'!$F$5:$F$47,MATCH(E735,'Control Library'!$A$5:$A$47,0))</f>
        <v>Y</v>
      </c>
      <c r="H735" s="12" t="str">
        <f aca="false">INDEX('Control Library'!$E$5:$E$47,MATCH(E735,'Control Library'!$A$5:$A$47,0))</f>
        <v>Quarterly</v>
      </c>
      <c r="I735" s="7" t="str">
        <f aca="false">IF(INDEX('Control Library'!$I$5:$I$47,MATCH(E735,'Control Library'!$A$5:$A$47,0))="All","Y",IF(INDEX('Control Library'!$I$5:$I$47,MATCH(E735,'Control Library'!$A$5:$A$47,0))="Banks only",IF(COUNTIF('Residual Config'!$L$28:$L$30,INDEX(Entities!$E$5:$E$34,MATCH(B735,Entities!$A$5:$A$34,0)))&gt;0,"N/A","Y"),IF(INDEX(Entities!$G$5:$G$34,MATCH(B735,Entities!$A$5:$A$34,0))="Y","Y","N/A")))</f>
        <v>Y</v>
      </c>
      <c r="J735" s="8" t="s">
        <v>2556</v>
      </c>
      <c r="K735" s="8" t="s">
        <v>752</v>
      </c>
      <c r="L735" s="7" t="str">
        <f aca="false">IF(OR(J735="",K735=""),"",IF(J735=K735,"Breach","OK"))</f>
        <v>OK</v>
      </c>
      <c r="M735" s="24" t="n">
        <v>2</v>
      </c>
      <c r="N735" s="50" t="n">
        <v>46181</v>
      </c>
      <c r="O735" s="8" t="s">
        <v>545</v>
      </c>
      <c r="P735" s="24" t="n">
        <v>2</v>
      </c>
      <c r="Q735" s="31" t="n">
        <f aca="false">IF(I735="N/A","",IFERROR(INDEX('Residual Config'!$B$35:$B$42,MATCH(H735,'Residual Config'!$A$35:$A$42,0)),""))</f>
        <v>2</v>
      </c>
      <c r="R735" s="24" t="n">
        <v>0</v>
      </c>
      <c r="S735" s="8" t="s">
        <v>516</v>
      </c>
      <c r="T735" s="31" t="n">
        <f aca="false">IF(S735="","",MATCH(S735,'Residual Config'!$L$9:$L$12,0))</f>
        <v>1</v>
      </c>
      <c r="U735" s="8" t="s">
        <v>2557</v>
      </c>
      <c r="V735" s="24" t="n">
        <v>2</v>
      </c>
      <c r="W735" s="33" t="s">
        <v>533</v>
      </c>
      <c r="X735" s="8" t="s">
        <v>754</v>
      </c>
      <c r="Y735" s="51" t="n">
        <f aca="false">IF(N735="","",EDATE(N735,IF(G735="N",INDEX('Residual Config'!$B$31:$D$31,1,MATCH(D735,'Residual Config'!$B$27:$D$27,0)),INDEX('Residual Config'!$B$28:$D$30,IF(T735=1,1,IF(T735=4,3,2)),MATCH(D735,'Residual Config'!$B$27:$D$27,0)))))</f>
        <v>46364</v>
      </c>
      <c r="Z735" s="7" t="str">
        <f aca="false">IF(I735="N/A","N/A",IF(N735="","Not tested",IF(W735="Rejected","Evidence rejected",IF(W735&lt;&gt;"Accepted","Evidence pending",IF(Y735&lt;'Residual Config'!$C$4,"Overdue","Current")))))</f>
        <v>Current</v>
      </c>
      <c r="AA735" s="34" t="n">
        <f aca="false">IF(I735="N/A","",IF(Z735&lt;&gt;"Current",4,IF(MAX(M735,T735)=0,4,MAX(M735,T735))))</f>
        <v>2</v>
      </c>
      <c r="AB735" s="7" t="str">
        <f aca="false">IF(AA735="","N/A",IF(Z735&lt;&gt;"Current","Not tested / overdue",INDEX('Residual Config'!$B$11:$B$14,AA735)))</f>
        <v>Largely effective</v>
      </c>
      <c r="AC735" s="36" t="n">
        <f aca="false">IF(AA735="","",INDEX('Residual Config'!$D$11:$D$14,AA735))</f>
        <v>0.4</v>
      </c>
      <c r="AD735" s="7" t="str">
        <f aca="false">IF(OR(I735="N/A",P735="",Q735=""),"",IF(P735&gt;=Q735,"Yes","No"))</f>
        <v>Yes</v>
      </c>
      <c r="AE735" s="8"/>
    </row>
    <row r="736" customFormat="false" ht="15" hidden="false" customHeight="false" outlineLevel="0" collapsed="false">
      <c r="A736" s="12" t="s">
        <v>2558</v>
      </c>
      <c r="B736" s="26" t="str">
        <f aca="false">Entities!$A$22</f>
        <v>DZ</v>
      </c>
      <c r="C736" s="12" t="str">
        <f aca="false">INDEX(Entities!$B$5:$B$34,MATCH(B736,Entities!$A$5:$A$34,0))</f>
        <v>Arab Bank – Algeria</v>
      </c>
      <c r="D736" s="7" t="str">
        <f aca="false">INDEX(Entities!$F$5:$F$34,MATCH(B736,Entities!$A$5:$A$34,0))</f>
        <v>Tier 2</v>
      </c>
      <c r="E736" s="26" t="str">
        <f aca="false">'Control Library'!$A$5</f>
        <v>CTL-KYC-01</v>
      </c>
      <c r="F736" s="12" t="str">
        <f aca="false">INDEX('Control Library'!$B$5:$B$47,MATCH(E736,'Control Library'!$A$5:$A$47,0))</f>
        <v>Customer due diligence and ID verification at onboarding</v>
      </c>
      <c r="G736" s="7" t="str">
        <f aca="false">INDEX('Control Library'!$F$5:$F$47,MATCH(E736,'Control Library'!$A$5:$A$47,0))</f>
        <v>Y</v>
      </c>
      <c r="H736" s="12" t="str">
        <f aca="false">INDEX('Control Library'!$E$5:$E$47,MATCH(E736,'Control Library'!$A$5:$A$47,0))</f>
        <v>Event-driven</v>
      </c>
      <c r="I736" s="7" t="str">
        <f aca="false">IF(INDEX('Control Library'!$I$5:$I$47,MATCH(E736,'Control Library'!$A$5:$A$47,0))="All","Y",IF(INDEX('Control Library'!$I$5:$I$47,MATCH(E736,'Control Library'!$A$5:$A$47,0))="Banks only",IF(COUNTIF('Residual Config'!$L$28:$L$30,INDEX(Entities!$E$5:$E$34,MATCH(B736,Entities!$A$5:$A$34,0)))&gt;0,"N/A","Y"),IF(INDEX(Entities!$G$5:$G$34,MATCH(B736,Entities!$A$5:$A$34,0))="Y","Y","N/A")))</f>
        <v>Y</v>
      </c>
      <c r="J736" s="8" t="s">
        <v>2559</v>
      </c>
      <c r="K736" s="8" t="s">
        <v>2560</v>
      </c>
      <c r="L736" s="7" t="str">
        <f aca="false">IF(OR(J736="",K736=""),"",IF(J736=K736,"Breach","OK"))</f>
        <v>OK</v>
      </c>
      <c r="M736" s="24" t="n">
        <v>1</v>
      </c>
      <c r="N736" s="50" t="n">
        <v>46273</v>
      </c>
      <c r="O736" s="8" t="s">
        <v>545</v>
      </c>
      <c r="P736" s="24" t="n">
        <v>25</v>
      </c>
      <c r="Q736" s="31" t="n">
        <f aca="false">IF(I736="N/A","",IFERROR(INDEX('Residual Config'!$B$35:$B$42,MATCH(H736,'Residual Config'!$A$35:$A$42,0)),""))</f>
        <v>25</v>
      </c>
      <c r="R736" s="24" t="n">
        <v>1</v>
      </c>
      <c r="S736" s="8" t="s">
        <v>521</v>
      </c>
      <c r="T736" s="31" t="n">
        <f aca="false">IF(S736="","",MATCH(S736,'Residual Config'!$L$9:$L$12,0))</f>
        <v>2</v>
      </c>
      <c r="U736" s="8" t="s">
        <v>2561</v>
      </c>
      <c r="V736" s="24" t="n">
        <v>3</v>
      </c>
      <c r="W736" s="33" t="s">
        <v>533</v>
      </c>
      <c r="X736" s="8" t="s">
        <v>754</v>
      </c>
      <c r="Y736" s="51" t="n">
        <f aca="false">IF(N736="","",EDATE(N736,IF(G736="N",INDEX('Residual Config'!$B$31:$D$31,1,MATCH(D736,'Residual Config'!$B$27:$D$27,0)),INDEX('Residual Config'!$B$28:$D$30,IF(T736=1,1,IF(T736=4,3,2)),MATCH(D736,'Residual Config'!$B$27:$D$27,0)))))</f>
        <v>46454</v>
      </c>
      <c r="Z736" s="7" t="str">
        <f aca="false">IF(I736="N/A","N/A",IF(N736="","Not tested",IF(W736="Rejected","Evidence rejected",IF(W736&lt;&gt;"Accepted","Evidence pending",IF(Y736&lt;'Residual Config'!$C$4,"Overdue","Current")))))</f>
        <v>Current</v>
      </c>
      <c r="AA736" s="34" t="n">
        <f aca="false">IF(I736="N/A","",IF(Z736&lt;&gt;"Current",4,IF(MAX(M736,T736)=0,4,MAX(M736,T736))))</f>
        <v>2</v>
      </c>
      <c r="AB736" s="7" t="str">
        <f aca="false">IF(AA736="","N/A",IF(Z736&lt;&gt;"Current","Not tested / overdue",INDEX('Residual Config'!$B$11:$B$14,AA736)))</f>
        <v>Largely effective</v>
      </c>
      <c r="AC736" s="36" t="n">
        <f aca="false">IF(AA736="","",INDEX('Residual Config'!$D$11:$D$14,AA736))</f>
        <v>0.4</v>
      </c>
      <c r="AD736" s="7" t="str">
        <f aca="false">IF(OR(I736="N/A",P736="",Q736=""),"",IF(P736&gt;=Q736,"Yes","No"))</f>
        <v>Yes</v>
      </c>
      <c r="AE736" s="8"/>
    </row>
    <row r="737" customFormat="false" ht="15" hidden="false" customHeight="false" outlineLevel="0" collapsed="false">
      <c r="A737" s="12" t="s">
        <v>2562</v>
      </c>
      <c r="B737" s="26" t="str">
        <f aca="false">Entities!$A$22</f>
        <v>DZ</v>
      </c>
      <c r="C737" s="12" t="str">
        <f aca="false">INDEX(Entities!$B$5:$B$34,MATCH(B737,Entities!$A$5:$A$34,0))</f>
        <v>Arab Bank – Algeria</v>
      </c>
      <c r="D737" s="7" t="str">
        <f aca="false">INDEX(Entities!$F$5:$F$34,MATCH(B737,Entities!$A$5:$A$34,0))</f>
        <v>Tier 2</v>
      </c>
      <c r="E737" s="26" t="str">
        <f aca="false">'Control Library'!$A$6</f>
        <v>CTL-KYC-02</v>
      </c>
      <c r="F737" s="12" t="str">
        <f aca="false">INDEX('Control Library'!$B$5:$B$47,MATCH(E737,'Control Library'!$A$5:$A$47,0))</f>
        <v>Enhanced due diligence for high-risk customers and PEPs, senior approval</v>
      </c>
      <c r="G737" s="7" t="str">
        <f aca="false">INDEX('Control Library'!$F$5:$F$47,MATCH(E737,'Control Library'!$A$5:$A$47,0))</f>
        <v>Y</v>
      </c>
      <c r="H737" s="12" t="str">
        <f aca="false">INDEX('Control Library'!$E$5:$E$47,MATCH(E737,'Control Library'!$A$5:$A$47,0))</f>
        <v>Event-driven</v>
      </c>
      <c r="I737" s="7" t="str">
        <f aca="false">IF(INDEX('Control Library'!$I$5:$I$47,MATCH(E737,'Control Library'!$A$5:$A$47,0))="All","Y",IF(INDEX('Control Library'!$I$5:$I$47,MATCH(E737,'Control Library'!$A$5:$A$47,0))="Banks only",IF(COUNTIF('Residual Config'!$L$28:$L$30,INDEX(Entities!$E$5:$E$34,MATCH(B737,Entities!$A$5:$A$34,0)))&gt;0,"N/A","Y"),IF(INDEX(Entities!$G$5:$G$34,MATCH(B737,Entities!$A$5:$A$34,0))="Y","Y","N/A")))</f>
        <v>Y</v>
      </c>
      <c r="J737" s="8" t="s">
        <v>2563</v>
      </c>
      <c r="K737" s="8" t="s">
        <v>2560</v>
      </c>
      <c r="L737" s="7" t="str">
        <f aca="false">IF(OR(J737="",K737=""),"",IF(J737=K737,"Breach","OK"))</f>
        <v>OK</v>
      </c>
      <c r="M737" s="24" t="n">
        <v>2</v>
      </c>
      <c r="N737" s="50" t="n">
        <v>46185</v>
      </c>
      <c r="O737" s="8" t="s">
        <v>545</v>
      </c>
      <c r="P737" s="24" t="n">
        <v>35</v>
      </c>
      <c r="Q737" s="31" t="n">
        <f aca="false">IF(I737="N/A","",IFERROR(INDEX('Residual Config'!$B$35:$B$42,MATCH(H737,'Residual Config'!$A$35:$A$42,0)),""))</f>
        <v>25</v>
      </c>
      <c r="R737" s="24" t="n">
        <v>0</v>
      </c>
      <c r="S737" s="8" t="s">
        <v>516</v>
      </c>
      <c r="T737" s="31" t="n">
        <f aca="false">IF(S737="","",MATCH(S737,'Residual Config'!$L$9:$L$12,0))</f>
        <v>1</v>
      </c>
      <c r="U737" s="8" t="s">
        <v>2564</v>
      </c>
      <c r="V737" s="24" t="n">
        <v>2</v>
      </c>
      <c r="W737" s="33" t="s">
        <v>533</v>
      </c>
      <c r="X737" s="8" t="s">
        <v>760</v>
      </c>
      <c r="Y737" s="51" t="n">
        <f aca="false">IF(N737="","",EDATE(N737,IF(G737="N",INDEX('Residual Config'!$B$31:$D$31,1,MATCH(D737,'Residual Config'!$B$27:$D$27,0)),INDEX('Residual Config'!$B$28:$D$30,IF(T737=1,1,IF(T737=4,3,2)),MATCH(D737,'Residual Config'!$B$27:$D$27,0)))))</f>
        <v>46550</v>
      </c>
      <c r="Z737" s="7" t="str">
        <f aca="false">IF(I737="N/A","N/A",IF(N737="","Not tested",IF(W737="Rejected","Evidence rejected",IF(W737&lt;&gt;"Accepted","Evidence pending",IF(Y737&lt;'Residual Config'!$C$4,"Overdue","Current")))))</f>
        <v>Current</v>
      </c>
      <c r="AA737" s="34" t="n">
        <f aca="false">IF(I737="N/A","",IF(Z737&lt;&gt;"Current",4,IF(MAX(M737,T737)=0,4,MAX(M737,T737))))</f>
        <v>2</v>
      </c>
      <c r="AB737" s="7" t="str">
        <f aca="false">IF(AA737="","N/A",IF(Z737&lt;&gt;"Current","Not tested / overdue",INDEX('Residual Config'!$B$11:$B$14,AA737)))</f>
        <v>Largely effective</v>
      </c>
      <c r="AC737" s="36" t="n">
        <f aca="false">IF(AA737="","",INDEX('Residual Config'!$D$11:$D$14,AA737))</f>
        <v>0.4</v>
      </c>
      <c r="AD737" s="7" t="str">
        <f aca="false">IF(OR(I737="N/A",P737="",Q737=""),"",IF(P737&gt;=Q737,"Yes","No"))</f>
        <v>Yes</v>
      </c>
      <c r="AE737" s="8"/>
    </row>
    <row r="738" customFormat="false" ht="15" hidden="false" customHeight="false" outlineLevel="0" collapsed="false">
      <c r="A738" s="12" t="s">
        <v>2565</v>
      </c>
      <c r="B738" s="26" t="str">
        <f aca="false">Entities!$A$22</f>
        <v>DZ</v>
      </c>
      <c r="C738" s="12" t="str">
        <f aca="false">INDEX(Entities!$B$5:$B$34,MATCH(B738,Entities!$A$5:$A$34,0))</f>
        <v>Arab Bank – Algeria</v>
      </c>
      <c r="D738" s="7" t="str">
        <f aca="false">INDEX(Entities!$F$5:$F$34,MATCH(B738,Entities!$A$5:$A$34,0))</f>
        <v>Tier 2</v>
      </c>
      <c r="E738" s="26" t="str">
        <f aca="false">'Control Library'!$A$7</f>
        <v>CTL-KYC-03</v>
      </c>
      <c r="F738" s="12" t="str">
        <f aca="false">INDEX('Control Library'!$B$5:$B$47,MATCH(E738,'Control Library'!$A$5:$A$47,0))</f>
        <v>Ultimate beneficial owner identification and verification</v>
      </c>
      <c r="G738" s="7" t="str">
        <f aca="false">INDEX('Control Library'!$F$5:$F$47,MATCH(E738,'Control Library'!$A$5:$A$47,0))</f>
        <v>Y</v>
      </c>
      <c r="H738" s="12" t="str">
        <f aca="false">INDEX('Control Library'!$E$5:$E$47,MATCH(E738,'Control Library'!$A$5:$A$47,0))</f>
        <v>Event-driven</v>
      </c>
      <c r="I738" s="7" t="str">
        <f aca="false">IF(INDEX('Control Library'!$I$5:$I$47,MATCH(E738,'Control Library'!$A$5:$A$47,0))="All","Y",IF(INDEX('Control Library'!$I$5:$I$47,MATCH(E738,'Control Library'!$A$5:$A$47,0))="Banks only",IF(COUNTIF('Residual Config'!$L$28:$L$30,INDEX(Entities!$E$5:$E$34,MATCH(B738,Entities!$A$5:$A$34,0)))&gt;0,"N/A","Y"),IF(INDEX(Entities!$G$5:$G$34,MATCH(B738,Entities!$A$5:$A$34,0))="Y","Y","N/A")))</f>
        <v>Y</v>
      </c>
      <c r="J738" s="8" t="s">
        <v>2559</v>
      </c>
      <c r="K738" s="8" t="s">
        <v>2560</v>
      </c>
      <c r="L738" s="7" t="str">
        <f aca="false">IF(OR(J738="",K738=""),"",IF(J738=K738,"Breach","OK"))</f>
        <v>OK</v>
      </c>
      <c r="M738" s="24" t="n">
        <v>1</v>
      </c>
      <c r="N738" s="50" t="n">
        <v>46061</v>
      </c>
      <c r="O738" s="8" t="s">
        <v>545</v>
      </c>
      <c r="P738" s="24" t="n">
        <v>30</v>
      </c>
      <c r="Q738" s="31" t="n">
        <f aca="false">IF(I738="N/A","",IFERROR(INDEX('Residual Config'!$B$35:$B$42,MATCH(H738,'Residual Config'!$A$35:$A$42,0)),""))</f>
        <v>25</v>
      </c>
      <c r="R738" s="24" t="n">
        <v>0</v>
      </c>
      <c r="S738" s="8" t="s">
        <v>516</v>
      </c>
      <c r="T738" s="31" t="n">
        <f aca="false">IF(S738="","",MATCH(S738,'Residual Config'!$L$9:$L$12,0))</f>
        <v>1</v>
      </c>
      <c r="U738" s="8" t="s">
        <v>2566</v>
      </c>
      <c r="V738" s="24" t="n">
        <v>6</v>
      </c>
      <c r="W738" s="33" t="s">
        <v>533</v>
      </c>
      <c r="X738" s="8" t="s">
        <v>760</v>
      </c>
      <c r="Y738" s="51" t="n">
        <f aca="false">IF(N738="","",EDATE(N738,IF(G738="N",INDEX('Residual Config'!$B$31:$D$31,1,MATCH(D738,'Residual Config'!$B$27:$D$27,0)),INDEX('Residual Config'!$B$28:$D$30,IF(T738=1,1,IF(T738=4,3,2)),MATCH(D738,'Residual Config'!$B$27:$D$27,0)))))</f>
        <v>46426</v>
      </c>
      <c r="Z738" s="7" t="str">
        <f aca="false">IF(I738="N/A","N/A",IF(N738="","Not tested",IF(W738="Rejected","Evidence rejected",IF(W738&lt;&gt;"Accepted","Evidence pending",IF(Y738&lt;'Residual Config'!$C$4,"Overdue","Current")))))</f>
        <v>Current</v>
      </c>
      <c r="AA738" s="34" t="n">
        <f aca="false">IF(I738="N/A","",IF(Z738&lt;&gt;"Current",4,IF(MAX(M738,T738)=0,4,MAX(M738,T738))))</f>
        <v>1</v>
      </c>
      <c r="AB738" s="7" t="str">
        <f aca="false">IF(AA738="","N/A",IF(Z738&lt;&gt;"Current","Not tested / overdue",INDEX('Residual Config'!$B$11:$B$14,AA738)))</f>
        <v>Effective</v>
      </c>
      <c r="AC738" s="36" t="n">
        <f aca="false">IF(AA738="","",INDEX('Residual Config'!$D$11:$D$14,AA738))</f>
        <v>0.6</v>
      </c>
      <c r="AD738" s="7" t="str">
        <f aca="false">IF(OR(I738="N/A",P738="",Q738=""),"",IF(P738&gt;=Q738,"Yes","No"))</f>
        <v>Yes</v>
      </c>
      <c r="AE738" s="8"/>
    </row>
    <row r="739" customFormat="false" ht="15" hidden="false" customHeight="false" outlineLevel="0" collapsed="false">
      <c r="A739" s="12" t="s">
        <v>2567</v>
      </c>
      <c r="B739" s="26" t="str">
        <f aca="false">Entities!$A$22</f>
        <v>DZ</v>
      </c>
      <c r="C739" s="12" t="str">
        <f aca="false">INDEX(Entities!$B$5:$B$34,MATCH(B739,Entities!$A$5:$A$34,0))</f>
        <v>Arab Bank – Algeria</v>
      </c>
      <c r="D739" s="7" t="str">
        <f aca="false">INDEX(Entities!$F$5:$F$34,MATCH(B739,Entities!$A$5:$A$34,0))</f>
        <v>Tier 2</v>
      </c>
      <c r="E739" s="26" t="str">
        <f aca="false">'Control Library'!$A$8</f>
        <v>CTL-KYC-04</v>
      </c>
      <c r="F739" s="12" t="str">
        <f aca="false">INDEX('Control Library'!$B$5:$B$47,MATCH(E739,'Control Library'!$A$5:$A$47,0))</f>
        <v>Periodic KYC review by customer risk rating</v>
      </c>
      <c r="G739" s="7" t="str">
        <f aca="false">INDEX('Control Library'!$F$5:$F$47,MATCH(E739,'Control Library'!$A$5:$A$47,0))</f>
        <v>Y</v>
      </c>
      <c r="H739" s="12" t="str">
        <f aca="false">INDEX('Control Library'!$E$5:$E$47,MATCH(E739,'Control Library'!$A$5:$A$47,0))</f>
        <v>Monthly</v>
      </c>
      <c r="I739" s="7" t="str">
        <f aca="false">IF(INDEX('Control Library'!$I$5:$I$47,MATCH(E739,'Control Library'!$A$5:$A$47,0))="All","Y",IF(INDEX('Control Library'!$I$5:$I$47,MATCH(E739,'Control Library'!$A$5:$A$47,0))="Banks only",IF(COUNTIF('Residual Config'!$L$28:$L$30,INDEX(Entities!$E$5:$E$34,MATCH(B739,Entities!$A$5:$A$34,0)))&gt;0,"N/A","Y"),IF(INDEX(Entities!$G$5:$G$34,MATCH(B739,Entities!$A$5:$A$34,0))="Y","Y","N/A")))</f>
        <v>Y</v>
      </c>
      <c r="J739" s="8" t="s">
        <v>2559</v>
      </c>
      <c r="K739" s="8" t="s">
        <v>2560</v>
      </c>
      <c r="L739" s="7" t="str">
        <f aca="false">IF(OR(J739="",K739=""),"",IF(J739=K739,"Breach","OK"))</f>
        <v>OK</v>
      </c>
      <c r="M739" s="24" t="n">
        <v>2</v>
      </c>
      <c r="N739" s="50" t="n">
        <v>46280</v>
      </c>
      <c r="O739" s="8" t="s">
        <v>546</v>
      </c>
      <c r="P739" s="24" t="n">
        <v>3</v>
      </c>
      <c r="Q739" s="31" t="n">
        <f aca="false">IF(I739="N/A","",IFERROR(INDEX('Residual Config'!$B$35:$B$42,MATCH(H739,'Residual Config'!$A$35:$A$42,0)),""))</f>
        <v>3</v>
      </c>
      <c r="R739" s="24" t="n">
        <v>2</v>
      </c>
      <c r="S739" s="8" t="s">
        <v>524</v>
      </c>
      <c r="T739" s="31" t="n">
        <f aca="false">IF(S739="","",MATCH(S739,'Residual Config'!$L$9:$L$12,0))</f>
        <v>3</v>
      </c>
      <c r="U739" s="8" t="s">
        <v>2568</v>
      </c>
      <c r="V739" s="24" t="n">
        <v>1</v>
      </c>
      <c r="W739" s="33" t="s">
        <v>533</v>
      </c>
      <c r="X739" s="8" t="s">
        <v>754</v>
      </c>
      <c r="Y739" s="51" t="n">
        <f aca="false">IF(N739="","",EDATE(N739,IF(G739="N",INDEX('Residual Config'!$B$31:$D$31,1,MATCH(D739,'Residual Config'!$B$27:$D$27,0)),INDEX('Residual Config'!$B$28:$D$30,IF(T739=1,1,IF(T739=4,3,2)),MATCH(D739,'Residual Config'!$B$27:$D$27,0)))))</f>
        <v>46461</v>
      </c>
      <c r="Z739" s="7" t="str">
        <f aca="false">IF(I739="N/A","N/A",IF(N739="","Not tested",IF(W739="Rejected","Evidence rejected",IF(W739&lt;&gt;"Accepted","Evidence pending",IF(Y739&lt;'Residual Config'!$C$4,"Overdue","Current")))))</f>
        <v>Current</v>
      </c>
      <c r="AA739" s="34" t="n">
        <f aca="false">IF(I739="N/A","",IF(Z739&lt;&gt;"Current",4,IF(MAX(M739,T739)=0,4,MAX(M739,T739))))</f>
        <v>3</v>
      </c>
      <c r="AB739" s="7" t="str">
        <f aca="false">IF(AA739="","N/A",IF(Z739&lt;&gt;"Current","Not tested / overdue",INDEX('Residual Config'!$B$11:$B$14,AA739)))</f>
        <v>Partially effective</v>
      </c>
      <c r="AC739" s="36" t="n">
        <f aca="false">IF(AA739="","",INDEX('Residual Config'!$D$11:$D$14,AA739))</f>
        <v>0.2</v>
      </c>
      <c r="AD739" s="7" t="str">
        <f aca="false">IF(OR(I739="N/A",P739="",Q739=""),"",IF(P739&gt;=Q739,"Yes","No"))</f>
        <v>Yes</v>
      </c>
      <c r="AE739" s="8"/>
    </row>
    <row r="740" customFormat="false" ht="15" hidden="false" customHeight="false" outlineLevel="0" collapsed="false">
      <c r="A740" s="12" t="s">
        <v>2569</v>
      </c>
      <c r="B740" s="26" t="str">
        <f aca="false">Entities!$A$22</f>
        <v>DZ</v>
      </c>
      <c r="C740" s="12" t="str">
        <f aca="false">INDEX(Entities!$B$5:$B$34,MATCH(B740,Entities!$A$5:$A$34,0))</f>
        <v>Arab Bank – Algeria</v>
      </c>
      <c r="D740" s="7" t="str">
        <f aca="false">INDEX(Entities!$F$5:$F$34,MATCH(B740,Entities!$A$5:$A$34,0))</f>
        <v>Tier 2</v>
      </c>
      <c r="E740" s="26" t="str">
        <f aca="false">'Control Library'!$A$9</f>
        <v>CTL-CRR-01</v>
      </c>
      <c r="F740" s="12" t="str">
        <f aca="false">INDEX('Control Library'!$B$5:$B$47,MATCH(E740,'Control Library'!$A$5:$A$47,0))</f>
        <v>Customer risk rating model and annual validation</v>
      </c>
      <c r="G740" s="7" t="str">
        <f aca="false">INDEX('Control Library'!$F$5:$F$47,MATCH(E740,'Control Library'!$A$5:$A$47,0))</f>
        <v>N</v>
      </c>
      <c r="H740" s="12" t="str">
        <f aca="false">INDEX('Control Library'!$E$5:$E$47,MATCH(E740,'Control Library'!$A$5:$A$47,0))</f>
        <v>Annual</v>
      </c>
      <c r="I740" s="7" t="str">
        <f aca="false">IF(INDEX('Control Library'!$I$5:$I$47,MATCH(E740,'Control Library'!$A$5:$A$47,0))="All","Y",IF(INDEX('Control Library'!$I$5:$I$47,MATCH(E740,'Control Library'!$A$5:$A$47,0))="Banks only",IF(COUNTIF('Residual Config'!$L$28:$L$30,INDEX(Entities!$E$5:$E$34,MATCH(B740,Entities!$A$5:$A$34,0)))&gt;0,"N/A","Y"),IF(INDEX(Entities!$G$5:$G$34,MATCH(B740,Entities!$A$5:$A$34,0))="Y","Y","N/A")))</f>
        <v>Y</v>
      </c>
      <c r="J740" s="8" t="s">
        <v>2563</v>
      </c>
      <c r="K740" s="8" t="s">
        <v>2560</v>
      </c>
      <c r="L740" s="7" t="str">
        <f aca="false">IF(OR(J740="",K740=""),"",IF(J740=K740,"Breach","OK"))</f>
        <v>OK</v>
      </c>
      <c r="M740" s="24" t="n">
        <v>2</v>
      </c>
      <c r="N740" s="50" t="n">
        <v>46018</v>
      </c>
      <c r="O740" s="8" t="s">
        <v>547</v>
      </c>
      <c r="P740" s="24" t="n">
        <v>1</v>
      </c>
      <c r="Q740" s="31" t="n">
        <f aca="false">IF(I740="N/A","",IFERROR(INDEX('Residual Config'!$B$35:$B$42,MATCH(H740,'Residual Config'!$A$35:$A$42,0)),""))</f>
        <v>1</v>
      </c>
      <c r="R740" s="24" t="n">
        <v>0</v>
      </c>
      <c r="S740" s="8" t="s">
        <v>516</v>
      </c>
      <c r="T740" s="31" t="n">
        <f aca="false">IF(S740="","",MATCH(S740,'Residual Config'!$L$9:$L$12,0))</f>
        <v>1</v>
      </c>
      <c r="U740" s="8" t="s">
        <v>2570</v>
      </c>
      <c r="V740" s="24" t="n">
        <v>1</v>
      </c>
      <c r="W740" s="33" t="s">
        <v>533</v>
      </c>
      <c r="X740" s="8" t="s">
        <v>760</v>
      </c>
      <c r="Y740" s="51" t="n">
        <f aca="false">IF(N740="","",EDATE(N740,IF(G740="N",INDEX('Residual Config'!$B$31:$D$31,1,MATCH(D740,'Residual Config'!$B$27:$D$27,0)),INDEX('Residual Config'!$B$28:$D$30,IF(T740=1,1,IF(T740=4,3,2)),MATCH(D740,'Residual Config'!$B$27:$D$27,0)))))</f>
        <v>46383</v>
      </c>
      <c r="Z740" s="7" t="str">
        <f aca="false">IF(I740="N/A","N/A",IF(N740="","Not tested",IF(W740="Rejected","Evidence rejected",IF(W740&lt;&gt;"Accepted","Evidence pending",IF(Y740&lt;'Residual Config'!$C$4,"Overdue","Current")))))</f>
        <v>Current</v>
      </c>
      <c r="AA740" s="34" t="n">
        <f aca="false">IF(I740="N/A","",IF(Z740&lt;&gt;"Current",4,IF(MAX(M740,T740)=0,4,MAX(M740,T740))))</f>
        <v>2</v>
      </c>
      <c r="AB740" s="7" t="str">
        <f aca="false">IF(AA740="","N/A",IF(Z740&lt;&gt;"Current","Not tested / overdue",INDEX('Residual Config'!$B$11:$B$14,AA740)))</f>
        <v>Largely effective</v>
      </c>
      <c r="AC740" s="36" t="n">
        <f aca="false">IF(AA740="","",INDEX('Residual Config'!$D$11:$D$14,AA740))</f>
        <v>0.4</v>
      </c>
      <c r="AD740" s="7" t="str">
        <f aca="false">IF(OR(I740="N/A",P740="",Q740=""),"",IF(P740&gt;=Q740,"Yes","No"))</f>
        <v>Yes</v>
      </c>
      <c r="AE740" s="8"/>
    </row>
    <row r="741" customFormat="false" ht="15" hidden="false" customHeight="false" outlineLevel="0" collapsed="false">
      <c r="A741" s="12" t="s">
        <v>2571</v>
      </c>
      <c r="B741" s="26" t="str">
        <f aca="false">Entities!$A$22</f>
        <v>DZ</v>
      </c>
      <c r="C741" s="12" t="str">
        <f aca="false">INDEX(Entities!$B$5:$B$34,MATCH(B741,Entities!$A$5:$A$34,0))</f>
        <v>Arab Bank – Algeria</v>
      </c>
      <c r="D741" s="7" t="str">
        <f aca="false">INDEX(Entities!$F$5:$F$34,MATCH(B741,Entities!$A$5:$A$34,0))</f>
        <v>Tier 2</v>
      </c>
      <c r="E741" s="26" t="str">
        <f aca="false">'Control Library'!$A$10</f>
        <v>CTL-TM-01</v>
      </c>
      <c r="F741" s="12" t="str">
        <f aca="false">INDEX('Control Library'!$B$5:$B$47,MATCH(E741,'Control Library'!$A$5:$A$47,0))</f>
        <v>Automated transaction monitoring scenarios and annual tuning</v>
      </c>
      <c r="G741" s="7" t="str">
        <f aca="false">INDEX('Control Library'!$F$5:$F$47,MATCH(E741,'Control Library'!$A$5:$A$47,0))</f>
        <v>Y</v>
      </c>
      <c r="H741" s="12" t="str">
        <f aca="false">INDEX('Control Library'!$E$5:$E$47,MATCH(E741,'Control Library'!$A$5:$A$47,0))</f>
        <v>Continuous</v>
      </c>
      <c r="I741" s="7" t="str">
        <f aca="false">IF(INDEX('Control Library'!$I$5:$I$47,MATCH(E741,'Control Library'!$A$5:$A$47,0))="All","Y",IF(INDEX('Control Library'!$I$5:$I$47,MATCH(E741,'Control Library'!$A$5:$A$47,0))="Banks only",IF(COUNTIF('Residual Config'!$L$28:$L$30,INDEX(Entities!$E$5:$E$34,MATCH(B741,Entities!$A$5:$A$34,0)))&gt;0,"N/A","Y"),IF(INDEX(Entities!$G$5:$G$34,MATCH(B741,Entities!$A$5:$A$34,0))="Y","Y","N/A")))</f>
        <v>Y</v>
      </c>
      <c r="J741" s="8" t="s">
        <v>2572</v>
      </c>
      <c r="K741" s="8" t="s">
        <v>2560</v>
      </c>
      <c r="L741" s="7" t="str">
        <f aca="false">IF(OR(J741="",K741=""),"",IF(J741=K741,"Breach","OK"))</f>
        <v>OK</v>
      </c>
      <c r="M741" s="24" t="n">
        <v>2</v>
      </c>
      <c r="N741" s="50" t="n">
        <v>46138</v>
      </c>
      <c r="O741" s="8" t="s">
        <v>547</v>
      </c>
      <c r="P741" s="24" t="n">
        <v>1</v>
      </c>
      <c r="Q741" s="31" t="n">
        <f aca="false">IF(I741="N/A","",IFERROR(INDEX('Residual Config'!$B$35:$B$42,MATCH(H741,'Residual Config'!$A$35:$A$42,0)),""))</f>
        <v>1</v>
      </c>
      <c r="R741" s="24" t="n">
        <v>1</v>
      </c>
      <c r="S741" s="8" t="s">
        <v>521</v>
      </c>
      <c r="T741" s="31" t="n">
        <f aca="false">IF(S741="","",MATCH(S741,'Residual Config'!$L$9:$L$12,0))</f>
        <v>2</v>
      </c>
      <c r="U741" s="8" t="s">
        <v>2573</v>
      </c>
      <c r="V741" s="24" t="n">
        <v>5</v>
      </c>
      <c r="W741" s="33" t="s">
        <v>533</v>
      </c>
      <c r="X741" s="8" t="s">
        <v>754</v>
      </c>
      <c r="Y741" s="51" t="n">
        <f aca="false">IF(N741="","",EDATE(N741,IF(G741="N",INDEX('Residual Config'!$B$31:$D$31,1,MATCH(D741,'Residual Config'!$B$27:$D$27,0)),INDEX('Residual Config'!$B$28:$D$30,IF(T741=1,1,IF(T741=4,3,2)),MATCH(D741,'Residual Config'!$B$27:$D$27,0)))))</f>
        <v>46321</v>
      </c>
      <c r="Z741" s="7" t="str">
        <f aca="false">IF(I741="N/A","N/A",IF(N741="","Not tested",IF(W741="Rejected","Evidence rejected",IF(W741&lt;&gt;"Accepted","Evidence pending",IF(Y741&lt;'Residual Config'!$C$4,"Overdue","Current")))))</f>
        <v>Current</v>
      </c>
      <c r="AA741" s="34" t="n">
        <f aca="false">IF(I741="N/A","",IF(Z741&lt;&gt;"Current",4,IF(MAX(M741,T741)=0,4,MAX(M741,T741))))</f>
        <v>2</v>
      </c>
      <c r="AB741" s="7" t="str">
        <f aca="false">IF(AA741="","N/A",IF(Z741&lt;&gt;"Current","Not tested / overdue",INDEX('Residual Config'!$B$11:$B$14,AA741)))</f>
        <v>Largely effective</v>
      </c>
      <c r="AC741" s="36" t="n">
        <f aca="false">IF(AA741="","",INDEX('Residual Config'!$D$11:$D$14,AA741))</f>
        <v>0.4</v>
      </c>
      <c r="AD741" s="7" t="str">
        <f aca="false">IF(OR(I741="N/A",P741="",Q741=""),"",IF(P741&gt;=Q741,"Yes","No"))</f>
        <v>Yes</v>
      </c>
      <c r="AE741" s="8"/>
    </row>
    <row r="742" customFormat="false" ht="15" hidden="false" customHeight="false" outlineLevel="0" collapsed="false">
      <c r="A742" s="12" t="s">
        <v>2574</v>
      </c>
      <c r="B742" s="26" t="str">
        <f aca="false">Entities!$A$22</f>
        <v>DZ</v>
      </c>
      <c r="C742" s="12" t="str">
        <f aca="false">INDEX(Entities!$B$5:$B$34,MATCH(B742,Entities!$A$5:$A$34,0))</f>
        <v>Arab Bank – Algeria</v>
      </c>
      <c r="D742" s="7" t="str">
        <f aca="false">INDEX(Entities!$F$5:$F$34,MATCH(B742,Entities!$A$5:$A$34,0))</f>
        <v>Tier 2</v>
      </c>
      <c r="E742" s="26" t="str">
        <f aca="false">'Control Library'!$A$11</f>
        <v>CTL-TM-02</v>
      </c>
      <c r="F742" s="12" t="str">
        <f aca="false">INDEX('Control Library'!$B$5:$B$47,MATCH(E742,'Control Library'!$A$5:$A$47,0))</f>
        <v>Alert investigation and quality assurance within SLA</v>
      </c>
      <c r="G742" s="7" t="str">
        <f aca="false">INDEX('Control Library'!$F$5:$F$47,MATCH(E742,'Control Library'!$A$5:$A$47,0))</f>
        <v>Y</v>
      </c>
      <c r="H742" s="12" t="str">
        <f aca="false">INDEX('Control Library'!$E$5:$E$47,MATCH(E742,'Control Library'!$A$5:$A$47,0))</f>
        <v>Daily</v>
      </c>
      <c r="I742" s="7" t="str">
        <f aca="false">IF(INDEX('Control Library'!$I$5:$I$47,MATCH(E742,'Control Library'!$A$5:$A$47,0))="All","Y",IF(INDEX('Control Library'!$I$5:$I$47,MATCH(E742,'Control Library'!$A$5:$A$47,0))="Banks only",IF(COUNTIF('Residual Config'!$L$28:$L$30,INDEX(Entities!$E$5:$E$34,MATCH(B742,Entities!$A$5:$A$34,0)))&gt;0,"N/A","Y"),IF(INDEX(Entities!$G$5:$G$34,MATCH(B742,Entities!$A$5:$A$34,0))="Y","Y","N/A")))</f>
        <v>Y</v>
      </c>
      <c r="J742" s="8" t="s">
        <v>2572</v>
      </c>
      <c r="K742" s="8" t="s">
        <v>2560</v>
      </c>
      <c r="L742" s="7" t="str">
        <f aca="false">IF(OR(J742="",K742=""),"",IF(J742=K742,"Breach","OK"))</f>
        <v>OK</v>
      </c>
      <c r="M742" s="24" t="n">
        <v>2</v>
      </c>
      <c r="N742" s="50" t="n">
        <v>46278</v>
      </c>
      <c r="O742" s="8" t="s">
        <v>546</v>
      </c>
      <c r="P742" s="24" t="n">
        <v>30</v>
      </c>
      <c r="Q742" s="31" t="n">
        <f aca="false">IF(I742="N/A","",IFERROR(INDEX('Residual Config'!$B$35:$B$42,MATCH(H742,'Residual Config'!$A$35:$A$42,0)),""))</f>
        <v>25</v>
      </c>
      <c r="R742" s="24" t="n">
        <v>1</v>
      </c>
      <c r="S742" s="8" t="s">
        <v>521</v>
      </c>
      <c r="T742" s="31" t="n">
        <f aca="false">IF(S742="","",MATCH(S742,'Residual Config'!$L$9:$L$12,0))</f>
        <v>2</v>
      </c>
      <c r="U742" s="8" t="s">
        <v>2575</v>
      </c>
      <c r="V742" s="24" t="n">
        <v>5</v>
      </c>
      <c r="W742" s="33" t="s">
        <v>533</v>
      </c>
      <c r="X742" s="8" t="s">
        <v>754</v>
      </c>
      <c r="Y742" s="51" t="n">
        <f aca="false">IF(N742="","",EDATE(N742,IF(G742="N",INDEX('Residual Config'!$B$31:$D$31,1,MATCH(D742,'Residual Config'!$B$27:$D$27,0)),INDEX('Residual Config'!$B$28:$D$30,IF(T742=1,1,IF(T742=4,3,2)),MATCH(D742,'Residual Config'!$B$27:$D$27,0)))))</f>
        <v>46459</v>
      </c>
      <c r="Z742" s="7" t="str">
        <f aca="false">IF(I742="N/A","N/A",IF(N742="","Not tested",IF(W742="Rejected","Evidence rejected",IF(W742&lt;&gt;"Accepted","Evidence pending",IF(Y742&lt;'Residual Config'!$C$4,"Overdue","Current")))))</f>
        <v>Current</v>
      </c>
      <c r="AA742" s="34" t="n">
        <f aca="false">IF(I742="N/A","",IF(Z742&lt;&gt;"Current",4,IF(MAX(M742,T742)=0,4,MAX(M742,T742))))</f>
        <v>2</v>
      </c>
      <c r="AB742" s="7" t="str">
        <f aca="false">IF(AA742="","N/A",IF(Z742&lt;&gt;"Current","Not tested / overdue",INDEX('Residual Config'!$B$11:$B$14,AA742)))</f>
        <v>Largely effective</v>
      </c>
      <c r="AC742" s="36" t="n">
        <f aca="false">IF(AA742="","",INDEX('Residual Config'!$D$11:$D$14,AA742))</f>
        <v>0.4</v>
      </c>
      <c r="AD742" s="7" t="str">
        <f aca="false">IF(OR(I742="N/A",P742="",Q742=""),"",IF(P742&gt;=Q742,"Yes","No"))</f>
        <v>Yes</v>
      </c>
      <c r="AE742" s="8"/>
    </row>
    <row r="743" customFormat="false" ht="15" hidden="false" customHeight="false" outlineLevel="0" collapsed="false">
      <c r="A743" s="12" t="s">
        <v>2576</v>
      </c>
      <c r="B743" s="26" t="str">
        <f aca="false">Entities!$A$22</f>
        <v>DZ</v>
      </c>
      <c r="C743" s="12" t="str">
        <f aca="false">INDEX(Entities!$B$5:$B$34,MATCH(B743,Entities!$A$5:$A$34,0))</f>
        <v>Arab Bank – Algeria</v>
      </c>
      <c r="D743" s="7" t="str">
        <f aca="false">INDEX(Entities!$F$5:$F$34,MATCH(B743,Entities!$A$5:$A$34,0))</f>
        <v>Tier 2</v>
      </c>
      <c r="E743" s="26" t="str">
        <f aca="false">'Control Library'!$A$12</f>
        <v>CTL-STR-01</v>
      </c>
      <c r="F743" s="12" t="str">
        <f aca="false">INDEX('Control Library'!$B$5:$B$47,MATCH(E743,'Control Library'!$A$5:$A$47,0))</f>
        <v>STR decision and filing within regulatory deadline</v>
      </c>
      <c r="G743" s="7" t="str">
        <f aca="false">INDEX('Control Library'!$F$5:$F$47,MATCH(E743,'Control Library'!$A$5:$A$47,0))</f>
        <v>Y</v>
      </c>
      <c r="H743" s="12" t="str">
        <f aca="false">INDEX('Control Library'!$E$5:$E$47,MATCH(E743,'Control Library'!$A$5:$A$47,0))</f>
        <v>Event-driven</v>
      </c>
      <c r="I743" s="7" t="str">
        <f aca="false">IF(INDEX('Control Library'!$I$5:$I$47,MATCH(E743,'Control Library'!$A$5:$A$47,0))="All","Y",IF(INDEX('Control Library'!$I$5:$I$47,MATCH(E743,'Control Library'!$A$5:$A$47,0))="Banks only",IF(COUNTIF('Residual Config'!$L$28:$L$30,INDEX(Entities!$E$5:$E$34,MATCH(B743,Entities!$A$5:$A$34,0)))&gt;0,"N/A","Y"),IF(INDEX(Entities!$G$5:$G$34,MATCH(B743,Entities!$A$5:$A$34,0))="Y","Y","N/A")))</f>
        <v>Y</v>
      </c>
      <c r="J743" s="8" t="s">
        <v>2572</v>
      </c>
      <c r="K743" s="8" t="s">
        <v>2560</v>
      </c>
      <c r="L743" s="7" t="str">
        <f aca="false">IF(OR(J743="",K743=""),"",IF(J743=K743,"Breach","OK"))</f>
        <v>OK</v>
      </c>
      <c r="M743" s="24" t="n">
        <v>2</v>
      </c>
      <c r="N743" s="50" t="n">
        <v>46227</v>
      </c>
      <c r="O743" s="8" t="s">
        <v>546</v>
      </c>
      <c r="P743" s="24" t="n">
        <v>25</v>
      </c>
      <c r="Q743" s="31" t="n">
        <f aca="false">IF(I743="N/A","",IFERROR(INDEX('Residual Config'!$B$35:$B$42,MATCH(H743,'Residual Config'!$A$35:$A$42,0)),""))</f>
        <v>25</v>
      </c>
      <c r="R743" s="24" t="n">
        <v>0</v>
      </c>
      <c r="S743" s="8" t="s">
        <v>516</v>
      </c>
      <c r="T743" s="31" t="n">
        <f aca="false">IF(S743="","",MATCH(S743,'Residual Config'!$L$9:$L$12,0))</f>
        <v>1</v>
      </c>
      <c r="U743" s="8" t="s">
        <v>2577</v>
      </c>
      <c r="V743" s="24" t="n">
        <v>1</v>
      </c>
      <c r="W743" s="33" t="s">
        <v>533</v>
      </c>
      <c r="X743" s="8" t="s">
        <v>760</v>
      </c>
      <c r="Y743" s="51" t="n">
        <f aca="false">IF(N743="","",EDATE(N743,IF(G743="N",INDEX('Residual Config'!$B$31:$D$31,1,MATCH(D743,'Residual Config'!$B$27:$D$27,0)),INDEX('Residual Config'!$B$28:$D$30,IF(T743=1,1,IF(T743=4,3,2)),MATCH(D743,'Residual Config'!$B$27:$D$27,0)))))</f>
        <v>46592</v>
      </c>
      <c r="Z743" s="7" t="str">
        <f aca="false">IF(I743="N/A","N/A",IF(N743="","Not tested",IF(W743="Rejected","Evidence rejected",IF(W743&lt;&gt;"Accepted","Evidence pending",IF(Y743&lt;'Residual Config'!$C$4,"Overdue","Current")))))</f>
        <v>Current</v>
      </c>
      <c r="AA743" s="34" t="n">
        <f aca="false">IF(I743="N/A","",IF(Z743&lt;&gt;"Current",4,IF(MAX(M743,T743)=0,4,MAX(M743,T743))))</f>
        <v>2</v>
      </c>
      <c r="AB743" s="7" t="str">
        <f aca="false">IF(AA743="","N/A",IF(Z743&lt;&gt;"Current","Not tested / overdue",INDEX('Residual Config'!$B$11:$B$14,AA743)))</f>
        <v>Largely effective</v>
      </c>
      <c r="AC743" s="36" t="n">
        <f aca="false">IF(AA743="","",INDEX('Residual Config'!$D$11:$D$14,AA743))</f>
        <v>0.4</v>
      </c>
      <c r="AD743" s="7" t="str">
        <f aca="false">IF(OR(I743="N/A",P743="",Q743=""),"",IF(P743&gt;=Q743,"Yes","No"))</f>
        <v>Yes</v>
      </c>
      <c r="AE743" s="8"/>
    </row>
    <row r="744" customFormat="false" ht="15" hidden="false" customHeight="false" outlineLevel="0" collapsed="false">
      <c r="A744" s="12" t="s">
        <v>2578</v>
      </c>
      <c r="B744" s="26" t="str">
        <f aca="false">Entities!$A$22</f>
        <v>DZ</v>
      </c>
      <c r="C744" s="12" t="str">
        <f aca="false">INDEX(Entities!$B$5:$B$34,MATCH(B744,Entities!$A$5:$A$34,0))</f>
        <v>Arab Bank – Algeria</v>
      </c>
      <c r="D744" s="7" t="str">
        <f aca="false">INDEX(Entities!$F$5:$F$34,MATCH(B744,Entities!$A$5:$A$34,0))</f>
        <v>Tier 2</v>
      </c>
      <c r="E744" s="26" t="str">
        <f aca="false">'Control Library'!$A$13</f>
        <v>CTL-SAN-01</v>
      </c>
      <c r="F744" s="12" t="str">
        <f aca="false">INDEX('Control Library'!$B$5:$B$47,MATCH(E744,'Control Library'!$A$5:$A$47,0))</f>
        <v>Real-time payment and transaction sanctions screening</v>
      </c>
      <c r="G744" s="7" t="str">
        <f aca="false">INDEX('Control Library'!$F$5:$F$47,MATCH(E744,'Control Library'!$A$5:$A$47,0))</f>
        <v>Y</v>
      </c>
      <c r="H744" s="12" t="str">
        <f aca="false">INDEX('Control Library'!$E$5:$E$47,MATCH(E744,'Control Library'!$A$5:$A$47,0))</f>
        <v>Continuous</v>
      </c>
      <c r="I744" s="7" t="str">
        <f aca="false">IF(INDEX('Control Library'!$I$5:$I$47,MATCH(E744,'Control Library'!$A$5:$A$47,0))="All","Y",IF(INDEX('Control Library'!$I$5:$I$47,MATCH(E744,'Control Library'!$A$5:$A$47,0))="Banks only",IF(COUNTIF('Residual Config'!$L$28:$L$30,INDEX(Entities!$E$5:$E$34,MATCH(B744,Entities!$A$5:$A$34,0)))&gt;0,"N/A","Y"),IF(INDEX(Entities!$G$5:$G$34,MATCH(B744,Entities!$A$5:$A$34,0))="Y","Y","N/A")))</f>
        <v>Y</v>
      </c>
      <c r="J744" s="8" t="s">
        <v>2579</v>
      </c>
      <c r="K744" s="8" t="s">
        <v>2560</v>
      </c>
      <c r="L744" s="7" t="str">
        <f aca="false">IF(OR(J744="",K744=""),"",IF(J744=K744,"Breach","OK"))</f>
        <v>OK</v>
      </c>
      <c r="M744" s="24" t="n">
        <v>1</v>
      </c>
      <c r="N744" s="50" t="n">
        <v>46266</v>
      </c>
      <c r="O744" s="8" t="s">
        <v>546</v>
      </c>
      <c r="P744" s="24" t="n">
        <v>1</v>
      </c>
      <c r="Q744" s="31" t="n">
        <f aca="false">IF(I744="N/A","",IFERROR(INDEX('Residual Config'!$B$35:$B$42,MATCH(H744,'Residual Config'!$A$35:$A$42,0)),""))</f>
        <v>1</v>
      </c>
      <c r="R744" s="24" t="n">
        <v>0</v>
      </c>
      <c r="S744" s="8" t="s">
        <v>516</v>
      </c>
      <c r="T744" s="31" t="n">
        <f aca="false">IF(S744="","",MATCH(S744,'Residual Config'!$L$9:$L$12,0))</f>
        <v>1</v>
      </c>
      <c r="U744" s="8" t="s">
        <v>2580</v>
      </c>
      <c r="V744" s="24" t="n">
        <v>4</v>
      </c>
      <c r="W744" s="33" t="s">
        <v>533</v>
      </c>
      <c r="X744" s="8" t="s">
        <v>760</v>
      </c>
      <c r="Y744" s="51" t="n">
        <f aca="false">IF(N744="","",EDATE(N744,IF(G744="N",INDEX('Residual Config'!$B$31:$D$31,1,MATCH(D744,'Residual Config'!$B$27:$D$27,0)),INDEX('Residual Config'!$B$28:$D$30,IF(T744=1,1,IF(T744=4,3,2)),MATCH(D744,'Residual Config'!$B$27:$D$27,0)))))</f>
        <v>46631</v>
      </c>
      <c r="Z744" s="7" t="str">
        <f aca="false">IF(I744="N/A","N/A",IF(N744="","Not tested",IF(W744="Rejected","Evidence rejected",IF(W744&lt;&gt;"Accepted","Evidence pending",IF(Y744&lt;'Residual Config'!$C$4,"Overdue","Current")))))</f>
        <v>Current</v>
      </c>
      <c r="AA744" s="34" t="n">
        <f aca="false">IF(I744="N/A","",IF(Z744&lt;&gt;"Current",4,IF(MAX(M744,T744)=0,4,MAX(M744,T744))))</f>
        <v>1</v>
      </c>
      <c r="AB744" s="7" t="str">
        <f aca="false">IF(AA744="","N/A",IF(Z744&lt;&gt;"Current","Not tested / overdue",INDEX('Residual Config'!$B$11:$B$14,AA744)))</f>
        <v>Effective</v>
      </c>
      <c r="AC744" s="36" t="n">
        <f aca="false">IF(AA744="","",INDEX('Residual Config'!$D$11:$D$14,AA744))</f>
        <v>0.6</v>
      </c>
      <c r="AD744" s="7" t="str">
        <f aca="false">IF(OR(I744="N/A",P744="",Q744=""),"",IF(P744&gt;=Q744,"Yes","No"))</f>
        <v>Yes</v>
      </c>
      <c r="AE744" s="8"/>
    </row>
    <row r="745" customFormat="false" ht="15" hidden="false" customHeight="false" outlineLevel="0" collapsed="false">
      <c r="A745" s="12" t="s">
        <v>2581</v>
      </c>
      <c r="B745" s="26" t="str">
        <f aca="false">Entities!$A$22</f>
        <v>DZ</v>
      </c>
      <c r="C745" s="12" t="str">
        <f aca="false">INDEX(Entities!$B$5:$B$34,MATCH(B745,Entities!$A$5:$A$34,0))</f>
        <v>Arab Bank – Algeria</v>
      </c>
      <c r="D745" s="7" t="str">
        <f aca="false">INDEX(Entities!$F$5:$F$34,MATCH(B745,Entities!$A$5:$A$34,0))</f>
        <v>Tier 2</v>
      </c>
      <c r="E745" s="26" t="str">
        <f aca="false">'Control Library'!$A$14</f>
        <v>CTL-SAN-02</v>
      </c>
      <c r="F745" s="12" t="str">
        <f aca="false">INDEX('Control Library'!$B$5:$B$47,MATCH(E745,'Control Library'!$A$5:$A$47,0))</f>
        <v>Customer and counterparty screening at onboarding and on list change</v>
      </c>
      <c r="G745" s="7" t="str">
        <f aca="false">INDEX('Control Library'!$F$5:$F$47,MATCH(E745,'Control Library'!$A$5:$A$47,0))</f>
        <v>Y</v>
      </c>
      <c r="H745" s="12" t="str">
        <f aca="false">INDEX('Control Library'!$E$5:$E$47,MATCH(E745,'Control Library'!$A$5:$A$47,0))</f>
        <v>Continuous</v>
      </c>
      <c r="I745" s="7" t="str">
        <f aca="false">IF(INDEX('Control Library'!$I$5:$I$47,MATCH(E745,'Control Library'!$A$5:$A$47,0))="All","Y",IF(INDEX('Control Library'!$I$5:$I$47,MATCH(E745,'Control Library'!$A$5:$A$47,0))="Banks only",IF(COUNTIF('Residual Config'!$L$28:$L$30,INDEX(Entities!$E$5:$E$34,MATCH(B745,Entities!$A$5:$A$34,0)))&gt;0,"N/A","Y"),IF(INDEX(Entities!$G$5:$G$34,MATCH(B745,Entities!$A$5:$A$34,0))="Y","Y","N/A")))</f>
        <v>Y</v>
      </c>
      <c r="J745" s="8" t="s">
        <v>2579</v>
      </c>
      <c r="K745" s="8" t="s">
        <v>2560</v>
      </c>
      <c r="L745" s="7" t="str">
        <f aca="false">IF(OR(J745="",K745=""),"",IF(J745=K745,"Breach","OK"))</f>
        <v>OK</v>
      </c>
      <c r="M745" s="24" t="n">
        <v>1</v>
      </c>
      <c r="N745" s="50" t="n">
        <v>46170</v>
      </c>
      <c r="O745" s="8" t="s">
        <v>546</v>
      </c>
      <c r="P745" s="24" t="n">
        <v>1</v>
      </c>
      <c r="Q745" s="31" t="n">
        <f aca="false">IF(I745="N/A","",IFERROR(INDEX('Residual Config'!$B$35:$B$42,MATCH(H745,'Residual Config'!$A$35:$A$42,0)),""))</f>
        <v>1</v>
      </c>
      <c r="R745" s="24" t="n">
        <v>0</v>
      </c>
      <c r="S745" s="8" t="s">
        <v>516</v>
      </c>
      <c r="T745" s="31" t="n">
        <f aca="false">IF(S745="","",MATCH(S745,'Residual Config'!$L$9:$L$12,0))</f>
        <v>1</v>
      </c>
      <c r="U745" s="8" t="s">
        <v>2582</v>
      </c>
      <c r="V745" s="24" t="n">
        <v>1</v>
      </c>
      <c r="W745" s="33" t="s">
        <v>533</v>
      </c>
      <c r="X745" s="8" t="s">
        <v>754</v>
      </c>
      <c r="Y745" s="51" t="n">
        <f aca="false">IF(N745="","",EDATE(N745,IF(G745="N",INDEX('Residual Config'!$B$31:$D$31,1,MATCH(D745,'Residual Config'!$B$27:$D$27,0)),INDEX('Residual Config'!$B$28:$D$30,IF(T745=1,1,IF(T745=4,3,2)),MATCH(D745,'Residual Config'!$B$27:$D$27,0)))))</f>
        <v>46535</v>
      </c>
      <c r="Z745" s="7" t="str">
        <f aca="false">IF(I745="N/A","N/A",IF(N745="","Not tested",IF(W745="Rejected","Evidence rejected",IF(W745&lt;&gt;"Accepted","Evidence pending",IF(Y745&lt;'Residual Config'!$C$4,"Overdue","Current")))))</f>
        <v>Current</v>
      </c>
      <c r="AA745" s="34" t="n">
        <f aca="false">IF(I745="N/A","",IF(Z745&lt;&gt;"Current",4,IF(MAX(M745,T745)=0,4,MAX(M745,T745))))</f>
        <v>1</v>
      </c>
      <c r="AB745" s="7" t="str">
        <f aca="false">IF(AA745="","N/A",IF(Z745&lt;&gt;"Current","Not tested / overdue",INDEX('Residual Config'!$B$11:$B$14,AA745)))</f>
        <v>Effective</v>
      </c>
      <c r="AC745" s="36" t="n">
        <f aca="false">IF(AA745="","",INDEX('Residual Config'!$D$11:$D$14,AA745))</f>
        <v>0.6</v>
      </c>
      <c r="AD745" s="7" t="str">
        <f aca="false">IF(OR(I745="N/A",P745="",Q745=""),"",IF(P745&gt;=Q745,"Yes","No"))</f>
        <v>Yes</v>
      </c>
      <c r="AE745" s="8"/>
    </row>
    <row r="746" customFormat="false" ht="15" hidden="false" customHeight="false" outlineLevel="0" collapsed="false">
      <c r="A746" s="12" t="s">
        <v>2583</v>
      </c>
      <c r="B746" s="26" t="str">
        <f aca="false">Entities!$A$22</f>
        <v>DZ</v>
      </c>
      <c r="C746" s="12" t="str">
        <f aca="false">INDEX(Entities!$B$5:$B$34,MATCH(B746,Entities!$A$5:$A$34,0))</f>
        <v>Arab Bank – Algeria</v>
      </c>
      <c r="D746" s="7" t="str">
        <f aca="false">INDEX(Entities!$F$5:$F$34,MATCH(B746,Entities!$A$5:$A$34,0))</f>
        <v>Tier 2</v>
      </c>
      <c r="E746" s="26" t="str">
        <f aca="false">'Control Library'!$A$15</f>
        <v>CTL-SAN-03</v>
      </c>
      <c r="F746" s="12" t="str">
        <f aca="false">INDEX('Control Library'!$B$5:$B$47,MATCH(E746,'Control Library'!$A$5:$A$47,0))</f>
        <v>Sanctions list updates applied within 24 hours</v>
      </c>
      <c r="G746" s="7" t="str">
        <f aca="false">INDEX('Control Library'!$F$5:$F$47,MATCH(E746,'Control Library'!$A$5:$A$47,0))</f>
        <v>N</v>
      </c>
      <c r="H746" s="12" t="str">
        <f aca="false">INDEX('Control Library'!$E$5:$E$47,MATCH(E746,'Control Library'!$A$5:$A$47,0))</f>
        <v>Daily</v>
      </c>
      <c r="I746" s="7" t="str">
        <f aca="false">IF(INDEX('Control Library'!$I$5:$I$47,MATCH(E746,'Control Library'!$A$5:$A$47,0))="All","Y",IF(INDEX('Control Library'!$I$5:$I$47,MATCH(E746,'Control Library'!$A$5:$A$47,0))="Banks only",IF(COUNTIF('Residual Config'!$L$28:$L$30,INDEX(Entities!$E$5:$E$34,MATCH(B746,Entities!$A$5:$A$34,0)))&gt;0,"N/A","Y"),IF(INDEX(Entities!$G$5:$G$34,MATCH(B746,Entities!$A$5:$A$34,0))="Y","Y","N/A")))</f>
        <v>Y</v>
      </c>
      <c r="J746" s="8" t="s">
        <v>2584</v>
      </c>
      <c r="K746" s="8" t="s">
        <v>2560</v>
      </c>
      <c r="L746" s="7" t="str">
        <f aca="false">IF(OR(J746="",K746=""),"",IF(J746=K746,"Breach","OK"))</f>
        <v>OK</v>
      </c>
      <c r="M746" s="24" t="n">
        <v>1</v>
      </c>
      <c r="N746" s="50" t="n">
        <v>45983</v>
      </c>
      <c r="O746" s="8" t="s">
        <v>545</v>
      </c>
      <c r="P746" s="24" t="n">
        <v>25</v>
      </c>
      <c r="Q746" s="31" t="n">
        <f aca="false">IF(I746="N/A","",IFERROR(INDEX('Residual Config'!$B$35:$B$42,MATCH(H746,'Residual Config'!$A$35:$A$42,0)),""))</f>
        <v>25</v>
      </c>
      <c r="R746" s="24" t="n">
        <v>1</v>
      </c>
      <c r="S746" s="8" t="s">
        <v>521</v>
      </c>
      <c r="T746" s="31" t="n">
        <f aca="false">IF(S746="","",MATCH(S746,'Residual Config'!$L$9:$L$12,0))</f>
        <v>2</v>
      </c>
      <c r="U746" s="8" t="s">
        <v>2585</v>
      </c>
      <c r="V746" s="24" t="n">
        <v>3</v>
      </c>
      <c r="W746" s="33" t="s">
        <v>533</v>
      </c>
      <c r="X746" s="8" t="s">
        <v>760</v>
      </c>
      <c r="Y746" s="51" t="n">
        <f aca="false">IF(N746="","",EDATE(N746,IF(G746="N",INDEX('Residual Config'!$B$31:$D$31,1,MATCH(D746,'Residual Config'!$B$27:$D$27,0)),INDEX('Residual Config'!$B$28:$D$30,IF(T746=1,1,IF(T746=4,3,2)),MATCH(D746,'Residual Config'!$B$27:$D$27,0)))))</f>
        <v>46348</v>
      </c>
      <c r="Z746" s="7" t="str">
        <f aca="false">IF(I746="N/A","N/A",IF(N746="","Not tested",IF(W746="Rejected","Evidence rejected",IF(W746&lt;&gt;"Accepted","Evidence pending",IF(Y746&lt;'Residual Config'!$C$4,"Overdue","Current")))))</f>
        <v>Current</v>
      </c>
      <c r="AA746" s="34" t="n">
        <f aca="false">IF(I746="N/A","",IF(Z746&lt;&gt;"Current",4,IF(MAX(M746,T746)=0,4,MAX(M746,T746))))</f>
        <v>2</v>
      </c>
      <c r="AB746" s="7" t="str">
        <f aca="false">IF(AA746="","N/A",IF(Z746&lt;&gt;"Current","Not tested / overdue",INDEX('Residual Config'!$B$11:$B$14,AA746)))</f>
        <v>Largely effective</v>
      </c>
      <c r="AC746" s="36" t="n">
        <f aca="false">IF(AA746="","",INDEX('Residual Config'!$D$11:$D$14,AA746))</f>
        <v>0.4</v>
      </c>
      <c r="AD746" s="7" t="str">
        <f aca="false">IF(OR(I746="N/A",P746="",Q746=""),"",IF(P746&gt;=Q746,"Yes","No"))</f>
        <v>Yes</v>
      </c>
      <c r="AE746" s="8"/>
    </row>
    <row r="747" customFormat="false" ht="15" hidden="false" customHeight="false" outlineLevel="0" collapsed="false">
      <c r="A747" s="12" t="s">
        <v>2586</v>
      </c>
      <c r="B747" s="26" t="str">
        <f aca="false">Entities!$A$22</f>
        <v>DZ</v>
      </c>
      <c r="C747" s="12" t="str">
        <f aca="false">INDEX(Entities!$B$5:$B$34,MATCH(B747,Entities!$A$5:$A$34,0))</f>
        <v>Arab Bank – Algeria</v>
      </c>
      <c r="D747" s="7" t="str">
        <f aca="false">INDEX(Entities!$F$5:$F$34,MATCH(B747,Entities!$A$5:$A$34,0))</f>
        <v>Tier 2</v>
      </c>
      <c r="E747" s="26" t="str">
        <f aca="false">'Control Library'!$A$16</f>
        <v>CTL-TF-01</v>
      </c>
      <c r="F747" s="12" t="str">
        <f aca="false">INDEX('Control Library'!$B$5:$B$47,MATCH(E747,'Control Library'!$A$5:$A$47,0))</f>
        <v>NPO and charity enhanced due diligence</v>
      </c>
      <c r="G747" s="7" t="str">
        <f aca="false">INDEX('Control Library'!$F$5:$F$47,MATCH(E747,'Control Library'!$A$5:$A$47,0))</f>
        <v>N</v>
      </c>
      <c r="H747" s="12" t="str">
        <f aca="false">INDEX('Control Library'!$E$5:$E$47,MATCH(E747,'Control Library'!$A$5:$A$47,0))</f>
        <v>Event-driven</v>
      </c>
      <c r="I747" s="7" t="str">
        <f aca="false">IF(INDEX('Control Library'!$I$5:$I$47,MATCH(E747,'Control Library'!$A$5:$A$47,0))="All","Y",IF(INDEX('Control Library'!$I$5:$I$47,MATCH(E747,'Control Library'!$A$5:$A$47,0))="Banks only",IF(COUNTIF('Residual Config'!$L$28:$L$30,INDEX(Entities!$E$5:$E$34,MATCH(B747,Entities!$A$5:$A$34,0)))&gt;0,"N/A","Y"),IF(INDEX(Entities!$G$5:$G$34,MATCH(B747,Entities!$A$5:$A$34,0))="Y","Y","N/A")))</f>
        <v>Y</v>
      </c>
      <c r="J747" s="8" t="s">
        <v>2587</v>
      </c>
      <c r="K747" s="8" t="s">
        <v>2560</v>
      </c>
      <c r="L747" s="7" t="str">
        <f aca="false">IF(OR(J747="",K747=""),"",IF(J747=K747,"Breach","OK"))</f>
        <v>OK</v>
      </c>
      <c r="M747" s="24" t="n">
        <v>2</v>
      </c>
      <c r="N747" s="50" t="n">
        <v>46246</v>
      </c>
      <c r="O747" s="8" t="s">
        <v>545</v>
      </c>
      <c r="P747" s="24" t="n">
        <v>30</v>
      </c>
      <c r="Q747" s="31" t="n">
        <f aca="false">IF(I747="N/A","",IFERROR(INDEX('Residual Config'!$B$35:$B$42,MATCH(H747,'Residual Config'!$A$35:$A$42,0)),""))</f>
        <v>25</v>
      </c>
      <c r="R747" s="24" t="n">
        <v>0</v>
      </c>
      <c r="S747" s="8" t="s">
        <v>516</v>
      </c>
      <c r="T747" s="31" t="n">
        <f aca="false">IF(S747="","",MATCH(S747,'Residual Config'!$L$9:$L$12,0))</f>
        <v>1</v>
      </c>
      <c r="U747" s="8" t="s">
        <v>2588</v>
      </c>
      <c r="V747" s="24" t="n">
        <v>6</v>
      </c>
      <c r="W747" s="33" t="s">
        <v>533</v>
      </c>
      <c r="X747" s="8" t="s">
        <v>754</v>
      </c>
      <c r="Y747" s="51" t="n">
        <f aca="false">IF(N747="","",EDATE(N747,IF(G747="N",INDEX('Residual Config'!$B$31:$D$31,1,MATCH(D747,'Residual Config'!$B$27:$D$27,0)),INDEX('Residual Config'!$B$28:$D$30,IF(T747=1,1,IF(T747=4,3,2)),MATCH(D747,'Residual Config'!$B$27:$D$27,0)))))</f>
        <v>46611</v>
      </c>
      <c r="Z747" s="7" t="str">
        <f aca="false">IF(I747="N/A","N/A",IF(N747="","Not tested",IF(W747="Rejected","Evidence rejected",IF(W747&lt;&gt;"Accepted","Evidence pending",IF(Y747&lt;'Residual Config'!$C$4,"Overdue","Current")))))</f>
        <v>Current</v>
      </c>
      <c r="AA747" s="34" t="n">
        <f aca="false">IF(I747="N/A","",IF(Z747&lt;&gt;"Current",4,IF(MAX(M747,T747)=0,4,MAX(M747,T747))))</f>
        <v>2</v>
      </c>
      <c r="AB747" s="7" t="str">
        <f aca="false">IF(AA747="","N/A",IF(Z747&lt;&gt;"Current","Not tested / overdue",INDEX('Residual Config'!$B$11:$B$14,AA747)))</f>
        <v>Largely effective</v>
      </c>
      <c r="AC747" s="36" t="n">
        <f aca="false">IF(AA747="","",INDEX('Residual Config'!$D$11:$D$14,AA747))</f>
        <v>0.4</v>
      </c>
      <c r="AD747" s="7" t="str">
        <f aca="false">IF(OR(I747="N/A",P747="",Q747=""),"",IF(P747&gt;=Q747,"Yes","No"))</f>
        <v>Yes</v>
      </c>
      <c r="AE747" s="8"/>
    </row>
    <row r="748" customFormat="false" ht="15" hidden="false" customHeight="false" outlineLevel="0" collapsed="false">
      <c r="A748" s="12" t="s">
        <v>2589</v>
      </c>
      <c r="B748" s="26" t="str">
        <f aca="false">Entities!$A$22</f>
        <v>DZ</v>
      </c>
      <c r="C748" s="12" t="str">
        <f aca="false">INDEX(Entities!$B$5:$B$34,MATCH(B748,Entities!$A$5:$A$34,0))</f>
        <v>Arab Bank – Algeria</v>
      </c>
      <c r="D748" s="7" t="str">
        <f aca="false">INDEX(Entities!$F$5:$F$34,MATCH(B748,Entities!$A$5:$A$34,0))</f>
        <v>Tier 2</v>
      </c>
      <c r="E748" s="26" t="str">
        <f aca="false">'Control Library'!$A$17</f>
        <v>CTL-TBML-01</v>
      </c>
      <c r="F748" s="12" t="str">
        <f aca="false">INDEX('Control Library'!$B$5:$B$47,MATCH(E748,'Control Library'!$A$5:$A$47,0))</f>
        <v>Trade-based ML red-flag review and pricing checks</v>
      </c>
      <c r="G748" s="7" t="str">
        <f aca="false">INDEX('Control Library'!$F$5:$F$47,MATCH(E748,'Control Library'!$A$5:$A$47,0))</f>
        <v>Y</v>
      </c>
      <c r="H748" s="12" t="str">
        <f aca="false">INDEX('Control Library'!$E$5:$E$47,MATCH(E748,'Control Library'!$A$5:$A$47,0))</f>
        <v>Event-driven</v>
      </c>
      <c r="I748" s="7" t="str">
        <f aca="false">IF(INDEX('Control Library'!$I$5:$I$47,MATCH(E748,'Control Library'!$A$5:$A$47,0))="All","Y",IF(INDEX('Control Library'!$I$5:$I$47,MATCH(E748,'Control Library'!$A$5:$A$47,0))="Banks only",IF(COUNTIF('Residual Config'!$L$28:$L$30,INDEX(Entities!$E$5:$E$34,MATCH(B748,Entities!$A$5:$A$34,0)))&gt;0,"N/A","Y"),IF(INDEX(Entities!$G$5:$G$34,MATCH(B748,Entities!$A$5:$A$34,0))="Y","Y","N/A")))</f>
        <v>Y</v>
      </c>
      <c r="J748" s="8" t="s">
        <v>2590</v>
      </c>
      <c r="K748" s="8" t="s">
        <v>2560</v>
      </c>
      <c r="L748" s="7" t="str">
        <f aca="false">IF(OR(J748="",K748=""),"",IF(J748=K748,"Breach","OK"))</f>
        <v>OK</v>
      </c>
      <c r="M748" s="24" t="n">
        <v>1</v>
      </c>
      <c r="N748" s="50" t="n">
        <v>46197</v>
      </c>
      <c r="O748" s="8" t="s">
        <v>545</v>
      </c>
      <c r="P748" s="24" t="n">
        <v>25</v>
      </c>
      <c r="Q748" s="31" t="n">
        <f aca="false">IF(I748="N/A","",IFERROR(INDEX('Residual Config'!$B$35:$B$42,MATCH(H748,'Residual Config'!$A$35:$A$42,0)),""))</f>
        <v>25</v>
      </c>
      <c r="R748" s="24" t="n">
        <v>0</v>
      </c>
      <c r="S748" s="8" t="s">
        <v>516</v>
      </c>
      <c r="T748" s="31" t="n">
        <f aca="false">IF(S748="","",MATCH(S748,'Residual Config'!$L$9:$L$12,0))</f>
        <v>1</v>
      </c>
      <c r="U748" s="8" t="s">
        <v>2591</v>
      </c>
      <c r="V748" s="24" t="n">
        <v>3</v>
      </c>
      <c r="W748" s="33" t="s">
        <v>533</v>
      </c>
      <c r="X748" s="8" t="s">
        <v>754</v>
      </c>
      <c r="Y748" s="51" t="n">
        <f aca="false">IF(N748="","",EDATE(N748,IF(G748="N",INDEX('Residual Config'!$B$31:$D$31,1,MATCH(D748,'Residual Config'!$B$27:$D$27,0)),INDEX('Residual Config'!$B$28:$D$30,IF(T748=1,1,IF(T748=4,3,2)),MATCH(D748,'Residual Config'!$B$27:$D$27,0)))))</f>
        <v>46562</v>
      </c>
      <c r="Z748" s="7" t="str">
        <f aca="false">IF(I748="N/A","N/A",IF(N748="","Not tested",IF(W748="Rejected","Evidence rejected",IF(W748&lt;&gt;"Accepted","Evidence pending",IF(Y748&lt;'Residual Config'!$C$4,"Overdue","Current")))))</f>
        <v>Current</v>
      </c>
      <c r="AA748" s="34" t="n">
        <f aca="false">IF(I748="N/A","",IF(Z748&lt;&gt;"Current",4,IF(MAX(M748,T748)=0,4,MAX(M748,T748))))</f>
        <v>1</v>
      </c>
      <c r="AB748" s="7" t="str">
        <f aca="false">IF(AA748="","N/A",IF(Z748&lt;&gt;"Current","Not tested / overdue",INDEX('Residual Config'!$B$11:$B$14,AA748)))</f>
        <v>Effective</v>
      </c>
      <c r="AC748" s="36" t="n">
        <f aca="false">IF(AA748="","",INDEX('Residual Config'!$D$11:$D$14,AA748))</f>
        <v>0.6</v>
      </c>
      <c r="AD748" s="7" t="str">
        <f aca="false">IF(OR(I748="N/A",P748="",Q748=""),"",IF(P748&gt;=Q748,"Yes","No"))</f>
        <v>Yes</v>
      </c>
      <c r="AE748" s="8"/>
    </row>
    <row r="749" customFormat="false" ht="15" hidden="false" customHeight="false" outlineLevel="0" collapsed="false">
      <c r="A749" s="12" t="s">
        <v>2592</v>
      </c>
      <c r="B749" s="26" t="str">
        <f aca="false">Entities!$A$22</f>
        <v>DZ</v>
      </c>
      <c r="C749" s="12" t="str">
        <f aca="false">INDEX(Entities!$B$5:$B$34,MATCH(B749,Entities!$A$5:$A$34,0))</f>
        <v>Arab Bank – Algeria</v>
      </c>
      <c r="D749" s="7" t="str">
        <f aca="false">INDEX(Entities!$F$5:$F$34,MATCH(B749,Entities!$A$5:$A$34,0))</f>
        <v>Tier 2</v>
      </c>
      <c r="E749" s="26" t="str">
        <f aca="false">'Control Library'!$A$18</f>
        <v>CTL-PF-01</v>
      </c>
      <c r="F749" s="12" t="str">
        <f aca="false">INDEX('Control Library'!$B$5:$B$47,MATCH(E749,'Control Library'!$A$5:$A$47,0))</f>
        <v>Dual-use goods, vessel and port screening</v>
      </c>
      <c r="G749" s="7" t="str">
        <f aca="false">INDEX('Control Library'!$F$5:$F$47,MATCH(E749,'Control Library'!$A$5:$A$47,0))</f>
        <v>Y</v>
      </c>
      <c r="H749" s="12" t="str">
        <f aca="false">INDEX('Control Library'!$E$5:$E$47,MATCH(E749,'Control Library'!$A$5:$A$47,0))</f>
        <v>Event-driven</v>
      </c>
      <c r="I749" s="7" t="str">
        <f aca="false">IF(INDEX('Control Library'!$I$5:$I$47,MATCH(E749,'Control Library'!$A$5:$A$47,0))="All","Y",IF(INDEX('Control Library'!$I$5:$I$47,MATCH(E749,'Control Library'!$A$5:$A$47,0))="Banks only",IF(COUNTIF('Residual Config'!$L$28:$L$30,INDEX(Entities!$E$5:$E$34,MATCH(B749,Entities!$A$5:$A$34,0)))&gt;0,"N/A","Y"),IF(INDEX(Entities!$G$5:$G$34,MATCH(B749,Entities!$A$5:$A$34,0))="Y","Y","N/A")))</f>
        <v>Y</v>
      </c>
      <c r="J749" s="8" t="s">
        <v>2590</v>
      </c>
      <c r="K749" s="8" t="s">
        <v>2560</v>
      </c>
      <c r="L749" s="7" t="str">
        <f aca="false">IF(OR(J749="",K749=""),"",IF(J749=K749,"Breach","OK"))</f>
        <v>OK</v>
      </c>
      <c r="M749" s="24" t="n">
        <v>2</v>
      </c>
      <c r="N749" s="50" t="n">
        <v>45870</v>
      </c>
      <c r="O749" s="8" t="s">
        <v>545</v>
      </c>
      <c r="P749" s="24" t="n">
        <v>30</v>
      </c>
      <c r="Q749" s="31" t="n">
        <f aca="false">IF(I749="N/A","",IFERROR(INDEX('Residual Config'!$B$35:$B$42,MATCH(H749,'Residual Config'!$A$35:$A$42,0)),""))</f>
        <v>25</v>
      </c>
      <c r="R749" s="24" t="n">
        <v>0</v>
      </c>
      <c r="S749" s="8" t="s">
        <v>516</v>
      </c>
      <c r="T749" s="31" t="n">
        <f aca="false">IF(S749="","",MATCH(S749,'Residual Config'!$L$9:$L$12,0))</f>
        <v>1</v>
      </c>
      <c r="U749" s="8" t="s">
        <v>2593</v>
      </c>
      <c r="V749" s="24" t="n">
        <v>3</v>
      </c>
      <c r="W749" s="33" t="s">
        <v>533</v>
      </c>
      <c r="X749" s="8" t="s">
        <v>760</v>
      </c>
      <c r="Y749" s="51" t="n">
        <f aca="false">IF(N749="","",EDATE(N749,IF(G749="N",INDEX('Residual Config'!$B$31:$D$31,1,MATCH(D749,'Residual Config'!$B$27:$D$27,0)),INDEX('Residual Config'!$B$28:$D$30,IF(T749=1,1,IF(T749=4,3,2)),MATCH(D749,'Residual Config'!$B$27:$D$27,0)))))</f>
        <v>46235</v>
      </c>
      <c r="Z749" s="7" t="str">
        <f aca="false">IF(I749="N/A","N/A",IF(N749="","Not tested",IF(W749="Rejected","Evidence rejected",IF(W749&lt;&gt;"Accepted","Evidence pending",IF(Y749&lt;'Residual Config'!$C$4,"Overdue","Current")))))</f>
        <v>Overdue</v>
      </c>
      <c r="AA749" s="34" t="n">
        <f aca="false">IF(I749="N/A","",IF(Z749&lt;&gt;"Current",4,IF(MAX(M749,T749)=0,4,MAX(M749,T749))))</f>
        <v>4</v>
      </c>
      <c r="AB749" s="7" t="str">
        <f aca="false">IF(AA749="","N/A",IF(Z749&lt;&gt;"Current","Not tested / overdue",INDEX('Residual Config'!$B$11:$B$14,AA749)))</f>
        <v>Not tested / overdue</v>
      </c>
      <c r="AC749" s="36" t="n">
        <f aca="false">IF(AA749="","",INDEX('Residual Config'!$D$11:$D$14,AA749))</f>
        <v>0</v>
      </c>
      <c r="AD749" s="7" t="str">
        <f aca="false">IF(OR(I749="N/A",P749="",Q749=""),"",IF(P749&gt;=Q749,"Yes","No"))</f>
        <v>Yes</v>
      </c>
      <c r="AE749" s="8"/>
    </row>
    <row r="750" customFormat="false" ht="15" hidden="false" customHeight="false" outlineLevel="0" collapsed="false">
      <c r="A750" s="12" t="s">
        <v>2594</v>
      </c>
      <c r="B750" s="26" t="str">
        <f aca="false">Entities!$A$22</f>
        <v>DZ</v>
      </c>
      <c r="C750" s="12" t="str">
        <f aca="false">INDEX(Entities!$B$5:$B$34,MATCH(B750,Entities!$A$5:$A$34,0))</f>
        <v>Arab Bank – Algeria</v>
      </c>
      <c r="D750" s="7" t="str">
        <f aca="false">INDEX(Entities!$F$5:$F$34,MATCH(B750,Entities!$A$5:$A$34,0))</f>
        <v>Tier 2</v>
      </c>
      <c r="E750" s="26" t="str">
        <f aca="false">'Control Library'!$A$19</f>
        <v>CTL-CB-01</v>
      </c>
      <c r="F750" s="12" t="str">
        <f aca="false">INDEX('Control Library'!$B$5:$B$47,MATCH(E750,'Control Library'!$A$5:$A$47,0))</f>
        <v>Correspondent bank due diligence (CBDDQ) and nesting detection</v>
      </c>
      <c r="G750" s="7" t="str">
        <f aca="false">INDEX('Control Library'!$F$5:$F$47,MATCH(E750,'Control Library'!$A$5:$A$47,0))</f>
        <v>Y</v>
      </c>
      <c r="H750" s="12" t="str">
        <f aca="false">INDEX('Control Library'!$E$5:$E$47,MATCH(E750,'Control Library'!$A$5:$A$47,0))</f>
        <v>Annual</v>
      </c>
      <c r="I750" s="7" t="str">
        <f aca="false">IF(INDEX('Control Library'!$I$5:$I$47,MATCH(E750,'Control Library'!$A$5:$A$47,0))="All","Y",IF(INDEX('Control Library'!$I$5:$I$47,MATCH(E750,'Control Library'!$A$5:$A$47,0))="Banks only",IF(COUNTIF('Residual Config'!$L$28:$L$30,INDEX(Entities!$E$5:$E$34,MATCH(B750,Entities!$A$5:$A$34,0)))&gt;0,"N/A","Y"),IF(INDEX(Entities!$G$5:$G$34,MATCH(B750,Entities!$A$5:$A$34,0))="Y","Y","N/A")))</f>
        <v>Y</v>
      </c>
      <c r="J750" s="8" t="s">
        <v>2595</v>
      </c>
      <c r="K750" s="8" t="s">
        <v>2560</v>
      </c>
      <c r="L750" s="7" t="str">
        <f aca="false">IF(OR(J750="",K750=""),"",IF(J750=K750,"Breach","OK"))</f>
        <v>OK</v>
      </c>
      <c r="M750" s="24" t="n">
        <v>1</v>
      </c>
      <c r="N750" s="50" t="n">
        <v>46166</v>
      </c>
      <c r="O750" s="8" t="s">
        <v>546</v>
      </c>
      <c r="P750" s="24" t="n">
        <v>1</v>
      </c>
      <c r="Q750" s="31" t="n">
        <f aca="false">IF(I750="N/A","",IFERROR(INDEX('Residual Config'!$B$35:$B$42,MATCH(H750,'Residual Config'!$A$35:$A$42,0)),""))</f>
        <v>1</v>
      </c>
      <c r="R750" s="24" t="n">
        <v>1</v>
      </c>
      <c r="S750" s="8" t="s">
        <v>521</v>
      </c>
      <c r="T750" s="31" t="n">
        <f aca="false">IF(S750="","",MATCH(S750,'Residual Config'!$L$9:$L$12,0))</f>
        <v>2</v>
      </c>
      <c r="U750" s="8" t="s">
        <v>2596</v>
      </c>
      <c r="V750" s="24" t="n">
        <v>6</v>
      </c>
      <c r="W750" s="33" t="s">
        <v>533</v>
      </c>
      <c r="X750" s="8" t="s">
        <v>754</v>
      </c>
      <c r="Y750" s="51" t="n">
        <f aca="false">IF(N750="","",EDATE(N750,IF(G750="N",INDEX('Residual Config'!$B$31:$D$31,1,MATCH(D750,'Residual Config'!$B$27:$D$27,0)),INDEX('Residual Config'!$B$28:$D$30,IF(T750=1,1,IF(T750=4,3,2)),MATCH(D750,'Residual Config'!$B$27:$D$27,0)))))</f>
        <v>46350</v>
      </c>
      <c r="Z750" s="7" t="str">
        <f aca="false">IF(I750="N/A","N/A",IF(N750="","Not tested",IF(W750="Rejected","Evidence rejected",IF(W750&lt;&gt;"Accepted","Evidence pending",IF(Y750&lt;'Residual Config'!$C$4,"Overdue","Current")))))</f>
        <v>Current</v>
      </c>
      <c r="AA750" s="34" t="n">
        <f aca="false">IF(I750="N/A","",IF(Z750&lt;&gt;"Current",4,IF(MAX(M750,T750)=0,4,MAX(M750,T750))))</f>
        <v>2</v>
      </c>
      <c r="AB750" s="7" t="str">
        <f aca="false">IF(AA750="","N/A",IF(Z750&lt;&gt;"Current","Not tested / overdue",INDEX('Residual Config'!$B$11:$B$14,AA750)))</f>
        <v>Largely effective</v>
      </c>
      <c r="AC750" s="36" t="n">
        <f aca="false">IF(AA750="","",INDEX('Residual Config'!$D$11:$D$14,AA750))</f>
        <v>0.4</v>
      </c>
      <c r="AD750" s="7" t="str">
        <f aca="false">IF(OR(I750="N/A",P750="",Q750=""),"",IF(P750&gt;=Q750,"Yes","No"))</f>
        <v>Yes</v>
      </c>
      <c r="AE750" s="8"/>
    </row>
    <row r="751" customFormat="false" ht="15" hidden="false" customHeight="false" outlineLevel="0" collapsed="false">
      <c r="A751" s="12" t="s">
        <v>2597</v>
      </c>
      <c r="B751" s="26" t="str">
        <f aca="false">Entities!$A$22</f>
        <v>DZ</v>
      </c>
      <c r="C751" s="12" t="str">
        <f aca="false">INDEX(Entities!$B$5:$B$34,MATCH(B751,Entities!$A$5:$A$34,0))</f>
        <v>Arab Bank – Algeria</v>
      </c>
      <c r="D751" s="7" t="str">
        <f aca="false">INDEX(Entities!$F$5:$F$34,MATCH(B751,Entities!$A$5:$A$34,0))</f>
        <v>Tier 2</v>
      </c>
      <c r="E751" s="26" t="str">
        <f aca="false">'Control Library'!$A$20</f>
        <v>CTL-PAY-01</v>
      </c>
      <c r="F751" s="12" t="str">
        <f aca="false">INDEX('Control Library'!$B$5:$B$47,MATCH(E751,'Control Library'!$A$5:$A$47,0))</f>
        <v>Payment transparency checks (FATF R.16)</v>
      </c>
      <c r="G751" s="7" t="str">
        <f aca="false">INDEX('Control Library'!$F$5:$F$47,MATCH(E751,'Control Library'!$A$5:$A$47,0))</f>
        <v>N</v>
      </c>
      <c r="H751" s="12" t="str">
        <f aca="false">INDEX('Control Library'!$E$5:$E$47,MATCH(E751,'Control Library'!$A$5:$A$47,0))</f>
        <v>Continuous</v>
      </c>
      <c r="I751" s="7" t="str">
        <f aca="false">IF(INDEX('Control Library'!$I$5:$I$47,MATCH(E751,'Control Library'!$A$5:$A$47,0))="All","Y",IF(INDEX('Control Library'!$I$5:$I$47,MATCH(E751,'Control Library'!$A$5:$A$47,0))="Banks only",IF(COUNTIF('Residual Config'!$L$28:$L$30,INDEX(Entities!$E$5:$E$34,MATCH(B751,Entities!$A$5:$A$34,0)))&gt;0,"N/A","Y"),IF(INDEX(Entities!$G$5:$G$34,MATCH(B751,Entities!$A$5:$A$34,0))="Y","Y","N/A")))</f>
        <v>Y</v>
      </c>
      <c r="J751" s="8" t="s">
        <v>2598</v>
      </c>
      <c r="K751" s="8" t="s">
        <v>2560</v>
      </c>
      <c r="L751" s="7" t="str">
        <f aca="false">IF(OR(J751="",K751=""),"",IF(J751=K751,"Breach","OK"))</f>
        <v>OK</v>
      </c>
      <c r="M751" s="24" t="n">
        <v>1</v>
      </c>
      <c r="N751" s="50" t="n">
        <v>46047</v>
      </c>
      <c r="O751" s="8" t="s">
        <v>547</v>
      </c>
      <c r="P751" s="24" t="n">
        <v>1</v>
      </c>
      <c r="Q751" s="31" t="n">
        <f aca="false">IF(I751="N/A","",IFERROR(INDEX('Residual Config'!$B$35:$B$42,MATCH(H751,'Residual Config'!$A$35:$A$42,0)),""))</f>
        <v>1</v>
      </c>
      <c r="R751" s="24" t="n">
        <v>1</v>
      </c>
      <c r="S751" s="8" t="s">
        <v>521</v>
      </c>
      <c r="T751" s="31" t="n">
        <f aca="false">IF(S751="","",MATCH(S751,'Residual Config'!$L$9:$L$12,0))</f>
        <v>2</v>
      </c>
      <c r="U751" s="8" t="s">
        <v>2599</v>
      </c>
      <c r="V751" s="24" t="n">
        <v>4</v>
      </c>
      <c r="W751" s="33" t="s">
        <v>533</v>
      </c>
      <c r="X751" s="8" t="s">
        <v>754</v>
      </c>
      <c r="Y751" s="51" t="n">
        <f aca="false">IF(N751="","",EDATE(N751,IF(G751="N",INDEX('Residual Config'!$B$31:$D$31,1,MATCH(D751,'Residual Config'!$B$27:$D$27,0)),INDEX('Residual Config'!$B$28:$D$30,IF(T751=1,1,IF(T751=4,3,2)),MATCH(D751,'Residual Config'!$B$27:$D$27,0)))))</f>
        <v>46412</v>
      </c>
      <c r="Z751" s="7" t="str">
        <f aca="false">IF(I751="N/A","N/A",IF(N751="","Not tested",IF(W751="Rejected","Evidence rejected",IF(W751&lt;&gt;"Accepted","Evidence pending",IF(Y751&lt;'Residual Config'!$C$4,"Overdue","Current")))))</f>
        <v>Current</v>
      </c>
      <c r="AA751" s="34" t="n">
        <f aca="false">IF(I751="N/A","",IF(Z751&lt;&gt;"Current",4,IF(MAX(M751,T751)=0,4,MAX(M751,T751))))</f>
        <v>2</v>
      </c>
      <c r="AB751" s="7" t="str">
        <f aca="false">IF(AA751="","N/A",IF(Z751&lt;&gt;"Current","Not tested / overdue",INDEX('Residual Config'!$B$11:$B$14,AA751)))</f>
        <v>Largely effective</v>
      </c>
      <c r="AC751" s="36" t="n">
        <f aca="false">IF(AA751="","",INDEX('Residual Config'!$D$11:$D$14,AA751))</f>
        <v>0.4</v>
      </c>
      <c r="AD751" s="7" t="str">
        <f aca="false">IF(OR(I751="N/A",P751="",Q751=""),"",IF(P751&gt;=Q751,"Yes","No"))</f>
        <v>Yes</v>
      </c>
      <c r="AE751" s="8"/>
    </row>
    <row r="752" customFormat="false" ht="15" hidden="false" customHeight="false" outlineLevel="0" collapsed="false">
      <c r="A752" s="12" t="s">
        <v>2600</v>
      </c>
      <c r="B752" s="26" t="str">
        <f aca="false">Entities!$A$22</f>
        <v>DZ</v>
      </c>
      <c r="C752" s="12" t="str">
        <f aca="false">INDEX(Entities!$B$5:$B$34,MATCH(B752,Entities!$A$5:$A$34,0))</f>
        <v>Arab Bank – Algeria</v>
      </c>
      <c r="D752" s="7" t="str">
        <f aca="false">INDEX(Entities!$F$5:$F$34,MATCH(B752,Entities!$A$5:$A$34,0))</f>
        <v>Tier 2</v>
      </c>
      <c r="E752" s="26" t="str">
        <f aca="false">'Control Library'!$A$21</f>
        <v>CTL-ABC-01</v>
      </c>
      <c r="F752" s="12" t="str">
        <f aca="false">INDEX('Control Library'!$B$5:$B$47,MATCH(E752,'Control Library'!$A$5:$A$47,0))</f>
        <v>Third-party and intermediary anti-bribery due diligence</v>
      </c>
      <c r="G752" s="7" t="str">
        <f aca="false">INDEX('Control Library'!$F$5:$F$47,MATCH(E752,'Control Library'!$A$5:$A$47,0))</f>
        <v>Y</v>
      </c>
      <c r="H752" s="12" t="str">
        <f aca="false">INDEX('Control Library'!$E$5:$E$47,MATCH(E752,'Control Library'!$A$5:$A$47,0))</f>
        <v>Event-driven</v>
      </c>
      <c r="I752" s="7" t="str">
        <f aca="false">IF(INDEX('Control Library'!$I$5:$I$47,MATCH(E752,'Control Library'!$A$5:$A$47,0))="All","Y",IF(INDEX('Control Library'!$I$5:$I$47,MATCH(E752,'Control Library'!$A$5:$A$47,0))="Banks only",IF(COUNTIF('Residual Config'!$L$28:$L$30,INDEX(Entities!$E$5:$E$34,MATCH(B752,Entities!$A$5:$A$34,0)))&gt;0,"N/A","Y"),IF(INDEX(Entities!$G$5:$G$34,MATCH(B752,Entities!$A$5:$A$34,0))="Y","Y","N/A")))</f>
        <v>Y</v>
      </c>
      <c r="J752" s="8" t="s">
        <v>2601</v>
      </c>
      <c r="K752" s="8" t="s">
        <v>2560</v>
      </c>
      <c r="L752" s="7" t="str">
        <f aca="false">IF(OR(J752="",K752=""),"",IF(J752=K752,"Breach","OK"))</f>
        <v>OK</v>
      </c>
      <c r="M752" s="24" t="n">
        <v>2</v>
      </c>
      <c r="N752" s="50" t="n">
        <v>46146</v>
      </c>
      <c r="O752" s="8" t="s">
        <v>545</v>
      </c>
      <c r="P752" s="24" t="n">
        <v>30</v>
      </c>
      <c r="Q752" s="31" t="n">
        <f aca="false">IF(I752="N/A","",IFERROR(INDEX('Residual Config'!$B$35:$B$42,MATCH(H752,'Residual Config'!$A$35:$A$42,0)),""))</f>
        <v>25</v>
      </c>
      <c r="R752" s="24" t="n">
        <v>1</v>
      </c>
      <c r="S752" s="8" t="s">
        <v>521</v>
      </c>
      <c r="T752" s="31" t="n">
        <f aca="false">IF(S752="","",MATCH(S752,'Residual Config'!$L$9:$L$12,0))</f>
        <v>2</v>
      </c>
      <c r="U752" s="8" t="s">
        <v>2602</v>
      </c>
      <c r="V752" s="24" t="n">
        <v>1</v>
      </c>
      <c r="W752" s="33" t="s">
        <v>533</v>
      </c>
      <c r="X752" s="8" t="s">
        <v>760</v>
      </c>
      <c r="Y752" s="51" t="n">
        <f aca="false">IF(N752="","",EDATE(N752,IF(G752="N",INDEX('Residual Config'!$B$31:$D$31,1,MATCH(D752,'Residual Config'!$B$27:$D$27,0)),INDEX('Residual Config'!$B$28:$D$30,IF(T752=1,1,IF(T752=4,3,2)),MATCH(D752,'Residual Config'!$B$27:$D$27,0)))))</f>
        <v>46330</v>
      </c>
      <c r="Z752" s="7" t="str">
        <f aca="false">IF(I752="N/A","N/A",IF(N752="","Not tested",IF(W752="Rejected","Evidence rejected",IF(W752&lt;&gt;"Accepted","Evidence pending",IF(Y752&lt;'Residual Config'!$C$4,"Overdue","Current")))))</f>
        <v>Current</v>
      </c>
      <c r="AA752" s="34" t="n">
        <f aca="false">IF(I752="N/A","",IF(Z752&lt;&gt;"Current",4,IF(MAX(M752,T752)=0,4,MAX(M752,T752))))</f>
        <v>2</v>
      </c>
      <c r="AB752" s="7" t="str">
        <f aca="false">IF(AA752="","N/A",IF(Z752&lt;&gt;"Current","Not tested / overdue",INDEX('Residual Config'!$B$11:$B$14,AA752)))</f>
        <v>Largely effective</v>
      </c>
      <c r="AC752" s="36" t="n">
        <f aca="false">IF(AA752="","",INDEX('Residual Config'!$D$11:$D$14,AA752))</f>
        <v>0.4</v>
      </c>
      <c r="AD752" s="7" t="str">
        <f aca="false">IF(OR(I752="N/A",P752="",Q752=""),"",IF(P752&gt;=Q752,"Yes","No"))</f>
        <v>Yes</v>
      </c>
      <c r="AE752" s="8"/>
    </row>
    <row r="753" customFormat="false" ht="15" hidden="false" customHeight="false" outlineLevel="0" collapsed="false">
      <c r="A753" s="12" t="s">
        <v>2603</v>
      </c>
      <c r="B753" s="26" t="str">
        <f aca="false">Entities!$A$22</f>
        <v>DZ</v>
      </c>
      <c r="C753" s="12" t="str">
        <f aca="false">INDEX(Entities!$B$5:$B$34,MATCH(B753,Entities!$A$5:$A$34,0))</f>
        <v>Arab Bank – Algeria</v>
      </c>
      <c r="D753" s="7" t="str">
        <f aca="false">INDEX(Entities!$F$5:$F$34,MATCH(B753,Entities!$A$5:$A$34,0))</f>
        <v>Tier 2</v>
      </c>
      <c r="E753" s="26" t="str">
        <f aca="false">'Control Library'!$A$22</f>
        <v>CTL-ABC-02</v>
      </c>
      <c r="F753" s="12" t="str">
        <f aca="false">INDEX('Control Library'!$B$5:$B$47,MATCH(E753,'Control Library'!$A$5:$A$47,0))</f>
        <v>Gifts, hospitality and donations register with pre-approval</v>
      </c>
      <c r="G753" s="7" t="str">
        <f aca="false">INDEX('Control Library'!$F$5:$F$47,MATCH(E753,'Control Library'!$A$5:$A$47,0))</f>
        <v>N</v>
      </c>
      <c r="H753" s="12" t="str">
        <f aca="false">INDEX('Control Library'!$E$5:$E$47,MATCH(E753,'Control Library'!$A$5:$A$47,0))</f>
        <v>Event-driven</v>
      </c>
      <c r="I753" s="7" t="str">
        <f aca="false">IF(INDEX('Control Library'!$I$5:$I$47,MATCH(E753,'Control Library'!$A$5:$A$47,0))="All","Y",IF(INDEX('Control Library'!$I$5:$I$47,MATCH(E753,'Control Library'!$A$5:$A$47,0))="Banks only",IF(COUNTIF('Residual Config'!$L$28:$L$30,INDEX(Entities!$E$5:$E$34,MATCH(B753,Entities!$A$5:$A$34,0)))&gt;0,"N/A","Y"),IF(INDEX(Entities!$G$5:$G$34,MATCH(B753,Entities!$A$5:$A$34,0))="Y","Y","N/A")))</f>
        <v>Y</v>
      </c>
      <c r="J753" s="8" t="s">
        <v>2563</v>
      </c>
      <c r="K753" s="8" t="s">
        <v>2560</v>
      </c>
      <c r="L753" s="7" t="str">
        <f aca="false">IF(OR(J753="",K753=""),"",IF(J753=K753,"Breach","OK"))</f>
        <v>OK</v>
      </c>
      <c r="M753" s="24" t="n">
        <v>2</v>
      </c>
      <c r="N753" s="50" t="n">
        <v>46114</v>
      </c>
      <c r="O753" s="8" t="s">
        <v>545</v>
      </c>
      <c r="P753" s="24" t="n">
        <v>25</v>
      </c>
      <c r="Q753" s="31" t="n">
        <f aca="false">IF(I753="N/A","",IFERROR(INDEX('Residual Config'!$B$35:$B$42,MATCH(H753,'Residual Config'!$A$35:$A$42,0)),""))</f>
        <v>25</v>
      </c>
      <c r="R753" s="24" t="n">
        <v>0</v>
      </c>
      <c r="S753" s="8" t="s">
        <v>516</v>
      </c>
      <c r="T753" s="31" t="n">
        <f aca="false">IF(S753="","",MATCH(S753,'Residual Config'!$L$9:$L$12,0))</f>
        <v>1</v>
      </c>
      <c r="U753" s="8" t="s">
        <v>2604</v>
      </c>
      <c r="V753" s="24" t="n">
        <v>3</v>
      </c>
      <c r="W753" s="33" t="s">
        <v>533</v>
      </c>
      <c r="X753" s="8" t="s">
        <v>760</v>
      </c>
      <c r="Y753" s="51" t="n">
        <f aca="false">IF(N753="","",EDATE(N753,IF(G753="N",INDEX('Residual Config'!$B$31:$D$31,1,MATCH(D753,'Residual Config'!$B$27:$D$27,0)),INDEX('Residual Config'!$B$28:$D$30,IF(T753=1,1,IF(T753=4,3,2)),MATCH(D753,'Residual Config'!$B$27:$D$27,0)))))</f>
        <v>46479</v>
      </c>
      <c r="Z753" s="7" t="str">
        <f aca="false">IF(I753="N/A","N/A",IF(N753="","Not tested",IF(W753="Rejected","Evidence rejected",IF(W753&lt;&gt;"Accepted","Evidence pending",IF(Y753&lt;'Residual Config'!$C$4,"Overdue","Current")))))</f>
        <v>Current</v>
      </c>
      <c r="AA753" s="34" t="n">
        <f aca="false">IF(I753="N/A","",IF(Z753&lt;&gt;"Current",4,IF(MAX(M753,T753)=0,4,MAX(M753,T753))))</f>
        <v>2</v>
      </c>
      <c r="AB753" s="7" t="str">
        <f aca="false">IF(AA753="","N/A",IF(Z753&lt;&gt;"Current","Not tested / overdue",INDEX('Residual Config'!$B$11:$B$14,AA753)))</f>
        <v>Largely effective</v>
      </c>
      <c r="AC753" s="36" t="n">
        <f aca="false">IF(AA753="","",INDEX('Residual Config'!$D$11:$D$14,AA753))</f>
        <v>0.4</v>
      </c>
      <c r="AD753" s="7" t="str">
        <f aca="false">IF(OR(I753="N/A",P753="",Q753=""),"",IF(P753&gt;=Q753,"Yes","No"))</f>
        <v>Yes</v>
      </c>
      <c r="AE753" s="8"/>
    </row>
    <row r="754" customFormat="false" ht="15" hidden="false" customHeight="false" outlineLevel="0" collapsed="false">
      <c r="A754" s="12" t="s">
        <v>2605</v>
      </c>
      <c r="B754" s="26" t="str">
        <f aca="false">Entities!$A$22</f>
        <v>DZ</v>
      </c>
      <c r="C754" s="12" t="str">
        <f aca="false">INDEX(Entities!$B$5:$B$34,MATCH(B754,Entities!$A$5:$A$34,0))</f>
        <v>Arab Bank – Algeria</v>
      </c>
      <c r="D754" s="7" t="str">
        <f aca="false">INDEX(Entities!$F$5:$F$34,MATCH(B754,Entities!$A$5:$A$34,0))</f>
        <v>Tier 2</v>
      </c>
      <c r="E754" s="26" t="str">
        <f aca="false">'Control Library'!$A$23</f>
        <v>CTL-FRD-01</v>
      </c>
      <c r="F754" s="12" t="str">
        <f aca="false">INDEX('Control Library'!$B$5:$B$47,MATCH(E754,'Control Library'!$A$5:$A$47,0))</f>
        <v>Real-time fraud monitoring for cards and digital channels</v>
      </c>
      <c r="G754" s="7" t="str">
        <f aca="false">INDEX('Control Library'!$F$5:$F$47,MATCH(E754,'Control Library'!$A$5:$A$47,0))</f>
        <v>Y</v>
      </c>
      <c r="H754" s="12" t="str">
        <f aca="false">INDEX('Control Library'!$E$5:$E$47,MATCH(E754,'Control Library'!$A$5:$A$47,0))</f>
        <v>Continuous</v>
      </c>
      <c r="I754" s="7" t="str">
        <f aca="false">IF(INDEX('Control Library'!$I$5:$I$47,MATCH(E754,'Control Library'!$A$5:$A$47,0))="All","Y",IF(INDEX('Control Library'!$I$5:$I$47,MATCH(E754,'Control Library'!$A$5:$A$47,0))="Banks only",IF(COUNTIF('Residual Config'!$L$28:$L$30,INDEX(Entities!$E$5:$E$34,MATCH(B754,Entities!$A$5:$A$34,0)))&gt;0,"N/A","Y"),IF(INDEX(Entities!$G$5:$G$34,MATCH(B754,Entities!$A$5:$A$34,0))="Y","Y","N/A")))</f>
        <v>Y</v>
      </c>
      <c r="J754" s="8" t="s">
        <v>2606</v>
      </c>
      <c r="K754" s="8" t="s">
        <v>2560</v>
      </c>
      <c r="L754" s="7" t="str">
        <f aca="false">IF(OR(J754="",K754=""),"",IF(J754=K754,"Breach","OK"))</f>
        <v>OK</v>
      </c>
      <c r="M754" s="24" t="n">
        <v>1</v>
      </c>
      <c r="N754" s="50" t="n">
        <v>46082</v>
      </c>
      <c r="O754" s="8" t="s">
        <v>546</v>
      </c>
      <c r="P754" s="24" t="n">
        <v>1</v>
      </c>
      <c r="Q754" s="31" t="n">
        <f aca="false">IF(I754="N/A","",IFERROR(INDEX('Residual Config'!$B$35:$B$42,MATCH(H754,'Residual Config'!$A$35:$A$42,0)),""))</f>
        <v>1</v>
      </c>
      <c r="R754" s="24" t="n">
        <v>0</v>
      </c>
      <c r="S754" s="8" t="s">
        <v>516</v>
      </c>
      <c r="T754" s="31" t="n">
        <f aca="false">IF(S754="","",MATCH(S754,'Residual Config'!$L$9:$L$12,0))</f>
        <v>1</v>
      </c>
      <c r="U754" s="8" t="s">
        <v>2607</v>
      </c>
      <c r="V754" s="24" t="n">
        <v>4</v>
      </c>
      <c r="W754" s="33" t="s">
        <v>533</v>
      </c>
      <c r="X754" s="8" t="s">
        <v>754</v>
      </c>
      <c r="Y754" s="51" t="n">
        <f aca="false">IF(N754="","",EDATE(N754,IF(G754="N",INDEX('Residual Config'!$B$31:$D$31,1,MATCH(D754,'Residual Config'!$B$27:$D$27,0)),INDEX('Residual Config'!$B$28:$D$30,IF(T754=1,1,IF(T754=4,3,2)),MATCH(D754,'Residual Config'!$B$27:$D$27,0)))))</f>
        <v>46447</v>
      </c>
      <c r="Z754" s="7" t="str">
        <f aca="false">IF(I754="N/A","N/A",IF(N754="","Not tested",IF(W754="Rejected","Evidence rejected",IF(W754&lt;&gt;"Accepted","Evidence pending",IF(Y754&lt;'Residual Config'!$C$4,"Overdue","Current")))))</f>
        <v>Current</v>
      </c>
      <c r="AA754" s="34" t="n">
        <f aca="false">IF(I754="N/A","",IF(Z754&lt;&gt;"Current",4,IF(MAX(M754,T754)=0,4,MAX(M754,T754))))</f>
        <v>1</v>
      </c>
      <c r="AB754" s="7" t="str">
        <f aca="false">IF(AA754="","N/A",IF(Z754&lt;&gt;"Current","Not tested / overdue",INDEX('Residual Config'!$B$11:$B$14,AA754)))</f>
        <v>Effective</v>
      </c>
      <c r="AC754" s="36" t="n">
        <f aca="false">IF(AA754="","",INDEX('Residual Config'!$D$11:$D$14,AA754))</f>
        <v>0.6</v>
      </c>
      <c r="AD754" s="7" t="str">
        <f aca="false">IF(OR(I754="N/A",P754="",Q754=""),"",IF(P754&gt;=Q754,"Yes","No"))</f>
        <v>Yes</v>
      </c>
      <c r="AE754" s="8"/>
    </row>
    <row r="755" customFormat="false" ht="15" hidden="false" customHeight="false" outlineLevel="0" collapsed="false">
      <c r="A755" s="12" t="s">
        <v>2608</v>
      </c>
      <c r="B755" s="26" t="str">
        <f aca="false">Entities!$A$22</f>
        <v>DZ</v>
      </c>
      <c r="C755" s="12" t="str">
        <f aca="false">INDEX(Entities!$B$5:$B$34,MATCH(B755,Entities!$A$5:$A$34,0))</f>
        <v>Arab Bank – Algeria</v>
      </c>
      <c r="D755" s="7" t="str">
        <f aca="false">INDEX(Entities!$F$5:$F$34,MATCH(B755,Entities!$A$5:$A$34,0))</f>
        <v>Tier 2</v>
      </c>
      <c r="E755" s="26" t="str">
        <f aca="false">'Control Library'!$A$24</f>
        <v>CTL-FRD-02</v>
      </c>
      <c r="F755" s="12" t="str">
        <f aca="false">INDEX('Control Library'!$B$5:$B$47,MATCH(E755,'Control Library'!$A$5:$A$47,0))</f>
        <v>Maker-checker and dual control on payments and static data</v>
      </c>
      <c r="G755" s="7" t="str">
        <f aca="false">INDEX('Control Library'!$F$5:$F$47,MATCH(E755,'Control Library'!$A$5:$A$47,0))</f>
        <v>Y</v>
      </c>
      <c r="H755" s="12" t="str">
        <f aca="false">INDEX('Control Library'!$E$5:$E$47,MATCH(E755,'Control Library'!$A$5:$A$47,0))</f>
        <v>Daily</v>
      </c>
      <c r="I755" s="7" t="str">
        <f aca="false">IF(INDEX('Control Library'!$I$5:$I$47,MATCH(E755,'Control Library'!$A$5:$A$47,0))="All","Y",IF(INDEX('Control Library'!$I$5:$I$47,MATCH(E755,'Control Library'!$A$5:$A$47,0))="Banks only",IF(COUNTIF('Residual Config'!$L$28:$L$30,INDEX(Entities!$E$5:$E$34,MATCH(B755,Entities!$A$5:$A$34,0)))&gt;0,"N/A","Y"),IF(INDEX(Entities!$G$5:$G$34,MATCH(B755,Entities!$A$5:$A$34,0))="Y","Y","N/A")))</f>
        <v>Y</v>
      </c>
      <c r="J755" s="8" t="s">
        <v>2559</v>
      </c>
      <c r="K755" s="8" t="s">
        <v>2560</v>
      </c>
      <c r="L755" s="7" t="str">
        <f aca="false">IF(OR(J755="",K755=""),"",IF(J755=K755,"Breach","OK"))</f>
        <v>OK</v>
      </c>
      <c r="M755" s="24" t="n">
        <v>1</v>
      </c>
      <c r="N755" s="50" t="n">
        <v>45839</v>
      </c>
      <c r="O755" s="8" t="s">
        <v>546</v>
      </c>
      <c r="P755" s="24" t="n">
        <v>25</v>
      </c>
      <c r="Q755" s="31" t="n">
        <f aca="false">IF(I755="N/A","",IFERROR(INDEX('Residual Config'!$B$35:$B$42,MATCH(H755,'Residual Config'!$A$35:$A$42,0)),""))</f>
        <v>25</v>
      </c>
      <c r="R755" s="24" t="n">
        <v>0</v>
      </c>
      <c r="S755" s="8" t="s">
        <v>516</v>
      </c>
      <c r="T755" s="31" t="n">
        <f aca="false">IF(S755="","",MATCH(S755,'Residual Config'!$L$9:$L$12,0))</f>
        <v>1</v>
      </c>
      <c r="U755" s="8" t="s">
        <v>2609</v>
      </c>
      <c r="V755" s="24" t="n">
        <v>2</v>
      </c>
      <c r="W755" s="33" t="s">
        <v>533</v>
      </c>
      <c r="X755" s="8" t="s">
        <v>754</v>
      </c>
      <c r="Y755" s="51" t="n">
        <f aca="false">IF(N755="","",EDATE(N755,IF(G755="N",INDEX('Residual Config'!$B$31:$D$31,1,MATCH(D755,'Residual Config'!$B$27:$D$27,0)),INDEX('Residual Config'!$B$28:$D$30,IF(T755=1,1,IF(T755=4,3,2)),MATCH(D755,'Residual Config'!$B$27:$D$27,0)))))</f>
        <v>46204</v>
      </c>
      <c r="Z755" s="7" t="str">
        <f aca="false">IF(I755="N/A","N/A",IF(N755="","Not tested",IF(W755="Rejected","Evidence rejected",IF(W755&lt;&gt;"Accepted","Evidence pending",IF(Y755&lt;'Residual Config'!$C$4,"Overdue","Current")))))</f>
        <v>Overdue</v>
      </c>
      <c r="AA755" s="34" t="n">
        <f aca="false">IF(I755="N/A","",IF(Z755&lt;&gt;"Current",4,IF(MAX(M755,T755)=0,4,MAX(M755,T755))))</f>
        <v>4</v>
      </c>
      <c r="AB755" s="7" t="str">
        <f aca="false">IF(AA755="","N/A",IF(Z755&lt;&gt;"Current","Not tested / overdue",INDEX('Residual Config'!$B$11:$B$14,AA755)))</f>
        <v>Not tested / overdue</v>
      </c>
      <c r="AC755" s="36" t="n">
        <f aca="false">IF(AA755="","",INDEX('Residual Config'!$D$11:$D$14,AA755))</f>
        <v>0</v>
      </c>
      <c r="AD755" s="7" t="str">
        <f aca="false">IF(OR(I755="N/A",P755="",Q755=""),"",IF(P755&gt;=Q755,"Yes","No"))</f>
        <v>Yes</v>
      </c>
      <c r="AE755" s="8"/>
    </row>
    <row r="756" customFormat="false" ht="15" hidden="false" customHeight="false" outlineLevel="0" collapsed="false">
      <c r="A756" s="12" t="s">
        <v>2610</v>
      </c>
      <c r="B756" s="26" t="str">
        <f aca="false">Entities!$A$22</f>
        <v>DZ</v>
      </c>
      <c r="C756" s="12" t="str">
        <f aca="false">INDEX(Entities!$B$5:$B$34,MATCH(B756,Entities!$A$5:$A$34,0))</f>
        <v>Arab Bank – Algeria</v>
      </c>
      <c r="D756" s="7" t="str">
        <f aca="false">INDEX(Entities!$F$5:$F$34,MATCH(B756,Entities!$A$5:$A$34,0))</f>
        <v>Tier 2</v>
      </c>
      <c r="E756" s="26" t="str">
        <f aca="false">'Control Library'!$A$25</f>
        <v>CTL-FRD-03</v>
      </c>
      <c r="F756" s="12" t="str">
        <f aca="false">INDEX('Control Library'!$B$5:$B$47,MATCH(E756,'Control Library'!$A$5:$A$47,0))</f>
        <v>Mandatory consecutive leave and rotation for sensitive roles</v>
      </c>
      <c r="G756" s="7" t="str">
        <f aca="false">INDEX('Control Library'!$F$5:$F$47,MATCH(E756,'Control Library'!$A$5:$A$47,0))</f>
        <v>N</v>
      </c>
      <c r="H756" s="12" t="str">
        <f aca="false">INDEX('Control Library'!$E$5:$E$47,MATCH(E756,'Control Library'!$A$5:$A$47,0))</f>
        <v>Annual</v>
      </c>
      <c r="I756" s="7" t="str">
        <f aca="false">IF(INDEX('Control Library'!$I$5:$I$47,MATCH(E756,'Control Library'!$A$5:$A$47,0))="All","Y",IF(INDEX('Control Library'!$I$5:$I$47,MATCH(E756,'Control Library'!$A$5:$A$47,0))="Banks only",IF(COUNTIF('Residual Config'!$L$28:$L$30,INDEX(Entities!$E$5:$E$34,MATCH(B756,Entities!$A$5:$A$34,0)))&gt;0,"N/A","Y"),IF(INDEX(Entities!$G$5:$G$34,MATCH(B756,Entities!$A$5:$A$34,0))="Y","Y","N/A")))</f>
        <v>Y</v>
      </c>
      <c r="J756" s="8" t="s">
        <v>2611</v>
      </c>
      <c r="K756" s="8" t="s">
        <v>2560</v>
      </c>
      <c r="L756" s="7" t="str">
        <f aca="false">IF(OR(J756="",K756=""),"",IF(J756=K756,"Breach","OK"))</f>
        <v>OK</v>
      </c>
      <c r="M756" s="24" t="n">
        <v>1</v>
      </c>
      <c r="N756" s="50" t="n">
        <v>46135</v>
      </c>
      <c r="O756" s="8" t="s">
        <v>545</v>
      </c>
      <c r="P756" s="24" t="n">
        <v>1</v>
      </c>
      <c r="Q756" s="31" t="n">
        <f aca="false">IF(I756="N/A","",IFERROR(INDEX('Residual Config'!$B$35:$B$42,MATCH(H756,'Residual Config'!$A$35:$A$42,0)),""))</f>
        <v>1</v>
      </c>
      <c r="R756" s="24" t="n">
        <v>1</v>
      </c>
      <c r="S756" s="8" t="s">
        <v>521</v>
      </c>
      <c r="T756" s="31" t="n">
        <f aca="false">IF(S756="","",MATCH(S756,'Residual Config'!$L$9:$L$12,0))</f>
        <v>2</v>
      </c>
      <c r="U756" s="8" t="s">
        <v>2612</v>
      </c>
      <c r="V756" s="24" t="n">
        <v>4</v>
      </c>
      <c r="W756" s="33" t="s">
        <v>533</v>
      </c>
      <c r="X756" s="8" t="s">
        <v>760</v>
      </c>
      <c r="Y756" s="51" t="n">
        <f aca="false">IF(N756="","",EDATE(N756,IF(G756="N",INDEX('Residual Config'!$B$31:$D$31,1,MATCH(D756,'Residual Config'!$B$27:$D$27,0)),INDEX('Residual Config'!$B$28:$D$30,IF(T756=1,1,IF(T756=4,3,2)),MATCH(D756,'Residual Config'!$B$27:$D$27,0)))))</f>
        <v>46500</v>
      </c>
      <c r="Z756" s="7" t="str">
        <f aca="false">IF(I756="N/A","N/A",IF(N756="","Not tested",IF(W756="Rejected","Evidence rejected",IF(W756&lt;&gt;"Accepted","Evidence pending",IF(Y756&lt;'Residual Config'!$C$4,"Overdue","Current")))))</f>
        <v>Current</v>
      </c>
      <c r="AA756" s="34" t="n">
        <f aca="false">IF(I756="N/A","",IF(Z756&lt;&gt;"Current",4,IF(MAX(M756,T756)=0,4,MAX(M756,T756))))</f>
        <v>2</v>
      </c>
      <c r="AB756" s="7" t="str">
        <f aca="false">IF(AA756="","N/A",IF(Z756&lt;&gt;"Current","Not tested / overdue",INDEX('Residual Config'!$B$11:$B$14,AA756)))</f>
        <v>Largely effective</v>
      </c>
      <c r="AC756" s="36" t="n">
        <f aca="false">IF(AA756="","",INDEX('Residual Config'!$D$11:$D$14,AA756))</f>
        <v>0.4</v>
      </c>
      <c r="AD756" s="7" t="str">
        <f aca="false">IF(OR(I756="N/A",P756="",Q756=""),"",IF(P756&gt;=Q756,"Yes","No"))</f>
        <v>Yes</v>
      </c>
      <c r="AE756" s="8"/>
    </row>
    <row r="757" customFormat="false" ht="15" hidden="false" customHeight="false" outlineLevel="0" collapsed="false">
      <c r="A757" s="12" t="s">
        <v>2613</v>
      </c>
      <c r="B757" s="26" t="str">
        <f aca="false">Entities!$A$22</f>
        <v>DZ</v>
      </c>
      <c r="C757" s="12" t="str">
        <f aca="false">INDEX(Entities!$B$5:$B$34,MATCH(B757,Entities!$A$5:$A$34,0))</f>
        <v>Arab Bank – Algeria</v>
      </c>
      <c r="D757" s="7" t="str">
        <f aca="false">INDEX(Entities!$F$5:$F$34,MATCH(B757,Entities!$A$5:$A$34,0))</f>
        <v>Tier 2</v>
      </c>
      <c r="E757" s="26" t="str">
        <f aca="false">'Control Library'!$A$26</f>
        <v>CTL-TAX-01</v>
      </c>
      <c r="F757" s="12" t="str">
        <f aca="false">INDEX('Control Library'!$B$5:$B$47,MATCH(E757,'Control Library'!$A$5:$A$47,0))</f>
        <v>FATCA/CRS self-certification and classification</v>
      </c>
      <c r="G757" s="7" t="str">
        <f aca="false">INDEX('Control Library'!$F$5:$F$47,MATCH(E757,'Control Library'!$A$5:$A$47,0))</f>
        <v>Y</v>
      </c>
      <c r="H757" s="12" t="str">
        <f aca="false">INDEX('Control Library'!$E$5:$E$47,MATCH(E757,'Control Library'!$A$5:$A$47,0))</f>
        <v>Event-driven</v>
      </c>
      <c r="I757" s="7" t="str">
        <f aca="false">IF(INDEX('Control Library'!$I$5:$I$47,MATCH(E757,'Control Library'!$A$5:$A$47,0))="All","Y",IF(INDEX('Control Library'!$I$5:$I$47,MATCH(E757,'Control Library'!$A$5:$A$47,0))="Banks only",IF(COUNTIF('Residual Config'!$L$28:$L$30,INDEX(Entities!$E$5:$E$34,MATCH(B757,Entities!$A$5:$A$34,0)))&gt;0,"N/A","Y"),IF(INDEX(Entities!$G$5:$G$34,MATCH(B757,Entities!$A$5:$A$34,0))="Y","Y","N/A")))</f>
        <v>Y</v>
      </c>
      <c r="J757" s="8" t="s">
        <v>2559</v>
      </c>
      <c r="K757" s="8" t="s">
        <v>2560</v>
      </c>
      <c r="L757" s="7" t="str">
        <f aca="false">IF(OR(J757="",K757=""),"",IF(J757=K757,"Breach","OK"))</f>
        <v>OK</v>
      </c>
      <c r="M757" s="24" t="n">
        <v>1</v>
      </c>
      <c r="N757" s="50" t="n">
        <v>46272</v>
      </c>
      <c r="O757" s="8" t="s">
        <v>546</v>
      </c>
      <c r="P757" s="24" t="n">
        <v>30</v>
      </c>
      <c r="Q757" s="31" t="n">
        <f aca="false">IF(I757="N/A","",IFERROR(INDEX('Residual Config'!$B$35:$B$42,MATCH(H757,'Residual Config'!$A$35:$A$42,0)),""))</f>
        <v>25</v>
      </c>
      <c r="R757" s="24" t="n">
        <v>0</v>
      </c>
      <c r="S757" s="8" t="s">
        <v>516</v>
      </c>
      <c r="T757" s="31" t="n">
        <f aca="false">IF(S757="","",MATCH(S757,'Residual Config'!$L$9:$L$12,0))</f>
        <v>1</v>
      </c>
      <c r="U757" s="8" t="s">
        <v>2614</v>
      </c>
      <c r="V757" s="24" t="n">
        <v>4</v>
      </c>
      <c r="W757" s="33" t="s">
        <v>533</v>
      </c>
      <c r="X757" s="8" t="s">
        <v>760</v>
      </c>
      <c r="Y757" s="51" t="n">
        <f aca="false">IF(N757="","",EDATE(N757,IF(G757="N",INDEX('Residual Config'!$B$31:$D$31,1,MATCH(D757,'Residual Config'!$B$27:$D$27,0)),INDEX('Residual Config'!$B$28:$D$30,IF(T757=1,1,IF(T757=4,3,2)),MATCH(D757,'Residual Config'!$B$27:$D$27,0)))))</f>
        <v>46637</v>
      </c>
      <c r="Z757" s="7" t="str">
        <f aca="false">IF(I757="N/A","N/A",IF(N757="","Not tested",IF(W757="Rejected","Evidence rejected",IF(W757&lt;&gt;"Accepted","Evidence pending",IF(Y757&lt;'Residual Config'!$C$4,"Overdue","Current")))))</f>
        <v>Current</v>
      </c>
      <c r="AA757" s="34" t="n">
        <f aca="false">IF(I757="N/A","",IF(Z757&lt;&gt;"Current",4,IF(MAX(M757,T757)=0,4,MAX(M757,T757))))</f>
        <v>1</v>
      </c>
      <c r="AB757" s="7" t="str">
        <f aca="false">IF(AA757="","N/A",IF(Z757&lt;&gt;"Current","Not tested / overdue",INDEX('Residual Config'!$B$11:$B$14,AA757)))</f>
        <v>Effective</v>
      </c>
      <c r="AC757" s="36" t="n">
        <f aca="false">IF(AA757="","",INDEX('Residual Config'!$D$11:$D$14,AA757))</f>
        <v>0.6</v>
      </c>
      <c r="AD757" s="7" t="str">
        <f aca="false">IF(OR(I757="N/A",P757="",Q757=""),"",IF(P757&gt;=Q757,"Yes","No"))</f>
        <v>Yes</v>
      </c>
      <c r="AE757" s="8"/>
    </row>
    <row r="758" customFormat="false" ht="15" hidden="false" customHeight="false" outlineLevel="0" collapsed="false">
      <c r="A758" s="12" t="s">
        <v>2615</v>
      </c>
      <c r="B758" s="26" t="str">
        <f aca="false">Entities!$A$22</f>
        <v>DZ</v>
      </c>
      <c r="C758" s="12" t="str">
        <f aca="false">INDEX(Entities!$B$5:$B$34,MATCH(B758,Entities!$A$5:$A$34,0))</f>
        <v>Arab Bank – Algeria</v>
      </c>
      <c r="D758" s="7" t="str">
        <f aca="false">INDEX(Entities!$F$5:$F$34,MATCH(B758,Entities!$A$5:$A$34,0))</f>
        <v>Tier 2</v>
      </c>
      <c r="E758" s="26" t="str">
        <f aca="false">'Control Library'!$A$27</f>
        <v>CTL-TAX-02</v>
      </c>
      <c r="F758" s="12" t="str">
        <f aca="false">INDEX('Control Library'!$B$5:$B$47,MATCH(E758,'Control Library'!$A$5:$A$47,0))</f>
        <v>FATCA/CRS reporting reconciliation and timely filing</v>
      </c>
      <c r="G758" s="7" t="str">
        <f aca="false">INDEX('Control Library'!$F$5:$F$47,MATCH(E758,'Control Library'!$A$5:$A$47,0))</f>
        <v>N</v>
      </c>
      <c r="H758" s="12" t="str">
        <f aca="false">INDEX('Control Library'!$E$5:$E$47,MATCH(E758,'Control Library'!$A$5:$A$47,0))</f>
        <v>Annual</v>
      </c>
      <c r="I758" s="7" t="str">
        <f aca="false">IF(INDEX('Control Library'!$I$5:$I$47,MATCH(E758,'Control Library'!$A$5:$A$47,0))="All","Y",IF(INDEX('Control Library'!$I$5:$I$47,MATCH(E758,'Control Library'!$A$5:$A$47,0))="Banks only",IF(COUNTIF('Residual Config'!$L$28:$L$30,INDEX(Entities!$E$5:$E$34,MATCH(B758,Entities!$A$5:$A$34,0)))&gt;0,"N/A","Y"),IF(INDEX(Entities!$G$5:$G$34,MATCH(B758,Entities!$A$5:$A$34,0))="Y","Y","N/A")))</f>
        <v>Y</v>
      </c>
      <c r="J758" s="8" t="s">
        <v>2616</v>
      </c>
      <c r="K758" s="8" t="s">
        <v>2560</v>
      </c>
      <c r="L758" s="7" t="str">
        <f aca="false">IF(OR(J758="",K758=""),"",IF(J758=K758,"Breach","OK"))</f>
        <v>OK</v>
      </c>
      <c r="M758" s="24" t="n">
        <v>1</v>
      </c>
      <c r="N758" s="50" t="n">
        <v>45988</v>
      </c>
      <c r="O758" s="8" t="s">
        <v>546</v>
      </c>
      <c r="P758" s="24" t="n">
        <v>1</v>
      </c>
      <c r="Q758" s="31" t="n">
        <f aca="false">IF(I758="N/A","",IFERROR(INDEX('Residual Config'!$B$35:$B$42,MATCH(H758,'Residual Config'!$A$35:$A$42,0)),""))</f>
        <v>1</v>
      </c>
      <c r="R758" s="24" t="n">
        <v>1</v>
      </c>
      <c r="S758" s="8" t="s">
        <v>521</v>
      </c>
      <c r="T758" s="31" t="n">
        <f aca="false">IF(S758="","",MATCH(S758,'Residual Config'!$L$9:$L$12,0))</f>
        <v>2</v>
      </c>
      <c r="U758" s="8" t="s">
        <v>2617</v>
      </c>
      <c r="V758" s="24" t="n">
        <v>2</v>
      </c>
      <c r="W758" s="33" t="s">
        <v>536</v>
      </c>
      <c r="X758" s="8"/>
      <c r="Y758" s="51" t="n">
        <f aca="false">IF(N758="","",EDATE(N758,IF(G758="N",INDEX('Residual Config'!$B$31:$D$31,1,MATCH(D758,'Residual Config'!$B$27:$D$27,0)),INDEX('Residual Config'!$B$28:$D$30,IF(T758=1,1,IF(T758=4,3,2)),MATCH(D758,'Residual Config'!$B$27:$D$27,0)))))</f>
        <v>46353</v>
      </c>
      <c r="Z758" s="7" t="str">
        <f aca="false">IF(I758="N/A","N/A",IF(N758="","Not tested",IF(W758="Rejected","Evidence rejected",IF(W758&lt;&gt;"Accepted","Evidence pending",IF(Y758&lt;'Residual Config'!$C$4,"Overdue","Current")))))</f>
        <v>Evidence pending</v>
      </c>
      <c r="AA758" s="34" t="n">
        <f aca="false">IF(I758="N/A","",IF(Z758&lt;&gt;"Current",4,IF(MAX(M758,T758)=0,4,MAX(M758,T758))))</f>
        <v>4</v>
      </c>
      <c r="AB758" s="7" t="str">
        <f aca="false">IF(AA758="","N/A",IF(Z758&lt;&gt;"Current","Not tested / overdue",INDEX('Residual Config'!$B$11:$B$14,AA758)))</f>
        <v>Not tested / overdue</v>
      </c>
      <c r="AC758" s="36" t="n">
        <f aca="false">IF(AA758="","",INDEX('Residual Config'!$D$11:$D$14,AA758))</f>
        <v>0</v>
      </c>
      <c r="AD758" s="7" t="str">
        <f aca="false">IF(OR(I758="N/A",P758="",Q758=""),"",IF(P758&gt;=Q758,"Yes","No"))</f>
        <v>Yes</v>
      </c>
      <c r="AE758" s="8"/>
    </row>
    <row r="759" customFormat="false" ht="15" hidden="false" customHeight="false" outlineLevel="0" collapsed="false">
      <c r="A759" s="12" t="s">
        <v>2618</v>
      </c>
      <c r="B759" s="26" t="str">
        <f aca="false">Entities!$A$22</f>
        <v>DZ</v>
      </c>
      <c r="C759" s="12" t="str">
        <f aca="false">INDEX(Entities!$B$5:$B$34,MATCH(B759,Entities!$A$5:$A$34,0))</f>
        <v>Arab Bank – Algeria</v>
      </c>
      <c r="D759" s="7" t="str">
        <f aca="false">INDEX(Entities!$F$5:$F$34,MATCH(B759,Entities!$A$5:$A$34,0))</f>
        <v>Tier 2</v>
      </c>
      <c r="E759" s="26" t="str">
        <f aca="false">'Control Library'!$A$28</f>
        <v>CTL-TRN-01</v>
      </c>
      <c r="F759" s="12" t="str">
        <f aca="false">INDEX('Control Library'!$B$5:$B$47,MATCH(E759,'Control Library'!$A$5:$A$47,0))</f>
        <v>Annual AML, sanctions and anti-bribery training</v>
      </c>
      <c r="G759" s="7" t="str">
        <f aca="false">INDEX('Control Library'!$F$5:$F$47,MATCH(E759,'Control Library'!$A$5:$A$47,0))</f>
        <v>N</v>
      </c>
      <c r="H759" s="12" t="str">
        <f aca="false">INDEX('Control Library'!$E$5:$E$47,MATCH(E759,'Control Library'!$A$5:$A$47,0))</f>
        <v>Annual</v>
      </c>
      <c r="I759" s="7" t="str">
        <f aca="false">IF(INDEX('Control Library'!$I$5:$I$47,MATCH(E759,'Control Library'!$A$5:$A$47,0))="All","Y",IF(INDEX('Control Library'!$I$5:$I$47,MATCH(E759,'Control Library'!$A$5:$A$47,0))="Banks only",IF(COUNTIF('Residual Config'!$L$28:$L$30,INDEX(Entities!$E$5:$E$34,MATCH(B759,Entities!$A$5:$A$34,0)))&gt;0,"N/A","Y"),IF(INDEX(Entities!$G$5:$G$34,MATCH(B759,Entities!$A$5:$A$34,0))="Y","Y","N/A")))</f>
        <v>Y</v>
      </c>
      <c r="J759" s="8" t="s">
        <v>2563</v>
      </c>
      <c r="K759" s="8" t="s">
        <v>2560</v>
      </c>
      <c r="L759" s="7" t="str">
        <f aca="false">IF(OR(J759="",K759=""),"",IF(J759=K759,"Breach","OK"))</f>
        <v>OK</v>
      </c>
      <c r="M759" s="24" t="n">
        <v>2</v>
      </c>
      <c r="N759" s="50" t="n">
        <v>46236</v>
      </c>
      <c r="O759" s="8" t="s">
        <v>545</v>
      </c>
      <c r="P759" s="24" t="n">
        <v>1</v>
      </c>
      <c r="Q759" s="31" t="n">
        <f aca="false">IF(I759="N/A","",IFERROR(INDEX('Residual Config'!$B$35:$B$42,MATCH(H759,'Residual Config'!$A$35:$A$42,0)),""))</f>
        <v>1</v>
      </c>
      <c r="R759" s="24" t="n">
        <v>1</v>
      </c>
      <c r="S759" s="8" t="s">
        <v>521</v>
      </c>
      <c r="T759" s="31" t="n">
        <f aca="false">IF(S759="","",MATCH(S759,'Residual Config'!$L$9:$L$12,0))</f>
        <v>2</v>
      </c>
      <c r="U759" s="8" t="s">
        <v>2619</v>
      </c>
      <c r="V759" s="24" t="n">
        <v>1</v>
      </c>
      <c r="W759" s="33" t="s">
        <v>533</v>
      </c>
      <c r="X759" s="8" t="s">
        <v>760</v>
      </c>
      <c r="Y759" s="51" t="n">
        <f aca="false">IF(N759="","",EDATE(N759,IF(G759="N",INDEX('Residual Config'!$B$31:$D$31,1,MATCH(D759,'Residual Config'!$B$27:$D$27,0)),INDEX('Residual Config'!$B$28:$D$30,IF(T759=1,1,IF(T759=4,3,2)),MATCH(D759,'Residual Config'!$B$27:$D$27,0)))))</f>
        <v>46601</v>
      </c>
      <c r="Z759" s="7" t="str">
        <f aca="false">IF(I759="N/A","N/A",IF(N759="","Not tested",IF(W759="Rejected","Evidence rejected",IF(W759&lt;&gt;"Accepted","Evidence pending",IF(Y759&lt;'Residual Config'!$C$4,"Overdue","Current")))))</f>
        <v>Current</v>
      </c>
      <c r="AA759" s="34" t="n">
        <f aca="false">IF(I759="N/A","",IF(Z759&lt;&gt;"Current",4,IF(MAX(M759,T759)=0,4,MAX(M759,T759))))</f>
        <v>2</v>
      </c>
      <c r="AB759" s="7" t="str">
        <f aca="false">IF(AA759="","N/A",IF(Z759&lt;&gt;"Current","Not tested / overdue",INDEX('Residual Config'!$B$11:$B$14,AA759)))</f>
        <v>Largely effective</v>
      </c>
      <c r="AC759" s="36" t="n">
        <f aca="false">IF(AA759="","",INDEX('Residual Config'!$D$11:$D$14,AA759))</f>
        <v>0.4</v>
      </c>
      <c r="AD759" s="7" t="str">
        <f aca="false">IF(OR(I759="N/A",P759="",Q759=""),"",IF(P759&gt;=Q759,"Yes","No"))</f>
        <v>Yes</v>
      </c>
      <c r="AE759" s="8"/>
    </row>
    <row r="760" customFormat="false" ht="15" hidden="false" customHeight="false" outlineLevel="0" collapsed="false">
      <c r="A760" s="12" t="s">
        <v>2620</v>
      </c>
      <c r="B760" s="26" t="str">
        <f aca="false">Entities!$A$22</f>
        <v>DZ</v>
      </c>
      <c r="C760" s="12" t="str">
        <f aca="false">INDEX(Entities!$B$5:$B$34,MATCH(B760,Entities!$A$5:$A$34,0))</f>
        <v>Arab Bank – Algeria</v>
      </c>
      <c r="D760" s="7" t="str">
        <f aca="false">INDEX(Entities!$F$5:$F$34,MATCH(B760,Entities!$A$5:$A$34,0))</f>
        <v>Tier 2</v>
      </c>
      <c r="E760" s="26" t="str">
        <f aca="false">'Control Library'!$A$29</f>
        <v>CTL-REG-01</v>
      </c>
      <c r="F760" s="12" t="str">
        <f aca="false">INDEX('Control Library'!$B$5:$B$47,MATCH(E760,'Control Library'!$A$5:$A$47,0))</f>
        <v>Regulatory change management and obligations register</v>
      </c>
      <c r="G760" s="7" t="str">
        <f aca="false">INDEX('Control Library'!$F$5:$F$47,MATCH(E760,'Control Library'!$A$5:$A$47,0))</f>
        <v>Y</v>
      </c>
      <c r="H760" s="12" t="str">
        <f aca="false">INDEX('Control Library'!$E$5:$E$47,MATCH(E760,'Control Library'!$A$5:$A$47,0))</f>
        <v>Monthly</v>
      </c>
      <c r="I760" s="7" t="str">
        <f aca="false">IF(INDEX('Control Library'!$I$5:$I$47,MATCH(E760,'Control Library'!$A$5:$A$47,0))="All","Y",IF(INDEX('Control Library'!$I$5:$I$47,MATCH(E760,'Control Library'!$A$5:$A$47,0))="Banks only",IF(COUNTIF('Residual Config'!$L$28:$L$30,INDEX(Entities!$E$5:$E$34,MATCH(B760,Entities!$A$5:$A$34,0)))&gt;0,"N/A","Y"),IF(INDEX(Entities!$G$5:$G$34,MATCH(B760,Entities!$A$5:$A$34,0))="Y","Y","N/A")))</f>
        <v>Y</v>
      </c>
      <c r="J760" s="8" t="s">
        <v>2563</v>
      </c>
      <c r="K760" s="8" t="s">
        <v>2560</v>
      </c>
      <c r="L760" s="7" t="str">
        <f aca="false">IF(OR(J760="",K760=""),"",IF(J760=K760,"Breach","OK"))</f>
        <v>OK</v>
      </c>
      <c r="M760" s="24" t="n">
        <v>2</v>
      </c>
      <c r="N760" s="50" t="n">
        <v>46207</v>
      </c>
      <c r="O760" s="8" t="s">
        <v>546</v>
      </c>
      <c r="P760" s="24" t="n">
        <v>3</v>
      </c>
      <c r="Q760" s="31" t="n">
        <f aca="false">IF(I760="N/A","",IFERROR(INDEX('Residual Config'!$B$35:$B$42,MATCH(H760,'Residual Config'!$A$35:$A$42,0)),""))</f>
        <v>3</v>
      </c>
      <c r="R760" s="24" t="n">
        <v>1</v>
      </c>
      <c r="S760" s="8" t="s">
        <v>521</v>
      </c>
      <c r="T760" s="31" t="n">
        <f aca="false">IF(S760="","",MATCH(S760,'Residual Config'!$L$9:$L$12,0))</f>
        <v>2</v>
      </c>
      <c r="U760" s="8" t="s">
        <v>2621</v>
      </c>
      <c r="V760" s="24" t="n">
        <v>3</v>
      </c>
      <c r="W760" s="33" t="s">
        <v>533</v>
      </c>
      <c r="X760" s="8" t="s">
        <v>760</v>
      </c>
      <c r="Y760" s="51" t="n">
        <f aca="false">IF(N760="","",EDATE(N760,IF(G760="N",INDEX('Residual Config'!$B$31:$D$31,1,MATCH(D760,'Residual Config'!$B$27:$D$27,0)),INDEX('Residual Config'!$B$28:$D$30,IF(T760=1,1,IF(T760=4,3,2)),MATCH(D760,'Residual Config'!$B$27:$D$27,0)))))</f>
        <v>46391</v>
      </c>
      <c r="Z760" s="7" t="str">
        <f aca="false">IF(I760="N/A","N/A",IF(N760="","Not tested",IF(W760="Rejected","Evidence rejected",IF(W760&lt;&gt;"Accepted","Evidence pending",IF(Y760&lt;'Residual Config'!$C$4,"Overdue","Current")))))</f>
        <v>Current</v>
      </c>
      <c r="AA760" s="34" t="n">
        <f aca="false">IF(I760="N/A","",IF(Z760&lt;&gt;"Current",4,IF(MAX(M760,T760)=0,4,MAX(M760,T760))))</f>
        <v>2</v>
      </c>
      <c r="AB760" s="7" t="str">
        <f aca="false">IF(AA760="","N/A",IF(Z760&lt;&gt;"Current","Not tested / overdue",INDEX('Residual Config'!$B$11:$B$14,AA760)))</f>
        <v>Largely effective</v>
      </c>
      <c r="AC760" s="36" t="n">
        <f aca="false">IF(AA760="","",INDEX('Residual Config'!$D$11:$D$14,AA760))</f>
        <v>0.4</v>
      </c>
      <c r="AD760" s="7" t="str">
        <f aca="false">IF(OR(I760="N/A",P760="",Q760=""),"",IF(P760&gt;=Q760,"Yes","No"))</f>
        <v>Yes</v>
      </c>
      <c r="AE760" s="8"/>
    </row>
    <row r="761" customFormat="false" ht="15" hidden="false" customHeight="false" outlineLevel="0" collapsed="false">
      <c r="A761" s="12" t="s">
        <v>2622</v>
      </c>
      <c r="B761" s="26" t="str">
        <f aca="false">Entities!$A$22</f>
        <v>DZ</v>
      </c>
      <c r="C761" s="12" t="str">
        <f aca="false">INDEX(Entities!$B$5:$B$34,MATCH(B761,Entities!$A$5:$A$34,0))</f>
        <v>Arab Bank – Algeria</v>
      </c>
      <c r="D761" s="7" t="str">
        <f aca="false">INDEX(Entities!$F$5:$F$34,MATCH(B761,Entities!$A$5:$A$34,0))</f>
        <v>Tier 2</v>
      </c>
      <c r="E761" s="26" t="str">
        <f aca="false">'Control Library'!$A$30</f>
        <v>CTL-REG-02</v>
      </c>
      <c r="F761" s="12" t="str">
        <f aca="false">INDEX('Control Library'!$B$5:$B$47,MATCH(E761,'Control Library'!$A$5:$A$47,0))</f>
        <v>Regulatory return review and senior sign-off</v>
      </c>
      <c r="G761" s="7" t="str">
        <f aca="false">INDEX('Control Library'!$F$5:$F$47,MATCH(E761,'Control Library'!$A$5:$A$47,0))</f>
        <v>Y</v>
      </c>
      <c r="H761" s="12" t="str">
        <f aca="false">INDEX('Control Library'!$E$5:$E$47,MATCH(E761,'Control Library'!$A$5:$A$47,0))</f>
        <v>Monthly</v>
      </c>
      <c r="I761" s="7" t="str">
        <f aca="false">IF(INDEX('Control Library'!$I$5:$I$47,MATCH(E761,'Control Library'!$A$5:$A$47,0))="All","Y",IF(INDEX('Control Library'!$I$5:$I$47,MATCH(E761,'Control Library'!$A$5:$A$47,0))="Banks only",IF(COUNTIF('Residual Config'!$L$28:$L$30,INDEX(Entities!$E$5:$E$34,MATCH(B761,Entities!$A$5:$A$34,0)))&gt;0,"N/A","Y"),IF(INDEX(Entities!$G$5:$G$34,MATCH(B761,Entities!$A$5:$A$34,0))="Y","Y","N/A")))</f>
        <v>Y</v>
      </c>
      <c r="J761" s="8" t="s">
        <v>2616</v>
      </c>
      <c r="K761" s="8" t="s">
        <v>2560</v>
      </c>
      <c r="L761" s="7" t="str">
        <f aca="false">IF(OR(J761="",K761=""),"",IF(J761=K761,"Breach","OK"))</f>
        <v>OK</v>
      </c>
      <c r="M761" s="24" t="n">
        <v>1</v>
      </c>
      <c r="N761" s="50" t="n">
        <v>46158</v>
      </c>
      <c r="O761" s="8" t="s">
        <v>546</v>
      </c>
      <c r="P761" s="24" t="n">
        <v>3</v>
      </c>
      <c r="Q761" s="31" t="n">
        <f aca="false">IF(I761="N/A","",IFERROR(INDEX('Residual Config'!$B$35:$B$42,MATCH(H761,'Residual Config'!$A$35:$A$42,0)),""))</f>
        <v>3</v>
      </c>
      <c r="R761" s="24" t="n">
        <v>1</v>
      </c>
      <c r="S761" s="8" t="s">
        <v>521</v>
      </c>
      <c r="T761" s="31" t="n">
        <f aca="false">IF(S761="","",MATCH(S761,'Residual Config'!$L$9:$L$12,0))</f>
        <v>2</v>
      </c>
      <c r="U761" s="8" t="s">
        <v>2623</v>
      </c>
      <c r="V761" s="24" t="n">
        <v>6</v>
      </c>
      <c r="W761" s="33" t="s">
        <v>533</v>
      </c>
      <c r="X761" s="8" t="s">
        <v>760</v>
      </c>
      <c r="Y761" s="51" t="n">
        <f aca="false">IF(N761="","",EDATE(N761,IF(G761="N",INDEX('Residual Config'!$B$31:$D$31,1,MATCH(D761,'Residual Config'!$B$27:$D$27,0)),INDEX('Residual Config'!$B$28:$D$30,IF(T761=1,1,IF(T761=4,3,2)),MATCH(D761,'Residual Config'!$B$27:$D$27,0)))))</f>
        <v>46342</v>
      </c>
      <c r="Z761" s="7" t="str">
        <f aca="false">IF(I761="N/A","N/A",IF(N761="","Not tested",IF(W761="Rejected","Evidence rejected",IF(W761&lt;&gt;"Accepted","Evidence pending",IF(Y761&lt;'Residual Config'!$C$4,"Overdue","Current")))))</f>
        <v>Current</v>
      </c>
      <c r="AA761" s="34" t="n">
        <f aca="false">IF(I761="N/A","",IF(Z761&lt;&gt;"Current",4,IF(MAX(M761,T761)=0,4,MAX(M761,T761))))</f>
        <v>2</v>
      </c>
      <c r="AB761" s="7" t="str">
        <f aca="false">IF(AA761="","N/A",IF(Z761&lt;&gt;"Current","Not tested / overdue",INDEX('Residual Config'!$B$11:$B$14,AA761)))</f>
        <v>Largely effective</v>
      </c>
      <c r="AC761" s="36" t="n">
        <f aca="false">IF(AA761="","",INDEX('Residual Config'!$D$11:$D$14,AA761))</f>
        <v>0.4</v>
      </c>
      <c r="AD761" s="7" t="str">
        <f aca="false">IF(OR(I761="N/A",P761="",Q761=""),"",IF(P761&gt;=Q761,"Yes","No"))</f>
        <v>Yes</v>
      </c>
      <c r="AE761" s="8"/>
    </row>
    <row r="762" customFormat="false" ht="15" hidden="false" customHeight="false" outlineLevel="0" collapsed="false">
      <c r="A762" s="12" t="s">
        <v>2624</v>
      </c>
      <c r="B762" s="26" t="str">
        <f aca="false">Entities!$A$22</f>
        <v>DZ</v>
      </c>
      <c r="C762" s="12" t="str">
        <f aca="false">INDEX(Entities!$B$5:$B$34,MATCH(B762,Entities!$A$5:$A$34,0))</f>
        <v>Arab Bank – Algeria</v>
      </c>
      <c r="D762" s="7" t="str">
        <f aca="false">INDEX(Entities!$F$5:$F$34,MATCH(B762,Entities!$A$5:$A$34,0))</f>
        <v>Tier 2</v>
      </c>
      <c r="E762" s="26" t="str">
        <f aca="false">'Control Library'!$A$31</f>
        <v>CTL-CON-01</v>
      </c>
      <c r="F762" s="12" t="str">
        <f aca="false">INDEX('Control Library'!$B$5:$B$47,MATCH(E762,'Control Library'!$A$5:$A$47,0))</f>
        <v>New product approval and suitability assessment</v>
      </c>
      <c r="G762" s="7" t="str">
        <f aca="false">INDEX('Control Library'!$F$5:$F$47,MATCH(E762,'Control Library'!$A$5:$A$47,0))</f>
        <v>Y</v>
      </c>
      <c r="H762" s="12" t="str">
        <f aca="false">INDEX('Control Library'!$E$5:$E$47,MATCH(E762,'Control Library'!$A$5:$A$47,0))</f>
        <v>Event-driven</v>
      </c>
      <c r="I762" s="7" t="str">
        <f aca="false">IF(INDEX('Control Library'!$I$5:$I$47,MATCH(E762,'Control Library'!$A$5:$A$47,0))="All","Y",IF(INDEX('Control Library'!$I$5:$I$47,MATCH(E762,'Control Library'!$A$5:$A$47,0))="Banks only",IF(COUNTIF('Residual Config'!$L$28:$L$30,INDEX(Entities!$E$5:$E$34,MATCH(B762,Entities!$A$5:$A$34,0)))&gt;0,"N/A","Y"),IF(INDEX(Entities!$G$5:$G$34,MATCH(B762,Entities!$A$5:$A$34,0))="Y","Y","N/A")))</f>
        <v>Y</v>
      </c>
      <c r="J762" s="8" t="s">
        <v>2563</v>
      </c>
      <c r="K762" s="8" t="s">
        <v>2560</v>
      </c>
      <c r="L762" s="7" t="str">
        <f aca="false">IF(OR(J762="",K762=""),"",IF(J762=K762,"Breach","OK"))</f>
        <v>OK</v>
      </c>
      <c r="M762" s="24" t="n">
        <v>2</v>
      </c>
      <c r="N762" s="50" t="n">
        <v>46199</v>
      </c>
      <c r="O762" s="8" t="s">
        <v>545</v>
      </c>
      <c r="P762" s="24" t="n">
        <v>30</v>
      </c>
      <c r="Q762" s="31" t="n">
        <f aca="false">IF(I762="N/A","",IFERROR(INDEX('Residual Config'!$B$35:$B$42,MATCH(H762,'Residual Config'!$A$35:$A$42,0)),""))</f>
        <v>25</v>
      </c>
      <c r="R762" s="24" t="n">
        <v>1</v>
      </c>
      <c r="S762" s="8" t="s">
        <v>521</v>
      </c>
      <c r="T762" s="31" t="n">
        <f aca="false">IF(S762="","",MATCH(S762,'Residual Config'!$L$9:$L$12,0))</f>
        <v>2</v>
      </c>
      <c r="U762" s="8" t="s">
        <v>2625</v>
      </c>
      <c r="V762" s="24" t="n">
        <v>2</v>
      </c>
      <c r="W762" s="33" t="s">
        <v>533</v>
      </c>
      <c r="X762" s="8" t="s">
        <v>754</v>
      </c>
      <c r="Y762" s="51" t="n">
        <f aca="false">IF(N762="","",EDATE(N762,IF(G762="N",INDEX('Residual Config'!$B$31:$D$31,1,MATCH(D762,'Residual Config'!$B$27:$D$27,0)),INDEX('Residual Config'!$B$28:$D$30,IF(T762=1,1,IF(T762=4,3,2)),MATCH(D762,'Residual Config'!$B$27:$D$27,0)))))</f>
        <v>46382</v>
      </c>
      <c r="Z762" s="7" t="str">
        <f aca="false">IF(I762="N/A","N/A",IF(N762="","Not tested",IF(W762="Rejected","Evidence rejected",IF(W762&lt;&gt;"Accepted","Evidence pending",IF(Y762&lt;'Residual Config'!$C$4,"Overdue","Current")))))</f>
        <v>Current</v>
      </c>
      <c r="AA762" s="34" t="n">
        <f aca="false">IF(I762="N/A","",IF(Z762&lt;&gt;"Current",4,IF(MAX(M762,T762)=0,4,MAX(M762,T762))))</f>
        <v>2</v>
      </c>
      <c r="AB762" s="7" t="str">
        <f aca="false">IF(AA762="","N/A",IF(Z762&lt;&gt;"Current","Not tested / overdue",INDEX('Residual Config'!$B$11:$B$14,AA762)))</f>
        <v>Largely effective</v>
      </c>
      <c r="AC762" s="36" t="n">
        <f aca="false">IF(AA762="","",INDEX('Residual Config'!$D$11:$D$14,AA762))</f>
        <v>0.4</v>
      </c>
      <c r="AD762" s="7" t="str">
        <f aca="false">IF(OR(I762="N/A",P762="",Q762=""),"",IF(P762&gt;=Q762,"Yes","No"))</f>
        <v>Yes</v>
      </c>
      <c r="AE762" s="8"/>
    </row>
    <row r="763" customFormat="false" ht="15" hidden="false" customHeight="false" outlineLevel="0" collapsed="false">
      <c r="A763" s="12" t="s">
        <v>2626</v>
      </c>
      <c r="B763" s="26" t="str">
        <f aca="false">Entities!$A$22</f>
        <v>DZ</v>
      </c>
      <c r="C763" s="12" t="str">
        <f aca="false">INDEX(Entities!$B$5:$B$34,MATCH(B763,Entities!$A$5:$A$34,0))</f>
        <v>Arab Bank – Algeria</v>
      </c>
      <c r="D763" s="7" t="str">
        <f aca="false">INDEX(Entities!$F$5:$F$34,MATCH(B763,Entities!$A$5:$A$34,0))</f>
        <v>Tier 2</v>
      </c>
      <c r="E763" s="26" t="str">
        <f aca="false">'Control Library'!$A$32</f>
        <v>CTL-CON-02</v>
      </c>
      <c r="F763" s="12" t="str">
        <f aca="false">INDEX('Control Library'!$B$5:$B$47,MATCH(E763,'Control Library'!$A$5:$A$47,0))</f>
        <v>Complaints handling and root-cause analysis</v>
      </c>
      <c r="G763" s="7" t="str">
        <f aca="false">INDEX('Control Library'!$F$5:$F$47,MATCH(E763,'Control Library'!$A$5:$A$47,0))</f>
        <v>N</v>
      </c>
      <c r="H763" s="12" t="str">
        <f aca="false">INDEX('Control Library'!$E$5:$E$47,MATCH(E763,'Control Library'!$A$5:$A$47,0))</f>
        <v>Monthly</v>
      </c>
      <c r="I763" s="7" t="str">
        <f aca="false">IF(INDEX('Control Library'!$I$5:$I$47,MATCH(E763,'Control Library'!$A$5:$A$47,0))="All","Y",IF(INDEX('Control Library'!$I$5:$I$47,MATCH(E763,'Control Library'!$A$5:$A$47,0))="Banks only",IF(COUNTIF('Residual Config'!$L$28:$L$30,INDEX(Entities!$E$5:$E$34,MATCH(B763,Entities!$A$5:$A$34,0)))&gt;0,"N/A","Y"),IF(INDEX(Entities!$G$5:$G$34,MATCH(B763,Entities!$A$5:$A$34,0))="Y","Y","N/A")))</f>
        <v>Y</v>
      </c>
      <c r="J763" s="8" t="s">
        <v>2627</v>
      </c>
      <c r="K763" s="8" t="s">
        <v>2560</v>
      </c>
      <c r="L763" s="7" t="str">
        <f aca="false">IF(OR(J763="",K763=""),"",IF(J763=K763,"Breach","OK"))</f>
        <v>OK</v>
      </c>
      <c r="M763" s="24" t="n">
        <v>2</v>
      </c>
      <c r="N763" s="50" t="n">
        <v>46009</v>
      </c>
      <c r="O763" s="8" t="s">
        <v>545</v>
      </c>
      <c r="P763" s="24" t="n">
        <v>3</v>
      </c>
      <c r="Q763" s="31" t="n">
        <f aca="false">IF(I763="N/A","",IFERROR(INDEX('Residual Config'!$B$35:$B$42,MATCH(H763,'Residual Config'!$A$35:$A$42,0)),""))</f>
        <v>3</v>
      </c>
      <c r="R763" s="24" t="n">
        <v>1</v>
      </c>
      <c r="S763" s="8" t="s">
        <v>521</v>
      </c>
      <c r="T763" s="31" t="n">
        <f aca="false">IF(S763="","",MATCH(S763,'Residual Config'!$L$9:$L$12,0))</f>
        <v>2</v>
      </c>
      <c r="U763" s="8" t="s">
        <v>2628</v>
      </c>
      <c r="V763" s="24" t="n">
        <v>6</v>
      </c>
      <c r="W763" s="33" t="s">
        <v>533</v>
      </c>
      <c r="X763" s="8" t="s">
        <v>754</v>
      </c>
      <c r="Y763" s="51" t="n">
        <f aca="false">IF(N763="","",EDATE(N763,IF(G763="N",INDEX('Residual Config'!$B$31:$D$31,1,MATCH(D763,'Residual Config'!$B$27:$D$27,0)),INDEX('Residual Config'!$B$28:$D$30,IF(T763=1,1,IF(T763=4,3,2)),MATCH(D763,'Residual Config'!$B$27:$D$27,0)))))</f>
        <v>46374</v>
      </c>
      <c r="Z763" s="7" t="str">
        <f aca="false">IF(I763="N/A","N/A",IF(N763="","Not tested",IF(W763="Rejected","Evidence rejected",IF(W763&lt;&gt;"Accepted","Evidence pending",IF(Y763&lt;'Residual Config'!$C$4,"Overdue","Current")))))</f>
        <v>Current</v>
      </c>
      <c r="AA763" s="34" t="n">
        <f aca="false">IF(I763="N/A","",IF(Z763&lt;&gt;"Current",4,IF(MAX(M763,T763)=0,4,MAX(M763,T763))))</f>
        <v>2</v>
      </c>
      <c r="AB763" s="7" t="str">
        <f aca="false">IF(AA763="","N/A",IF(Z763&lt;&gt;"Current","Not tested / overdue",INDEX('Residual Config'!$B$11:$B$14,AA763)))</f>
        <v>Largely effective</v>
      </c>
      <c r="AC763" s="36" t="n">
        <f aca="false">IF(AA763="","",INDEX('Residual Config'!$D$11:$D$14,AA763))</f>
        <v>0.4</v>
      </c>
      <c r="AD763" s="7" t="str">
        <f aca="false">IF(OR(I763="N/A",P763="",Q763=""),"",IF(P763&gt;=Q763,"Yes","No"))</f>
        <v>Yes</v>
      </c>
      <c r="AE763" s="8"/>
    </row>
    <row r="764" customFormat="false" ht="15" hidden="false" customHeight="false" outlineLevel="0" collapsed="false">
      <c r="A764" s="12" t="s">
        <v>2629</v>
      </c>
      <c r="B764" s="26" t="str">
        <f aca="false">Entities!$A$22</f>
        <v>DZ</v>
      </c>
      <c r="C764" s="12" t="str">
        <f aca="false">INDEX(Entities!$B$5:$B$34,MATCH(B764,Entities!$A$5:$A$34,0))</f>
        <v>Arab Bank – Algeria</v>
      </c>
      <c r="D764" s="7" t="str">
        <f aca="false">INDEX(Entities!$F$5:$F$34,MATCH(B764,Entities!$A$5:$A$34,0))</f>
        <v>Tier 2</v>
      </c>
      <c r="E764" s="26" t="str">
        <f aca="false">'Control Library'!$A$33</f>
        <v>CTL-DP-01</v>
      </c>
      <c r="F764" s="12" t="str">
        <f aca="false">INDEX('Control Library'!$B$5:$B$47,MATCH(E764,'Control Library'!$A$5:$A$47,0))</f>
        <v>Data protection impact assessments and processing records</v>
      </c>
      <c r="G764" s="7" t="str">
        <f aca="false">INDEX('Control Library'!$F$5:$F$47,MATCH(E764,'Control Library'!$A$5:$A$47,0))</f>
        <v>Y</v>
      </c>
      <c r="H764" s="12" t="str">
        <f aca="false">INDEX('Control Library'!$E$5:$E$47,MATCH(E764,'Control Library'!$A$5:$A$47,0))</f>
        <v>Event-driven</v>
      </c>
      <c r="I764" s="7" t="str">
        <f aca="false">IF(INDEX('Control Library'!$I$5:$I$47,MATCH(E764,'Control Library'!$A$5:$A$47,0))="All","Y",IF(INDEX('Control Library'!$I$5:$I$47,MATCH(E764,'Control Library'!$A$5:$A$47,0))="Banks only",IF(COUNTIF('Residual Config'!$L$28:$L$30,INDEX(Entities!$E$5:$E$34,MATCH(B764,Entities!$A$5:$A$34,0)))&gt;0,"N/A","Y"),IF(INDEX(Entities!$G$5:$G$34,MATCH(B764,Entities!$A$5:$A$34,0))="Y","Y","N/A")))</f>
        <v>Y</v>
      </c>
      <c r="J764" s="8" t="s">
        <v>2630</v>
      </c>
      <c r="K764" s="8" t="s">
        <v>2560</v>
      </c>
      <c r="L764" s="7" t="str">
        <f aca="false">IF(OR(J764="",K764=""),"",IF(J764=K764,"Breach","OK"))</f>
        <v>OK</v>
      </c>
      <c r="M764" s="24" t="n">
        <v>1</v>
      </c>
      <c r="N764" s="50" t="n">
        <v>46022</v>
      </c>
      <c r="O764" s="8" t="s">
        <v>546</v>
      </c>
      <c r="P764" s="24" t="n">
        <v>25</v>
      </c>
      <c r="Q764" s="31" t="n">
        <f aca="false">IF(I764="N/A","",IFERROR(INDEX('Residual Config'!$B$35:$B$42,MATCH(H764,'Residual Config'!$A$35:$A$42,0)),""))</f>
        <v>25</v>
      </c>
      <c r="R764" s="24" t="n">
        <v>1</v>
      </c>
      <c r="S764" s="8" t="s">
        <v>521</v>
      </c>
      <c r="T764" s="31" t="n">
        <f aca="false">IF(S764="","",MATCH(S764,'Residual Config'!$L$9:$L$12,0))</f>
        <v>2</v>
      </c>
      <c r="U764" s="8" t="s">
        <v>2631</v>
      </c>
      <c r="V764" s="24" t="n">
        <v>1</v>
      </c>
      <c r="W764" s="33" t="s">
        <v>533</v>
      </c>
      <c r="X764" s="8" t="s">
        <v>760</v>
      </c>
      <c r="Y764" s="51" t="n">
        <f aca="false">IF(N764="","",EDATE(N764,IF(G764="N",INDEX('Residual Config'!$B$31:$D$31,1,MATCH(D764,'Residual Config'!$B$27:$D$27,0)),INDEX('Residual Config'!$B$28:$D$30,IF(T764=1,1,IF(T764=4,3,2)),MATCH(D764,'Residual Config'!$B$27:$D$27,0)))))</f>
        <v>46203</v>
      </c>
      <c r="Z764" s="7" t="str">
        <f aca="false">IF(I764="N/A","N/A",IF(N764="","Not tested",IF(W764="Rejected","Evidence rejected",IF(W764&lt;&gt;"Accepted","Evidence pending",IF(Y764&lt;'Residual Config'!$C$4,"Overdue","Current")))))</f>
        <v>Overdue</v>
      </c>
      <c r="AA764" s="34" t="n">
        <f aca="false">IF(I764="N/A","",IF(Z764&lt;&gt;"Current",4,IF(MAX(M764,T764)=0,4,MAX(M764,T764))))</f>
        <v>4</v>
      </c>
      <c r="AB764" s="7" t="str">
        <f aca="false">IF(AA764="","N/A",IF(Z764&lt;&gt;"Current","Not tested / overdue",INDEX('Residual Config'!$B$11:$B$14,AA764)))</f>
        <v>Not tested / overdue</v>
      </c>
      <c r="AC764" s="36" t="n">
        <f aca="false">IF(AA764="","",INDEX('Residual Config'!$D$11:$D$14,AA764))</f>
        <v>0</v>
      </c>
      <c r="AD764" s="7" t="str">
        <f aca="false">IF(OR(I764="N/A",P764="",Q764=""),"",IF(P764&gt;=Q764,"Yes","No"))</f>
        <v>Yes</v>
      </c>
      <c r="AE764" s="8"/>
    </row>
    <row r="765" customFormat="false" ht="15" hidden="false" customHeight="false" outlineLevel="0" collapsed="false">
      <c r="A765" s="12" t="s">
        <v>2632</v>
      </c>
      <c r="B765" s="26" t="str">
        <f aca="false">Entities!$A$22</f>
        <v>DZ</v>
      </c>
      <c r="C765" s="12" t="str">
        <f aca="false">INDEX(Entities!$B$5:$B$34,MATCH(B765,Entities!$A$5:$A$34,0))</f>
        <v>Arab Bank – Algeria</v>
      </c>
      <c r="D765" s="7" t="str">
        <f aca="false">INDEX(Entities!$F$5:$F$34,MATCH(B765,Entities!$A$5:$A$34,0))</f>
        <v>Tier 2</v>
      </c>
      <c r="E765" s="26" t="str">
        <f aca="false">'Control Library'!$A$34</f>
        <v>CTL-DP-02</v>
      </c>
      <c r="F765" s="12" t="str">
        <f aca="false">INDEX('Control Library'!$B$5:$B$47,MATCH(E765,'Control Library'!$A$5:$A$47,0))</f>
        <v>Data loss prevention and quarterly access recertification</v>
      </c>
      <c r="G765" s="7" t="str">
        <f aca="false">INDEX('Control Library'!$F$5:$F$47,MATCH(E765,'Control Library'!$A$5:$A$47,0))</f>
        <v>Y</v>
      </c>
      <c r="H765" s="12" t="str">
        <f aca="false">INDEX('Control Library'!$E$5:$E$47,MATCH(E765,'Control Library'!$A$5:$A$47,0))</f>
        <v>Quarterly</v>
      </c>
      <c r="I765" s="7" t="str">
        <f aca="false">IF(INDEX('Control Library'!$I$5:$I$47,MATCH(E765,'Control Library'!$A$5:$A$47,0))="All","Y",IF(INDEX('Control Library'!$I$5:$I$47,MATCH(E765,'Control Library'!$A$5:$A$47,0))="Banks only",IF(COUNTIF('Residual Config'!$L$28:$L$30,INDEX(Entities!$E$5:$E$34,MATCH(B765,Entities!$A$5:$A$34,0)))&gt;0,"N/A","Y"),IF(INDEX(Entities!$G$5:$G$34,MATCH(B765,Entities!$A$5:$A$34,0))="Y","Y","N/A")))</f>
        <v>Y</v>
      </c>
      <c r="J765" s="8" t="s">
        <v>2633</v>
      </c>
      <c r="K765" s="8" t="s">
        <v>2560</v>
      </c>
      <c r="L765" s="7" t="str">
        <f aca="false">IF(OR(J765="",K765=""),"",IF(J765=K765,"Breach","OK"))</f>
        <v>OK</v>
      </c>
      <c r="M765" s="24" t="n">
        <v>2</v>
      </c>
      <c r="N765" s="50" t="n">
        <v>46196</v>
      </c>
      <c r="O765" s="8" t="s">
        <v>546</v>
      </c>
      <c r="P765" s="24" t="n">
        <v>2</v>
      </c>
      <c r="Q765" s="31" t="n">
        <f aca="false">IF(I765="N/A","",IFERROR(INDEX('Residual Config'!$B$35:$B$42,MATCH(H765,'Residual Config'!$A$35:$A$42,0)),""))</f>
        <v>2</v>
      </c>
      <c r="R765" s="24" t="n">
        <v>1</v>
      </c>
      <c r="S765" s="8" t="s">
        <v>521</v>
      </c>
      <c r="T765" s="31" t="n">
        <f aca="false">IF(S765="","",MATCH(S765,'Residual Config'!$L$9:$L$12,0))</f>
        <v>2</v>
      </c>
      <c r="U765" s="8" t="s">
        <v>2634</v>
      </c>
      <c r="V765" s="24" t="n">
        <v>4</v>
      </c>
      <c r="W765" s="33" t="s">
        <v>533</v>
      </c>
      <c r="X765" s="8" t="s">
        <v>760</v>
      </c>
      <c r="Y765" s="51" t="n">
        <f aca="false">IF(N765="","",EDATE(N765,IF(G765="N",INDEX('Residual Config'!$B$31:$D$31,1,MATCH(D765,'Residual Config'!$B$27:$D$27,0)),INDEX('Residual Config'!$B$28:$D$30,IF(T765=1,1,IF(T765=4,3,2)),MATCH(D765,'Residual Config'!$B$27:$D$27,0)))))</f>
        <v>46379</v>
      </c>
      <c r="Z765" s="7" t="str">
        <f aca="false">IF(I765="N/A","N/A",IF(N765="","Not tested",IF(W765="Rejected","Evidence rejected",IF(W765&lt;&gt;"Accepted","Evidence pending",IF(Y765&lt;'Residual Config'!$C$4,"Overdue","Current")))))</f>
        <v>Current</v>
      </c>
      <c r="AA765" s="34" t="n">
        <f aca="false">IF(I765="N/A","",IF(Z765&lt;&gt;"Current",4,IF(MAX(M765,T765)=0,4,MAX(M765,T765))))</f>
        <v>2</v>
      </c>
      <c r="AB765" s="7" t="str">
        <f aca="false">IF(AA765="","N/A",IF(Z765&lt;&gt;"Current","Not tested / overdue",INDEX('Residual Config'!$B$11:$B$14,AA765)))</f>
        <v>Largely effective</v>
      </c>
      <c r="AC765" s="36" t="n">
        <f aca="false">IF(AA765="","",INDEX('Residual Config'!$D$11:$D$14,AA765))</f>
        <v>0.4</v>
      </c>
      <c r="AD765" s="7" t="str">
        <f aca="false">IF(OR(I765="N/A",P765="",Q765=""),"",IF(P765&gt;=Q765,"Yes","No"))</f>
        <v>Yes</v>
      </c>
      <c r="AE765" s="8"/>
    </row>
    <row r="766" customFormat="false" ht="15" hidden="false" customHeight="false" outlineLevel="0" collapsed="false">
      <c r="A766" s="12" t="s">
        <v>2635</v>
      </c>
      <c r="B766" s="26" t="str">
        <f aca="false">Entities!$A$22</f>
        <v>DZ</v>
      </c>
      <c r="C766" s="12" t="str">
        <f aca="false">INDEX(Entities!$B$5:$B$34,MATCH(B766,Entities!$A$5:$A$34,0))</f>
        <v>Arab Bank – Algeria</v>
      </c>
      <c r="D766" s="7" t="str">
        <f aca="false">INDEX(Entities!$F$5:$F$34,MATCH(B766,Entities!$A$5:$A$34,0))</f>
        <v>Tier 2</v>
      </c>
      <c r="E766" s="26" t="str">
        <f aca="false">'Control Library'!$A$35</f>
        <v>CTL-SH-01</v>
      </c>
      <c r="F766" s="12" t="str">
        <f aca="false">INDEX('Control Library'!$B$5:$B$47,MATCH(E766,'Control Library'!$A$5:$A$47,0))</f>
        <v>Shariah review of products and income purification</v>
      </c>
      <c r="G766" s="7" t="str">
        <f aca="false">INDEX('Control Library'!$F$5:$F$47,MATCH(E766,'Control Library'!$A$5:$A$47,0))</f>
        <v>Y</v>
      </c>
      <c r="H766" s="12" t="str">
        <f aca="false">INDEX('Control Library'!$E$5:$E$47,MATCH(E766,'Control Library'!$A$5:$A$47,0))</f>
        <v>Quarterly</v>
      </c>
      <c r="I766" s="7" t="str">
        <f aca="false">IF(INDEX('Control Library'!$I$5:$I$47,MATCH(E766,'Control Library'!$A$5:$A$47,0))="All","Y",IF(INDEX('Control Library'!$I$5:$I$47,MATCH(E766,'Control Library'!$A$5:$A$47,0))="Banks only",IF(COUNTIF('Residual Config'!$L$28:$L$30,INDEX(Entities!$E$5:$E$34,MATCH(B766,Entities!$A$5:$A$34,0)))&gt;0,"N/A","Y"),IF(INDEX(Entities!$G$5:$G$34,MATCH(B766,Entities!$A$5:$A$34,0))="Y","Y","N/A")))</f>
        <v>N/A</v>
      </c>
      <c r="J766" s="8"/>
      <c r="K766" s="8"/>
      <c r="L766" s="7" t="str">
        <f aca="false">IF(OR(J766="",K766=""),"",IF(J766=K766,"Breach","OK"))</f>
        <v/>
      </c>
      <c r="M766" s="24"/>
      <c r="N766" s="50"/>
      <c r="O766" s="8"/>
      <c r="P766" s="24"/>
      <c r="Q766" s="31" t="str">
        <f aca="false">IF(I766="N/A","",IFERROR(INDEX('Residual Config'!$B$35:$B$42,MATCH(H766,'Residual Config'!$A$35:$A$42,0)),""))</f>
        <v/>
      </c>
      <c r="R766" s="24"/>
      <c r="S766" s="8"/>
      <c r="T766" s="31" t="str">
        <f aca="false">IF(S766="","",MATCH(S766,'Residual Config'!$L$9:$L$12,0))</f>
        <v/>
      </c>
      <c r="U766" s="8"/>
      <c r="V766" s="24"/>
      <c r="W766" s="33"/>
      <c r="X766" s="8"/>
      <c r="Y766" s="51" t="str">
        <f aca="false">IF(N766="","",EDATE(N766,IF(G766="N",INDEX('Residual Config'!$B$31:$D$31,1,MATCH(D766,'Residual Config'!$B$27:$D$27,0)),INDEX('Residual Config'!$B$28:$D$30,IF(T766=1,1,IF(T766=4,3,2)),MATCH(D766,'Residual Config'!$B$27:$D$27,0)))))</f>
        <v/>
      </c>
      <c r="Z766" s="7" t="str">
        <f aca="false">IF(I766="N/A","N/A",IF(N766="","Not tested",IF(W766="Rejected","Evidence rejected",IF(W766&lt;&gt;"Accepted","Evidence pending",IF(Y766&lt;'Residual Config'!$C$4,"Overdue","Current")))))</f>
        <v>N/A</v>
      </c>
      <c r="AA766" s="34" t="str">
        <f aca="false">IF(I766="N/A","",IF(Z766&lt;&gt;"Current",4,IF(MAX(M766,T766)=0,4,MAX(M766,T766))))</f>
        <v/>
      </c>
      <c r="AB766" s="7" t="str">
        <f aca="false">IF(AA766="","N/A",IF(Z766&lt;&gt;"Current","Not tested / overdue",INDEX('Residual Config'!$B$11:$B$14,AA766)))</f>
        <v>N/A</v>
      </c>
      <c r="AC766" s="36" t="str">
        <f aca="false">IF(AA766="","",INDEX('Residual Config'!$D$11:$D$14,AA766))</f>
        <v/>
      </c>
      <c r="AD766" s="7" t="str">
        <f aca="false">IF(OR(I766="N/A",P766="",Q766=""),"",IF(P766&gt;=Q766,"Yes","No"))</f>
        <v/>
      </c>
      <c r="AE766" s="8"/>
    </row>
    <row r="767" customFormat="false" ht="15" hidden="false" customHeight="false" outlineLevel="0" collapsed="false">
      <c r="A767" s="12" t="s">
        <v>2636</v>
      </c>
      <c r="B767" s="26" t="str">
        <f aca="false">Entities!$A$22</f>
        <v>DZ</v>
      </c>
      <c r="C767" s="12" t="str">
        <f aca="false">INDEX(Entities!$B$5:$B$34,MATCH(B767,Entities!$A$5:$A$34,0))</f>
        <v>Arab Bank – Algeria</v>
      </c>
      <c r="D767" s="7" t="str">
        <f aca="false">INDEX(Entities!$F$5:$F$34,MATCH(B767,Entities!$A$5:$A$34,0))</f>
        <v>Tier 2</v>
      </c>
      <c r="E767" s="26" t="str">
        <f aca="false">'Control Library'!$A$36</f>
        <v>CTL-CR-01</v>
      </c>
      <c r="F767" s="12" t="str">
        <f aca="false">INDEX('Control Library'!$B$5:$B$47,MATCH(E767,'Control Library'!$A$5:$A$47,0))</f>
        <v>Credit approval authorities and committee review</v>
      </c>
      <c r="G767" s="7" t="str">
        <f aca="false">INDEX('Control Library'!$F$5:$F$47,MATCH(E767,'Control Library'!$A$5:$A$47,0))</f>
        <v>Y</v>
      </c>
      <c r="H767" s="12" t="str">
        <f aca="false">INDEX('Control Library'!$E$5:$E$47,MATCH(E767,'Control Library'!$A$5:$A$47,0))</f>
        <v>Event-driven</v>
      </c>
      <c r="I767" s="7" t="str">
        <f aca="false">IF(INDEX('Control Library'!$I$5:$I$47,MATCH(E767,'Control Library'!$A$5:$A$47,0))="All","Y",IF(INDEX('Control Library'!$I$5:$I$47,MATCH(E767,'Control Library'!$A$5:$A$47,0))="Banks only",IF(COUNTIF('Residual Config'!$L$28:$L$30,INDEX(Entities!$E$5:$E$34,MATCH(B767,Entities!$A$5:$A$34,0)))&gt;0,"N/A","Y"),IF(INDEX(Entities!$G$5:$G$34,MATCH(B767,Entities!$A$5:$A$34,0))="Y","Y","N/A")))</f>
        <v>Y</v>
      </c>
      <c r="J767" s="8" t="s">
        <v>2637</v>
      </c>
      <c r="K767" s="8" t="s">
        <v>2560</v>
      </c>
      <c r="L767" s="7" t="str">
        <f aca="false">IF(OR(J767="",K767=""),"",IF(J767=K767,"Breach","OK"))</f>
        <v>OK</v>
      </c>
      <c r="M767" s="24" t="n">
        <v>2</v>
      </c>
      <c r="N767" s="50" t="n">
        <v>46201</v>
      </c>
      <c r="O767" s="8" t="s">
        <v>546</v>
      </c>
      <c r="P767" s="24" t="n">
        <v>25</v>
      </c>
      <c r="Q767" s="31" t="n">
        <f aca="false">IF(I767="N/A","",IFERROR(INDEX('Residual Config'!$B$35:$B$42,MATCH(H767,'Residual Config'!$A$35:$A$42,0)),""))</f>
        <v>25</v>
      </c>
      <c r="R767" s="24" t="n">
        <v>0</v>
      </c>
      <c r="S767" s="8" t="s">
        <v>516</v>
      </c>
      <c r="T767" s="31" t="n">
        <f aca="false">IF(S767="","",MATCH(S767,'Residual Config'!$L$9:$L$12,0))</f>
        <v>1</v>
      </c>
      <c r="U767" s="8" t="s">
        <v>2638</v>
      </c>
      <c r="V767" s="24" t="n">
        <v>3</v>
      </c>
      <c r="W767" s="33" t="s">
        <v>533</v>
      </c>
      <c r="X767" s="8" t="s">
        <v>760</v>
      </c>
      <c r="Y767" s="51" t="n">
        <f aca="false">IF(N767="","",EDATE(N767,IF(G767="N",INDEX('Residual Config'!$B$31:$D$31,1,MATCH(D767,'Residual Config'!$B$27:$D$27,0)),INDEX('Residual Config'!$B$28:$D$30,IF(T767=1,1,IF(T767=4,3,2)),MATCH(D767,'Residual Config'!$B$27:$D$27,0)))))</f>
        <v>46566</v>
      </c>
      <c r="Z767" s="7" t="str">
        <f aca="false">IF(I767="N/A","N/A",IF(N767="","Not tested",IF(W767="Rejected","Evidence rejected",IF(W767&lt;&gt;"Accepted","Evidence pending",IF(Y767&lt;'Residual Config'!$C$4,"Overdue","Current")))))</f>
        <v>Current</v>
      </c>
      <c r="AA767" s="34" t="n">
        <f aca="false">IF(I767="N/A","",IF(Z767&lt;&gt;"Current",4,IF(MAX(M767,T767)=0,4,MAX(M767,T767))))</f>
        <v>2</v>
      </c>
      <c r="AB767" s="7" t="str">
        <f aca="false">IF(AA767="","N/A",IF(Z767&lt;&gt;"Current","Not tested / overdue",INDEX('Residual Config'!$B$11:$B$14,AA767)))</f>
        <v>Largely effective</v>
      </c>
      <c r="AC767" s="36" t="n">
        <f aca="false">IF(AA767="","",INDEX('Residual Config'!$D$11:$D$14,AA767))</f>
        <v>0.4</v>
      </c>
      <c r="AD767" s="7" t="str">
        <f aca="false">IF(OR(I767="N/A",P767="",Q767=""),"",IF(P767&gt;=Q767,"Yes","No"))</f>
        <v>Yes</v>
      </c>
      <c r="AE767" s="8"/>
    </row>
    <row r="768" customFormat="false" ht="15" hidden="false" customHeight="false" outlineLevel="0" collapsed="false">
      <c r="A768" s="12" t="s">
        <v>2639</v>
      </c>
      <c r="B768" s="26" t="str">
        <f aca="false">Entities!$A$22</f>
        <v>DZ</v>
      </c>
      <c r="C768" s="12" t="str">
        <f aca="false">INDEX(Entities!$B$5:$B$34,MATCH(B768,Entities!$A$5:$A$34,0))</f>
        <v>Arab Bank – Algeria</v>
      </c>
      <c r="D768" s="7" t="str">
        <f aca="false">INDEX(Entities!$F$5:$F$34,MATCH(B768,Entities!$A$5:$A$34,0))</f>
        <v>Tier 2</v>
      </c>
      <c r="E768" s="26" t="str">
        <f aca="false">'Control Library'!$A$37</f>
        <v>CTL-CR-02</v>
      </c>
      <c r="F768" s="12" t="str">
        <f aca="false">INDEX('Control Library'!$B$5:$B$47,MATCH(E768,'Control Library'!$A$5:$A$47,0))</f>
        <v>Collateral valuation and exposure limit monitoring</v>
      </c>
      <c r="G768" s="7" t="str">
        <f aca="false">INDEX('Control Library'!$F$5:$F$47,MATCH(E768,'Control Library'!$A$5:$A$47,0))</f>
        <v>N</v>
      </c>
      <c r="H768" s="12" t="str">
        <f aca="false">INDEX('Control Library'!$E$5:$E$47,MATCH(E768,'Control Library'!$A$5:$A$47,0))</f>
        <v>Monthly</v>
      </c>
      <c r="I768" s="7" t="str">
        <f aca="false">IF(INDEX('Control Library'!$I$5:$I$47,MATCH(E768,'Control Library'!$A$5:$A$47,0))="All","Y",IF(INDEX('Control Library'!$I$5:$I$47,MATCH(E768,'Control Library'!$A$5:$A$47,0))="Banks only",IF(COUNTIF('Residual Config'!$L$28:$L$30,INDEX(Entities!$E$5:$E$34,MATCH(B768,Entities!$A$5:$A$34,0)))&gt;0,"N/A","Y"),IF(INDEX(Entities!$G$5:$G$34,MATCH(B768,Entities!$A$5:$A$34,0))="Y","Y","N/A")))</f>
        <v>Y</v>
      </c>
      <c r="J768" s="8" t="s">
        <v>2640</v>
      </c>
      <c r="K768" s="8" t="s">
        <v>2560</v>
      </c>
      <c r="L768" s="7" t="str">
        <f aca="false">IF(OR(J768="",K768=""),"",IF(J768=K768,"Breach","OK"))</f>
        <v>OK</v>
      </c>
      <c r="M768" s="24" t="n">
        <v>1</v>
      </c>
      <c r="N768" s="50" t="n">
        <v>46068</v>
      </c>
      <c r="O768" s="8" t="s">
        <v>546</v>
      </c>
      <c r="P768" s="24" t="n">
        <v>3</v>
      </c>
      <c r="Q768" s="31" t="n">
        <f aca="false">IF(I768="N/A","",IFERROR(INDEX('Residual Config'!$B$35:$B$42,MATCH(H768,'Residual Config'!$A$35:$A$42,0)),""))</f>
        <v>3</v>
      </c>
      <c r="R768" s="24" t="n">
        <v>1</v>
      </c>
      <c r="S768" s="8" t="s">
        <v>521</v>
      </c>
      <c r="T768" s="31" t="n">
        <f aca="false">IF(S768="","",MATCH(S768,'Residual Config'!$L$9:$L$12,0))</f>
        <v>2</v>
      </c>
      <c r="U768" s="8" t="s">
        <v>2641</v>
      </c>
      <c r="V768" s="24" t="n">
        <v>2</v>
      </c>
      <c r="W768" s="33" t="s">
        <v>533</v>
      </c>
      <c r="X768" s="8" t="s">
        <v>760</v>
      </c>
      <c r="Y768" s="51" t="n">
        <f aca="false">IF(N768="","",EDATE(N768,IF(G768="N",INDEX('Residual Config'!$B$31:$D$31,1,MATCH(D768,'Residual Config'!$B$27:$D$27,0)),INDEX('Residual Config'!$B$28:$D$30,IF(T768=1,1,IF(T768=4,3,2)),MATCH(D768,'Residual Config'!$B$27:$D$27,0)))))</f>
        <v>46433</v>
      </c>
      <c r="Z768" s="7" t="str">
        <f aca="false">IF(I768="N/A","N/A",IF(N768="","Not tested",IF(W768="Rejected","Evidence rejected",IF(W768&lt;&gt;"Accepted","Evidence pending",IF(Y768&lt;'Residual Config'!$C$4,"Overdue","Current")))))</f>
        <v>Current</v>
      </c>
      <c r="AA768" s="34" t="n">
        <f aca="false">IF(I768="N/A","",IF(Z768&lt;&gt;"Current",4,IF(MAX(M768,T768)=0,4,MAX(M768,T768))))</f>
        <v>2</v>
      </c>
      <c r="AB768" s="7" t="str">
        <f aca="false">IF(AA768="","N/A",IF(Z768&lt;&gt;"Current","Not tested / overdue",INDEX('Residual Config'!$B$11:$B$14,AA768)))</f>
        <v>Largely effective</v>
      </c>
      <c r="AC768" s="36" t="n">
        <f aca="false">IF(AA768="","",INDEX('Residual Config'!$D$11:$D$14,AA768))</f>
        <v>0.4</v>
      </c>
      <c r="AD768" s="7" t="str">
        <f aca="false">IF(OR(I768="N/A",P768="",Q768=""),"",IF(P768&gt;=Q768,"Yes","No"))</f>
        <v>Yes</v>
      </c>
      <c r="AE768" s="8"/>
    </row>
    <row r="769" customFormat="false" ht="15" hidden="false" customHeight="false" outlineLevel="0" collapsed="false">
      <c r="A769" s="12" t="s">
        <v>2642</v>
      </c>
      <c r="B769" s="26" t="str">
        <f aca="false">Entities!$A$22</f>
        <v>DZ</v>
      </c>
      <c r="C769" s="12" t="str">
        <f aca="false">INDEX(Entities!$B$5:$B$34,MATCH(B769,Entities!$A$5:$A$34,0))</f>
        <v>Arab Bank – Algeria</v>
      </c>
      <c r="D769" s="7" t="str">
        <f aca="false">INDEX(Entities!$F$5:$F$34,MATCH(B769,Entities!$A$5:$A$34,0))</f>
        <v>Tier 2</v>
      </c>
      <c r="E769" s="26" t="str">
        <f aca="false">'Control Library'!$A$38</f>
        <v>CTL-MR-01</v>
      </c>
      <c r="F769" s="12" t="str">
        <f aca="false">INDEX('Control Library'!$B$5:$B$47,MATCH(E769,'Control Library'!$A$5:$A$47,0))</f>
        <v>Market risk limits and daily VaR monitoring</v>
      </c>
      <c r="G769" s="7" t="str">
        <f aca="false">INDEX('Control Library'!$F$5:$F$47,MATCH(E769,'Control Library'!$A$5:$A$47,0))</f>
        <v>Y</v>
      </c>
      <c r="H769" s="12" t="str">
        <f aca="false">INDEX('Control Library'!$E$5:$E$47,MATCH(E769,'Control Library'!$A$5:$A$47,0))</f>
        <v>Daily</v>
      </c>
      <c r="I769" s="7" t="str">
        <f aca="false">IF(INDEX('Control Library'!$I$5:$I$47,MATCH(E769,'Control Library'!$A$5:$A$47,0))="All","Y",IF(INDEX('Control Library'!$I$5:$I$47,MATCH(E769,'Control Library'!$A$5:$A$47,0))="Banks only",IF(COUNTIF('Residual Config'!$L$28:$L$30,INDEX(Entities!$E$5:$E$34,MATCH(B769,Entities!$A$5:$A$34,0)))&gt;0,"N/A","Y"),IF(INDEX(Entities!$G$5:$G$34,MATCH(B769,Entities!$A$5:$A$34,0))="Y","Y","N/A")))</f>
        <v>Y</v>
      </c>
      <c r="J769" s="8" t="s">
        <v>2640</v>
      </c>
      <c r="K769" s="8" t="s">
        <v>2560</v>
      </c>
      <c r="L769" s="7" t="str">
        <f aca="false">IF(OR(J769="",K769=""),"",IF(J769=K769,"Breach","OK"))</f>
        <v>OK</v>
      </c>
      <c r="M769" s="24" t="n">
        <v>2</v>
      </c>
      <c r="N769" s="50" t="n">
        <v>46185</v>
      </c>
      <c r="O769" s="8" t="s">
        <v>547</v>
      </c>
      <c r="P769" s="24" t="n">
        <v>35</v>
      </c>
      <c r="Q769" s="31" t="n">
        <f aca="false">IF(I769="N/A","",IFERROR(INDEX('Residual Config'!$B$35:$B$42,MATCH(H769,'Residual Config'!$A$35:$A$42,0)),""))</f>
        <v>25</v>
      </c>
      <c r="R769" s="24" t="n">
        <v>1</v>
      </c>
      <c r="S769" s="8" t="s">
        <v>521</v>
      </c>
      <c r="T769" s="31" t="n">
        <f aca="false">IF(S769="","",MATCH(S769,'Residual Config'!$L$9:$L$12,0))</f>
        <v>2</v>
      </c>
      <c r="U769" s="8" t="s">
        <v>2643</v>
      </c>
      <c r="V769" s="24" t="n">
        <v>4</v>
      </c>
      <c r="W769" s="33" t="s">
        <v>536</v>
      </c>
      <c r="X769" s="8"/>
      <c r="Y769" s="51" t="n">
        <f aca="false">IF(N769="","",EDATE(N769,IF(G769="N",INDEX('Residual Config'!$B$31:$D$31,1,MATCH(D769,'Residual Config'!$B$27:$D$27,0)),INDEX('Residual Config'!$B$28:$D$30,IF(T769=1,1,IF(T769=4,3,2)),MATCH(D769,'Residual Config'!$B$27:$D$27,0)))))</f>
        <v>46368</v>
      </c>
      <c r="Z769" s="7" t="str">
        <f aca="false">IF(I769="N/A","N/A",IF(N769="","Not tested",IF(W769="Rejected","Evidence rejected",IF(W769&lt;&gt;"Accepted","Evidence pending",IF(Y769&lt;'Residual Config'!$C$4,"Overdue","Current")))))</f>
        <v>Evidence pending</v>
      </c>
      <c r="AA769" s="34" t="n">
        <f aca="false">IF(I769="N/A","",IF(Z769&lt;&gt;"Current",4,IF(MAX(M769,T769)=0,4,MAX(M769,T769))))</f>
        <v>4</v>
      </c>
      <c r="AB769" s="7" t="str">
        <f aca="false">IF(AA769="","N/A",IF(Z769&lt;&gt;"Current","Not tested / overdue",INDEX('Residual Config'!$B$11:$B$14,AA769)))</f>
        <v>Not tested / overdue</v>
      </c>
      <c r="AC769" s="36" t="n">
        <f aca="false">IF(AA769="","",INDEX('Residual Config'!$D$11:$D$14,AA769))</f>
        <v>0</v>
      </c>
      <c r="AD769" s="7" t="str">
        <f aca="false">IF(OR(I769="N/A",P769="",Q769=""),"",IF(P769&gt;=Q769,"Yes","No"))</f>
        <v>Yes</v>
      </c>
      <c r="AE769" s="8"/>
    </row>
    <row r="770" customFormat="false" ht="15" hidden="false" customHeight="false" outlineLevel="0" collapsed="false">
      <c r="A770" s="12" t="s">
        <v>2644</v>
      </c>
      <c r="B770" s="26" t="str">
        <f aca="false">Entities!$A$22</f>
        <v>DZ</v>
      </c>
      <c r="C770" s="12" t="str">
        <f aca="false">INDEX(Entities!$B$5:$B$34,MATCH(B770,Entities!$A$5:$A$34,0))</f>
        <v>Arab Bank – Algeria</v>
      </c>
      <c r="D770" s="7" t="str">
        <f aca="false">INDEX(Entities!$F$5:$F$34,MATCH(B770,Entities!$A$5:$A$34,0))</f>
        <v>Tier 2</v>
      </c>
      <c r="E770" s="26" t="str">
        <f aca="false">'Control Library'!$A$39</f>
        <v>CTL-LQ-01</v>
      </c>
      <c r="F770" s="12" t="str">
        <f aca="false">INDEX('Control Library'!$B$5:$B$47,MATCH(E770,'Control Library'!$A$5:$A$47,0))</f>
        <v>Liquidity buffers, LCR/NSFR monitoring and contingency funding plan</v>
      </c>
      <c r="G770" s="7" t="str">
        <f aca="false">INDEX('Control Library'!$F$5:$F$47,MATCH(E770,'Control Library'!$A$5:$A$47,0))</f>
        <v>Y</v>
      </c>
      <c r="H770" s="12" t="str">
        <f aca="false">INDEX('Control Library'!$E$5:$E$47,MATCH(E770,'Control Library'!$A$5:$A$47,0))</f>
        <v>Daily</v>
      </c>
      <c r="I770" s="7" t="str">
        <f aca="false">IF(INDEX('Control Library'!$I$5:$I$47,MATCH(E770,'Control Library'!$A$5:$A$47,0))="All","Y",IF(INDEX('Control Library'!$I$5:$I$47,MATCH(E770,'Control Library'!$A$5:$A$47,0))="Banks only",IF(COUNTIF('Residual Config'!$L$28:$L$30,INDEX(Entities!$E$5:$E$34,MATCH(B770,Entities!$A$5:$A$34,0)))&gt;0,"N/A","Y"),IF(INDEX(Entities!$G$5:$G$34,MATCH(B770,Entities!$A$5:$A$34,0))="Y","Y","N/A")))</f>
        <v>Y</v>
      </c>
      <c r="J770" s="8" t="s">
        <v>2645</v>
      </c>
      <c r="K770" s="8" t="s">
        <v>2560</v>
      </c>
      <c r="L770" s="7" t="str">
        <f aca="false">IF(OR(J770="",K770=""),"",IF(J770=K770,"Breach","OK"))</f>
        <v>OK</v>
      </c>
      <c r="M770" s="24" t="n">
        <v>2</v>
      </c>
      <c r="N770" s="50" t="n">
        <v>46276</v>
      </c>
      <c r="O770" s="8" t="s">
        <v>545</v>
      </c>
      <c r="P770" s="24" t="n">
        <v>25</v>
      </c>
      <c r="Q770" s="31" t="n">
        <f aca="false">IF(I770="N/A","",IFERROR(INDEX('Residual Config'!$B$35:$B$42,MATCH(H770,'Residual Config'!$A$35:$A$42,0)),""))</f>
        <v>25</v>
      </c>
      <c r="R770" s="24" t="n">
        <v>1</v>
      </c>
      <c r="S770" s="8" t="s">
        <v>521</v>
      </c>
      <c r="T770" s="31" t="n">
        <f aca="false">IF(S770="","",MATCH(S770,'Residual Config'!$L$9:$L$12,0))</f>
        <v>2</v>
      </c>
      <c r="U770" s="8" t="s">
        <v>2646</v>
      </c>
      <c r="V770" s="24" t="n">
        <v>3</v>
      </c>
      <c r="W770" s="33" t="s">
        <v>533</v>
      </c>
      <c r="X770" s="8" t="s">
        <v>760</v>
      </c>
      <c r="Y770" s="51" t="n">
        <f aca="false">IF(N770="","",EDATE(N770,IF(G770="N",INDEX('Residual Config'!$B$31:$D$31,1,MATCH(D770,'Residual Config'!$B$27:$D$27,0)),INDEX('Residual Config'!$B$28:$D$30,IF(T770=1,1,IF(T770=4,3,2)),MATCH(D770,'Residual Config'!$B$27:$D$27,0)))))</f>
        <v>46457</v>
      </c>
      <c r="Z770" s="7" t="str">
        <f aca="false">IF(I770="N/A","N/A",IF(N770="","Not tested",IF(W770="Rejected","Evidence rejected",IF(W770&lt;&gt;"Accepted","Evidence pending",IF(Y770&lt;'Residual Config'!$C$4,"Overdue","Current")))))</f>
        <v>Current</v>
      </c>
      <c r="AA770" s="34" t="n">
        <f aca="false">IF(I770="N/A","",IF(Z770&lt;&gt;"Current",4,IF(MAX(M770,T770)=0,4,MAX(M770,T770))))</f>
        <v>2</v>
      </c>
      <c r="AB770" s="7" t="str">
        <f aca="false">IF(AA770="","N/A",IF(Z770&lt;&gt;"Current","Not tested / overdue",INDEX('Residual Config'!$B$11:$B$14,AA770)))</f>
        <v>Largely effective</v>
      </c>
      <c r="AC770" s="36" t="n">
        <f aca="false">IF(AA770="","",INDEX('Residual Config'!$D$11:$D$14,AA770))</f>
        <v>0.4</v>
      </c>
      <c r="AD770" s="7" t="str">
        <f aca="false">IF(OR(I770="N/A",P770="",Q770=""),"",IF(P770&gt;=Q770,"Yes","No"))</f>
        <v>Yes</v>
      </c>
      <c r="AE770" s="8"/>
    </row>
    <row r="771" customFormat="false" ht="15" hidden="false" customHeight="false" outlineLevel="0" collapsed="false">
      <c r="A771" s="12" t="s">
        <v>2647</v>
      </c>
      <c r="B771" s="26" t="str">
        <f aca="false">Entities!$A$22</f>
        <v>DZ</v>
      </c>
      <c r="C771" s="12" t="str">
        <f aca="false">INDEX(Entities!$B$5:$B$34,MATCH(B771,Entities!$A$5:$A$34,0))</f>
        <v>Arab Bank – Algeria</v>
      </c>
      <c r="D771" s="7" t="str">
        <f aca="false">INDEX(Entities!$F$5:$F$34,MATCH(B771,Entities!$A$5:$A$34,0))</f>
        <v>Tier 2</v>
      </c>
      <c r="E771" s="26" t="str">
        <f aca="false">'Control Library'!$A$40</f>
        <v>CTL-OR-01</v>
      </c>
      <c r="F771" s="12" t="str">
        <f aca="false">INDEX('Control Library'!$B$5:$B$47,MATCH(E771,'Control Library'!$A$5:$A$47,0))</f>
        <v>Business continuity plans and annual testing</v>
      </c>
      <c r="G771" s="7" t="str">
        <f aca="false">INDEX('Control Library'!$F$5:$F$47,MATCH(E771,'Control Library'!$A$5:$A$47,0))</f>
        <v>Y</v>
      </c>
      <c r="H771" s="12" t="str">
        <f aca="false">INDEX('Control Library'!$E$5:$E$47,MATCH(E771,'Control Library'!$A$5:$A$47,0))</f>
        <v>Annual</v>
      </c>
      <c r="I771" s="7" t="str">
        <f aca="false">IF(INDEX('Control Library'!$I$5:$I$47,MATCH(E771,'Control Library'!$A$5:$A$47,0))="All","Y",IF(INDEX('Control Library'!$I$5:$I$47,MATCH(E771,'Control Library'!$A$5:$A$47,0))="Banks only",IF(COUNTIF('Residual Config'!$L$28:$L$30,INDEX(Entities!$E$5:$E$34,MATCH(B771,Entities!$A$5:$A$34,0)))&gt;0,"N/A","Y"),IF(INDEX(Entities!$G$5:$G$34,MATCH(B771,Entities!$A$5:$A$34,0))="Y","Y","N/A")))</f>
        <v>Y</v>
      </c>
      <c r="J771" s="8" t="s">
        <v>2648</v>
      </c>
      <c r="K771" s="8" t="s">
        <v>2560</v>
      </c>
      <c r="L771" s="7" t="str">
        <f aca="false">IF(OR(J771="",K771=""),"",IF(J771=K771,"Breach","OK"))</f>
        <v>OK</v>
      </c>
      <c r="M771" s="24" t="n">
        <v>2</v>
      </c>
      <c r="N771" s="50" t="n">
        <v>46149</v>
      </c>
      <c r="O771" s="8" t="s">
        <v>546</v>
      </c>
      <c r="P771" s="24" t="n">
        <v>1</v>
      </c>
      <c r="Q771" s="31" t="n">
        <f aca="false">IF(I771="N/A","",IFERROR(INDEX('Residual Config'!$B$35:$B$42,MATCH(H771,'Residual Config'!$A$35:$A$42,0)),""))</f>
        <v>1</v>
      </c>
      <c r="R771" s="24" t="n">
        <v>1</v>
      </c>
      <c r="S771" s="8" t="s">
        <v>521</v>
      </c>
      <c r="T771" s="31" t="n">
        <f aca="false">IF(S771="","",MATCH(S771,'Residual Config'!$L$9:$L$12,0))</f>
        <v>2</v>
      </c>
      <c r="U771" s="8" t="s">
        <v>2649</v>
      </c>
      <c r="V771" s="24" t="n">
        <v>3</v>
      </c>
      <c r="W771" s="33" t="s">
        <v>533</v>
      </c>
      <c r="X771" s="8" t="s">
        <v>760</v>
      </c>
      <c r="Y771" s="51" t="n">
        <f aca="false">IF(N771="","",EDATE(N771,IF(G771="N",INDEX('Residual Config'!$B$31:$D$31,1,MATCH(D771,'Residual Config'!$B$27:$D$27,0)),INDEX('Residual Config'!$B$28:$D$30,IF(T771=1,1,IF(T771=4,3,2)),MATCH(D771,'Residual Config'!$B$27:$D$27,0)))))</f>
        <v>46333</v>
      </c>
      <c r="Z771" s="7" t="str">
        <f aca="false">IF(I771="N/A","N/A",IF(N771="","Not tested",IF(W771="Rejected","Evidence rejected",IF(W771&lt;&gt;"Accepted","Evidence pending",IF(Y771&lt;'Residual Config'!$C$4,"Overdue","Current")))))</f>
        <v>Current</v>
      </c>
      <c r="AA771" s="34" t="n">
        <f aca="false">IF(I771="N/A","",IF(Z771&lt;&gt;"Current",4,IF(MAX(M771,T771)=0,4,MAX(M771,T771))))</f>
        <v>2</v>
      </c>
      <c r="AB771" s="7" t="str">
        <f aca="false">IF(AA771="","N/A",IF(Z771&lt;&gt;"Current","Not tested / overdue",INDEX('Residual Config'!$B$11:$B$14,AA771)))</f>
        <v>Largely effective</v>
      </c>
      <c r="AC771" s="36" t="n">
        <f aca="false">IF(AA771="","",INDEX('Residual Config'!$D$11:$D$14,AA771))</f>
        <v>0.4</v>
      </c>
      <c r="AD771" s="7" t="str">
        <f aca="false">IF(OR(I771="N/A",P771="",Q771=""),"",IF(P771&gt;=Q771,"Yes","No"))</f>
        <v>Yes</v>
      </c>
      <c r="AE771" s="8"/>
    </row>
    <row r="772" customFormat="false" ht="15" hidden="false" customHeight="false" outlineLevel="0" collapsed="false">
      <c r="A772" s="12" t="s">
        <v>2650</v>
      </c>
      <c r="B772" s="26" t="str">
        <f aca="false">Entities!$A$22</f>
        <v>DZ</v>
      </c>
      <c r="C772" s="12" t="str">
        <f aca="false">INDEX(Entities!$B$5:$B$34,MATCH(B772,Entities!$A$5:$A$34,0))</f>
        <v>Arab Bank – Algeria</v>
      </c>
      <c r="D772" s="7" t="str">
        <f aca="false">INDEX(Entities!$F$5:$F$34,MATCH(B772,Entities!$A$5:$A$34,0))</f>
        <v>Tier 2</v>
      </c>
      <c r="E772" s="26" t="str">
        <f aca="false">'Control Library'!$A$41</f>
        <v>CTL-OR-02</v>
      </c>
      <c r="F772" s="12" t="str">
        <f aca="false">INDEX('Control Library'!$B$5:$B$47,MATCH(E772,'Control Library'!$A$5:$A$47,0))</f>
        <v>Operational loss event capture and RCSA</v>
      </c>
      <c r="G772" s="7" t="str">
        <f aca="false">INDEX('Control Library'!$F$5:$F$47,MATCH(E772,'Control Library'!$A$5:$A$47,0))</f>
        <v>N</v>
      </c>
      <c r="H772" s="12" t="str">
        <f aca="false">INDEX('Control Library'!$E$5:$E$47,MATCH(E772,'Control Library'!$A$5:$A$47,0))</f>
        <v>Quarterly</v>
      </c>
      <c r="I772" s="7" t="str">
        <f aca="false">IF(INDEX('Control Library'!$I$5:$I$47,MATCH(E772,'Control Library'!$A$5:$A$47,0))="All","Y",IF(INDEX('Control Library'!$I$5:$I$47,MATCH(E772,'Control Library'!$A$5:$A$47,0))="Banks only",IF(COUNTIF('Residual Config'!$L$28:$L$30,INDEX(Entities!$E$5:$E$34,MATCH(B772,Entities!$A$5:$A$34,0)))&gt;0,"N/A","Y"),IF(INDEX(Entities!$G$5:$G$34,MATCH(B772,Entities!$A$5:$A$34,0))="Y","Y","N/A")))</f>
        <v>Y</v>
      </c>
      <c r="J772" s="8" t="s">
        <v>2640</v>
      </c>
      <c r="K772" s="8" t="s">
        <v>2560</v>
      </c>
      <c r="L772" s="7" t="str">
        <f aca="false">IF(OR(J772="",K772=""),"",IF(J772=K772,"Breach","OK"))</f>
        <v>OK</v>
      </c>
      <c r="M772" s="24" t="n">
        <v>1</v>
      </c>
      <c r="N772" s="50" t="n">
        <v>46022</v>
      </c>
      <c r="O772" s="8" t="s">
        <v>545</v>
      </c>
      <c r="P772" s="24" t="n">
        <v>2</v>
      </c>
      <c r="Q772" s="31" t="n">
        <f aca="false">IF(I772="N/A","",IFERROR(INDEX('Residual Config'!$B$35:$B$42,MATCH(H772,'Residual Config'!$A$35:$A$42,0)),""))</f>
        <v>2</v>
      </c>
      <c r="R772" s="24" t="n">
        <v>1</v>
      </c>
      <c r="S772" s="8" t="s">
        <v>521</v>
      </c>
      <c r="T772" s="31" t="n">
        <f aca="false">IF(S772="","",MATCH(S772,'Residual Config'!$L$9:$L$12,0))</f>
        <v>2</v>
      </c>
      <c r="U772" s="8" t="s">
        <v>2651</v>
      </c>
      <c r="V772" s="24" t="n">
        <v>4</v>
      </c>
      <c r="W772" s="33" t="s">
        <v>533</v>
      </c>
      <c r="X772" s="8" t="s">
        <v>754</v>
      </c>
      <c r="Y772" s="51" t="n">
        <f aca="false">IF(N772="","",EDATE(N772,IF(G772="N",INDEX('Residual Config'!$B$31:$D$31,1,MATCH(D772,'Residual Config'!$B$27:$D$27,0)),INDEX('Residual Config'!$B$28:$D$30,IF(T772=1,1,IF(T772=4,3,2)),MATCH(D772,'Residual Config'!$B$27:$D$27,0)))))</f>
        <v>46387</v>
      </c>
      <c r="Z772" s="7" t="str">
        <f aca="false">IF(I772="N/A","N/A",IF(N772="","Not tested",IF(W772="Rejected","Evidence rejected",IF(W772&lt;&gt;"Accepted","Evidence pending",IF(Y772&lt;'Residual Config'!$C$4,"Overdue","Current")))))</f>
        <v>Current</v>
      </c>
      <c r="AA772" s="34" t="n">
        <f aca="false">IF(I772="N/A","",IF(Z772&lt;&gt;"Current",4,IF(MAX(M772,T772)=0,4,MAX(M772,T772))))</f>
        <v>2</v>
      </c>
      <c r="AB772" s="7" t="str">
        <f aca="false">IF(AA772="","N/A",IF(Z772&lt;&gt;"Current","Not tested / overdue",INDEX('Residual Config'!$B$11:$B$14,AA772)))</f>
        <v>Largely effective</v>
      </c>
      <c r="AC772" s="36" t="n">
        <f aca="false">IF(AA772="","",INDEX('Residual Config'!$D$11:$D$14,AA772))</f>
        <v>0.4</v>
      </c>
      <c r="AD772" s="7" t="str">
        <f aca="false">IF(OR(I772="N/A",P772="",Q772=""),"",IF(P772&gt;=Q772,"Yes","No"))</f>
        <v>Yes</v>
      </c>
      <c r="AE772" s="8"/>
    </row>
    <row r="773" customFormat="false" ht="15" hidden="false" customHeight="false" outlineLevel="0" collapsed="false">
      <c r="A773" s="12" t="s">
        <v>2652</v>
      </c>
      <c r="B773" s="26" t="str">
        <f aca="false">Entities!$A$22</f>
        <v>DZ</v>
      </c>
      <c r="C773" s="12" t="str">
        <f aca="false">INDEX(Entities!$B$5:$B$34,MATCH(B773,Entities!$A$5:$A$34,0))</f>
        <v>Arab Bank – Algeria</v>
      </c>
      <c r="D773" s="7" t="str">
        <f aca="false">INDEX(Entities!$F$5:$F$34,MATCH(B773,Entities!$A$5:$A$34,0))</f>
        <v>Tier 2</v>
      </c>
      <c r="E773" s="26" t="str">
        <f aca="false">'Control Library'!$A$42</f>
        <v>CTL-CY-01</v>
      </c>
      <c r="F773" s="12" t="str">
        <f aca="false">INDEX('Control Library'!$B$5:$B$47,MATCH(E773,'Control Library'!$A$5:$A$47,0))</f>
        <v>Vulnerability and patch management</v>
      </c>
      <c r="G773" s="7" t="str">
        <f aca="false">INDEX('Control Library'!$F$5:$F$47,MATCH(E773,'Control Library'!$A$5:$A$47,0))</f>
        <v>Y</v>
      </c>
      <c r="H773" s="12" t="str">
        <f aca="false">INDEX('Control Library'!$E$5:$E$47,MATCH(E773,'Control Library'!$A$5:$A$47,0))</f>
        <v>Monthly</v>
      </c>
      <c r="I773" s="7" t="str">
        <f aca="false">IF(INDEX('Control Library'!$I$5:$I$47,MATCH(E773,'Control Library'!$A$5:$A$47,0))="All","Y",IF(INDEX('Control Library'!$I$5:$I$47,MATCH(E773,'Control Library'!$A$5:$A$47,0))="Banks only",IF(COUNTIF('Residual Config'!$L$28:$L$30,INDEX(Entities!$E$5:$E$34,MATCH(B773,Entities!$A$5:$A$34,0)))&gt;0,"N/A","Y"),IF(INDEX(Entities!$G$5:$G$34,MATCH(B773,Entities!$A$5:$A$34,0))="Y","Y","N/A")))</f>
        <v>Y</v>
      </c>
      <c r="J773" s="8" t="s">
        <v>2584</v>
      </c>
      <c r="K773" s="8" t="s">
        <v>2560</v>
      </c>
      <c r="L773" s="7" t="str">
        <f aca="false">IF(OR(J773="",K773=""),"",IF(J773=K773,"Breach","OK"))</f>
        <v>OK</v>
      </c>
      <c r="M773" s="24" t="n">
        <v>1</v>
      </c>
      <c r="N773" s="50" t="n">
        <v>46242</v>
      </c>
      <c r="O773" s="8" t="s">
        <v>545</v>
      </c>
      <c r="P773" s="24" t="n">
        <v>3</v>
      </c>
      <c r="Q773" s="31" t="n">
        <f aca="false">IF(I773="N/A","",IFERROR(INDEX('Residual Config'!$B$35:$B$42,MATCH(H773,'Residual Config'!$A$35:$A$42,0)),""))</f>
        <v>3</v>
      </c>
      <c r="R773" s="24" t="n">
        <v>1</v>
      </c>
      <c r="S773" s="8" t="s">
        <v>521</v>
      </c>
      <c r="T773" s="31" t="n">
        <f aca="false">IF(S773="","",MATCH(S773,'Residual Config'!$L$9:$L$12,0))</f>
        <v>2</v>
      </c>
      <c r="U773" s="8" t="s">
        <v>2653</v>
      </c>
      <c r="V773" s="24" t="n">
        <v>1</v>
      </c>
      <c r="W773" s="33" t="s">
        <v>533</v>
      </c>
      <c r="X773" s="8" t="s">
        <v>754</v>
      </c>
      <c r="Y773" s="51" t="n">
        <f aca="false">IF(N773="","",EDATE(N773,IF(G773="N",INDEX('Residual Config'!$B$31:$D$31,1,MATCH(D773,'Residual Config'!$B$27:$D$27,0)),INDEX('Residual Config'!$B$28:$D$30,IF(T773=1,1,IF(T773=4,3,2)),MATCH(D773,'Residual Config'!$B$27:$D$27,0)))))</f>
        <v>46426</v>
      </c>
      <c r="Z773" s="7" t="str">
        <f aca="false">IF(I773="N/A","N/A",IF(N773="","Not tested",IF(W773="Rejected","Evidence rejected",IF(W773&lt;&gt;"Accepted","Evidence pending",IF(Y773&lt;'Residual Config'!$C$4,"Overdue","Current")))))</f>
        <v>Current</v>
      </c>
      <c r="AA773" s="34" t="n">
        <f aca="false">IF(I773="N/A","",IF(Z773&lt;&gt;"Current",4,IF(MAX(M773,T773)=0,4,MAX(M773,T773))))</f>
        <v>2</v>
      </c>
      <c r="AB773" s="7" t="str">
        <f aca="false">IF(AA773="","N/A",IF(Z773&lt;&gt;"Current","Not tested / overdue",INDEX('Residual Config'!$B$11:$B$14,AA773)))</f>
        <v>Largely effective</v>
      </c>
      <c r="AC773" s="36" t="n">
        <f aca="false">IF(AA773="","",INDEX('Residual Config'!$D$11:$D$14,AA773))</f>
        <v>0.4</v>
      </c>
      <c r="AD773" s="7" t="str">
        <f aca="false">IF(OR(I773="N/A",P773="",Q773=""),"",IF(P773&gt;=Q773,"Yes","No"))</f>
        <v>Yes</v>
      </c>
      <c r="AE773" s="8"/>
    </row>
    <row r="774" customFormat="false" ht="15" hidden="false" customHeight="false" outlineLevel="0" collapsed="false">
      <c r="A774" s="12" t="s">
        <v>2654</v>
      </c>
      <c r="B774" s="26" t="str">
        <f aca="false">Entities!$A$22</f>
        <v>DZ</v>
      </c>
      <c r="C774" s="12" t="str">
        <f aca="false">INDEX(Entities!$B$5:$B$34,MATCH(B774,Entities!$A$5:$A$34,0))</f>
        <v>Arab Bank – Algeria</v>
      </c>
      <c r="D774" s="7" t="str">
        <f aca="false">INDEX(Entities!$F$5:$F$34,MATCH(B774,Entities!$A$5:$A$34,0))</f>
        <v>Tier 2</v>
      </c>
      <c r="E774" s="26" t="str">
        <f aca="false">'Control Library'!$A$43</f>
        <v>CTL-CY-02</v>
      </c>
      <c r="F774" s="12" t="str">
        <f aca="false">INDEX('Control Library'!$B$5:$B$47,MATCH(E774,'Control Library'!$A$5:$A$47,0))</f>
        <v>Privileged access management and SOC monitoring</v>
      </c>
      <c r="G774" s="7" t="str">
        <f aca="false">INDEX('Control Library'!$F$5:$F$47,MATCH(E774,'Control Library'!$A$5:$A$47,0))</f>
        <v>Y</v>
      </c>
      <c r="H774" s="12" t="str">
        <f aca="false">INDEX('Control Library'!$E$5:$E$47,MATCH(E774,'Control Library'!$A$5:$A$47,0))</f>
        <v>Continuous</v>
      </c>
      <c r="I774" s="7" t="str">
        <f aca="false">IF(INDEX('Control Library'!$I$5:$I$47,MATCH(E774,'Control Library'!$A$5:$A$47,0))="All","Y",IF(INDEX('Control Library'!$I$5:$I$47,MATCH(E774,'Control Library'!$A$5:$A$47,0))="Banks only",IF(COUNTIF('Residual Config'!$L$28:$L$30,INDEX(Entities!$E$5:$E$34,MATCH(B774,Entities!$A$5:$A$34,0)))&gt;0,"N/A","Y"),IF(INDEX(Entities!$G$5:$G$34,MATCH(B774,Entities!$A$5:$A$34,0))="Y","Y","N/A")))</f>
        <v>Y</v>
      </c>
      <c r="J774" s="8" t="s">
        <v>2633</v>
      </c>
      <c r="K774" s="8" t="s">
        <v>2560</v>
      </c>
      <c r="L774" s="7" t="str">
        <f aca="false">IF(OR(J774="",K774=""),"",IF(J774=K774,"Breach","OK"))</f>
        <v>OK</v>
      </c>
      <c r="M774" s="24" t="n">
        <v>2</v>
      </c>
      <c r="N774" s="50" t="n">
        <v>46112</v>
      </c>
      <c r="O774" s="8" t="s">
        <v>547</v>
      </c>
      <c r="P774" s="24" t="n">
        <v>1</v>
      </c>
      <c r="Q774" s="31" t="n">
        <f aca="false">IF(I774="N/A","",IFERROR(INDEX('Residual Config'!$B$35:$B$42,MATCH(H774,'Residual Config'!$A$35:$A$42,0)),""))</f>
        <v>1</v>
      </c>
      <c r="R774" s="24" t="n">
        <v>0</v>
      </c>
      <c r="S774" s="8" t="s">
        <v>516</v>
      </c>
      <c r="T774" s="31" t="n">
        <f aca="false">IF(S774="","",MATCH(S774,'Residual Config'!$L$9:$L$12,0))</f>
        <v>1</v>
      </c>
      <c r="U774" s="8" t="s">
        <v>2655</v>
      </c>
      <c r="V774" s="24" t="n">
        <v>5</v>
      </c>
      <c r="W774" s="33" t="s">
        <v>533</v>
      </c>
      <c r="X774" s="8" t="s">
        <v>760</v>
      </c>
      <c r="Y774" s="51" t="n">
        <f aca="false">IF(N774="","",EDATE(N774,IF(G774="N",INDEX('Residual Config'!$B$31:$D$31,1,MATCH(D774,'Residual Config'!$B$27:$D$27,0)),INDEX('Residual Config'!$B$28:$D$30,IF(T774=1,1,IF(T774=4,3,2)),MATCH(D774,'Residual Config'!$B$27:$D$27,0)))))</f>
        <v>46477</v>
      </c>
      <c r="Z774" s="7" t="str">
        <f aca="false">IF(I774="N/A","N/A",IF(N774="","Not tested",IF(W774="Rejected","Evidence rejected",IF(W774&lt;&gt;"Accepted","Evidence pending",IF(Y774&lt;'Residual Config'!$C$4,"Overdue","Current")))))</f>
        <v>Current</v>
      </c>
      <c r="AA774" s="34" t="n">
        <f aca="false">IF(I774="N/A","",IF(Z774&lt;&gt;"Current",4,IF(MAX(M774,T774)=0,4,MAX(M774,T774))))</f>
        <v>2</v>
      </c>
      <c r="AB774" s="7" t="str">
        <f aca="false">IF(AA774="","N/A",IF(Z774&lt;&gt;"Current","Not tested / overdue",INDEX('Residual Config'!$B$11:$B$14,AA774)))</f>
        <v>Largely effective</v>
      </c>
      <c r="AC774" s="36" t="n">
        <f aca="false">IF(AA774="","",INDEX('Residual Config'!$D$11:$D$14,AA774))</f>
        <v>0.4</v>
      </c>
      <c r="AD774" s="7" t="str">
        <f aca="false">IF(OR(I774="N/A",P774="",Q774=""),"",IF(P774&gt;=Q774,"Yes","No"))</f>
        <v>Yes</v>
      </c>
      <c r="AE774" s="8"/>
    </row>
    <row r="775" customFormat="false" ht="15" hidden="false" customHeight="false" outlineLevel="0" collapsed="false">
      <c r="A775" s="12" t="s">
        <v>2656</v>
      </c>
      <c r="B775" s="26" t="str">
        <f aca="false">Entities!$A$22</f>
        <v>DZ</v>
      </c>
      <c r="C775" s="12" t="str">
        <f aca="false">INDEX(Entities!$B$5:$B$34,MATCH(B775,Entities!$A$5:$A$34,0))</f>
        <v>Arab Bank – Algeria</v>
      </c>
      <c r="D775" s="7" t="str">
        <f aca="false">INDEX(Entities!$F$5:$F$34,MATCH(B775,Entities!$A$5:$A$34,0))</f>
        <v>Tier 2</v>
      </c>
      <c r="E775" s="26" t="str">
        <f aca="false">'Control Library'!$A$44</f>
        <v>CTL-TP-01</v>
      </c>
      <c r="F775" s="12" t="str">
        <f aca="false">INDEX('Control Library'!$B$5:$B$47,MATCH(E775,'Control Library'!$A$5:$A$47,0))</f>
        <v>Critical vendor due diligence and tested exit plans</v>
      </c>
      <c r="G775" s="7" t="str">
        <f aca="false">INDEX('Control Library'!$F$5:$F$47,MATCH(E775,'Control Library'!$A$5:$A$47,0))</f>
        <v>Y</v>
      </c>
      <c r="H775" s="12" t="str">
        <f aca="false">INDEX('Control Library'!$E$5:$E$47,MATCH(E775,'Control Library'!$A$5:$A$47,0))</f>
        <v>Annual</v>
      </c>
      <c r="I775" s="7" t="str">
        <f aca="false">IF(INDEX('Control Library'!$I$5:$I$47,MATCH(E775,'Control Library'!$A$5:$A$47,0))="All","Y",IF(INDEX('Control Library'!$I$5:$I$47,MATCH(E775,'Control Library'!$A$5:$A$47,0))="Banks only",IF(COUNTIF('Residual Config'!$L$28:$L$30,INDEX(Entities!$E$5:$E$34,MATCH(B775,Entities!$A$5:$A$34,0)))&gt;0,"N/A","Y"),IF(INDEX(Entities!$G$5:$G$34,MATCH(B775,Entities!$A$5:$A$34,0))="Y","Y","N/A")))</f>
        <v>Y</v>
      </c>
      <c r="J775" s="8" t="s">
        <v>2601</v>
      </c>
      <c r="K775" s="8" t="s">
        <v>2560</v>
      </c>
      <c r="L775" s="7" t="str">
        <f aca="false">IF(OR(J775="",K775=""),"",IF(J775=K775,"Breach","OK"))</f>
        <v>OK</v>
      </c>
      <c r="M775" s="24" t="n">
        <v>1</v>
      </c>
      <c r="N775" s="50" t="n">
        <v>45900</v>
      </c>
      <c r="O775" s="8" t="s">
        <v>546</v>
      </c>
      <c r="P775" s="24" t="n">
        <v>1</v>
      </c>
      <c r="Q775" s="31" t="n">
        <f aca="false">IF(I775="N/A","",IFERROR(INDEX('Residual Config'!$B$35:$B$42,MATCH(H775,'Residual Config'!$A$35:$A$42,0)),""))</f>
        <v>1</v>
      </c>
      <c r="R775" s="24" t="n">
        <v>0</v>
      </c>
      <c r="S775" s="8" t="s">
        <v>516</v>
      </c>
      <c r="T775" s="31" t="n">
        <f aca="false">IF(S775="","",MATCH(S775,'Residual Config'!$L$9:$L$12,0))</f>
        <v>1</v>
      </c>
      <c r="U775" s="8" t="s">
        <v>2657</v>
      </c>
      <c r="V775" s="24" t="n">
        <v>4</v>
      </c>
      <c r="W775" s="33" t="s">
        <v>533</v>
      </c>
      <c r="X775" s="8" t="s">
        <v>760</v>
      </c>
      <c r="Y775" s="51" t="n">
        <f aca="false">IF(N775="","",EDATE(N775,IF(G775="N",INDEX('Residual Config'!$B$31:$D$31,1,MATCH(D775,'Residual Config'!$B$27:$D$27,0)),INDEX('Residual Config'!$B$28:$D$30,IF(T775=1,1,IF(T775=4,3,2)),MATCH(D775,'Residual Config'!$B$27:$D$27,0)))))</f>
        <v>46265</v>
      </c>
      <c r="Z775" s="7" t="str">
        <f aca="false">IF(I775="N/A","N/A",IF(N775="","Not tested",IF(W775="Rejected","Evidence rejected",IF(W775&lt;&gt;"Accepted","Evidence pending",IF(Y775&lt;'Residual Config'!$C$4,"Overdue","Current")))))</f>
        <v>Overdue</v>
      </c>
      <c r="AA775" s="34" t="n">
        <f aca="false">IF(I775="N/A","",IF(Z775&lt;&gt;"Current",4,IF(MAX(M775,T775)=0,4,MAX(M775,T775))))</f>
        <v>4</v>
      </c>
      <c r="AB775" s="7" t="str">
        <f aca="false">IF(AA775="","N/A",IF(Z775&lt;&gt;"Current","Not tested / overdue",INDEX('Residual Config'!$B$11:$B$14,AA775)))</f>
        <v>Not tested / overdue</v>
      </c>
      <c r="AC775" s="36" t="n">
        <f aca="false">IF(AA775="","",INDEX('Residual Config'!$D$11:$D$14,AA775))</f>
        <v>0</v>
      </c>
      <c r="AD775" s="7" t="str">
        <f aca="false">IF(OR(I775="N/A",P775="",Q775=""),"",IF(P775&gt;=Q775,"Yes","No"))</f>
        <v>Yes</v>
      </c>
      <c r="AE775" s="8"/>
    </row>
    <row r="776" customFormat="false" ht="15" hidden="false" customHeight="false" outlineLevel="0" collapsed="false">
      <c r="A776" s="12" t="s">
        <v>2658</v>
      </c>
      <c r="B776" s="26" t="str">
        <f aca="false">Entities!$A$22</f>
        <v>DZ</v>
      </c>
      <c r="C776" s="12" t="str">
        <f aca="false">INDEX(Entities!$B$5:$B$34,MATCH(B776,Entities!$A$5:$A$34,0))</f>
        <v>Arab Bank – Algeria</v>
      </c>
      <c r="D776" s="7" t="str">
        <f aca="false">INDEX(Entities!$F$5:$F$34,MATCH(B776,Entities!$A$5:$A$34,0))</f>
        <v>Tier 2</v>
      </c>
      <c r="E776" s="26" t="str">
        <f aca="false">'Control Library'!$A$45</f>
        <v>CTL-LG-01</v>
      </c>
      <c r="F776" s="12" t="str">
        <f aca="false">INDEX('Control Library'!$B$5:$B$47,MATCH(E776,'Control Library'!$A$5:$A$47,0))</f>
        <v>Legal review of contracts and litigation register</v>
      </c>
      <c r="G776" s="7" t="str">
        <f aca="false">INDEX('Control Library'!$F$5:$F$47,MATCH(E776,'Control Library'!$A$5:$A$47,0))</f>
        <v>Y</v>
      </c>
      <c r="H776" s="12" t="str">
        <f aca="false">INDEX('Control Library'!$E$5:$E$47,MATCH(E776,'Control Library'!$A$5:$A$47,0))</f>
        <v>Event-driven</v>
      </c>
      <c r="I776" s="7" t="str">
        <f aca="false">IF(INDEX('Control Library'!$I$5:$I$47,MATCH(E776,'Control Library'!$A$5:$A$47,0))="All","Y",IF(INDEX('Control Library'!$I$5:$I$47,MATCH(E776,'Control Library'!$A$5:$A$47,0))="Banks only",IF(COUNTIF('Residual Config'!$L$28:$L$30,INDEX(Entities!$E$5:$E$34,MATCH(B776,Entities!$A$5:$A$34,0)))&gt;0,"N/A","Y"),IF(INDEX(Entities!$G$5:$G$34,MATCH(B776,Entities!$A$5:$A$34,0))="Y","Y","N/A")))</f>
        <v>Y</v>
      </c>
      <c r="J776" s="8" t="s">
        <v>2659</v>
      </c>
      <c r="K776" s="8" t="s">
        <v>2560</v>
      </c>
      <c r="L776" s="7" t="str">
        <f aca="false">IF(OR(J776="",K776=""),"",IF(J776=K776,"Breach","OK"))</f>
        <v>OK</v>
      </c>
      <c r="M776" s="24" t="n">
        <v>1</v>
      </c>
      <c r="N776" s="50" t="n">
        <v>46160</v>
      </c>
      <c r="O776" s="8" t="s">
        <v>545</v>
      </c>
      <c r="P776" s="24" t="n">
        <v>35</v>
      </c>
      <c r="Q776" s="31" t="n">
        <f aca="false">IF(I776="N/A","",IFERROR(INDEX('Residual Config'!$B$35:$B$42,MATCH(H776,'Residual Config'!$A$35:$A$42,0)),""))</f>
        <v>25</v>
      </c>
      <c r="R776" s="24" t="n">
        <v>0</v>
      </c>
      <c r="S776" s="8" t="s">
        <v>516</v>
      </c>
      <c r="T776" s="31" t="n">
        <f aca="false">IF(S776="","",MATCH(S776,'Residual Config'!$L$9:$L$12,0))</f>
        <v>1</v>
      </c>
      <c r="U776" s="8" t="s">
        <v>2660</v>
      </c>
      <c r="V776" s="24" t="n">
        <v>4</v>
      </c>
      <c r="W776" s="33" t="s">
        <v>533</v>
      </c>
      <c r="X776" s="8" t="s">
        <v>760</v>
      </c>
      <c r="Y776" s="51" t="n">
        <f aca="false">IF(N776="","",EDATE(N776,IF(G776="N",INDEX('Residual Config'!$B$31:$D$31,1,MATCH(D776,'Residual Config'!$B$27:$D$27,0)),INDEX('Residual Config'!$B$28:$D$30,IF(T776=1,1,IF(T776=4,3,2)),MATCH(D776,'Residual Config'!$B$27:$D$27,0)))))</f>
        <v>46525</v>
      </c>
      <c r="Z776" s="7" t="str">
        <f aca="false">IF(I776="N/A","N/A",IF(N776="","Not tested",IF(W776="Rejected","Evidence rejected",IF(W776&lt;&gt;"Accepted","Evidence pending",IF(Y776&lt;'Residual Config'!$C$4,"Overdue","Current")))))</f>
        <v>Current</v>
      </c>
      <c r="AA776" s="34" t="n">
        <f aca="false">IF(I776="N/A","",IF(Z776&lt;&gt;"Current",4,IF(MAX(M776,T776)=0,4,MAX(M776,T776))))</f>
        <v>1</v>
      </c>
      <c r="AB776" s="7" t="str">
        <f aca="false">IF(AA776="","N/A",IF(Z776&lt;&gt;"Current","Not tested / overdue",INDEX('Residual Config'!$B$11:$B$14,AA776)))</f>
        <v>Effective</v>
      </c>
      <c r="AC776" s="36" t="n">
        <f aca="false">IF(AA776="","",INDEX('Residual Config'!$D$11:$D$14,AA776))</f>
        <v>0.6</v>
      </c>
      <c r="AD776" s="7" t="str">
        <f aca="false">IF(OR(I776="N/A",P776="",Q776=""),"",IF(P776&gt;=Q776,"Yes","No"))</f>
        <v>Yes</v>
      </c>
      <c r="AE776" s="8"/>
    </row>
    <row r="777" customFormat="false" ht="15" hidden="false" customHeight="false" outlineLevel="0" collapsed="false">
      <c r="A777" s="12" t="s">
        <v>2661</v>
      </c>
      <c r="B777" s="26" t="str">
        <f aca="false">Entities!$A$22</f>
        <v>DZ</v>
      </c>
      <c r="C777" s="12" t="str">
        <f aca="false">INDEX(Entities!$B$5:$B$34,MATCH(B777,Entities!$A$5:$A$34,0))</f>
        <v>Arab Bank – Algeria</v>
      </c>
      <c r="D777" s="7" t="str">
        <f aca="false">INDEX(Entities!$F$5:$F$34,MATCH(B777,Entities!$A$5:$A$34,0))</f>
        <v>Tier 2</v>
      </c>
      <c r="E777" s="26" t="str">
        <f aca="false">'Control Library'!$A$46</f>
        <v>CTL-RP-01</v>
      </c>
      <c r="F777" s="12" t="str">
        <f aca="false">INDEX('Control Library'!$B$5:$B$47,MATCH(E777,'Control Library'!$A$5:$A$47,0))</f>
        <v>Media monitoring and reputational-risk escalation</v>
      </c>
      <c r="G777" s="7" t="str">
        <f aca="false">INDEX('Control Library'!$F$5:$F$47,MATCH(E777,'Control Library'!$A$5:$A$47,0))</f>
        <v>Y</v>
      </c>
      <c r="H777" s="12" t="str">
        <f aca="false">INDEX('Control Library'!$E$5:$E$47,MATCH(E777,'Control Library'!$A$5:$A$47,0))</f>
        <v>Daily</v>
      </c>
      <c r="I777" s="7" t="str">
        <f aca="false">IF(INDEX('Control Library'!$I$5:$I$47,MATCH(E777,'Control Library'!$A$5:$A$47,0))="All","Y",IF(INDEX('Control Library'!$I$5:$I$47,MATCH(E777,'Control Library'!$A$5:$A$47,0))="Banks only",IF(COUNTIF('Residual Config'!$L$28:$L$30,INDEX(Entities!$E$5:$E$34,MATCH(B777,Entities!$A$5:$A$34,0)))&gt;0,"N/A","Y"),IF(INDEX(Entities!$G$5:$G$34,MATCH(B777,Entities!$A$5:$A$34,0))="Y","Y","N/A")))</f>
        <v>Y</v>
      </c>
      <c r="J777" s="8" t="s">
        <v>2662</v>
      </c>
      <c r="K777" s="8" t="s">
        <v>2560</v>
      </c>
      <c r="L777" s="7" t="str">
        <f aca="false">IF(OR(J777="",K777=""),"",IF(J777=K777,"Breach","OK"))</f>
        <v>OK</v>
      </c>
      <c r="M777" s="24" t="n">
        <v>2</v>
      </c>
      <c r="N777" s="50" t="n">
        <v>46177</v>
      </c>
      <c r="O777" s="8" t="s">
        <v>546</v>
      </c>
      <c r="P777" s="24" t="n">
        <v>25</v>
      </c>
      <c r="Q777" s="31" t="n">
        <f aca="false">IF(I777="N/A","",IFERROR(INDEX('Residual Config'!$B$35:$B$42,MATCH(H777,'Residual Config'!$A$35:$A$42,0)),""))</f>
        <v>25</v>
      </c>
      <c r="R777" s="24" t="n">
        <v>1</v>
      </c>
      <c r="S777" s="8" t="s">
        <v>521</v>
      </c>
      <c r="T777" s="31" t="n">
        <f aca="false">IF(S777="","",MATCH(S777,'Residual Config'!$L$9:$L$12,0))</f>
        <v>2</v>
      </c>
      <c r="U777" s="8" t="s">
        <v>2663</v>
      </c>
      <c r="V777" s="24" t="n">
        <v>6</v>
      </c>
      <c r="W777" s="33" t="s">
        <v>533</v>
      </c>
      <c r="X777" s="8" t="s">
        <v>760</v>
      </c>
      <c r="Y777" s="51" t="n">
        <f aca="false">IF(N777="","",EDATE(N777,IF(G777="N",INDEX('Residual Config'!$B$31:$D$31,1,MATCH(D777,'Residual Config'!$B$27:$D$27,0)),INDEX('Residual Config'!$B$28:$D$30,IF(T777=1,1,IF(T777=4,3,2)),MATCH(D777,'Residual Config'!$B$27:$D$27,0)))))</f>
        <v>46360</v>
      </c>
      <c r="Z777" s="7" t="str">
        <f aca="false">IF(I777="N/A","N/A",IF(N777="","Not tested",IF(W777="Rejected","Evidence rejected",IF(W777&lt;&gt;"Accepted","Evidence pending",IF(Y777&lt;'Residual Config'!$C$4,"Overdue","Current")))))</f>
        <v>Current</v>
      </c>
      <c r="AA777" s="34" t="n">
        <f aca="false">IF(I777="N/A","",IF(Z777&lt;&gt;"Current",4,IF(MAX(M777,T777)=0,4,MAX(M777,T777))))</f>
        <v>2</v>
      </c>
      <c r="AB777" s="7" t="str">
        <f aca="false">IF(AA777="","N/A",IF(Z777&lt;&gt;"Current","Not tested / overdue",INDEX('Residual Config'!$B$11:$B$14,AA777)))</f>
        <v>Largely effective</v>
      </c>
      <c r="AC777" s="36" t="n">
        <f aca="false">IF(AA777="","",INDEX('Residual Config'!$D$11:$D$14,AA777))</f>
        <v>0.4</v>
      </c>
      <c r="AD777" s="7" t="str">
        <f aca="false">IF(OR(I777="N/A",P777="",Q777=""),"",IF(P777&gt;=Q777,"Yes","No"))</f>
        <v>Yes</v>
      </c>
      <c r="AE777" s="8"/>
    </row>
    <row r="778" customFormat="false" ht="15" hidden="false" customHeight="false" outlineLevel="0" collapsed="false">
      <c r="A778" s="12" t="s">
        <v>2664</v>
      </c>
      <c r="B778" s="26" t="str">
        <f aca="false">Entities!$A$22</f>
        <v>DZ</v>
      </c>
      <c r="C778" s="12" t="str">
        <f aca="false">INDEX(Entities!$B$5:$B$34,MATCH(B778,Entities!$A$5:$A$34,0))</f>
        <v>Arab Bank – Algeria</v>
      </c>
      <c r="D778" s="7" t="str">
        <f aca="false">INDEX(Entities!$F$5:$F$34,MATCH(B778,Entities!$A$5:$A$34,0))</f>
        <v>Tier 2</v>
      </c>
      <c r="E778" s="26" t="str">
        <f aca="false">'Control Library'!$A$47</f>
        <v>CTL-ST-01</v>
      </c>
      <c r="F778" s="12" t="str">
        <f aca="false">INDEX('Control Library'!$B$5:$B$47,MATCH(E778,'Control Library'!$A$5:$A$47,0))</f>
        <v>Strategy execution monitoring and E&amp;S screening of lending</v>
      </c>
      <c r="G778" s="7" t="str">
        <f aca="false">INDEX('Control Library'!$F$5:$F$47,MATCH(E778,'Control Library'!$A$5:$A$47,0))</f>
        <v>Y</v>
      </c>
      <c r="H778" s="12" t="str">
        <f aca="false">INDEX('Control Library'!$E$5:$E$47,MATCH(E778,'Control Library'!$A$5:$A$47,0))</f>
        <v>Quarterly</v>
      </c>
      <c r="I778" s="7" t="str">
        <f aca="false">IF(INDEX('Control Library'!$I$5:$I$47,MATCH(E778,'Control Library'!$A$5:$A$47,0))="All","Y",IF(INDEX('Control Library'!$I$5:$I$47,MATCH(E778,'Control Library'!$A$5:$A$47,0))="Banks only",IF(COUNTIF('Residual Config'!$L$28:$L$30,INDEX(Entities!$E$5:$E$34,MATCH(B778,Entities!$A$5:$A$34,0)))&gt;0,"N/A","Y"),IF(INDEX(Entities!$G$5:$G$34,MATCH(B778,Entities!$A$5:$A$34,0))="Y","Y","N/A")))</f>
        <v>Y</v>
      </c>
      <c r="J778" s="8" t="s">
        <v>2665</v>
      </c>
      <c r="K778" s="8" t="s">
        <v>2560</v>
      </c>
      <c r="L778" s="7" t="str">
        <f aca="false">IF(OR(J778="",K778=""),"",IF(J778=K778,"Breach","OK"))</f>
        <v>OK</v>
      </c>
      <c r="M778" s="24" t="n">
        <v>3</v>
      </c>
      <c r="N778" s="50" t="n">
        <v>46140</v>
      </c>
      <c r="O778" s="8" t="s">
        <v>545</v>
      </c>
      <c r="P778" s="24" t="n">
        <v>2</v>
      </c>
      <c r="Q778" s="31" t="n">
        <f aca="false">IF(I778="N/A","",IFERROR(INDEX('Residual Config'!$B$35:$B$42,MATCH(H778,'Residual Config'!$A$35:$A$42,0)),""))</f>
        <v>2</v>
      </c>
      <c r="R778" s="24" t="n">
        <v>1</v>
      </c>
      <c r="S778" s="8" t="s">
        <v>521</v>
      </c>
      <c r="T778" s="31" t="n">
        <f aca="false">IF(S778="","",MATCH(S778,'Residual Config'!$L$9:$L$12,0))</f>
        <v>2</v>
      </c>
      <c r="U778" s="8" t="s">
        <v>2666</v>
      </c>
      <c r="V778" s="24" t="n">
        <v>5</v>
      </c>
      <c r="W778" s="33" t="s">
        <v>533</v>
      </c>
      <c r="X778" s="8" t="s">
        <v>760</v>
      </c>
      <c r="Y778" s="51" t="n">
        <f aca="false">IF(N778="","",EDATE(N778,IF(G778="N",INDEX('Residual Config'!$B$31:$D$31,1,MATCH(D778,'Residual Config'!$B$27:$D$27,0)),INDEX('Residual Config'!$B$28:$D$30,IF(T778=1,1,IF(T778=4,3,2)),MATCH(D778,'Residual Config'!$B$27:$D$27,0)))))</f>
        <v>46323</v>
      </c>
      <c r="Z778" s="7" t="str">
        <f aca="false">IF(I778="N/A","N/A",IF(N778="","Not tested",IF(W778="Rejected","Evidence rejected",IF(W778&lt;&gt;"Accepted","Evidence pending",IF(Y778&lt;'Residual Config'!$C$4,"Overdue","Current")))))</f>
        <v>Current</v>
      </c>
      <c r="AA778" s="34" t="n">
        <f aca="false">IF(I778="N/A","",IF(Z778&lt;&gt;"Current",4,IF(MAX(M778,T778)=0,4,MAX(M778,T778))))</f>
        <v>3</v>
      </c>
      <c r="AB778" s="7" t="str">
        <f aca="false">IF(AA778="","N/A",IF(Z778&lt;&gt;"Current","Not tested / overdue",INDEX('Residual Config'!$B$11:$B$14,AA778)))</f>
        <v>Partially effective</v>
      </c>
      <c r="AC778" s="36" t="n">
        <f aca="false">IF(AA778="","",INDEX('Residual Config'!$D$11:$D$14,AA778))</f>
        <v>0.2</v>
      </c>
      <c r="AD778" s="7" t="str">
        <f aca="false">IF(OR(I778="N/A",P778="",Q778=""),"",IF(P778&gt;=Q778,"Yes","No"))</f>
        <v>Yes</v>
      </c>
      <c r="AE778" s="8"/>
    </row>
    <row r="779" customFormat="false" ht="15" hidden="false" customHeight="false" outlineLevel="0" collapsed="false">
      <c r="A779" s="12" t="s">
        <v>2667</v>
      </c>
      <c r="B779" s="26" t="str">
        <f aca="false">Entities!$A$23</f>
        <v>MA</v>
      </c>
      <c r="C779" s="12" t="str">
        <f aca="false">INDEX(Entities!$B$5:$B$34,MATCH(B779,Entities!$A$5:$A$34,0))</f>
        <v>Arab Bank – Morocco</v>
      </c>
      <c r="D779" s="7" t="str">
        <f aca="false">INDEX(Entities!$F$5:$F$34,MATCH(B779,Entities!$A$5:$A$34,0))</f>
        <v>Tier 3</v>
      </c>
      <c r="E779" s="26" t="str">
        <f aca="false">'Control Library'!$A$5</f>
        <v>CTL-KYC-01</v>
      </c>
      <c r="F779" s="12" t="str">
        <f aca="false">INDEX('Control Library'!$B$5:$B$47,MATCH(E779,'Control Library'!$A$5:$A$47,0))</f>
        <v>Customer due diligence and ID verification at onboarding</v>
      </c>
      <c r="G779" s="7" t="str">
        <f aca="false">INDEX('Control Library'!$F$5:$F$47,MATCH(E779,'Control Library'!$A$5:$A$47,0))</f>
        <v>Y</v>
      </c>
      <c r="H779" s="12" t="str">
        <f aca="false">INDEX('Control Library'!$E$5:$E$47,MATCH(E779,'Control Library'!$A$5:$A$47,0))</f>
        <v>Event-driven</v>
      </c>
      <c r="I779" s="7" t="str">
        <f aca="false">IF(INDEX('Control Library'!$I$5:$I$47,MATCH(E779,'Control Library'!$A$5:$A$47,0))="All","Y",IF(INDEX('Control Library'!$I$5:$I$47,MATCH(E779,'Control Library'!$A$5:$A$47,0))="Banks only",IF(COUNTIF('Residual Config'!$L$28:$L$30,INDEX(Entities!$E$5:$E$34,MATCH(B779,Entities!$A$5:$A$34,0)))&gt;0,"N/A","Y"),IF(INDEX(Entities!$G$5:$G$34,MATCH(B779,Entities!$A$5:$A$34,0))="Y","Y","N/A")))</f>
        <v>Y</v>
      </c>
      <c r="J779" s="8" t="s">
        <v>2668</v>
      </c>
      <c r="K779" s="8" t="s">
        <v>2669</v>
      </c>
      <c r="L779" s="7" t="str">
        <f aca="false">IF(OR(J779="",K779=""),"",IF(J779=K779,"Breach","OK"))</f>
        <v>OK</v>
      </c>
      <c r="M779" s="24" t="n">
        <v>1</v>
      </c>
      <c r="N779" s="50" t="n">
        <v>46158</v>
      </c>
      <c r="O779" s="8" t="s">
        <v>545</v>
      </c>
      <c r="P779" s="24" t="n">
        <v>20</v>
      </c>
      <c r="Q779" s="31" t="n">
        <f aca="false">IF(I779="N/A","",IFERROR(INDEX('Residual Config'!$B$35:$B$42,MATCH(H779,'Residual Config'!$A$35:$A$42,0)),""))</f>
        <v>25</v>
      </c>
      <c r="R779" s="24" t="n">
        <v>1</v>
      </c>
      <c r="S779" s="8" t="s">
        <v>521</v>
      </c>
      <c r="T779" s="31" t="n">
        <f aca="false">IF(S779="","",MATCH(S779,'Residual Config'!$L$9:$L$12,0))</f>
        <v>2</v>
      </c>
      <c r="U779" s="8" t="s">
        <v>2670</v>
      </c>
      <c r="V779" s="24" t="n">
        <v>1</v>
      </c>
      <c r="W779" s="33" t="s">
        <v>533</v>
      </c>
      <c r="X779" s="8" t="s">
        <v>760</v>
      </c>
      <c r="Y779" s="51" t="n">
        <f aca="false">IF(N779="","",EDATE(N779,IF(G779="N",INDEX('Residual Config'!$B$31:$D$31,1,MATCH(D779,'Residual Config'!$B$27:$D$27,0)),INDEX('Residual Config'!$B$28:$D$30,IF(T779=1,1,IF(T779=4,3,2)),MATCH(D779,'Residual Config'!$B$27:$D$27,0)))))</f>
        <v>46342</v>
      </c>
      <c r="Z779" s="7" t="str">
        <f aca="false">IF(I779="N/A","N/A",IF(N779="","Not tested",IF(W779="Rejected","Evidence rejected",IF(W779&lt;&gt;"Accepted","Evidence pending",IF(Y779&lt;'Residual Config'!$C$4,"Overdue","Current")))))</f>
        <v>Current</v>
      </c>
      <c r="AA779" s="34" t="n">
        <f aca="false">IF(I779="N/A","",IF(Z779&lt;&gt;"Current",4,IF(MAX(M779,T779)=0,4,MAX(M779,T779))))</f>
        <v>2</v>
      </c>
      <c r="AB779" s="7" t="str">
        <f aca="false">IF(AA779="","N/A",IF(Z779&lt;&gt;"Current","Not tested / overdue",INDEX('Residual Config'!$B$11:$B$14,AA779)))</f>
        <v>Largely effective</v>
      </c>
      <c r="AC779" s="36" t="n">
        <f aca="false">IF(AA779="","",INDEX('Residual Config'!$D$11:$D$14,AA779))</f>
        <v>0.4</v>
      </c>
      <c r="AD779" s="7" t="str">
        <f aca="false">IF(OR(I779="N/A",P779="",Q779=""),"",IF(P779&gt;=Q779,"Yes","No"))</f>
        <v>No</v>
      </c>
      <c r="AE779" s="8"/>
    </row>
    <row r="780" customFormat="false" ht="15" hidden="false" customHeight="false" outlineLevel="0" collapsed="false">
      <c r="A780" s="12" t="s">
        <v>2671</v>
      </c>
      <c r="B780" s="26" t="str">
        <f aca="false">Entities!$A$23</f>
        <v>MA</v>
      </c>
      <c r="C780" s="12" t="str">
        <f aca="false">INDEX(Entities!$B$5:$B$34,MATCH(B780,Entities!$A$5:$A$34,0))</f>
        <v>Arab Bank – Morocco</v>
      </c>
      <c r="D780" s="7" t="str">
        <f aca="false">INDEX(Entities!$F$5:$F$34,MATCH(B780,Entities!$A$5:$A$34,0))</f>
        <v>Tier 3</v>
      </c>
      <c r="E780" s="26" t="str">
        <f aca="false">'Control Library'!$A$6</f>
        <v>CTL-KYC-02</v>
      </c>
      <c r="F780" s="12" t="str">
        <f aca="false">INDEX('Control Library'!$B$5:$B$47,MATCH(E780,'Control Library'!$A$5:$A$47,0))</f>
        <v>Enhanced due diligence for high-risk customers and PEPs, senior approval</v>
      </c>
      <c r="G780" s="7" t="str">
        <f aca="false">INDEX('Control Library'!$F$5:$F$47,MATCH(E780,'Control Library'!$A$5:$A$47,0))</f>
        <v>Y</v>
      </c>
      <c r="H780" s="12" t="str">
        <f aca="false">INDEX('Control Library'!$E$5:$E$47,MATCH(E780,'Control Library'!$A$5:$A$47,0))</f>
        <v>Event-driven</v>
      </c>
      <c r="I780" s="7" t="str">
        <f aca="false">IF(INDEX('Control Library'!$I$5:$I$47,MATCH(E780,'Control Library'!$A$5:$A$47,0))="All","Y",IF(INDEX('Control Library'!$I$5:$I$47,MATCH(E780,'Control Library'!$A$5:$A$47,0))="Banks only",IF(COUNTIF('Residual Config'!$L$28:$L$30,INDEX(Entities!$E$5:$E$34,MATCH(B780,Entities!$A$5:$A$34,0)))&gt;0,"N/A","Y"),IF(INDEX(Entities!$G$5:$G$34,MATCH(B780,Entities!$A$5:$A$34,0))="Y","Y","N/A")))</f>
        <v>Y</v>
      </c>
      <c r="J780" s="8" t="s">
        <v>2672</v>
      </c>
      <c r="K780" s="8" t="s">
        <v>2669</v>
      </c>
      <c r="L780" s="7" t="str">
        <f aca="false">IF(OR(J780="",K780=""),"",IF(J780=K780,"Breach","OK"))</f>
        <v>OK</v>
      </c>
      <c r="M780" s="24" t="n">
        <v>2</v>
      </c>
      <c r="N780" s="50" t="n">
        <v>46083</v>
      </c>
      <c r="O780" s="8" t="s">
        <v>545</v>
      </c>
      <c r="P780" s="24" t="n">
        <v>25</v>
      </c>
      <c r="Q780" s="31" t="n">
        <f aca="false">IF(I780="N/A","",IFERROR(INDEX('Residual Config'!$B$35:$B$42,MATCH(H780,'Residual Config'!$A$35:$A$42,0)),""))</f>
        <v>25</v>
      </c>
      <c r="R780" s="24" t="n">
        <v>1</v>
      </c>
      <c r="S780" s="8" t="s">
        <v>521</v>
      </c>
      <c r="T780" s="31" t="n">
        <f aca="false">IF(S780="","",MATCH(S780,'Residual Config'!$L$9:$L$12,0))</f>
        <v>2</v>
      </c>
      <c r="U780" s="8" t="s">
        <v>2673</v>
      </c>
      <c r="V780" s="24" t="n">
        <v>4</v>
      </c>
      <c r="W780" s="33" t="s">
        <v>533</v>
      </c>
      <c r="X780" s="8" t="s">
        <v>754</v>
      </c>
      <c r="Y780" s="51" t="n">
        <f aca="false">IF(N780="","",EDATE(N780,IF(G780="N",INDEX('Residual Config'!$B$31:$D$31,1,MATCH(D780,'Residual Config'!$B$27:$D$27,0)),INDEX('Residual Config'!$B$28:$D$30,IF(T780=1,1,IF(T780=4,3,2)),MATCH(D780,'Residual Config'!$B$27:$D$27,0)))))</f>
        <v>46267</v>
      </c>
      <c r="Z780" s="7" t="str">
        <f aca="false">IF(I780="N/A","N/A",IF(N780="","Not tested",IF(W780="Rejected","Evidence rejected",IF(W780&lt;&gt;"Accepted","Evidence pending",IF(Y780&lt;'Residual Config'!$C$4,"Overdue","Current")))))</f>
        <v>Overdue</v>
      </c>
      <c r="AA780" s="34" t="n">
        <f aca="false">IF(I780="N/A","",IF(Z780&lt;&gt;"Current",4,IF(MAX(M780,T780)=0,4,MAX(M780,T780))))</f>
        <v>4</v>
      </c>
      <c r="AB780" s="7" t="str">
        <f aca="false">IF(AA780="","N/A",IF(Z780&lt;&gt;"Current","Not tested / overdue",INDEX('Residual Config'!$B$11:$B$14,AA780)))</f>
        <v>Not tested / overdue</v>
      </c>
      <c r="AC780" s="36" t="n">
        <f aca="false">IF(AA780="","",INDEX('Residual Config'!$D$11:$D$14,AA780))</f>
        <v>0</v>
      </c>
      <c r="AD780" s="7" t="str">
        <f aca="false">IF(OR(I780="N/A",P780="",Q780=""),"",IF(P780&gt;=Q780,"Yes","No"))</f>
        <v>Yes</v>
      </c>
      <c r="AE780" s="8"/>
    </row>
    <row r="781" customFormat="false" ht="15" hidden="false" customHeight="false" outlineLevel="0" collapsed="false">
      <c r="A781" s="12" t="s">
        <v>2674</v>
      </c>
      <c r="B781" s="26" t="str">
        <f aca="false">Entities!$A$23</f>
        <v>MA</v>
      </c>
      <c r="C781" s="12" t="str">
        <f aca="false">INDEX(Entities!$B$5:$B$34,MATCH(B781,Entities!$A$5:$A$34,0))</f>
        <v>Arab Bank – Morocco</v>
      </c>
      <c r="D781" s="7" t="str">
        <f aca="false">INDEX(Entities!$F$5:$F$34,MATCH(B781,Entities!$A$5:$A$34,0))</f>
        <v>Tier 3</v>
      </c>
      <c r="E781" s="26" t="str">
        <f aca="false">'Control Library'!$A$7</f>
        <v>CTL-KYC-03</v>
      </c>
      <c r="F781" s="12" t="str">
        <f aca="false">INDEX('Control Library'!$B$5:$B$47,MATCH(E781,'Control Library'!$A$5:$A$47,0))</f>
        <v>Ultimate beneficial owner identification and verification</v>
      </c>
      <c r="G781" s="7" t="str">
        <f aca="false">INDEX('Control Library'!$F$5:$F$47,MATCH(E781,'Control Library'!$A$5:$A$47,0))</f>
        <v>Y</v>
      </c>
      <c r="H781" s="12" t="str">
        <f aca="false">INDEX('Control Library'!$E$5:$E$47,MATCH(E781,'Control Library'!$A$5:$A$47,0))</f>
        <v>Event-driven</v>
      </c>
      <c r="I781" s="7" t="str">
        <f aca="false">IF(INDEX('Control Library'!$I$5:$I$47,MATCH(E781,'Control Library'!$A$5:$A$47,0))="All","Y",IF(INDEX('Control Library'!$I$5:$I$47,MATCH(E781,'Control Library'!$A$5:$A$47,0))="Banks only",IF(COUNTIF('Residual Config'!$L$28:$L$30,INDEX(Entities!$E$5:$E$34,MATCH(B781,Entities!$A$5:$A$34,0)))&gt;0,"N/A","Y"),IF(INDEX(Entities!$G$5:$G$34,MATCH(B781,Entities!$A$5:$A$34,0))="Y","Y","N/A")))</f>
        <v>Y</v>
      </c>
      <c r="J781" s="8" t="s">
        <v>2668</v>
      </c>
      <c r="K781" s="8" t="s">
        <v>2669</v>
      </c>
      <c r="L781" s="7" t="str">
        <f aca="false">IF(OR(J781="",K781=""),"",IF(J781=K781,"Breach","OK"))</f>
        <v>OK</v>
      </c>
      <c r="M781" s="24" t="n">
        <v>2</v>
      </c>
      <c r="N781" s="50" t="n">
        <v>46244</v>
      </c>
      <c r="O781" s="8" t="s">
        <v>546</v>
      </c>
      <c r="P781" s="24" t="n">
        <v>25</v>
      </c>
      <c r="Q781" s="31" t="n">
        <f aca="false">IF(I781="N/A","",IFERROR(INDEX('Residual Config'!$B$35:$B$42,MATCH(H781,'Residual Config'!$A$35:$A$42,0)),""))</f>
        <v>25</v>
      </c>
      <c r="R781" s="24" t="n">
        <v>0</v>
      </c>
      <c r="S781" s="8" t="s">
        <v>516</v>
      </c>
      <c r="T781" s="31" t="n">
        <f aca="false">IF(S781="","",MATCH(S781,'Residual Config'!$L$9:$L$12,0))</f>
        <v>1</v>
      </c>
      <c r="U781" s="8" t="s">
        <v>2675</v>
      </c>
      <c r="V781" s="24" t="n">
        <v>6</v>
      </c>
      <c r="W781" s="33" t="s">
        <v>533</v>
      </c>
      <c r="X781" s="8" t="s">
        <v>754</v>
      </c>
      <c r="Y781" s="51" t="n">
        <f aca="false">IF(N781="","",EDATE(N781,IF(G781="N",INDEX('Residual Config'!$B$31:$D$31,1,MATCH(D781,'Residual Config'!$B$27:$D$27,0)),INDEX('Residual Config'!$B$28:$D$30,IF(T781=1,1,IF(T781=4,3,2)),MATCH(D781,'Residual Config'!$B$27:$D$27,0)))))</f>
        <v>46609</v>
      </c>
      <c r="Z781" s="7" t="str">
        <f aca="false">IF(I781="N/A","N/A",IF(N781="","Not tested",IF(W781="Rejected","Evidence rejected",IF(W781&lt;&gt;"Accepted","Evidence pending",IF(Y781&lt;'Residual Config'!$C$4,"Overdue","Current")))))</f>
        <v>Current</v>
      </c>
      <c r="AA781" s="34" t="n">
        <f aca="false">IF(I781="N/A","",IF(Z781&lt;&gt;"Current",4,IF(MAX(M781,T781)=0,4,MAX(M781,T781))))</f>
        <v>2</v>
      </c>
      <c r="AB781" s="7" t="str">
        <f aca="false">IF(AA781="","N/A",IF(Z781&lt;&gt;"Current","Not tested / overdue",INDEX('Residual Config'!$B$11:$B$14,AA781)))</f>
        <v>Largely effective</v>
      </c>
      <c r="AC781" s="36" t="n">
        <f aca="false">IF(AA781="","",INDEX('Residual Config'!$D$11:$D$14,AA781))</f>
        <v>0.4</v>
      </c>
      <c r="AD781" s="7" t="str">
        <f aca="false">IF(OR(I781="N/A",P781="",Q781=""),"",IF(P781&gt;=Q781,"Yes","No"))</f>
        <v>Yes</v>
      </c>
      <c r="AE781" s="8"/>
    </row>
    <row r="782" customFormat="false" ht="15" hidden="false" customHeight="false" outlineLevel="0" collapsed="false">
      <c r="A782" s="12" t="s">
        <v>2676</v>
      </c>
      <c r="B782" s="26" t="str">
        <f aca="false">Entities!$A$23</f>
        <v>MA</v>
      </c>
      <c r="C782" s="12" t="str">
        <f aca="false">INDEX(Entities!$B$5:$B$34,MATCH(B782,Entities!$A$5:$A$34,0))</f>
        <v>Arab Bank – Morocco</v>
      </c>
      <c r="D782" s="7" t="str">
        <f aca="false">INDEX(Entities!$F$5:$F$34,MATCH(B782,Entities!$A$5:$A$34,0))</f>
        <v>Tier 3</v>
      </c>
      <c r="E782" s="26" t="str">
        <f aca="false">'Control Library'!$A$8</f>
        <v>CTL-KYC-04</v>
      </c>
      <c r="F782" s="12" t="str">
        <f aca="false">INDEX('Control Library'!$B$5:$B$47,MATCH(E782,'Control Library'!$A$5:$A$47,0))</f>
        <v>Periodic KYC review by customer risk rating</v>
      </c>
      <c r="G782" s="7" t="str">
        <f aca="false">INDEX('Control Library'!$F$5:$F$47,MATCH(E782,'Control Library'!$A$5:$A$47,0))</f>
        <v>Y</v>
      </c>
      <c r="H782" s="12" t="str">
        <f aca="false">INDEX('Control Library'!$E$5:$E$47,MATCH(E782,'Control Library'!$A$5:$A$47,0))</f>
        <v>Monthly</v>
      </c>
      <c r="I782" s="7" t="str">
        <f aca="false">IF(INDEX('Control Library'!$I$5:$I$47,MATCH(E782,'Control Library'!$A$5:$A$47,0))="All","Y",IF(INDEX('Control Library'!$I$5:$I$47,MATCH(E782,'Control Library'!$A$5:$A$47,0))="Banks only",IF(COUNTIF('Residual Config'!$L$28:$L$30,INDEX(Entities!$E$5:$E$34,MATCH(B782,Entities!$A$5:$A$34,0)))&gt;0,"N/A","Y"),IF(INDEX(Entities!$G$5:$G$34,MATCH(B782,Entities!$A$5:$A$34,0))="Y","Y","N/A")))</f>
        <v>Y</v>
      </c>
      <c r="J782" s="8" t="s">
        <v>2668</v>
      </c>
      <c r="K782" s="8" t="s">
        <v>2669</v>
      </c>
      <c r="L782" s="7" t="str">
        <f aca="false">IF(OR(J782="",K782=""),"",IF(J782=K782,"Breach","OK"))</f>
        <v>OK</v>
      </c>
      <c r="M782" s="24" t="n">
        <v>1</v>
      </c>
      <c r="N782" s="50" t="n">
        <v>46158</v>
      </c>
      <c r="O782" s="8" t="s">
        <v>546</v>
      </c>
      <c r="P782" s="24" t="n">
        <v>3</v>
      </c>
      <c r="Q782" s="31" t="n">
        <f aca="false">IF(I782="N/A","",IFERROR(INDEX('Residual Config'!$B$35:$B$42,MATCH(H782,'Residual Config'!$A$35:$A$42,0)),""))</f>
        <v>3</v>
      </c>
      <c r="R782" s="24" t="n">
        <v>0</v>
      </c>
      <c r="S782" s="8" t="s">
        <v>516</v>
      </c>
      <c r="T782" s="31" t="n">
        <f aca="false">IF(S782="","",MATCH(S782,'Residual Config'!$L$9:$L$12,0))</f>
        <v>1</v>
      </c>
      <c r="U782" s="8" t="s">
        <v>2677</v>
      </c>
      <c r="V782" s="24" t="n">
        <v>4</v>
      </c>
      <c r="W782" s="33" t="s">
        <v>533</v>
      </c>
      <c r="X782" s="8" t="s">
        <v>760</v>
      </c>
      <c r="Y782" s="51" t="n">
        <f aca="false">IF(N782="","",EDATE(N782,IF(G782="N",INDEX('Residual Config'!$B$31:$D$31,1,MATCH(D782,'Residual Config'!$B$27:$D$27,0)),INDEX('Residual Config'!$B$28:$D$30,IF(T782=1,1,IF(T782=4,3,2)),MATCH(D782,'Residual Config'!$B$27:$D$27,0)))))</f>
        <v>46523</v>
      </c>
      <c r="Z782" s="7" t="str">
        <f aca="false">IF(I782="N/A","N/A",IF(N782="","Not tested",IF(W782="Rejected","Evidence rejected",IF(W782&lt;&gt;"Accepted","Evidence pending",IF(Y782&lt;'Residual Config'!$C$4,"Overdue","Current")))))</f>
        <v>Current</v>
      </c>
      <c r="AA782" s="34" t="n">
        <f aca="false">IF(I782="N/A","",IF(Z782&lt;&gt;"Current",4,IF(MAX(M782,T782)=0,4,MAX(M782,T782))))</f>
        <v>1</v>
      </c>
      <c r="AB782" s="7" t="str">
        <f aca="false">IF(AA782="","N/A",IF(Z782&lt;&gt;"Current","Not tested / overdue",INDEX('Residual Config'!$B$11:$B$14,AA782)))</f>
        <v>Effective</v>
      </c>
      <c r="AC782" s="36" t="n">
        <f aca="false">IF(AA782="","",INDEX('Residual Config'!$D$11:$D$14,AA782))</f>
        <v>0.6</v>
      </c>
      <c r="AD782" s="7" t="str">
        <f aca="false">IF(OR(I782="N/A",P782="",Q782=""),"",IF(P782&gt;=Q782,"Yes","No"))</f>
        <v>Yes</v>
      </c>
      <c r="AE782" s="8"/>
    </row>
    <row r="783" customFormat="false" ht="15" hidden="false" customHeight="false" outlineLevel="0" collapsed="false">
      <c r="A783" s="12" t="s">
        <v>2678</v>
      </c>
      <c r="B783" s="26" t="str">
        <f aca="false">Entities!$A$23</f>
        <v>MA</v>
      </c>
      <c r="C783" s="12" t="str">
        <f aca="false">INDEX(Entities!$B$5:$B$34,MATCH(B783,Entities!$A$5:$A$34,0))</f>
        <v>Arab Bank – Morocco</v>
      </c>
      <c r="D783" s="7" t="str">
        <f aca="false">INDEX(Entities!$F$5:$F$34,MATCH(B783,Entities!$A$5:$A$34,0))</f>
        <v>Tier 3</v>
      </c>
      <c r="E783" s="26" t="str">
        <f aca="false">'Control Library'!$A$9</f>
        <v>CTL-CRR-01</v>
      </c>
      <c r="F783" s="12" t="str">
        <f aca="false">INDEX('Control Library'!$B$5:$B$47,MATCH(E783,'Control Library'!$A$5:$A$47,0))</f>
        <v>Customer risk rating model and annual validation</v>
      </c>
      <c r="G783" s="7" t="str">
        <f aca="false">INDEX('Control Library'!$F$5:$F$47,MATCH(E783,'Control Library'!$A$5:$A$47,0))</f>
        <v>N</v>
      </c>
      <c r="H783" s="12" t="str">
        <f aca="false">INDEX('Control Library'!$E$5:$E$47,MATCH(E783,'Control Library'!$A$5:$A$47,0))</f>
        <v>Annual</v>
      </c>
      <c r="I783" s="7" t="str">
        <f aca="false">IF(INDEX('Control Library'!$I$5:$I$47,MATCH(E783,'Control Library'!$A$5:$A$47,0))="All","Y",IF(INDEX('Control Library'!$I$5:$I$47,MATCH(E783,'Control Library'!$A$5:$A$47,0))="Banks only",IF(COUNTIF('Residual Config'!$L$28:$L$30,INDEX(Entities!$E$5:$E$34,MATCH(B783,Entities!$A$5:$A$34,0)))&gt;0,"N/A","Y"),IF(INDEX(Entities!$G$5:$G$34,MATCH(B783,Entities!$A$5:$A$34,0))="Y","Y","N/A")))</f>
        <v>Y</v>
      </c>
      <c r="J783" s="8" t="s">
        <v>2672</v>
      </c>
      <c r="K783" s="8" t="s">
        <v>2669</v>
      </c>
      <c r="L783" s="7" t="str">
        <f aca="false">IF(OR(J783="",K783=""),"",IF(J783=K783,"Breach","OK"))</f>
        <v>OK</v>
      </c>
      <c r="M783" s="24" t="n">
        <v>2</v>
      </c>
      <c r="N783" s="50" t="n">
        <v>45588</v>
      </c>
      <c r="O783" s="8" t="s">
        <v>547</v>
      </c>
      <c r="P783" s="24" t="n">
        <v>1</v>
      </c>
      <c r="Q783" s="31" t="n">
        <f aca="false">IF(I783="N/A","",IFERROR(INDEX('Residual Config'!$B$35:$B$42,MATCH(H783,'Residual Config'!$A$35:$A$42,0)),""))</f>
        <v>1</v>
      </c>
      <c r="R783" s="24" t="n">
        <v>0</v>
      </c>
      <c r="S783" s="8" t="s">
        <v>516</v>
      </c>
      <c r="T783" s="31" t="n">
        <f aca="false">IF(S783="","",MATCH(S783,'Residual Config'!$L$9:$L$12,0))</f>
        <v>1</v>
      </c>
      <c r="U783" s="8" t="s">
        <v>2679</v>
      </c>
      <c r="V783" s="24" t="n">
        <v>4</v>
      </c>
      <c r="W783" s="33" t="s">
        <v>533</v>
      </c>
      <c r="X783" s="8" t="s">
        <v>760</v>
      </c>
      <c r="Y783" s="51" t="n">
        <f aca="false">IF(N783="","",EDATE(N783,IF(G783="N",INDEX('Residual Config'!$B$31:$D$31,1,MATCH(D783,'Residual Config'!$B$27:$D$27,0)),INDEX('Residual Config'!$B$28:$D$30,IF(T783=1,1,IF(T783=4,3,2)),MATCH(D783,'Residual Config'!$B$27:$D$27,0)))))</f>
        <v>46318</v>
      </c>
      <c r="Z783" s="7" t="str">
        <f aca="false">IF(I783="N/A","N/A",IF(N783="","Not tested",IF(W783="Rejected","Evidence rejected",IF(W783&lt;&gt;"Accepted","Evidence pending",IF(Y783&lt;'Residual Config'!$C$4,"Overdue","Current")))))</f>
        <v>Current</v>
      </c>
      <c r="AA783" s="34" t="n">
        <f aca="false">IF(I783="N/A","",IF(Z783&lt;&gt;"Current",4,IF(MAX(M783,T783)=0,4,MAX(M783,T783))))</f>
        <v>2</v>
      </c>
      <c r="AB783" s="7" t="str">
        <f aca="false">IF(AA783="","N/A",IF(Z783&lt;&gt;"Current","Not tested / overdue",INDEX('Residual Config'!$B$11:$B$14,AA783)))</f>
        <v>Largely effective</v>
      </c>
      <c r="AC783" s="36" t="n">
        <f aca="false">IF(AA783="","",INDEX('Residual Config'!$D$11:$D$14,AA783))</f>
        <v>0.4</v>
      </c>
      <c r="AD783" s="7" t="str">
        <f aca="false">IF(OR(I783="N/A",P783="",Q783=""),"",IF(P783&gt;=Q783,"Yes","No"))</f>
        <v>Yes</v>
      </c>
      <c r="AE783" s="8"/>
    </row>
    <row r="784" customFormat="false" ht="15" hidden="false" customHeight="false" outlineLevel="0" collapsed="false">
      <c r="A784" s="12" t="s">
        <v>2680</v>
      </c>
      <c r="B784" s="26" t="str">
        <f aca="false">Entities!$A$23</f>
        <v>MA</v>
      </c>
      <c r="C784" s="12" t="str">
        <f aca="false">INDEX(Entities!$B$5:$B$34,MATCH(B784,Entities!$A$5:$A$34,0))</f>
        <v>Arab Bank – Morocco</v>
      </c>
      <c r="D784" s="7" t="str">
        <f aca="false">INDEX(Entities!$F$5:$F$34,MATCH(B784,Entities!$A$5:$A$34,0))</f>
        <v>Tier 3</v>
      </c>
      <c r="E784" s="26" t="str">
        <f aca="false">'Control Library'!$A$10</f>
        <v>CTL-TM-01</v>
      </c>
      <c r="F784" s="12" t="str">
        <f aca="false">INDEX('Control Library'!$B$5:$B$47,MATCH(E784,'Control Library'!$A$5:$A$47,0))</f>
        <v>Automated transaction monitoring scenarios and annual tuning</v>
      </c>
      <c r="G784" s="7" t="str">
        <f aca="false">INDEX('Control Library'!$F$5:$F$47,MATCH(E784,'Control Library'!$A$5:$A$47,0))</f>
        <v>Y</v>
      </c>
      <c r="H784" s="12" t="str">
        <f aca="false">INDEX('Control Library'!$E$5:$E$47,MATCH(E784,'Control Library'!$A$5:$A$47,0))</f>
        <v>Continuous</v>
      </c>
      <c r="I784" s="7" t="str">
        <f aca="false">IF(INDEX('Control Library'!$I$5:$I$47,MATCH(E784,'Control Library'!$A$5:$A$47,0))="All","Y",IF(INDEX('Control Library'!$I$5:$I$47,MATCH(E784,'Control Library'!$A$5:$A$47,0))="Banks only",IF(COUNTIF('Residual Config'!$L$28:$L$30,INDEX(Entities!$E$5:$E$34,MATCH(B784,Entities!$A$5:$A$34,0)))&gt;0,"N/A","Y"),IF(INDEX(Entities!$G$5:$G$34,MATCH(B784,Entities!$A$5:$A$34,0))="Y","Y","N/A")))</f>
        <v>Y</v>
      </c>
      <c r="J784" s="8" t="s">
        <v>2681</v>
      </c>
      <c r="K784" s="8" t="s">
        <v>2669</v>
      </c>
      <c r="L784" s="7" t="str">
        <f aca="false">IF(OR(J784="",K784=""),"",IF(J784=K784,"Breach","OK"))</f>
        <v>OK</v>
      </c>
      <c r="M784" s="24" t="n">
        <v>2</v>
      </c>
      <c r="N784" s="50" t="n">
        <v>46214</v>
      </c>
      <c r="O784" s="8" t="s">
        <v>546</v>
      </c>
      <c r="P784" s="24" t="n">
        <v>1</v>
      </c>
      <c r="Q784" s="31" t="n">
        <f aca="false">IF(I784="N/A","",IFERROR(INDEX('Residual Config'!$B$35:$B$42,MATCH(H784,'Residual Config'!$A$35:$A$42,0)),""))</f>
        <v>1</v>
      </c>
      <c r="R784" s="24" t="n">
        <v>0</v>
      </c>
      <c r="S784" s="8" t="s">
        <v>516</v>
      </c>
      <c r="T784" s="31" t="n">
        <f aca="false">IF(S784="","",MATCH(S784,'Residual Config'!$L$9:$L$12,0))</f>
        <v>1</v>
      </c>
      <c r="U784" s="8" t="s">
        <v>2682</v>
      </c>
      <c r="V784" s="24" t="n">
        <v>3</v>
      </c>
      <c r="W784" s="33" t="s">
        <v>533</v>
      </c>
      <c r="X784" s="8" t="s">
        <v>760</v>
      </c>
      <c r="Y784" s="51" t="n">
        <f aca="false">IF(N784="","",EDATE(N784,IF(G784="N",INDEX('Residual Config'!$B$31:$D$31,1,MATCH(D784,'Residual Config'!$B$27:$D$27,0)),INDEX('Residual Config'!$B$28:$D$30,IF(T784=1,1,IF(T784=4,3,2)),MATCH(D784,'Residual Config'!$B$27:$D$27,0)))))</f>
        <v>46579</v>
      </c>
      <c r="Z784" s="7" t="str">
        <f aca="false">IF(I784="N/A","N/A",IF(N784="","Not tested",IF(W784="Rejected","Evidence rejected",IF(W784&lt;&gt;"Accepted","Evidence pending",IF(Y784&lt;'Residual Config'!$C$4,"Overdue","Current")))))</f>
        <v>Current</v>
      </c>
      <c r="AA784" s="34" t="n">
        <f aca="false">IF(I784="N/A","",IF(Z784&lt;&gt;"Current",4,IF(MAX(M784,T784)=0,4,MAX(M784,T784))))</f>
        <v>2</v>
      </c>
      <c r="AB784" s="7" t="str">
        <f aca="false">IF(AA784="","N/A",IF(Z784&lt;&gt;"Current","Not tested / overdue",INDEX('Residual Config'!$B$11:$B$14,AA784)))</f>
        <v>Largely effective</v>
      </c>
      <c r="AC784" s="36" t="n">
        <f aca="false">IF(AA784="","",INDEX('Residual Config'!$D$11:$D$14,AA784))</f>
        <v>0.4</v>
      </c>
      <c r="AD784" s="7" t="str">
        <f aca="false">IF(OR(I784="N/A",P784="",Q784=""),"",IF(P784&gt;=Q784,"Yes","No"))</f>
        <v>Yes</v>
      </c>
      <c r="AE784" s="8"/>
    </row>
    <row r="785" customFormat="false" ht="15" hidden="false" customHeight="false" outlineLevel="0" collapsed="false">
      <c r="A785" s="12" t="s">
        <v>2683</v>
      </c>
      <c r="B785" s="26" t="str">
        <f aca="false">Entities!$A$23</f>
        <v>MA</v>
      </c>
      <c r="C785" s="12" t="str">
        <f aca="false">INDEX(Entities!$B$5:$B$34,MATCH(B785,Entities!$A$5:$A$34,0))</f>
        <v>Arab Bank – Morocco</v>
      </c>
      <c r="D785" s="7" t="str">
        <f aca="false">INDEX(Entities!$F$5:$F$34,MATCH(B785,Entities!$A$5:$A$34,0))</f>
        <v>Tier 3</v>
      </c>
      <c r="E785" s="26" t="str">
        <f aca="false">'Control Library'!$A$11</f>
        <v>CTL-TM-02</v>
      </c>
      <c r="F785" s="12" t="str">
        <f aca="false">INDEX('Control Library'!$B$5:$B$47,MATCH(E785,'Control Library'!$A$5:$A$47,0))</f>
        <v>Alert investigation and quality assurance within SLA</v>
      </c>
      <c r="G785" s="7" t="str">
        <f aca="false">INDEX('Control Library'!$F$5:$F$47,MATCH(E785,'Control Library'!$A$5:$A$47,0))</f>
        <v>Y</v>
      </c>
      <c r="H785" s="12" t="str">
        <f aca="false">INDEX('Control Library'!$E$5:$E$47,MATCH(E785,'Control Library'!$A$5:$A$47,0))</f>
        <v>Daily</v>
      </c>
      <c r="I785" s="7" t="str">
        <f aca="false">IF(INDEX('Control Library'!$I$5:$I$47,MATCH(E785,'Control Library'!$A$5:$A$47,0))="All","Y",IF(INDEX('Control Library'!$I$5:$I$47,MATCH(E785,'Control Library'!$A$5:$A$47,0))="Banks only",IF(COUNTIF('Residual Config'!$L$28:$L$30,INDEX(Entities!$E$5:$E$34,MATCH(B785,Entities!$A$5:$A$34,0)))&gt;0,"N/A","Y"),IF(INDEX(Entities!$G$5:$G$34,MATCH(B785,Entities!$A$5:$A$34,0))="Y","Y","N/A")))</f>
        <v>Y</v>
      </c>
      <c r="J785" s="8" t="s">
        <v>2681</v>
      </c>
      <c r="K785" s="8" t="s">
        <v>2669</v>
      </c>
      <c r="L785" s="7" t="str">
        <f aca="false">IF(OR(J785="",K785=""),"",IF(J785=K785,"Breach","OK"))</f>
        <v>OK</v>
      </c>
      <c r="M785" s="24" t="n">
        <v>2</v>
      </c>
      <c r="N785" s="50" t="n">
        <v>46231</v>
      </c>
      <c r="O785" s="8" t="s">
        <v>545</v>
      </c>
      <c r="P785" s="24" t="n">
        <v>25</v>
      </c>
      <c r="Q785" s="31" t="n">
        <f aca="false">IF(I785="N/A","",IFERROR(INDEX('Residual Config'!$B$35:$B$42,MATCH(H785,'Residual Config'!$A$35:$A$42,0)),""))</f>
        <v>25</v>
      </c>
      <c r="R785" s="24" t="n">
        <v>0</v>
      </c>
      <c r="S785" s="8" t="s">
        <v>516</v>
      </c>
      <c r="T785" s="31" t="n">
        <f aca="false">IF(S785="","",MATCH(S785,'Residual Config'!$L$9:$L$12,0))</f>
        <v>1</v>
      </c>
      <c r="U785" s="8" t="s">
        <v>2684</v>
      </c>
      <c r="V785" s="24" t="n">
        <v>3</v>
      </c>
      <c r="W785" s="33" t="s">
        <v>533</v>
      </c>
      <c r="X785" s="8" t="s">
        <v>760</v>
      </c>
      <c r="Y785" s="51" t="n">
        <f aca="false">IF(N785="","",EDATE(N785,IF(G785="N",INDEX('Residual Config'!$B$31:$D$31,1,MATCH(D785,'Residual Config'!$B$27:$D$27,0)),INDEX('Residual Config'!$B$28:$D$30,IF(T785=1,1,IF(T785=4,3,2)),MATCH(D785,'Residual Config'!$B$27:$D$27,0)))))</f>
        <v>46596</v>
      </c>
      <c r="Z785" s="7" t="str">
        <f aca="false">IF(I785="N/A","N/A",IF(N785="","Not tested",IF(W785="Rejected","Evidence rejected",IF(W785&lt;&gt;"Accepted","Evidence pending",IF(Y785&lt;'Residual Config'!$C$4,"Overdue","Current")))))</f>
        <v>Current</v>
      </c>
      <c r="AA785" s="34" t="n">
        <f aca="false">IF(I785="N/A","",IF(Z785&lt;&gt;"Current",4,IF(MAX(M785,T785)=0,4,MAX(M785,T785))))</f>
        <v>2</v>
      </c>
      <c r="AB785" s="7" t="str">
        <f aca="false">IF(AA785="","N/A",IF(Z785&lt;&gt;"Current","Not tested / overdue",INDEX('Residual Config'!$B$11:$B$14,AA785)))</f>
        <v>Largely effective</v>
      </c>
      <c r="AC785" s="36" t="n">
        <f aca="false">IF(AA785="","",INDEX('Residual Config'!$D$11:$D$14,AA785))</f>
        <v>0.4</v>
      </c>
      <c r="AD785" s="7" t="str">
        <f aca="false">IF(OR(I785="N/A",P785="",Q785=""),"",IF(P785&gt;=Q785,"Yes","No"))</f>
        <v>Yes</v>
      </c>
      <c r="AE785" s="8"/>
    </row>
    <row r="786" customFormat="false" ht="15" hidden="false" customHeight="false" outlineLevel="0" collapsed="false">
      <c r="A786" s="12" t="s">
        <v>2685</v>
      </c>
      <c r="B786" s="26" t="str">
        <f aca="false">Entities!$A$23</f>
        <v>MA</v>
      </c>
      <c r="C786" s="12" t="str">
        <f aca="false">INDEX(Entities!$B$5:$B$34,MATCH(B786,Entities!$A$5:$A$34,0))</f>
        <v>Arab Bank – Morocco</v>
      </c>
      <c r="D786" s="7" t="str">
        <f aca="false">INDEX(Entities!$F$5:$F$34,MATCH(B786,Entities!$A$5:$A$34,0))</f>
        <v>Tier 3</v>
      </c>
      <c r="E786" s="26" t="str">
        <f aca="false">'Control Library'!$A$12</f>
        <v>CTL-STR-01</v>
      </c>
      <c r="F786" s="12" t="str">
        <f aca="false">INDEX('Control Library'!$B$5:$B$47,MATCH(E786,'Control Library'!$A$5:$A$47,0))</f>
        <v>STR decision and filing within regulatory deadline</v>
      </c>
      <c r="G786" s="7" t="str">
        <f aca="false">INDEX('Control Library'!$F$5:$F$47,MATCH(E786,'Control Library'!$A$5:$A$47,0))</f>
        <v>Y</v>
      </c>
      <c r="H786" s="12" t="str">
        <f aca="false">INDEX('Control Library'!$E$5:$E$47,MATCH(E786,'Control Library'!$A$5:$A$47,0))</f>
        <v>Event-driven</v>
      </c>
      <c r="I786" s="7" t="str">
        <f aca="false">IF(INDEX('Control Library'!$I$5:$I$47,MATCH(E786,'Control Library'!$A$5:$A$47,0))="All","Y",IF(INDEX('Control Library'!$I$5:$I$47,MATCH(E786,'Control Library'!$A$5:$A$47,0))="Banks only",IF(COUNTIF('Residual Config'!$L$28:$L$30,INDEX(Entities!$E$5:$E$34,MATCH(B786,Entities!$A$5:$A$34,0)))&gt;0,"N/A","Y"),IF(INDEX(Entities!$G$5:$G$34,MATCH(B786,Entities!$A$5:$A$34,0))="Y","Y","N/A")))</f>
        <v>Y</v>
      </c>
      <c r="J786" s="8" t="s">
        <v>2681</v>
      </c>
      <c r="K786" s="8" t="s">
        <v>2669</v>
      </c>
      <c r="L786" s="7" t="str">
        <f aca="false">IF(OR(J786="",K786=""),"",IF(J786=K786,"Breach","OK"))</f>
        <v>OK</v>
      </c>
      <c r="M786" s="24" t="n">
        <v>2</v>
      </c>
      <c r="N786" s="50" t="n">
        <v>46205</v>
      </c>
      <c r="O786" s="8" t="s">
        <v>545</v>
      </c>
      <c r="P786" s="24" t="n">
        <v>35</v>
      </c>
      <c r="Q786" s="31" t="n">
        <f aca="false">IF(I786="N/A","",IFERROR(INDEX('Residual Config'!$B$35:$B$42,MATCH(H786,'Residual Config'!$A$35:$A$42,0)),""))</f>
        <v>25</v>
      </c>
      <c r="R786" s="24" t="n">
        <v>0</v>
      </c>
      <c r="S786" s="8" t="s">
        <v>516</v>
      </c>
      <c r="T786" s="31" t="n">
        <f aca="false">IF(S786="","",MATCH(S786,'Residual Config'!$L$9:$L$12,0))</f>
        <v>1</v>
      </c>
      <c r="U786" s="8" t="s">
        <v>2686</v>
      </c>
      <c r="V786" s="24" t="n">
        <v>3</v>
      </c>
      <c r="W786" s="33" t="s">
        <v>533</v>
      </c>
      <c r="X786" s="8" t="s">
        <v>760</v>
      </c>
      <c r="Y786" s="51" t="n">
        <f aca="false">IF(N786="","",EDATE(N786,IF(G786="N",INDEX('Residual Config'!$B$31:$D$31,1,MATCH(D786,'Residual Config'!$B$27:$D$27,0)),INDEX('Residual Config'!$B$28:$D$30,IF(T786=1,1,IF(T786=4,3,2)),MATCH(D786,'Residual Config'!$B$27:$D$27,0)))))</f>
        <v>46570</v>
      </c>
      <c r="Z786" s="7" t="str">
        <f aca="false">IF(I786="N/A","N/A",IF(N786="","Not tested",IF(W786="Rejected","Evidence rejected",IF(W786&lt;&gt;"Accepted","Evidence pending",IF(Y786&lt;'Residual Config'!$C$4,"Overdue","Current")))))</f>
        <v>Current</v>
      </c>
      <c r="AA786" s="34" t="n">
        <f aca="false">IF(I786="N/A","",IF(Z786&lt;&gt;"Current",4,IF(MAX(M786,T786)=0,4,MAX(M786,T786))))</f>
        <v>2</v>
      </c>
      <c r="AB786" s="7" t="str">
        <f aca="false">IF(AA786="","N/A",IF(Z786&lt;&gt;"Current","Not tested / overdue",INDEX('Residual Config'!$B$11:$B$14,AA786)))</f>
        <v>Largely effective</v>
      </c>
      <c r="AC786" s="36" t="n">
        <f aca="false">IF(AA786="","",INDEX('Residual Config'!$D$11:$D$14,AA786))</f>
        <v>0.4</v>
      </c>
      <c r="AD786" s="7" t="str">
        <f aca="false">IF(OR(I786="N/A",P786="",Q786=""),"",IF(P786&gt;=Q786,"Yes","No"))</f>
        <v>Yes</v>
      </c>
      <c r="AE786" s="8"/>
    </row>
    <row r="787" customFormat="false" ht="15" hidden="false" customHeight="false" outlineLevel="0" collapsed="false">
      <c r="A787" s="12" t="s">
        <v>2687</v>
      </c>
      <c r="B787" s="26" t="str">
        <f aca="false">Entities!$A$23</f>
        <v>MA</v>
      </c>
      <c r="C787" s="12" t="str">
        <f aca="false">INDEX(Entities!$B$5:$B$34,MATCH(B787,Entities!$A$5:$A$34,0))</f>
        <v>Arab Bank – Morocco</v>
      </c>
      <c r="D787" s="7" t="str">
        <f aca="false">INDEX(Entities!$F$5:$F$34,MATCH(B787,Entities!$A$5:$A$34,0))</f>
        <v>Tier 3</v>
      </c>
      <c r="E787" s="26" t="str">
        <f aca="false">'Control Library'!$A$13</f>
        <v>CTL-SAN-01</v>
      </c>
      <c r="F787" s="12" t="str">
        <f aca="false">INDEX('Control Library'!$B$5:$B$47,MATCH(E787,'Control Library'!$A$5:$A$47,0))</f>
        <v>Real-time payment and transaction sanctions screening</v>
      </c>
      <c r="G787" s="7" t="str">
        <f aca="false">INDEX('Control Library'!$F$5:$F$47,MATCH(E787,'Control Library'!$A$5:$A$47,0))</f>
        <v>Y</v>
      </c>
      <c r="H787" s="12" t="str">
        <f aca="false">INDEX('Control Library'!$E$5:$E$47,MATCH(E787,'Control Library'!$A$5:$A$47,0))</f>
        <v>Continuous</v>
      </c>
      <c r="I787" s="7" t="str">
        <f aca="false">IF(INDEX('Control Library'!$I$5:$I$47,MATCH(E787,'Control Library'!$A$5:$A$47,0))="All","Y",IF(INDEX('Control Library'!$I$5:$I$47,MATCH(E787,'Control Library'!$A$5:$A$47,0))="Banks only",IF(COUNTIF('Residual Config'!$L$28:$L$30,INDEX(Entities!$E$5:$E$34,MATCH(B787,Entities!$A$5:$A$34,0)))&gt;0,"N/A","Y"),IF(INDEX(Entities!$G$5:$G$34,MATCH(B787,Entities!$A$5:$A$34,0))="Y","Y","N/A")))</f>
        <v>Y</v>
      </c>
      <c r="J787" s="8" t="s">
        <v>2688</v>
      </c>
      <c r="K787" s="8" t="s">
        <v>2669</v>
      </c>
      <c r="L787" s="7" t="str">
        <f aca="false">IF(OR(J787="",K787=""),"",IF(J787=K787,"Breach","OK"))</f>
        <v>OK</v>
      </c>
      <c r="M787" s="24" t="n">
        <v>1</v>
      </c>
      <c r="N787" s="50" t="n">
        <v>46271</v>
      </c>
      <c r="O787" s="8" t="s">
        <v>547</v>
      </c>
      <c r="P787" s="24" t="n">
        <v>1</v>
      </c>
      <c r="Q787" s="31" t="n">
        <f aca="false">IF(I787="N/A","",IFERROR(INDEX('Residual Config'!$B$35:$B$42,MATCH(H787,'Residual Config'!$A$35:$A$42,0)),""))</f>
        <v>1</v>
      </c>
      <c r="R787" s="24" t="n">
        <v>0</v>
      </c>
      <c r="S787" s="8" t="s">
        <v>516</v>
      </c>
      <c r="T787" s="31" t="n">
        <f aca="false">IF(S787="","",MATCH(S787,'Residual Config'!$L$9:$L$12,0))</f>
        <v>1</v>
      </c>
      <c r="U787" s="8" t="s">
        <v>2689</v>
      </c>
      <c r="V787" s="24" t="n">
        <v>3</v>
      </c>
      <c r="W787" s="33" t="s">
        <v>536</v>
      </c>
      <c r="X787" s="8"/>
      <c r="Y787" s="51" t="n">
        <f aca="false">IF(N787="","",EDATE(N787,IF(G787="N",INDEX('Residual Config'!$B$31:$D$31,1,MATCH(D787,'Residual Config'!$B$27:$D$27,0)),INDEX('Residual Config'!$B$28:$D$30,IF(T787=1,1,IF(T787=4,3,2)),MATCH(D787,'Residual Config'!$B$27:$D$27,0)))))</f>
        <v>46636</v>
      </c>
      <c r="Z787" s="7" t="str">
        <f aca="false">IF(I787="N/A","N/A",IF(N787="","Not tested",IF(W787="Rejected","Evidence rejected",IF(W787&lt;&gt;"Accepted","Evidence pending",IF(Y787&lt;'Residual Config'!$C$4,"Overdue","Current")))))</f>
        <v>Evidence pending</v>
      </c>
      <c r="AA787" s="34" t="n">
        <f aca="false">IF(I787="N/A","",IF(Z787&lt;&gt;"Current",4,IF(MAX(M787,T787)=0,4,MAX(M787,T787))))</f>
        <v>4</v>
      </c>
      <c r="AB787" s="7" t="str">
        <f aca="false">IF(AA787="","N/A",IF(Z787&lt;&gt;"Current","Not tested / overdue",INDEX('Residual Config'!$B$11:$B$14,AA787)))</f>
        <v>Not tested / overdue</v>
      </c>
      <c r="AC787" s="36" t="n">
        <f aca="false">IF(AA787="","",INDEX('Residual Config'!$D$11:$D$14,AA787))</f>
        <v>0</v>
      </c>
      <c r="AD787" s="7" t="str">
        <f aca="false">IF(OR(I787="N/A",P787="",Q787=""),"",IF(P787&gt;=Q787,"Yes","No"))</f>
        <v>Yes</v>
      </c>
      <c r="AE787" s="8"/>
    </row>
    <row r="788" customFormat="false" ht="15" hidden="false" customHeight="false" outlineLevel="0" collapsed="false">
      <c r="A788" s="12" t="s">
        <v>2690</v>
      </c>
      <c r="B788" s="26" t="str">
        <f aca="false">Entities!$A$23</f>
        <v>MA</v>
      </c>
      <c r="C788" s="12" t="str">
        <f aca="false">INDEX(Entities!$B$5:$B$34,MATCH(B788,Entities!$A$5:$A$34,0))</f>
        <v>Arab Bank – Morocco</v>
      </c>
      <c r="D788" s="7" t="str">
        <f aca="false">INDEX(Entities!$F$5:$F$34,MATCH(B788,Entities!$A$5:$A$34,0))</f>
        <v>Tier 3</v>
      </c>
      <c r="E788" s="26" t="str">
        <f aca="false">'Control Library'!$A$14</f>
        <v>CTL-SAN-02</v>
      </c>
      <c r="F788" s="12" t="str">
        <f aca="false">INDEX('Control Library'!$B$5:$B$47,MATCH(E788,'Control Library'!$A$5:$A$47,0))</f>
        <v>Customer and counterparty screening at onboarding and on list change</v>
      </c>
      <c r="G788" s="7" t="str">
        <f aca="false">INDEX('Control Library'!$F$5:$F$47,MATCH(E788,'Control Library'!$A$5:$A$47,0))</f>
        <v>Y</v>
      </c>
      <c r="H788" s="12" t="str">
        <f aca="false">INDEX('Control Library'!$E$5:$E$47,MATCH(E788,'Control Library'!$A$5:$A$47,0))</f>
        <v>Continuous</v>
      </c>
      <c r="I788" s="7" t="str">
        <f aca="false">IF(INDEX('Control Library'!$I$5:$I$47,MATCH(E788,'Control Library'!$A$5:$A$47,0))="All","Y",IF(INDEX('Control Library'!$I$5:$I$47,MATCH(E788,'Control Library'!$A$5:$A$47,0))="Banks only",IF(COUNTIF('Residual Config'!$L$28:$L$30,INDEX(Entities!$E$5:$E$34,MATCH(B788,Entities!$A$5:$A$34,0)))&gt;0,"N/A","Y"),IF(INDEX(Entities!$G$5:$G$34,MATCH(B788,Entities!$A$5:$A$34,0))="Y","Y","N/A")))</f>
        <v>Y</v>
      </c>
      <c r="J788" s="8" t="s">
        <v>2688</v>
      </c>
      <c r="K788" s="8" t="s">
        <v>2669</v>
      </c>
      <c r="L788" s="7" t="str">
        <f aca="false">IF(OR(J788="",K788=""),"",IF(J788=K788,"Breach","OK"))</f>
        <v>OK</v>
      </c>
      <c r="M788" s="24" t="n">
        <v>2</v>
      </c>
      <c r="N788" s="50" t="n">
        <v>46187</v>
      </c>
      <c r="O788" s="8" t="s">
        <v>547</v>
      </c>
      <c r="P788" s="24" t="n">
        <v>1</v>
      </c>
      <c r="Q788" s="31" t="n">
        <f aca="false">IF(I788="N/A","",IFERROR(INDEX('Residual Config'!$B$35:$B$42,MATCH(H788,'Residual Config'!$A$35:$A$42,0)),""))</f>
        <v>1</v>
      </c>
      <c r="R788" s="24" t="n">
        <v>1</v>
      </c>
      <c r="S788" s="8" t="s">
        <v>521</v>
      </c>
      <c r="T788" s="31" t="n">
        <f aca="false">IF(S788="","",MATCH(S788,'Residual Config'!$L$9:$L$12,0))</f>
        <v>2</v>
      </c>
      <c r="U788" s="8" t="s">
        <v>2691</v>
      </c>
      <c r="V788" s="24" t="n">
        <v>1</v>
      </c>
      <c r="W788" s="33" t="s">
        <v>533</v>
      </c>
      <c r="X788" s="8" t="s">
        <v>754</v>
      </c>
      <c r="Y788" s="51" t="n">
        <f aca="false">IF(N788="","",EDATE(N788,IF(G788="N",INDEX('Residual Config'!$B$31:$D$31,1,MATCH(D788,'Residual Config'!$B$27:$D$27,0)),INDEX('Residual Config'!$B$28:$D$30,IF(T788=1,1,IF(T788=4,3,2)),MATCH(D788,'Residual Config'!$B$27:$D$27,0)))))</f>
        <v>46370</v>
      </c>
      <c r="Z788" s="7" t="str">
        <f aca="false">IF(I788="N/A","N/A",IF(N788="","Not tested",IF(W788="Rejected","Evidence rejected",IF(W788&lt;&gt;"Accepted","Evidence pending",IF(Y788&lt;'Residual Config'!$C$4,"Overdue","Current")))))</f>
        <v>Current</v>
      </c>
      <c r="AA788" s="34" t="n">
        <f aca="false">IF(I788="N/A","",IF(Z788&lt;&gt;"Current",4,IF(MAX(M788,T788)=0,4,MAX(M788,T788))))</f>
        <v>2</v>
      </c>
      <c r="AB788" s="7" t="str">
        <f aca="false">IF(AA788="","N/A",IF(Z788&lt;&gt;"Current","Not tested / overdue",INDEX('Residual Config'!$B$11:$B$14,AA788)))</f>
        <v>Largely effective</v>
      </c>
      <c r="AC788" s="36" t="n">
        <f aca="false">IF(AA788="","",INDEX('Residual Config'!$D$11:$D$14,AA788))</f>
        <v>0.4</v>
      </c>
      <c r="AD788" s="7" t="str">
        <f aca="false">IF(OR(I788="N/A",P788="",Q788=""),"",IF(P788&gt;=Q788,"Yes","No"))</f>
        <v>Yes</v>
      </c>
      <c r="AE788" s="8"/>
    </row>
    <row r="789" customFormat="false" ht="15" hidden="false" customHeight="false" outlineLevel="0" collapsed="false">
      <c r="A789" s="12" t="s">
        <v>2692</v>
      </c>
      <c r="B789" s="26" t="str">
        <f aca="false">Entities!$A$23</f>
        <v>MA</v>
      </c>
      <c r="C789" s="12" t="str">
        <f aca="false">INDEX(Entities!$B$5:$B$34,MATCH(B789,Entities!$A$5:$A$34,0))</f>
        <v>Arab Bank – Morocco</v>
      </c>
      <c r="D789" s="7" t="str">
        <f aca="false">INDEX(Entities!$F$5:$F$34,MATCH(B789,Entities!$A$5:$A$34,0))</f>
        <v>Tier 3</v>
      </c>
      <c r="E789" s="26" t="str">
        <f aca="false">'Control Library'!$A$15</f>
        <v>CTL-SAN-03</v>
      </c>
      <c r="F789" s="12" t="str">
        <f aca="false">INDEX('Control Library'!$B$5:$B$47,MATCH(E789,'Control Library'!$A$5:$A$47,0))</f>
        <v>Sanctions list updates applied within 24 hours</v>
      </c>
      <c r="G789" s="7" t="str">
        <f aca="false">INDEX('Control Library'!$F$5:$F$47,MATCH(E789,'Control Library'!$A$5:$A$47,0))</f>
        <v>N</v>
      </c>
      <c r="H789" s="12" t="str">
        <f aca="false">INDEX('Control Library'!$E$5:$E$47,MATCH(E789,'Control Library'!$A$5:$A$47,0))</f>
        <v>Daily</v>
      </c>
      <c r="I789" s="7" t="str">
        <f aca="false">IF(INDEX('Control Library'!$I$5:$I$47,MATCH(E789,'Control Library'!$A$5:$A$47,0))="All","Y",IF(INDEX('Control Library'!$I$5:$I$47,MATCH(E789,'Control Library'!$A$5:$A$47,0))="Banks only",IF(COUNTIF('Residual Config'!$L$28:$L$30,INDEX(Entities!$E$5:$E$34,MATCH(B789,Entities!$A$5:$A$34,0)))&gt;0,"N/A","Y"),IF(INDEX(Entities!$G$5:$G$34,MATCH(B789,Entities!$A$5:$A$34,0))="Y","Y","N/A")))</f>
        <v>Y</v>
      </c>
      <c r="J789" s="8" t="s">
        <v>2693</v>
      </c>
      <c r="K789" s="8" t="s">
        <v>2669</v>
      </c>
      <c r="L789" s="7" t="str">
        <f aca="false">IF(OR(J789="",K789=""),"",IF(J789=K789,"Breach","OK"))</f>
        <v>OK</v>
      </c>
      <c r="M789" s="24" t="n">
        <v>3</v>
      </c>
      <c r="N789" s="50" t="n">
        <v>45992</v>
      </c>
      <c r="O789" s="8" t="s">
        <v>545</v>
      </c>
      <c r="P789" s="24" t="n">
        <v>30</v>
      </c>
      <c r="Q789" s="31" t="n">
        <f aca="false">IF(I789="N/A","",IFERROR(INDEX('Residual Config'!$B$35:$B$42,MATCH(H789,'Residual Config'!$A$35:$A$42,0)),""))</f>
        <v>25</v>
      </c>
      <c r="R789" s="24" t="n">
        <v>1</v>
      </c>
      <c r="S789" s="8" t="s">
        <v>521</v>
      </c>
      <c r="T789" s="31" t="n">
        <f aca="false">IF(S789="","",MATCH(S789,'Residual Config'!$L$9:$L$12,0))</f>
        <v>2</v>
      </c>
      <c r="U789" s="8" t="s">
        <v>2694</v>
      </c>
      <c r="V789" s="24" t="n">
        <v>3</v>
      </c>
      <c r="W789" s="33" t="s">
        <v>533</v>
      </c>
      <c r="X789" s="8" t="s">
        <v>754</v>
      </c>
      <c r="Y789" s="51" t="n">
        <f aca="false">IF(N789="","",EDATE(N789,IF(G789="N",INDEX('Residual Config'!$B$31:$D$31,1,MATCH(D789,'Residual Config'!$B$27:$D$27,0)),INDEX('Residual Config'!$B$28:$D$30,IF(T789=1,1,IF(T789=4,3,2)),MATCH(D789,'Residual Config'!$B$27:$D$27,0)))))</f>
        <v>46722</v>
      </c>
      <c r="Z789" s="7" t="str">
        <f aca="false">IF(I789="N/A","N/A",IF(N789="","Not tested",IF(W789="Rejected","Evidence rejected",IF(W789&lt;&gt;"Accepted","Evidence pending",IF(Y789&lt;'Residual Config'!$C$4,"Overdue","Current")))))</f>
        <v>Current</v>
      </c>
      <c r="AA789" s="34" t="n">
        <f aca="false">IF(I789="N/A","",IF(Z789&lt;&gt;"Current",4,IF(MAX(M789,T789)=0,4,MAX(M789,T789))))</f>
        <v>3</v>
      </c>
      <c r="AB789" s="7" t="str">
        <f aca="false">IF(AA789="","N/A",IF(Z789&lt;&gt;"Current","Not tested / overdue",INDEX('Residual Config'!$B$11:$B$14,AA789)))</f>
        <v>Partially effective</v>
      </c>
      <c r="AC789" s="36" t="n">
        <f aca="false">IF(AA789="","",INDEX('Residual Config'!$D$11:$D$14,AA789))</f>
        <v>0.2</v>
      </c>
      <c r="AD789" s="7" t="str">
        <f aca="false">IF(OR(I789="N/A",P789="",Q789=""),"",IF(P789&gt;=Q789,"Yes","No"))</f>
        <v>Yes</v>
      </c>
      <c r="AE789" s="8"/>
    </row>
    <row r="790" customFormat="false" ht="15" hidden="false" customHeight="false" outlineLevel="0" collapsed="false">
      <c r="A790" s="12" t="s">
        <v>2695</v>
      </c>
      <c r="B790" s="26" t="str">
        <f aca="false">Entities!$A$23</f>
        <v>MA</v>
      </c>
      <c r="C790" s="12" t="str">
        <f aca="false">INDEX(Entities!$B$5:$B$34,MATCH(B790,Entities!$A$5:$A$34,0))</f>
        <v>Arab Bank – Morocco</v>
      </c>
      <c r="D790" s="7" t="str">
        <f aca="false">INDEX(Entities!$F$5:$F$34,MATCH(B790,Entities!$A$5:$A$34,0))</f>
        <v>Tier 3</v>
      </c>
      <c r="E790" s="26" t="str">
        <f aca="false">'Control Library'!$A$16</f>
        <v>CTL-TF-01</v>
      </c>
      <c r="F790" s="12" t="str">
        <f aca="false">INDEX('Control Library'!$B$5:$B$47,MATCH(E790,'Control Library'!$A$5:$A$47,0))</f>
        <v>NPO and charity enhanced due diligence</v>
      </c>
      <c r="G790" s="7" t="str">
        <f aca="false">INDEX('Control Library'!$F$5:$F$47,MATCH(E790,'Control Library'!$A$5:$A$47,0))</f>
        <v>N</v>
      </c>
      <c r="H790" s="12" t="str">
        <f aca="false">INDEX('Control Library'!$E$5:$E$47,MATCH(E790,'Control Library'!$A$5:$A$47,0))</f>
        <v>Event-driven</v>
      </c>
      <c r="I790" s="7" t="str">
        <f aca="false">IF(INDEX('Control Library'!$I$5:$I$47,MATCH(E790,'Control Library'!$A$5:$A$47,0))="All","Y",IF(INDEX('Control Library'!$I$5:$I$47,MATCH(E790,'Control Library'!$A$5:$A$47,0))="Banks only",IF(COUNTIF('Residual Config'!$L$28:$L$30,INDEX(Entities!$E$5:$E$34,MATCH(B790,Entities!$A$5:$A$34,0)))&gt;0,"N/A","Y"),IF(INDEX(Entities!$G$5:$G$34,MATCH(B790,Entities!$A$5:$A$34,0))="Y","Y","N/A")))</f>
        <v>Y</v>
      </c>
      <c r="J790" s="8" t="s">
        <v>2696</v>
      </c>
      <c r="K790" s="8" t="s">
        <v>2669</v>
      </c>
      <c r="L790" s="7" t="str">
        <f aca="false">IF(OR(J790="",K790=""),"",IF(J790=K790,"Breach","OK"))</f>
        <v>OK</v>
      </c>
      <c r="M790" s="24" t="n">
        <v>1</v>
      </c>
      <c r="N790" s="50" t="n">
        <v>45686</v>
      </c>
      <c r="O790" s="8" t="s">
        <v>545</v>
      </c>
      <c r="P790" s="24" t="n">
        <v>25</v>
      </c>
      <c r="Q790" s="31" t="n">
        <f aca="false">IF(I790="N/A","",IFERROR(INDEX('Residual Config'!$B$35:$B$42,MATCH(H790,'Residual Config'!$A$35:$A$42,0)),""))</f>
        <v>25</v>
      </c>
      <c r="R790" s="24" t="n">
        <v>0</v>
      </c>
      <c r="S790" s="8" t="s">
        <v>516</v>
      </c>
      <c r="T790" s="31" t="n">
        <f aca="false">IF(S790="","",MATCH(S790,'Residual Config'!$L$9:$L$12,0))</f>
        <v>1</v>
      </c>
      <c r="U790" s="8" t="s">
        <v>2697</v>
      </c>
      <c r="V790" s="24" t="n">
        <v>2</v>
      </c>
      <c r="W790" s="33" t="s">
        <v>533</v>
      </c>
      <c r="X790" s="8" t="s">
        <v>754</v>
      </c>
      <c r="Y790" s="51" t="n">
        <f aca="false">IF(N790="","",EDATE(N790,IF(G790="N",INDEX('Residual Config'!$B$31:$D$31,1,MATCH(D790,'Residual Config'!$B$27:$D$27,0)),INDEX('Residual Config'!$B$28:$D$30,IF(T790=1,1,IF(T790=4,3,2)),MATCH(D790,'Residual Config'!$B$27:$D$27,0)))))</f>
        <v>46416</v>
      </c>
      <c r="Z790" s="7" t="str">
        <f aca="false">IF(I790="N/A","N/A",IF(N790="","Not tested",IF(W790="Rejected","Evidence rejected",IF(W790&lt;&gt;"Accepted","Evidence pending",IF(Y790&lt;'Residual Config'!$C$4,"Overdue","Current")))))</f>
        <v>Current</v>
      </c>
      <c r="AA790" s="34" t="n">
        <f aca="false">IF(I790="N/A","",IF(Z790&lt;&gt;"Current",4,IF(MAX(M790,T790)=0,4,MAX(M790,T790))))</f>
        <v>1</v>
      </c>
      <c r="AB790" s="7" t="str">
        <f aca="false">IF(AA790="","N/A",IF(Z790&lt;&gt;"Current","Not tested / overdue",INDEX('Residual Config'!$B$11:$B$14,AA790)))</f>
        <v>Effective</v>
      </c>
      <c r="AC790" s="36" t="n">
        <f aca="false">IF(AA790="","",INDEX('Residual Config'!$D$11:$D$14,AA790))</f>
        <v>0.6</v>
      </c>
      <c r="AD790" s="7" t="str">
        <f aca="false">IF(OR(I790="N/A",P790="",Q790=""),"",IF(P790&gt;=Q790,"Yes","No"))</f>
        <v>Yes</v>
      </c>
      <c r="AE790" s="8"/>
    </row>
    <row r="791" customFormat="false" ht="15" hidden="false" customHeight="false" outlineLevel="0" collapsed="false">
      <c r="A791" s="12" t="s">
        <v>2698</v>
      </c>
      <c r="B791" s="26" t="str">
        <f aca="false">Entities!$A$23</f>
        <v>MA</v>
      </c>
      <c r="C791" s="12" t="str">
        <f aca="false">INDEX(Entities!$B$5:$B$34,MATCH(B791,Entities!$A$5:$A$34,0))</f>
        <v>Arab Bank – Morocco</v>
      </c>
      <c r="D791" s="7" t="str">
        <f aca="false">INDEX(Entities!$F$5:$F$34,MATCH(B791,Entities!$A$5:$A$34,0))</f>
        <v>Tier 3</v>
      </c>
      <c r="E791" s="26" t="str">
        <f aca="false">'Control Library'!$A$17</f>
        <v>CTL-TBML-01</v>
      </c>
      <c r="F791" s="12" t="str">
        <f aca="false">INDEX('Control Library'!$B$5:$B$47,MATCH(E791,'Control Library'!$A$5:$A$47,0))</f>
        <v>Trade-based ML red-flag review and pricing checks</v>
      </c>
      <c r="G791" s="7" t="str">
        <f aca="false">INDEX('Control Library'!$F$5:$F$47,MATCH(E791,'Control Library'!$A$5:$A$47,0))</f>
        <v>Y</v>
      </c>
      <c r="H791" s="12" t="str">
        <f aca="false">INDEX('Control Library'!$E$5:$E$47,MATCH(E791,'Control Library'!$A$5:$A$47,0))</f>
        <v>Event-driven</v>
      </c>
      <c r="I791" s="7" t="str">
        <f aca="false">IF(INDEX('Control Library'!$I$5:$I$47,MATCH(E791,'Control Library'!$A$5:$A$47,0))="All","Y",IF(INDEX('Control Library'!$I$5:$I$47,MATCH(E791,'Control Library'!$A$5:$A$47,0))="Banks only",IF(COUNTIF('Residual Config'!$L$28:$L$30,INDEX(Entities!$E$5:$E$34,MATCH(B791,Entities!$A$5:$A$34,0)))&gt;0,"N/A","Y"),IF(INDEX(Entities!$G$5:$G$34,MATCH(B791,Entities!$A$5:$A$34,0))="Y","Y","N/A")))</f>
        <v>Y</v>
      </c>
      <c r="J791" s="8" t="s">
        <v>2699</v>
      </c>
      <c r="K791" s="8" t="s">
        <v>2669</v>
      </c>
      <c r="L791" s="7" t="str">
        <f aca="false">IF(OR(J791="",K791=""),"",IF(J791=K791,"Breach","OK"))</f>
        <v>OK</v>
      </c>
      <c r="M791" s="24" t="n">
        <v>1</v>
      </c>
      <c r="N791" s="50" t="n">
        <v>46210</v>
      </c>
      <c r="O791" s="8" t="s">
        <v>546</v>
      </c>
      <c r="P791" s="24" t="n">
        <v>35</v>
      </c>
      <c r="Q791" s="31" t="n">
        <f aca="false">IF(I791="N/A","",IFERROR(INDEX('Residual Config'!$B$35:$B$42,MATCH(H791,'Residual Config'!$A$35:$A$42,0)),""))</f>
        <v>25</v>
      </c>
      <c r="R791" s="24" t="n">
        <v>0</v>
      </c>
      <c r="S791" s="8" t="s">
        <v>516</v>
      </c>
      <c r="T791" s="31" t="n">
        <f aca="false">IF(S791="","",MATCH(S791,'Residual Config'!$L$9:$L$12,0))</f>
        <v>1</v>
      </c>
      <c r="U791" s="8" t="s">
        <v>2700</v>
      </c>
      <c r="V791" s="24" t="n">
        <v>6</v>
      </c>
      <c r="W791" s="33" t="s">
        <v>533</v>
      </c>
      <c r="X791" s="8" t="s">
        <v>754</v>
      </c>
      <c r="Y791" s="51" t="n">
        <f aca="false">IF(N791="","",EDATE(N791,IF(G791="N",INDEX('Residual Config'!$B$31:$D$31,1,MATCH(D791,'Residual Config'!$B$27:$D$27,0)),INDEX('Residual Config'!$B$28:$D$30,IF(T791=1,1,IF(T791=4,3,2)),MATCH(D791,'Residual Config'!$B$27:$D$27,0)))))</f>
        <v>46575</v>
      </c>
      <c r="Z791" s="7" t="str">
        <f aca="false">IF(I791="N/A","N/A",IF(N791="","Not tested",IF(W791="Rejected","Evidence rejected",IF(W791&lt;&gt;"Accepted","Evidence pending",IF(Y791&lt;'Residual Config'!$C$4,"Overdue","Current")))))</f>
        <v>Current</v>
      </c>
      <c r="AA791" s="34" t="n">
        <f aca="false">IF(I791="N/A","",IF(Z791&lt;&gt;"Current",4,IF(MAX(M791,T791)=0,4,MAX(M791,T791))))</f>
        <v>1</v>
      </c>
      <c r="AB791" s="7" t="str">
        <f aca="false">IF(AA791="","N/A",IF(Z791&lt;&gt;"Current","Not tested / overdue",INDEX('Residual Config'!$B$11:$B$14,AA791)))</f>
        <v>Effective</v>
      </c>
      <c r="AC791" s="36" t="n">
        <f aca="false">IF(AA791="","",INDEX('Residual Config'!$D$11:$D$14,AA791))</f>
        <v>0.6</v>
      </c>
      <c r="AD791" s="7" t="str">
        <f aca="false">IF(OR(I791="N/A",P791="",Q791=""),"",IF(P791&gt;=Q791,"Yes","No"))</f>
        <v>Yes</v>
      </c>
      <c r="AE791" s="8"/>
    </row>
    <row r="792" customFormat="false" ht="15" hidden="false" customHeight="false" outlineLevel="0" collapsed="false">
      <c r="A792" s="12" t="s">
        <v>2701</v>
      </c>
      <c r="B792" s="26" t="str">
        <f aca="false">Entities!$A$23</f>
        <v>MA</v>
      </c>
      <c r="C792" s="12" t="str">
        <f aca="false">INDEX(Entities!$B$5:$B$34,MATCH(B792,Entities!$A$5:$A$34,0))</f>
        <v>Arab Bank – Morocco</v>
      </c>
      <c r="D792" s="7" t="str">
        <f aca="false">INDEX(Entities!$F$5:$F$34,MATCH(B792,Entities!$A$5:$A$34,0))</f>
        <v>Tier 3</v>
      </c>
      <c r="E792" s="26" t="str">
        <f aca="false">'Control Library'!$A$18</f>
        <v>CTL-PF-01</v>
      </c>
      <c r="F792" s="12" t="str">
        <f aca="false">INDEX('Control Library'!$B$5:$B$47,MATCH(E792,'Control Library'!$A$5:$A$47,0))</f>
        <v>Dual-use goods, vessel and port screening</v>
      </c>
      <c r="G792" s="7" t="str">
        <f aca="false">INDEX('Control Library'!$F$5:$F$47,MATCH(E792,'Control Library'!$A$5:$A$47,0))</f>
        <v>Y</v>
      </c>
      <c r="H792" s="12" t="str">
        <f aca="false">INDEX('Control Library'!$E$5:$E$47,MATCH(E792,'Control Library'!$A$5:$A$47,0))</f>
        <v>Event-driven</v>
      </c>
      <c r="I792" s="7" t="str">
        <f aca="false">IF(INDEX('Control Library'!$I$5:$I$47,MATCH(E792,'Control Library'!$A$5:$A$47,0))="All","Y",IF(INDEX('Control Library'!$I$5:$I$47,MATCH(E792,'Control Library'!$A$5:$A$47,0))="Banks only",IF(COUNTIF('Residual Config'!$L$28:$L$30,INDEX(Entities!$E$5:$E$34,MATCH(B792,Entities!$A$5:$A$34,0)))&gt;0,"N/A","Y"),IF(INDEX(Entities!$G$5:$G$34,MATCH(B792,Entities!$A$5:$A$34,0))="Y","Y","N/A")))</f>
        <v>Y</v>
      </c>
      <c r="J792" s="8" t="s">
        <v>2699</v>
      </c>
      <c r="K792" s="8" t="s">
        <v>2669</v>
      </c>
      <c r="L792" s="7" t="str">
        <f aca="false">IF(OR(J792="",K792=""),"",IF(J792=K792,"Breach","OK"))</f>
        <v>OK</v>
      </c>
      <c r="M792" s="24" t="n">
        <v>3</v>
      </c>
      <c r="N792" s="50" t="n">
        <v>46174</v>
      </c>
      <c r="O792" s="8" t="s">
        <v>545</v>
      </c>
      <c r="P792" s="24" t="n">
        <v>30</v>
      </c>
      <c r="Q792" s="31" t="n">
        <f aca="false">IF(I792="N/A","",IFERROR(INDEX('Residual Config'!$B$35:$B$42,MATCH(H792,'Residual Config'!$A$35:$A$42,0)),""))</f>
        <v>25</v>
      </c>
      <c r="R792" s="24" t="n">
        <v>0</v>
      </c>
      <c r="S792" s="8" t="s">
        <v>516</v>
      </c>
      <c r="T792" s="31" t="n">
        <f aca="false">IF(S792="","",MATCH(S792,'Residual Config'!$L$9:$L$12,0))</f>
        <v>1</v>
      </c>
      <c r="U792" s="8" t="s">
        <v>2702</v>
      </c>
      <c r="V792" s="24" t="n">
        <v>6</v>
      </c>
      <c r="W792" s="33" t="s">
        <v>533</v>
      </c>
      <c r="X792" s="8" t="s">
        <v>760</v>
      </c>
      <c r="Y792" s="51" t="n">
        <f aca="false">IF(N792="","",EDATE(N792,IF(G792="N",INDEX('Residual Config'!$B$31:$D$31,1,MATCH(D792,'Residual Config'!$B$27:$D$27,0)),INDEX('Residual Config'!$B$28:$D$30,IF(T792=1,1,IF(T792=4,3,2)),MATCH(D792,'Residual Config'!$B$27:$D$27,0)))))</f>
        <v>46539</v>
      </c>
      <c r="Z792" s="7" t="str">
        <f aca="false">IF(I792="N/A","N/A",IF(N792="","Not tested",IF(W792="Rejected","Evidence rejected",IF(W792&lt;&gt;"Accepted","Evidence pending",IF(Y792&lt;'Residual Config'!$C$4,"Overdue","Current")))))</f>
        <v>Current</v>
      </c>
      <c r="AA792" s="34" t="n">
        <f aca="false">IF(I792="N/A","",IF(Z792&lt;&gt;"Current",4,IF(MAX(M792,T792)=0,4,MAX(M792,T792))))</f>
        <v>3</v>
      </c>
      <c r="AB792" s="7" t="str">
        <f aca="false">IF(AA792="","N/A",IF(Z792&lt;&gt;"Current","Not tested / overdue",INDEX('Residual Config'!$B$11:$B$14,AA792)))</f>
        <v>Partially effective</v>
      </c>
      <c r="AC792" s="36" t="n">
        <f aca="false">IF(AA792="","",INDEX('Residual Config'!$D$11:$D$14,AA792))</f>
        <v>0.2</v>
      </c>
      <c r="AD792" s="7" t="str">
        <f aca="false">IF(OR(I792="N/A",P792="",Q792=""),"",IF(P792&gt;=Q792,"Yes","No"))</f>
        <v>Yes</v>
      </c>
      <c r="AE792" s="8"/>
    </row>
    <row r="793" customFormat="false" ht="15" hidden="false" customHeight="false" outlineLevel="0" collapsed="false">
      <c r="A793" s="12" t="s">
        <v>2703</v>
      </c>
      <c r="B793" s="26" t="str">
        <f aca="false">Entities!$A$23</f>
        <v>MA</v>
      </c>
      <c r="C793" s="12" t="str">
        <f aca="false">INDEX(Entities!$B$5:$B$34,MATCH(B793,Entities!$A$5:$A$34,0))</f>
        <v>Arab Bank – Morocco</v>
      </c>
      <c r="D793" s="7" t="str">
        <f aca="false">INDEX(Entities!$F$5:$F$34,MATCH(B793,Entities!$A$5:$A$34,0))</f>
        <v>Tier 3</v>
      </c>
      <c r="E793" s="26" t="str">
        <f aca="false">'Control Library'!$A$19</f>
        <v>CTL-CB-01</v>
      </c>
      <c r="F793" s="12" t="str">
        <f aca="false">INDEX('Control Library'!$B$5:$B$47,MATCH(E793,'Control Library'!$A$5:$A$47,0))</f>
        <v>Correspondent bank due diligence (CBDDQ) and nesting detection</v>
      </c>
      <c r="G793" s="7" t="str">
        <f aca="false">INDEX('Control Library'!$F$5:$F$47,MATCH(E793,'Control Library'!$A$5:$A$47,0))</f>
        <v>Y</v>
      </c>
      <c r="H793" s="12" t="str">
        <f aca="false">INDEX('Control Library'!$E$5:$E$47,MATCH(E793,'Control Library'!$A$5:$A$47,0))</f>
        <v>Annual</v>
      </c>
      <c r="I793" s="7" t="str">
        <f aca="false">IF(INDEX('Control Library'!$I$5:$I$47,MATCH(E793,'Control Library'!$A$5:$A$47,0))="All","Y",IF(INDEX('Control Library'!$I$5:$I$47,MATCH(E793,'Control Library'!$A$5:$A$47,0))="Banks only",IF(COUNTIF('Residual Config'!$L$28:$L$30,INDEX(Entities!$E$5:$E$34,MATCH(B793,Entities!$A$5:$A$34,0)))&gt;0,"N/A","Y"),IF(INDEX(Entities!$G$5:$G$34,MATCH(B793,Entities!$A$5:$A$34,0))="Y","Y","N/A")))</f>
        <v>Y</v>
      </c>
      <c r="J793" s="8" t="s">
        <v>2704</v>
      </c>
      <c r="K793" s="8" t="s">
        <v>2669</v>
      </c>
      <c r="L793" s="7" t="str">
        <f aca="false">IF(OR(J793="",K793=""),"",IF(J793=K793,"Breach","OK"))</f>
        <v>OK</v>
      </c>
      <c r="M793" s="24" t="n">
        <v>2</v>
      </c>
      <c r="N793" s="50" t="n">
        <v>46152</v>
      </c>
      <c r="O793" s="8" t="s">
        <v>545</v>
      </c>
      <c r="P793" s="24" t="n">
        <v>1</v>
      </c>
      <c r="Q793" s="31" t="n">
        <f aca="false">IF(I793="N/A","",IFERROR(INDEX('Residual Config'!$B$35:$B$42,MATCH(H793,'Residual Config'!$A$35:$A$42,0)),""))</f>
        <v>1</v>
      </c>
      <c r="R793" s="24" t="n">
        <v>1</v>
      </c>
      <c r="S793" s="8" t="s">
        <v>521</v>
      </c>
      <c r="T793" s="31" t="n">
        <f aca="false">IF(S793="","",MATCH(S793,'Residual Config'!$L$9:$L$12,0))</f>
        <v>2</v>
      </c>
      <c r="U793" s="8" t="s">
        <v>2705</v>
      </c>
      <c r="V793" s="24" t="n">
        <v>5</v>
      </c>
      <c r="W793" s="33" t="s">
        <v>533</v>
      </c>
      <c r="X793" s="8" t="s">
        <v>754</v>
      </c>
      <c r="Y793" s="51" t="n">
        <f aca="false">IF(N793="","",EDATE(N793,IF(G793="N",INDEX('Residual Config'!$B$31:$D$31,1,MATCH(D793,'Residual Config'!$B$27:$D$27,0)),INDEX('Residual Config'!$B$28:$D$30,IF(T793=1,1,IF(T793=4,3,2)),MATCH(D793,'Residual Config'!$B$27:$D$27,0)))))</f>
        <v>46336</v>
      </c>
      <c r="Z793" s="7" t="str">
        <f aca="false">IF(I793="N/A","N/A",IF(N793="","Not tested",IF(W793="Rejected","Evidence rejected",IF(W793&lt;&gt;"Accepted","Evidence pending",IF(Y793&lt;'Residual Config'!$C$4,"Overdue","Current")))))</f>
        <v>Current</v>
      </c>
      <c r="AA793" s="34" t="n">
        <f aca="false">IF(I793="N/A","",IF(Z793&lt;&gt;"Current",4,IF(MAX(M793,T793)=0,4,MAX(M793,T793))))</f>
        <v>2</v>
      </c>
      <c r="AB793" s="7" t="str">
        <f aca="false">IF(AA793="","N/A",IF(Z793&lt;&gt;"Current","Not tested / overdue",INDEX('Residual Config'!$B$11:$B$14,AA793)))</f>
        <v>Largely effective</v>
      </c>
      <c r="AC793" s="36" t="n">
        <f aca="false">IF(AA793="","",INDEX('Residual Config'!$D$11:$D$14,AA793))</f>
        <v>0.4</v>
      </c>
      <c r="AD793" s="7" t="str">
        <f aca="false">IF(OR(I793="N/A",P793="",Q793=""),"",IF(P793&gt;=Q793,"Yes","No"))</f>
        <v>Yes</v>
      </c>
      <c r="AE793" s="8"/>
    </row>
    <row r="794" customFormat="false" ht="15" hidden="false" customHeight="false" outlineLevel="0" collapsed="false">
      <c r="A794" s="12" t="s">
        <v>2706</v>
      </c>
      <c r="B794" s="26" t="str">
        <f aca="false">Entities!$A$23</f>
        <v>MA</v>
      </c>
      <c r="C794" s="12" t="str">
        <f aca="false">INDEX(Entities!$B$5:$B$34,MATCH(B794,Entities!$A$5:$A$34,0))</f>
        <v>Arab Bank – Morocco</v>
      </c>
      <c r="D794" s="7" t="str">
        <f aca="false">INDEX(Entities!$F$5:$F$34,MATCH(B794,Entities!$A$5:$A$34,0))</f>
        <v>Tier 3</v>
      </c>
      <c r="E794" s="26" t="str">
        <f aca="false">'Control Library'!$A$20</f>
        <v>CTL-PAY-01</v>
      </c>
      <c r="F794" s="12" t="str">
        <f aca="false">INDEX('Control Library'!$B$5:$B$47,MATCH(E794,'Control Library'!$A$5:$A$47,0))</f>
        <v>Payment transparency checks (FATF R.16)</v>
      </c>
      <c r="G794" s="7" t="str">
        <f aca="false">INDEX('Control Library'!$F$5:$F$47,MATCH(E794,'Control Library'!$A$5:$A$47,0))</f>
        <v>N</v>
      </c>
      <c r="H794" s="12" t="str">
        <f aca="false">INDEX('Control Library'!$E$5:$E$47,MATCH(E794,'Control Library'!$A$5:$A$47,0))</f>
        <v>Continuous</v>
      </c>
      <c r="I794" s="7" t="str">
        <f aca="false">IF(INDEX('Control Library'!$I$5:$I$47,MATCH(E794,'Control Library'!$A$5:$A$47,0))="All","Y",IF(INDEX('Control Library'!$I$5:$I$47,MATCH(E794,'Control Library'!$A$5:$A$47,0))="Banks only",IF(COUNTIF('Residual Config'!$L$28:$L$30,INDEX(Entities!$E$5:$E$34,MATCH(B794,Entities!$A$5:$A$34,0)))&gt;0,"N/A","Y"),IF(INDEX(Entities!$G$5:$G$34,MATCH(B794,Entities!$A$5:$A$34,0))="Y","Y","N/A")))</f>
        <v>Y</v>
      </c>
      <c r="J794" s="8" t="s">
        <v>2707</v>
      </c>
      <c r="K794" s="8" t="s">
        <v>2669</v>
      </c>
      <c r="L794" s="7" t="str">
        <f aca="false">IF(OR(J794="",K794=""),"",IF(J794=K794,"Breach","OK"))</f>
        <v>OK</v>
      </c>
      <c r="M794" s="24" t="n">
        <v>2</v>
      </c>
      <c r="N794" s="50" t="n">
        <v>46123</v>
      </c>
      <c r="O794" s="8" t="s">
        <v>546</v>
      </c>
      <c r="P794" s="24" t="n">
        <v>1</v>
      </c>
      <c r="Q794" s="31" t="n">
        <f aca="false">IF(I794="N/A","",IFERROR(INDEX('Residual Config'!$B$35:$B$42,MATCH(H794,'Residual Config'!$A$35:$A$42,0)),""))</f>
        <v>1</v>
      </c>
      <c r="R794" s="24" t="n">
        <v>0</v>
      </c>
      <c r="S794" s="8" t="s">
        <v>516</v>
      </c>
      <c r="T794" s="31" t="n">
        <f aca="false">IF(S794="","",MATCH(S794,'Residual Config'!$L$9:$L$12,0))</f>
        <v>1</v>
      </c>
      <c r="U794" s="8" t="s">
        <v>2708</v>
      </c>
      <c r="V794" s="24" t="n">
        <v>6</v>
      </c>
      <c r="W794" s="33" t="s">
        <v>533</v>
      </c>
      <c r="X794" s="8" t="s">
        <v>754</v>
      </c>
      <c r="Y794" s="51" t="n">
        <f aca="false">IF(N794="","",EDATE(N794,IF(G794="N",INDEX('Residual Config'!$B$31:$D$31,1,MATCH(D794,'Residual Config'!$B$27:$D$27,0)),INDEX('Residual Config'!$B$28:$D$30,IF(T794=1,1,IF(T794=4,3,2)),MATCH(D794,'Residual Config'!$B$27:$D$27,0)))))</f>
        <v>46854</v>
      </c>
      <c r="Z794" s="7" t="str">
        <f aca="false">IF(I794="N/A","N/A",IF(N794="","Not tested",IF(W794="Rejected","Evidence rejected",IF(W794&lt;&gt;"Accepted","Evidence pending",IF(Y794&lt;'Residual Config'!$C$4,"Overdue","Current")))))</f>
        <v>Current</v>
      </c>
      <c r="AA794" s="34" t="n">
        <f aca="false">IF(I794="N/A","",IF(Z794&lt;&gt;"Current",4,IF(MAX(M794,T794)=0,4,MAX(M794,T794))))</f>
        <v>2</v>
      </c>
      <c r="AB794" s="7" t="str">
        <f aca="false">IF(AA794="","N/A",IF(Z794&lt;&gt;"Current","Not tested / overdue",INDEX('Residual Config'!$B$11:$B$14,AA794)))</f>
        <v>Largely effective</v>
      </c>
      <c r="AC794" s="36" t="n">
        <f aca="false">IF(AA794="","",INDEX('Residual Config'!$D$11:$D$14,AA794))</f>
        <v>0.4</v>
      </c>
      <c r="AD794" s="7" t="str">
        <f aca="false">IF(OR(I794="N/A",P794="",Q794=""),"",IF(P794&gt;=Q794,"Yes","No"))</f>
        <v>Yes</v>
      </c>
      <c r="AE794" s="8"/>
    </row>
    <row r="795" customFormat="false" ht="15" hidden="false" customHeight="false" outlineLevel="0" collapsed="false">
      <c r="A795" s="12" t="s">
        <v>2709</v>
      </c>
      <c r="B795" s="26" t="str">
        <f aca="false">Entities!$A$23</f>
        <v>MA</v>
      </c>
      <c r="C795" s="12" t="str">
        <f aca="false">INDEX(Entities!$B$5:$B$34,MATCH(B795,Entities!$A$5:$A$34,0))</f>
        <v>Arab Bank – Morocco</v>
      </c>
      <c r="D795" s="7" t="str">
        <f aca="false">INDEX(Entities!$F$5:$F$34,MATCH(B795,Entities!$A$5:$A$34,0))</f>
        <v>Tier 3</v>
      </c>
      <c r="E795" s="26" t="str">
        <f aca="false">'Control Library'!$A$21</f>
        <v>CTL-ABC-01</v>
      </c>
      <c r="F795" s="12" t="str">
        <f aca="false">INDEX('Control Library'!$B$5:$B$47,MATCH(E795,'Control Library'!$A$5:$A$47,0))</f>
        <v>Third-party and intermediary anti-bribery due diligence</v>
      </c>
      <c r="G795" s="7" t="str">
        <f aca="false">INDEX('Control Library'!$F$5:$F$47,MATCH(E795,'Control Library'!$A$5:$A$47,0))</f>
        <v>Y</v>
      </c>
      <c r="H795" s="12" t="str">
        <f aca="false">INDEX('Control Library'!$E$5:$E$47,MATCH(E795,'Control Library'!$A$5:$A$47,0))</f>
        <v>Event-driven</v>
      </c>
      <c r="I795" s="7" t="str">
        <f aca="false">IF(INDEX('Control Library'!$I$5:$I$47,MATCH(E795,'Control Library'!$A$5:$A$47,0))="All","Y",IF(INDEX('Control Library'!$I$5:$I$47,MATCH(E795,'Control Library'!$A$5:$A$47,0))="Banks only",IF(COUNTIF('Residual Config'!$L$28:$L$30,INDEX(Entities!$E$5:$E$34,MATCH(B795,Entities!$A$5:$A$34,0)))&gt;0,"N/A","Y"),IF(INDEX(Entities!$G$5:$G$34,MATCH(B795,Entities!$A$5:$A$34,0))="Y","Y","N/A")))</f>
        <v>Y</v>
      </c>
      <c r="J795" s="8" t="s">
        <v>2710</v>
      </c>
      <c r="K795" s="8" t="s">
        <v>2669</v>
      </c>
      <c r="L795" s="7" t="str">
        <f aca="false">IF(OR(J795="",K795=""),"",IF(J795=K795,"Breach","OK"))</f>
        <v>OK</v>
      </c>
      <c r="M795" s="24" t="n">
        <v>1</v>
      </c>
      <c r="N795" s="50" t="n">
        <v>46212</v>
      </c>
      <c r="O795" s="8" t="s">
        <v>545</v>
      </c>
      <c r="P795" s="24" t="n">
        <v>35</v>
      </c>
      <c r="Q795" s="31" t="n">
        <f aca="false">IF(I795="N/A","",IFERROR(INDEX('Residual Config'!$B$35:$B$42,MATCH(H795,'Residual Config'!$A$35:$A$42,0)),""))</f>
        <v>25</v>
      </c>
      <c r="R795" s="24" t="n">
        <v>0</v>
      </c>
      <c r="S795" s="8" t="s">
        <v>516</v>
      </c>
      <c r="T795" s="31" t="n">
        <f aca="false">IF(S795="","",MATCH(S795,'Residual Config'!$L$9:$L$12,0))</f>
        <v>1</v>
      </c>
      <c r="U795" s="8" t="s">
        <v>2711</v>
      </c>
      <c r="V795" s="24" t="n">
        <v>6</v>
      </c>
      <c r="W795" s="33" t="s">
        <v>533</v>
      </c>
      <c r="X795" s="8" t="s">
        <v>760</v>
      </c>
      <c r="Y795" s="51" t="n">
        <f aca="false">IF(N795="","",EDATE(N795,IF(G795="N",INDEX('Residual Config'!$B$31:$D$31,1,MATCH(D795,'Residual Config'!$B$27:$D$27,0)),INDEX('Residual Config'!$B$28:$D$30,IF(T795=1,1,IF(T795=4,3,2)),MATCH(D795,'Residual Config'!$B$27:$D$27,0)))))</f>
        <v>46577</v>
      </c>
      <c r="Z795" s="7" t="str">
        <f aca="false">IF(I795="N/A","N/A",IF(N795="","Not tested",IF(W795="Rejected","Evidence rejected",IF(W795&lt;&gt;"Accepted","Evidence pending",IF(Y795&lt;'Residual Config'!$C$4,"Overdue","Current")))))</f>
        <v>Current</v>
      </c>
      <c r="AA795" s="34" t="n">
        <f aca="false">IF(I795="N/A","",IF(Z795&lt;&gt;"Current",4,IF(MAX(M795,T795)=0,4,MAX(M795,T795))))</f>
        <v>1</v>
      </c>
      <c r="AB795" s="7" t="str">
        <f aca="false">IF(AA795="","N/A",IF(Z795&lt;&gt;"Current","Not tested / overdue",INDEX('Residual Config'!$B$11:$B$14,AA795)))</f>
        <v>Effective</v>
      </c>
      <c r="AC795" s="36" t="n">
        <f aca="false">IF(AA795="","",INDEX('Residual Config'!$D$11:$D$14,AA795))</f>
        <v>0.6</v>
      </c>
      <c r="AD795" s="7" t="str">
        <f aca="false">IF(OR(I795="N/A",P795="",Q795=""),"",IF(P795&gt;=Q795,"Yes","No"))</f>
        <v>Yes</v>
      </c>
      <c r="AE795" s="8"/>
    </row>
    <row r="796" customFormat="false" ht="15" hidden="false" customHeight="false" outlineLevel="0" collapsed="false">
      <c r="A796" s="12" t="s">
        <v>2712</v>
      </c>
      <c r="B796" s="26" t="str">
        <f aca="false">Entities!$A$23</f>
        <v>MA</v>
      </c>
      <c r="C796" s="12" t="str">
        <f aca="false">INDEX(Entities!$B$5:$B$34,MATCH(B796,Entities!$A$5:$A$34,0))</f>
        <v>Arab Bank – Morocco</v>
      </c>
      <c r="D796" s="7" t="str">
        <f aca="false">INDEX(Entities!$F$5:$F$34,MATCH(B796,Entities!$A$5:$A$34,0))</f>
        <v>Tier 3</v>
      </c>
      <c r="E796" s="26" t="str">
        <f aca="false">'Control Library'!$A$22</f>
        <v>CTL-ABC-02</v>
      </c>
      <c r="F796" s="12" t="str">
        <f aca="false">INDEX('Control Library'!$B$5:$B$47,MATCH(E796,'Control Library'!$A$5:$A$47,0))</f>
        <v>Gifts, hospitality and donations register with pre-approval</v>
      </c>
      <c r="G796" s="7" t="str">
        <f aca="false">INDEX('Control Library'!$F$5:$F$47,MATCH(E796,'Control Library'!$A$5:$A$47,0))</f>
        <v>N</v>
      </c>
      <c r="H796" s="12" t="str">
        <f aca="false">INDEX('Control Library'!$E$5:$E$47,MATCH(E796,'Control Library'!$A$5:$A$47,0))</f>
        <v>Event-driven</v>
      </c>
      <c r="I796" s="7" t="str">
        <f aca="false">IF(INDEX('Control Library'!$I$5:$I$47,MATCH(E796,'Control Library'!$A$5:$A$47,0))="All","Y",IF(INDEX('Control Library'!$I$5:$I$47,MATCH(E796,'Control Library'!$A$5:$A$47,0))="Banks only",IF(COUNTIF('Residual Config'!$L$28:$L$30,INDEX(Entities!$E$5:$E$34,MATCH(B796,Entities!$A$5:$A$34,0)))&gt;0,"N/A","Y"),IF(INDEX(Entities!$G$5:$G$34,MATCH(B796,Entities!$A$5:$A$34,0))="Y","Y","N/A")))</f>
        <v>Y</v>
      </c>
      <c r="J796" s="8" t="s">
        <v>2672</v>
      </c>
      <c r="K796" s="8" t="s">
        <v>2669</v>
      </c>
      <c r="L796" s="7" t="str">
        <f aca="false">IF(OR(J796="",K796=""),"",IF(J796=K796,"Breach","OK"))</f>
        <v>OK</v>
      </c>
      <c r="M796" s="24" t="n">
        <v>2</v>
      </c>
      <c r="N796" s="50" t="n">
        <v>46159</v>
      </c>
      <c r="O796" s="8" t="s">
        <v>546</v>
      </c>
      <c r="P796" s="24" t="n">
        <v>25</v>
      </c>
      <c r="Q796" s="31" t="n">
        <f aca="false">IF(I796="N/A","",IFERROR(INDEX('Residual Config'!$B$35:$B$42,MATCH(H796,'Residual Config'!$A$35:$A$42,0)),""))</f>
        <v>25</v>
      </c>
      <c r="R796" s="24" t="n">
        <v>1</v>
      </c>
      <c r="S796" s="8" t="s">
        <v>521</v>
      </c>
      <c r="T796" s="31" t="n">
        <f aca="false">IF(S796="","",MATCH(S796,'Residual Config'!$L$9:$L$12,0))</f>
        <v>2</v>
      </c>
      <c r="U796" s="8" t="s">
        <v>2713</v>
      </c>
      <c r="V796" s="24" t="n">
        <v>2</v>
      </c>
      <c r="W796" s="33" t="s">
        <v>533</v>
      </c>
      <c r="X796" s="8" t="s">
        <v>760</v>
      </c>
      <c r="Y796" s="51" t="n">
        <f aca="false">IF(N796="","",EDATE(N796,IF(G796="N",INDEX('Residual Config'!$B$31:$D$31,1,MATCH(D796,'Residual Config'!$B$27:$D$27,0)),INDEX('Residual Config'!$B$28:$D$30,IF(T796=1,1,IF(T796=4,3,2)),MATCH(D796,'Residual Config'!$B$27:$D$27,0)))))</f>
        <v>46890</v>
      </c>
      <c r="Z796" s="7" t="str">
        <f aca="false">IF(I796="N/A","N/A",IF(N796="","Not tested",IF(W796="Rejected","Evidence rejected",IF(W796&lt;&gt;"Accepted","Evidence pending",IF(Y796&lt;'Residual Config'!$C$4,"Overdue","Current")))))</f>
        <v>Current</v>
      </c>
      <c r="AA796" s="34" t="n">
        <f aca="false">IF(I796="N/A","",IF(Z796&lt;&gt;"Current",4,IF(MAX(M796,T796)=0,4,MAX(M796,T796))))</f>
        <v>2</v>
      </c>
      <c r="AB796" s="7" t="str">
        <f aca="false">IF(AA796="","N/A",IF(Z796&lt;&gt;"Current","Not tested / overdue",INDEX('Residual Config'!$B$11:$B$14,AA796)))</f>
        <v>Largely effective</v>
      </c>
      <c r="AC796" s="36" t="n">
        <f aca="false">IF(AA796="","",INDEX('Residual Config'!$D$11:$D$14,AA796))</f>
        <v>0.4</v>
      </c>
      <c r="AD796" s="7" t="str">
        <f aca="false">IF(OR(I796="N/A",P796="",Q796=""),"",IF(P796&gt;=Q796,"Yes","No"))</f>
        <v>Yes</v>
      </c>
      <c r="AE796" s="8"/>
    </row>
    <row r="797" customFormat="false" ht="15" hidden="false" customHeight="false" outlineLevel="0" collapsed="false">
      <c r="A797" s="12" t="s">
        <v>2714</v>
      </c>
      <c r="B797" s="26" t="str">
        <f aca="false">Entities!$A$23</f>
        <v>MA</v>
      </c>
      <c r="C797" s="12" t="str">
        <f aca="false">INDEX(Entities!$B$5:$B$34,MATCH(B797,Entities!$A$5:$A$34,0))</f>
        <v>Arab Bank – Morocco</v>
      </c>
      <c r="D797" s="7" t="str">
        <f aca="false">INDEX(Entities!$F$5:$F$34,MATCH(B797,Entities!$A$5:$A$34,0))</f>
        <v>Tier 3</v>
      </c>
      <c r="E797" s="26" t="str">
        <f aca="false">'Control Library'!$A$23</f>
        <v>CTL-FRD-01</v>
      </c>
      <c r="F797" s="12" t="str">
        <f aca="false">INDEX('Control Library'!$B$5:$B$47,MATCH(E797,'Control Library'!$A$5:$A$47,0))</f>
        <v>Real-time fraud monitoring for cards and digital channels</v>
      </c>
      <c r="G797" s="7" t="str">
        <f aca="false">INDEX('Control Library'!$F$5:$F$47,MATCH(E797,'Control Library'!$A$5:$A$47,0))</f>
        <v>Y</v>
      </c>
      <c r="H797" s="12" t="str">
        <f aca="false">INDEX('Control Library'!$E$5:$E$47,MATCH(E797,'Control Library'!$A$5:$A$47,0))</f>
        <v>Continuous</v>
      </c>
      <c r="I797" s="7" t="str">
        <f aca="false">IF(INDEX('Control Library'!$I$5:$I$47,MATCH(E797,'Control Library'!$A$5:$A$47,0))="All","Y",IF(INDEX('Control Library'!$I$5:$I$47,MATCH(E797,'Control Library'!$A$5:$A$47,0))="Banks only",IF(COUNTIF('Residual Config'!$L$28:$L$30,INDEX(Entities!$E$5:$E$34,MATCH(B797,Entities!$A$5:$A$34,0)))&gt;0,"N/A","Y"),IF(INDEX(Entities!$G$5:$G$34,MATCH(B797,Entities!$A$5:$A$34,0))="Y","Y","N/A")))</f>
        <v>Y</v>
      </c>
      <c r="J797" s="8" t="s">
        <v>2715</v>
      </c>
      <c r="K797" s="8" t="s">
        <v>2669</v>
      </c>
      <c r="L797" s="7" t="str">
        <f aca="false">IF(OR(J797="",K797=""),"",IF(J797=K797,"Breach","OK"))</f>
        <v>OK</v>
      </c>
      <c r="M797" s="24" t="n">
        <v>1</v>
      </c>
      <c r="N797" s="50" t="n">
        <v>46262</v>
      </c>
      <c r="O797" s="8" t="s">
        <v>547</v>
      </c>
      <c r="P797" s="24" t="n">
        <v>1</v>
      </c>
      <c r="Q797" s="31" t="n">
        <f aca="false">IF(I797="N/A","",IFERROR(INDEX('Residual Config'!$B$35:$B$42,MATCH(H797,'Residual Config'!$A$35:$A$42,0)),""))</f>
        <v>1</v>
      </c>
      <c r="R797" s="24" t="n">
        <v>0</v>
      </c>
      <c r="S797" s="8" t="s">
        <v>516</v>
      </c>
      <c r="T797" s="31" t="n">
        <f aca="false">IF(S797="","",MATCH(S797,'Residual Config'!$L$9:$L$12,0))</f>
        <v>1</v>
      </c>
      <c r="U797" s="8" t="s">
        <v>2716</v>
      </c>
      <c r="V797" s="24" t="n">
        <v>5</v>
      </c>
      <c r="W797" s="33" t="s">
        <v>533</v>
      </c>
      <c r="X797" s="8" t="s">
        <v>760</v>
      </c>
      <c r="Y797" s="51" t="n">
        <f aca="false">IF(N797="","",EDATE(N797,IF(G797="N",INDEX('Residual Config'!$B$31:$D$31,1,MATCH(D797,'Residual Config'!$B$27:$D$27,0)),INDEX('Residual Config'!$B$28:$D$30,IF(T797=1,1,IF(T797=4,3,2)),MATCH(D797,'Residual Config'!$B$27:$D$27,0)))))</f>
        <v>46627</v>
      </c>
      <c r="Z797" s="7" t="str">
        <f aca="false">IF(I797="N/A","N/A",IF(N797="","Not tested",IF(W797="Rejected","Evidence rejected",IF(W797&lt;&gt;"Accepted","Evidence pending",IF(Y797&lt;'Residual Config'!$C$4,"Overdue","Current")))))</f>
        <v>Current</v>
      </c>
      <c r="AA797" s="34" t="n">
        <f aca="false">IF(I797="N/A","",IF(Z797&lt;&gt;"Current",4,IF(MAX(M797,T797)=0,4,MAX(M797,T797))))</f>
        <v>1</v>
      </c>
      <c r="AB797" s="7" t="str">
        <f aca="false">IF(AA797="","N/A",IF(Z797&lt;&gt;"Current","Not tested / overdue",INDEX('Residual Config'!$B$11:$B$14,AA797)))</f>
        <v>Effective</v>
      </c>
      <c r="AC797" s="36" t="n">
        <f aca="false">IF(AA797="","",INDEX('Residual Config'!$D$11:$D$14,AA797))</f>
        <v>0.6</v>
      </c>
      <c r="AD797" s="7" t="str">
        <f aca="false">IF(OR(I797="N/A",P797="",Q797=""),"",IF(P797&gt;=Q797,"Yes","No"))</f>
        <v>Yes</v>
      </c>
      <c r="AE797" s="8"/>
    </row>
    <row r="798" customFormat="false" ht="15" hidden="false" customHeight="false" outlineLevel="0" collapsed="false">
      <c r="A798" s="12" t="s">
        <v>2717</v>
      </c>
      <c r="B798" s="26" t="str">
        <f aca="false">Entities!$A$23</f>
        <v>MA</v>
      </c>
      <c r="C798" s="12" t="str">
        <f aca="false">INDEX(Entities!$B$5:$B$34,MATCH(B798,Entities!$A$5:$A$34,0))</f>
        <v>Arab Bank – Morocco</v>
      </c>
      <c r="D798" s="7" t="str">
        <f aca="false">INDEX(Entities!$F$5:$F$34,MATCH(B798,Entities!$A$5:$A$34,0))</f>
        <v>Tier 3</v>
      </c>
      <c r="E798" s="26" t="str">
        <f aca="false">'Control Library'!$A$24</f>
        <v>CTL-FRD-02</v>
      </c>
      <c r="F798" s="12" t="str">
        <f aca="false">INDEX('Control Library'!$B$5:$B$47,MATCH(E798,'Control Library'!$A$5:$A$47,0))</f>
        <v>Maker-checker and dual control on payments and static data</v>
      </c>
      <c r="G798" s="7" t="str">
        <f aca="false">INDEX('Control Library'!$F$5:$F$47,MATCH(E798,'Control Library'!$A$5:$A$47,0))</f>
        <v>Y</v>
      </c>
      <c r="H798" s="12" t="str">
        <f aca="false">INDEX('Control Library'!$E$5:$E$47,MATCH(E798,'Control Library'!$A$5:$A$47,0))</f>
        <v>Daily</v>
      </c>
      <c r="I798" s="7" t="str">
        <f aca="false">IF(INDEX('Control Library'!$I$5:$I$47,MATCH(E798,'Control Library'!$A$5:$A$47,0))="All","Y",IF(INDEX('Control Library'!$I$5:$I$47,MATCH(E798,'Control Library'!$A$5:$A$47,0))="Banks only",IF(COUNTIF('Residual Config'!$L$28:$L$30,INDEX(Entities!$E$5:$E$34,MATCH(B798,Entities!$A$5:$A$34,0)))&gt;0,"N/A","Y"),IF(INDEX(Entities!$G$5:$G$34,MATCH(B798,Entities!$A$5:$A$34,0))="Y","Y","N/A")))</f>
        <v>Y</v>
      </c>
      <c r="J798" s="8" t="s">
        <v>2668</v>
      </c>
      <c r="K798" s="8" t="s">
        <v>2669</v>
      </c>
      <c r="L798" s="7" t="str">
        <f aca="false">IF(OR(J798="",K798=""),"",IF(J798=K798,"Breach","OK"))</f>
        <v>OK</v>
      </c>
      <c r="M798" s="24" t="n">
        <v>1</v>
      </c>
      <c r="N798" s="50" t="n">
        <v>46169</v>
      </c>
      <c r="O798" s="8" t="s">
        <v>545</v>
      </c>
      <c r="P798" s="24" t="n">
        <v>25</v>
      </c>
      <c r="Q798" s="31" t="n">
        <f aca="false">IF(I798="N/A","",IFERROR(INDEX('Residual Config'!$B$35:$B$42,MATCH(H798,'Residual Config'!$A$35:$A$42,0)),""))</f>
        <v>25</v>
      </c>
      <c r="R798" s="24" t="n">
        <v>0</v>
      </c>
      <c r="S798" s="8" t="s">
        <v>516</v>
      </c>
      <c r="T798" s="31" t="n">
        <f aca="false">IF(S798="","",MATCH(S798,'Residual Config'!$L$9:$L$12,0))</f>
        <v>1</v>
      </c>
      <c r="U798" s="8" t="s">
        <v>2718</v>
      </c>
      <c r="V798" s="24" t="n">
        <v>6</v>
      </c>
      <c r="W798" s="33" t="s">
        <v>533</v>
      </c>
      <c r="X798" s="8" t="s">
        <v>760</v>
      </c>
      <c r="Y798" s="51" t="n">
        <f aca="false">IF(N798="","",EDATE(N798,IF(G798="N",INDEX('Residual Config'!$B$31:$D$31,1,MATCH(D798,'Residual Config'!$B$27:$D$27,0)),INDEX('Residual Config'!$B$28:$D$30,IF(T798=1,1,IF(T798=4,3,2)),MATCH(D798,'Residual Config'!$B$27:$D$27,0)))))</f>
        <v>46534</v>
      </c>
      <c r="Z798" s="7" t="str">
        <f aca="false">IF(I798="N/A","N/A",IF(N798="","Not tested",IF(W798="Rejected","Evidence rejected",IF(W798&lt;&gt;"Accepted","Evidence pending",IF(Y798&lt;'Residual Config'!$C$4,"Overdue","Current")))))</f>
        <v>Current</v>
      </c>
      <c r="AA798" s="34" t="n">
        <f aca="false">IF(I798="N/A","",IF(Z798&lt;&gt;"Current",4,IF(MAX(M798,T798)=0,4,MAX(M798,T798))))</f>
        <v>1</v>
      </c>
      <c r="AB798" s="7" t="str">
        <f aca="false">IF(AA798="","N/A",IF(Z798&lt;&gt;"Current","Not tested / overdue",INDEX('Residual Config'!$B$11:$B$14,AA798)))</f>
        <v>Effective</v>
      </c>
      <c r="AC798" s="36" t="n">
        <f aca="false">IF(AA798="","",INDEX('Residual Config'!$D$11:$D$14,AA798))</f>
        <v>0.6</v>
      </c>
      <c r="AD798" s="7" t="str">
        <f aca="false">IF(OR(I798="N/A",P798="",Q798=""),"",IF(P798&gt;=Q798,"Yes","No"))</f>
        <v>Yes</v>
      </c>
      <c r="AE798" s="8"/>
    </row>
    <row r="799" customFormat="false" ht="15" hidden="false" customHeight="false" outlineLevel="0" collapsed="false">
      <c r="A799" s="12" t="s">
        <v>2719</v>
      </c>
      <c r="B799" s="26" t="str">
        <f aca="false">Entities!$A$23</f>
        <v>MA</v>
      </c>
      <c r="C799" s="12" t="str">
        <f aca="false">INDEX(Entities!$B$5:$B$34,MATCH(B799,Entities!$A$5:$A$34,0))</f>
        <v>Arab Bank – Morocco</v>
      </c>
      <c r="D799" s="7" t="str">
        <f aca="false">INDEX(Entities!$F$5:$F$34,MATCH(B799,Entities!$A$5:$A$34,0))</f>
        <v>Tier 3</v>
      </c>
      <c r="E799" s="26" t="str">
        <f aca="false">'Control Library'!$A$25</f>
        <v>CTL-FRD-03</v>
      </c>
      <c r="F799" s="12" t="str">
        <f aca="false">INDEX('Control Library'!$B$5:$B$47,MATCH(E799,'Control Library'!$A$5:$A$47,0))</f>
        <v>Mandatory consecutive leave and rotation for sensitive roles</v>
      </c>
      <c r="G799" s="7" t="str">
        <f aca="false">INDEX('Control Library'!$F$5:$F$47,MATCH(E799,'Control Library'!$A$5:$A$47,0))</f>
        <v>N</v>
      </c>
      <c r="H799" s="12" t="str">
        <f aca="false">INDEX('Control Library'!$E$5:$E$47,MATCH(E799,'Control Library'!$A$5:$A$47,0))</f>
        <v>Annual</v>
      </c>
      <c r="I799" s="7" t="str">
        <f aca="false">IF(INDEX('Control Library'!$I$5:$I$47,MATCH(E799,'Control Library'!$A$5:$A$47,0))="All","Y",IF(INDEX('Control Library'!$I$5:$I$47,MATCH(E799,'Control Library'!$A$5:$A$47,0))="Banks only",IF(COUNTIF('Residual Config'!$L$28:$L$30,INDEX(Entities!$E$5:$E$34,MATCH(B799,Entities!$A$5:$A$34,0)))&gt;0,"N/A","Y"),IF(INDEX(Entities!$G$5:$G$34,MATCH(B799,Entities!$A$5:$A$34,0))="Y","Y","N/A")))</f>
        <v>Y</v>
      </c>
      <c r="J799" s="8" t="s">
        <v>2720</v>
      </c>
      <c r="K799" s="8" t="s">
        <v>2669</v>
      </c>
      <c r="L799" s="7" t="str">
        <f aca="false">IF(OR(J799="",K799=""),"",IF(J799=K799,"Breach","OK"))</f>
        <v>OK</v>
      </c>
      <c r="M799" s="24" t="n">
        <v>3</v>
      </c>
      <c r="N799" s="50" t="n">
        <v>46044</v>
      </c>
      <c r="O799" s="8" t="s">
        <v>545</v>
      </c>
      <c r="P799" s="24" t="n">
        <v>1</v>
      </c>
      <c r="Q799" s="31" t="n">
        <f aca="false">IF(I799="N/A","",IFERROR(INDEX('Residual Config'!$B$35:$B$42,MATCH(H799,'Residual Config'!$A$35:$A$42,0)),""))</f>
        <v>1</v>
      </c>
      <c r="R799" s="24" t="n">
        <v>1</v>
      </c>
      <c r="S799" s="8" t="s">
        <v>521</v>
      </c>
      <c r="T799" s="31" t="n">
        <f aca="false">IF(S799="","",MATCH(S799,'Residual Config'!$L$9:$L$12,0))</f>
        <v>2</v>
      </c>
      <c r="U799" s="8" t="s">
        <v>2721</v>
      </c>
      <c r="V799" s="24" t="n">
        <v>3</v>
      </c>
      <c r="W799" s="33" t="s">
        <v>533</v>
      </c>
      <c r="X799" s="8" t="s">
        <v>754</v>
      </c>
      <c r="Y799" s="51" t="n">
        <f aca="false">IF(N799="","",EDATE(N799,IF(G799="N",INDEX('Residual Config'!$B$31:$D$31,1,MATCH(D799,'Residual Config'!$B$27:$D$27,0)),INDEX('Residual Config'!$B$28:$D$30,IF(T799=1,1,IF(T799=4,3,2)),MATCH(D799,'Residual Config'!$B$27:$D$27,0)))))</f>
        <v>46774</v>
      </c>
      <c r="Z799" s="7" t="str">
        <f aca="false">IF(I799="N/A","N/A",IF(N799="","Not tested",IF(W799="Rejected","Evidence rejected",IF(W799&lt;&gt;"Accepted","Evidence pending",IF(Y799&lt;'Residual Config'!$C$4,"Overdue","Current")))))</f>
        <v>Current</v>
      </c>
      <c r="AA799" s="34" t="n">
        <f aca="false">IF(I799="N/A","",IF(Z799&lt;&gt;"Current",4,IF(MAX(M799,T799)=0,4,MAX(M799,T799))))</f>
        <v>3</v>
      </c>
      <c r="AB799" s="7" t="str">
        <f aca="false">IF(AA799="","N/A",IF(Z799&lt;&gt;"Current","Not tested / overdue",INDEX('Residual Config'!$B$11:$B$14,AA799)))</f>
        <v>Partially effective</v>
      </c>
      <c r="AC799" s="36" t="n">
        <f aca="false">IF(AA799="","",INDEX('Residual Config'!$D$11:$D$14,AA799))</f>
        <v>0.2</v>
      </c>
      <c r="AD799" s="7" t="str">
        <f aca="false">IF(OR(I799="N/A",P799="",Q799=""),"",IF(P799&gt;=Q799,"Yes","No"))</f>
        <v>Yes</v>
      </c>
      <c r="AE799" s="8"/>
    </row>
    <row r="800" customFormat="false" ht="15" hidden="false" customHeight="false" outlineLevel="0" collapsed="false">
      <c r="A800" s="12" t="s">
        <v>2722</v>
      </c>
      <c r="B800" s="26" t="str">
        <f aca="false">Entities!$A$23</f>
        <v>MA</v>
      </c>
      <c r="C800" s="12" t="str">
        <f aca="false">INDEX(Entities!$B$5:$B$34,MATCH(B800,Entities!$A$5:$A$34,0))</f>
        <v>Arab Bank – Morocco</v>
      </c>
      <c r="D800" s="7" t="str">
        <f aca="false">INDEX(Entities!$F$5:$F$34,MATCH(B800,Entities!$A$5:$A$34,0))</f>
        <v>Tier 3</v>
      </c>
      <c r="E800" s="26" t="str">
        <f aca="false">'Control Library'!$A$26</f>
        <v>CTL-TAX-01</v>
      </c>
      <c r="F800" s="12" t="str">
        <f aca="false">INDEX('Control Library'!$B$5:$B$47,MATCH(E800,'Control Library'!$A$5:$A$47,0))</f>
        <v>FATCA/CRS self-certification and classification</v>
      </c>
      <c r="G800" s="7" t="str">
        <f aca="false">INDEX('Control Library'!$F$5:$F$47,MATCH(E800,'Control Library'!$A$5:$A$47,0))</f>
        <v>Y</v>
      </c>
      <c r="H800" s="12" t="str">
        <f aca="false">INDEX('Control Library'!$E$5:$E$47,MATCH(E800,'Control Library'!$A$5:$A$47,0))</f>
        <v>Event-driven</v>
      </c>
      <c r="I800" s="7" t="str">
        <f aca="false">IF(INDEX('Control Library'!$I$5:$I$47,MATCH(E800,'Control Library'!$A$5:$A$47,0))="All","Y",IF(INDEX('Control Library'!$I$5:$I$47,MATCH(E800,'Control Library'!$A$5:$A$47,0))="Banks only",IF(COUNTIF('Residual Config'!$L$28:$L$30,INDEX(Entities!$E$5:$E$34,MATCH(B800,Entities!$A$5:$A$34,0)))&gt;0,"N/A","Y"),IF(INDEX(Entities!$G$5:$G$34,MATCH(B800,Entities!$A$5:$A$34,0))="Y","Y","N/A")))</f>
        <v>Y</v>
      </c>
      <c r="J800" s="8" t="s">
        <v>2668</v>
      </c>
      <c r="K800" s="8" t="s">
        <v>2669</v>
      </c>
      <c r="L800" s="7" t="str">
        <f aca="false">IF(OR(J800="",K800=""),"",IF(J800=K800,"Breach","OK"))</f>
        <v>OK</v>
      </c>
      <c r="M800" s="24" t="n">
        <v>2</v>
      </c>
      <c r="N800" s="50" t="n">
        <v>46202</v>
      </c>
      <c r="O800" s="8" t="s">
        <v>545</v>
      </c>
      <c r="P800" s="24" t="n">
        <v>35</v>
      </c>
      <c r="Q800" s="31" t="n">
        <f aca="false">IF(I800="N/A","",IFERROR(INDEX('Residual Config'!$B$35:$B$42,MATCH(H800,'Residual Config'!$A$35:$A$42,0)),""))</f>
        <v>25</v>
      </c>
      <c r="R800" s="24" t="n">
        <v>1</v>
      </c>
      <c r="S800" s="8" t="s">
        <v>521</v>
      </c>
      <c r="T800" s="31" t="n">
        <f aca="false">IF(S800="","",MATCH(S800,'Residual Config'!$L$9:$L$12,0))</f>
        <v>2</v>
      </c>
      <c r="U800" s="8" t="s">
        <v>2723</v>
      </c>
      <c r="V800" s="24" t="n">
        <v>4</v>
      </c>
      <c r="W800" s="33" t="s">
        <v>533</v>
      </c>
      <c r="X800" s="8" t="s">
        <v>760</v>
      </c>
      <c r="Y800" s="51" t="n">
        <f aca="false">IF(N800="","",EDATE(N800,IF(G800="N",INDEX('Residual Config'!$B$31:$D$31,1,MATCH(D800,'Residual Config'!$B$27:$D$27,0)),INDEX('Residual Config'!$B$28:$D$30,IF(T800=1,1,IF(T800=4,3,2)),MATCH(D800,'Residual Config'!$B$27:$D$27,0)))))</f>
        <v>46385</v>
      </c>
      <c r="Z800" s="7" t="str">
        <f aca="false">IF(I800="N/A","N/A",IF(N800="","Not tested",IF(W800="Rejected","Evidence rejected",IF(W800&lt;&gt;"Accepted","Evidence pending",IF(Y800&lt;'Residual Config'!$C$4,"Overdue","Current")))))</f>
        <v>Current</v>
      </c>
      <c r="AA800" s="34" t="n">
        <f aca="false">IF(I800="N/A","",IF(Z800&lt;&gt;"Current",4,IF(MAX(M800,T800)=0,4,MAX(M800,T800))))</f>
        <v>2</v>
      </c>
      <c r="AB800" s="7" t="str">
        <f aca="false">IF(AA800="","N/A",IF(Z800&lt;&gt;"Current","Not tested / overdue",INDEX('Residual Config'!$B$11:$B$14,AA800)))</f>
        <v>Largely effective</v>
      </c>
      <c r="AC800" s="36" t="n">
        <f aca="false">IF(AA800="","",INDEX('Residual Config'!$D$11:$D$14,AA800))</f>
        <v>0.4</v>
      </c>
      <c r="AD800" s="7" t="str">
        <f aca="false">IF(OR(I800="N/A",P800="",Q800=""),"",IF(P800&gt;=Q800,"Yes","No"))</f>
        <v>Yes</v>
      </c>
      <c r="AE800" s="8"/>
    </row>
    <row r="801" customFormat="false" ht="15" hidden="false" customHeight="false" outlineLevel="0" collapsed="false">
      <c r="A801" s="12" t="s">
        <v>2724</v>
      </c>
      <c r="B801" s="26" t="str">
        <f aca="false">Entities!$A$23</f>
        <v>MA</v>
      </c>
      <c r="C801" s="12" t="str">
        <f aca="false">INDEX(Entities!$B$5:$B$34,MATCH(B801,Entities!$A$5:$A$34,0))</f>
        <v>Arab Bank – Morocco</v>
      </c>
      <c r="D801" s="7" t="str">
        <f aca="false">INDEX(Entities!$F$5:$F$34,MATCH(B801,Entities!$A$5:$A$34,0))</f>
        <v>Tier 3</v>
      </c>
      <c r="E801" s="26" t="str">
        <f aca="false">'Control Library'!$A$27</f>
        <v>CTL-TAX-02</v>
      </c>
      <c r="F801" s="12" t="str">
        <f aca="false">INDEX('Control Library'!$B$5:$B$47,MATCH(E801,'Control Library'!$A$5:$A$47,0))</f>
        <v>FATCA/CRS reporting reconciliation and timely filing</v>
      </c>
      <c r="G801" s="7" t="str">
        <f aca="false">INDEX('Control Library'!$F$5:$F$47,MATCH(E801,'Control Library'!$A$5:$A$47,0))</f>
        <v>N</v>
      </c>
      <c r="H801" s="12" t="str">
        <f aca="false">INDEX('Control Library'!$E$5:$E$47,MATCH(E801,'Control Library'!$A$5:$A$47,0))</f>
        <v>Annual</v>
      </c>
      <c r="I801" s="7" t="str">
        <f aca="false">IF(INDEX('Control Library'!$I$5:$I$47,MATCH(E801,'Control Library'!$A$5:$A$47,0))="All","Y",IF(INDEX('Control Library'!$I$5:$I$47,MATCH(E801,'Control Library'!$A$5:$A$47,0))="Banks only",IF(COUNTIF('Residual Config'!$L$28:$L$30,INDEX(Entities!$E$5:$E$34,MATCH(B801,Entities!$A$5:$A$34,0)))&gt;0,"N/A","Y"),IF(INDEX(Entities!$G$5:$G$34,MATCH(B801,Entities!$A$5:$A$34,0))="Y","Y","N/A")))</f>
        <v>Y</v>
      </c>
      <c r="J801" s="8" t="s">
        <v>2725</v>
      </c>
      <c r="K801" s="8" t="s">
        <v>2669</v>
      </c>
      <c r="L801" s="7" t="str">
        <f aca="false">IF(OR(J801="",K801=""),"",IF(J801=K801,"Breach","OK"))</f>
        <v>OK</v>
      </c>
      <c r="M801" s="24" t="n">
        <v>2</v>
      </c>
      <c r="N801" s="50" t="n">
        <v>46177</v>
      </c>
      <c r="O801" s="8" t="s">
        <v>545</v>
      </c>
      <c r="P801" s="24" t="n">
        <v>1</v>
      </c>
      <c r="Q801" s="31" t="n">
        <f aca="false">IF(I801="N/A","",IFERROR(INDEX('Residual Config'!$B$35:$B$42,MATCH(H801,'Residual Config'!$A$35:$A$42,0)),""))</f>
        <v>1</v>
      </c>
      <c r="R801" s="24" t="n">
        <v>0</v>
      </c>
      <c r="S801" s="8" t="s">
        <v>516</v>
      </c>
      <c r="T801" s="31" t="n">
        <f aca="false">IF(S801="","",MATCH(S801,'Residual Config'!$L$9:$L$12,0))</f>
        <v>1</v>
      </c>
      <c r="U801" s="8" t="s">
        <v>2726</v>
      </c>
      <c r="V801" s="24" t="n">
        <v>4</v>
      </c>
      <c r="W801" s="33" t="s">
        <v>533</v>
      </c>
      <c r="X801" s="8" t="s">
        <v>760</v>
      </c>
      <c r="Y801" s="51" t="n">
        <f aca="false">IF(N801="","",EDATE(N801,IF(G801="N",INDEX('Residual Config'!$B$31:$D$31,1,MATCH(D801,'Residual Config'!$B$27:$D$27,0)),INDEX('Residual Config'!$B$28:$D$30,IF(T801=1,1,IF(T801=4,3,2)),MATCH(D801,'Residual Config'!$B$27:$D$27,0)))))</f>
        <v>46908</v>
      </c>
      <c r="Z801" s="7" t="str">
        <f aca="false">IF(I801="N/A","N/A",IF(N801="","Not tested",IF(W801="Rejected","Evidence rejected",IF(W801&lt;&gt;"Accepted","Evidence pending",IF(Y801&lt;'Residual Config'!$C$4,"Overdue","Current")))))</f>
        <v>Current</v>
      </c>
      <c r="AA801" s="34" t="n">
        <f aca="false">IF(I801="N/A","",IF(Z801&lt;&gt;"Current",4,IF(MAX(M801,T801)=0,4,MAX(M801,T801))))</f>
        <v>2</v>
      </c>
      <c r="AB801" s="7" t="str">
        <f aca="false">IF(AA801="","N/A",IF(Z801&lt;&gt;"Current","Not tested / overdue",INDEX('Residual Config'!$B$11:$B$14,AA801)))</f>
        <v>Largely effective</v>
      </c>
      <c r="AC801" s="36" t="n">
        <f aca="false">IF(AA801="","",INDEX('Residual Config'!$D$11:$D$14,AA801))</f>
        <v>0.4</v>
      </c>
      <c r="AD801" s="7" t="str">
        <f aca="false">IF(OR(I801="N/A",P801="",Q801=""),"",IF(P801&gt;=Q801,"Yes","No"))</f>
        <v>Yes</v>
      </c>
      <c r="AE801" s="8"/>
    </row>
    <row r="802" customFormat="false" ht="15" hidden="false" customHeight="false" outlineLevel="0" collapsed="false">
      <c r="A802" s="12" t="s">
        <v>2727</v>
      </c>
      <c r="B802" s="26" t="str">
        <f aca="false">Entities!$A$23</f>
        <v>MA</v>
      </c>
      <c r="C802" s="12" t="str">
        <f aca="false">INDEX(Entities!$B$5:$B$34,MATCH(B802,Entities!$A$5:$A$34,0))</f>
        <v>Arab Bank – Morocco</v>
      </c>
      <c r="D802" s="7" t="str">
        <f aca="false">INDEX(Entities!$F$5:$F$34,MATCH(B802,Entities!$A$5:$A$34,0))</f>
        <v>Tier 3</v>
      </c>
      <c r="E802" s="26" t="str">
        <f aca="false">'Control Library'!$A$28</f>
        <v>CTL-TRN-01</v>
      </c>
      <c r="F802" s="12" t="str">
        <f aca="false">INDEX('Control Library'!$B$5:$B$47,MATCH(E802,'Control Library'!$A$5:$A$47,0))</f>
        <v>Annual AML, sanctions and anti-bribery training</v>
      </c>
      <c r="G802" s="7" t="str">
        <f aca="false">INDEX('Control Library'!$F$5:$F$47,MATCH(E802,'Control Library'!$A$5:$A$47,0))</f>
        <v>N</v>
      </c>
      <c r="H802" s="12" t="str">
        <f aca="false">INDEX('Control Library'!$E$5:$E$47,MATCH(E802,'Control Library'!$A$5:$A$47,0))</f>
        <v>Annual</v>
      </c>
      <c r="I802" s="7" t="str">
        <f aca="false">IF(INDEX('Control Library'!$I$5:$I$47,MATCH(E802,'Control Library'!$A$5:$A$47,0))="All","Y",IF(INDEX('Control Library'!$I$5:$I$47,MATCH(E802,'Control Library'!$A$5:$A$47,0))="Banks only",IF(COUNTIF('Residual Config'!$L$28:$L$30,INDEX(Entities!$E$5:$E$34,MATCH(B802,Entities!$A$5:$A$34,0)))&gt;0,"N/A","Y"),IF(INDEX(Entities!$G$5:$G$34,MATCH(B802,Entities!$A$5:$A$34,0))="Y","Y","N/A")))</f>
        <v>Y</v>
      </c>
      <c r="J802" s="8" t="s">
        <v>2672</v>
      </c>
      <c r="K802" s="8" t="s">
        <v>2669</v>
      </c>
      <c r="L802" s="7" t="str">
        <f aca="false">IF(OR(J802="",K802=""),"",IF(J802=K802,"Breach","OK"))</f>
        <v>OK</v>
      </c>
      <c r="M802" s="24" t="n">
        <v>2</v>
      </c>
      <c r="N802" s="50" t="n">
        <v>46197</v>
      </c>
      <c r="O802" s="8" t="s">
        <v>545</v>
      </c>
      <c r="P802" s="24" t="n">
        <v>1</v>
      </c>
      <c r="Q802" s="31" t="n">
        <f aca="false">IF(I802="N/A","",IFERROR(INDEX('Residual Config'!$B$35:$B$42,MATCH(H802,'Residual Config'!$A$35:$A$42,0)),""))</f>
        <v>1</v>
      </c>
      <c r="R802" s="24" t="n">
        <v>1</v>
      </c>
      <c r="S802" s="8" t="s">
        <v>521</v>
      </c>
      <c r="T802" s="31" t="n">
        <f aca="false">IF(S802="","",MATCH(S802,'Residual Config'!$L$9:$L$12,0))</f>
        <v>2</v>
      </c>
      <c r="U802" s="8" t="s">
        <v>2728</v>
      </c>
      <c r="V802" s="24" t="n">
        <v>5</v>
      </c>
      <c r="W802" s="33" t="s">
        <v>533</v>
      </c>
      <c r="X802" s="8" t="s">
        <v>754</v>
      </c>
      <c r="Y802" s="51" t="n">
        <f aca="false">IF(N802="","",EDATE(N802,IF(G802="N",INDEX('Residual Config'!$B$31:$D$31,1,MATCH(D802,'Residual Config'!$B$27:$D$27,0)),INDEX('Residual Config'!$B$28:$D$30,IF(T802=1,1,IF(T802=4,3,2)),MATCH(D802,'Residual Config'!$B$27:$D$27,0)))))</f>
        <v>46928</v>
      </c>
      <c r="Z802" s="7" t="str">
        <f aca="false">IF(I802="N/A","N/A",IF(N802="","Not tested",IF(W802="Rejected","Evidence rejected",IF(W802&lt;&gt;"Accepted","Evidence pending",IF(Y802&lt;'Residual Config'!$C$4,"Overdue","Current")))))</f>
        <v>Current</v>
      </c>
      <c r="AA802" s="34" t="n">
        <f aca="false">IF(I802="N/A","",IF(Z802&lt;&gt;"Current",4,IF(MAX(M802,T802)=0,4,MAX(M802,T802))))</f>
        <v>2</v>
      </c>
      <c r="AB802" s="7" t="str">
        <f aca="false">IF(AA802="","N/A",IF(Z802&lt;&gt;"Current","Not tested / overdue",INDEX('Residual Config'!$B$11:$B$14,AA802)))</f>
        <v>Largely effective</v>
      </c>
      <c r="AC802" s="36" t="n">
        <f aca="false">IF(AA802="","",INDEX('Residual Config'!$D$11:$D$14,AA802))</f>
        <v>0.4</v>
      </c>
      <c r="AD802" s="7" t="str">
        <f aca="false">IF(OR(I802="N/A",P802="",Q802=""),"",IF(P802&gt;=Q802,"Yes","No"))</f>
        <v>Yes</v>
      </c>
      <c r="AE802" s="8"/>
    </row>
    <row r="803" customFormat="false" ht="15" hidden="false" customHeight="false" outlineLevel="0" collapsed="false">
      <c r="A803" s="12" t="s">
        <v>2729</v>
      </c>
      <c r="B803" s="26" t="str">
        <f aca="false">Entities!$A$23</f>
        <v>MA</v>
      </c>
      <c r="C803" s="12" t="str">
        <f aca="false">INDEX(Entities!$B$5:$B$34,MATCH(B803,Entities!$A$5:$A$34,0))</f>
        <v>Arab Bank – Morocco</v>
      </c>
      <c r="D803" s="7" t="str">
        <f aca="false">INDEX(Entities!$F$5:$F$34,MATCH(B803,Entities!$A$5:$A$34,0))</f>
        <v>Tier 3</v>
      </c>
      <c r="E803" s="26" t="str">
        <f aca="false">'Control Library'!$A$29</f>
        <v>CTL-REG-01</v>
      </c>
      <c r="F803" s="12" t="str">
        <f aca="false">INDEX('Control Library'!$B$5:$B$47,MATCH(E803,'Control Library'!$A$5:$A$47,0))</f>
        <v>Regulatory change management and obligations register</v>
      </c>
      <c r="G803" s="7" t="str">
        <f aca="false">INDEX('Control Library'!$F$5:$F$47,MATCH(E803,'Control Library'!$A$5:$A$47,0))</f>
        <v>Y</v>
      </c>
      <c r="H803" s="12" t="str">
        <f aca="false">INDEX('Control Library'!$E$5:$E$47,MATCH(E803,'Control Library'!$A$5:$A$47,0))</f>
        <v>Monthly</v>
      </c>
      <c r="I803" s="7" t="str">
        <f aca="false">IF(INDEX('Control Library'!$I$5:$I$47,MATCH(E803,'Control Library'!$A$5:$A$47,0))="All","Y",IF(INDEX('Control Library'!$I$5:$I$47,MATCH(E803,'Control Library'!$A$5:$A$47,0))="Banks only",IF(COUNTIF('Residual Config'!$L$28:$L$30,INDEX(Entities!$E$5:$E$34,MATCH(B803,Entities!$A$5:$A$34,0)))&gt;0,"N/A","Y"),IF(INDEX(Entities!$G$5:$G$34,MATCH(B803,Entities!$A$5:$A$34,0))="Y","Y","N/A")))</f>
        <v>Y</v>
      </c>
      <c r="J803" s="8" t="s">
        <v>2672</v>
      </c>
      <c r="K803" s="8" t="s">
        <v>2669</v>
      </c>
      <c r="L803" s="7" t="str">
        <f aca="false">IF(OR(J803="",K803=""),"",IF(J803=K803,"Breach","OK"))</f>
        <v>OK</v>
      </c>
      <c r="M803" s="24" t="n">
        <v>2</v>
      </c>
      <c r="N803" s="50"/>
      <c r="O803" s="8"/>
      <c r="P803" s="24"/>
      <c r="Q803" s="31" t="n">
        <f aca="false">IF(I803="N/A","",IFERROR(INDEX('Residual Config'!$B$35:$B$42,MATCH(H803,'Residual Config'!$A$35:$A$42,0)),""))</f>
        <v>3</v>
      </c>
      <c r="R803" s="24"/>
      <c r="S803" s="8"/>
      <c r="T803" s="31" t="str">
        <f aca="false">IF(S803="","",MATCH(S803,'Residual Config'!$L$9:$L$12,0))</f>
        <v/>
      </c>
      <c r="U803" s="8"/>
      <c r="V803" s="24"/>
      <c r="W803" s="33"/>
      <c r="X803" s="8"/>
      <c r="Y803" s="51" t="str">
        <f aca="false">IF(N803="","",EDATE(N803,IF(G803="N",INDEX('Residual Config'!$B$31:$D$31,1,MATCH(D803,'Residual Config'!$B$27:$D$27,0)),INDEX('Residual Config'!$B$28:$D$30,IF(T803=1,1,IF(T803=4,3,2)),MATCH(D803,'Residual Config'!$B$27:$D$27,0)))))</f>
        <v/>
      </c>
      <c r="Z803" s="7" t="str">
        <f aca="false">IF(I803="N/A","N/A",IF(N803="","Not tested",IF(W803="Rejected","Evidence rejected",IF(W803&lt;&gt;"Accepted","Evidence pending",IF(Y803&lt;'Residual Config'!$C$4,"Overdue","Current")))))</f>
        <v>Not tested</v>
      </c>
      <c r="AA803" s="34" t="n">
        <f aca="false">IF(I803="N/A","",IF(Z803&lt;&gt;"Current",4,IF(MAX(M803,T803)=0,4,MAX(M803,T803))))</f>
        <v>4</v>
      </c>
      <c r="AB803" s="7" t="str">
        <f aca="false">IF(AA803="","N/A",IF(Z803&lt;&gt;"Current","Not tested / overdue",INDEX('Residual Config'!$B$11:$B$14,AA803)))</f>
        <v>Not tested / overdue</v>
      </c>
      <c r="AC803" s="36" t="n">
        <f aca="false">IF(AA803="","",INDEX('Residual Config'!$D$11:$D$14,AA803))</f>
        <v>0</v>
      </c>
      <c r="AD803" s="7" t="str">
        <f aca="false">IF(OR(I803="N/A",P803="",Q803=""),"",IF(P803&gt;=Q803,"Yes","No"))</f>
        <v/>
      </c>
      <c r="AE803" s="8"/>
    </row>
    <row r="804" customFormat="false" ht="15" hidden="false" customHeight="false" outlineLevel="0" collapsed="false">
      <c r="A804" s="12" t="s">
        <v>2730</v>
      </c>
      <c r="B804" s="26" t="str">
        <f aca="false">Entities!$A$23</f>
        <v>MA</v>
      </c>
      <c r="C804" s="12" t="str">
        <f aca="false">INDEX(Entities!$B$5:$B$34,MATCH(B804,Entities!$A$5:$A$34,0))</f>
        <v>Arab Bank – Morocco</v>
      </c>
      <c r="D804" s="7" t="str">
        <f aca="false">INDEX(Entities!$F$5:$F$34,MATCH(B804,Entities!$A$5:$A$34,0))</f>
        <v>Tier 3</v>
      </c>
      <c r="E804" s="26" t="str">
        <f aca="false">'Control Library'!$A$30</f>
        <v>CTL-REG-02</v>
      </c>
      <c r="F804" s="12" t="str">
        <f aca="false">INDEX('Control Library'!$B$5:$B$47,MATCH(E804,'Control Library'!$A$5:$A$47,0))</f>
        <v>Regulatory return review and senior sign-off</v>
      </c>
      <c r="G804" s="7" t="str">
        <f aca="false">INDEX('Control Library'!$F$5:$F$47,MATCH(E804,'Control Library'!$A$5:$A$47,0))</f>
        <v>Y</v>
      </c>
      <c r="H804" s="12" t="str">
        <f aca="false">INDEX('Control Library'!$E$5:$E$47,MATCH(E804,'Control Library'!$A$5:$A$47,0))</f>
        <v>Monthly</v>
      </c>
      <c r="I804" s="7" t="str">
        <f aca="false">IF(INDEX('Control Library'!$I$5:$I$47,MATCH(E804,'Control Library'!$A$5:$A$47,0))="All","Y",IF(INDEX('Control Library'!$I$5:$I$47,MATCH(E804,'Control Library'!$A$5:$A$47,0))="Banks only",IF(COUNTIF('Residual Config'!$L$28:$L$30,INDEX(Entities!$E$5:$E$34,MATCH(B804,Entities!$A$5:$A$34,0)))&gt;0,"N/A","Y"),IF(INDEX(Entities!$G$5:$G$34,MATCH(B804,Entities!$A$5:$A$34,0))="Y","Y","N/A")))</f>
        <v>Y</v>
      </c>
      <c r="J804" s="8" t="s">
        <v>2725</v>
      </c>
      <c r="K804" s="8" t="s">
        <v>2669</v>
      </c>
      <c r="L804" s="7" t="str">
        <f aca="false">IF(OR(J804="",K804=""),"",IF(J804=K804,"Breach","OK"))</f>
        <v>OK</v>
      </c>
      <c r="M804" s="24" t="n">
        <v>1</v>
      </c>
      <c r="N804" s="50" t="n">
        <v>46163</v>
      </c>
      <c r="O804" s="8" t="s">
        <v>545</v>
      </c>
      <c r="P804" s="24" t="n">
        <v>3</v>
      </c>
      <c r="Q804" s="31" t="n">
        <f aca="false">IF(I804="N/A","",IFERROR(INDEX('Residual Config'!$B$35:$B$42,MATCH(H804,'Residual Config'!$A$35:$A$42,0)),""))</f>
        <v>3</v>
      </c>
      <c r="R804" s="24" t="n">
        <v>0</v>
      </c>
      <c r="S804" s="8" t="s">
        <v>516</v>
      </c>
      <c r="T804" s="31" t="n">
        <f aca="false">IF(S804="","",MATCH(S804,'Residual Config'!$L$9:$L$12,0))</f>
        <v>1</v>
      </c>
      <c r="U804" s="8" t="s">
        <v>2731</v>
      </c>
      <c r="V804" s="24" t="n">
        <v>2</v>
      </c>
      <c r="W804" s="33" t="s">
        <v>533</v>
      </c>
      <c r="X804" s="8" t="s">
        <v>760</v>
      </c>
      <c r="Y804" s="51" t="n">
        <f aca="false">IF(N804="","",EDATE(N804,IF(G804="N",INDEX('Residual Config'!$B$31:$D$31,1,MATCH(D804,'Residual Config'!$B$27:$D$27,0)),INDEX('Residual Config'!$B$28:$D$30,IF(T804=1,1,IF(T804=4,3,2)),MATCH(D804,'Residual Config'!$B$27:$D$27,0)))))</f>
        <v>46528</v>
      </c>
      <c r="Z804" s="7" t="str">
        <f aca="false">IF(I804="N/A","N/A",IF(N804="","Not tested",IF(W804="Rejected","Evidence rejected",IF(W804&lt;&gt;"Accepted","Evidence pending",IF(Y804&lt;'Residual Config'!$C$4,"Overdue","Current")))))</f>
        <v>Current</v>
      </c>
      <c r="AA804" s="34" t="n">
        <f aca="false">IF(I804="N/A","",IF(Z804&lt;&gt;"Current",4,IF(MAX(M804,T804)=0,4,MAX(M804,T804))))</f>
        <v>1</v>
      </c>
      <c r="AB804" s="7" t="str">
        <f aca="false">IF(AA804="","N/A",IF(Z804&lt;&gt;"Current","Not tested / overdue",INDEX('Residual Config'!$B$11:$B$14,AA804)))</f>
        <v>Effective</v>
      </c>
      <c r="AC804" s="36" t="n">
        <f aca="false">IF(AA804="","",INDEX('Residual Config'!$D$11:$D$14,AA804))</f>
        <v>0.6</v>
      </c>
      <c r="AD804" s="7" t="str">
        <f aca="false">IF(OR(I804="N/A",P804="",Q804=""),"",IF(P804&gt;=Q804,"Yes","No"))</f>
        <v>Yes</v>
      </c>
      <c r="AE804" s="8"/>
    </row>
    <row r="805" customFormat="false" ht="15" hidden="false" customHeight="false" outlineLevel="0" collapsed="false">
      <c r="A805" s="12" t="s">
        <v>2732</v>
      </c>
      <c r="B805" s="26" t="str">
        <f aca="false">Entities!$A$23</f>
        <v>MA</v>
      </c>
      <c r="C805" s="12" t="str">
        <f aca="false">INDEX(Entities!$B$5:$B$34,MATCH(B805,Entities!$A$5:$A$34,0))</f>
        <v>Arab Bank – Morocco</v>
      </c>
      <c r="D805" s="7" t="str">
        <f aca="false">INDEX(Entities!$F$5:$F$34,MATCH(B805,Entities!$A$5:$A$34,0))</f>
        <v>Tier 3</v>
      </c>
      <c r="E805" s="26" t="str">
        <f aca="false">'Control Library'!$A$31</f>
        <v>CTL-CON-01</v>
      </c>
      <c r="F805" s="12" t="str">
        <f aca="false">INDEX('Control Library'!$B$5:$B$47,MATCH(E805,'Control Library'!$A$5:$A$47,0))</f>
        <v>New product approval and suitability assessment</v>
      </c>
      <c r="G805" s="7" t="str">
        <f aca="false">INDEX('Control Library'!$F$5:$F$47,MATCH(E805,'Control Library'!$A$5:$A$47,0))</f>
        <v>Y</v>
      </c>
      <c r="H805" s="12" t="str">
        <f aca="false">INDEX('Control Library'!$E$5:$E$47,MATCH(E805,'Control Library'!$A$5:$A$47,0))</f>
        <v>Event-driven</v>
      </c>
      <c r="I805" s="7" t="str">
        <f aca="false">IF(INDEX('Control Library'!$I$5:$I$47,MATCH(E805,'Control Library'!$A$5:$A$47,0))="All","Y",IF(INDEX('Control Library'!$I$5:$I$47,MATCH(E805,'Control Library'!$A$5:$A$47,0))="Banks only",IF(COUNTIF('Residual Config'!$L$28:$L$30,INDEX(Entities!$E$5:$E$34,MATCH(B805,Entities!$A$5:$A$34,0)))&gt;0,"N/A","Y"),IF(INDEX(Entities!$G$5:$G$34,MATCH(B805,Entities!$A$5:$A$34,0))="Y","Y","N/A")))</f>
        <v>Y</v>
      </c>
      <c r="J805" s="8" t="s">
        <v>2672</v>
      </c>
      <c r="K805" s="8" t="s">
        <v>2669</v>
      </c>
      <c r="L805" s="7" t="str">
        <f aca="false">IF(OR(J805="",K805=""),"",IF(J805=K805,"Breach","OK"))</f>
        <v>OK</v>
      </c>
      <c r="M805" s="24" t="n">
        <v>1</v>
      </c>
      <c r="N805" s="50" t="n">
        <v>46211</v>
      </c>
      <c r="O805" s="8" t="s">
        <v>545</v>
      </c>
      <c r="P805" s="24" t="n">
        <v>35</v>
      </c>
      <c r="Q805" s="31" t="n">
        <f aca="false">IF(I805="N/A","",IFERROR(INDEX('Residual Config'!$B$35:$B$42,MATCH(H805,'Residual Config'!$A$35:$A$42,0)),""))</f>
        <v>25</v>
      </c>
      <c r="R805" s="24" t="n">
        <v>1</v>
      </c>
      <c r="S805" s="8" t="s">
        <v>521</v>
      </c>
      <c r="T805" s="31" t="n">
        <f aca="false">IF(S805="","",MATCH(S805,'Residual Config'!$L$9:$L$12,0))</f>
        <v>2</v>
      </c>
      <c r="U805" s="8" t="s">
        <v>2733</v>
      </c>
      <c r="V805" s="24" t="n">
        <v>3</v>
      </c>
      <c r="W805" s="33" t="s">
        <v>533</v>
      </c>
      <c r="X805" s="8" t="s">
        <v>760</v>
      </c>
      <c r="Y805" s="51" t="n">
        <f aca="false">IF(N805="","",EDATE(N805,IF(G805="N",INDEX('Residual Config'!$B$31:$D$31,1,MATCH(D805,'Residual Config'!$B$27:$D$27,0)),INDEX('Residual Config'!$B$28:$D$30,IF(T805=1,1,IF(T805=4,3,2)),MATCH(D805,'Residual Config'!$B$27:$D$27,0)))))</f>
        <v>46395</v>
      </c>
      <c r="Z805" s="7" t="str">
        <f aca="false">IF(I805="N/A","N/A",IF(N805="","Not tested",IF(W805="Rejected","Evidence rejected",IF(W805&lt;&gt;"Accepted","Evidence pending",IF(Y805&lt;'Residual Config'!$C$4,"Overdue","Current")))))</f>
        <v>Current</v>
      </c>
      <c r="AA805" s="34" t="n">
        <f aca="false">IF(I805="N/A","",IF(Z805&lt;&gt;"Current",4,IF(MAX(M805,T805)=0,4,MAX(M805,T805))))</f>
        <v>2</v>
      </c>
      <c r="AB805" s="7" t="str">
        <f aca="false">IF(AA805="","N/A",IF(Z805&lt;&gt;"Current","Not tested / overdue",INDEX('Residual Config'!$B$11:$B$14,AA805)))</f>
        <v>Largely effective</v>
      </c>
      <c r="AC805" s="36" t="n">
        <f aca="false">IF(AA805="","",INDEX('Residual Config'!$D$11:$D$14,AA805))</f>
        <v>0.4</v>
      </c>
      <c r="AD805" s="7" t="str">
        <f aca="false">IF(OR(I805="N/A",P805="",Q805=""),"",IF(P805&gt;=Q805,"Yes","No"))</f>
        <v>Yes</v>
      </c>
      <c r="AE805" s="8"/>
    </row>
    <row r="806" customFormat="false" ht="15" hidden="false" customHeight="false" outlineLevel="0" collapsed="false">
      <c r="A806" s="12" t="s">
        <v>2734</v>
      </c>
      <c r="B806" s="26" t="str">
        <f aca="false">Entities!$A$23</f>
        <v>MA</v>
      </c>
      <c r="C806" s="12" t="str">
        <f aca="false">INDEX(Entities!$B$5:$B$34,MATCH(B806,Entities!$A$5:$A$34,0))</f>
        <v>Arab Bank – Morocco</v>
      </c>
      <c r="D806" s="7" t="str">
        <f aca="false">INDEX(Entities!$F$5:$F$34,MATCH(B806,Entities!$A$5:$A$34,0))</f>
        <v>Tier 3</v>
      </c>
      <c r="E806" s="26" t="str">
        <f aca="false">'Control Library'!$A$32</f>
        <v>CTL-CON-02</v>
      </c>
      <c r="F806" s="12" t="str">
        <f aca="false">INDEX('Control Library'!$B$5:$B$47,MATCH(E806,'Control Library'!$A$5:$A$47,0))</f>
        <v>Complaints handling and root-cause analysis</v>
      </c>
      <c r="G806" s="7" t="str">
        <f aca="false">INDEX('Control Library'!$F$5:$F$47,MATCH(E806,'Control Library'!$A$5:$A$47,0))</f>
        <v>N</v>
      </c>
      <c r="H806" s="12" t="str">
        <f aca="false">INDEX('Control Library'!$E$5:$E$47,MATCH(E806,'Control Library'!$A$5:$A$47,0))</f>
        <v>Monthly</v>
      </c>
      <c r="I806" s="7" t="str">
        <f aca="false">IF(INDEX('Control Library'!$I$5:$I$47,MATCH(E806,'Control Library'!$A$5:$A$47,0))="All","Y",IF(INDEX('Control Library'!$I$5:$I$47,MATCH(E806,'Control Library'!$A$5:$A$47,0))="Banks only",IF(COUNTIF('Residual Config'!$L$28:$L$30,INDEX(Entities!$E$5:$E$34,MATCH(B806,Entities!$A$5:$A$34,0)))&gt;0,"N/A","Y"),IF(INDEX(Entities!$G$5:$G$34,MATCH(B806,Entities!$A$5:$A$34,0))="Y","Y","N/A")))</f>
        <v>Y</v>
      </c>
      <c r="J806" s="8" t="s">
        <v>2735</v>
      </c>
      <c r="K806" s="8" t="s">
        <v>2669</v>
      </c>
      <c r="L806" s="7" t="str">
        <f aca="false">IF(OR(J806="",K806=""),"",IF(J806=K806,"Breach","OK"))</f>
        <v>OK</v>
      </c>
      <c r="M806" s="24" t="n">
        <v>1</v>
      </c>
      <c r="N806" s="50" t="n">
        <v>46163</v>
      </c>
      <c r="O806" s="8" t="s">
        <v>545</v>
      </c>
      <c r="P806" s="24" t="n">
        <v>3</v>
      </c>
      <c r="Q806" s="31" t="n">
        <f aca="false">IF(I806="N/A","",IFERROR(INDEX('Residual Config'!$B$35:$B$42,MATCH(H806,'Residual Config'!$A$35:$A$42,0)),""))</f>
        <v>3</v>
      </c>
      <c r="R806" s="24" t="n">
        <v>1</v>
      </c>
      <c r="S806" s="8" t="s">
        <v>521</v>
      </c>
      <c r="T806" s="31" t="n">
        <f aca="false">IF(S806="","",MATCH(S806,'Residual Config'!$L$9:$L$12,0))</f>
        <v>2</v>
      </c>
      <c r="U806" s="8" t="s">
        <v>2736</v>
      </c>
      <c r="V806" s="24" t="n">
        <v>3</v>
      </c>
      <c r="W806" s="33" t="s">
        <v>533</v>
      </c>
      <c r="X806" s="8" t="s">
        <v>754</v>
      </c>
      <c r="Y806" s="51" t="n">
        <f aca="false">IF(N806="","",EDATE(N806,IF(G806="N",INDEX('Residual Config'!$B$31:$D$31,1,MATCH(D806,'Residual Config'!$B$27:$D$27,0)),INDEX('Residual Config'!$B$28:$D$30,IF(T806=1,1,IF(T806=4,3,2)),MATCH(D806,'Residual Config'!$B$27:$D$27,0)))))</f>
        <v>46894</v>
      </c>
      <c r="Z806" s="7" t="str">
        <f aca="false">IF(I806="N/A","N/A",IF(N806="","Not tested",IF(W806="Rejected","Evidence rejected",IF(W806&lt;&gt;"Accepted","Evidence pending",IF(Y806&lt;'Residual Config'!$C$4,"Overdue","Current")))))</f>
        <v>Current</v>
      </c>
      <c r="AA806" s="34" t="n">
        <f aca="false">IF(I806="N/A","",IF(Z806&lt;&gt;"Current",4,IF(MAX(M806,T806)=0,4,MAX(M806,T806))))</f>
        <v>2</v>
      </c>
      <c r="AB806" s="7" t="str">
        <f aca="false">IF(AA806="","N/A",IF(Z806&lt;&gt;"Current","Not tested / overdue",INDEX('Residual Config'!$B$11:$B$14,AA806)))</f>
        <v>Largely effective</v>
      </c>
      <c r="AC806" s="36" t="n">
        <f aca="false">IF(AA806="","",INDEX('Residual Config'!$D$11:$D$14,AA806))</f>
        <v>0.4</v>
      </c>
      <c r="AD806" s="7" t="str">
        <f aca="false">IF(OR(I806="N/A",P806="",Q806=""),"",IF(P806&gt;=Q806,"Yes","No"))</f>
        <v>Yes</v>
      </c>
      <c r="AE806" s="8"/>
    </row>
    <row r="807" customFormat="false" ht="15" hidden="false" customHeight="false" outlineLevel="0" collapsed="false">
      <c r="A807" s="12" t="s">
        <v>2737</v>
      </c>
      <c r="B807" s="26" t="str">
        <f aca="false">Entities!$A$23</f>
        <v>MA</v>
      </c>
      <c r="C807" s="12" t="str">
        <f aca="false">INDEX(Entities!$B$5:$B$34,MATCH(B807,Entities!$A$5:$A$34,0))</f>
        <v>Arab Bank – Morocco</v>
      </c>
      <c r="D807" s="7" t="str">
        <f aca="false">INDEX(Entities!$F$5:$F$34,MATCH(B807,Entities!$A$5:$A$34,0))</f>
        <v>Tier 3</v>
      </c>
      <c r="E807" s="26" t="str">
        <f aca="false">'Control Library'!$A$33</f>
        <v>CTL-DP-01</v>
      </c>
      <c r="F807" s="12" t="str">
        <f aca="false">INDEX('Control Library'!$B$5:$B$47,MATCH(E807,'Control Library'!$A$5:$A$47,0))</f>
        <v>Data protection impact assessments and processing records</v>
      </c>
      <c r="G807" s="7" t="str">
        <f aca="false">INDEX('Control Library'!$F$5:$F$47,MATCH(E807,'Control Library'!$A$5:$A$47,0))</f>
        <v>Y</v>
      </c>
      <c r="H807" s="12" t="str">
        <f aca="false">INDEX('Control Library'!$E$5:$E$47,MATCH(E807,'Control Library'!$A$5:$A$47,0))</f>
        <v>Event-driven</v>
      </c>
      <c r="I807" s="7" t="str">
        <f aca="false">IF(INDEX('Control Library'!$I$5:$I$47,MATCH(E807,'Control Library'!$A$5:$A$47,0))="All","Y",IF(INDEX('Control Library'!$I$5:$I$47,MATCH(E807,'Control Library'!$A$5:$A$47,0))="Banks only",IF(COUNTIF('Residual Config'!$L$28:$L$30,INDEX(Entities!$E$5:$E$34,MATCH(B807,Entities!$A$5:$A$34,0)))&gt;0,"N/A","Y"),IF(INDEX(Entities!$G$5:$G$34,MATCH(B807,Entities!$A$5:$A$34,0))="Y","Y","N/A")))</f>
        <v>Y</v>
      </c>
      <c r="J807" s="8" t="s">
        <v>2738</v>
      </c>
      <c r="K807" s="8" t="s">
        <v>2669</v>
      </c>
      <c r="L807" s="7" t="str">
        <f aca="false">IF(OR(J807="",K807=""),"",IF(J807=K807,"Breach","OK"))</f>
        <v>OK</v>
      </c>
      <c r="M807" s="24" t="n">
        <v>1</v>
      </c>
      <c r="N807" s="50" t="n">
        <v>45975</v>
      </c>
      <c r="O807" s="8" t="s">
        <v>545</v>
      </c>
      <c r="P807" s="24" t="n">
        <v>25</v>
      </c>
      <c r="Q807" s="31" t="n">
        <f aca="false">IF(I807="N/A","",IFERROR(INDEX('Residual Config'!$B$35:$B$42,MATCH(H807,'Residual Config'!$A$35:$A$42,0)),""))</f>
        <v>25</v>
      </c>
      <c r="R807" s="24" t="n">
        <v>0</v>
      </c>
      <c r="S807" s="8" t="s">
        <v>516</v>
      </c>
      <c r="T807" s="31" t="n">
        <f aca="false">IF(S807="","",MATCH(S807,'Residual Config'!$L$9:$L$12,0))</f>
        <v>1</v>
      </c>
      <c r="U807" s="8" t="s">
        <v>2739</v>
      </c>
      <c r="V807" s="24" t="n">
        <v>5</v>
      </c>
      <c r="W807" s="33" t="s">
        <v>533</v>
      </c>
      <c r="X807" s="8" t="s">
        <v>760</v>
      </c>
      <c r="Y807" s="51" t="n">
        <f aca="false">IF(N807="","",EDATE(N807,IF(G807="N",INDEX('Residual Config'!$B$31:$D$31,1,MATCH(D807,'Residual Config'!$B$27:$D$27,0)),INDEX('Residual Config'!$B$28:$D$30,IF(T807=1,1,IF(T807=4,3,2)),MATCH(D807,'Residual Config'!$B$27:$D$27,0)))))</f>
        <v>46340</v>
      </c>
      <c r="Z807" s="7" t="str">
        <f aca="false">IF(I807="N/A","N/A",IF(N807="","Not tested",IF(W807="Rejected","Evidence rejected",IF(W807&lt;&gt;"Accepted","Evidence pending",IF(Y807&lt;'Residual Config'!$C$4,"Overdue","Current")))))</f>
        <v>Current</v>
      </c>
      <c r="AA807" s="34" t="n">
        <f aca="false">IF(I807="N/A","",IF(Z807&lt;&gt;"Current",4,IF(MAX(M807,T807)=0,4,MAX(M807,T807))))</f>
        <v>1</v>
      </c>
      <c r="AB807" s="7" t="str">
        <f aca="false">IF(AA807="","N/A",IF(Z807&lt;&gt;"Current","Not tested / overdue",INDEX('Residual Config'!$B$11:$B$14,AA807)))</f>
        <v>Effective</v>
      </c>
      <c r="AC807" s="36" t="n">
        <f aca="false">IF(AA807="","",INDEX('Residual Config'!$D$11:$D$14,AA807))</f>
        <v>0.6</v>
      </c>
      <c r="AD807" s="7" t="str">
        <f aca="false">IF(OR(I807="N/A",P807="",Q807=""),"",IF(P807&gt;=Q807,"Yes","No"))</f>
        <v>Yes</v>
      </c>
      <c r="AE807" s="8"/>
    </row>
    <row r="808" customFormat="false" ht="15" hidden="false" customHeight="false" outlineLevel="0" collapsed="false">
      <c r="A808" s="12" t="s">
        <v>2740</v>
      </c>
      <c r="B808" s="26" t="str">
        <f aca="false">Entities!$A$23</f>
        <v>MA</v>
      </c>
      <c r="C808" s="12" t="str">
        <f aca="false">INDEX(Entities!$B$5:$B$34,MATCH(B808,Entities!$A$5:$A$34,0))</f>
        <v>Arab Bank – Morocco</v>
      </c>
      <c r="D808" s="7" t="str">
        <f aca="false">INDEX(Entities!$F$5:$F$34,MATCH(B808,Entities!$A$5:$A$34,0))</f>
        <v>Tier 3</v>
      </c>
      <c r="E808" s="26" t="str">
        <f aca="false">'Control Library'!$A$34</f>
        <v>CTL-DP-02</v>
      </c>
      <c r="F808" s="12" t="str">
        <f aca="false">INDEX('Control Library'!$B$5:$B$47,MATCH(E808,'Control Library'!$A$5:$A$47,0))</f>
        <v>Data loss prevention and quarterly access recertification</v>
      </c>
      <c r="G808" s="7" t="str">
        <f aca="false">INDEX('Control Library'!$F$5:$F$47,MATCH(E808,'Control Library'!$A$5:$A$47,0))</f>
        <v>Y</v>
      </c>
      <c r="H808" s="12" t="str">
        <f aca="false">INDEX('Control Library'!$E$5:$E$47,MATCH(E808,'Control Library'!$A$5:$A$47,0))</f>
        <v>Quarterly</v>
      </c>
      <c r="I808" s="7" t="str">
        <f aca="false">IF(INDEX('Control Library'!$I$5:$I$47,MATCH(E808,'Control Library'!$A$5:$A$47,0))="All","Y",IF(INDEX('Control Library'!$I$5:$I$47,MATCH(E808,'Control Library'!$A$5:$A$47,0))="Banks only",IF(COUNTIF('Residual Config'!$L$28:$L$30,INDEX(Entities!$E$5:$E$34,MATCH(B808,Entities!$A$5:$A$34,0)))&gt;0,"N/A","Y"),IF(INDEX(Entities!$G$5:$G$34,MATCH(B808,Entities!$A$5:$A$34,0))="Y","Y","N/A")))</f>
        <v>Y</v>
      </c>
      <c r="J808" s="8" t="s">
        <v>2741</v>
      </c>
      <c r="K808" s="8" t="s">
        <v>2669</v>
      </c>
      <c r="L808" s="7" t="str">
        <f aca="false">IF(OR(J808="",K808=""),"",IF(J808=K808,"Breach","OK"))</f>
        <v>OK</v>
      </c>
      <c r="M808" s="24" t="n">
        <v>1</v>
      </c>
      <c r="N808" s="50" t="n">
        <v>45955</v>
      </c>
      <c r="O808" s="8" t="s">
        <v>546</v>
      </c>
      <c r="P808" s="24" t="n">
        <v>2</v>
      </c>
      <c r="Q808" s="31" t="n">
        <f aca="false">IF(I808="N/A","",IFERROR(INDEX('Residual Config'!$B$35:$B$42,MATCH(H808,'Residual Config'!$A$35:$A$42,0)),""))</f>
        <v>2</v>
      </c>
      <c r="R808" s="24" t="n">
        <v>0</v>
      </c>
      <c r="S808" s="8" t="s">
        <v>516</v>
      </c>
      <c r="T808" s="31" t="n">
        <f aca="false">IF(S808="","",MATCH(S808,'Residual Config'!$L$9:$L$12,0))</f>
        <v>1</v>
      </c>
      <c r="U808" s="8" t="s">
        <v>2742</v>
      </c>
      <c r="V808" s="24" t="n">
        <v>1</v>
      </c>
      <c r="W808" s="33" t="s">
        <v>533</v>
      </c>
      <c r="X808" s="8" t="s">
        <v>754</v>
      </c>
      <c r="Y808" s="51" t="n">
        <f aca="false">IF(N808="","",EDATE(N808,IF(G808="N",INDEX('Residual Config'!$B$31:$D$31,1,MATCH(D808,'Residual Config'!$B$27:$D$27,0)),INDEX('Residual Config'!$B$28:$D$30,IF(T808=1,1,IF(T808=4,3,2)),MATCH(D808,'Residual Config'!$B$27:$D$27,0)))))</f>
        <v>46320</v>
      </c>
      <c r="Z808" s="7" t="str">
        <f aca="false">IF(I808="N/A","N/A",IF(N808="","Not tested",IF(W808="Rejected","Evidence rejected",IF(W808&lt;&gt;"Accepted","Evidence pending",IF(Y808&lt;'Residual Config'!$C$4,"Overdue","Current")))))</f>
        <v>Current</v>
      </c>
      <c r="AA808" s="34" t="n">
        <f aca="false">IF(I808="N/A","",IF(Z808&lt;&gt;"Current",4,IF(MAX(M808,T808)=0,4,MAX(M808,T808))))</f>
        <v>1</v>
      </c>
      <c r="AB808" s="7" t="str">
        <f aca="false">IF(AA808="","N/A",IF(Z808&lt;&gt;"Current","Not tested / overdue",INDEX('Residual Config'!$B$11:$B$14,AA808)))</f>
        <v>Effective</v>
      </c>
      <c r="AC808" s="36" t="n">
        <f aca="false">IF(AA808="","",INDEX('Residual Config'!$D$11:$D$14,AA808))</f>
        <v>0.6</v>
      </c>
      <c r="AD808" s="7" t="str">
        <f aca="false">IF(OR(I808="N/A",P808="",Q808=""),"",IF(P808&gt;=Q808,"Yes","No"))</f>
        <v>Yes</v>
      </c>
      <c r="AE808" s="8"/>
    </row>
    <row r="809" customFormat="false" ht="15" hidden="false" customHeight="false" outlineLevel="0" collapsed="false">
      <c r="A809" s="12" t="s">
        <v>2743</v>
      </c>
      <c r="B809" s="26" t="str">
        <f aca="false">Entities!$A$23</f>
        <v>MA</v>
      </c>
      <c r="C809" s="12" t="str">
        <f aca="false">INDEX(Entities!$B$5:$B$34,MATCH(B809,Entities!$A$5:$A$34,0))</f>
        <v>Arab Bank – Morocco</v>
      </c>
      <c r="D809" s="7" t="str">
        <f aca="false">INDEX(Entities!$F$5:$F$34,MATCH(B809,Entities!$A$5:$A$34,0))</f>
        <v>Tier 3</v>
      </c>
      <c r="E809" s="26" t="str">
        <f aca="false">'Control Library'!$A$35</f>
        <v>CTL-SH-01</v>
      </c>
      <c r="F809" s="12" t="str">
        <f aca="false">INDEX('Control Library'!$B$5:$B$47,MATCH(E809,'Control Library'!$A$5:$A$47,0))</f>
        <v>Shariah review of products and income purification</v>
      </c>
      <c r="G809" s="7" t="str">
        <f aca="false">INDEX('Control Library'!$F$5:$F$47,MATCH(E809,'Control Library'!$A$5:$A$47,0))</f>
        <v>Y</v>
      </c>
      <c r="H809" s="12" t="str">
        <f aca="false">INDEX('Control Library'!$E$5:$E$47,MATCH(E809,'Control Library'!$A$5:$A$47,0))</f>
        <v>Quarterly</v>
      </c>
      <c r="I809" s="7" t="str">
        <f aca="false">IF(INDEX('Control Library'!$I$5:$I$47,MATCH(E809,'Control Library'!$A$5:$A$47,0))="All","Y",IF(INDEX('Control Library'!$I$5:$I$47,MATCH(E809,'Control Library'!$A$5:$A$47,0))="Banks only",IF(COUNTIF('Residual Config'!$L$28:$L$30,INDEX(Entities!$E$5:$E$34,MATCH(B809,Entities!$A$5:$A$34,0)))&gt;0,"N/A","Y"),IF(INDEX(Entities!$G$5:$G$34,MATCH(B809,Entities!$A$5:$A$34,0))="Y","Y","N/A")))</f>
        <v>N/A</v>
      </c>
      <c r="J809" s="8"/>
      <c r="K809" s="8"/>
      <c r="L809" s="7" t="str">
        <f aca="false">IF(OR(J809="",K809=""),"",IF(J809=K809,"Breach","OK"))</f>
        <v/>
      </c>
      <c r="M809" s="24"/>
      <c r="N809" s="50"/>
      <c r="O809" s="8"/>
      <c r="P809" s="24"/>
      <c r="Q809" s="31" t="str">
        <f aca="false">IF(I809="N/A","",IFERROR(INDEX('Residual Config'!$B$35:$B$42,MATCH(H809,'Residual Config'!$A$35:$A$42,0)),""))</f>
        <v/>
      </c>
      <c r="R809" s="24"/>
      <c r="S809" s="8"/>
      <c r="T809" s="31" t="str">
        <f aca="false">IF(S809="","",MATCH(S809,'Residual Config'!$L$9:$L$12,0))</f>
        <v/>
      </c>
      <c r="U809" s="8"/>
      <c r="V809" s="24"/>
      <c r="W809" s="33"/>
      <c r="X809" s="8"/>
      <c r="Y809" s="51" t="str">
        <f aca="false">IF(N809="","",EDATE(N809,IF(G809="N",INDEX('Residual Config'!$B$31:$D$31,1,MATCH(D809,'Residual Config'!$B$27:$D$27,0)),INDEX('Residual Config'!$B$28:$D$30,IF(T809=1,1,IF(T809=4,3,2)),MATCH(D809,'Residual Config'!$B$27:$D$27,0)))))</f>
        <v/>
      </c>
      <c r="Z809" s="7" t="str">
        <f aca="false">IF(I809="N/A","N/A",IF(N809="","Not tested",IF(W809="Rejected","Evidence rejected",IF(W809&lt;&gt;"Accepted","Evidence pending",IF(Y809&lt;'Residual Config'!$C$4,"Overdue","Current")))))</f>
        <v>N/A</v>
      </c>
      <c r="AA809" s="34" t="str">
        <f aca="false">IF(I809="N/A","",IF(Z809&lt;&gt;"Current",4,IF(MAX(M809,T809)=0,4,MAX(M809,T809))))</f>
        <v/>
      </c>
      <c r="AB809" s="7" t="str">
        <f aca="false">IF(AA809="","N/A",IF(Z809&lt;&gt;"Current","Not tested / overdue",INDEX('Residual Config'!$B$11:$B$14,AA809)))</f>
        <v>N/A</v>
      </c>
      <c r="AC809" s="36" t="str">
        <f aca="false">IF(AA809="","",INDEX('Residual Config'!$D$11:$D$14,AA809))</f>
        <v/>
      </c>
      <c r="AD809" s="7" t="str">
        <f aca="false">IF(OR(I809="N/A",P809="",Q809=""),"",IF(P809&gt;=Q809,"Yes","No"))</f>
        <v/>
      </c>
      <c r="AE809" s="8"/>
    </row>
    <row r="810" customFormat="false" ht="15" hidden="false" customHeight="false" outlineLevel="0" collapsed="false">
      <c r="A810" s="12" t="s">
        <v>2744</v>
      </c>
      <c r="B810" s="26" t="str">
        <f aca="false">Entities!$A$23</f>
        <v>MA</v>
      </c>
      <c r="C810" s="12" t="str">
        <f aca="false">INDEX(Entities!$B$5:$B$34,MATCH(B810,Entities!$A$5:$A$34,0))</f>
        <v>Arab Bank – Morocco</v>
      </c>
      <c r="D810" s="7" t="str">
        <f aca="false">INDEX(Entities!$F$5:$F$34,MATCH(B810,Entities!$A$5:$A$34,0))</f>
        <v>Tier 3</v>
      </c>
      <c r="E810" s="26" t="str">
        <f aca="false">'Control Library'!$A$36</f>
        <v>CTL-CR-01</v>
      </c>
      <c r="F810" s="12" t="str">
        <f aca="false">INDEX('Control Library'!$B$5:$B$47,MATCH(E810,'Control Library'!$A$5:$A$47,0))</f>
        <v>Credit approval authorities and committee review</v>
      </c>
      <c r="G810" s="7" t="str">
        <f aca="false">INDEX('Control Library'!$F$5:$F$47,MATCH(E810,'Control Library'!$A$5:$A$47,0))</f>
        <v>Y</v>
      </c>
      <c r="H810" s="12" t="str">
        <f aca="false">INDEX('Control Library'!$E$5:$E$47,MATCH(E810,'Control Library'!$A$5:$A$47,0))</f>
        <v>Event-driven</v>
      </c>
      <c r="I810" s="7" t="str">
        <f aca="false">IF(INDEX('Control Library'!$I$5:$I$47,MATCH(E810,'Control Library'!$A$5:$A$47,0))="All","Y",IF(INDEX('Control Library'!$I$5:$I$47,MATCH(E810,'Control Library'!$A$5:$A$47,0))="Banks only",IF(COUNTIF('Residual Config'!$L$28:$L$30,INDEX(Entities!$E$5:$E$34,MATCH(B810,Entities!$A$5:$A$34,0)))&gt;0,"N/A","Y"),IF(INDEX(Entities!$G$5:$G$34,MATCH(B810,Entities!$A$5:$A$34,0))="Y","Y","N/A")))</f>
        <v>Y</v>
      </c>
      <c r="J810" s="8" t="s">
        <v>2745</v>
      </c>
      <c r="K810" s="8" t="s">
        <v>2669</v>
      </c>
      <c r="L810" s="7" t="str">
        <f aca="false">IF(OR(J810="",K810=""),"",IF(J810=K810,"Breach","OK"))</f>
        <v>OK</v>
      </c>
      <c r="M810" s="24" t="n">
        <v>2</v>
      </c>
      <c r="N810" s="50" t="n">
        <v>46221</v>
      </c>
      <c r="O810" s="8" t="s">
        <v>546</v>
      </c>
      <c r="P810" s="24" t="n">
        <v>30</v>
      </c>
      <c r="Q810" s="31" t="n">
        <f aca="false">IF(I810="N/A","",IFERROR(INDEX('Residual Config'!$B$35:$B$42,MATCH(H810,'Residual Config'!$A$35:$A$42,0)),""))</f>
        <v>25</v>
      </c>
      <c r="R810" s="24" t="n">
        <v>0</v>
      </c>
      <c r="S810" s="8" t="s">
        <v>516</v>
      </c>
      <c r="T810" s="31" t="n">
        <f aca="false">IF(S810="","",MATCH(S810,'Residual Config'!$L$9:$L$12,0))</f>
        <v>1</v>
      </c>
      <c r="U810" s="8" t="s">
        <v>2746</v>
      </c>
      <c r="V810" s="24" t="n">
        <v>2</v>
      </c>
      <c r="W810" s="33" t="s">
        <v>533</v>
      </c>
      <c r="X810" s="8" t="s">
        <v>754</v>
      </c>
      <c r="Y810" s="51" t="n">
        <f aca="false">IF(N810="","",EDATE(N810,IF(G810="N",INDEX('Residual Config'!$B$31:$D$31,1,MATCH(D810,'Residual Config'!$B$27:$D$27,0)),INDEX('Residual Config'!$B$28:$D$30,IF(T810=1,1,IF(T810=4,3,2)),MATCH(D810,'Residual Config'!$B$27:$D$27,0)))))</f>
        <v>46586</v>
      </c>
      <c r="Z810" s="7" t="str">
        <f aca="false">IF(I810="N/A","N/A",IF(N810="","Not tested",IF(W810="Rejected","Evidence rejected",IF(W810&lt;&gt;"Accepted","Evidence pending",IF(Y810&lt;'Residual Config'!$C$4,"Overdue","Current")))))</f>
        <v>Current</v>
      </c>
      <c r="AA810" s="34" t="n">
        <f aca="false">IF(I810="N/A","",IF(Z810&lt;&gt;"Current",4,IF(MAX(M810,T810)=0,4,MAX(M810,T810))))</f>
        <v>2</v>
      </c>
      <c r="AB810" s="7" t="str">
        <f aca="false">IF(AA810="","N/A",IF(Z810&lt;&gt;"Current","Not tested / overdue",INDEX('Residual Config'!$B$11:$B$14,AA810)))</f>
        <v>Largely effective</v>
      </c>
      <c r="AC810" s="36" t="n">
        <f aca="false">IF(AA810="","",INDEX('Residual Config'!$D$11:$D$14,AA810))</f>
        <v>0.4</v>
      </c>
      <c r="AD810" s="7" t="str">
        <f aca="false">IF(OR(I810="N/A",P810="",Q810=""),"",IF(P810&gt;=Q810,"Yes","No"))</f>
        <v>Yes</v>
      </c>
      <c r="AE810" s="8"/>
    </row>
    <row r="811" customFormat="false" ht="15" hidden="false" customHeight="false" outlineLevel="0" collapsed="false">
      <c r="A811" s="12" t="s">
        <v>2747</v>
      </c>
      <c r="B811" s="26" t="str">
        <f aca="false">Entities!$A$23</f>
        <v>MA</v>
      </c>
      <c r="C811" s="12" t="str">
        <f aca="false">INDEX(Entities!$B$5:$B$34,MATCH(B811,Entities!$A$5:$A$34,0))</f>
        <v>Arab Bank – Morocco</v>
      </c>
      <c r="D811" s="7" t="str">
        <f aca="false">INDEX(Entities!$F$5:$F$34,MATCH(B811,Entities!$A$5:$A$34,0))</f>
        <v>Tier 3</v>
      </c>
      <c r="E811" s="26" t="str">
        <f aca="false">'Control Library'!$A$37</f>
        <v>CTL-CR-02</v>
      </c>
      <c r="F811" s="12" t="str">
        <f aca="false">INDEX('Control Library'!$B$5:$B$47,MATCH(E811,'Control Library'!$A$5:$A$47,0))</f>
        <v>Collateral valuation and exposure limit monitoring</v>
      </c>
      <c r="G811" s="7" t="str">
        <f aca="false">INDEX('Control Library'!$F$5:$F$47,MATCH(E811,'Control Library'!$A$5:$A$47,0))</f>
        <v>N</v>
      </c>
      <c r="H811" s="12" t="str">
        <f aca="false">INDEX('Control Library'!$E$5:$E$47,MATCH(E811,'Control Library'!$A$5:$A$47,0))</f>
        <v>Monthly</v>
      </c>
      <c r="I811" s="7" t="str">
        <f aca="false">IF(INDEX('Control Library'!$I$5:$I$47,MATCH(E811,'Control Library'!$A$5:$A$47,0))="All","Y",IF(INDEX('Control Library'!$I$5:$I$47,MATCH(E811,'Control Library'!$A$5:$A$47,0))="Banks only",IF(COUNTIF('Residual Config'!$L$28:$L$30,INDEX(Entities!$E$5:$E$34,MATCH(B811,Entities!$A$5:$A$34,0)))&gt;0,"N/A","Y"),IF(INDEX(Entities!$G$5:$G$34,MATCH(B811,Entities!$A$5:$A$34,0))="Y","Y","N/A")))</f>
        <v>Y</v>
      </c>
      <c r="J811" s="8" t="s">
        <v>2748</v>
      </c>
      <c r="K811" s="8" t="s">
        <v>2669</v>
      </c>
      <c r="L811" s="7" t="str">
        <f aca="false">IF(OR(J811="",K811=""),"",IF(J811=K811,"Breach","OK"))</f>
        <v>OK</v>
      </c>
      <c r="M811" s="24" t="n">
        <v>2</v>
      </c>
      <c r="N811" s="50" t="n">
        <v>46087</v>
      </c>
      <c r="O811" s="8" t="s">
        <v>546</v>
      </c>
      <c r="P811" s="24" t="n">
        <v>3</v>
      </c>
      <c r="Q811" s="31" t="n">
        <f aca="false">IF(I811="N/A","",IFERROR(INDEX('Residual Config'!$B$35:$B$42,MATCH(H811,'Residual Config'!$A$35:$A$42,0)),""))</f>
        <v>3</v>
      </c>
      <c r="R811" s="24" t="n">
        <v>1</v>
      </c>
      <c r="S811" s="8" t="s">
        <v>521</v>
      </c>
      <c r="T811" s="31" t="n">
        <f aca="false">IF(S811="","",MATCH(S811,'Residual Config'!$L$9:$L$12,0))</f>
        <v>2</v>
      </c>
      <c r="U811" s="8" t="s">
        <v>2749</v>
      </c>
      <c r="V811" s="24" t="n">
        <v>1</v>
      </c>
      <c r="W811" s="33" t="s">
        <v>533</v>
      </c>
      <c r="X811" s="8" t="s">
        <v>754</v>
      </c>
      <c r="Y811" s="51" t="n">
        <f aca="false">IF(N811="","",EDATE(N811,IF(G811="N",INDEX('Residual Config'!$B$31:$D$31,1,MATCH(D811,'Residual Config'!$B$27:$D$27,0)),INDEX('Residual Config'!$B$28:$D$30,IF(T811=1,1,IF(T811=4,3,2)),MATCH(D811,'Residual Config'!$B$27:$D$27,0)))))</f>
        <v>46818</v>
      </c>
      <c r="Z811" s="7" t="str">
        <f aca="false">IF(I811="N/A","N/A",IF(N811="","Not tested",IF(W811="Rejected","Evidence rejected",IF(W811&lt;&gt;"Accepted","Evidence pending",IF(Y811&lt;'Residual Config'!$C$4,"Overdue","Current")))))</f>
        <v>Current</v>
      </c>
      <c r="AA811" s="34" t="n">
        <f aca="false">IF(I811="N/A","",IF(Z811&lt;&gt;"Current",4,IF(MAX(M811,T811)=0,4,MAX(M811,T811))))</f>
        <v>2</v>
      </c>
      <c r="AB811" s="7" t="str">
        <f aca="false">IF(AA811="","N/A",IF(Z811&lt;&gt;"Current","Not tested / overdue",INDEX('Residual Config'!$B$11:$B$14,AA811)))</f>
        <v>Largely effective</v>
      </c>
      <c r="AC811" s="36" t="n">
        <f aca="false">IF(AA811="","",INDEX('Residual Config'!$D$11:$D$14,AA811))</f>
        <v>0.4</v>
      </c>
      <c r="AD811" s="7" t="str">
        <f aca="false">IF(OR(I811="N/A",P811="",Q811=""),"",IF(P811&gt;=Q811,"Yes","No"))</f>
        <v>Yes</v>
      </c>
      <c r="AE811" s="8"/>
    </row>
    <row r="812" customFormat="false" ht="15" hidden="false" customHeight="false" outlineLevel="0" collapsed="false">
      <c r="A812" s="12" t="s">
        <v>2750</v>
      </c>
      <c r="B812" s="26" t="str">
        <f aca="false">Entities!$A$23</f>
        <v>MA</v>
      </c>
      <c r="C812" s="12" t="str">
        <f aca="false">INDEX(Entities!$B$5:$B$34,MATCH(B812,Entities!$A$5:$A$34,0))</f>
        <v>Arab Bank – Morocco</v>
      </c>
      <c r="D812" s="7" t="str">
        <f aca="false">INDEX(Entities!$F$5:$F$34,MATCH(B812,Entities!$A$5:$A$34,0))</f>
        <v>Tier 3</v>
      </c>
      <c r="E812" s="26" t="str">
        <f aca="false">'Control Library'!$A$38</f>
        <v>CTL-MR-01</v>
      </c>
      <c r="F812" s="12" t="str">
        <f aca="false">INDEX('Control Library'!$B$5:$B$47,MATCH(E812,'Control Library'!$A$5:$A$47,0))</f>
        <v>Market risk limits and daily VaR monitoring</v>
      </c>
      <c r="G812" s="7" t="str">
        <f aca="false">INDEX('Control Library'!$F$5:$F$47,MATCH(E812,'Control Library'!$A$5:$A$47,0))</f>
        <v>Y</v>
      </c>
      <c r="H812" s="12" t="str">
        <f aca="false">INDEX('Control Library'!$E$5:$E$47,MATCH(E812,'Control Library'!$A$5:$A$47,0))</f>
        <v>Daily</v>
      </c>
      <c r="I812" s="7" t="str">
        <f aca="false">IF(INDEX('Control Library'!$I$5:$I$47,MATCH(E812,'Control Library'!$A$5:$A$47,0))="All","Y",IF(INDEX('Control Library'!$I$5:$I$47,MATCH(E812,'Control Library'!$A$5:$A$47,0))="Banks only",IF(COUNTIF('Residual Config'!$L$28:$L$30,INDEX(Entities!$E$5:$E$34,MATCH(B812,Entities!$A$5:$A$34,0)))&gt;0,"N/A","Y"),IF(INDEX(Entities!$G$5:$G$34,MATCH(B812,Entities!$A$5:$A$34,0))="Y","Y","N/A")))</f>
        <v>Y</v>
      </c>
      <c r="J812" s="8" t="s">
        <v>2748</v>
      </c>
      <c r="K812" s="8" t="s">
        <v>2669</v>
      </c>
      <c r="L812" s="7" t="str">
        <f aca="false">IF(OR(J812="",K812=""),"",IF(J812=K812,"Breach","OK"))</f>
        <v>OK</v>
      </c>
      <c r="M812" s="24" t="n">
        <v>1</v>
      </c>
      <c r="N812" s="50" t="n">
        <v>46137</v>
      </c>
      <c r="O812" s="8" t="s">
        <v>547</v>
      </c>
      <c r="P812" s="24" t="n">
        <v>30</v>
      </c>
      <c r="Q812" s="31" t="n">
        <f aca="false">IF(I812="N/A","",IFERROR(INDEX('Residual Config'!$B$35:$B$42,MATCH(H812,'Residual Config'!$A$35:$A$42,0)),""))</f>
        <v>25</v>
      </c>
      <c r="R812" s="24" t="n">
        <v>1</v>
      </c>
      <c r="S812" s="8" t="s">
        <v>521</v>
      </c>
      <c r="T812" s="31" t="n">
        <f aca="false">IF(S812="","",MATCH(S812,'Residual Config'!$L$9:$L$12,0))</f>
        <v>2</v>
      </c>
      <c r="U812" s="8" t="s">
        <v>2751</v>
      </c>
      <c r="V812" s="24" t="n">
        <v>1</v>
      </c>
      <c r="W812" s="33" t="s">
        <v>533</v>
      </c>
      <c r="X812" s="8" t="s">
        <v>760</v>
      </c>
      <c r="Y812" s="51" t="n">
        <f aca="false">IF(N812="","",EDATE(N812,IF(G812="N",INDEX('Residual Config'!$B$31:$D$31,1,MATCH(D812,'Residual Config'!$B$27:$D$27,0)),INDEX('Residual Config'!$B$28:$D$30,IF(T812=1,1,IF(T812=4,3,2)),MATCH(D812,'Residual Config'!$B$27:$D$27,0)))))</f>
        <v>46320</v>
      </c>
      <c r="Z812" s="7" t="str">
        <f aca="false">IF(I812="N/A","N/A",IF(N812="","Not tested",IF(W812="Rejected","Evidence rejected",IF(W812&lt;&gt;"Accepted","Evidence pending",IF(Y812&lt;'Residual Config'!$C$4,"Overdue","Current")))))</f>
        <v>Current</v>
      </c>
      <c r="AA812" s="34" t="n">
        <f aca="false">IF(I812="N/A","",IF(Z812&lt;&gt;"Current",4,IF(MAX(M812,T812)=0,4,MAX(M812,T812))))</f>
        <v>2</v>
      </c>
      <c r="AB812" s="7" t="str">
        <f aca="false">IF(AA812="","N/A",IF(Z812&lt;&gt;"Current","Not tested / overdue",INDEX('Residual Config'!$B$11:$B$14,AA812)))</f>
        <v>Largely effective</v>
      </c>
      <c r="AC812" s="36" t="n">
        <f aca="false">IF(AA812="","",INDEX('Residual Config'!$D$11:$D$14,AA812))</f>
        <v>0.4</v>
      </c>
      <c r="AD812" s="7" t="str">
        <f aca="false">IF(OR(I812="N/A",P812="",Q812=""),"",IF(P812&gt;=Q812,"Yes","No"))</f>
        <v>Yes</v>
      </c>
      <c r="AE812" s="8"/>
    </row>
    <row r="813" customFormat="false" ht="15" hidden="false" customHeight="false" outlineLevel="0" collapsed="false">
      <c r="A813" s="12" t="s">
        <v>2752</v>
      </c>
      <c r="B813" s="26" t="str">
        <f aca="false">Entities!$A$23</f>
        <v>MA</v>
      </c>
      <c r="C813" s="12" t="str">
        <f aca="false">INDEX(Entities!$B$5:$B$34,MATCH(B813,Entities!$A$5:$A$34,0))</f>
        <v>Arab Bank – Morocco</v>
      </c>
      <c r="D813" s="7" t="str">
        <f aca="false">INDEX(Entities!$F$5:$F$34,MATCH(B813,Entities!$A$5:$A$34,0))</f>
        <v>Tier 3</v>
      </c>
      <c r="E813" s="26" t="str">
        <f aca="false">'Control Library'!$A$39</f>
        <v>CTL-LQ-01</v>
      </c>
      <c r="F813" s="12" t="str">
        <f aca="false">INDEX('Control Library'!$B$5:$B$47,MATCH(E813,'Control Library'!$A$5:$A$47,0))</f>
        <v>Liquidity buffers, LCR/NSFR monitoring and contingency funding plan</v>
      </c>
      <c r="G813" s="7" t="str">
        <f aca="false">INDEX('Control Library'!$F$5:$F$47,MATCH(E813,'Control Library'!$A$5:$A$47,0))</f>
        <v>Y</v>
      </c>
      <c r="H813" s="12" t="str">
        <f aca="false">INDEX('Control Library'!$E$5:$E$47,MATCH(E813,'Control Library'!$A$5:$A$47,0))</f>
        <v>Daily</v>
      </c>
      <c r="I813" s="7" t="str">
        <f aca="false">IF(INDEX('Control Library'!$I$5:$I$47,MATCH(E813,'Control Library'!$A$5:$A$47,0))="All","Y",IF(INDEX('Control Library'!$I$5:$I$47,MATCH(E813,'Control Library'!$A$5:$A$47,0))="Banks only",IF(COUNTIF('Residual Config'!$L$28:$L$30,INDEX(Entities!$E$5:$E$34,MATCH(B813,Entities!$A$5:$A$34,0)))&gt;0,"N/A","Y"),IF(INDEX(Entities!$G$5:$G$34,MATCH(B813,Entities!$A$5:$A$34,0))="Y","Y","N/A")))</f>
        <v>Y</v>
      </c>
      <c r="J813" s="8" t="s">
        <v>2753</v>
      </c>
      <c r="K813" s="8" t="s">
        <v>2669</v>
      </c>
      <c r="L813" s="7" t="str">
        <f aca="false">IF(OR(J813="",K813=""),"",IF(J813=K813,"Breach","OK"))</f>
        <v>OK</v>
      </c>
      <c r="M813" s="24" t="n">
        <v>2</v>
      </c>
      <c r="N813" s="50" t="n">
        <v>46227</v>
      </c>
      <c r="O813" s="8" t="s">
        <v>545</v>
      </c>
      <c r="P813" s="24" t="n">
        <v>25</v>
      </c>
      <c r="Q813" s="31" t="n">
        <f aca="false">IF(I813="N/A","",IFERROR(INDEX('Residual Config'!$B$35:$B$42,MATCH(H813,'Residual Config'!$A$35:$A$42,0)),""))</f>
        <v>25</v>
      </c>
      <c r="R813" s="24" t="n">
        <v>1</v>
      </c>
      <c r="S813" s="8" t="s">
        <v>521</v>
      </c>
      <c r="T813" s="31" t="n">
        <f aca="false">IF(S813="","",MATCH(S813,'Residual Config'!$L$9:$L$12,0))</f>
        <v>2</v>
      </c>
      <c r="U813" s="8" t="s">
        <v>2754</v>
      </c>
      <c r="V813" s="24" t="n">
        <v>6</v>
      </c>
      <c r="W813" s="33" t="s">
        <v>533</v>
      </c>
      <c r="X813" s="8" t="s">
        <v>760</v>
      </c>
      <c r="Y813" s="51" t="n">
        <f aca="false">IF(N813="","",EDATE(N813,IF(G813="N",INDEX('Residual Config'!$B$31:$D$31,1,MATCH(D813,'Residual Config'!$B$27:$D$27,0)),INDEX('Residual Config'!$B$28:$D$30,IF(T813=1,1,IF(T813=4,3,2)),MATCH(D813,'Residual Config'!$B$27:$D$27,0)))))</f>
        <v>46411</v>
      </c>
      <c r="Z813" s="7" t="str">
        <f aca="false">IF(I813="N/A","N/A",IF(N813="","Not tested",IF(W813="Rejected","Evidence rejected",IF(W813&lt;&gt;"Accepted","Evidence pending",IF(Y813&lt;'Residual Config'!$C$4,"Overdue","Current")))))</f>
        <v>Current</v>
      </c>
      <c r="AA813" s="34" t="n">
        <f aca="false">IF(I813="N/A","",IF(Z813&lt;&gt;"Current",4,IF(MAX(M813,T813)=0,4,MAX(M813,T813))))</f>
        <v>2</v>
      </c>
      <c r="AB813" s="7" t="str">
        <f aca="false">IF(AA813="","N/A",IF(Z813&lt;&gt;"Current","Not tested / overdue",INDEX('Residual Config'!$B$11:$B$14,AA813)))</f>
        <v>Largely effective</v>
      </c>
      <c r="AC813" s="36" t="n">
        <f aca="false">IF(AA813="","",INDEX('Residual Config'!$D$11:$D$14,AA813))</f>
        <v>0.4</v>
      </c>
      <c r="AD813" s="7" t="str">
        <f aca="false">IF(OR(I813="N/A",P813="",Q813=""),"",IF(P813&gt;=Q813,"Yes","No"))</f>
        <v>Yes</v>
      </c>
      <c r="AE813" s="8"/>
    </row>
    <row r="814" customFormat="false" ht="15" hidden="false" customHeight="false" outlineLevel="0" collapsed="false">
      <c r="A814" s="12" t="s">
        <v>2755</v>
      </c>
      <c r="B814" s="26" t="str">
        <f aca="false">Entities!$A$23</f>
        <v>MA</v>
      </c>
      <c r="C814" s="12" t="str">
        <f aca="false">INDEX(Entities!$B$5:$B$34,MATCH(B814,Entities!$A$5:$A$34,0))</f>
        <v>Arab Bank – Morocco</v>
      </c>
      <c r="D814" s="7" t="str">
        <f aca="false">INDEX(Entities!$F$5:$F$34,MATCH(B814,Entities!$A$5:$A$34,0))</f>
        <v>Tier 3</v>
      </c>
      <c r="E814" s="26" t="str">
        <f aca="false">'Control Library'!$A$40</f>
        <v>CTL-OR-01</v>
      </c>
      <c r="F814" s="12" t="str">
        <f aca="false">INDEX('Control Library'!$B$5:$B$47,MATCH(E814,'Control Library'!$A$5:$A$47,0))</f>
        <v>Business continuity plans and annual testing</v>
      </c>
      <c r="G814" s="7" t="str">
        <f aca="false">INDEX('Control Library'!$F$5:$F$47,MATCH(E814,'Control Library'!$A$5:$A$47,0))</f>
        <v>Y</v>
      </c>
      <c r="H814" s="12" t="str">
        <f aca="false">INDEX('Control Library'!$E$5:$E$47,MATCH(E814,'Control Library'!$A$5:$A$47,0))</f>
        <v>Annual</v>
      </c>
      <c r="I814" s="7" t="str">
        <f aca="false">IF(INDEX('Control Library'!$I$5:$I$47,MATCH(E814,'Control Library'!$A$5:$A$47,0))="All","Y",IF(INDEX('Control Library'!$I$5:$I$47,MATCH(E814,'Control Library'!$A$5:$A$47,0))="Banks only",IF(COUNTIF('Residual Config'!$L$28:$L$30,INDEX(Entities!$E$5:$E$34,MATCH(B814,Entities!$A$5:$A$34,0)))&gt;0,"N/A","Y"),IF(INDEX(Entities!$G$5:$G$34,MATCH(B814,Entities!$A$5:$A$34,0))="Y","Y","N/A")))</f>
        <v>Y</v>
      </c>
      <c r="J814" s="8" t="s">
        <v>2756</v>
      </c>
      <c r="K814" s="8" t="s">
        <v>2669</v>
      </c>
      <c r="L814" s="7" t="str">
        <f aca="false">IF(OR(J814="",K814=""),"",IF(J814=K814,"Breach","OK"))</f>
        <v>OK</v>
      </c>
      <c r="M814" s="24" t="n">
        <v>2</v>
      </c>
      <c r="N814" s="50" t="n">
        <v>46106</v>
      </c>
      <c r="O814" s="8" t="s">
        <v>546</v>
      </c>
      <c r="P814" s="24" t="n">
        <v>1</v>
      </c>
      <c r="Q814" s="31" t="n">
        <f aca="false">IF(I814="N/A","",IFERROR(INDEX('Residual Config'!$B$35:$B$42,MATCH(H814,'Residual Config'!$A$35:$A$42,0)),""))</f>
        <v>1</v>
      </c>
      <c r="R814" s="24" t="n">
        <v>0</v>
      </c>
      <c r="S814" s="8" t="s">
        <v>516</v>
      </c>
      <c r="T814" s="31" t="n">
        <f aca="false">IF(S814="","",MATCH(S814,'Residual Config'!$L$9:$L$12,0))</f>
        <v>1</v>
      </c>
      <c r="U814" s="8" t="s">
        <v>2757</v>
      </c>
      <c r="V814" s="24" t="n">
        <v>2</v>
      </c>
      <c r="W814" s="33" t="s">
        <v>533</v>
      </c>
      <c r="X814" s="8" t="s">
        <v>760</v>
      </c>
      <c r="Y814" s="51" t="n">
        <f aca="false">IF(N814="","",EDATE(N814,IF(G814="N",INDEX('Residual Config'!$B$31:$D$31,1,MATCH(D814,'Residual Config'!$B$27:$D$27,0)),INDEX('Residual Config'!$B$28:$D$30,IF(T814=1,1,IF(T814=4,3,2)),MATCH(D814,'Residual Config'!$B$27:$D$27,0)))))</f>
        <v>46471</v>
      </c>
      <c r="Z814" s="7" t="str">
        <f aca="false">IF(I814="N/A","N/A",IF(N814="","Not tested",IF(W814="Rejected","Evidence rejected",IF(W814&lt;&gt;"Accepted","Evidence pending",IF(Y814&lt;'Residual Config'!$C$4,"Overdue","Current")))))</f>
        <v>Current</v>
      </c>
      <c r="AA814" s="34" t="n">
        <f aca="false">IF(I814="N/A","",IF(Z814&lt;&gt;"Current",4,IF(MAX(M814,T814)=0,4,MAX(M814,T814))))</f>
        <v>2</v>
      </c>
      <c r="AB814" s="7" t="str">
        <f aca="false">IF(AA814="","N/A",IF(Z814&lt;&gt;"Current","Not tested / overdue",INDEX('Residual Config'!$B$11:$B$14,AA814)))</f>
        <v>Largely effective</v>
      </c>
      <c r="AC814" s="36" t="n">
        <f aca="false">IF(AA814="","",INDEX('Residual Config'!$D$11:$D$14,AA814))</f>
        <v>0.4</v>
      </c>
      <c r="AD814" s="7" t="str">
        <f aca="false">IF(OR(I814="N/A",P814="",Q814=""),"",IF(P814&gt;=Q814,"Yes","No"))</f>
        <v>Yes</v>
      </c>
      <c r="AE814" s="8"/>
    </row>
    <row r="815" customFormat="false" ht="15" hidden="false" customHeight="false" outlineLevel="0" collapsed="false">
      <c r="A815" s="12" t="s">
        <v>2758</v>
      </c>
      <c r="B815" s="26" t="str">
        <f aca="false">Entities!$A$23</f>
        <v>MA</v>
      </c>
      <c r="C815" s="12" t="str">
        <f aca="false">INDEX(Entities!$B$5:$B$34,MATCH(B815,Entities!$A$5:$A$34,0))</f>
        <v>Arab Bank – Morocco</v>
      </c>
      <c r="D815" s="7" t="str">
        <f aca="false">INDEX(Entities!$F$5:$F$34,MATCH(B815,Entities!$A$5:$A$34,0))</f>
        <v>Tier 3</v>
      </c>
      <c r="E815" s="26" t="str">
        <f aca="false">'Control Library'!$A$41</f>
        <v>CTL-OR-02</v>
      </c>
      <c r="F815" s="12" t="str">
        <f aca="false">INDEX('Control Library'!$B$5:$B$47,MATCH(E815,'Control Library'!$A$5:$A$47,0))</f>
        <v>Operational loss event capture and RCSA</v>
      </c>
      <c r="G815" s="7" t="str">
        <f aca="false">INDEX('Control Library'!$F$5:$F$47,MATCH(E815,'Control Library'!$A$5:$A$47,0))</f>
        <v>N</v>
      </c>
      <c r="H815" s="12" t="str">
        <f aca="false">INDEX('Control Library'!$E$5:$E$47,MATCH(E815,'Control Library'!$A$5:$A$47,0))</f>
        <v>Quarterly</v>
      </c>
      <c r="I815" s="7" t="str">
        <f aca="false">IF(INDEX('Control Library'!$I$5:$I$47,MATCH(E815,'Control Library'!$A$5:$A$47,0))="All","Y",IF(INDEX('Control Library'!$I$5:$I$47,MATCH(E815,'Control Library'!$A$5:$A$47,0))="Banks only",IF(COUNTIF('Residual Config'!$L$28:$L$30,INDEX(Entities!$E$5:$E$34,MATCH(B815,Entities!$A$5:$A$34,0)))&gt;0,"N/A","Y"),IF(INDEX(Entities!$G$5:$G$34,MATCH(B815,Entities!$A$5:$A$34,0))="Y","Y","N/A")))</f>
        <v>Y</v>
      </c>
      <c r="J815" s="8" t="s">
        <v>2748</v>
      </c>
      <c r="K815" s="8" t="s">
        <v>2669</v>
      </c>
      <c r="L815" s="7" t="str">
        <f aca="false">IF(OR(J815="",K815=""),"",IF(J815=K815,"Breach","OK"))</f>
        <v>OK</v>
      </c>
      <c r="M815" s="24" t="n">
        <v>1</v>
      </c>
      <c r="N815" s="50" t="n">
        <v>45775</v>
      </c>
      <c r="O815" s="8" t="s">
        <v>546</v>
      </c>
      <c r="P815" s="24" t="n">
        <v>2</v>
      </c>
      <c r="Q815" s="31" t="n">
        <f aca="false">IF(I815="N/A","",IFERROR(INDEX('Residual Config'!$B$35:$B$42,MATCH(H815,'Residual Config'!$A$35:$A$42,0)),""))</f>
        <v>2</v>
      </c>
      <c r="R815" s="24" t="n">
        <v>0</v>
      </c>
      <c r="S815" s="8" t="s">
        <v>516</v>
      </c>
      <c r="T815" s="31" t="n">
        <f aca="false">IF(S815="","",MATCH(S815,'Residual Config'!$L$9:$L$12,0))</f>
        <v>1</v>
      </c>
      <c r="U815" s="8" t="s">
        <v>2759</v>
      </c>
      <c r="V815" s="24" t="n">
        <v>4</v>
      </c>
      <c r="W815" s="33" t="s">
        <v>533</v>
      </c>
      <c r="X815" s="8" t="s">
        <v>760</v>
      </c>
      <c r="Y815" s="51" t="n">
        <f aca="false">IF(N815="","",EDATE(N815,IF(G815="N",INDEX('Residual Config'!$B$31:$D$31,1,MATCH(D815,'Residual Config'!$B$27:$D$27,0)),INDEX('Residual Config'!$B$28:$D$30,IF(T815=1,1,IF(T815=4,3,2)),MATCH(D815,'Residual Config'!$B$27:$D$27,0)))))</f>
        <v>46505</v>
      </c>
      <c r="Z815" s="7" t="str">
        <f aca="false">IF(I815="N/A","N/A",IF(N815="","Not tested",IF(W815="Rejected","Evidence rejected",IF(W815&lt;&gt;"Accepted","Evidence pending",IF(Y815&lt;'Residual Config'!$C$4,"Overdue","Current")))))</f>
        <v>Current</v>
      </c>
      <c r="AA815" s="34" t="n">
        <f aca="false">IF(I815="N/A","",IF(Z815&lt;&gt;"Current",4,IF(MAX(M815,T815)=0,4,MAX(M815,T815))))</f>
        <v>1</v>
      </c>
      <c r="AB815" s="7" t="str">
        <f aca="false">IF(AA815="","N/A",IF(Z815&lt;&gt;"Current","Not tested / overdue",INDEX('Residual Config'!$B$11:$B$14,AA815)))</f>
        <v>Effective</v>
      </c>
      <c r="AC815" s="36" t="n">
        <f aca="false">IF(AA815="","",INDEX('Residual Config'!$D$11:$D$14,AA815))</f>
        <v>0.6</v>
      </c>
      <c r="AD815" s="7" t="str">
        <f aca="false">IF(OR(I815="N/A",P815="",Q815=""),"",IF(P815&gt;=Q815,"Yes","No"))</f>
        <v>Yes</v>
      </c>
      <c r="AE815" s="8"/>
    </row>
    <row r="816" customFormat="false" ht="15" hidden="false" customHeight="false" outlineLevel="0" collapsed="false">
      <c r="A816" s="12" t="s">
        <v>2760</v>
      </c>
      <c r="B816" s="26" t="str">
        <f aca="false">Entities!$A$23</f>
        <v>MA</v>
      </c>
      <c r="C816" s="12" t="str">
        <f aca="false">INDEX(Entities!$B$5:$B$34,MATCH(B816,Entities!$A$5:$A$34,0))</f>
        <v>Arab Bank – Morocco</v>
      </c>
      <c r="D816" s="7" t="str">
        <f aca="false">INDEX(Entities!$F$5:$F$34,MATCH(B816,Entities!$A$5:$A$34,0))</f>
        <v>Tier 3</v>
      </c>
      <c r="E816" s="26" t="str">
        <f aca="false">'Control Library'!$A$42</f>
        <v>CTL-CY-01</v>
      </c>
      <c r="F816" s="12" t="str">
        <f aca="false">INDEX('Control Library'!$B$5:$B$47,MATCH(E816,'Control Library'!$A$5:$A$47,0))</f>
        <v>Vulnerability and patch management</v>
      </c>
      <c r="G816" s="7" t="str">
        <f aca="false">INDEX('Control Library'!$F$5:$F$47,MATCH(E816,'Control Library'!$A$5:$A$47,0))</f>
        <v>Y</v>
      </c>
      <c r="H816" s="12" t="str">
        <f aca="false">INDEX('Control Library'!$E$5:$E$47,MATCH(E816,'Control Library'!$A$5:$A$47,0))</f>
        <v>Monthly</v>
      </c>
      <c r="I816" s="7" t="str">
        <f aca="false">IF(INDEX('Control Library'!$I$5:$I$47,MATCH(E816,'Control Library'!$A$5:$A$47,0))="All","Y",IF(INDEX('Control Library'!$I$5:$I$47,MATCH(E816,'Control Library'!$A$5:$A$47,0))="Banks only",IF(COUNTIF('Residual Config'!$L$28:$L$30,INDEX(Entities!$E$5:$E$34,MATCH(B816,Entities!$A$5:$A$34,0)))&gt;0,"N/A","Y"),IF(INDEX(Entities!$G$5:$G$34,MATCH(B816,Entities!$A$5:$A$34,0))="Y","Y","N/A")))</f>
        <v>Y</v>
      </c>
      <c r="J816" s="8" t="s">
        <v>2693</v>
      </c>
      <c r="K816" s="8" t="s">
        <v>2669</v>
      </c>
      <c r="L816" s="7" t="str">
        <f aca="false">IF(OR(J816="",K816=""),"",IF(J816=K816,"Breach","OK"))</f>
        <v>OK</v>
      </c>
      <c r="M816" s="24" t="n">
        <v>2</v>
      </c>
      <c r="N816" s="50" t="n">
        <v>46231</v>
      </c>
      <c r="O816" s="8" t="s">
        <v>546</v>
      </c>
      <c r="P816" s="24" t="n">
        <v>3</v>
      </c>
      <c r="Q816" s="31" t="n">
        <f aca="false">IF(I816="N/A","",IFERROR(INDEX('Residual Config'!$B$35:$B$42,MATCH(H816,'Residual Config'!$A$35:$A$42,0)),""))</f>
        <v>3</v>
      </c>
      <c r="R816" s="24" t="n">
        <v>0</v>
      </c>
      <c r="S816" s="8" t="s">
        <v>516</v>
      </c>
      <c r="T816" s="31" t="n">
        <f aca="false">IF(S816="","",MATCH(S816,'Residual Config'!$L$9:$L$12,0))</f>
        <v>1</v>
      </c>
      <c r="U816" s="8" t="s">
        <v>2761</v>
      </c>
      <c r="V816" s="24" t="n">
        <v>2</v>
      </c>
      <c r="W816" s="33" t="s">
        <v>533</v>
      </c>
      <c r="X816" s="8" t="s">
        <v>754</v>
      </c>
      <c r="Y816" s="51" t="n">
        <f aca="false">IF(N816="","",EDATE(N816,IF(G816="N",INDEX('Residual Config'!$B$31:$D$31,1,MATCH(D816,'Residual Config'!$B$27:$D$27,0)),INDEX('Residual Config'!$B$28:$D$30,IF(T816=1,1,IF(T816=4,3,2)),MATCH(D816,'Residual Config'!$B$27:$D$27,0)))))</f>
        <v>46596</v>
      </c>
      <c r="Z816" s="7" t="str">
        <f aca="false">IF(I816="N/A","N/A",IF(N816="","Not tested",IF(W816="Rejected","Evidence rejected",IF(W816&lt;&gt;"Accepted","Evidence pending",IF(Y816&lt;'Residual Config'!$C$4,"Overdue","Current")))))</f>
        <v>Current</v>
      </c>
      <c r="AA816" s="34" t="n">
        <f aca="false">IF(I816="N/A","",IF(Z816&lt;&gt;"Current",4,IF(MAX(M816,T816)=0,4,MAX(M816,T816))))</f>
        <v>2</v>
      </c>
      <c r="AB816" s="7" t="str">
        <f aca="false">IF(AA816="","N/A",IF(Z816&lt;&gt;"Current","Not tested / overdue",INDEX('Residual Config'!$B$11:$B$14,AA816)))</f>
        <v>Largely effective</v>
      </c>
      <c r="AC816" s="36" t="n">
        <f aca="false">IF(AA816="","",INDEX('Residual Config'!$D$11:$D$14,AA816))</f>
        <v>0.4</v>
      </c>
      <c r="AD816" s="7" t="str">
        <f aca="false">IF(OR(I816="N/A",P816="",Q816=""),"",IF(P816&gt;=Q816,"Yes","No"))</f>
        <v>Yes</v>
      </c>
      <c r="AE816" s="8"/>
    </row>
    <row r="817" customFormat="false" ht="15" hidden="false" customHeight="false" outlineLevel="0" collapsed="false">
      <c r="A817" s="12" t="s">
        <v>2762</v>
      </c>
      <c r="B817" s="26" t="str">
        <f aca="false">Entities!$A$23</f>
        <v>MA</v>
      </c>
      <c r="C817" s="12" t="str">
        <f aca="false">INDEX(Entities!$B$5:$B$34,MATCH(B817,Entities!$A$5:$A$34,0))</f>
        <v>Arab Bank – Morocco</v>
      </c>
      <c r="D817" s="7" t="str">
        <f aca="false">INDEX(Entities!$F$5:$F$34,MATCH(B817,Entities!$A$5:$A$34,0))</f>
        <v>Tier 3</v>
      </c>
      <c r="E817" s="26" t="str">
        <f aca="false">'Control Library'!$A$43</f>
        <v>CTL-CY-02</v>
      </c>
      <c r="F817" s="12" t="str">
        <f aca="false">INDEX('Control Library'!$B$5:$B$47,MATCH(E817,'Control Library'!$A$5:$A$47,0))</f>
        <v>Privileged access management and SOC monitoring</v>
      </c>
      <c r="G817" s="7" t="str">
        <f aca="false">INDEX('Control Library'!$F$5:$F$47,MATCH(E817,'Control Library'!$A$5:$A$47,0))</f>
        <v>Y</v>
      </c>
      <c r="H817" s="12" t="str">
        <f aca="false">INDEX('Control Library'!$E$5:$E$47,MATCH(E817,'Control Library'!$A$5:$A$47,0))</f>
        <v>Continuous</v>
      </c>
      <c r="I817" s="7" t="str">
        <f aca="false">IF(INDEX('Control Library'!$I$5:$I$47,MATCH(E817,'Control Library'!$A$5:$A$47,0))="All","Y",IF(INDEX('Control Library'!$I$5:$I$47,MATCH(E817,'Control Library'!$A$5:$A$47,0))="Banks only",IF(COUNTIF('Residual Config'!$L$28:$L$30,INDEX(Entities!$E$5:$E$34,MATCH(B817,Entities!$A$5:$A$34,0)))&gt;0,"N/A","Y"),IF(INDEX(Entities!$G$5:$G$34,MATCH(B817,Entities!$A$5:$A$34,0))="Y","Y","N/A")))</f>
        <v>Y</v>
      </c>
      <c r="J817" s="8" t="s">
        <v>2741</v>
      </c>
      <c r="K817" s="8" t="s">
        <v>2669</v>
      </c>
      <c r="L817" s="7" t="str">
        <f aca="false">IF(OR(J817="",K817=""),"",IF(J817=K817,"Breach","OK"))</f>
        <v>OK</v>
      </c>
      <c r="M817" s="24" t="n">
        <v>1</v>
      </c>
      <c r="N817" s="50" t="n">
        <v>46213</v>
      </c>
      <c r="O817" s="8" t="s">
        <v>546</v>
      </c>
      <c r="P817" s="24" t="n">
        <v>1</v>
      </c>
      <c r="Q817" s="31" t="n">
        <f aca="false">IF(I817="N/A","",IFERROR(INDEX('Residual Config'!$B$35:$B$42,MATCH(H817,'Residual Config'!$A$35:$A$42,0)),""))</f>
        <v>1</v>
      </c>
      <c r="R817" s="24" t="n">
        <v>1</v>
      </c>
      <c r="S817" s="8" t="s">
        <v>521</v>
      </c>
      <c r="T817" s="31" t="n">
        <f aca="false">IF(S817="","",MATCH(S817,'Residual Config'!$L$9:$L$12,0))</f>
        <v>2</v>
      </c>
      <c r="U817" s="8" t="s">
        <v>2763</v>
      </c>
      <c r="V817" s="24" t="n">
        <v>2</v>
      </c>
      <c r="W817" s="33" t="s">
        <v>533</v>
      </c>
      <c r="X817" s="8" t="s">
        <v>754</v>
      </c>
      <c r="Y817" s="51" t="n">
        <f aca="false">IF(N817="","",EDATE(N817,IF(G817="N",INDEX('Residual Config'!$B$31:$D$31,1,MATCH(D817,'Residual Config'!$B$27:$D$27,0)),INDEX('Residual Config'!$B$28:$D$30,IF(T817=1,1,IF(T817=4,3,2)),MATCH(D817,'Residual Config'!$B$27:$D$27,0)))))</f>
        <v>46397</v>
      </c>
      <c r="Z817" s="7" t="str">
        <f aca="false">IF(I817="N/A","N/A",IF(N817="","Not tested",IF(W817="Rejected","Evidence rejected",IF(W817&lt;&gt;"Accepted","Evidence pending",IF(Y817&lt;'Residual Config'!$C$4,"Overdue","Current")))))</f>
        <v>Current</v>
      </c>
      <c r="AA817" s="34" t="n">
        <f aca="false">IF(I817="N/A","",IF(Z817&lt;&gt;"Current",4,IF(MAX(M817,T817)=0,4,MAX(M817,T817))))</f>
        <v>2</v>
      </c>
      <c r="AB817" s="7" t="str">
        <f aca="false">IF(AA817="","N/A",IF(Z817&lt;&gt;"Current","Not tested / overdue",INDEX('Residual Config'!$B$11:$B$14,AA817)))</f>
        <v>Largely effective</v>
      </c>
      <c r="AC817" s="36" t="n">
        <f aca="false">IF(AA817="","",INDEX('Residual Config'!$D$11:$D$14,AA817))</f>
        <v>0.4</v>
      </c>
      <c r="AD817" s="7" t="str">
        <f aca="false">IF(OR(I817="N/A",P817="",Q817=""),"",IF(P817&gt;=Q817,"Yes","No"))</f>
        <v>Yes</v>
      </c>
      <c r="AE817" s="8"/>
    </row>
    <row r="818" customFormat="false" ht="15" hidden="false" customHeight="false" outlineLevel="0" collapsed="false">
      <c r="A818" s="12" t="s">
        <v>2764</v>
      </c>
      <c r="B818" s="26" t="str">
        <f aca="false">Entities!$A$23</f>
        <v>MA</v>
      </c>
      <c r="C818" s="12" t="str">
        <f aca="false">INDEX(Entities!$B$5:$B$34,MATCH(B818,Entities!$A$5:$A$34,0))</f>
        <v>Arab Bank – Morocco</v>
      </c>
      <c r="D818" s="7" t="str">
        <f aca="false">INDEX(Entities!$F$5:$F$34,MATCH(B818,Entities!$A$5:$A$34,0))</f>
        <v>Tier 3</v>
      </c>
      <c r="E818" s="26" t="str">
        <f aca="false">'Control Library'!$A$44</f>
        <v>CTL-TP-01</v>
      </c>
      <c r="F818" s="12" t="str">
        <f aca="false">INDEX('Control Library'!$B$5:$B$47,MATCH(E818,'Control Library'!$A$5:$A$47,0))</f>
        <v>Critical vendor due diligence and tested exit plans</v>
      </c>
      <c r="G818" s="7" t="str">
        <f aca="false">INDEX('Control Library'!$F$5:$F$47,MATCH(E818,'Control Library'!$A$5:$A$47,0))</f>
        <v>Y</v>
      </c>
      <c r="H818" s="12" t="str">
        <f aca="false">INDEX('Control Library'!$E$5:$E$47,MATCH(E818,'Control Library'!$A$5:$A$47,0))</f>
        <v>Annual</v>
      </c>
      <c r="I818" s="7" t="str">
        <f aca="false">IF(INDEX('Control Library'!$I$5:$I$47,MATCH(E818,'Control Library'!$A$5:$A$47,0))="All","Y",IF(INDEX('Control Library'!$I$5:$I$47,MATCH(E818,'Control Library'!$A$5:$A$47,0))="Banks only",IF(COUNTIF('Residual Config'!$L$28:$L$30,INDEX(Entities!$E$5:$E$34,MATCH(B818,Entities!$A$5:$A$34,0)))&gt;0,"N/A","Y"),IF(INDEX(Entities!$G$5:$G$34,MATCH(B818,Entities!$A$5:$A$34,0))="Y","Y","N/A")))</f>
        <v>Y</v>
      </c>
      <c r="J818" s="8" t="s">
        <v>2710</v>
      </c>
      <c r="K818" s="8" t="s">
        <v>2669</v>
      </c>
      <c r="L818" s="7" t="str">
        <f aca="false">IF(OR(J818="",K818=""),"",IF(J818=K818,"Breach","OK"))</f>
        <v>OK</v>
      </c>
      <c r="M818" s="24" t="n">
        <v>2</v>
      </c>
      <c r="N818" s="50"/>
      <c r="O818" s="8"/>
      <c r="P818" s="24"/>
      <c r="Q818" s="31" t="n">
        <f aca="false">IF(I818="N/A","",IFERROR(INDEX('Residual Config'!$B$35:$B$42,MATCH(H818,'Residual Config'!$A$35:$A$42,0)),""))</f>
        <v>1</v>
      </c>
      <c r="R818" s="24"/>
      <c r="S818" s="8"/>
      <c r="T818" s="31" t="str">
        <f aca="false">IF(S818="","",MATCH(S818,'Residual Config'!$L$9:$L$12,0))</f>
        <v/>
      </c>
      <c r="U818" s="8"/>
      <c r="V818" s="24"/>
      <c r="W818" s="33"/>
      <c r="X818" s="8"/>
      <c r="Y818" s="51" t="str">
        <f aca="false">IF(N818="","",EDATE(N818,IF(G818="N",INDEX('Residual Config'!$B$31:$D$31,1,MATCH(D818,'Residual Config'!$B$27:$D$27,0)),INDEX('Residual Config'!$B$28:$D$30,IF(T818=1,1,IF(T818=4,3,2)),MATCH(D818,'Residual Config'!$B$27:$D$27,0)))))</f>
        <v/>
      </c>
      <c r="Z818" s="7" t="str">
        <f aca="false">IF(I818="N/A","N/A",IF(N818="","Not tested",IF(W818="Rejected","Evidence rejected",IF(W818&lt;&gt;"Accepted","Evidence pending",IF(Y818&lt;'Residual Config'!$C$4,"Overdue","Current")))))</f>
        <v>Not tested</v>
      </c>
      <c r="AA818" s="34" t="n">
        <f aca="false">IF(I818="N/A","",IF(Z818&lt;&gt;"Current",4,IF(MAX(M818,T818)=0,4,MAX(M818,T818))))</f>
        <v>4</v>
      </c>
      <c r="AB818" s="7" t="str">
        <f aca="false">IF(AA818="","N/A",IF(Z818&lt;&gt;"Current","Not tested / overdue",INDEX('Residual Config'!$B$11:$B$14,AA818)))</f>
        <v>Not tested / overdue</v>
      </c>
      <c r="AC818" s="36" t="n">
        <f aca="false">IF(AA818="","",INDEX('Residual Config'!$D$11:$D$14,AA818))</f>
        <v>0</v>
      </c>
      <c r="AD818" s="7" t="str">
        <f aca="false">IF(OR(I818="N/A",P818="",Q818=""),"",IF(P818&gt;=Q818,"Yes","No"))</f>
        <v/>
      </c>
      <c r="AE818" s="8"/>
    </row>
    <row r="819" customFormat="false" ht="15" hidden="false" customHeight="false" outlineLevel="0" collapsed="false">
      <c r="A819" s="12" t="s">
        <v>2765</v>
      </c>
      <c r="B819" s="26" t="str">
        <f aca="false">Entities!$A$23</f>
        <v>MA</v>
      </c>
      <c r="C819" s="12" t="str">
        <f aca="false">INDEX(Entities!$B$5:$B$34,MATCH(B819,Entities!$A$5:$A$34,0))</f>
        <v>Arab Bank – Morocco</v>
      </c>
      <c r="D819" s="7" t="str">
        <f aca="false">INDEX(Entities!$F$5:$F$34,MATCH(B819,Entities!$A$5:$A$34,0))</f>
        <v>Tier 3</v>
      </c>
      <c r="E819" s="26" t="str">
        <f aca="false">'Control Library'!$A$45</f>
        <v>CTL-LG-01</v>
      </c>
      <c r="F819" s="12" t="str">
        <f aca="false">INDEX('Control Library'!$B$5:$B$47,MATCH(E819,'Control Library'!$A$5:$A$47,0))</f>
        <v>Legal review of contracts and litigation register</v>
      </c>
      <c r="G819" s="7" t="str">
        <f aca="false">INDEX('Control Library'!$F$5:$F$47,MATCH(E819,'Control Library'!$A$5:$A$47,0))</f>
        <v>Y</v>
      </c>
      <c r="H819" s="12" t="str">
        <f aca="false">INDEX('Control Library'!$E$5:$E$47,MATCH(E819,'Control Library'!$A$5:$A$47,0))</f>
        <v>Event-driven</v>
      </c>
      <c r="I819" s="7" t="str">
        <f aca="false">IF(INDEX('Control Library'!$I$5:$I$47,MATCH(E819,'Control Library'!$A$5:$A$47,0))="All","Y",IF(INDEX('Control Library'!$I$5:$I$47,MATCH(E819,'Control Library'!$A$5:$A$47,0))="Banks only",IF(COUNTIF('Residual Config'!$L$28:$L$30,INDEX(Entities!$E$5:$E$34,MATCH(B819,Entities!$A$5:$A$34,0)))&gt;0,"N/A","Y"),IF(INDEX(Entities!$G$5:$G$34,MATCH(B819,Entities!$A$5:$A$34,0))="Y","Y","N/A")))</f>
        <v>Y</v>
      </c>
      <c r="J819" s="8" t="s">
        <v>2766</v>
      </c>
      <c r="K819" s="8" t="s">
        <v>2669</v>
      </c>
      <c r="L819" s="7" t="str">
        <f aca="false">IF(OR(J819="",K819=""),"",IF(J819=K819,"Breach","OK"))</f>
        <v>OK</v>
      </c>
      <c r="M819" s="24" t="n">
        <v>1</v>
      </c>
      <c r="N819" s="50" t="n">
        <v>46138</v>
      </c>
      <c r="O819" s="8" t="s">
        <v>545</v>
      </c>
      <c r="P819" s="24" t="n">
        <v>25</v>
      </c>
      <c r="Q819" s="31" t="n">
        <f aca="false">IF(I819="N/A","",IFERROR(INDEX('Residual Config'!$B$35:$B$42,MATCH(H819,'Residual Config'!$A$35:$A$42,0)),""))</f>
        <v>25</v>
      </c>
      <c r="R819" s="24" t="n">
        <v>1</v>
      </c>
      <c r="S819" s="8" t="s">
        <v>521</v>
      </c>
      <c r="T819" s="31" t="n">
        <f aca="false">IF(S819="","",MATCH(S819,'Residual Config'!$L$9:$L$12,0))</f>
        <v>2</v>
      </c>
      <c r="U819" s="8" t="s">
        <v>2767</v>
      </c>
      <c r="V819" s="24" t="n">
        <v>4</v>
      </c>
      <c r="W819" s="33" t="s">
        <v>533</v>
      </c>
      <c r="X819" s="8" t="s">
        <v>754</v>
      </c>
      <c r="Y819" s="51" t="n">
        <f aca="false">IF(N819="","",EDATE(N819,IF(G819="N",INDEX('Residual Config'!$B$31:$D$31,1,MATCH(D819,'Residual Config'!$B$27:$D$27,0)),INDEX('Residual Config'!$B$28:$D$30,IF(T819=1,1,IF(T819=4,3,2)),MATCH(D819,'Residual Config'!$B$27:$D$27,0)))))</f>
        <v>46321</v>
      </c>
      <c r="Z819" s="7" t="str">
        <f aca="false">IF(I819="N/A","N/A",IF(N819="","Not tested",IF(W819="Rejected","Evidence rejected",IF(W819&lt;&gt;"Accepted","Evidence pending",IF(Y819&lt;'Residual Config'!$C$4,"Overdue","Current")))))</f>
        <v>Current</v>
      </c>
      <c r="AA819" s="34" t="n">
        <f aca="false">IF(I819="N/A","",IF(Z819&lt;&gt;"Current",4,IF(MAX(M819,T819)=0,4,MAX(M819,T819))))</f>
        <v>2</v>
      </c>
      <c r="AB819" s="7" t="str">
        <f aca="false">IF(AA819="","N/A",IF(Z819&lt;&gt;"Current","Not tested / overdue",INDEX('Residual Config'!$B$11:$B$14,AA819)))</f>
        <v>Largely effective</v>
      </c>
      <c r="AC819" s="36" t="n">
        <f aca="false">IF(AA819="","",INDEX('Residual Config'!$D$11:$D$14,AA819))</f>
        <v>0.4</v>
      </c>
      <c r="AD819" s="7" t="str">
        <f aca="false">IF(OR(I819="N/A",P819="",Q819=""),"",IF(P819&gt;=Q819,"Yes","No"))</f>
        <v>Yes</v>
      </c>
      <c r="AE819" s="8"/>
    </row>
    <row r="820" customFormat="false" ht="15" hidden="false" customHeight="false" outlineLevel="0" collapsed="false">
      <c r="A820" s="12" t="s">
        <v>2768</v>
      </c>
      <c r="B820" s="26" t="str">
        <f aca="false">Entities!$A$23</f>
        <v>MA</v>
      </c>
      <c r="C820" s="12" t="str">
        <f aca="false">INDEX(Entities!$B$5:$B$34,MATCH(B820,Entities!$A$5:$A$34,0))</f>
        <v>Arab Bank – Morocco</v>
      </c>
      <c r="D820" s="7" t="str">
        <f aca="false">INDEX(Entities!$F$5:$F$34,MATCH(B820,Entities!$A$5:$A$34,0))</f>
        <v>Tier 3</v>
      </c>
      <c r="E820" s="26" t="str">
        <f aca="false">'Control Library'!$A$46</f>
        <v>CTL-RP-01</v>
      </c>
      <c r="F820" s="12" t="str">
        <f aca="false">INDEX('Control Library'!$B$5:$B$47,MATCH(E820,'Control Library'!$A$5:$A$47,0))</f>
        <v>Media monitoring and reputational-risk escalation</v>
      </c>
      <c r="G820" s="7" t="str">
        <f aca="false">INDEX('Control Library'!$F$5:$F$47,MATCH(E820,'Control Library'!$A$5:$A$47,0))</f>
        <v>Y</v>
      </c>
      <c r="H820" s="12" t="str">
        <f aca="false">INDEX('Control Library'!$E$5:$E$47,MATCH(E820,'Control Library'!$A$5:$A$47,0))</f>
        <v>Daily</v>
      </c>
      <c r="I820" s="7" t="str">
        <f aca="false">IF(INDEX('Control Library'!$I$5:$I$47,MATCH(E820,'Control Library'!$A$5:$A$47,0))="All","Y",IF(INDEX('Control Library'!$I$5:$I$47,MATCH(E820,'Control Library'!$A$5:$A$47,0))="Banks only",IF(COUNTIF('Residual Config'!$L$28:$L$30,INDEX(Entities!$E$5:$E$34,MATCH(B820,Entities!$A$5:$A$34,0)))&gt;0,"N/A","Y"),IF(INDEX(Entities!$G$5:$G$34,MATCH(B820,Entities!$A$5:$A$34,0))="Y","Y","N/A")))</f>
        <v>Y</v>
      </c>
      <c r="J820" s="8" t="s">
        <v>2769</v>
      </c>
      <c r="K820" s="8" t="s">
        <v>2669</v>
      </c>
      <c r="L820" s="7" t="str">
        <f aca="false">IF(OR(J820="",K820=""),"",IF(J820=K820,"Breach","OK"))</f>
        <v>OK</v>
      </c>
      <c r="M820" s="24" t="n">
        <v>2</v>
      </c>
      <c r="N820" s="50" t="n">
        <v>46077</v>
      </c>
      <c r="O820" s="8" t="s">
        <v>545</v>
      </c>
      <c r="P820" s="24" t="n">
        <v>25</v>
      </c>
      <c r="Q820" s="31" t="n">
        <f aca="false">IF(I820="N/A","",IFERROR(INDEX('Residual Config'!$B$35:$B$42,MATCH(H820,'Residual Config'!$A$35:$A$42,0)),""))</f>
        <v>25</v>
      </c>
      <c r="R820" s="24" t="n">
        <v>0</v>
      </c>
      <c r="S820" s="8" t="s">
        <v>516</v>
      </c>
      <c r="T820" s="31" t="n">
        <f aca="false">IF(S820="","",MATCH(S820,'Residual Config'!$L$9:$L$12,0))</f>
        <v>1</v>
      </c>
      <c r="U820" s="8" t="s">
        <v>2770</v>
      </c>
      <c r="V820" s="24" t="n">
        <v>2</v>
      </c>
      <c r="W820" s="33" t="s">
        <v>533</v>
      </c>
      <c r="X820" s="8" t="s">
        <v>754</v>
      </c>
      <c r="Y820" s="51" t="n">
        <f aca="false">IF(N820="","",EDATE(N820,IF(G820="N",INDEX('Residual Config'!$B$31:$D$31,1,MATCH(D820,'Residual Config'!$B$27:$D$27,0)),INDEX('Residual Config'!$B$28:$D$30,IF(T820=1,1,IF(T820=4,3,2)),MATCH(D820,'Residual Config'!$B$27:$D$27,0)))))</f>
        <v>46442</v>
      </c>
      <c r="Z820" s="7" t="str">
        <f aca="false">IF(I820="N/A","N/A",IF(N820="","Not tested",IF(W820="Rejected","Evidence rejected",IF(W820&lt;&gt;"Accepted","Evidence pending",IF(Y820&lt;'Residual Config'!$C$4,"Overdue","Current")))))</f>
        <v>Current</v>
      </c>
      <c r="AA820" s="34" t="n">
        <f aca="false">IF(I820="N/A","",IF(Z820&lt;&gt;"Current",4,IF(MAX(M820,T820)=0,4,MAX(M820,T820))))</f>
        <v>2</v>
      </c>
      <c r="AB820" s="7" t="str">
        <f aca="false">IF(AA820="","N/A",IF(Z820&lt;&gt;"Current","Not tested / overdue",INDEX('Residual Config'!$B$11:$B$14,AA820)))</f>
        <v>Largely effective</v>
      </c>
      <c r="AC820" s="36" t="n">
        <f aca="false">IF(AA820="","",INDEX('Residual Config'!$D$11:$D$14,AA820))</f>
        <v>0.4</v>
      </c>
      <c r="AD820" s="7" t="str">
        <f aca="false">IF(OR(I820="N/A",P820="",Q820=""),"",IF(P820&gt;=Q820,"Yes","No"))</f>
        <v>Yes</v>
      </c>
      <c r="AE820" s="8"/>
    </row>
    <row r="821" customFormat="false" ht="15" hidden="false" customHeight="false" outlineLevel="0" collapsed="false">
      <c r="A821" s="12" t="s">
        <v>2771</v>
      </c>
      <c r="B821" s="26" t="str">
        <f aca="false">Entities!$A$23</f>
        <v>MA</v>
      </c>
      <c r="C821" s="12" t="str">
        <f aca="false">INDEX(Entities!$B$5:$B$34,MATCH(B821,Entities!$A$5:$A$34,0))</f>
        <v>Arab Bank – Morocco</v>
      </c>
      <c r="D821" s="7" t="str">
        <f aca="false">INDEX(Entities!$F$5:$F$34,MATCH(B821,Entities!$A$5:$A$34,0))</f>
        <v>Tier 3</v>
      </c>
      <c r="E821" s="26" t="str">
        <f aca="false">'Control Library'!$A$47</f>
        <v>CTL-ST-01</v>
      </c>
      <c r="F821" s="12" t="str">
        <f aca="false">INDEX('Control Library'!$B$5:$B$47,MATCH(E821,'Control Library'!$A$5:$A$47,0))</f>
        <v>Strategy execution monitoring and E&amp;S screening of lending</v>
      </c>
      <c r="G821" s="7" t="str">
        <f aca="false">INDEX('Control Library'!$F$5:$F$47,MATCH(E821,'Control Library'!$A$5:$A$47,0))</f>
        <v>Y</v>
      </c>
      <c r="H821" s="12" t="str">
        <f aca="false">INDEX('Control Library'!$E$5:$E$47,MATCH(E821,'Control Library'!$A$5:$A$47,0))</f>
        <v>Quarterly</v>
      </c>
      <c r="I821" s="7" t="str">
        <f aca="false">IF(INDEX('Control Library'!$I$5:$I$47,MATCH(E821,'Control Library'!$A$5:$A$47,0))="All","Y",IF(INDEX('Control Library'!$I$5:$I$47,MATCH(E821,'Control Library'!$A$5:$A$47,0))="Banks only",IF(COUNTIF('Residual Config'!$L$28:$L$30,INDEX(Entities!$E$5:$E$34,MATCH(B821,Entities!$A$5:$A$34,0)))&gt;0,"N/A","Y"),IF(INDEX(Entities!$G$5:$G$34,MATCH(B821,Entities!$A$5:$A$34,0))="Y","Y","N/A")))</f>
        <v>Y</v>
      </c>
      <c r="J821" s="8" t="s">
        <v>2772</v>
      </c>
      <c r="K821" s="8" t="s">
        <v>2669</v>
      </c>
      <c r="L821" s="7" t="str">
        <f aca="false">IF(OR(J821="",K821=""),"",IF(J821=K821,"Breach","OK"))</f>
        <v>OK</v>
      </c>
      <c r="M821" s="24" t="n">
        <v>2</v>
      </c>
      <c r="N821" s="50" t="n">
        <v>46163</v>
      </c>
      <c r="O821" s="8" t="s">
        <v>546</v>
      </c>
      <c r="P821" s="24" t="n">
        <v>2</v>
      </c>
      <c r="Q821" s="31" t="n">
        <f aca="false">IF(I821="N/A","",IFERROR(INDEX('Residual Config'!$B$35:$B$42,MATCH(H821,'Residual Config'!$A$35:$A$42,0)),""))</f>
        <v>2</v>
      </c>
      <c r="R821" s="24" t="n">
        <v>0</v>
      </c>
      <c r="S821" s="8" t="s">
        <v>516</v>
      </c>
      <c r="T821" s="31" t="n">
        <f aca="false">IF(S821="","",MATCH(S821,'Residual Config'!$L$9:$L$12,0))</f>
        <v>1</v>
      </c>
      <c r="U821" s="8" t="s">
        <v>2773</v>
      </c>
      <c r="V821" s="24" t="n">
        <v>3</v>
      </c>
      <c r="W821" s="33" t="s">
        <v>533</v>
      </c>
      <c r="X821" s="8" t="s">
        <v>754</v>
      </c>
      <c r="Y821" s="51" t="n">
        <f aca="false">IF(N821="","",EDATE(N821,IF(G821="N",INDEX('Residual Config'!$B$31:$D$31,1,MATCH(D821,'Residual Config'!$B$27:$D$27,0)),INDEX('Residual Config'!$B$28:$D$30,IF(T821=1,1,IF(T821=4,3,2)),MATCH(D821,'Residual Config'!$B$27:$D$27,0)))))</f>
        <v>46528</v>
      </c>
      <c r="Z821" s="7" t="str">
        <f aca="false">IF(I821="N/A","N/A",IF(N821="","Not tested",IF(W821="Rejected","Evidence rejected",IF(W821&lt;&gt;"Accepted","Evidence pending",IF(Y821&lt;'Residual Config'!$C$4,"Overdue","Current")))))</f>
        <v>Current</v>
      </c>
      <c r="AA821" s="34" t="n">
        <f aca="false">IF(I821="N/A","",IF(Z821&lt;&gt;"Current",4,IF(MAX(M821,T821)=0,4,MAX(M821,T821))))</f>
        <v>2</v>
      </c>
      <c r="AB821" s="7" t="str">
        <f aca="false">IF(AA821="","N/A",IF(Z821&lt;&gt;"Current","Not tested / overdue",INDEX('Residual Config'!$B$11:$B$14,AA821)))</f>
        <v>Largely effective</v>
      </c>
      <c r="AC821" s="36" t="n">
        <f aca="false">IF(AA821="","",INDEX('Residual Config'!$D$11:$D$14,AA821))</f>
        <v>0.4</v>
      </c>
      <c r="AD821" s="7" t="str">
        <f aca="false">IF(OR(I821="N/A",P821="",Q821=""),"",IF(P821&gt;=Q821,"Yes","No"))</f>
        <v>Yes</v>
      </c>
      <c r="AE821" s="8"/>
    </row>
    <row r="822" customFormat="false" ht="15" hidden="false" customHeight="false" outlineLevel="0" collapsed="false">
      <c r="A822" s="12" t="s">
        <v>2774</v>
      </c>
      <c r="B822" s="26" t="str">
        <f aca="false">Entities!$A$24</f>
        <v>TN</v>
      </c>
      <c r="C822" s="12" t="str">
        <f aca="false">INDEX(Entities!$B$5:$B$34,MATCH(B822,Entities!$A$5:$A$34,0))</f>
        <v>Arab Tunisian Bank</v>
      </c>
      <c r="D822" s="7" t="str">
        <f aca="false">INDEX(Entities!$F$5:$F$34,MATCH(B822,Entities!$A$5:$A$34,0))</f>
        <v>Tier 2</v>
      </c>
      <c r="E822" s="26" t="str">
        <f aca="false">'Control Library'!$A$5</f>
        <v>CTL-KYC-01</v>
      </c>
      <c r="F822" s="12" t="str">
        <f aca="false">INDEX('Control Library'!$B$5:$B$47,MATCH(E822,'Control Library'!$A$5:$A$47,0))</f>
        <v>Customer due diligence and ID verification at onboarding</v>
      </c>
      <c r="G822" s="7" t="str">
        <f aca="false">INDEX('Control Library'!$F$5:$F$47,MATCH(E822,'Control Library'!$A$5:$A$47,0))</f>
        <v>Y</v>
      </c>
      <c r="H822" s="12" t="str">
        <f aca="false">INDEX('Control Library'!$E$5:$E$47,MATCH(E822,'Control Library'!$A$5:$A$47,0))</f>
        <v>Event-driven</v>
      </c>
      <c r="I822" s="7" t="str">
        <f aca="false">IF(INDEX('Control Library'!$I$5:$I$47,MATCH(E822,'Control Library'!$A$5:$A$47,0))="All","Y",IF(INDEX('Control Library'!$I$5:$I$47,MATCH(E822,'Control Library'!$A$5:$A$47,0))="Banks only",IF(COUNTIF('Residual Config'!$L$28:$L$30,INDEX(Entities!$E$5:$E$34,MATCH(B822,Entities!$A$5:$A$34,0)))&gt;0,"N/A","Y"),IF(INDEX(Entities!$G$5:$G$34,MATCH(B822,Entities!$A$5:$A$34,0))="Y","Y","N/A")))</f>
        <v>Y</v>
      </c>
      <c r="J822" s="8" t="s">
        <v>2775</v>
      </c>
      <c r="K822" s="8" t="s">
        <v>2776</v>
      </c>
      <c r="L822" s="7" t="str">
        <f aca="false">IF(OR(J822="",K822=""),"",IF(J822=K822,"Breach","OK"))</f>
        <v>OK</v>
      </c>
      <c r="M822" s="24" t="n">
        <v>1</v>
      </c>
      <c r="N822" s="50" t="n">
        <v>46221</v>
      </c>
      <c r="O822" s="8" t="s">
        <v>545</v>
      </c>
      <c r="P822" s="24" t="n">
        <v>25</v>
      </c>
      <c r="Q822" s="31" t="n">
        <f aca="false">IF(I822="N/A","",IFERROR(INDEX('Residual Config'!$B$35:$B$42,MATCH(H822,'Residual Config'!$A$35:$A$42,0)),""))</f>
        <v>25</v>
      </c>
      <c r="R822" s="24" t="n">
        <v>1</v>
      </c>
      <c r="S822" s="8" t="s">
        <v>521</v>
      </c>
      <c r="T822" s="31" t="n">
        <f aca="false">IF(S822="","",MATCH(S822,'Residual Config'!$L$9:$L$12,0))</f>
        <v>2</v>
      </c>
      <c r="U822" s="8" t="s">
        <v>2777</v>
      </c>
      <c r="V822" s="24" t="n">
        <v>2</v>
      </c>
      <c r="W822" s="33" t="s">
        <v>533</v>
      </c>
      <c r="X822" s="8" t="s">
        <v>760</v>
      </c>
      <c r="Y822" s="51" t="n">
        <f aca="false">IF(N822="","",EDATE(N822,IF(G822="N",INDEX('Residual Config'!$B$31:$D$31,1,MATCH(D822,'Residual Config'!$B$27:$D$27,0)),INDEX('Residual Config'!$B$28:$D$30,IF(T822=1,1,IF(T822=4,3,2)),MATCH(D822,'Residual Config'!$B$27:$D$27,0)))))</f>
        <v>46405</v>
      </c>
      <c r="Z822" s="7" t="str">
        <f aca="false">IF(I822="N/A","N/A",IF(N822="","Not tested",IF(W822="Rejected","Evidence rejected",IF(W822&lt;&gt;"Accepted","Evidence pending",IF(Y822&lt;'Residual Config'!$C$4,"Overdue","Current")))))</f>
        <v>Current</v>
      </c>
      <c r="AA822" s="34" t="n">
        <f aca="false">IF(I822="N/A","",IF(Z822&lt;&gt;"Current",4,IF(MAX(M822,T822)=0,4,MAX(M822,T822))))</f>
        <v>2</v>
      </c>
      <c r="AB822" s="7" t="str">
        <f aca="false">IF(AA822="","N/A",IF(Z822&lt;&gt;"Current","Not tested / overdue",INDEX('Residual Config'!$B$11:$B$14,AA822)))</f>
        <v>Largely effective</v>
      </c>
      <c r="AC822" s="36" t="n">
        <f aca="false">IF(AA822="","",INDEX('Residual Config'!$D$11:$D$14,AA822))</f>
        <v>0.4</v>
      </c>
      <c r="AD822" s="7" t="str">
        <f aca="false">IF(OR(I822="N/A",P822="",Q822=""),"",IF(P822&gt;=Q822,"Yes","No"))</f>
        <v>Yes</v>
      </c>
      <c r="AE822" s="8"/>
    </row>
    <row r="823" customFormat="false" ht="15" hidden="false" customHeight="false" outlineLevel="0" collapsed="false">
      <c r="A823" s="12" t="s">
        <v>2778</v>
      </c>
      <c r="B823" s="26" t="str">
        <f aca="false">Entities!$A$24</f>
        <v>TN</v>
      </c>
      <c r="C823" s="12" t="str">
        <f aca="false">INDEX(Entities!$B$5:$B$34,MATCH(B823,Entities!$A$5:$A$34,0))</f>
        <v>Arab Tunisian Bank</v>
      </c>
      <c r="D823" s="7" t="str">
        <f aca="false">INDEX(Entities!$F$5:$F$34,MATCH(B823,Entities!$A$5:$A$34,0))</f>
        <v>Tier 2</v>
      </c>
      <c r="E823" s="26" t="str">
        <f aca="false">'Control Library'!$A$6</f>
        <v>CTL-KYC-02</v>
      </c>
      <c r="F823" s="12" t="str">
        <f aca="false">INDEX('Control Library'!$B$5:$B$47,MATCH(E823,'Control Library'!$A$5:$A$47,0))</f>
        <v>Enhanced due diligence for high-risk customers and PEPs, senior approval</v>
      </c>
      <c r="G823" s="7" t="str">
        <f aca="false">INDEX('Control Library'!$F$5:$F$47,MATCH(E823,'Control Library'!$A$5:$A$47,0))</f>
        <v>Y</v>
      </c>
      <c r="H823" s="12" t="str">
        <f aca="false">INDEX('Control Library'!$E$5:$E$47,MATCH(E823,'Control Library'!$A$5:$A$47,0))</f>
        <v>Event-driven</v>
      </c>
      <c r="I823" s="7" t="str">
        <f aca="false">IF(INDEX('Control Library'!$I$5:$I$47,MATCH(E823,'Control Library'!$A$5:$A$47,0))="All","Y",IF(INDEX('Control Library'!$I$5:$I$47,MATCH(E823,'Control Library'!$A$5:$A$47,0))="Banks only",IF(COUNTIF('Residual Config'!$L$28:$L$30,INDEX(Entities!$E$5:$E$34,MATCH(B823,Entities!$A$5:$A$34,0)))&gt;0,"N/A","Y"),IF(INDEX(Entities!$G$5:$G$34,MATCH(B823,Entities!$A$5:$A$34,0))="Y","Y","N/A")))</f>
        <v>Y</v>
      </c>
      <c r="J823" s="8" t="s">
        <v>2779</v>
      </c>
      <c r="K823" s="8" t="s">
        <v>2776</v>
      </c>
      <c r="L823" s="7" t="str">
        <f aca="false">IF(OR(J823="",K823=""),"",IF(J823=K823,"Breach","OK"))</f>
        <v>OK</v>
      </c>
      <c r="M823" s="24" t="n">
        <v>3</v>
      </c>
      <c r="N823" s="50" t="n">
        <v>46188</v>
      </c>
      <c r="O823" s="8" t="s">
        <v>545</v>
      </c>
      <c r="P823" s="24" t="n">
        <v>25</v>
      </c>
      <c r="Q823" s="31" t="n">
        <f aca="false">IF(I823="N/A","",IFERROR(INDEX('Residual Config'!$B$35:$B$42,MATCH(H823,'Residual Config'!$A$35:$A$42,0)),""))</f>
        <v>25</v>
      </c>
      <c r="R823" s="24" t="n">
        <v>0</v>
      </c>
      <c r="S823" s="8" t="s">
        <v>516</v>
      </c>
      <c r="T823" s="31" t="n">
        <f aca="false">IF(S823="","",MATCH(S823,'Residual Config'!$L$9:$L$12,0))</f>
        <v>1</v>
      </c>
      <c r="U823" s="8" t="s">
        <v>2780</v>
      </c>
      <c r="V823" s="24" t="n">
        <v>1</v>
      </c>
      <c r="W823" s="33" t="s">
        <v>533</v>
      </c>
      <c r="X823" s="8" t="s">
        <v>754</v>
      </c>
      <c r="Y823" s="51" t="n">
        <f aca="false">IF(N823="","",EDATE(N823,IF(G823="N",INDEX('Residual Config'!$B$31:$D$31,1,MATCH(D823,'Residual Config'!$B$27:$D$27,0)),INDEX('Residual Config'!$B$28:$D$30,IF(T823=1,1,IF(T823=4,3,2)),MATCH(D823,'Residual Config'!$B$27:$D$27,0)))))</f>
        <v>46553</v>
      </c>
      <c r="Z823" s="7" t="str">
        <f aca="false">IF(I823="N/A","N/A",IF(N823="","Not tested",IF(W823="Rejected","Evidence rejected",IF(W823&lt;&gt;"Accepted","Evidence pending",IF(Y823&lt;'Residual Config'!$C$4,"Overdue","Current")))))</f>
        <v>Current</v>
      </c>
      <c r="AA823" s="34" t="n">
        <f aca="false">IF(I823="N/A","",IF(Z823&lt;&gt;"Current",4,IF(MAX(M823,T823)=0,4,MAX(M823,T823))))</f>
        <v>3</v>
      </c>
      <c r="AB823" s="7" t="str">
        <f aca="false">IF(AA823="","N/A",IF(Z823&lt;&gt;"Current","Not tested / overdue",INDEX('Residual Config'!$B$11:$B$14,AA823)))</f>
        <v>Partially effective</v>
      </c>
      <c r="AC823" s="36" t="n">
        <f aca="false">IF(AA823="","",INDEX('Residual Config'!$D$11:$D$14,AA823))</f>
        <v>0.2</v>
      </c>
      <c r="AD823" s="7" t="str">
        <f aca="false">IF(OR(I823="N/A",P823="",Q823=""),"",IF(P823&gt;=Q823,"Yes","No"))</f>
        <v>Yes</v>
      </c>
      <c r="AE823" s="8"/>
    </row>
    <row r="824" customFormat="false" ht="15" hidden="false" customHeight="false" outlineLevel="0" collapsed="false">
      <c r="A824" s="12" t="s">
        <v>2781</v>
      </c>
      <c r="B824" s="26" t="str">
        <f aca="false">Entities!$A$24</f>
        <v>TN</v>
      </c>
      <c r="C824" s="12" t="str">
        <f aca="false">INDEX(Entities!$B$5:$B$34,MATCH(B824,Entities!$A$5:$A$34,0))</f>
        <v>Arab Tunisian Bank</v>
      </c>
      <c r="D824" s="7" t="str">
        <f aca="false">INDEX(Entities!$F$5:$F$34,MATCH(B824,Entities!$A$5:$A$34,0))</f>
        <v>Tier 2</v>
      </c>
      <c r="E824" s="26" t="str">
        <f aca="false">'Control Library'!$A$7</f>
        <v>CTL-KYC-03</v>
      </c>
      <c r="F824" s="12" t="str">
        <f aca="false">INDEX('Control Library'!$B$5:$B$47,MATCH(E824,'Control Library'!$A$5:$A$47,0))</f>
        <v>Ultimate beneficial owner identification and verification</v>
      </c>
      <c r="G824" s="7" t="str">
        <f aca="false">INDEX('Control Library'!$F$5:$F$47,MATCH(E824,'Control Library'!$A$5:$A$47,0))</f>
        <v>Y</v>
      </c>
      <c r="H824" s="12" t="str">
        <f aca="false">INDEX('Control Library'!$E$5:$E$47,MATCH(E824,'Control Library'!$A$5:$A$47,0))</f>
        <v>Event-driven</v>
      </c>
      <c r="I824" s="7" t="str">
        <f aca="false">IF(INDEX('Control Library'!$I$5:$I$47,MATCH(E824,'Control Library'!$A$5:$A$47,0))="All","Y",IF(INDEX('Control Library'!$I$5:$I$47,MATCH(E824,'Control Library'!$A$5:$A$47,0))="Banks only",IF(COUNTIF('Residual Config'!$L$28:$L$30,INDEX(Entities!$E$5:$E$34,MATCH(B824,Entities!$A$5:$A$34,0)))&gt;0,"N/A","Y"),IF(INDEX(Entities!$G$5:$G$34,MATCH(B824,Entities!$A$5:$A$34,0))="Y","Y","N/A")))</f>
        <v>Y</v>
      </c>
      <c r="J824" s="8" t="s">
        <v>2775</v>
      </c>
      <c r="K824" s="8" t="s">
        <v>2776</v>
      </c>
      <c r="L824" s="7" t="str">
        <f aca="false">IF(OR(J824="",K824=""),"",IF(J824=K824,"Breach","OK"))</f>
        <v>OK</v>
      </c>
      <c r="M824" s="24" t="n">
        <v>2</v>
      </c>
      <c r="N824" s="50" t="n">
        <v>46211</v>
      </c>
      <c r="O824" s="8" t="s">
        <v>545</v>
      </c>
      <c r="P824" s="24" t="n">
        <v>25</v>
      </c>
      <c r="Q824" s="31" t="n">
        <f aca="false">IF(I824="N/A","",IFERROR(INDEX('Residual Config'!$B$35:$B$42,MATCH(H824,'Residual Config'!$A$35:$A$42,0)),""))</f>
        <v>25</v>
      </c>
      <c r="R824" s="24" t="n">
        <v>1</v>
      </c>
      <c r="S824" s="8" t="s">
        <v>521</v>
      </c>
      <c r="T824" s="31" t="n">
        <f aca="false">IF(S824="","",MATCH(S824,'Residual Config'!$L$9:$L$12,0))</f>
        <v>2</v>
      </c>
      <c r="U824" s="8" t="s">
        <v>2782</v>
      </c>
      <c r="V824" s="24" t="n">
        <v>2</v>
      </c>
      <c r="W824" s="33" t="s">
        <v>533</v>
      </c>
      <c r="X824" s="8" t="s">
        <v>754</v>
      </c>
      <c r="Y824" s="51" t="n">
        <f aca="false">IF(N824="","",EDATE(N824,IF(G824="N",INDEX('Residual Config'!$B$31:$D$31,1,MATCH(D824,'Residual Config'!$B$27:$D$27,0)),INDEX('Residual Config'!$B$28:$D$30,IF(T824=1,1,IF(T824=4,3,2)),MATCH(D824,'Residual Config'!$B$27:$D$27,0)))))</f>
        <v>46395</v>
      </c>
      <c r="Z824" s="7" t="str">
        <f aca="false">IF(I824="N/A","N/A",IF(N824="","Not tested",IF(W824="Rejected","Evidence rejected",IF(W824&lt;&gt;"Accepted","Evidence pending",IF(Y824&lt;'Residual Config'!$C$4,"Overdue","Current")))))</f>
        <v>Current</v>
      </c>
      <c r="AA824" s="34" t="n">
        <f aca="false">IF(I824="N/A","",IF(Z824&lt;&gt;"Current",4,IF(MAX(M824,T824)=0,4,MAX(M824,T824))))</f>
        <v>2</v>
      </c>
      <c r="AB824" s="7" t="str">
        <f aca="false">IF(AA824="","N/A",IF(Z824&lt;&gt;"Current","Not tested / overdue",INDEX('Residual Config'!$B$11:$B$14,AA824)))</f>
        <v>Largely effective</v>
      </c>
      <c r="AC824" s="36" t="n">
        <f aca="false">IF(AA824="","",INDEX('Residual Config'!$D$11:$D$14,AA824))</f>
        <v>0.4</v>
      </c>
      <c r="AD824" s="7" t="str">
        <f aca="false">IF(OR(I824="N/A",P824="",Q824=""),"",IF(P824&gt;=Q824,"Yes","No"))</f>
        <v>Yes</v>
      </c>
      <c r="AE824" s="8"/>
    </row>
    <row r="825" customFormat="false" ht="15" hidden="false" customHeight="false" outlineLevel="0" collapsed="false">
      <c r="A825" s="12" t="s">
        <v>2783</v>
      </c>
      <c r="B825" s="26" t="str">
        <f aca="false">Entities!$A$24</f>
        <v>TN</v>
      </c>
      <c r="C825" s="12" t="str">
        <f aca="false">INDEX(Entities!$B$5:$B$34,MATCH(B825,Entities!$A$5:$A$34,0))</f>
        <v>Arab Tunisian Bank</v>
      </c>
      <c r="D825" s="7" t="str">
        <f aca="false">INDEX(Entities!$F$5:$F$34,MATCH(B825,Entities!$A$5:$A$34,0))</f>
        <v>Tier 2</v>
      </c>
      <c r="E825" s="26" t="str">
        <f aca="false">'Control Library'!$A$8</f>
        <v>CTL-KYC-04</v>
      </c>
      <c r="F825" s="12" t="str">
        <f aca="false">INDEX('Control Library'!$B$5:$B$47,MATCH(E825,'Control Library'!$A$5:$A$47,0))</f>
        <v>Periodic KYC review by customer risk rating</v>
      </c>
      <c r="G825" s="7" t="str">
        <f aca="false">INDEX('Control Library'!$F$5:$F$47,MATCH(E825,'Control Library'!$A$5:$A$47,0))</f>
        <v>Y</v>
      </c>
      <c r="H825" s="12" t="str">
        <f aca="false">INDEX('Control Library'!$E$5:$E$47,MATCH(E825,'Control Library'!$A$5:$A$47,0))</f>
        <v>Monthly</v>
      </c>
      <c r="I825" s="7" t="str">
        <f aca="false">IF(INDEX('Control Library'!$I$5:$I$47,MATCH(E825,'Control Library'!$A$5:$A$47,0))="All","Y",IF(INDEX('Control Library'!$I$5:$I$47,MATCH(E825,'Control Library'!$A$5:$A$47,0))="Banks only",IF(COUNTIF('Residual Config'!$L$28:$L$30,INDEX(Entities!$E$5:$E$34,MATCH(B825,Entities!$A$5:$A$34,0)))&gt;0,"N/A","Y"),IF(INDEX(Entities!$G$5:$G$34,MATCH(B825,Entities!$A$5:$A$34,0))="Y","Y","N/A")))</f>
        <v>Y</v>
      </c>
      <c r="J825" s="8" t="s">
        <v>2775</v>
      </c>
      <c r="K825" s="8" t="s">
        <v>2776</v>
      </c>
      <c r="L825" s="7" t="str">
        <f aca="false">IF(OR(J825="",K825=""),"",IF(J825=K825,"Breach","OK"))</f>
        <v>OK</v>
      </c>
      <c r="M825" s="24" t="n">
        <v>1</v>
      </c>
      <c r="N825" s="50" t="n">
        <v>46052</v>
      </c>
      <c r="O825" s="8" t="s">
        <v>545</v>
      </c>
      <c r="P825" s="24" t="n">
        <v>3</v>
      </c>
      <c r="Q825" s="31" t="n">
        <f aca="false">IF(I825="N/A","",IFERROR(INDEX('Residual Config'!$B$35:$B$42,MATCH(H825,'Residual Config'!$A$35:$A$42,0)),""))</f>
        <v>3</v>
      </c>
      <c r="R825" s="24" t="n">
        <v>1</v>
      </c>
      <c r="S825" s="8" t="s">
        <v>521</v>
      </c>
      <c r="T825" s="31" t="n">
        <f aca="false">IF(S825="","",MATCH(S825,'Residual Config'!$L$9:$L$12,0))</f>
        <v>2</v>
      </c>
      <c r="U825" s="8" t="s">
        <v>2784</v>
      </c>
      <c r="V825" s="24" t="n">
        <v>2</v>
      </c>
      <c r="W825" s="33" t="s">
        <v>533</v>
      </c>
      <c r="X825" s="8" t="s">
        <v>760</v>
      </c>
      <c r="Y825" s="51" t="n">
        <f aca="false">IF(N825="","",EDATE(N825,IF(G825="N",INDEX('Residual Config'!$B$31:$D$31,1,MATCH(D825,'Residual Config'!$B$27:$D$27,0)),INDEX('Residual Config'!$B$28:$D$30,IF(T825=1,1,IF(T825=4,3,2)),MATCH(D825,'Residual Config'!$B$27:$D$27,0)))))</f>
        <v>46233</v>
      </c>
      <c r="Z825" s="7" t="str">
        <f aca="false">IF(I825="N/A","N/A",IF(N825="","Not tested",IF(W825="Rejected","Evidence rejected",IF(W825&lt;&gt;"Accepted","Evidence pending",IF(Y825&lt;'Residual Config'!$C$4,"Overdue","Current")))))</f>
        <v>Overdue</v>
      </c>
      <c r="AA825" s="34" t="n">
        <f aca="false">IF(I825="N/A","",IF(Z825&lt;&gt;"Current",4,IF(MAX(M825,T825)=0,4,MAX(M825,T825))))</f>
        <v>4</v>
      </c>
      <c r="AB825" s="7" t="str">
        <f aca="false">IF(AA825="","N/A",IF(Z825&lt;&gt;"Current","Not tested / overdue",INDEX('Residual Config'!$B$11:$B$14,AA825)))</f>
        <v>Not tested / overdue</v>
      </c>
      <c r="AC825" s="36" t="n">
        <f aca="false">IF(AA825="","",INDEX('Residual Config'!$D$11:$D$14,AA825))</f>
        <v>0</v>
      </c>
      <c r="AD825" s="7" t="str">
        <f aca="false">IF(OR(I825="N/A",P825="",Q825=""),"",IF(P825&gt;=Q825,"Yes","No"))</f>
        <v>Yes</v>
      </c>
      <c r="AE825" s="8"/>
    </row>
    <row r="826" customFormat="false" ht="15" hidden="false" customHeight="false" outlineLevel="0" collapsed="false">
      <c r="A826" s="12" t="s">
        <v>2785</v>
      </c>
      <c r="B826" s="26" t="str">
        <f aca="false">Entities!$A$24</f>
        <v>TN</v>
      </c>
      <c r="C826" s="12" t="str">
        <f aca="false">INDEX(Entities!$B$5:$B$34,MATCH(B826,Entities!$A$5:$A$34,0))</f>
        <v>Arab Tunisian Bank</v>
      </c>
      <c r="D826" s="7" t="str">
        <f aca="false">INDEX(Entities!$F$5:$F$34,MATCH(B826,Entities!$A$5:$A$34,0))</f>
        <v>Tier 2</v>
      </c>
      <c r="E826" s="26" t="str">
        <f aca="false">'Control Library'!$A$9</f>
        <v>CTL-CRR-01</v>
      </c>
      <c r="F826" s="12" t="str">
        <f aca="false">INDEX('Control Library'!$B$5:$B$47,MATCH(E826,'Control Library'!$A$5:$A$47,0))</f>
        <v>Customer risk rating model and annual validation</v>
      </c>
      <c r="G826" s="7" t="str">
        <f aca="false">INDEX('Control Library'!$F$5:$F$47,MATCH(E826,'Control Library'!$A$5:$A$47,0))</f>
        <v>N</v>
      </c>
      <c r="H826" s="12" t="str">
        <f aca="false">INDEX('Control Library'!$E$5:$E$47,MATCH(E826,'Control Library'!$A$5:$A$47,0))</f>
        <v>Annual</v>
      </c>
      <c r="I826" s="7" t="str">
        <f aca="false">IF(INDEX('Control Library'!$I$5:$I$47,MATCH(E826,'Control Library'!$A$5:$A$47,0))="All","Y",IF(INDEX('Control Library'!$I$5:$I$47,MATCH(E826,'Control Library'!$A$5:$A$47,0))="Banks only",IF(COUNTIF('Residual Config'!$L$28:$L$30,INDEX(Entities!$E$5:$E$34,MATCH(B826,Entities!$A$5:$A$34,0)))&gt;0,"N/A","Y"),IF(INDEX(Entities!$G$5:$G$34,MATCH(B826,Entities!$A$5:$A$34,0))="Y","Y","N/A")))</f>
        <v>Y</v>
      </c>
      <c r="J826" s="8" t="s">
        <v>2779</v>
      </c>
      <c r="K826" s="8" t="s">
        <v>2776</v>
      </c>
      <c r="L826" s="7" t="str">
        <f aca="false">IF(OR(J826="",K826=""),"",IF(J826=K826,"Breach","OK"))</f>
        <v>OK</v>
      </c>
      <c r="M826" s="24" t="n">
        <v>2</v>
      </c>
      <c r="N826" s="50" t="n">
        <v>46061</v>
      </c>
      <c r="O826" s="8" t="s">
        <v>547</v>
      </c>
      <c r="P826" s="24" t="n">
        <v>1</v>
      </c>
      <c r="Q826" s="31" t="n">
        <f aca="false">IF(I826="N/A","",IFERROR(INDEX('Residual Config'!$B$35:$B$42,MATCH(H826,'Residual Config'!$A$35:$A$42,0)),""))</f>
        <v>1</v>
      </c>
      <c r="R826" s="24" t="n">
        <v>1</v>
      </c>
      <c r="S826" s="8" t="s">
        <v>521</v>
      </c>
      <c r="T826" s="31" t="n">
        <f aca="false">IF(S826="","",MATCH(S826,'Residual Config'!$L$9:$L$12,0))</f>
        <v>2</v>
      </c>
      <c r="U826" s="8" t="s">
        <v>2786</v>
      </c>
      <c r="V826" s="24" t="n">
        <v>4</v>
      </c>
      <c r="W826" s="33" t="s">
        <v>533</v>
      </c>
      <c r="X826" s="8" t="s">
        <v>754</v>
      </c>
      <c r="Y826" s="51" t="n">
        <f aca="false">IF(N826="","",EDATE(N826,IF(G826="N",INDEX('Residual Config'!$B$31:$D$31,1,MATCH(D826,'Residual Config'!$B$27:$D$27,0)),INDEX('Residual Config'!$B$28:$D$30,IF(T826=1,1,IF(T826=4,3,2)),MATCH(D826,'Residual Config'!$B$27:$D$27,0)))))</f>
        <v>46426</v>
      </c>
      <c r="Z826" s="7" t="str">
        <f aca="false">IF(I826="N/A","N/A",IF(N826="","Not tested",IF(W826="Rejected","Evidence rejected",IF(W826&lt;&gt;"Accepted","Evidence pending",IF(Y826&lt;'Residual Config'!$C$4,"Overdue","Current")))))</f>
        <v>Current</v>
      </c>
      <c r="AA826" s="34" t="n">
        <f aca="false">IF(I826="N/A","",IF(Z826&lt;&gt;"Current",4,IF(MAX(M826,T826)=0,4,MAX(M826,T826))))</f>
        <v>2</v>
      </c>
      <c r="AB826" s="7" t="str">
        <f aca="false">IF(AA826="","N/A",IF(Z826&lt;&gt;"Current","Not tested / overdue",INDEX('Residual Config'!$B$11:$B$14,AA826)))</f>
        <v>Largely effective</v>
      </c>
      <c r="AC826" s="36" t="n">
        <f aca="false">IF(AA826="","",INDEX('Residual Config'!$D$11:$D$14,AA826))</f>
        <v>0.4</v>
      </c>
      <c r="AD826" s="7" t="str">
        <f aca="false">IF(OR(I826="N/A",P826="",Q826=""),"",IF(P826&gt;=Q826,"Yes","No"))</f>
        <v>Yes</v>
      </c>
      <c r="AE826" s="8"/>
    </row>
    <row r="827" customFormat="false" ht="15" hidden="false" customHeight="false" outlineLevel="0" collapsed="false">
      <c r="A827" s="12" t="s">
        <v>2787</v>
      </c>
      <c r="B827" s="26" t="str">
        <f aca="false">Entities!$A$24</f>
        <v>TN</v>
      </c>
      <c r="C827" s="12" t="str">
        <f aca="false">INDEX(Entities!$B$5:$B$34,MATCH(B827,Entities!$A$5:$A$34,0))</f>
        <v>Arab Tunisian Bank</v>
      </c>
      <c r="D827" s="7" t="str">
        <f aca="false">INDEX(Entities!$F$5:$F$34,MATCH(B827,Entities!$A$5:$A$34,0))</f>
        <v>Tier 2</v>
      </c>
      <c r="E827" s="26" t="str">
        <f aca="false">'Control Library'!$A$10</f>
        <v>CTL-TM-01</v>
      </c>
      <c r="F827" s="12" t="str">
        <f aca="false">INDEX('Control Library'!$B$5:$B$47,MATCH(E827,'Control Library'!$A$5:$A$47,0))</f>
        <v>Automated transaction monitoring scenarios and annual tuning</v>
      </c>
      <c r="G827" s="7" t="str">
        <f aca="false">INDEX('Control Library'!$F$5:$F$47,MATCH(E827,'Control Library'!$A$5:$A$47,0))</f>
        <v>Y</v>
      </c>
      <c r="H827" s="12" t="str">
        <f aca="false">INDEX('Control Library'!$E$5:$E$47,MATCH(E827,'Control Library'!$A$5:$A$47,0))</f>
        <v>Continuous</v>
      </c>
      <c r="I827" s="7" t="str">
        <f aca="false">IF(INDEX('Control Library'!$I$5:$I$47,MATCH(E827,'Control Library'!$A$5:$A$47,0))="All","Y",IF(INDEX('Control Library'!$I$5:$I$47,MATCH(E827,'Control Library'!$A$5:$A$47,0))="Banks only",IF(COUNTIF('Residual Config'!$L$28:$L$30,INDEX(Entities!$E$5:$E$34,MATCH(B827,Entities!$A$5:$A$34,0)))&gt;0,"N/A","Y"),IF(INDEX(Entities!$G$5:$G$34,MATCH(B827,Entities!$A$5:$A$34,0))="Y","Y","N/A")))</f>
        <v>Y</v>
      </c>
      <c r="J827" s="8" t="s">
        <v>2788</v>
      </c>
      <c r="K827" s="8" t="s">
        <v>2776</v>
      </c>
      <c r="L827" s="7" t="str">
        <f aca="false">IF(OR(J827="",K827=""),"",IF(J827=K827,"Breach","OK"))</f>
        <v>OK</v>
      </c>
      <c r="M827" s="24" t="n">
        <v>2</v>
      </c>
      <c r="N827" s="50" t="n">
        <v>46275</v>
      </c>
      <c r="O827" s="8" t="s">
        <v>546</v>
      </c>
      <c r="P827" s="24" t="n">
        <v>1</v>
      </c>
      <c r="Q827" s="31" t="n">
        <f aca="false">IF(I827="N/A","",IFERROR(INDEX('Residual Config'!$B$35:$B$42,MATCH(H827,'Residual Config'!$A$35:$A$42,0)),""))</f>
        <v>1</v>
      </c>
      <c r="R827" s="24" t="n">
        <v>1</v>
      </c>
      <c r="S827" s="8" t="s">
        <v>521</v>
      </c>
      <c r="T827" s="31" t="n">
        <f aca="false">IF(S827="","",MATCH(S827,'Residual Config'!$L$9:$L$12,0))</f>
        <v>2</v>
      </c>
      <c r="U827" s="8" t="s">
        <v>2789</v>
      </c>
      <c r="V827" s="24" t="n">
        <v>6</v>
      </c>
      <c r="W827" s="33" t="s">
        <v>533</v>
      </c>
      <c r="X827" s="8" t="s">
        <v>754</v>
      </c>
      <c r="Y827" s="51" t="n">
        <f aca="false">IF(N827="","",EDATE(N827,IF(G827="N",INDEX('Residual Config'!$B$31:$D$31,1,MATCH(D827,'Residual Config'!$B$27:$D$27,0)),INDEX('Residual Config'!$B$28:$D$30,IF(T827=1,1,IF(T827=4,3,2)),MATCH(D827,'Residual Config'!$B$27:$D$27,0)))))</f>
        <v>46456</v>
      </c>
      <c r="Z827" s="7" t="str">
        <f aca="false">IF(I827="N/A","N/A",IF(N827="","Not tested",IF(W827="Rejected","Evidence rejected",IF(W827&lt;&gt;"Accepted","Evidence pending",IF(Y827&lt;'Residual Config'!$C$4,"Overdue","Current")))))</f>
        <v>Current</v>
      </c>
      <c r="AA827" s="34" t="n">
        <f aca="false">IF(I827="N/A","",IF(Z827&lt;&gt;"Current",4,IF(MAX(M827,T827)=0,4,MAX(M827,T827))))</f>
        <v>2</v>
      </c>
      <c r="AB827" s="7" t="str">
        <f aca="false">IF(AA827="","N/A",IF(Z827&lt;&gt;"Current","Not tested / overdue",INDEX('Residual Config'!$B$11:$B$14,AA827)))</f>
        <v>Largely effective</v>
      </c>
      <c r="AC827" s="36" t="n">
        <f aca="false">IF(AA827="","",INDEX('Residual Config'!$D$11:$D$14,AA827))</f>
        <v>0.4</v>
      </c>
      <c r="AD827" s="7" t="str">
        <f aca="false">IF(OR(I827="N/A",P827="",Q827=""),"",IF(P827&gt;=Q827,"Yes","No"))</f>
        <v>Yes</v>
      </c>
      <c r="AE827" s="8"/>
    </row>
    <row r="828" customFormat="false" ht="15" hidden="false" customHeight="false" outlineLevel="0" collapsed="false">
      <c r="A828" s="12" t="s">
        <v>2790</v>
      </c>
      <c r="B828" s="26" t="str">
        <f aca="false">Entities!$A$24</f>
        <v>TN</v>
      </c>
      <c r="C828" s="12" t="str">
        <f aca="false">INDEX(Entities!$B$5:$B$34,MATCH(B828,Entities!$A$5:$A$34,0))</f>
        <v>Arab Tunisian Bank</v>
      </c>
      <c r="D828" s="7" t="str">
        <f aca="false">INDEX(Entities!$F$5:$F$34,MATCH(B828,Entities!$A$5:$A$34,0))</f>
        <v>Tier 2</v>
      </c>
      <c r="E828" s="26" t="str">
        <f aca="false">'Control Library'!$A$11</f>
        <v>CTL-TM-02</v>
      </c>
      <c r="F828" s="12" t="str">
        <f aca="false">INDEX('Control Library'!$B$5:$B$47,MATCH(E828,'Control Library'!$A$5:$A$47,0))</f>
        <v>Alert investigation and quality assurance within SLA</v>
      </c>
      <c r="G828" s="7" t="str">
        <f aca="false">INDEX('Control Library'!$F$5:$F$47,MATCH(E828,'Control Library'!$A$5:$A$47,0))</f>
        <v>Y</v>
      </c>
      <c r="H828" s="12" t="str">
        <f aca="false">INDEX('Control Library'!$E$5:$E$47,MATCH(E828,'Control Library'!$A$5:$A$47,0))</f>
        <v>Daily</v>
      </c>
      <c r="I828" s="7" t="str">
        <f aca="false">IF(INDEX('Control Library'!$I$5:$I$47,MATCH(E828,'Control Library'!$A$5:$A$47,0))="All","Y",IF(INDEX('Control Library'!$I$5:$I$47,MATCH(E828,'Control Library'!$A$5:$A$47,0))="Banks only",IF(COUNTIF('Residual Config'!$L$28:$L$30,INDEX(Entities!$E$5:$E$34,MATCH(B828,Entities!$A$5:$A$34,0)))&gt;0,"N/A","Y"),IF(INDEX(Entities!$G$5:$G$34,MATCH(B828,Entities!$A$5:$A$34,0))="Y","Y","N/A")))</f>
        <v>Y</v>
      </c>
      <c r="J828" s="8" t="s">
        <v>2788</v>
      </c>
      <c r="K828" s="8" t="s">
        <v>2776</v>
      </c>
      <c r="L828" s="7" t="str">
        <f aca="false">IF(OR(J828="",K828=""),"",IF(J828=K828,"Breach","OK"))</f>
        <v>OK</v>
      </c>
      <c r="M828" s="24" t="n">
        <v>1</v>
      </c>
      <c r="N828" s="50" t="n">
        <v>46168</v>
      </c>
      <c r="O828" s="8" t="s">
        <v>545</v>
      </c>
      <c r="P828" s="24" t="n">
        <v>35</v>
      </c>
      <c r="Q828" s="31" t="n">
        <f aca="false">IF(I828="N/A","",IFERROR(INDEX('Residual Config'!$B$35:$B$42,MATCH(H828,'Residual Config'!$A$35:$A$42,0)),""))</f>
        <v>25</v>
      </c>
      <c r="R828" s="24" t="n">
        <v>0</v>
      </c>
      <c r="S828" s="8" t="s">
        <v>516</v>
      </c>
      <c r="T828" s="31" t="n">
        <f aca="false">IF(S828="","",MATCH(S828,'Residual Config'!$L$9:$L$12,0))</f>
        <v>1</v>
      </c>
      <c r="U828" s="8" t="s">
        <v>2791</v>
      </c>
      <c r="V828" s="24" t="n">
        <v>5</v>
      </c>
      <c r="W828" s="33" t="s">
        <v>533</v>
      </c>
      <c r="X828" s="8" t="s">
        <v>760</v>
      </c>
      <c r="Y828" s="51" t="n">
        <f aca="false">IF(N828="","",EDATE(N828,IF(G828="N",INDEX('Residual Config'!$B$31:$D$31,1,MATCH(D828,'Residual Config'!$B$27:$D$27,0)),INDEX('Residual Config'!$B$28:$D$30,IF(T828=1,1,IF(T828=4,3,2)),MATCH(D828,'Residual Config'!$B$27:$D$27,0)))))</f>
        <v>46533</v>
      </c>
      <c r="Z828" s="7" t="str">
        <f aca="false">IF(I828="N/A","N/A",IF(N828="","Not tested",IF(W828="Rejected","Evidence rejected",IF(W828&lt;&gt;"Accepted","Evidence pending",IF(Y828&lt;'Residual Config'!$C$4,"Overdue","Current")))))</f>
        <v>Current</v>
      </c>
      <c r="AA828" s="34" t="n">
        <f aca="false">IF(I828="N/A","",IF(Z828&lt;&gt;"Current",4,IF(MAX(M828,T828)=0,4,MAX(M828,T828))))</f>
        <v>1</v>
      </c>
      <c r="AB828" s="7" t="str">
        <f aca="false">IF(AA828="","N/A",IF(Z828&lt;&gt;"Current","Not tested / overdue",INDEX('Residual Config'!$B$11:$B$14,AA828)))</f>
        <v>Effective</v>
      </c>
      <c r="AC828" s="36" t="n">
        <f aca="false">IF(AA828="","",INDEX('Residual Config'!$D$11:$D$14,AA828))</f>
        <v>0.6</v>
      </c>
      <c r="AD828" s="7" t="str">
        <f aca="false">IF(OR(I828="N/A",P828="",Q828=""),"",IF(P828&gt;=Q828,"Yes","No"))</f>
        <v>Yes</v>
      </c>
      <c r="AE828" s="8"/>
    </row>
    <row r="829" customFormat="false" ht="15" hidden="false" customHeight="false" outlineLevel="0" collapsed="false">
      <c r="A829" s="12" t="s">
        <v>2792</v>
      </c>
      <c r="B829" s="26" t="str">
        <f aca="false">Entities!$A$24</f>
        <v>TN</v>
      </c>
      <c r="C829" s="12" t="str">
        <f aca="false">INDEX(Entities!$B$5:$B$34,MATCH(B829,Entities!$A$5:$A$34,0))</f>
        <v>Arab Tunisian Bank</v>
      </c>
      <c r="D829" s="7" t="str">
        <f aca="false">INDEX(Entities!$F$5:$F$34,MATCH(B829,Entities!$A$5:$A$34,0))</f>
        <v>Tier 2</v>
      </c>
      <c r="E829" s="26" t="str">
        <f aca="false">'Control Library'!$A$12</f>
        <v>CTL-STR-01</v>
      </c>
      <c r="F829" s="12" t="str">
        <f aca="false">INDEX('Control Library'!$B$5:$B$47,MATCH(E829,'Control Library'!$A$5:$A$47,0))</f>
        <v>STR decision and filing within regulatory deadline</v>
      </c>
      <c r="G829" s="7" t="str">
        <f aca="false">INDEX('Control Library'!$F$5:$F$47,MATCH(E829,'Control Library'!$A$5:$A$47,0))</f>
        <v>Y</v>
      </c>
      <c r="H829" s="12" t="str">
        <f aca="false">INDEX('Control Library'!$E$5:$E$47,MATCH(E829,'Control Library'!$A$5:$A$47,0))</f>
        <v>Event-driven</v>
      </c>
      <c r="I829" s="7" t="str">
        <f aca="false">IF(INDEX('Control Library'!$I$5:$I$47,MATCH(E829,'Control Library'!$A$5:$A$47,0))="All","Y",IF(INDEX('Control Library'!$I$5:$I$47,MATCH(E829,'Control Library'!$A$5:$A$47,0))="Banks only",IF(COUNTIF('Residual Config'!$L$28:$L$30,INDEX(Entities!$E$5:$E$34,MATCH(B829,Entities!$A$5:$A$34,0)))&gt;0,"N/A","Y"),IF(INDEX(Entities!$G$5:$G$34,MATCH(B829,Entities!$A$5:$A$34,0))="Y","Y","N/A")))</f>
        <v>Y</v>
      </c>
      <c r="J829" s="8" t="s">
        <v>2788</v>
      </c>
      <c r="K829" s="8" t="s">
        <v>2776</v>
      </c>
      <c r="L829" s="7" t="str">
        <f aca="false">IF(OR(J829="",K829=""),"",IF(J829=K829,"Breach","OK"))</f>
        <v>OK</v>
      </c>
      <c r="M829" s="24" t="n">
        <v>2</v>
      </c>
      <c r="N829" s="50" t="n">
        <v>46035</v>
      </c>
      <c r="O829" s="8" t="s">
        <v>546</v>
      </c>
      <c r="P829" s="24" t="n">
        <v>35</v>
      </c>
      <c r="Q829" s="31" t="n">
        <f aca="false">IF(I829="N/A","",IFERROR(INDEX('Residual Config'!$B$35:$B$42,MATCH(H829,'Residual Config'!$A$35:$A$42,0)),""))</f>
        <v>25</v>
      </c>
      <c r="R829" s="24" t="n">
        <v>0</v>
      </c>
      <c r="S829" s="8" t="s">
        <v>516</v>
      </c>
      <c r="T829" s="31" t="n">
        <f aca="false">IF(S829="","",MATCH(S829,'Residual Config'!$L$9:$L$12,0))</f>
        <v>1</v>
      </c>
      <c r="U829" s="8" t="s">
        <v>2793</v>
      </c>
      <c r="V829" s="24" t="n">
        <v>4</v>
      </c>
      <c r="W829" s="33" t="s">
        <v>533</v>
      </c>
      <c r="X829" s="8" t="s">
        <v>754</v>
      </c>
      <c r="Y829" s="51" t="n">
        <f aca="false">IF(N829="","",EDATE(N829,IF(G829="N",INDEX('Residual Config'!$B$31:$D$31,1,MATCH(D829,'Residual Config'!$B$27:$D$27,0)),INDEX('Residual Config'!$B$28:$D$30,IF(T829=1,1,IF(T829=4,3,2)),MATCH(D829,'Residual Config'!$B$27:$D$27,0)))))</f>
        <v>46400</v>
      </c>
      <c r="Z829" s="7" t="str">
        <f aca="false">IF(I829="N/A","N/A",IF(N829="","Not tested",IF(W829="Rejected","Evidence rejected",IF(W829&lt;&gt;"Accepted","Evidence pending",IF(Y829&lt;'Residual Config'!$C$4,"Overdue","Current")))))</f>
        <v>Current</v>
      </c>
      <c r="AA829" s="34" t="n">
        <f aca="false">IF(I829="N/A","",IF(Z829&lt;&gt;"Current",4,IF(MAX(M829,T829)=0,4,MAX(M829,T829))))</f>
        <v>2</v>
      </c>
      <c r="AB829" s="7" t="str">
        <f aca="false">IF(AA829="","N/A",IF(Z829&lt;&gt;"Current","Not tested / overdue",INDEX('Residual Config'!$B$11:$B$14,AA829)))</f>
        <v>Largely effective</v>
      </c>
      <c r="AC829" s="36" t="n">
        <f aca="false">IF(AA829="","",INDEX('Residual Config'!$D$11:$D$14,AA829))</f>
        <v>0.4</v>
      </c>
      <c r="AD829" s="7" t="str">
        <f aca="false">IF(OR(I829="N/A",P829="",Q829=""),"",IF(P829&gt;=Q829,"Yes","No"))</f>
        <v>Yes</v>
      </c>
      <c r="AE829" s="8"/>
    </row>
    <row r="830" customFormat="false" ht="15" hidden="false" customHeight="false" outlineLevel="0" collapsed="false">
      <c r="A830" s="12" t="s">
        <v>2794</v>
      </c>
      <c r="B830" s="26" t="str">
        <f aca="false">Entities!$A$24</f>
        <v>TN</v>
      </c>
      <c r="C830" s="12" t="str">
        <f aca="false">INDEX(Entities!$B$5:$B$34,MATCH(B830,Entities!$A$5:$A$34,0))</f>
        <v>Arab Tunisian Bank</v>
      </c>
      <c r="D830" s="7" t="str">
        <f aca="false">INDEX(Entities!$F$5:$F$34,MATCH(B830,Entities!$A$5:$A$34,0))</f>
        <v>Tier 2</v>
      </c>
      <c r="E830" s="26" t="str">
        <f aca="false">'Control Library'!$A$13</f>
        <v>CTL-SAN-01</v>
      </c>
      <c r="F830" s="12" t="str">
        <f aca="false">INDEX('Control Library'!$B$5:$B$47,MATCH(E830,'Control Library'!$A$5:$A$47,0))</f>
        <v>Real-time payment and transaction sanctions screening</v>
      </c>
      <c r="G830" s="7" t="str">
        <f aca="false">INDEX('Control Library'!$F$5:$F$47,MATCH(E830,'Control Library'!$A$5:$A$47,0))</f>
        <v>Y</v>
      </c>
      <c r="H830" s="12" t="str">
        <f aca="false">INDEX('Control Library'!$E$5:$E$47,MATCH(E830,'Control Library'!$A$5:$A$47,0))</f>
        <v>Continuous</v>
      </c>
      <c r="I830" s="7" t="str">
        <f aca="false">IF(INDEX('Control Library'!$I$5:$I$47,MATCH(E830,'Control Library'!$A$5:$A$47,0))="All","Y",IF(INDEX('Control Library'!$I$5:$I$47,MATCH(E830,'Control Library'!$A$5:$A$47,0))="Banks only",IF(COUNTIF('Residual Config'!$L$28:$L$30,INDEX(Entities!$E$5:$E$34,MATCH(B830,Entities!$A$5:$A$34,0)))&gt;0,"N/A","Y"),IF(INDEX(Entities!$G$5:$G$34,MATCH(B830,Entities!$A$5:$A$34,0))="Y","Y","N/A")))</f>
        <v>Y</v>
      </c>
      <c r="J830" s="8" t="s">
        <v>2795</v>
      </c>
      <c r="K830" s="8" t="s">
        <v>2776</v>
      </c>
      <c r="L830" s="7" t="str">
        <f aca="false">IF(OR(J830="",K830=""),"",IF(J830=K830,"Breach","OK"))</f>
        <v>OK</v>
      </c>
      <c r="M830" s="24" t="n">
        <v>3</v>
      </c>
      <c r="N830" s="50" t="n">
        <v>46235</v>
      </c>
      <c r="O830" s="8" t="s">
        <v>546</v>
      </c>
      <c r="P830" s="24" t="n">
        <v>1</v>
      </c>
      <c r="Q830" s="31" t="n">
        <f aca="false">IF(I830="N/A","",IFERROR(INDEX('Residual Config'!$B$35:$B$42,MATCH(H830,'Residual Config'!$A$35:$A$42,0)),""))</f>
        <v>1</v>
      </c>
      <c r="R830" s="24" t="n">
        <v>1</v>
      </c>
      <c r="S830" s="8" t="s">
        <v>521</v>
      </c>
      <c r="T830" s="31" t="n">
        <f aca="false">IF(S830="","",MATCH(S830,'Residual Config'!$L$9:$L$12,0))</f>
        <v>2</v>
      </c>
      <c r="U830" s="8" t="s">
        <v>2796</v>
      </c>
      <c r="V830" s="24" t="n">
        <v>3</v>
      </c>
      <c r="W830" s="33" t="s">
        <v>533</v>
      </c>
      <c r="X830" s="8" t="s">
        <v>754</v>
      </c>
      <c r="Y830" s="51" t="n">
        <f aca="false">IF(N830="","",EDATE(N830,IF(G830="N",INDEX('Residual Config'!$B$31:$D$31,1,MATCH(D830,'Residual Config'!$B$27:$D$27,0)),INDEX('Residual Config'!$B$28:$D$30,IF(T830=1,1,IF(T830=4,3,2)),MATCH(D830,'Residual Config'!$B$27:$D$27,0)))))</f>
        <v>46419</v>
      </c>
      <c r="Z830" s="7" t="str">
        <f aca="false">IF(I830="N/A","N/A",IF(N830="","Not tested",IF(W830="Rejected","Evidence rejected",IF(W830&lt;&gt;"Accepted","Evidence pending",IF(Y830&lt;'Residual Config'!$C$4,"Overdue","Current")))))</f>
        <v>Current</v>
      </c>
      <c r="AA830" s="34" t="n">
        <f aca="false">IF(I830="N/A","",IF(Z830&lt;&gt;"Current",4,IF(MAX(M830,T830)=0,4,MAX(M830,T830))))</f>
        <v>3</v>
      </c>
      <c r="AB830" s="7" t="str">
        <f aca="false">IF(AA830="","N/A",IF(Z830&lt;&gt;"Current","Not tested / overdue",INDEX('Residual Config'!$B$11:$B$14,AA830)))</f>
        <v>Partially effective</v>
      </c>
      <c r="AC830" s="36" t="n">
        <f aca="false">IF(AA830="","",INDEX('Residual Config'!$D$11:$D$14,AA830))</f>
        <v>0.2</v>
      </c>
      <c r="AD830" s="7" t="str">
        <f aca="false">IF(OR(I830="N/A",P830="",Q830=""),"",IF(P830&gt;=Q830,"Yes","No"))</f>
        <v>Yes</v>
      </c>
      <c r="AE830" s="8"/>
    </row>
    <row r="831" customFormat="false" ht="15" hidden="false" customHeight="false" outlineLevel="0" collapsed="false">
      <c r="A831" s="12" t="s">
        <v>2797</v>
      </c>
      <c r="B831" s="26" t="str">
        <f aca="false">Entities!$A$24</f>
        <v>TN</v>
      </c>
      <c r="C831" s="12" t="str">
        <f aca="false">INDEX(Entities!$B$5:$B$34,MATCH(B831,Entities!$A$5:$A$34,0))</f>
        <v>Arab Tunisian Bank</v>
      </c>
      <c r="D831" s="7" t="str">
        <f aca="false">INDEX(Entities!$F$5:$F$34,MATCH(B831,Entities!$A$5:$A$34,0))</f>
        <v>Tier 2</v>
      </c>
      <c r="E831" s="26" t="str">
        <f aca="false">'Control Library'!$A$14</f>
        <v>CTL-SAN-02</v>
      </c>
      <c r="F831" s="12" t="str">
        <f aca="false">INDEX('Control Library'!$B$5:$B$47,MATCH(E831,'Control Library'!$A$5:$A$47,0))</f>
        <v>Customer and counterparty screening at onboarding and on list change</v>
      </c>
      <c r="G831" s="7" t="str">
        <f aca="false">INDEX('Control Library'!$F$5:$F$47,MATCH(E831,'Control Library'!$A$5:$A$47,0))</f>
        <v>Y</v>
      </c>
      <c r="H831" s="12" t="str">
        <f aca="false">INDEX('Control Library'!$E$5:$E$47,MATCH(E831,'Control Library'!$A$5:$A$47,0))</f>
        <v>Continuous</v>
      </c>
      <c r="I831" s="7" t="str">
        <f aca="false">IF(INDEX('Control Library'!$I$5:$I$47,MATCH(E831,'Control Library'!$A$5:$A$47,0))="All","Y",IF(INDEX('Control Library'!$I$5:$I$47,MATCH(E831,'Control Library'!$A$5:$A$47,0))="Banks only",IF(COUNTIF('Residual Config'!$L$28:$L$30,INDEX(Entities!$E$5:$E$34,MATCH(B831,Entities!$A$5:$A$34,0)))&gt;0,"N/A","Y"),IF(INDEX(Entities!$G$5:$G$34,MATCH(B831,Entities!$A$5:$A$34,0))="Y","Y","N/A")))</f>
        <v>Y</v>
      </c>
      <c r="J831" s="8" t="s">
        <v>2795</v>
      </c>
      <c r="K831" s="8" t="s">
        <v>2776</v>
      </c>
      <c r="L831" s="7" t="str">
        <f aca="false">IF(OR(J831="",K831=""),"",IF(J831=K831,"Breach","OK"))</f>
        <v>OK</v>
      </c>
      <c r="M831" s="24" t="n">
        <v>2</v>
      </c>
      <c r="N831" s="50" t="n">
        <v>46237</v>
      </c>
      <c r="O831" s="8" t="s">
        <v>547</v>
      </c>
      <c r="P831" s="24" t="n">
        <v>1</v>
      </c>
      <c r="Q831" s="31" t="n">
        <f aca="false">IF(I831="N/A","",IFERROR(INDEX('Residual Config'!$B$35:$B$42,MATCH(H831,'Residual Config'!$A$35:$A$42,0)),""))</f>
        <v>1</v>
      </c>
      <c r="R831" s="24" t="n">
        <v>0</v>
      </c>
      <c r="S831" s="8" t="s">
        <v>516</v>
      </c>
      <c r="T831" s="31" t="n">
        <f aca="false">IF(S831="","",MATCH(S831,'Residual Config'!$L$9:$L$12,0))</f>
        <v>1</v>
      </c>
      <c r="U831" s="8" t="s">
        <v>2798</v>
      </c>
      <c r="V831" s="24" t="n">
        <v>3</v>
      </c>
      <c r="W831" s="33" t="s">
        <v>536</v>
      </c>
      <c r="X831" s="8"/>
      <c r="Y831" s="51" t="n">
        <f aca="false">IF(N831="","",EDATE(N831,IF(G831="N",INDEX('Residual Config'!$B$31:$D$31,1,MATCH(D831,'Residual Config'!$B$27:$D$27,0)),INDEX('Residual Config'!$B$28:$D$30,IF(T831=1,1,IF(T831=4,3,2)),MATCH(D831,'Residual Config'!$B$27:$D$27,0)))))</f>
        <v>46602</v>
      </c>
      <c r="Z831" s="7" t="str">
        <f aca="false">IF(I831="N/A","N/A",IF(N831="","Not tested",IF(W831="Rejected","Evidence rejected",IF(W831&lt;&gt;"Accepted","Evidence pending",IF(Y831&lt;'Residual Config'!$C$4,"Overdue","Current")))))</f>
        <v>Evidence pending</v>
      </c>
      <c r="AA831" s="34" t="n">
        <f aca="false">IF(I831="N/A","",IF(Z831&lt;&gt;"Current",4,IF(MAX(M831,T831)=0,4,MAX(M831,T831))))</f>
        <v>4</v>
      </c>
      <c r="AB831" s="7" t="str">
        <f aca="false">IF(AA831="","N/A",IF(Z831&lt;&gt;"Current","Not tested / overdue",INDEX('Residual Config'!$B$11:$B$14,AA831)))</f>
        <v>Not tested / overdue</v>
      </c>
      <c r="AC831" s="36" t="n">
        <f aca="false">IF(AA831="","",INDEX('Residual Config'!$D$11:$D$14,AA831))</f>
        <v>0</v>
      </c>
      <c r="AD831" s="7" t="str">
        <f aca="false">IF(OR(I831="N/A",P831="",Q831=""),"",IF(P831&gt;=Q831,"Yes","No"))</f>
        <v>Yes</v>
      </c>
      <c r="AE831" s="8"/>
    </row>
    <row r="832" customFormat="false" ht="15" hidden="false" customHeight="false" outlineLevel="0" collapsed="false">
      <c r="A832" s="12" t="s">
        <v>2799</v>
      </c>
      <c r="B832" s="26" t="str">
        <f aca="false">Entities!$A$24</f>
        <v>TN</v>
      </c>
      <c r="C832" s="12" t="str">
        <f aca="false">INDEX(Entities!$B$5:$B$34,MATCH(B832,Entities!$A$5:$A$34,0))</f>
        <v>Arab Tunisian Bank</v>
      </c>
      <c r="D832" s="7" t="str">
        <f aca="false">INDEX(Entities!$F$5:$F$34,MATCH(B832,Entities!$A$5:$A$34,0))</f>
        <v>Tier 2</v>
      </c>
      <c r="E832" s="26" t="str">
        <f aca="false">'Control Library'!$A$15</f>
        <v>CTL-SAN-03</v>
      </c>
      <c r="F832" s="12" t="str">
        <f aca="false">INDEX('Control Library'!$B$5:$B$47,MATCH(E832,'Control Library'!$A$5:$A$47,0))</f>
        <v>Sanctions list updates applied within 24 hours</v>
      </c>
      <c r="G832" s="7" t="str">
        <f aca="false">INDEX('Control Library'!$F$5:$F$47,MATCH(E832,'Control Library'!$A$5:$A$47,0))</f>
        <v>N</v>
      </c>
      <c r="H832" s="12" t="str">
        <f aca="false">INDEX('Control Library'!$E$5:$E$47,MATCH(E832,'Control Library'!$A$5:$A$47,0))</f>
        <v>Daily</v>
      </c>
      <c r="I832" s="7" t="str">
        <f aca="false">IF(INDEX('Control Library'!$I$5:$I$47,MATCH(E832,'Control Library'!$A$5:$A$47,0))="All","Y",IF(INDEX('Control Library'!$I$5:$I$47,MATCH(E832,'Control Library'!$A$5:$A$47,0))="Banks only",IF(COUNTIF('Residual Config'!$L$28:$L$30,INDEX(Entities!$E$5:$E$34,MATCH(B832,Entities!$A$5:$A$34,0)))&gt;0,"N/A","Y"),IF(INDEX(Entities!$G$5:$G$34,MATCH(B832,Entities!$A$5:$A$34,0))="Y","Y","N/A")))</f>
        <v>Y</v>
      </c>
      <c r="J832" s="8" t="s">
        <v>2800</v>
      </c>
      <c r="K832" s="8" t="s">
        <v>2776</v>
      </c>
      <c r="L832" s="7" t="str">
        <f aca="false">IF(OR(J832="",K832=""),"",IF(J832=K832,"Breach","OK"))</f>
        <v>OK</v>
      </c>
      <c r="M832" s="24" t="n">
        <v>2</v>
      </c>
      <c r="N832" s="50" t="n">
        <v>46198</v>
      </c>
      <c r="O832" s="8" t="s">
        <v>545</v>
      </c>
      <c r="P832" s="24" t="n">
        <v>30</v>
      </c>
      <c r="Q832" s="31" t="n">
        <f aca="false">IF(I832="N/A","",IFERROR(INDEX('Residual Config'!$B$35:$B$42,MATCH(H832,'Residual Config'!$A$35:$A$42,0)),""))</f>
        <v>25</v>
      </c>
      <c r="R832" s="24" t="n">
        <v>0</v>
      </c>
      <c r="S832" s="8" t="s">
        <v>516</v>
      </c>
      <c r="T832" s="31" t="n">
        <f aca="false">IF(S832="","",MATCH(S832,'Residual Config'!$L$9:$L$12,0))</f>
        <v>1</v>
      </c>
      <c r="U832" s="8" t="s">
        <v>2801</v>
      </c>
      <c r="V832" s="24" t="n">
        <v>6</v>
      </c>
      <c r="W832" s="33" t="s">
        <v>533</v>
      </c>
      <c r="X832" s="8" t="s">
        <v>754</v>
      </c>
      <c r="Y832" s="51" t="n">
        <f aca="false">IF(N832="","",EDATE(N832,IF(G832="N",INDEX('Residual Config'!$B$31:$D$31,1,MATCH(D832,'Residual Config'!$B$27:$D$27,0)),INDEX('Residual Config'!$B$28:$D$30,IF(T832=1,1,IF(T832=4,3,2)),MATCH(D832,'Residual Config'!$B$27:$D$27,0)))))</f>
        <v>46563</v>
      </c>
      <c r="Z832" s="7" t="str">
        <f aca="false">IF(I832="N/A","N/A",IF(N832="","Not tested",IF(W832="Rejected","Evidence rejected",IF(W832&lt;&gt;"Accepted","Evidence pending",IF(Y832&lt;'Residual Config'!$C$4,"Overdue","Current")))))</f>
        <v>Current</v>
      </c>
      <c r="AA832" s="34" t="n">
        <f aca="false">IF(I832="N/A","",IF(Z832&lt;&gt;"Current",4,IF(MAX(M832,T832)=0,4,MAX(M832,T832))))</f>
        <v>2</v>
      </c>
      <c r="AB832" s="7" t="str">
        <f aca="false">IF(AA832="","N/A",IF(Z832&lt;&gt;"Current","Not tested / overdue",INDEX('Residual Config'!$B$11:$B$14,AA832)))</f>
        <v>Largely effective</v>
      </c>
      <c r="AC832" s="36" t="n">
        <f aca="false">IF(AA832="","",INDEX('Residual Config'!$D$11:$D$14,AA832))</f>
        <v>0.4</v>
      </c>
      <c r="AD832" s="7" t="str">
        <f aca="false">IF(OR(I832="N/A",P832="",Q832=""),"",IF(P832&gt;=Q832,"Yes","No"))</f>
        <v>Yes</v>
      </c>
      <c r="AE832" s="8"/>
    </row>
    <row r="833" customFormat="false" ht="15" hidden="false" customHeight="false" outlineLevel="0" collapsed="false">
      <c r="A833" s="12" t="s">
        <v>2802</v>
      </c>
      <c r="B833" s="26" t="str">
        <f aca="false">Entities!$A$24</f>
        <v>TN</v>
      </c>
      <c r="C833" s="12" t="str">
        <f aca="false">INDEX(Entities!$B$5:$B$34,MATCH(B833,Entities!$A$5:$A$34,0))</f>
        <v>Arab Tunisian Bank</v>
      </c>
      <c r="D833" s="7" t="str">
        <f aca="false">INDEX(Entities!$F$5:$F$34,MATCH(B833,Entities!$A$5:$A$34,0))</f>
        <v>Tier 2</v>
      </c>
      <c r="E833" s="26" t="str">
        <f aca="false">'Control Library'!$A$16</f>
        <v>CTL-TF-01</v>
      </c>
      <c r="F833" s="12" t="str">
        <f aca="false">INDEX('Control Library'!$B$5:$B$47,MATCH(E833,'Control Library'!$A$5:$A$47,0))</f>
        <v>NPO and charity enhanced due diligence</v>
      </c>
      <c r="G833" s="7" t="str">
        <f aca="false">INDEX('Control Library'!$F$5:$F$47,MATCH(E833,'Control Library'!$A$5:$A$47,0))</f>
        <v>N</v>
      </c>
      <c r="H833" s="12" t="str">
        <f aca="false">INDEX('Control Library'!$E$5:$E$47,MATCH(E833,'Control Library'!$A$5:$A$47,0))</f>
        <v>Event-driven</v>
      </c>
      <c r="I833" s="7" t="str">
        <f aca="false">IF(INDEX('Control Library'!$I$5:$I$47,MATCH(E833,'Control Library'!$A$5:$A$47,0))="All","Y",IF(INDEX('Control Library'!$I$5:$I$47,MATCH(E833,'Control Library'!$A$5:$A$47,0))="Banks only",IF(COUNTIF('Residual Config'!$L$28:$L$30,INDEX(Entities!$E$5:$E$34,MATCH(B833,Entities!$A$5:$A$34,0)))&gt;0,"N/A","Y"),IF(INDEX(Entities!$G$5:$G$34,MATCH(B833,Entities!$A$5:$A$34,0))="Y","Y","N/A")))</f>
        <v>Y</v>
      </c>
      <c r="J833" s="8" t="s">
        <v>2803</v>
      </c>
      <c r="K833" s="8" t="s">
        <v>2776</v>
      </c>
      <c r="L833" s="7" t="str">
        <f aca="false">IF(OR(J833="",K833=""),"",IF(J833=K833,"Breach","OK"))</f>
        <v>OK</v>
      </c>
      <c r="M833" s="24" t="n">
        <v>1</v>
      </c>
      <c r="N833" s="50" t="n">
        <v>46082</v>
      </c>
      <c r="O833" s="8" t="s">
        <v>545</v>
      </c>
      <c r="P833" s="24" t="n">
        <v>35</v>
      </c>
      <c r="Q833" s="31" t="n">
        <f aca="false">IF(I833="N/A","",IFERROR(INDEX('Residual Config'!$B$35:$B$42,MATCH(H833,'Residual Config'!$A$35:$A$42,0)),""))</f>
        <v>25</v>
      </c>
      <c r="R833" s="24" t="n">
        <v>1</v>
      </c>
      <c r="S833" s="8" t="s">
        <v>521</v>
      </c>
      <c r="T833" s="31" t="n">
        <f aca="false">IF(S833="","",MATCH(S833,'Residual Config'!$L$9:$L$12,0))</f>
        <v>2</v>
      </c>
      <c r="U833" s="8" t="s">
        <v>2804</v>
      </c>
      <c r="V833" s="24" t="n">
        <v>4</v>
      </c>
      <c r="W833" s="33" t="s">
        <v>533</v>
      </c>
      <c r="X833" s="8" t="s">
        <v>760</v>
      </c>
      <c r="Y833" s="51" t="n">
        <f aca="false">IF(N833="","",EDATE(N833,IF(G833="N",INDEX('Residual Config'!$B$31:$D$31,1,MATCH(D833,'Residual Config'!$B$27:$D$27,0)),INDEX('Residual Config'!$B$28:$D$30,IF(T833=1,1,IF(T833=4,3,2)),MATCH(D833,'Residual Config'!$B$27:$D$27,0)))))</f>
        <v>46447</v>
      </c>
      <c r="Z833" s="7" t="str">
        <f aca="false">IF(I833="N/A","N/A",IF(N833="","Not tested",IF(W833="Rejected","Evidence rejected",IF(W833&lt;&gt;"Accepted","Evidence pending",IF(Y833&lt;'Residual Config'!$C$4,"Overdue","Current")))))</f>
        <v>Current</v>
      </c>
      <c r="AA833" s="34" t="n">
        <f aca="false">IF(I833="N/A","",IF(Z833&lt;&gt;"Current",4,IF(MAX(M833,T833)=0,4,MAX(M833,T833))))</f>
        <v>2</v>
      </c>
      <c r="AB833" s="7" t="str">
        <f aca="false">IF(AA833="","N/A",IF(Z833&lt;&gt;"Current","Not tested / overdue",INDEX('Residual Config'!$B$11:$B$14,AA833)))</f>
        <v>Largely effective</v>
      </c>
      <c r="AC833" s="36" t="n">
        <f aca="false">IF(AA833="","",INDEX('Residual Config'!$D$11:$D$14,AA833))</f>
        <v>0.4</v>
      </c>
      <c r="AD833" s="7" t="str">
        <f aca="false">IF(OR(I833="N/A",P833="",Q833=""),"",IF(P833&gt;=Q833,"Yes","No"))</f>
        <v>Yes</v>
      </c>
      <c r="AE833" s="8"/>
    </row>
    <row r="834" customFormat="false" ht="15" hidden="false" customHeight="false" outlineLevel="0" collapsed="false">
      <c r="A834" s="12" t="s">
        <v>2805</v>
      </c>
      <c r="B834" s="26" t="str">
        <f aca="false">Entities!$A$24</f>
        <v>TN</v>
      </c>
      <c r="C834" s="12" t="str">
        <f aca="false">INDEX(Entities!$B$5:$B$34,MATCH(B834,Entities!$A$5:$A$34,0))</f>
        <v>Arab Tunisian Bank</v>
      </c>
      <c r="D834" s="7" t="str">
        <f aca="false">INDEX(Entities!$F$5:$F$34,MATCH(B834,Entities!$A$5:$A$34,0))</f>
        <v>Tier 2</v>
      </c>
      <c r="E834" s="26" t="str">
        <f aca="false">'Control Library'!$A$17</f>
        <v>CTL-TBML-01</v>
      </c>
      <c r="F834" s="12" t="str">
        <f aca="false">INDEX('Control Library'!$B$5:$B$47,MATCH(E834,'Control Library'!$A$5:$A$47,0))</f>
        <v>Trade-based ML red-flag review and pricing checks</v>
      </c>
      <c r="G834" s="7" t="str">
        <f aca="false">INDEX('Control Library'!$F$5:$F$47,MATCH(E834,'Control Library'!$A$5:$A$47,0))</f>
        <v>Y</v>
      </c>
      <c r="H834" s="12" t="str">
        <f aca="false">INDEX('Control Library'!$E$5:$E$47,MATCH(E834,'Control Library'!$A$5:$A$47,0))</f>
        <v>Event-driven</v>
      </c>
      <c r="I834" s="7" t="str">
        <f aca="false">IF(INDEX('Control Library'!$I$5:$I$47,MATCH(E834,'Control Library'!$A$5:$A$47,0))="All","Y",IF(INDEX('Control Library'!$I$5:$I$47,MATCH(E834,'Control Library'!$A$5:$A$47,0))="Banks only",IF(COUNTIF('Residual Config'!$L$28:$L$30,INDEX(Entities!$E$5:$E$34,MATCH(B834,Entities!$A$5:$A$34,0)))&gt;0,"N/A","Y"),IF(INDEX(Entities!$G$5:$G$34,MATCH(B834,Entities!$A$5:$A$34,0))="Y","Y","N/A")))</f>
        <v>Y</v>
      </c>
      <c r="J834" s="8" t="s">
        <v>2806</v>
      </c>
      <c r="K834" s="8" t="s">
        <v>2776</v>
      </c>
      <c r="L834" s="7" t="str">
        <f aca="false">IF(OR(J834="",K834=""),"",IF(J834=K834,"Breach","OK"))</f>
        <v>OK</v>
      </c>
      <c r="M834" s="24" t="n">
        <v>1</v>
      </c>
      <c r="N834" s="50" t="n">
        <v>46173</v>
      </c>
      <c r="O834" s="8" t="s">
        <v>545</v>
      </c>
      <c r="P834" s="24" t="n">
        <v>25</v>
      </c>
      <c r="Q834" s="31" t="n">
        <f aca="false">IF(I834="N/A","",IFERROR(INDEX('Residual Config'!$B$35:$B$42,MATCH(H834,'Residual Config'!$A$35:$A$42,0)),""))</f>
        <v>25</v>
      </c>
      <c r="R834" s="24" t="n">
        <v>1</v>
      </c>
      <c r="S834" s="8" t="s">
        <v>521</v>
      </c>
      <c r="T834" s="31" t="n">
        <f aca="false">IF(S834="","",MATCH(S834,'Residual Config'!$L$9:$L$12,0))</f>
        <v>2</v>
      </c>
      <c r="U834" s="8" t="s">
        <v>2807</v>
      </c>
      <c r="V834" s="24" t="n">
        <v>2</v>
      </c>
      <c r="W834" s="33" t="s">
        <v>533</v>
      </c>
      <c r="X834" s="8" t="s">
        <v>754</v>
      </c>
      <c r="Y834" s="51" t="n">
        <f aca="false">IF(N834="","",EDATE(N834,IF(G834="N",INDEX('Residual Config'!$B$31:$D$31,1,MATCH(D834,'Residual Config'!$B$27:$D$27,0)),INDEX('Residual Config'!$B$28:$D$30,IF(T834=1,1,IF(T834=4,3,2)),MATCH(D834,'Residual Config'!$B$27:$D$27,0)))))</f>
        <v>46356</v>
      </c>
      <c r="Z834" s="7" t="str">
        <f aca="false">IF(I834="N/A","N/A",IF(N834="","Not tested",IF(W834="Rejected","Evidence rejected",IF(W834&lt;&gt;"Accepted","Evidence pending",IF(Y834&lt;'Residual Config'!$C$4,"Overdue","Current")))))</f>
        <v>Current</v>
      </c>
      <c r="AA834" s="34" t="n">
        <f aca="false">IF(I834="N/A","",IF(Z834&lt;&gt;"Current",4,IF(MAX(M834,T834)=0,4,MAX(M834,T834))))</f>
        <v>2</v>
      </c>
      <c r="AB834" s="7" t="str">
        <f aca="false">IF(AA834="","N/A",IF(Z834&lt;&gt;"Current","Not tested / overdue",INDEX('Residual Config'!$B$11:$B$14,AA834)))</f>
        <v>Largely effective</v>
      </c>
      <c r="AC834" s="36" t="n">
        <f aca="false">IF(AA834="","",INDEX('Residual Config'!$D$11:$D$14,AA834))</f>
        <v>0.4</v>
      </c>
      <c r="AD834" s="7" t="str">
        <f aca="false">IF(OR(I834="N/A",P834="",Q834=""),"",IF(P834&gt;=Q834,"Yes","No"))</f>
        <v>Yes</v>
      </c>
      <c r="AE834" s="8"/>
    </row>
    <row r="835" customFormat="false" ht="15" hidden="false" customHeight="false" outlineLevel="0" collapsed="false">
      <c r="A835" s="12" t="s">
        <v>2808</v>
      </c>
      <c r="B835" s="26" t="str">
        <f aca="false">Entities!$A$24</f>
        <v>TN</v>
      </c>
      <c r="C835" s="12" t="str">
        <f aca="false">INDEX(Entities!$B$5:$B$34,MATCH(B835,Entities!$A$5:$A$34,0))</f>
        <v>Arab Tunisian Bank</v>
      </c>
      <c r="D835" s="7" t="str">
        <f aca="false">INDEX(Entities!$F$5:$F$34,MATCH(B835,Entities!$A$5:$A$34,0))</f>
        <v>Tier 2</v>
      </c>
      <c r="E835" s="26" t="str">
        <f aca="false">'Control Library'!$A$18</f>
        <v>CTL-PF-01</v>
      </c>
      <c r="F835" s="12" t="str">
        <f aca="false">INDEX('Control Library'!$B$5:$B$47,MATCH(E835,'Control Library'!$A$5:$A$47,0))</f>
        <v>Dual-use goods, vessel and port screening</v>
      </c>
      <c r="G835" s="7" t="str">
        <f aca="false">INDEX('Control Library'!$F$5:$F$47,MATCH(E835,'Control Library'!$A$5:$A$47,0))</f>
        <v>Y</v>
      </c>
      <c r="H835" s="12" t="str">
        <f aca="false">INDEX('Control Library'!$E$5:$E$47,MATCH(E835,'Control Library'!$A$5:$A$47,0))</f>
        <v>Event-driven</v>
      </c>
      <c r="I835" s="7" t="str">
        <f aca="false">IF(INDEX('Control Library'!$I$5:$I$47,MATCH(E835,'Control Library'!$A$5:$A$47,0))="All","Y",IF(INDEX('Control Library'!$I$5:$I$47,MATCH(E835,'Control Library'!$A$5:$A$47,0))="Banks only",IF(COUNTIF('Residual Config'!$L$28:$L$30,INDEX(Entities!$E$5:$E$34,MATCH(B835,Entities!$A$5:$A$34,0)))&gt;0,"N/A","Y"),IF(INDEX(Entities!$G$5:$G$34,MATCH(B835,Entities!$A$5:$A$34,0))="Y","Y","N/A")))</f>
        <v>Y</v>
      </c>
      <c r="J835" s="8" t="s">
        <v>2806</v>
      </c>
      <c r="K835" s="8" t="s">
        <v>2776</v>
      </c>
      <c r="L835" s="7" t="str">
        <f aca="false">IF(OR(J835="",K835=""),"",IF(J835=K835,"Breach","OK"))</f>
        <v>OK</v>
      </c>
      <c r="M835" s="24" t="n">
        <v>2</v>
      </c>
      <c r="N835" s="50" t="n">
        <v>46118</v>
      </c>
      <c r="O835" s="8" t="s">
        <v>545</v>
      </c>
      <c r="P835" s="24" t="n">
        <v>25</v>
      </c>
      <c r="Q835" s="31" t="n">
        <f aca="false">IF(I835="N/A","",IFERROR(INDEX('Residual Config'!$B$35:$B$42,MATCH(H835,'Residual Config'!$A$35:$A$42,0)),""))</f>
        <v>25</v>
      </c>
      <c r="R835" s="24" t="n">
        <v>0</v>
      </c>
      <c r="S835" s="8" t="s">
        <v>516</v>
      </c>
      <c r="T835" s="31" t="n">
        <f aca="false">IF(S835="","",MATCH(S835,'Residual Config'!$L$9:$L$12,0))</f>
        <v>1</v>
      </c>
      <c r="U835" s="8" t="s">
        <v>2809</v>
      </c>
      <c r="V835" s="24" t="n">
        <v>4</v>
      </c>
      <c r="W835" s="33" t="s">
        <v>536</v>
      </c>
      <c r="X835" s="8"/>
      <c r="Y835" s="51" t="n">
        <f aca="false">IF(N835="","",EDATE(N835,IF(G835="N",INDEX('Residual Config'!$B$31:$D$31,1,MATCH(D835,'Residual Config'!$B$27:$D$27,0)),INDEX('Residual Config'!$B$28:$D$30,IF(T835=1,1,IF(T835=4,3,2)),MATCH(D835,'Residual Config'!$B$27:$D$27,0)))))</f>
        <v>46483</v>
      </c>
      <c r="Z835" s="7" t="str">
        <f aca="false">IF(I835="N/A","N/A",IF(N835="","Not tested",IF(W835="Rejected","Evidence rejected",IF(W835&lt;&gt;"Accepted","Evidence pending",IF(Y835&lt;'Residual Config'!$C$4,"Overdue","Current")))))</f>
        <v>Evidence pending</v>
      </c>
      <c r="AA835" s="34" t="n">
        <f aca="false">IF(I835="N/A","",IF(Z835&lt;&gt;"Current",4,IF(MAX(M835,T835)=0,4,MAX(M835,T835))))</f>
        <v>4</v>
      </c>
      <c r="AB835" s="7" t="str">
        <f aca="false">IF(AA835="","N/A",IF(Z835&lt;&gt;"Current","Not tested / overdue",INDEX('Residual Config'!$B$11:$B$14,AA835)))</f>
        <v>Not tested / overdue</v>
      </c>
      <c r="AC835" s="36" t="n">
        <f aca="false">IF(AA835="","",INDEX('Residual Config'!$D$11:$D$14,AA835))</f>
        <v>0</v>
      </c>
      <c r="AD835" s="7" t="str">
        <f aca="false">IF(OR(I835="N/A",P835="",Q835=""),"",IF(P835&gt;=Q835,"Yes","No"))</f>
        <v>Yes</v>
      </c>
      <c r="AE835" s="8"/>
    </row>
    <row r="836" customFormat="false" ht="15" hidden="false" customHeight="false" outlineLevel="0" collapsed="false">
      <c r="A836" s="12" t="s">
        <v>2810</v>
      </c>
      <c r="B836" s="26" t="str">
        <f aca="false">Entities!$A$24</f>
        <v>TN</v>
      </c>
      <c r="C836" s="12" t="str">
        <f aca="false">INDEX(Entities!$B$5:$B$34,MATCH(B836,Entities!$A$5:$A$34,0))</f>
        <v>Arab Tunisian Bank</v>
      </c>
      <c r="D836" s="7" t="str">
        <f aca="false">INDEX(Entities!$F$5:$F$34,MATCH(B836,Entities!$A$5:$A$34,0))</f>
        <v>Tier 2</v>
      </c>
      <c r="E836" s="26" t="str">
        <f aca="false">'Control Library'!$A$19</f>
        <v>CTL-CB-01</v>
      </c>
      <c r="F836" s="12" t="str">
        <f aca="false">INDEX('Control Library'!$B$5:$B$47,MATCH(E836,'Control Library'!$A$5:$A$47,0))</f>
        <v>Correspondent bank due diligence (CBDDQ) and nesting detection</v>
      </c>
      <c r="G836" s="7" t="str">
        <f aca="false">INDEX('Control Library'!$F$5:$F$47,MATCH(E836,'Control Library'!$A$5:$A$47,0))</f>
        <v>Y</v>
      </c>
      <c r="H836" s="12" t="str">
        <f aca="false">INDEX('Control Library'!$E$5:$E$47,MATCH(E836,'Control Library'!$A$5:$A$47,0))</f>
        <v>Annual</v>
      </c>
      <c r="I836" s="7" t="str">
        <f aca="false">IF(INDEX('Control Library'!$I$5:$I$47,MATCH(E836,'Control Library'!$A$5:$A$47,0))="All","Y",IF(INDEX('Control Library'!$I$5:$I$47,MATCH(E836,'Control Library'!$A$5:$A$47,0))="Banks only",IF(COUNTIF('Residual Config'!$L$28:$L$30,INDEX(Entities!$E$5:$E$34,MATCH(B836,Entities!$A$5:$A$34,0)))&gt;0,"N/A","Y"),IF(INDEX(Entities!$G$5:$G$34,MATCH(B836,Entities!$A$5:$A$34,0))="Y","Y","N/A")))</f>
        <v>Y</v>
      </c>
      <c r="J836" s="8" t="s">
        <v>2811</v>
      </c>
      <c r="K836" s="8" t="s">
        <v>2776</v>
      </c>
      <c r="L836" s="7" t="str">
        <f aca="false">IF(OR(J836="",K836=""),"",IF(J836=K836,"Breach","OK"))</f>
        <v>OK</v>
      </c>
      <c r="M836" s="24" t="n">
        <v>1</v>
      </c>
      <c r="N836" s="50" t="n">
        <v>46289</v>
      </c>
      <c r="O836" s="8" t="s">
        <v>545</v>
      </c>
      <c r="P836" s="24" t="n">
        <v>1</v>
      </c>
      <c r="Q836" s="31" t="n">
        <f aca="false">IF(I836="N/A","",IFERROR(INDEX('Residual Config'!$B$35:$B$42,MATCH(H836,'Residual Config'!$A$35:$A$42,0)),""))</f>
        <v>1</v>
      </c>
      <c r="R836" s="24" t="n">
        <v>1</v>
      </c>
      <c r="S836" s="8" t="s">
        <v>521</v>
      </c>
      <c r="T836" s="31" t="n">
        <f aca="false">IF(S836="","",MATCH(S836,'Residual Config'!$L$9:$L$12,0))</f>
        <v>2</v>
      </c>
      <c r="U836" s="8" t="s">
        <v>2812</v>
      </c>
      <c r="V836" s="24" t="n">
        <v>1</v>
      </c>
      <c r="W836" s="33" t="s">
        <v>533</v>
      </c>
      <c r="X836" s="8" t="s">
        <v>754</v>
      </c>
      <c r="Y836" s="51" t="n">
        <f aca="false">IF(N836="","",EDATE(N836,IF(G836="N",INDEX('Residual Config'!$B$31:$D$31,1,MATCH(D836,'Residual Config'!$B$27:$D$27,0)),INDEX('Residual Config'!$B$28:$D$30,IF(T836=1,1,IF(T836=4,3,2)),MATCH(D836,'Residual Config'!$B$27:$D$27,0)))))</f>
        <v>46470</v>
      </c>
      <c r="Z836" s="7" t="str">
        <f aca="false">IF(I836="N/A","N/A",IF(N836="","Not tested",IF(W836="Rejected","Evidence rejected",IF(W836&lt;&gt;"Accepted","Evidence pending",IF(Y836&lt;'Residual Config'!$C$4,"Overdue","Current")))))</f>
        <v>Current</v>
      </c>
      <c r="AA836" s="34" t="n">
        <f aca="false">IF(I836="N/A","",IF(Z836&lt;&gt;"Current",4,IF(MAX(M836,T836)=0,4,MAX(M836,T836))))</f>
        <v>2</v>
      </c>
      <c r="AB836" s="7" t="str">
        <f aca="false">IF(AA836="","N/A",IF(Z836&lt;&gt;"Current","Not tested / overdue",INDEX('Residual Config'!$B$11:$B$14,AA836)))</f>
        <v>Largely effective</v>
      </c>
      <c r="AC836" s="36" t="n">
        <f aca="false">IF(AA836="","",INDEX('Residual Config'!$D$11:$D$14,AA836))</f>
        <v>0.4</v>
      </c>
      <c r="AD836" s="7" t="str">
        <f aca="false">IF(OR(I836="N/A",P836="",Q836=""),"",IF(P836&gt;=Q836,"Yes","No"))</f>
        <v>Yes</v>
      </c>
      <c r="AE836" s="8"/>
    </row>
    <row r="837" customFormat="false" ht="15" hidden="false" customHeight="false" outlineLevel="0" collapsed="false">
      <c r="A837" s="12" t="s">
        <v>2813</v>
      </c>
      <c r="B837" s="26" t="str">
        <f aca="false">Entities!$A$24</f>
        <v>TN</v>
      </c>
      <c r="C837" s="12" t="str">
        <f aca="false">INDEX(Entities!$B$5:$B$34,MATCH(B837,Entities!$A$5:$A$34,0))</f>
        <v>Arab Tunisian Bank</v>
      </c>
      <c r="D837" s="7" t="str">
        <f aca="false">INDEX(Entities!$F$5:$F$34,MATCH(B837,Entities!$A$5:$A$34,0))</f>
        <v>Tier 2</v>
      </c>
      <c r="E837" s="26" t="str">
        <f aca="false">'Control Library'!$A$20</f>
        <v>CTL-PAY-01</v>
      </c>
      <c r="F837" s="12" t="str">
        <f aca="false">INDEX('Control Library'!$B$5:$B$47,MATCH(E837,'Control Library'!$A$5:$A$47,0))</f>
        <v>Payment transparency checks (FATF R.16)</v>
      </c>
      <c r="G837" s="7" t="str">
        <f aca="false">INDEX('Control Library'!$F$5:$F$47,MATCH(E837,'Control Library'!$A$5:$A$47,0))</f>
        <v>N</v>
      </c>
      <c r="H837" s="12" t="str">
        <f aca="false">INDEX('Control Library'!$E$5:$E$47,MATCH(E837,'Control Library'!$A$5:$A$47,0))</f>
        <v>Continuous</v>
      </c>
      <c r="I837" s="7" t="str">
        <f aca="false">IF(INDEX('Control Library'!$I$5:$I$47,MATCH(E837,'Control Library'!$A$5:$A$47,0))="All","Y",IF(INDEX('Control Library'!$I$5:$I$47,MATCH(E837,'Control Library'!$A$5:$A$47,0))="Banks only",IF(COUNTIF('Residual Config'!$L$28:$L$30,INDEX(Entities!$E$5:$E$34,MATCH(B837,Entities!$A$5:$A$34,0)))&gt;0,"N/A","Y"),IF(INDEX(Entities!$G$5:$G$34,MATCH(B837,Entities!$A$5:$A$34,0))="Y","Y","N/A")))</f>
        <v>Y</v>
      </c>
      <c r="J837" s="8" t="s">
        <v>2814</v>
      </c>
      <c r="K837" s="8" t="s">
        <v>2776</v>
      </c>
      <c r="L837" s="7" t="str">
        <f aca="false">IF(OR(J837="",K837=""),"",IF(J837=K837,"Breach","OK"))</f>
        <v>OK</v>
      </c>
      <c r="M837" s="24" t="n">
        <v>2</v>
      </c>
      <c r="N837" s="50" t="n">
        <v>45999</v>
      </c>
      <c r="O837" s="8" t="s">
        <v>547</v>
      </c>
      <c r="P837" s="24" t="n">
        <v>1</v>
      </c>
      <c r="Q837" s="31" t="n">
        <f aca="false">IF(I837="N/A","",IFERROR(INDEX('Residual Config'!$B$35:$B$42,MATCH(H837,'Residual Config'!$A$35:$A$42,0)),""))</f>
        <v>1</v>
      </c>
      <c r="R837" s="24" t="n">
        <v>1</v>
      </c>
      <c r="S837" s="8" t="s">
        <v>521</v>
      </c>
      <c r="T837" s="31" t="n">
        <f aca="false">IF(S837="","",MATCH(S837,'Residual Config'!$L$9:$L$12,0))</f>
        <v>2</v>
      </c>
      <c r="U837" s="8" t="s">
        <v>2815</v>
      </c>
      <c r="V837" s="24" t="n">
        <v>6</v>
      </c>
      <c r="W837" s="33" t="s">
        <v>533</v>
      </c>
      <c r="X837" s="8" t="s">
        <v>760</v>
      </c>
      <c r="Y837" s="51" t="n">
        <f aca="false">IF(N837="","",EDATE(N837,IF(G837="N",INDEX('Residual Config'!$B$31:$D$31,1,MATCH(D837,'Residual Config'!$B$27:$D$27,0)),INDEX('Residual Config'!$B$28:$D$30,IF(T837=1,1,IF(T837=4,3,2)),MATCH(D837,'Residual Config'!$B$27:$D$27,0)))))</f>
        <v>46364</v>
      </c>
      <c r="Z837" s="7" t="str">
        <f aca="false">IF(I837="N/A","N/A",IF(N837="","Not tested",IF(W837="Rejected","Evidence rejected",IF(W837&lt;&gt;"Accepted","Evidence pending",IF(Y837&lt;'Residual Config'!$C$4,"Overdue","Current")))))</f>
        <v>Current</v>
      </c>
      <c r="AA837" s="34" t="n">
        <f aca="false">IF(I837="N/A","",IF(Z837&lt;&gt;"Current",4,IF(MAX(M837,T837)=0,4,MAX(M837,T837))))</f>
        <v>2</v>
      </c>
      <c r="AB837" s="7" t="str">
        <f aca="false">IF(AA837="","N/A",IF(Z837&lt;&gt;"Current","Not tested / overdue",INDEX('Residual Config'!$B$11:$B$14,AA837)))</f>
        <v>Largely effective</v>
      </c>
      <c r="AC837" s="36" t="n">
        <f aca="false">IF(AA837="","",INDEX('Residual Config'!$D$11:$D$14,AA837))</f>
        <v>0.4</v>
      </c>
      <c r="AD837" s="7" t="str">
        <f aca="false">IF(OR(I837="N/A",P837="",Q837=""),"",IF(P837&gt;=Q837,"Yes","No"))</f>
        <v>Yes</v>
      </c>
      <c r="AE837" s="8"/>
    </row>
    <row r="838" customFormat="false" ht="15" hidden="false" customHeight="false" outlineLevel="0" collapsed="false">
      <c r="A838" s="12" t="s">
        <v>2816</v>
      </c>
      <c r="B838" s="26" t="str">
        <f aca="false">Entities!$A$24</f>
        <v>TN</v>
      </c>
      <c r="C838" s="12" t="str">
        <f aca="false">INDEX(Entities!$B$5:$B$34,MATCH(B838,Entities!$A$5:$A$34,0))</f>
        <v>Arab Tunisian Bank</v>
      </c>
      <c r="D838" s="7" t="str">
        <f aca="false">INDEX(Entities!$F$5:$F$34,MATCH(B838,Entities!$A$5:$A$34,0))</f>
        <v>Tier 2</v>
      </c>
      <c r="E838" s="26" t="str">
        <f aca="false">'Control Library'!$A$21</f>
        <v>CTL-ABC-01</v>
      </c>
      <c r="F838" s="12" t="str">
        <f aca="false">INDEX('Control Library'!$B$5:$B$47,MATCH(E838,'Control Library'!$A$5:$A$47,0))</f>
        <v>Third-party and intermediary anti-bribery due diligence</v>
      </c>
      <c r="G838" s="7" t="str">
        <f aca="false">INDEX('Control Library'!$F$5:$F$47,MATCH(E838,'Control Library'!$A$5:$A$47,0))</f>
        <v>Y</v>
      </c>
      <c r="H838" s="12" t="str">
        <f aca="false">INDEX('Control Library'!$E$5:$E$47,MATCH(E838,'Control Library'!$A$5:$A$47,0))</f>
        <v>Event-driven</v>
      </c>
      <c r="I838" s="7" t="str">
        <f aca="false">IF(INDEX('Control Library'!$I$5:$I$47,MATCH(E838,'Control Library'!$A$5:$A$47,0))="All","Y",IF(INDEX('Control Library'!$I$5:$I$47,MATCH(E838,'Control Library'!$A$5:$A$47,0))="Banks only",IF(COUNTIF('Residual Config'!$L$28:$L$30,INDEX(Entities!$E$5:$E$34,MATCH(B838,Entities!$A$5:$A$34,0)))&gt;0,"N/A","Y"),IF(INDEX(Entities!$G$5:$G$34,MATCH(B838,Entities!$A$5:$A$34,0))="Y","Y","N/A")))</f>
        <v>Y</v>
      </c>
      <c r="J838" s="8" t="s">
        <v>2817</v>
      </c>
      <c r="K838" s="8" t="s">
        <v>2776</v>
      </c>
      <c r="L838" s="7" t="str">
        <f aca="false">IF(OR(J838="",K838=""),"",IF(J838=K838,"Breach","OK"))</f>
        <v>OK</v>
      </c>
      <c r="M838" s="24" t="n">
        <v>1</v>
      </c>
      <c r="N838" s="50" t="n">
        <v>46172</v>
      </c>
      <c r="O838" s="8" t="s">
        <v>545</v>
      </c>
      <c r="P838" s="24" t="n">
        <v>20</v>
      </c>
      <c r="Q838" s="31" t="n">
        <f aca="false">IF(I838="N/A","",IFERROR(INDEX('Residual Config'!$B$35:$B$42,MATCH(H838,'Residual Config'!$A$35:$A$42,0)),""))</f>
        <v>25</v>
      </c>
      <c r="R838" s="24" t="n">
        <v>1</v>
      </c>
      <c r="S838" s="8" t="s">
        <v>521</v>
      </c>
      <c r="T838" s="31" t="n">
        <f aca="false">IF(S838="","",MATCH(S838,'Residual Config'!$L$9:$L$12,0))</f>
        <v>2</v>
      </c>
      <c r="U838" s="8" t="s">
        <v>2818</v>
      </c>
      <c r="V838" s="24" t="n">
        <v>5</v>
      </c>
      <c r="W838" s="33" t="s">
        <v>533</v>
      </c>
      <c r="X838" s="8" t="s">
        <v>760</v>
      </c>
      <c r="Y838" s="51" t="n">
        <f aca="false">IF(N838="","",EDATE(N838,IF(G838="N",INDEX('Residual Config'!$B$31:$D$31,1,MATCH(D838,'Residual Config'!$B$27:$D$27,0)),INDEX('Residual Config'!$B$28:$D$30,IF(T838=1,1,IF(T838=4,3,2)),MATCH(D838,'Residual Config'!$B$27:$D$27,0)))))</f>
        <v>46356</v>
      </c>
      <c r="Z838" s="7" t="str">
        <f aca="false">IF(I838="N/A","N/A",IF(N838="","Not tested",IF(W838="Rejected","Evidence rejected",IF(W838&lt;&gt;"Accepted","Evidence pending",IF(Y838&lt;'Residual Config'!$C$4,"Overdue","Current")))))</f>
        <v>Current</v>
      </c>
      <c r="AA838" s="34" t="n">
        <f aca="false">IF(I838="N/A","",IF(Z838&lt;&gt;"Current",4,IF(MAX(M838,T838)=0,4,MAX(M838,T838))))</f>
        <v>2</v>
      </c>
      <c r="AB838" s="7" t="str">
        <f aca="false">IF(AA838="","N/A",IF(Z838&lt;&gt;"Current","Not tested / overdue",INDEX('Residual Config'!$B$11:$B$14,AA838)))</f>
        <v>Largely effective</v>
      </c>
      <c r="AC838" s="36" t="n">
        <f aca="false">IF(AA838="","",INDEX('Residual Config'!$D$11:$D$14,AA838))</f>
        <v>0.4</v>
      </c>
      <c r="AD838" s="7" t="str">
        <f aca="false">IF(OR(I838="N/A",P838="",Q838=""),"",IF(P838&gt;=Q838,"Yes","No"))</f>
        <v>No</v>
      </c>
      <c r="AE838" s="8"/>
    </row>
    <row r="839" customFormat="false" ht="15" hidden="false" customHeight="false" outlineLevel="0" collapsed="false">
      <c r="A839" s="12" t="s">
        <v>2819</v>
      </c>
      <c r="B839" s="26" t="str">
        <f aca="false">Entities!$A$24</f>
        <v>TN</v>
      </c>
      <c r="C839" s="12" t="str">
        <f aca="false">INDEX(Entities!$B$5:$B$34,MATCH(B839,Entities!$A$5:$A$34,0))</f>
        <v>Arab Tunisian Bank</v>
      </c>
      <c r="D839" s="7" t="str">
        <f aca="false">INDEX(Entities!$F$5:$F$34,MATCH(B839,Entities!$A$5:$A$34,0))</f>
        <v>Tier 2</v>
      </c>
      <c r="E839" s="26" t="str">
        <f aca="false">'Control Library'!$A$22</f>
        <v>CTL-ABC-02</v>
      </c>
      <c r="F839" s="12" t="str">
        <f aca="false">INDEX('Control Library'!$B$5:$B$47,MATCH(E839,'Control Library'!$A$5:$A$47,0))</f>
        <v>Gifts, hospitality and donations register with pre-approval</v>
      </c>
      <c r="G839" s="7" t="str">
        <f aca="false">INDEX('Control Library'!$F$5:$F$47,MATCH(E839,'Control Library'!$A$5:$A$47,0))</f>
        <v>N</v>
      </c>
      <c r="H839" s="12" t="str">
        <f aca="false">INDEX('Control Library'!$E$5:$E$47,MATCH(E839,'Control Library'!$A$5:$A$47,0))</f>
        <v>Event-driven</v>
      </c>
      <c r="I839" s="7" t="str">
        <f aca="false">IF(INDEX('Control Library'!$I$5:$I$47,MATCH(E839,'Control Library'!$A$5:$A$47,0))="All","Y",IF(INDEX('Control Library'!$I$5:$I$47,MATCH(E839,'Control Library'!$A$5:$A$47,0))="Banks only",IF(COUNTIF('Residual Config'!$L$28:$L$30,INDEX(Entities!$E$5:$E$34,MATCH(B839,Entities!$A$5:$A$34,0)))&gt;0,"N/A","Y"),IF(INDEX(Entities!$G$5:$G$34,MATCH(B839,Entities!$A$5:$A$34,0))="Y","Y","N/A")))</f>
        <v>Y</v>
      </c>
      <c r="J839" s="8" t="s">
        <v>2779</v>
      </c>
      <c r="K839" s="8" t="s">
        <v>2776</v>
      </c>
      <c r="L839" s="7" t="str">
        <f aca="false">IF(OR(J839="",K839=""),"",IF(J839=K839,"Breach","OK"))</f>
        <v>OK</v>
      </c>
      <c r="M839" s="24" t="n">
        <v>2</v>
      </c>
      <c r="N839" s="50" t="n">
        <v>46131</v>
      </c>
      <c r="O839" s="8" t="s">
        <v>546</v>
      </c>
      <c r="P839" s="24" t="n">
        <v>30</v>
      </c>
      <c r="Q839" s="31" t="n">
        <f aca="false">IF(I839="N/A","",IFERROR(INDEX('Residual Config'!$B$35:$B$42,MATCH(H839,'Residual Config'!$A$35:$A$42,0)),""))</f>
        <v>25</v>
      </c>
      <c r="R839" s="24" t="n">
        <v>0</v>
      </c>
      <c r="S839" s="8" t="s">
        <v>516</v>
      </c>
      <c r="T839" s="31" t="n">
        <f aca="false">IF(S839="","",MATCH(S839,'Residual Config'!$L$9:$L$12,0))</f>
        <v>1</v>
      </c>
      <c r="U839" s="8" t="s">
        <v>2820</v>
      </c>
      <c r="V839" s="24" t="n">
        <v>2</v>
      </c>
      <c r="W839" s="33" t="s">
        <v>533</v>
      </c>
      <c r="X839" s="8" t="s">
        <v>754</v>
      </c>
      <c r="Y839" s="51" t="n">
        <f aca="false">IF(N839="","",EDATE(N839,IF(G839="N",INDEX('Residual Config'!$B$31:$D$31,1,MATCH(D839,'Residual Config'!$B$27:$D$27,0)),INDEX('Residual Config'!$B$28:$D$30,IF(T839=1,1,IF(T839=4,3,2)),MATCH(D839,'Residual Config'!$B$27:$D$27,0)))))</f>
        <v>46496</v>
      </c>
      <c r="Z839" s="7" t="str">
        <f aca="false">IF(I839="N/A","N/A",IF(N839="","Not tested",IF(W839="Rejected","Evidence rejected",IF(W839&lt;&gt;"Accepted","Evidence pending",IF(Y839&lt;'Residual Config'!$C$4,"Overdue","Current")))))</f>
        <v>Current</v>
      </c>
      <c r="AA839" s="34" t="n">
        <f aca="false">IF(I839="N/A","",IF(Z839&lt;&gt;"Current",4,IF(MAX(M839,T839)=0,4,MAX(M839,T839))))</f>
        <v>2</v>
      </c>
      <c r="AB839" s="7" t="str">
        <f aca="false">IF(AA839="","N/A",IF(Z839&lt;&gt;"Current","Not tested / overdue",INDEX('Residual Config'!$B$11:$B$14,AA839)))</f>
        <v>Largely effective</v>
      </c>
      <c r="AC839" s="36" t="n">
        <f aca="false">IF(AA839="","",INDEX('Residual Config'!$D$11:$D$14,AA839))</f>
        <v>0.4</v>
      </c>
      <c r="AD839" s="7" t="str">
        <f aca="false">IF(OR(I839="N/A",P839="",Q839=""),"",IF(P839&gt;=Q839,"Yes","No"))</f>
        <v>Yes</v>
      </c>
      <c r="AE839" s="8"/>
    </row>
    <row r="840" customFormat="false" ht="15" hidden="false" customHeight="false" outlineLevel="0" collapsed="false">
      <c r="A840" s="12" t="s">
        <v>2821</v>
      </c>
      <c r="B840" s="26" t="str">
        <f aca="false">Entities!$A$24</f>
        <v>TN</v>
      </c>
      <c r="C840" s="12" t="str">
        <f aca="false">INDEX(Entities!$B$5:$B$34,MATCH(B840,Entities!$A$5:$A$34,0))</f>
        <v>Arab Tunisian Bank</v>
      </c>
      <c r="D840" s="7" t="str">
        <f aca="false">INDEX(Entities!$F$5:$F$34,MATCH(B840,Entities!$A$5:$A$34,0))</f>
        <v>Tier 2</v>
      </c>
      <c r="E840" s="26" t="str">
        <f aca="false">'Control Library'!$A$23</f>
        <v>CTL-FRD-01</v>
      </c>
      <c r="F840" s="12" t="str">
        <f aca="false">INDEX('Control Library'!$B$5:$B$47,MATCH(E840,'Control Library'!$A$5:$A$47,0))</f>
        <v>Real-time fraud monitoring for cards and digital channels</v>
      </c>
      <c r="G840" s="7" t="str">
        <f aca="false">INDEX('Control Library'!$F$5:$F$47,MATCH(E840,'Control Library'!$A$5:$A$47,0))</f>
        <v>Y</v>
      </c>
      <c r="H840" s="12" t="str">
        <f aca="false">INDEX('Control Library'!$E$5:$E$47,MATCH(E840,'Control Library'!$A$5:$A$47,0))</f>
        <v>Continuous</v>
      </c>
      <c r="I840" s="7" t="str">
        <f aca="false">IF(INDEX('Control Library'!$I$5:$I$47,MATCH(E840,'Control Library'!$A$5:$A$47,0))="All","Y",IF(INDEX('Control Library'!$I$5:$I$47,MATCH(E840,'Control Library'!$A$5:$A$47,0))="Banks only",IF(COUNTIF('Residual Config'!$L$28:$L$30,INDEX(Entities!$E$5:$E$34,MATCH(B840,Entities!$A$5:$A$34,0)))&gt;0,"N/A","Y"),IF(INDEX(Entities!$G$5:$G$34,MATCH(B840,Entities!$A$5:$A$34,0))="Y","Y","N/A")))</f>
        <v>Y</v>
      </c>
      <c r="J840" s="8" t="s">
        <v>2822</v>
      </c>
      <c r="K840" s="8" t="s">
        <v>2776</v>
      </c>
      <c r="L840" s="7" t="str">
        <f aca="false">IF(OR(J840="",K840=""),"",IF(J840=K840,"Breach","OK"))</f>
        <v>OK</v>
      </c>
      <c r="M840" s="24" t="n">
        <v>1</v>
      </c>
      <c r="N840" s="50" t="n">
        <v>46187</v>
      </c>
      <c r="O840" s="8" t="s">
        <v>547</v>
      </c>
      <c r="P840" s="24" t="n">
        <v>1</v>
      </c>
      <c r="Q840" s="31" t="n">
        <f aca="false">IF(I840="N/A","",IFERROR(INDEX('Residual Config'!$B$35:$B$42,MATCH(H840,'Residual Config'!$A$35:$A$42,0)),""))</f>
        <v>1</v>
      </c>
      <c r="R840" s="24" t="n">
        <v>1</v>
      </c>
      <c r="S840" s="8" t="s">
        <v>521</v>
      </c>
      <c r="T840" s="31" t="n">
        <f aca="false">IF(S840="","",MATCH(S840,'Residual Config'!$L$9:$L$12,0))</f>
        <v>2</v>
      </c>
      <c r="U840" s="8" t="s">
        <v>2823</v>
      </c>
      <c r="V840" s="24" t="n">
        <v>2</v>
      </c>
      <c r="W840" s="33" t="s">
        <v>533</v>
      </c>
      <c r="X840" s="8" t="s">
        <v>760</v>
      </c>
      <c r="Y840" s="51" t="n">
        <f aca="false">IF(N840="","",EDATE(N840,IF(G840="N",INDEX('Residual Config'!$B$31:$D$31,1,MATCH(D840,'Residual Config'!$B$27:$D$27,0)),INDEX('Residual Config'!$B$28:$D$30,IF(T840=1,1,IF(T840=4,3,2)),MATCH(D840,'Residual Config'!$B$27:$D$27,0)))))</f>
        <v>46370</v>
      </c>
      <c r="Z840" s="7" t="str">
        <f aca="false">IF(I840="N/A","N/A",IF(N840="","Not tested",IF(W840="Rejected","Evidence rejected",IF(W840&lt;&gt;"Accepted","Evidence pending",IF(Y840&lt;'Residual Config'!$C$4,"Overdue","Current")))))</f>
        <v>Current</v>
      </c>
      <c r="AA840" s="34" t="n">
        <f aca="false">IF(I840="N/A","",IF(Z840&lt;&gt;"Current",4,IF(MAX(M840,T840)=0,4,MAX(M840,T840))))</f>
        <v>2</v>
      </c>
      <c r="AB840" s="7" t="str">
        <f aca="false">IF(AA840="","N/A",IF(Z840&lt;&gt;"Current","Not tested / overdue",INDEX('Residual Config'!$B$11:$B$14,AA840)))</f>
        <v>Largely effective</v>
      </c>
      <c r="AC840" s="36" t="n">
        <f aca="false">IF(AA840="","",INDEX('Residual Config'!$D$11:$D$14,AA840))</f>
        <v>0.4</v>
      </c>
      <c r="AD840" s="7" t="str">
        <f aca="false">IF(OR(I840="N/A",P840="",Q840=""),"",IF(P840&gt;=Q840,"Yes","No"))</f>
        <v>Yes</v>
      </c>
      <c r="AE840" s="8"/>
    </row>
    <row r="841" customFormat="false" ht="15" hidden="false" customHeight="false" outlineLevel="0" collapsed="false">
      <c r="A841" s="12" t="s">
        <v>2824</v>
      </c>
      <c r="B841" s="26" t="str">
        <f aca="false">Entities!$A$24</f>
        <v>TN</v>
      </c>
      <c r="C841" s="12" t="str">
        <f aca="false">INDEX(Entities!$B$5:$B$34,MATCH(B841,Entities!$A$5:$A$34,0))</f>
        <v>Arab Tunisian Bank</v>
      </c>
      <c r="D841" s="7" t="str">
        <f aca="false">INDEX(Entities!$F$5:$F$34,MATCH(B841,Entities!$A$5:$A$34,0))</f>
        <v>Tier 2</v>
      </c>
      <c r="E841" s="26" t="str">
        <f aca="false">'Control Library'!$A$24</f>
        <v>CTL-FRD-02</v>
      </c>
      <c r="F841" s="12" t="str">
        <f aca="false">INDEX('Control Library'!$B$5:$B$47,MATCH(E841,'Control Library'!$A$5:$A$47,0))</f>
        <v>Maker-checker and dual control on payments and static data</v>
      </c>
      <c r="G841" s="7" t="str">
        <f aca="false">INDEX('Control Library'!$F$5:$F$47,MATCH(E841,'Control Library'!$A$5:$A$47,0))</f>
        <v>Y</v>
      </c>
      <c r="H841" s="12" t="str">
        <f aca="false">INDEX('Control Library'!$E$5:$E$47,MATCH(E841,'Control Library'!$A$5:$A$47,0))</f>
        <v>Daily</v>
      </c>
      <c r="I841" s="7" t="str">
        <f aca="false">IF(INDEX('Control Library'!$I$5:$I$47,MATCH(E841,'Control Library'!$A$5:$A$47,0))="All","Y",IF(INDEX('Control Library'!$I$5:$I$47,MATCH(E841,'Control Library'!$A$5:$A$47,0))="Banks only",IF(COUNTIF('Residual Config'!$L$28:$L$30,INDEX(Entities!$E$5:$E$34,MATCH(B841,Entities!$A$5:$A$34,0)))&gt;0,"N/A","Y"),IF(INDEX(Entities!$G$5:$G$34,MATCH(B841,Entities!$A$5:$A$34,0))="Y","Y","N/A")))</f>
        <v>Y</v>
      </c>
      <c r="J841" s="8" t="s">
        <v>2775</v>
      </c>
      <c r="K841" s="8" t="s">
        <v>2776</v>
      </c>
      <c r="L841" s="7" t="str">
        <f aca="false">IF(OR(J841="",K841=""),"",IF(J841=K841,"Breach","OK"))</f>
        <v>OK</v>
      </c>
      <c r="M841" s="24" t="n">
        <v>1</v>
      </c>
      <c r="N841" s="50" t="n">
        <v>45972</v>
      </c>
      <c r="O841" s="8" t="s">
        <v>545</v>
      </c>
      <c r="P841" s="24" t="n">
        <v>25</v>
      </c>
      <c r="Q841" s="31" t="n">
        <f aca="false">IF(I841="N/A","",IFERROR(INDEX('Residual Config'!$B$35:$B$42,MATCH(H841,'Residual Config'!$A$35:$A$42,0)),""))</f>
        <v>25</v>
      </c>
      <c r="R841" s="24" t="n">
        <v>0</v>
      </c>
      <c r="S841" s="8" t="s">
        <v>516</v>
      </c>
      <c r="T841" s="31" t="n">
        <f aca="false">IF(S841="","",MATCH(S841,'Residual Config'!$L$9:$L$12,0))</f>
        <v>1</v>
      </c>
      <c r="U841" s="8" t="s">
        <v>2825</v>
      </c>
      <c r="V841" s="24" t="n">
        <v>4</v>
      </c>
      <c r="W841" s="33" t="s">
        <v>533</v>
      </c>
      <c r="X841" s="8" t="s">
        <v>760</v>
      </c>
      <c r="Y841" s="51" t="n">
        <f aca="false">IF(N841="","",EDATE(N841,IF(G841="N",INDEX('Residual Config'!$B$31:$D$31,1,MATCH(D841,'Residual Config'!$B$27:$D$27,0)),INDEX('Residual Config'!$B$28:$D$30,IF(T841=1,1,IF(T841=4,3,2)),MATCH(D841,'Residual Config'!$B$27:$D$27,0)))))</f>
        <v>46337</v>
      </c>
      <c r="Z841" s="7" t="str">
        <f aca="false">IF(I841="N/A","N/A",IF(N841="","Not tested",IF(W841="Rejected","Evidence rejected",IF(W841&lt;&gt;"Accepted","Evidence pending",IF(Y841&lt;'Residual Config'!$C$4,"Overdue","Current")))))</f>
        <v>Current</v>
      </c>
      <c r="AA841" s="34" t="n">
        <f aca="false">IF(I841="N/A","",IF(Z841&lt;&gt;"Current",4,IF(MAX(M841,T841)=0,4,MAX(M841,T841))))</f>
        <v>1</v>
      </c>
      <c r="AB841" s="7" t="str">
        <f aca="false">IF(AA841="","N/A",IF(Z841&lt;&gt;"Current","Not tested / overdue",INDEX('Residual Config'!$B$11:$B$14,AA841)))</f>
        <v>Effective</v>
      </c>
      <c r="AC841" s="36" t="n">
        <f aca="false">IF(AA841="","",INDEX('Residual Config'!$D$11:$D$14,AA841))</f>
        <v>0.6</v>
      </c>
      <c r="AD841" s="7" t="str">
        <f aca="false">IF(OR(I841="N/A",P841="",Q841=""),"",IF(P841&gt;=Q841,"Yes","No"))</f>
        <v>Yes</v>
      </c>
      <c r="AE841" s="8"/>
    </row>
    <row r="842" customFormat="false" ht="15" hidden="false" customHeight="false" outlineLevel="0" collapsed="false">
      <c r="A842" s="12" t="s">
        <v>2826</v>
      </c>
      <c r="B842" s="26" t="str">
        <f aca="false">Entities!$A$24</f>
        <v>TN</v>
      </c>
      <c r="C842" s="12" t="str">
        <f aca="false">INDEX(Entities!$B$5:$B$34,MATCH(B842,Entities!$A$5:$A$34,0))</f>
        <v>Arab Tunisian Bank</v>
      </c>
      <c r="D842" s="7" t="str">
        <f aca="false">INDEX(Entities!$F$5:$F$34,MATCH(B842,Entities!$A$5:$A$34,0))</f>
        <v>Tier 2</v>
      </c>
      <c r="E842" s="26" t="str">
        <f aca="false">'Control Library'!$A$25</f>
        <v>CTL-FRD-03</v>
      </c>
      <c r="F842" s="12" t="str">
        <f aca="false">INDEX('Control Library'!$B$5:$B$47,MATCH(E842,'Control Library'!$A$5:$A$47,0))</f>
        <v>Mandatory consecutive leave and rotation for sensitive roles</v>
      </c>
      <c r="G842" s="7" t="str">
        <f aca="false">INDEX('Control Library'!$F$5:$F$47,MATCH(E842,'Control Library'!$A$5:$A$47,0))</f>
        <v>N</v>
      </c>
      <c r="H842" s="12" t="str">
        <f aca="false">INDEX('Control Library'!$E$5:$E$47,MATCH(E842,'Control Library'!$A$5:$A$47,0))</f>
        <v>Annual</v>
      </c>
      <c r="I842" s="7" t="str">
        <f aca="false">IF(INDEX('Control Library'!$I$5:$I$47,MATCH(E842,'Control Library'!$A$5:$A$47,0))="All","Y",IF(INDEX('Control Library'!$I$5:$I$47,MATCH(E842,'Control Library'!$A$5:$A$47,0))="Banks only",IF(COUNTIF('Residual Config'!$L$28:$L$30,INDEX(Entities!$E$5:$E$34,MATCH(B842,Entities!$A$5:$A$34,0)))&gt;0,"N/A","Y"),IF(INDEX(Entities!$G$5:$G$34,MATCH(B842,Entities!$A$5:$A$34,0))="Y","Y","N/A")))</f>
        <v>Y</v>
      </c>
      <c r="J842" s="8" t="s">
        <v>2827</v>
      </c>
      <c r="K842" s="8" t="s">
        <v>2776</v>
      </c>
      <c r="L842" s="7" t="str">
        <f aca="false">IF(OR(J842="",K842=""),"",IF(J842=K842,"Breach","OK"))</f>
        <v>OK</v>
      </c>
      <c r="M842" s="24" t="n">
        <v>2</v>
      </c>
      <c r="N842" s="50" t="n">
        <v>46086</v>
      </c>
      <c r="O842" s="8" t="s">
        <v>545</v>
      </c>
      <c r="P842" s="24" t="n">
        <v>1</v>
      </c>
      <c r="Q842" s="31" t="n">
        <f aca="false">IF(I842="N/A","",IFERROR(INDEX('Residual Config'!$B$35:$B$42,MATCH(H842,'Residual Config'!$A$35:$A$42,0)),""))</f>
        <v>1</v>
      </c>
      <c r="R842" s="24" t="n">
        <v>1</v>
      </c>
      <c r="S842" s="8" t="s">
        <v>521</v>
      </c>
      <c r="T842" s="31" t="n">
        <f aca="false">IF(S842="","",MATCH(S842,'Residual Config'!$L$9:$L$12,0))</f>
        <v>2</v>
      </c>
      <c r="U842" s="8" t="s">
        <v>2828</v>
      </c>
      <c r="V842" s="24" t="n">
        <v>3</v>
      </c>
      <c r="W842" s="33" t="s">
        <v>533</v>
      </c>
      <c r="X842" s="8" t="s">
        <v>760</v>
      </c>
      <c r="Y842" s="51" t="n">
        <f aca="false">IF(N842="","",EDATE(N842,IF(G842="N",INDEX('Residual Config'!$B$31:$D$31,1,MATCH(D842,'Residual Config'!$B$27:$D$27,0)),INDEX('Residual Config'!$B$28:$D$30,IF(T842=1,1,IF(T842=4,3,2)),MATCH(D842,'Residual Config'!$B$27:$D$27,0)))))</f>
        <v>46451</v>
      </c>
      <c r="Z842" s="7" t="str">
        <f aca="false">IF(I842="N/A","N/A",IF(N842="","Not tested",IF(W842="Rejected","Evidence rejected",IF(W842&lt;&gt;"Accepted","Evidence pending",IF(Y842&lt;'Residual Config'!$C$4,"Overdue","Current")))))</f>
        <v>Current</v>
      </c>
      <c r="AA842" s="34" t="n">
        <f aca="false">IF(I842="N/A","",IF(Z842&lt;&gt;"Current",4,IF(MAX(M842,T842)=0,4,MAX(M842,T842))))</f>
        <v>2</v>
      </c>
      <c r="AB842" s="7" t="str">
        <f aca="false">IF(AA842="","N/A",IF(Z842&lt;&gt;"Current","Not tested / overdue",INDEX('Residual Config'!$B$11:$B$14,AA842)))</f>
        <v>Largely effective</v>
      </c>
      <c r="AC842" s="36" t="n">
        <f aca="false">IF(AA842="","",INDEX('Residual Config'!$D$11:$D$14,AA842))</f>
        <v>0.4</v>
      </c>
      <c r="AD842" s="7" t="str">
        <f aca="false">IF(OR(I842="N/A",P842="",Q842=""),"",IF(P842&gt;=Q842,"Yes","No"))</f>
        <v>Yes</v>
      </c>
      <c r="AE842" s="8"/>
    </row>
    <row r="843" customFormat="false" ht="15" hidden="false" customHeight="false" outlineLevel="0" collapsed="false">
      <c r="A843" s="12" t="s">
        <v>2829</v>
      </c>
      <c r="B843" s="26" t="str">
        <f aca="false">Entities!$A$24</f>
        <v>TN</v>
      </c>
      <c r="C843" s="12" t="str">
        <f aca="false">INDEX(Entities!$B$5:$B$34,MATCH(B843,Entities!$A$5:$A$34,0))</f>
        <v>Arab Tunisian Bank</v>
      </c>
      <c r="D843" s="7" t="str">
        <f aca="false">INDEX(Entities!$F$5:$F$34,MATCH(B843,Entities!$A$5:$A$34,0))</f>
        <v>Tier 2</v>
      </c>
      <c r="E843" s="26" t="str">
        <f aca="false">'Control Library'!$A$26</f>
        <v>CTL-TAX-01</v>
      </c>
      <c r="F843" s="12" t="str">
        <f aca="false">INDEX('Control Library'!$B$5:$B$47,MATCH(E843,'Control Library'!$A$5:$A$47,0))</f>
        <v>FATCA/CRS self-certification and classification</v>
      </c>
      <c r="G843" s="7" t="str">
        <f aca="false">INDEX('Control Library'!$F$5:$F$47,MATCH(E843,'Control Library'!$A$5:$A$47,0))</f>
        <v>Y</v>
      </c>
      <c r="H843" s="12" t="str">
        <f aca="false">INDEX('Control Library'!$E$5:$E$47,MATCH(E843,'Control Library'!$A$5:$A$47,0))</f>
        <v>Event-driven</v>
      </c>
      <c r="I843" s="7" t="str">
        <f aca="false">IF(INDEX('Control Library'!$I$5:$I$47,MATCH(E843,'Control Library'!$A$5:$A$47,0))="All","Y",IF(INDEX('Control Library'!$I$5:$I$47,MATCH(E843,'Control Library'!$A$5:$A$47,0))="Banks only",IF(COUNTIF('Residual Config'!$L$28:$L$30,INDEX(Entities!$E$5:$E$34,MATCH(B843,Entities!$A$5:$A$34,0)))&gt;0,"N/A","Y"),IF(INDEX(Entities!$G$5:$G$34,MATCH(B843,Entities!$A$5:$A$34,0))="Y","Y","N/A")))</f>
        <v>Y</v>
      </c>
      <c r="J843" s="8" t="s">
        <v>2775</v>
      </c>
      <c r="K843" s="8" t="s">
        <v>2776</v>
      </c>
      <c r="L843" s="7" t="str">
        <f aca="false">IF(OR(J843="",K843=""),"",IF(J843=K843,"Breach","OK"))</f>
        <v>OK</v>
      </c>
      <c r="M843" s="24" t="n">
        <v>1</v>
      </c>
      <c r="N843" s="50" t="n">
        <v>46239</v>
      </c>
      <c r="O843" s="8" t="s">
        <v>546</v>
      </c>
      <c r="P843" s="24" t="n">
        <v>30</v>
      </c>
      <c r="Q843" s="31" t="n">
        <f aca="false">IF(I843="N/A","",IFERROR(INDEX('Residual Config'!$B$35:$B$42,MATCH(H843,'Residual Config'!$A$35:$A$42,0)),""))</f>
        <v>25</v>
      </c>
      <c r="R843" s="24" t="n">
        <v>0</v>
      </c>
      <c r="S843" s="8" t="s">
        <v>516</v>
      </c>
      <c r="T843" s="31" t="n">
        <f aca="false">IF(S843="","",MATCH(S843,'Residual Config'!$L$9:$L$12,0))</f>
        <v>1</v>
      </c>
      <c r="U843" s="8" t="s">
        <v>2830</v>
      </c>
      <c r="V843" s="24" t="n">
        <v>2</v>
      </c>
      <c r="W843" s="33" t="s">
        <v>533</v>
      </c>
      <c r="X843" s="8" t="s">
        <v>754</v>
      </c>
      <c r="Y843" s="51" t="n">
        <f aca="false">IF(N843="","",EDATE(N843,IF(G843="N",INDEX('Residual Config'!$B$31:$D$31,1,MATCH(D843,'Residual Config'!$B$27:$D$27,0)),INDEX('Residual Config'!$B$28:$D$30,IF(T843=1,1,IF(T843=4,3,2)),MATCH(D843,'Residual Config'!$B$27:$D$27,0)))))</f>
        <v>46604</v>
      </c>
      <c r="Z843" s="7" t="str">
        <f aca="false">IF(I843="N/A","N/A",IF(N843="","Not tested",IF(W843="Rejected","Evidence rejected",IF(W843&lt;&gt;"Accepted","Evidence pending",IF(Y843&lt;'Residual Config'!$C$4,"Overdue","Current")))))</f>
        <v>Current</v>
      </c>
      <c r="AA843" s="34" t="n">
        <f aca="false">IF(I843="N/A","",IF(Z843&lt;&gt;"Current",4,IF(MAX(M843,T843)=0,4,MAX(M843,T843))))</f>
        <v>1</v>
      </c>
      <c r="AB843" s="7" t="str">
        <f aca="false">IF(AA843="","N/A",IF(Z843&lt;&gt;"Current","Not tested / overdue",INDEX('Residual Config'!$B$11:$B$14,AA843)))</f>
        <v>Effective</v>
      </c>
      <c r="AC843" s="36" t="n">
        <f aca="false">IF(AA843="","",INDEX('Residual Config'!$D$11:$D$14,AA843))</f>
        <v>0.6</v>
      </c>
      <c r="AD843" s="7" t="str">
        <f aca="false">IF(OR(I843="N/A",P843="",Q843=""),"",IF(P843&gt;=Q843,"Yes","No"))</f>
        <v>Yes</v>
      </c>
      <c r="AE843" s="8"/>
    </row>
    <row r="844" customFormat="false" ht="15" hidden="false" customHeight="false" outlineLevel="0" collapsed="false">
      <c r="A844" s="12" t="s">
        <v>2831</v>
      </c>
      <c r="B844" s="26" t="str">
        <f aca="false">Entities!$A$24</f>
        <v>TN</v>
      </c>
      <c r="C844" s="12" t="str">
        <f aca="false">INDEX(Entities!$B$5:$B$34,MATCH(B844,Entities!$A$5:$A$34,0))</f>
        <v>Arab Tunisian Bank</v>
      </c>
      <c r="D844" s="7" t="str">
        <f aca="false">INDEX(Entities!$F$5:$F$34,MATCH(B844,Entities!$A$5:$A$34,0))</f>
        <v>Tier 2</v>
      </c>
      <c r="E844" s="26" t="str">
        <f aca="false">'Control Library'!$A$27</f>
        <v>CTL-TAX-02</v>
      </c>
      <c r="F844" s="12" t="str">
        <f aca="false">INDEX('Control Library'!$B$5:$B$47,MATCH(E844,'Control Library'!$A$5:$A$47,0))</f>
        <v>FATCA/CRS reporting reconciliation and timely filing</v>
      </c>
      <c r="G844" s="7" t="str">
        <f aca="false">INDEX('Control Library'!$F$5:$F$47,MATCH(E844,'Control Library'!$A$5:$A$47,0))</f>
        <v>N</v>
      </c>
      <c r="H844" s="12" t="str">
        <f aca="false">INDEX('Control Library'!$E$5:$E$47,MATCH(E844,'Control Library'!$A$5:$A$47,0))</f>
        <v>Annual</v>
      </c>
      <c r="I844" s="7" t="str">
        <f aca="false">IF(INDEX('Control Library'!$I$5:$I$47,MATCH(E844,'Control Library'!$A$5:$A$47,0))="All","Y",IF(INDEX('Control Library'!$I$5:$I$47,MATCH(E844,'Control Library'!$A$5:$A$47,0))="Banks only",IF(COUNTIF('Residual Config'!$L$28:$L$30,INDEX(Entities!$E$5:$E$34,MATCH(B844,Entities!$A$5:$A$34,0)))&gt;0,"N/A","Y"),IF(INDEX(Entities!$G$5:$G$34,MATCH(B844,Entities!$A$5:$A$34,0))="Y","Y","N/A")))</f>
        <v>Y</v>
      </c>
      <c r="J844" s="8" t="s">
        <v>2832</v>
      </c>
      <c r="K844" s="8" t="s">
        <v>2776</v>
      </c>
      <c r="L844" s="7" t="str">
        <f aca="false">IF(OR(J844="",K844=""),"",IF(J844=K844,"Breach","OK"))</f>
        <v>OK</v>
      </c>
      <c r="M844" s="24" t="n">
        <v>1</v>
      </c>
      <c r="N844" s="50" t="n">
        <v>46068</v>
      </c>
      <c r="O844" s="8" t="s">
        <v>546</v>
      </c>
      <c r="P844" s="24" t="n">
        <v>1</v>
      </c>
      <c r="Q844" s="31" t="n">
        <f aca="false">IF(I844="N/A","",IFERROR(INDEX('Residual Config'!$B$35:$B$42,MATCH(H844,'Residual Config'!$A$35:$A$42,0)),""))</f>
        <v>1</v>
      </c>
      <c r="R844" s="24" t="n">
        <v>0</v>
      </c>
      <c r="S844" s="8" t="s">
        <v>516</v>
      </c>
      <c r="T844" s="31" t="n">
        <f aca="false">IF(S844="","",MATCH(S844,'Residual Config'!$L$9:$L$12,0))</f>
        <v>1</v>
      </c>
      <c r="U844" s="8" t="s">
        <v>2833</v>
      </c>
      <c r="V844" s="24" t="n">
        <v>2</v>
      </c>
      <c r="W844" s="33" t="s">
        <v>533</v>
      </c>
      <c r="X844" s="8" t="s">
        <v>760</v>
      </c>
      <c r="Y844" s="51" t="n">
        <f aca="false">IF(N844="","",EDATE(N844,IF(G844="N",INDEX('Residual Config'!$B$31:$D$31,1,MATCH(D844,'Residual Config'!$B$27:$D$27,0)),INDEX('Residual Config'!$B$28:$D$30,IF(T844=1,1,IF(T844=4,3,2)),MATCH(D844,'Residual Config'!$B$27:$D$27,0)))))</f>
        <v>46433</v>
      </c>
      <c r="Z844" s="7" t="str">
        <f aca="false">IF(I844="N/A","N/A",IF(N844="","Not tested",IF(W844="Rejected","Evidence rejected",IF(W844&lt;&gt;"Accepted","Evidence pending",IF(Y844&lt;'Residual Config'!$C$4,"Overdue","Current")))))</f>
        <v>Current</v>
      </c>
      <c r="AA844" s="34" t="n">
        <f aca="false">IF(I844="N/A","",IF(Z844&lt;&gt;"Current",4,IF(MAX(M844,T844)=0,4,MAX(M844,T844))))</f>
        <v>1</v>
      </c>
      <c r="AB844" s="7" t="str">
        <f aca="false">IF(AA844="","N/A",IF(Z844&lt;&gt;"Current","Not tested / overdue",INDEX('Residual Config'!$B$11:$B$14,AA844)))</f>
        <v>Effective</v>
      </c>
      <c r="AC844" s="36" t="n">
        <f aca="false">IF(AA844="","",INDEX('Residual Config'!$D$11:$D$14,AA844))</f>
        <v>0.6</v>
      </c>
      <c r="AD844" s="7" t="str">
        <f aca="false">IF(OR(I844="N/A",P844="",Q844=""),"",IF(P844&gt;=Q844,"Yes","No"))</f>
        <v>Yes</v>
      </c>
      <c r="AE844" s="8"/>
    </row>
    <row r="845" customFormat="false" ht="15" hidden="false" customHeight="false" outlineLevel="0" collapsed="false">
      <c r="A845" s="12" t="s">
        <v>2834</v>
      </c>
      <c r="B845" s="26" t="str">
        <f aca="false">Entities!$A$24</f>
        <v>TN</v>
      </c>
      <c r="C845" s="12" t="str">
        <f aca="false">INDEX(Entities!$B$5:$B$34,MATCH(B845,Entities!$A$5:$A$34,0))</f>
        <v>Arab Tunisian Bank</v>
      </c>
      <c r="D845" s="7" t="str">
        <f aca="false">INDEX(Entities!$F$5:$F$34,MATCH(B845,Entities!$A$5:$A$34,0))</f>
        <v>Tier 2</v>
      </c>
      <c r="E845" s="26" t="str">
        <f aca="false">'Control Library'!$A$28</f>
        <v>CTL-TRN-01</v>
      </c>
      <c r="F845" s="12" t="str">
        <f aca="false">INDEX('Control Library'!$B$5:$B$47,MATCH(E845,'Control Library'!$A$5:$A$47,0))</f>
        <v>Annual AML, sanctions and anti-bribery training</v>
      </c>
      <c r="G845" s="7" t="str">
        <f aca="false">INDEX('Control Library'!$F$5:$F$47,MATCH(E845,'Control Library'!$A$5:$A$47,0))</f>
        <v>N</v>
      </c>
      <c r="H845" s="12" t="str">
        <f aca="false">INDEX('Control Library'!$E$5:$E$47,MATCH(E845,'Control Library'!$A$5:$A$47,0))</f>
        <v>Annual</v>
      </c>
      <c r="I845" s="7" t="str">
        <f aca="false">IF(INDEX('Control Library'!$I$5:$I$47,MATCH(E845,'Control Library'!$A$5:$A$47,0))="All","Y",IF(INDEX('Control Library'!$I$5:$I$47,MATCH(E845,'Control Library'!$A$5:$A$47,0))="Banks only",IF(COUNTIF('Residual Config'!$L$28:$L$30,INDEX(Entities!$E$5:$E$34,MATCH(B845,Entities!$A$5:$A$34,0)))&gt;0,"N/A","Y"),IF(INDEX(Entities!$G$5:$G$34,MATCH(B845,Entities!$A$5:$A$34,0))="Y","Y","N/A")))</f>
        <v>Y</v>
      </c>
      <c r="J845" s="8" t="s">
        <v>2779</v>
      </c>
      <c r="K845" s="8" t="s">
        <v>2776</v>
      </c>
      <c r="L845" s="7" t="str">
        <f aca="false">IF(OR(J845="",K845=""),"",IF(J845=K845,"Breach","OK"))</f>
        <v>OK</v>
      </c>
      <c r="M845" s="24" t="n">
        <v>1</v>
      </c>
      <c r="N845" s="50" t="n">
        <v>45987</v>
      </c>
      <c r="O845" s="8" t="s">
        <v>545</v>
      </c>
      <c r="P845" s="24" t="n">
        <v>1</v>
      </c>
      <c r="Q845" s="31" t="n">
        <f aca="false">IF(I845="N/A","",IFERROR(INDEX('Residual Config'!$B$35:$B$42,MATCH(H845,'Residual Config'!$A$35:$A$42,0)),""))</f>
        <v>1</v>
      </c>
      <c r="R845" s="24" t="n">
        <v>1</v>
      </c>
      <c r="S845" s="8" t="s">
        <v>521</v>
      </c>
      <c r="T845" s="31" t="n">
        <f aca="false">IF(S845="","",MATCH(S845,'Residual Config'!$L$9:$L$12,0))</f>
        <v>2</v>
      </c>
      <c r="U845" s="8" t="s">
        <v>2835</v>
      </c>
      <c r="V845" s="24" t="n">
        <v>4</v>
      </c>
      <c r="W845" s="33" t="s">
        <v>533</v>
      </c>
      <c r="X845" s="8" t="s">
        <v>760</v>
      </c>
      <c r="Y845" s="51" t="n">
        <f aca="false">IF(N845="","",EDATE(N845,IF(G845="N",INDEX('Residual Config'!$B$31:$D$31,1,MATCH(D845,'Residual Config'!$B$27:$D$27,0)),INDEX('Residual Config'!$B$28:$D$30,IF(T845=1,1,IF(T845=4,3,2)),MATCH(D845,'Residual Config'!$B$27:$D$27,0)))))</f>
        <v>46352</v>
      </c>
      <c r="Z845" s="7" t="str">
        <f aca="false">IF(I845="N/A","N/A",IF(N845="","Not tested",IF(W845="Rejected","Evidence rejected",IF(W845&lt;&gt;"Accepted","Evidence pending",IF(Y845&lt;'Residual Config'!$C$4,"Overdue","Current")))))</f>
        <v>Current</v>
      </c>
      <c r="AA845" s="34" t="n">
        <f aca="false">IF(I845="N/A","",IF(Z845&lt;&gt;"Current",4,IF(MAX(M845,T845)=0,4,MAX(M845,T845))))</f>
        <v>2</v>
      </c>
      <c r="AB845" s="7" t="str">
        <f aca="false">IF(AA845="","N/A",IF(Z845&lt;&gt;"Current","Not tested / overdue",INDEX('Residual Config'!$B$11:$B$14,AA845)))</f>
        <v>Largely effective</v>
      </c>
      <c r="AC845" s="36" t="n">
        <f aca="false">IF(AA845="","",INDEX('Residual Config'!$D$11:$D$14,AA845))</f>
        <v>0.4</v>
      </c>
      <c r="AD845" s="7" t="str">
        <f aca="false">IF(OR(I845="N/A",P845="",Q845=""),"",IF(P845&gt;=Q845,"Yes","No"))</f>
        <v>Yes</v>
      </c>
      <c r="AE845" s="8"/>
    </row>
    <row r="846" customFormat="false" ht="15" hidden="false" customHeight="false" outlineLevel="0" collapsed="false">
      <c r="A846" s="12" t="s">
        <v>2836</v>
      </c>
      <c r="B846" s="26" t="str">
        <f aca="false">Entities!$A$24</f>
        <v>TN</v>
      </c>
      <c r="C846" s="12" t="str">
        <f aca="false">INDEX(Entities!$B$5:$B$34,MATCH(B846,Entities!$A$5:$A$34,0))</f>
        <v>Arab Tunisian Bank</v>
      </c>
      <c r="D846" s="7" t="str">
        <f aca="false">INDEX(Entities!$F$5:$F$34,MATCH(B846,Entities!$A$5:$A$34,0))</f>
        <v>Tier 2</v>
      </c>
      <c r="E846" s="26" t="str">
        <f aca="false">'Control Library'!$A$29</f>
        <v>CTL-REG-01</v>
      </c>
      <c r="F846" s="12" t="str">
        <f aca="false">INDEX('Control Library'!$B$5:$B$47,MATCH(E846,'Control Library'!$A$5:$A$47,0))</f>
        <v>Regulatory change management and obligations register</v>
      </c>
      <c r="G846" s="7" t="str">
        <f aca="false">INDEX('Control Library'!$F$5:$F$47,MATCH(E846,'Control Library'!$A$5:$A$47,0))</f>
        <v>Y</v>
      </c>
      <c r="H846" s="12" t="str">
        <f aca="false">INDEX('Control Library'!$E$5:$E$47,MATCH(E846,'Control Library'!$A$5:$A$47,0))</f>
        <v>Monthly</v>
      </c>
      <c r="I846" s="7" t="str">
        <f aca="false">IF(INDEX('Control Library'!$I$5:$I$47,MATCH(E846,'Control Library'!$A$5:$A$47,0))="All","Y",IF(INDEX('Control Library'!$I$5:$I$47,MATCH(E846,'Control Library'!$A$5:$A$47,0))="Banks only",IF(COUNTIF('Residual Config'!$L$28:$L$30,INDEX(Entities!$E$5:$E$34,MATCH(B846,Entities!$A$5:$A$34,0)))&gt;0,"N/A","Y"),IF(INDEX(Entities!$G$5:$G$34,MATCH(B846,Entities!$A$5:$A$34,0))="Y","Y","N/A")))</f>
        <v>Y</v>
      </c>
      <c r="J846" s="8" t="s">
        <v>2779</v>
      </c>
      <c r="K846" s="8" t="s">
        <v>2776</v>
      </c>
      <c r="L846" s="7" t="str">
        <f aca="false">IF(OR(J846="",K846=""),"",IF(J846=K846,"Breach","OK"))</f>
        <v>OK</v>
      </c>
      <c r="M846" s="24" t="n">
        <v>2</v>
      </c>
      <c r="N846" s="50" t="n">
        <v>46178</v>
      </c>
      <c r="O846" s="8" t="s">
        <v>545</v>
      </c>
      <c r="P846" s="24" t="n">
        <v>3</v>
      </c>
      <c r="Q846" s="31" t="n">
        <f aca="false">IF(I846="N/A","",IFERROR(INDEX('Residual Config'!$B$35:$B$42,MATCH(H846,'Residual Config'!$A$35:$A$42,0)),""))</f>
        <v>3</v>
      </c>
      <c r="R846" s="24" t="n">
        <v>0</v>
      </c>
      <c r="S846" s="8" t="s">
        <v>516</v>
      </c>
      <c r="T846" s="31" t="n">
        <f aca="false">IF(S846="","",MATCH(S846,'Residual Config'!$L$9:$L$12,0))</f>
        <v>1</v>
      </c>
      <c r="U846" s="8" t="s">
        <v>2837</v>
      </c>
      <c r="V846" s="24" t="n">
        <v>6</v>
      </c>
      <c r="W846" s="33" t="s">
        <v>533</v>
      </c>
      <c r="X846" s="8" t="s">
        <v>754</v>
      </c>
      <c r="Y846" s="51" t="n">
        <f aca="false">IF(N846="","",EDATE(N846,IF(G846="N",INDEX('Residual Config'!$B$31:$D$31,1,MATCH(D846,'Residual Config'!$B$27:$D$27,0)),INDEX('Residual Config'!$B$28:$D$30,IF(T846=1,1,IF(T846=4,3,2)),MATCH(D846,'Residual Config'!$B$27:$D$27,0)))))</f>
        <v>46543</v>
      </c>
      <c r="Z846" s="7" t="str">
        <f aca="false">IF(I846="N/A","N/A",IF(N846="","Not tested",IF(W846="Rejected","Evidence rejected",IF(W846&lt;&gt;"Accepted","Evidence pending",IF(Y846&lt;'Residual Config'!$C$4,"Overdue","Current")))))</f>
        <v>Current</v>
      </c>
      <c r="AA846" s="34" t="n">
        <f aca="false">IF(I846="N/A","",IF(Z846&lt;&gt;"Current",4,IF(MAX(M846,T846)=0,4,MAX(M846,T846))))</f>
        <v>2</v>
      </c>
      <c r="AB846" s="7" t="str">
        <f aca="false">IF(AA846="","N/A",IF(Z846&lt;&gt;"Current","Not tested / overdue",INDEX('Residual Config'!$B$11:$B$14,AA846)))</f>
        <v>Largely effective</v>
      </c>
      <c r="AC846" s="36" t="n">
        <f aca="false">IF(AA846="","",INDEX('Residual Config'!$D$11:$D$14,AA846))</f>
        <v>0.4</v>
      </c>
      <c r="AD846" s="7" t="str">
        <f aca="false">IF(OR(I846="N/A",P846="",Q846=""),"",IF(P846&gt;=Q846,"Yes","No"))</f>
        <v>Yes</v>
      </c>
      <c r="AE846" s="8"/>
    </row>
    <row r="847" customFormat="false" ht="15" hidden="false" customHeight="false" outlineLevel="0" collapsed="false">
      <c r="A847" s="12" t="s">
        <v>2838</v>
      </c>
      <c r="B847" s="26" t="str">
        <f aca="false">Entities!$A$24</f>
        <v>TN</v>
      </c>
      <c r="C847" s="12" t="str">
        <f aca="false">INDEX(Entities!$B$5:$B$34,MATCH(B847,Entities!$A$5:$A$34,0))</f>
        <v>Arab Tunisian Bank</v>
      </c>
      <c r="D847" s="7" t="str">
        <f aca="false">INDEX(Entities!$F$5:$F$34,MATCH(B847,Entities!$A$5:$A$34,0))</f>
        <v>Tier 2</v>
      </c>
      <c r="E847" s="26" t="str">
        <f aca="false">'Control Library'!$A$30</f>
        <v>CTL-REG-02</v>
      </c>
      <c r="F847" s="12" t="str">
        <f aca="false">INDEX('Control Library'!$B$5:$B$47,MATCH(E847,'Control Library'!$A$5:$A$47,0))</f>
        <v>Regulatory return review and senior sign-off</v>
      </c>
      <c r="G847" s="7" t="str">
        <f aca="false">INDEX('Control Library'!$F$5:$F$47,MATCH(E847,'Control Library'!$A$5:$A$47,0))</f>
        <v>Y</v>
      </c>
      <c r="H847" s="12" t="str">
        <f aca="false">INDEX('Control Library'!$E$5:$E$47,MATCH(E847,'Control Library'!$A$5:$A$47,0))</f>
        <v>Monthly</v>
      </c>
      <c r="I847" s="7" t="str">
        <f aca="false">IF(INDEX('Control Library'!$I$5:$I$47,MATCH(E847,'Control Library'!$A$5:$A$47,0))="All","Y",IF(INDEX('Control Library'!$I$5:$I$47,MATCH(E847,'Control Library'!$A$5:$A$47,0))="Banks only",IF(COUNTIF('Residual Config'!$L$28:$L$30,INDEX(Entities!$E$5:$E$34,MATCH(B847,Entities!$A$5:$A$34,0)))&gt;0,"N/A","Y"),IF(INDEX(Entities!$G$5:$G$34,MATCH(B847,Entities!$A$5:$A$34,0))="Y","Y","N/A")))</f>
        <v>Y</v>
      </c>
      <c r="J847" s="8" t="s">
        <v>2832</v>
      </c>
      <c r="K847" s="8" t="s">
        <v>2776</v>
      </c>
      <c r="L847" s="7" t="str">
        <f aca="false">IF(OR(J847="",K847=""),"",IF(J847=K847,"Breach","OK"))</f>
        <v>OK</v>
      </c>
      <c r="M847" s="24" t="n">
        <v>3</v>
      </c>
      <c r="N847" s="50" t="n">
        <v>46202</v>
      </c>
      <c r="O847" s="8" t="s">
        <v>545</v>
      </c>
      <c r="P847" s="24" t="n">
        <v>3</v>
      </c>
      <c r="Q847" s="31" t="n">
        <f aca="false">IF(I847="N/A","",IFERROR(INDEX('Residual Config'!$B$35:$B$42,MATCH(H847,'Residual Config'!$A$35:$A$42,0)),""))</f>
        <v>3</v>
      </c>
      <c r="R847" s="24" t="n">
        <v>1</v>
      </c>
      <c r="S847" s="8" t="s">
        <v>521</v>
      </c>
      <c r="T847" s="31" t="n">
        <f aca="false">IF(S847="","",MATCH(S847,'Residual Config'!$L$9:$L$12,0))</f>
        <v>2</v>
      </c>
      <c r="U847" s="8" t="s">
        <v>2839</v>
      </c>
      <c r="V847" s="24" t="n">
        <v>2</v>
      </c>
      <c r="W847" s="33" t="s">
        <v>533</v>
      </c>
      <c r="X847" s="8" t="s">
        <v>754</v>
      </c>
      <c r="Y847" s="51" t="n">
        <f aca="false">IF(N847="","",EDATE(N847,IF(G847="N",INDEX('Residual Config'!$B$31:$D$31,1,MATCH(D847,'Residual Config'!$B$27:$D$27,0)),INDEX('Residual Config'!$B$28:$D$30,IF(T847=1,1,IF(T847=4,3,2)),MATCH(D847,'Residual Config'!$B$27:$D$27,0)))))</f>
        <v>46385</v>
      </c>
      <c r="Z847" s="7" t="str">
        <f aca="false">IF(I847="N/A","N/A",IF(N847="","Not tested",IF(W847="Rejected","Evidence rejected",IF(W847&lt;&gt;"Accepted","Evidence pending",IF(Y847&lt;'Residual Config'!$C$4,"Overdue","Current")))))</f>
        <v>Current</v>
      </c>
      <c r="AA847" s="34" t="n">
        <f aca="false">IF(I847="N/A","",IF(Z847&lt;&gt;"Current",4,IF(MAX(M847,T847)=0,4,MAX(M847,T847))))</f>
        <v>3</v>
      </c>
      <c r="AB847" s="7" t="str">
        <f aca="false">IF(AA847="","N/A",IF(Z847&lt;&gt;"Current","Not tested / overdue",INDEX('Residual Config'!$B$11:$B$14,AA847)))</f>
        <v>Partially effective</v>
      </c>
      <c r="AC847" s="36" t="n">
        <f aca="false">IF(AA847="","",INDEX('Residual Config'!$D$11:$D$14,AA847))</f>
        <v>0.2</v>
      </c>
      <c r="AD847" s="7" t="str">
        <f aca="false">IF(OR(I847="N/A",P847="",Q847=""),"",IF(P847&gt;=Q847,"Yes","No"))</f>
        <v>Yes</v>
      </c>
      <c r="AE847" s="8"/>
    </row>
    <row r="848" customFormat="false" ht="15" hidden="false" customHeight="false" outlineLevel="0" collapsed="false">
      <c r="A848" s="12" t="s">
        <v>2840</v>
      </c>
      <c r="B848" s="26" t="str">
        <f aca="false">Entities!$A$24</f>
        <v>TN</v>
      </c>
      <c r="C848" s="12" t="str">
        <f aca="false">INDEX(Entities!$B$5:$B$34,MATCH(B848,Entities!$A$5:$A$34,0))</f>
        <v>Arab Tunisian Bank</v>
      </c>
      <c r="D848" s="7" t="str">
        <f aca="false">INDEX(Entities!$F$5:$F$34,MATCH(B848,Entities!$A$5:$A$34,0))</f>
        <v>Tier 2</v>
      </c>
      <c r="E848" s="26" t="str">
        <f aca="false">'Control Library'!$A$31</f>
        <v>CTL-CON-01</v>
      </c>
      <c r="F848" s="12" t="str">
        <f aca="false">INDEX('Control Library'!$B$5:$B$47,MATCH(E848,'Control Library'!$A$5:$A$47,0))</f>
        <v>New product approval and suitability assessment</v>
      </c>
      <c r="G848" s="7" t="str">
        <f aca="false">INDEX('Control Library'!$F$5:$F$47,MATCH(E848,'Control Library'!$A$5:$A$47,0))</f>
        <v>Y</v>
      </c>
      <c r="H848" s="12" t="str">
        <f aca="false">INDEX('Control Library'!$E$5:$E$47,MATCH(E848,'Control Library'!$A$5:$A$47,0))</f>
        <v>Event-driven</v>
      </c>
      <c r="I848" s="7" t="str">
        <f aca="false">IF(INDEX('Control Library'!$I$5:$I$47,MATCH(E848,'Control Library'!$A$5:$A$47,0))="All","Y",IF(INDEX('Control Library'!$I$5:$I$47,MATCH(E848,'Control Library'!$A$5:$A$47,0))="Banks only",IF(COUNTIF('Residual Config'!$L$28:$L$30,INDEX(Entities!$E$5:$E$34,MATCH(B848,Entities!$A$5:$A$34,0)))&gt;0,"N/A","Y"),IF(INDEX(Entities!$G$5:$G$34,MATCH(B848,Entities!$A$5:$A$34,0))="Y","Y","N/A")))</f>
        <v>Y</v>
      </c>
      <c r="J848" s="8" t="s">
        <v>2779</v>
      </c>
      <c r="K848" s="8" t="s">
        <v>2776</v>
      </c>
      <c r="L848" s="7" t="str">
        <f aca="false">IF(OR(J848="",K848=""),"",IF(J848=K848,"Breach","OK"))</f>
        <v>OK</v>
      </c>
      <c r="M848" s="24" t="n">
        <v>2</v>
      </c>
      <c r="N848" s="50" t="n">
        <v>46244</v>
      </c>
      <c r="O848" s="8" t="s">
        <v>545</v>
      </c>
      <c r="P848" s="24" t="n">
        <v>25</v>
      </c>
      <c r="Q848" s="31" t="n">
        <f aca="false">IF(I848="N/A","",IFERROR(INDEX('Residual Config'!$B$35:$B$42,MATCH(H848,'Residual Config'!$A$35:$A$42,0)),""))</f>
        <v>25</v>
      </c>
      <c r="R848" s="24" t="n">
        <v>0</v>
      </c>
      <c r="S848" s="8" t="s">
        <v>516</v>
      </c>
      <c r="T848" s="31" t="n">
        <f aca="false">IF(S848="","",MATCH(S848,'Residual Config'!$L$9:$L$12,0))</f>
        <v>1</v>
      </c>
      <c r="U848" s="8" t="s">
        <v>2841</v>
      </c>
      <c r="V848" s="24" t="n">
        <v>3</v>
      </c>
      <c r="W848" s="33" t="s">
        <v>533</v>
      </c>
      <c r="X848" s="8" t="s">
        <v>754</v>
      </c>
      <c r="Y848" s="51" t="n">
        <f aca="false">IF(N848="","",EDATE(N848,IF(G848="N",INDEX('Residual Config'!$B$31:$D$31,1,MATCH(D848,'Residual Config'!$B$27:$D$27,0)),INDEX('Residual Config'!$B$28:$D$30,IF(T848=1,1,IF(T848=4,3,2)),MATCH(D848,'Residual Config'!$B$27:$D$27,0)))))</f>
        <v>46609</v>
      </c>
      <c r="Z848" s="7" t="str">
        <f aca="false">IF(I848="N/A","N/A",IF(N848="","Not tested",IF(W848="Rejected","Evidence rejected",IF(W848&lt;&gt;"Accepted","Evidence pending",IF(Y848&lt;'Residual Config'!$C$4,"Overdue","Current")))))</f>
        <v>Current</v>
      </c>
      <c r="AA848" s="34" t="n">
        <f aca="false">IF(I848="N/A","",IF(Z848&lt;&gt;"Current",4,IF(MAX(M848,T848)=0,4,MAX(M848,T848))))</f>
        <v>2</v>
      </c>
      <c r="AB848" s="7" t="str">
        <f aca="false">IF(AA848="","N/A",IF(Z848&lt;&gt;"Current","Not tested / overdue",INDEX('Residual Config'!$B$11:$B$14,AA848)))</f>
        <v>Largely effective</v>
      </c>
      <c r="AC848" s="36" t="n">
        <f aca="false">IF(AA848="","",INDEX('Residual Config'!$D$11:$D$14,AA848))</f>
        <v>0.4</v>
      </c>
      <c r="AD848" s="7" t="str">
        <f aca="false">IF(OR(I848="N/A",P848="",Q848=""),"",IF(P848&gt;=Q848,"Yes","No"))</f>
        <v>Yes</v>
      </c>
      <c r="AE848" s="8"/>
    </row>
    <row r="849" customFormat="false" ht="15" hidden="false" customHeight="false" outlineLevel="0" collapsed="false">
      <c r="A849" s="12" t="s">
        <v>2842</v>
      </c>
      <c r="B849" s="26" t="str">
        <f aca="false">Entities!$A$24</f>
        <v>TN</v>
      </c>
      <c r="C849" s="12" t="str">
        <f aca="false">INDEX(Entities!$B$5:$B$34,MATCH(B849,Entities!$A$5:$A$34,0))</f>
        <v>Arab Tunisian Bank</v>
      </c>
      <c r="D849" s="7" t="str">
        <f aca="false">INDEX(Entities!$F$5:$F$34,MATCH(B849,Entities!$A$5:$A$34,0))</f>
        <v>Tier 2</v>
      </c>
      <c r="E849" s="26" t="str">
        <f aca="false">'Control Library'!$A$32</f>
        <v>CTL-CON-02</v>
      </c>
      <c r="F849" s="12" t="str">
        <f aca="false">INDEX('Control Library'!$B$5:$B$47,MATCH(E849,'Control Library'!$A$5:$A$47,0))</f>
        <v>Complaints handling and root-cause analysis</v>
      </c>
      <c r="G849" s="7" t="str">
        <f aca="false">INDEX('Control Library'!$F$5:$F$47,MATCH(E849,'Control Library'!$A$5:$A$47,0))</f>
        <v>N</v>
      </c>
      <c r="H849" s="12" t="str">
        <f aca="false">INDEX('Control Library'!$E$5:$E$47,MATCH(E849,'Control Library'!$A$5:$A$47,0))</f>
        <v>Monthly</v>
      </c>
      <c r="I849" s="7" t="str">
        <f aca="false">IF(INDEX('Control Library'!$I$5:$I$47,MATCH(E849,'Control Library'!$A$5:$A$47,0))="All","Y",IF(INDEX('Control Library'!$I$5:$I$47,MATCH(E849,'Control Library'!$A$5:$A$47,0))="Banks only",IF(COUNTIF('Residual Config'!$L$28:$L$30,INDEX(Entities!$E$5:$E$34,MATCH(B849,Entities!$A$5:$A$34,0)))&gt;0,"N/A","Y"),IF(INDEX(Entities!$G$5:$G$34,MATCH(B849,Entities!$A$5:$A$34,0))="Y","Y","N/A")))</f>
        <v>Y</v>
      </c>
      <c r="J849" s="8" t="s">
        <v>2843</v>
      </c>
      <c r="K849" s="8" t="s">
        <v>2776</v>
      </c>
      <c r="L849" s="7" t="str">
        <f aca="false">IF(OR(J849="",K849=""),"",IF(J849=K849,"Breach","OK"))</f>
        <v>OK</v>
      </c>
      <c r="M849" s="24" t="n">
        <v>2</v>
      </c>
      <c r="N849" s="50" t="n">
        <v>46269</v>
      </c>
      <c r="O849" s="8" t="s">
        <v>546</v>
      </c>
      <c r="P849" s="24" t="n">
        <v>3</v>
      </c>
      <c r="Q849" s="31" t="n">
        <f aca="false">IF(I849="N/A","",IFERROR(INDEX('Residual Config'!$B$35:$B$42,MATCH(H849,'Residual Config'!$A$35:$A$42,0)),""))</f>
        <v>3</v>
      </c>
      <c r="R849" s="24" t="n">
        <v>1</v>
      </c>
      <c r="S849" s="8" t="s">
        <v>521</v>
      </c>
      <c r="T849" s="31" t="n">
        <f aca="false">IF(S849="","",MATCH(S849,'Residual Config'!$L$9:$L$12,0))</f>
        <v>2</v>
      </c>
      <c r="U849" s="8" t="s">
        <v>2844</v>
      </c>
      <c r="V849" s="24" t="n">
        <v>3</v>
      </c>
      <c r="W849" s="33" t="s">
        <v>533</v>
      </c>
      <c r="X849" s="8" t="s">
        <v>760</v>
      </c>
      <c r="Y849" s="51" t="n">
        <f aca="false">IF(N849="","",EDATE(N849,IF(G849="N",INDEX('Residual Config'!$B$31:$D$31,1,MATCH(D849,'Residual Config'!$B$27:$D$27,0)),INDEX('Residual Config'!$B$28:$D$30,IF(T849=1,1,IF(T849=4,3,2)),MATCH(D849,'Residual Config'!$B$27:$D$27,0)))))</f>
        <v>46634</v>
      </c>
      <c r="Z849" s="7" t="str">
        <f aca="false">IF(I849="N/A","N/A",IF(N849="","Not tested",IF(W849="Rejected","Evidence rejected",IF(W849&lt;&gt;"Accepted","Evidence pending",IF(Y849&lt;'Residual Config'!$C$4,"Overdue","Current")))))</f>
        <v>Current</v>
      </c>
      <c r="AA849" s="34" t="n">
        <f aca="false">IF(I849="N/A","",IF(Z849&lt;&gt;"Current",4,IF(MAX(M849,T849)=0,4,MAX(M849,T849))))</f>
        <v>2</v>
      </c>
      <c r="AB849" s="7" t="str">
        <f aca="false">IF(AA849="","N/A",IF(Z849&lt;&gt;"Current","Not tested / overdue",INDEX('Residual Config'!$B$11:$B$14,AA849)))</f>
        <v>Largely effective</v>
      </c>
      <c r="AC849" s="36" t="n">
        <f aca="false">IF(AA849="","",INDEX('Residual Config'!$D$11:$D$14,AA849))</f>
        <v>0.4</v>
      </c>
      <c r="AD849" s="7" t="str">
        <f aca="false">IF(OR(I849="N/A",P849="",Q849=""),"",IF(P849&gt;=Q849,"Yes","No"))</f>
        <v>Yes</v>
      </c>
      <c r="AE849" s="8"/>
    </row>
    <row r="850" customFormat="false" ht="15" hidden="false" customHeight="false" outlineLevel="0" collapsed="false">
      <c r="A850" s="12" t="s">
        <v>2845</v>
      </c>
      <c r="B850" s="26" t="str">
        <f aca="false">Entities!$A$24</f>
        <v>TN</v>
      </c>
      <c r="C850" s="12" t="str">
        <f aca="false">INDEX(Entities!$B$5:$B$34,MATCH(B850,Entities!$A$5:$A$34,0))</f>
        <v>Arab Tunisian Bank</v>
      </c>
      <c r="D850" s="7" t="str">
        <f aca="false">INDEX(Entities!$F$5:$F$34,MATCH(B850,Entities!$A$5:$A$34,0))</f>
        <v>Tier 2</v>
      </c>
      <c r="E850" s="26" t="str">
        <f aca="false">'Control Library'!$A$33</f>
        <v>CTL-DP-01</v>
      </c>
      <c r="F850" s="12" t="str">
        <f aca="false">INDEX('Control Library'!$B$5:$B$47,MATCH(E850,'Control Library'!$A$5:$A$47,0))</f>
        <v>Data protection impact assessments and processing records</v>
      </c>
      <c r="G850" s="7" t="str">
        <f aca="false">INDEX('Control Library'!$F$5:$F$47,MATCH(E850,'Control Library'!$A$5:$A$47,0))</f>
        <v>Y</v>
      </c>
      <c r="H850" s="12" t="str">
        <f aca="false">INDEX('Control Library'!$E$5:$E$47,MATCH(E850,'Control Library'!$A$5:$A$47,0))</f>
        <v>Event-driven</v>
      </c>
      <c r="I850" s="7" t="str">
        <f aca="false">IF(INDEX('Control Library'!$I$5:$I$47,MATCH(E850,'Control Library'!$A$5:$A$47,0))="All","Y",IF(INDEX('Control Library'!$I$5:$I$47,MATCH(E850,'Control Library'!$A$5:$A$47,0))="Banks only",IF(COUNTIF('Residual Config'!$L$28:$L$30,INDEX(Entities!$E$5:$E$34,MATCH(B850,Entities!$A$5:$A$34,0)))&gt;0,"N/A","Y"),IF(INDEX(Entities!$G$5:$G$34,MATCH(B850,Entities!$A$5:$A$34,0))="Y","Y","N/A")))</f>
        <v>Y</v>
      </c>
      <c r="J850" s="8" t="s">
        <v>2846</v>
      </c>
      <c r="K850" s="8" t="s">
        <v>2776</v>
      </c>
      <c r="L850" s="7" t="str">
        <f aca="false">IF(OR(J850="",K850=""),"",IF(J850=K850,"Breach","OK"))</f>
        <v>OK</v>
      </c>
      <c r="M850" s="24" t="n">
        <v>2</v>
      </c>
      <c r="N850" s="50" t="n">
        <v>46194</v>
      </c>
      <c r="O850" s="8" t="s">
        <v>545</v>
      </c>
      <c r="P850" s="24" t="n">
        <v>25</v>
      </c>
      <c r="Q850" s="31" t="n">
        <f aca="false">IF(I850="N/A","",IFERROR(INDEX('Residual Config'!$B$35:$B$42,MATCH(H850,'Residual Config'!$A$35:$A$42,0)),""))</f>
        <v>25</v>
      </c>
      <c r="R850" s="24" t="n">
        <v>1</v>
      </c>
      <c r="S850" s="8" t="s">
        <v>521</v>
      </c>
      <c r="T850" s="31" t="n">
        <f aca="false">IF(S850="","",MATCH(S850,'Residual Config'!$L$9:$L$12,0))</f>
        <v>2</v>
      </c>
      <c r="U850" s="8" t="s">
        <v>2847</v>
      </c>
      <c r="V850" s="24" t="n">
        <v>1</v>
      </c>
      <c r="W850" s="33" t="s">
        <v>533</v>
      </c>
      <c r="X850" s="8" t="s">
        <v>754</v>
      </c>
      <c r="Y850" s="51" t="n">
        <f aca="false">IF(N850="","",EDATE(N850,IF(G850="N",INDEX('Residual Config'!$B$31:$D$31,1,MATCH(D850,'Residual Config'!$B$27:$D$27,0)),INDEX('Residual Config'!$B$28:$D$30,IF(T850=1,1,IF(T850=4,3,2)),MATCH(D850,'Residual Config'!$B$27:$D$27,0)))))</f>
        <v>46377</v>
      </c>
      <c r="Z850" s="7" t="str">
        <f aca="false">IF(I850="N/A","N/A",IF(N850="","Not tested",IF(W850="Rejected","Evidence rejected",IF(W850&lt;&gt;"Accepted","Evidence pending",IF(Y850&lt;'Residual Config'!$C$4,"Overdue","Current")))))</f>
        <v>Current</v>
      </c>
      <c r="AA850" s="34" t="n">
        <f aca="false">IF(I850="N/A","",IF(Z850&lt;&gt;"Current",4,IF(MAX(M850,T850)=0,4,MAX(M850,T850))))</f>
        <v>2</v>
      </c>
      <c r="AB850" s="7" t="str">
        <f aca="false">IF(AA850="","N/A",IF(Z850&lt;&gt;"Current","Not tested / overdue",INDEX('Residual Config'!$B$11:$B$14,AA850)))</f>
        <v>Largely effective</v>
      </c>
      <c r="AC850" s="36" t="n">
        <f aca="false">IF(AA850="","",INDEX('Residual Config'!$D$11:$D$14,AA850))</f>
        <v>0.4</v>
      </c>
      <c r="AD850" s="7" t="str">
        <f aca="false">IF(OR(I850="N/A",P850="",Q850=""),"",IF(P850&gt;=Q850,"Yes","No"))</f>
        <v>Yes</v>
      </c>
      <c r="AE850" s="8"/>
    </row>
    <row r="851" customFormat="false" ht="15" hidden="false" customHeight="false" outlineLevel="0" collapsed="false">
      <c r="A851" s="12" t="s">
        <v>2848</v>
      </c>
      <c r="B851" s="26" t="str">
        <f aca="false">Entities!$A$24</f>
        <v>TN</v>
      </c>
      <c r="C851" s="12" t="str">
        <f aca="false">INDEX(Entities!$B$5:$B$34,MATCH(B851,Entities!$A$5:$A$34,0))</f>
        <v>Arab Tunisian Bank</v>
      </c>
      <c r="D851" s="7" t="str">
        <f aca="false">INDEX(Entities!$F$5:$F$34,MATCH(B851,Entities!$A$5:$A$34,0))</f>
        <v>Tier 2</v>
      </c>
      <c r="E851" s="26" t="str">
        <f aca="false">'Control Library'!$A$34</f>
        <v>CTL-DP-02</v>
      </c>
      <c r="F851" s="12" t="str">
        <f aca="false">INDEX('Control Library'!$B$5:$B$47,MATCH(E851,'Control Library'!$A$5:$A$47,0))</f>
        <v>Data loss prevention and quarterly access recertification</v>
      </c>
      <c r="G851" s="7" t="str">
        <f aca="false">INDEX('Control Library'!$F$5:$F$47,MATCH(E851,'Control Library'!$A$5:$A$47,0))</f>
        <v>Y</v>
      </c>
      <c r="H851" s="12" t="str">
        <f aca="false">INDEX('Control Library'!$E$5:$E$47,MATCH(E851,'Control Library'!$A$5:$A$47,0))</f>
        <v>Quarterly</v>
      </c>
      <c r="I851" s="7" t="str">
        <f aca="false">IF(INDEX('Control Library'!$I$5:$I$47,MATCH(E851,'Control Library'!$A$5:$A$47,0))="All","Y",IF(INDEX('Control Library'!$I$5:$I$47,MATCH(E851,'Control Library'!$A$5:$A$47,0))="Banks only",IF(COUNTIF('Residual Config'!$L$28:$L$30,INDEX(Entities!$E$5:$E$34,MATCH(B851,Entities!$A$5:$A$34,0)))&gt;0,"N/A","Y"),IF(INDEX(Entities!$G$5:$G$34,MATCH(B851,Entities!$A$5:$A$34,0))="Y","Y","N/A")))</f>
        <v>Y</v>
      </c>
      <c r="J851" s="8" t="s">
        <v>2849</v>
      </c>
      <c r="K851" s="8" t="s">
        <v>2776</v>
      </c>
      <c r="L851" s="7" t="str">
        <f aca="false">IF(OR(J851="",K851=""),"",IF(J851=K851,"Breach","OK"))</f>
        <v>OK</v>
      </c>
      <c r="M851" s="24" t="n">
        <v>1</v>
      </c>
      <c r="N851" s="50" t="n">
        <v>46205</v>
      </c>
      <c r="O851" s="8" t="s">
        <v>546</v>
      </c>
      <c r="P851" s="24" t="n">
        <v>2</v>
      </c>
      <c r="Q851" s="31" t="n">
        <f aca="false">IF(I851="N/A","",IFERROR(INDEX('Residual Config'!$B$35:$B$42,MATCH(H851,'Residual Config'!$A$35:$A$42,0)),""))</f>
        <v>2</v>
      </c>
      <c r="R851" s="24" t="n">
        <v>1</v>
      </c>
      <c r="S851" s="8" t="s">
        <v>521</v>
      </c>
      <c r="T851" s="31" t="n">
        <f aca="false">IF(S851="","",MATCH(S851,'Residual Config'!$L$9:$L$12,0))</f>
        <v>2</v>
      </c>
      <c r="U851" s="8" t="s">
        <v>2850</v>
      </c>
      <c r="V851" s="24" t="n">
        <v>2</v>
      </c>
      <c r="W851" s="33" t="s">
        <v>533</v>
      </c>
      <c r="X851" s="8" t="s">
        <v>754</v>
      </c>
      <c r="Y851" s="51" t="n">
        <f aca="false">IF(N851="","",EDATE(N851,IF(G851="N",INDEX('Residual Config'!$B$31:$D$31,1,MATCH(D851,'Residual Config'!$B$27:$D$27,0)),INDEX('Residual Config'!$B$28:$D$30,IF(T851=1,1,IF(T851=4,3,2)),MATCH(D851,'Residual Config'!$B$27:$D$27,0)))))</f>
        <v>46389</v>
      </c>
      <c r="Z851" s="7" t="str">
        <f aca="false">IF(I851="N/A","N/A",IF(N851="","Not tested",IF(W851="Rejected","Evidence rejected",IF(W851&lt;&gt;"Accepted","Evidence pending",IF(Y851&lt;'Residual Config'!$C$4,"Overdue","Current")))))</f>
        <v>Current</v>
      </c>
      <c r="AA851" s="34" t="n">
        <f aca="false">IF(I851="N/A","",IF(Z851&lt;&gt;"Current",4,IF(MAX(M851,T851)=0,4,MAX(M851,T851))))</f>
        <v>2</v>
      </c>
      <c r="AB851" s="7" t="str">
        <f aca="false">IF(AA851="","N/A",IF(Z851&lt;&gt;"Current","Not tested / overdue",INDEX('Residual Config'!$B$11:$B$14,AA851)))</f>
        <v>Largely effective</v>
      </c>
      <c r="AC851" s="36" t="n">
        <f aca="false">IF(AA851="","",INDEX('Residual Config'!$D$11:$D$14,AA851))</f>
        <v>0.4</v>
      </c>
      <c r="AD851" s="7" t="str">
        <f aca="false">IF(OR(I851="N/A",P851="",Q851=""),"",IF(P851&gt;=Q851,"Yes","No"))</f>
        <v>Yes</v>
      </c>
      <c r="AE851" s="8"/>
    </row>
    <row r="852" customFormat="false" ht="15" hidden="false" customHeight="false" outlineLevel="0" collapsed="false">
      <c r="A852" s="12" t="s">
        <v>2851</v>
      </c>
      <c r="B852" s="26" t="str">
        <f aca="false">Entities!$A$24</f>
        <v>TN</v>
      </c>
      <c r="C852" s="12" t="str">
        <f aca="false">INDEX(Entities!$B$5:$B$34,MATCH(B852,Entities!$A$5:$A$34,0))</f>
        <v>Arab Tunisian Bank</v>
      </c>
      <c r="D852" s="7" t="str">
        <f aca="false">INDEX(Entities!$F$5:$F$34,MATCH(B852,Entities!$A$5:$A$34,0))</f>
        <v>Tier 2</v>
      </c>
      <c r="E852" s="26" t="str">
        <f aca="false">'Control Library'!$A$35</f>
        <v>CTL-SH-01</v>
      </c>
      <c r="F852" s="12" t="str">
        <f aca="false">INDEX('Control Library'!$B$5:$B$47,MATCH(E852,'Control Library'!$A$5:$A$47,0))</f>
        <v>Shariah review of products and income purification</v>
      </c>
      <c r="G852" s="7" t="str">
        <f aca="false">INDEX('Control Library'!$F$5:$F$47,MATCH(E852,'Control Library'!$A$5:$A$47,0))</f>
        <v>Y</v>
      </c>
      <c r="H852" s="12" t="str">
        <f aca="false">INDEX('Control Library'!$E$5:$E$47,MATCH(E852,'Control Library'!$A$5:$A$47,0))</f>
        <v>Quarterly</v>
      </c>
      <c r="I852" s="7" t="str">
        <f aca="false">IF(INDEX('Control Library'!$I$5:$I$47,MATCH(E852,'Control Library'!$A$5:$A$47,0))="All","Y",IF(INDEX('Control Library'!$I$5:$I$47,MATCH(E852,'Control Library'!$A$5:$A$47,0))="Banks only",IF(COUNTIF('Residual Config'!$L$28:$L$30,INDEX(Entities!$E$5:$E$34,MATCH(B852,Entities!$A$5:$A$34,0)))&gt;0,"N/A","Y"),IF(INDEX(Entities!$G$5:$G$34,MATCH(B852,Entities!$A$5:$A$34,0))="Y","Y","N/A")))</f>
        <v>N/A</v>
      </c>
      <c r="J852" s="8"/>
      <c r="K852" s="8"/>
      <c r="L852" s="7" t="str">
        <f aca="false">IF(OR(J852="",K852=""),"",IF(J852=K852,"Breach","OK"))</f>
        <v/>
      </c>
      <c r="M852" s="24"/>
      <c r="N852" s="50"/>
      <c r="O852" s="8"/>
      <c r="P852" s="24"/>
      <c r="Q852" s="31" t="str">
        <f aca="false">IF(I852="N/A","",IFERROR(INDEX('Residual Config'!$B$35:$B$42,MATCH(H852,'Residual Config'!$A$35:$A$42,0)),""))</f>
        <v/>
      </c>
      <c r="R852" s="24"/>
      <c r="S852" s="8"/>
      <c r="T852" s="31" t="str">
        <f aca="false">IF(S852="","",MATCH(S852,'Residual Config'!$L$9:$L$12,0))</f>
        <v/>
      </c>
      <c r="U852" s="8"/>
      <c r="V852" s="24"/>
      <c r="W852" s="33"/>
      <c r="X852" s="8"/>
      <c r="Y852" s="51" t="str">
        <f aca="false">IF(N852="","",EDATE(N852,IF(G852="N",INDEX('Residual Config'!$B$31:$D$31,1,MATCH(D852,'Residual Config'!$B$27:$D$27,0)),INDEX('Residual Config'!$B$28:$D$30,IF(T852=1,1,IF(T852=4,3,2)),MATCH(D852,'Residual Config'!$B$27:$D$27,0)))))</f>
        <v/>
      </c>
      <c r="Z852" s="7" t="str">
        <f aca="false">IF(I852="N/A","N/A",IF(N852="","Not tested",IF(W852="Rejected","Evidence rejected",IF(W852&lt;&gt;"Accepted","Evidence pending",IF(Y852&lt;'Residual Config'!$C$4,"Overdue","Current")))))</f>
        <v>N/A</v>
      </c>
      <c r="AA852" s="34" t="str">
        <f aca="false">IF(I852="N/A","",IF(Z852&lt;&gt;"Current",4,IF(MAX(M852,T852)=0,4,MAX(M852,T852))))</f>
        <v/>
      </c>
      <c r="AB852" s="7" t="str">
        <f aca="false">IF(AA852="","N/A",IF(Z852&lt;&gt;"Current","Not tested / overdue",INDEX('Residual Config'!$B$11:$B$14,AA852)))</f>
        <v>N/A</v>
      </c>
      <c r="AC852" s="36" t="str">
        <f aca="false">IF(AA852="","",INDEX('Residual Config'!$D$11:$D$14,AA852))</f>
        <v/>
      </c>
      <c r="AD852" s="7" t="str">
        <f aca="false">IF(OR(I852="N/A",P852="",Q852=""),"",IF(P852&gt;=Q852,"Yes","No"))</f>
        <v/>
      </c>
      <c r="AE852" s="8"/>
    </row>
    <row r="853" customFormat="false" ht="15" hidden="false" customHeight="false" outlineLevel="0" collapsed="false">
      <c r="A853" s="12" t="s">
        <v>2852</v>
      </c>
      <c r="B853" s="26" t="str">
        <f aca="false">Entities!$A$24</f>
        <v>TN</v>
      </c>
      <c r="C853" s="12" t="str">
        <f aca="false">INDEX(Entities!$B$5:$B$34,MATCH(B853,Entities!$A$5:$A$34,0))</f>
        <v>Arab Tunisian Bank</v>
      </c>
      <c r="D853" s="7" t="str">
        <f aca="false">INDEX(Entities!$F$5:$F$34,MATCH(B853,Entities!$A$5:$A$34,0))</f>
        <v>Tier 2</v>
      </c>
      <c r="E853" s="26" t="str">
        <f aca="false">'Control Library'!$A$36</f>
        <v>CTL-CR-01</v>
      </c>
      <c r="F853" s="12" t="str">
        <f aca="false">INDEX('Control Library'!$B$5:$B$47,MATCH(E853,'Control Library'!$A$5:$A$47,0))</f>
        <v>Credit approval authorities and committee review</v>
      </c>
      <c r="G853" s="7" t="str">
        <f aca="false">INDEX('Control Library'!$F$5:$F$47,MATCH(E853,'Control Library'!$A$5:$A$47,0))</f>
        <v>Y</v>
      </c>
      <c r="H853" s="12" t="str">
        <f aca="false">INDEX('Control Library'!$E$5:$E$47,MATCH(E853,'Control Library'!$A$5:$A$47,0))</f>
        <v>Event-driven</v>
      </c>
      <c r="I853" s="7" t="str">
        <f aca="false">IF(INDEX('Control Library'!$I$5:$I$47,MATCH(E853,'Control Library'!$A$5:$A$47,0))="All","Y",IF(INDEX('Control Library'!$I$5:$I$47,MATCH(E853,'Control Library'!$A$5:$A$47,0))="Banks only",IF(COUNTIF('Residual Config'!$L$28:$L$30,INDEX(Entities!$E$5:$E$34,MATCH(B853,Entities!$A$5:$A$34,0)))&gt;0,"N/A","Y"),IF(INDEX(Entities!$G$5:$G$34,MATCH(B853,Entities!$A$5:$A$34,0))="Y","Y","N/A")))</f>
        <v>Y</v>
      </c>
      <c r="J853" s="8" t="s">
        <v>2853</v>
      </c>
      <c r="K853" s="8" t="s">
        <v>2776</v>
      </c>
      <c r="L853" s="7" t="str">
        <f aca="false">IF(OR(J853="",K853=""),"",IF(J853=K853,"Breach","OK"))</f>
        <v>OK</v>
      </c>
      <c r="M853" s="24" t="n">
        <v>1</v>
      </c>
      <c r="N853" s="50" t="n">
        <v>46205</v>
      </c>
      <c r="O853" s="8" t="s">
        <v>545</v>
      </c>
      <c r="P853" s="24" t="n">
        <v>25</v>
      </c>
      <c r="Q853" s="31" t="n">
        <f aca="false">IF(I853="N/A","",IFERROR(INDEX('Residual Config'!$B$35:$B$42,MATCH(H853,'Residual Config'!$A$35:$A$42,0)),""))</f>
        <v>25</v>
      </c>
      <c r="R853" s="24" t="n">
        <v>0</v>
      </c>
      <c r="S853" s="8" t="s">
        <v>516</v>
      </c>
      <c r="T853" s="31" t="n">
        <f aca="false">IF(S853="","",MATCH(S853,'Residual Config'!$L$9:$L$12,0))</f>
        <v>1</v>
      </c>
      <c r="U853" s="8" t="s">
        <v>2854</v>
      </c>
      <c r="V853" s="24" t="n">
        <v>3</v>
      </c>
      <c r="W853" s="33" t="s">
        <v>533</v>
      </c>
      <c r="X853" s="8" t="s">
        <v>754</v>
      </c>
      <c r="Y853" s="51" t="n">
        <f aca="false">IF(N853="","",EDATE(N853,IF(G853="N",INDEX('Residual Config'!$B$31:$D$31,1,MATCH(D853,'Residual Config'!$B$27:$D$27,0)),INDEX('Residual Config'!$B$28:$D$30,IF(T853=1,1,IF(T853=4,3,2)),MATCH(D853,'Residual Config'!$B$27:$D$27,0)))))</f>
        <v>46570</v>
      </c>
      <c r="Z853" s="7" t="str">
        <f aca="false">IF(I853="N/A","N/A",IF(N853="","Not tested",IF(W853="Rejected","Evidence rejected",IF(W853&lt;&gt;"Accepted","Evidence pending",IF(Y853&lt;'Residual Config'!$C$4,"Overdue","Current")))))</f>
        <v>Current</v>
      </c>
      <c r="AA853" s="34" t="n">
        <f aca="false">IF(I853="N/A","",IF(Z853&lt;&gt;"Current",4,IF(MAX(M853,T853)=0,4,MAX(M853,T853))))</f>
        <v>1</v>
      </c>
      <c r="AB853" s="7" t="str">
        <f aca="false">IF(AA853="","N/A",IF(Z853&lt;&gt;"Current","Not tested / overdue",INDEX('Residual Config'!$B$11:$B$14,AA853)))</f>
        <v>Effective</v>
      </c>
      <c r="AC853" s="36" t="n">
        <f aca="false">IF(AA853="","",INDEX('Residual Config'!$D$11:$D$14,AA853))</f>
        <v>0.6</v>
      </c>
      <c r="AD853" s="7" t="str">
        <f aca="false">IF(OR(I853="N/A",P853="",Q853=""),"",IF(P853&gt;=Q853,"Yes","No"))</f>
        <v>Yes</v>
      </c>
      <c r="AE853" s="8"/>
    </row>
    <row r="854" customFormat="false" ht="15" hidden="false" customHeight="false" outlineLevel="0" collapsed="false">
      <c r="A854" s="12" t="s">
        <v>2855</v>
      </c>
      <c r="B854" s="26" t="str">
        <f aca="false">Entities!$A$24</f>
        <v>TN</v>
      </c>
      <c r="C854" s="12" t="str">
        <f aca="false">INDEX(Entities!$B$5:$B$34,MATCH(B854,Entities!$A$5:$A$34,0))</f>
        <v>Arab Tunisian Bank</v>
      </c>
      <c r="D854" s="7" t="str">
        <f aca="false">INDEX(Entities!$F$5:$F$34,MATCH(B854,Entities!$A$5:$A$34,0))</f>
        <v>Tier 2</v>
      </c>
      <c r="E854" s="26" t="str">
        <f aca="false">'Control Library'!$A$37</f>
        <v>CTL-CR-02</v>
      </c>
      <c r="F854" s="12" t="str">
        <f aca="false">INDEX('Control Library'!$B$5:$B$47,MATCH(E854,'Control Library'!$A$5:$A$47,0))</f>
        <v>Collateral valuation and exposure limit monitoring</v>
      </c>
      <c r="G854" s="7" t="str">
        <f aca="false">INDEX('Control Library'!$F$5:$F$47,MATCH(E854,'Control Library'!$A$5:$A$47,0))</f>
        <v>N</v>
      </c>
      <c r="H854" s="12" t="str">
        <f aca="false">INDEX('Control Library'!$E$5:$E$47,MATCH(E854,'Control Library'!$A$5:$A$47,0))</f>
        <v>Monthly</v>
      </c>
      <c r="I854" s="7" t="str">
        <f aca="false">IF(INDEX('Control Library'!$I$5:$I$47,MATCH(E854,'Control Library'!$A$5:$A$47,0))="All","Y",IF(INDEX('Control Library'!$I$5:$I$47,MATCH(E854,'Control Library'!$A$5:$A$47,0))="Banks only",IF(COUNTIF('Residual Config'!$L$28:$L$30,INDEX(Entities!$E$5:$E$34,MATCH(B854,Entities!$A$5:$A$34,0)))&gt;0,"N/A","Y"),IF(INDEX(Entities!$G$5:$G$34,MATCH(B854,Entities!$A$5:$A$34,0))="Y","Y","N/A")))</f>
        <v>Y</v>
      </c>
      <c r="J854" s="8" t="s">
        <v>2856</v>
      </c>
      <c r="K854" s="8" t="s">
        <v>2776</v>
      </c>
      <c r="L854" s="7" t="str">
        <f aca="false">IF(OR(J854="",K854=""),"",IF(J854=K854,"Breach","OK"))</f>
        <v>OK</v>
      </c>
      <c r="M854" s="24" t="n">
        <v>1</v>
      </c>
      <c r="N854" s="50" t="n">
        <v>46106</v>
      </c>
      <c r="O854" s="8" t="s">
        <v>546</v>
      </c>
      <c r="P854" s="24" t="n">
        <v>3</v>
      </c>
      <c r="Q854" s="31" t="n">
        <f aca="false">IF(I854="N/A","",IFERROR(INDEX('Residual Config'!$B$35:$B$42,MATCH(H854,'Residual Config'!$A$35:$A$42,0)),""))</f>
        <v>3</v>
      </c>
      <c r="R854" s="24" t="n">
        <v>0</v>
      </c>
      <c r="S854" s="8" t="s">
        <v>516</v>
      </c>
      <c r="T854" s="31" t="n">
        <f aca="false">IF(S854="","",MATCH(S854,'Residual Config'!$L$9:$L$12,0))</f>
        <v>1</v>
      </c>
      <c r="U854" s="8" t="s">
        <v>2857</v>
      </c>
      <c r="V854" s="24" t="n">
        <v>6</v>
      </c>
      <c r="W854" s="33" t="s">
        <v>536</v>
      </c>
      <c r="X854" s="8"/>
      <c r="Y854" s="51" t="n">
        <f aca="false">IF(N854="","",EDATE(N854,IF(G854="N",INDEX('Residual Config'!$B$31:$D$31,1,MATCH(D854,'Residual Config'!$B$27:$D$27,0)),INDEX('Residual Config'!$B$28:$D$30,IF(T854=1,1,IF(T854=4,3,2)),MATCH(D854,'Residual Config'!$B$27:$D$27,0)))))</f>
        <v>46471</v>
      </c>
      <c r="Z854" s="7" t="str">
        <f aca="false">IF(I854="N/A","N/A",IF(N854="","Not tested",IF(W854="Rejected","Evidence rejected",IF(W854&lt;&gt;"Accepted","Evidence pending",IF(Y854&lt;'Residual Config'!$C$4,"Overdue","Current")))))</f>
        <v>Evidence pending</v>
      </c>
      <c r="AA854" s="34" t="n">
        <f aca="false">IF(I854="N/A","",IF(Z854&lt;&gt;"Current",4,IF(MAX(M854,T854)=0,4,MAX(M854,T854))))</f>
        <v>4</v>
      </c>
      <c r="AB854" s="7" t="str">
        <f aca="false">IF(AA854="","N/A",IF(Z854&lt;&gt;"Current","Not tested / overdue",INDEX('Residual Config'!$B$11:$B$14,AA854)))</f>
        <v>Not tested / overdue</v>
      </c>
      <c r="AC854" s="36" t="n">
        <f aca="false">IF(AA854="","",INDEX('Residual Config'!$D$11:$D$14,AA854))</f>
        <v>0</v>
      </c>
      <c r="AD854" s="7" t="str">
        <f aca="false">IF(OR(I854="N/A",P854="",Q854=""),"",IF(P854&gt;=Q854,"Yes","No"))</f>
        <v>Yes</v>
      </c>
      <c r="AE854" s="8"/>
    </row>
    <row r="855" customFormat="false" ht="15" hidden="false" customHeight="false" outlineLevel="0" collapsed="false">
      <c r="A855" s="12" t="s">
        <v>2858</v>
      </c>
      <c r="B855" s="26" t="str">
        <f aca="false">Entities!$A$24</f>
        <v>TN</v>
      </c>
      <c r="C855" s="12" t="str">
        <f aca="false">INDEX(Entities!$B$5:$B$34,MATCH(B855,Entities!$A$5:$A$34,0))</f>
        <v>Arab Tunisian Bank</v>
      </c>
      <c r="D855" s="7" t="str">
        <f aca="false">INDEX(Entities!$F$5:$F$34,MATCH(B855,Entities!$A$5:$A$34,0))</f>
        <v>Tier 2</v>
      </c>
      <c r="E855" s="26" t="str">
        <f aca="false">'Control Library'!$A$38</f>
        <v>CTL-MR-01</v>
      </c>
      <c r="F855" s="12" t="str">
        <f aca="false">INDEX('Control Library'!$B$5:$B$47,MATCH(E855,'Control Library'!$A$5:$A$47,0))</f>
        <v>Market risk limits and daily VaR monitoring</v>
      </c>
      <c r="G855" s="7" t="str">
        <f aca="false">INDEX('Control Library'!$F$5:$F$47,MATCH(E855,'Control Library'!$A$5:$A$47,0))</f>
        <v>Y</v>
      </c>
      <c r="H855" s="12" t="str">
        <f aca="false">INDEX('Control Library'!$E$5:$E$47,MATCH(E855,'Control Library'!$A$5:$A$47,0))</f>
        <v>Daily</v>
      </c>
      <c r="I855" s="7" t="str">
        <f aca="false">IF(INDEX('Control Library'!$I$5:$I$47,MATCH(E855,'Control Library'!$A$5:$A$47,0))="All","Y",IF(INDEX('Control Library'!$I$5:$I$47,MATCH(E855,'Control Library'!$A$5:$A$47,0))="Banks only",IF(COUNTIF('Residual Config'!$L$28:$L$30,INDEX(Entities!$E$5:$E$34,MATCH(B855,Entities!$A$5:$A$34,0)))&gt;0,"N/A","Y"),IF(INDEX(Entities!$G$5:$G$34,MATCH(B855,Entities!$A$5:$A$34,0))="Y","Y","N/A")))</f>
        <v>Y</v>
      </c>
      <c r="J855" s="8" t="s">
        <v>2856</v>
      </c>
      <c r="K855" s="8" t="s">
        <v>2776</v>
      </c>
      <c r="L855" s="7" t="str">
        <f aca="false">IF(OR(J855="",K855=""),"",IF(J855=K855,"Breach","OK"))</f>
        <v>OK</v>
      </c>
      <c r="M855" s="24" t="n">
        <v>1</v>
      </c>
      <c r="N855" s="50" t="n">
        <v>46148</v>
      </c>
      <c r="O855" s="8" t="s">
        <v>547</v>
      </c>
      <c r="P855" s="24" t="n">
        <v>35</v>
      </c>
      <c r="Q855" s="31" t="n">
        <f aca="false">IF(I855="N/A","",IFERROR(INDEX('Residual Config'!$B$35:$B$42,MATCH(H855,'Residual Config'!$A$35:$A$42,0)),""))</f>
        <v>25</v>
      </c>
      <c r="R855" s="24" t="n">
        <v>1</v>
      </c>
      <c r="S855" s="8" t="s">
        <v>521</v>
      </c>
      <c r="T855" s="31" t="n">
        <f aca="false">IF(S855="","",MATCH(S855,'Residual Config'!$L$9:$L$12,0))</f>
        <v>2</v>
      </c>
      <c r="U855" s="8" t="s">
        <v>2859</v>
      </c>
      <c r="V855" s="24" t="n">
        <v>1</v>
      </c>
      <c r="W855" s="33" t="s">
        <v>533</v>
      </c>
      <c r="X855" s="8" t="s">
        <v>754</v>
      </c>
      <c r="Y855" s="51" t="n">
        <f aca="false">IF(N855="","",EDATE(N855,IF(G855="N",INDEX('Residual Config'!$B$31:$D$31,1,MATCH(D855,'Residual Config'!$B$27:$D$27,0)),INDEX('Residual Config'!$B$28:$D$30,IF(T855=1,1,IF(T855=4,3,2)),MATCH(D855,'Residual Config'!$B$27:$D$27,0)))))</f>
        <v>46332</v>
      </c>
      <c r="Z855" s="7" t="str">
        <f aca="false">IF(I855="N/A","N/A",IF(N855="","Not tested",IF(W855="Rejected","Evidence rejected",IF(W855&lt;&gt;"Accepted","Evidence pending",IF(Y855&lt;'Residual Config'!$C$4,"Overdue","Current")))))</f>
        <v>Current</v>
      </c>
      <c r="AA855" s="34" t="n">
        <f aca="false">IF(I855="N/A","",IF(Z855&lt;&gt;"Current",4,IF(MAX(M855,T855)=0,4,MAX(M855,T855))))</f>
        <v>2</v>
      </c>
      <c r="AB855" s="7" t="str">
        <f aca="false">IF(AA855="","N/A",IF(Z855&lt;&gt;"Current","Not tested / overdue",INDEX('Residual Config'!$B$11:$B$14,AA855)))</f>
        <v>Largely effective</v>
      </c>
      <c r="AC855" s="36" t="n">
        <f aca="false">IF(AA855="","",INDEX('Residual Config'!$D$11:$D$14,AA855))</f>
        <v>0.4</v>
      </c>
      <c r="AD855" s="7" t="str">
        <f aca="false">IF(OR(I855="N/A",P855="",Q855=""),"",IF(P855&gt;=Q855,"Yes","No"))</f>
        <v>Yes</v>
      </c>
      <c r="AE855" s="8"/>
    </row>
    <row r="856" customFormat="false" ht="15" hidden="false" customHeight="false" outlineLevel="0" collapsed="false">
      <c r="A856" s="12" t="s">
        <v>2860</v>
      </c>
      <c r="B856" s="26" t="str">
        <f aca="false">Entities!$A$24</f>
        <v>TN</v>
      </c>
      <c r="C856" s="12" t="str">
        <f aca="false">INDEX(Entities!$B$5:$B$34,MATCH(B856,Entities!$A$5:$A$34,0))</f>
        <v>Arab Tunisian Bank</v>
      </c>
      <c r="D856" s="7" t="str">
        <f aca="false">INDEX(Entities!$F$5:$F$34,MATCH(B856,Entities!$A$5:$A$34,0))</f>
        <v>Tier 2</v>
      </c>
      <c r="E856" s="26" t="str">
        <f aca="false">'Control Library'!$A$39</f>
        <v>CTL-LQ-01</v>
      </c>
      <c r="F856" s="12" t="str">
        <f aca="false">INDEX('Control Library'!$B$5:$B$47,MATCH(E856,'Control Library'!$A$5:$A$47,0))</f>
        <v>Liquidity buffers, LCR/NSFR monitoring and contingency funding plan</v>
      </c>
      <c r="G856" s="7" t="str">
        <f aca="false">INDEX('Control Library'!$F$5:$F$47,MATCH(E856,'Control Library'!$A$5:$A$47,0))</f>
        <v>Y</v>
      </c>
      <c r="H856" s="12" t="str">
        <f aca="false">INDEX('Control Library'!$E$5:$E$47,MATCH(E856,'Control Library'!$A$5:$A$47,0))</f>
        <v>Daily</v>
      </c>
      <c r="I856" s="7" t="str">
        <f aca="false">IF(INDEX('Control Library'!$I$5:$I$47,MATCH(E856,'Control Library'!$A$5:$A$47,0))="All","Y",IF(INDEX('Control Library'!$I$5:$I$47,MATCH(E856,'Control Library'!$A$5:$A$47,0))="Banks only",IF(COUNTIF('Residual Config'!$L$28:$L$30,INDEX(Entities!$E$5:$E$34,MATCH(B856,Entities!$A$5:$A$34,0)))&gt;0,"N/A","Y"),IF(INDEX(Entities!$G$5:$G$34,MATCH(B856,Entities!$A$5:$A$34,0))="Y","Y","N/A")))</f>
        <v>Y</v>
      </c>
      <c r="J856" s="8" t="s">
        <v>2861</v>
      </c>
      <c r="K856" s="8" t="s">
        <v>2776</v>
      </c>
      <c r="L856" s="7" t="str">
        <f aca="false">IF(OR(J856="",K856=""),"",IF(J856=K856,"Breach","OK"))</f>
        <v>OK</v>
      </c>
      <c r="M856" s="24" t="n">
        <v>2</v>
      </c>
      <c r="N856" s="50" t="n">
        <v>46085</v>
      </c>
      <c r="O856" s="8" t="s">
        <v>545</v>
      </c>
      <c r="P856" s="24" t="n">
        <v>25</v>
      </c>
      <c r="Q856" s="31" t="n">
        <f aca="false">IF(I856="N/A","",IFERROR(INDEX('Residual Config'!$B$35:$B$42,MATCH(H856,'Residual Config'!$A$35:$A$42,0)),""))</f>
        <v>25</v>
      </c>
      <c r="R856" s="24" t="n">
        <v>0</v>
      </c>
      <c r="S856" s="8" t="s">
        <v>516</v>
      </c>
      <c r="T856" s="31" t="n">
        <f aca="false">IF(S856="","",MATCH(S856,'Residual Config'!$L$9:$L$12,0))</f>
        <v>1</v>
      </c>
      <c r="U856" s="8" t="s">
        <v>2862</v>
      </c>
      <c r="V856" s="24" t="n">
        <v>3</v>
      </c>
      <c r="W856" s="33" t="s">
        <v>533</v>
      </c>
      <c r="X856" s="8" t="s">
        <v>754</v>
      </c>
      <c r="Y856" s="51" t="n">
        <f aca="false">IF(N856="","",EDATE(N856,IF(G856="N",INDEX('Residual Config'!$B$31:$D$31,1,MATCH(D856,'Residual Config'!$B$27:$D$27,0)),INDEX('Residual Config'!$B$28:$D$30,IF(T856=1,1,IF(T856=4,3,2)),MATCH(D856,'Residual Config'!$B$27:$D$27,0)))))</f>
        <v>46450</v>
      </c>
      <c r="Z856" s="7" t="str">
        <f aca="false">IF(I856="N/A","N/A",IF(N856="","Not tested",IF(W856="Rejected","Evidence rejected",IF(W856&lt;&gt;"Accepted","Evidence pending",IF(Y856&lt;'Residual Config'!$C$4,"Overdue","Current")))))</f>
        <v>Current</v>
      </c>
      <c r="AA856" s="34" t="n">
        <f aca="false">IF(I856="N/A","",IF(Z856&lt;&gt;"Current",4,IF(MAX(M856,T856)=0,4,MAX(M856,T856))))</f>
        <v>2</v>
      </c>
      <c r="AB856" s="7" t="str">
        <f aca="false">IF(AA856="","N/A",IF(Z856&lt;&gt;"Current","Not tested / overdue",INDEX('Residual Config'!$B$11:$B$14,AA856)))</f>
        <v>Largely effective</v>
      </c>
      <c r="AC856" s="36" t="n">
        <f aca="false">IF(AA856="","",INDEX('Residual Config'!$D$11:$D$14,AA856))</f>
        <v>0.4</v>
      </c>
      <c r="AD856" s="7" t="str">
        <f aca="false">IF(OR(I856="N/A",P856="",Q856=""),"",IF(P856&gt;=Q856,"Yes","No"))</f>
        <v>Yes</v>
      </c>
      <c r="AE856" s="8"/>
    </row>
    <row r="857" customFormat="false" ht="15" hidden="false" customHeight="false" outlineLevel="0" collapsed="false">
      <c r="A857" s="12" t="s">
        <v>2863</v>
      </c>
      <c r="B857" s="26" t="str">
        <f aca="false">Entities!$A$24</f>
        <v>TN</v>
      </c>
      <c r="C857" s="12" t="str">
        <f aca="false">INDEX(Entities!$B$5:$B$34,MATCH(B857,Entities!$A$5:$A$34,0))</f>
        <v>Arab Tunisian Bank</v>
      </c>
      <c r="D857" s="7" t="str">
        <f aca="false">INDEX(Entities!$F$5:$F$34,MATCH(B857,Entities!$A$5:$A$34,0))</f>
        <v>Tier 2</v>
      </c>
      <c r="E857" s="26" t="str">
        <f aca="false">'Control Library'!$A$40</f>
        <v>CTL-OR-01</v>
      </c>
      <c r="F857" s="12" t="str">
        <f aca="false">INDEX('Control Library'!$B$5:$B$47,MATCH(E857,'Control Library'!$A$5:$A$47,0))</f>
        <v>Business continuity plans and annual testing</v>
      </c>
      <c r="G857" s="7" t="str">
        <f aca="false">INDEX('Control Library'!$F$5:$F$47,MATCH(E857,'Control Library'!$A$5:$A$47,0))</f>
        <v>Y</v>
      </c>
      <c r="H857" s="12" t="str">
        <f aca="false">INDEX('Control Library'!$E$5:$E$47,MATCH(E857,'Control Library'!$A$5:$A$47,0))</f>
        <v>Annual</v>
      </c>
      <c r="I857" s="7" t="str">
        <f aca="false">IF(INDEX('Control Library'!$I$5:$I$47,MATCH(E857,'Control Library'!$A$5:$A$47,0))="All","Y",IF(INDEX('Control Library'!$I$5:$I$47,MATCH(E857,'Control Library'!$A$5:$A$47,0))="Banks only",IF(COUNTIF('Residual Config'!$L$28:$L$30,INDEX(Entities!$E$5:$E$34,MATCH(B857,Entities!$A$5:$A$34,0)))&gt;0,"N/A","Y"),IF(INDEX(Entities!$G$5:$G$34,MATCH(B857,Entities!$A$5:$A$34,0))="Y","Y","N/A")))</f>
        <v>Y</v>
      </c>
      <c r="J857" s="8" t="s">
        <v>2864</v>
      </c>
      <c r="K857" s="8" t="s">
        <v>2776</v>
      </c>
      <c r="L857" s="7" t="str">
        <f aca="false">IF(OR(J857="",K857=""),"",IF(J857=K857,"Breach","OK"))</f>
        <v>OK</v>
      </c>
      <c r="M857" s="24" t="n">
        <v>1</v>
      </c>
      <c r="N857" s="50" t="n">
        <v>46149</v>
      </c>
      <c r="O857" s="8" t="s">
        <v>545</v>
      </c>
      <c r="P857" s="24" t="n">
        <v>1</v>
      </c>
      <c r="Q857" s="31" t="n">
        <f aca="false">IF(I857="N/A","",IFERROR(INDEX('Residual Config'!$B$35:$B$42,MATCH(H857,'Residual Config'!$A$35:$A$42,0)),""))</f>
        <v>1</v>
      </c>
      <c r="R857" s="24" t="n">
        <v>0</v>
      </c>
      <c r="S857" s="8" t="s">
        <v>516</v>
      </c>
      <c r="T857" s="31" t="n">
        <f aca="false">IF(S857="","",MATCH(S857,'Residual Config'!$L$9:$L$12,0))</f>
        <v>1</v>
      </c>
      <c r="U857" s="8" t="s">
        <v>2865</v>
      </c>
      <c r="V857" s="24" t="n">
        <v>3</v>
      </c>
      <c r="W857" s="33" t="s">
        <v>533</v>
      </c>
      <c r="X857" s="8" t="s">
        <v>760</v>
      </c>
      <c r="Y857" s="51" t="n">
        <f aca="false">IF(N857="","",EDATE(N857,IF(G857="N",INDEX('Residual Config'!$B$31:$D$31,1,MATCH(D857,'Residual Config'!$B$27:$D$27,0)),INDEX('Residual Config'!$B$28:$D$30,IF(T857=1,1,IF(T857=4,3,2)),MATCH(D857,'Residual Config'!$B$27:$D$27,0)))))</f>
        <v>46514</v>
      </c>
      <c r="Z857" s="7" t="str">
        <f aca="false">IF(I857="N/A","N/A",IF(N857="","Not tested",IF(W857="Rejected","Evidence rejected",IF(W857&lt;&gt;"Accepted","Evidence pending",IF(Y857&lt;'Residual Config'!$C$4,"Overdue","Current")))))</f>
        <v>Current</v>
      </c>
      <c r="AA857" s="34" t="n">
        <f aca="false">IF(I857="N/A","",IF(Z857&lt;&gt;"Current",4,IF(MAX(M857,T857)=0,4,MAX(M857,T857))))</f>
        <v>1</v>
      </c>
      <c r="AB857" s="7" t="str">
        <f aca="false">IF(AA857="","N/A",IF(Z857&lt;&gt;"Current","Not tested / overdue",INDEX('Residual Config'!$B$11:$B$14,AA857)))</f>
        <v>Effective</v>
      </c>
      <c r="AC857" s="36" t="n">
        <f aca="false">IF(AA857="","",INDEX('Residual Config'!$D$11:$D$14,AA857))</f>
        <v>0.6</v>
      </c>
      <c r="AD857" s="7" t="str">
        <f aca="false">IF(OR(I857="N/A",P857="",Q857=""),"",IF(P857&gt;=Q857,"Yes","No"))</f>
        <v>Yes</v>
      </c>
      <c r="AE857" s="8"/>
    </row>
    <row r="858" customFormat="false" ht="15" hidden="false" customHeight="false" outlineLevel="0" collapsed="false">
      <c r="A858" s="12" t="s">
        <v>2866</v>
      </c>
      <c r="B858" s="26" t="str">
        <f aca="false">Entities!$A$24</f>
        <v>TN</v>
      </c>
      <c r="C858" s="12" t="str">
        <f aca="false">INDEX(Entities!$B$5:$B$34,MATCH(B858,Entities!$A$5:$A$34,0))</f>
        <v>Arab Tunisian Bank</v>
      </c>
      <c r="D858" s="7" t="str">
        <f aca="false">INDEX(Entities!$F$5:$F$34,MATCH(B858,Entities!$A$5:$A$34,0))</f>
        <v>Tier 2</v>
      </c>
      <c r="E858" s="26" t="str">
        <f aca="false">'Control Library'!$A$41</f>
        <v>CTL-OR-02</v>
      </c>
      <c r="F858" s="12" t="str">
        <f aca="false">INDEX('Control Library'!$B$5:$B$47,MATCH(E858,'Control Library'!$A$5:$A$47,0))</f>
        <v>Operational loss event capture and RCSA</v>
      </c>
      <c r="G858" s="7" t="str">
        <f aca="false">INDEX('Control Library'!$F$5:$F$47,MATCH(E858,'Control Library'!$A$5:$A$47,0))</f>
        <v>N</v>
      </c>
      <c r="H858" s="12" t="str">
        <f aca="false">INDEX('Control Library'!$E$5:$E$47,MATCH(E858,'Control Library'!$A$5:$A$47,0))</f>
        <v>Quarterly</v>
      </c>
      <c r="I858" s="7" t="str">
        <f aca="false">IF(INDEX('Control Library'!$I$5:$I$47,MATCH(E858,'Control Library'!$A$5:$A$47,0))="All","Y",IF(INDEX('Control Library'!$I$5:$I$47,MATCH(E858,'Control Library'!$A$5:$A$47,0))="Banks only",IF(COUNTIF('Residual Config'!$L$28:$L$30,INDEX(Entities!$E$5:$E$34,MATCH(B858,Entities!$A$5:$A$34,0)))&gt;0,"N/A","Y"),IF(INDEX(Entities!$G$5:$G$34,MATCH(B858,Entities!$A$5:$A$34,0))="Y","Y","N/A")))</f>
        <v>Y</v>
      </c>
      <c r="J858" s="8" t="s">
        <v>2856</v>
      </c>
      <c r="K858" s="8" t="s">
        <v>2776</v>
      </c>
      <c r="L858" s="7" t="str">
        <f aca="false">IF(OR(J858="",K858=""),"",IF(J858=K858,"Breach","OK"))</f>
        <v>OK</v>
      </c>
      <c r="M858" s="24" t="n">
        <v>2</v>
      </c>
      <c r="N858" s="50" t="n">
        <v>46092</v>
      </c>
      <c r="O858" s="8" t="s">
        <v>546</v>
      </c>
      <c r="P858" s="24" t="n">
        <v>2</v>
      </c>
      <c r="Q858" s="31" t="n">
        <f aca="false">IF(I858="N/A","",IFERROR(INDEX('Residual Config'!$B$35:$B$42,MATCH(H858,'Residual Config'!$A$35:$A$42,0)),""))</f>
        <v>2</v>
      </c>
      <c r="R858" s="24" t="n">
        <v>1</v>
      </c>
      <c r="S858" s="8" t="s">
        <v>521</v>
      </c>
      <c r="T858" s="31" t="n">
        <f aca="false">IF(S858="","",MATCH(S858,'Residual Config'!$L$9:$L$12,0))</f>
        <v>2</v>
      </c>
      <c r="U858" s="8" t="s">
        <v>2867</v>
      </c>
      <c r="V858" s="24" t="n">
        <v>4</v>
      </c>
      <c r="W858" s="33" t="s">
        <v>533</v>
      </c>
      <c r="X858" s="8" t="s">
        <v>754</v>
      </c>
      <c r="Y858" s="51" t="n">
        <f aca="false">IF(N858="","",EDATE(N858,IF(G858="N",INDEX('Residual Config'!$B$31:$D$31,1,MATCH(D858,'Residual Config'!$B$27:$D$27,0)),INDEX('Residual Config'!$B$28:$D$30,IF(T858=1,1,IF(T858=4,3,2)),MATCH(D858,'Residual Config'!$B$27:$D$27,0)))))</f>
        <v>46457</v>
      </c>
      <c r="Z858" s="7" t="str">
        <f aca="false">IF(I858="N/A","N/A",IF(N858="","Not tested",IF(W858="Rejected","Evidence rejected",IF(W858&lt;&gt;"Accepted","Evidence pending",IF(Y858&lt;'Residual Config'!$C$4,"Overdue","Current")))))</f>
        <v>Current</v>
      </c>
      <c r="AA858" s="34" t="n">
        <f aca="false">IF(I858="N/A","",IF(Z858&lt;&gt;"Current",4,IF(MAX(M858,T858)=0,4,MAX(M858,T858))))</f>
        <v>2</v>
      </c>
      <c r="AB858" s="7" t="str">
        <f aca="false">IF(AA858="","N/A",IF(Z858&lt;&gt;"Current","Not tested / overdue",INDEX('Residual Config'!$B$11:$B$14,AA858)))</f>
        <v>Largely effective</v>
      </c>
      <c r="AC858" s="36" t="n">
        <f aca="false">IF(AA858="","",INDEX('Residual Config'!$D$11:$D$14,AA858))</f>
        <v>0.4</v>
      </c>
      <c r="AD858" s="7" t="str">
        <f aca="false">IF(OR(I858="N/A",P858="",Q858=""),"",IF(P858&gt;=Q858,"Yes","No"))</f>
        <v>Yes</v>
      </c>
      <c r="AE858" s="8"/>
    </row>
    <row r="859" customFormat="false" ht="15" hidden="false" customHeight="false" outlineLevel="0" collapsed="false">
      <c r="A859" s="12" t="s">
        <v>2868</v>
      </c>
      <c r="B859" s="26" t="str">
        <f aca="false">Entities!$A$24</f>
        <v>TN</v>
      </c>
      <c r="C859" s="12" t="str">
        <f aca="false">INDEX(Entities!$B$5:$B$34,MATCH(B859,Entities!$A$5:$A$34,0))</f>
        <v>Arab Tunisian Bank</v>
      </c>
      <c r="D859" s="7" t="str">
        <f aca="false">INDEX(Entities!$F$5:$F$34,MATCH(B859,Entities!$A$5:$A$34,0))</f>
        <v>Tier 2</v>
      </c>
      <c r="E859" s="26" t="str">
        <f aca="false">'Control Library'!$A$42</f>
        <v>CTL-CY-01</v>
      </c>
      <c r="F859" s="12" t="str">
        <f aca="false">INDEX('Control Library'!$B$5:$B$47,MATCH(E859,'Control Library'!$A$5:$A$47,0))</f>
        <v>Vulnerability and patch management</v>
      </c>
      <c r="G859" s="7" t="str">
        <f aca="false">INDEX('Control Library'!$F$5:$F$47,MATCH(E859,'Control Library'!$A$5:$A$47,0))</f>
        <v>Y</v>
      </c>
      <c r="H859" s="12" t="str">
        <f aca="false">INDEX('Control Library'!$E$5:$E$47,MATCH(E859,'Control Library'!$A$5:$A$47,0))</f>
        <v>Monthly</v>
      </c>
      <c r="I859" s="7" t="str">
        <f aca="false">IF(INDEX('Control Library'!$I$5:$I$47,MATCH(E859,'Control Library'!$A$5:$A$47,0))="All","Y",IF(INDEX('Control Library'!$I$5:$I$47,MATCH(E859,'Control Library'!$A$5:$A$47,0))="Banks only",IF(COUNTIF('Residual Config'!$L$28:$L$30,INDEX(Entities!$E$5:$E$34,MATCH(B859,Entities!$A$5:$A$34,0)))&gt;0,"N/A","Y"),IF(INDEX(Entities!$G$5:$G$34,MATCH(B859,Entities!$A$5:$A$34,0))="Y","Y","N/A")))</f>
        <v>Y</v>
      </c>
      <c r="J859" s="8" t="s">
        <v>2800</v>
      </c>
      <c r="K859" s="8" t="s">
        <v>2776</v>
      </c>
      <c r="L859" s="7" t="str">
        <f aca="false">IF(OR(J859="",K859=""),"",IF(J859=K859,"Breach","OK"))</f>
        <v>OK</v>
      </c>
      <c r="M859" s="24" t="n">
        <v>2</v>
      </c>
      <c r="N859" s="50" t="n">
        <v>46169</v>
      </c>
      <c r="O859" s="8" t="s">
        <v>545</v>
      </c>
      <c r="P859" s="24" t="n">
        <v>3</v>
      </c>
      <c r="Q859" s="31" t="n">
        <f aca="false">IF(I859="N/A","",IFERROR(INDEX('Residual Config'!$B$35:$B$42,MATCH(H859,'Residual Config'!$A$35:$A$42,0)),""))</f>
        <v>3</v>
      </c>
      <c r="R859" s="24" t="n">
        <v>0</v>
      </c>
      <c r="S859" s="8" t="s">
        <v>516</v>
      </c>
      <c r="T859" s="31" t="n">
        <f aca="false">IF(S859="","",MATCH(S859,'Residual Config'!$L$9:$L$12,0))</f>
        <v>1</v>
      </c>
      <c r="U859" s="8" t="s">
        <v>2869</v>
      </c>
      <c r="V859" s="24" t="n">
        <v>3</v>
      </c>
      <c r="W859" s="33" t="s">
        <v>533</v>
      </c>
      <c r="X859" s="8" t="s">
        <v>760</v>
      </c>
      <c r="Y859" s="51" t="n">
        <f aca="false">IF(N859="","",EDATE(N859,IF(G859="N",INDEX('Residual Config'!$B$31:$D$31,1,MATCH(D859,'Residual Config'!$B$27:$D$27,0)),INDEX('Residual Config'!$B$28:$D$30,IF(T859=1,1,IF(T859=4,3,2)),MATCH(D859,'Residual Config'!$B$27:$D$27,0)))))</f>
        <v>46534</v>
      </c>
      <c r="Z859" s="7" t="str">
        <f aca="false">IF(I859="N/A","N/A",IF(N859="","Not tested",IF(W859="Rejected","Evidence rejected",IF(W859&lt;&gt;"Accepted","Evidence pending",IF(Y859&lt;'Residual Config'!$C$4,"Overdue","Current")))))</f>
        <v>Current</v>
      </c>
      <c r="AA859" s="34" t="n">
        <f aca="false">IF(I859="N/A","",IF(Z859&lt;&gt;"Current",4,IF(MAX(M859,T859)=0,4,MAX(M859,T859))))</f>
        <v>2</v>
      </c>
      <c r="AB859" s="7" t="str">
        <f aca="false">IF(AA859="","N/A",IF(Z859&lt;&gt;"Current","Not tested / overdue",INDEX('Residual Config'!$B$11:$B$14,AA859)))</f>
        <v>Largely effective</v>
      </c>
      <c r="AC859" s="36" t="n">
        <f aca="false">IF(AA859="","",INDEX('Residual Config'!$D$11:$D$14,AA859))</f>
        <v>0.4</v>
      </c>
      <c r="AD859" s="7" t="str">
        <f aca="false">IF(OR(I859="N/A",P859="",Q859=""),"",IF(P859&gt;=Q859,"Yes","No"))</f>
        <v>Yes</v>
      </c>
      <c r="AE859" s="8"/>
    </row>
    <row r="860" customFormat="false" ht="15" hidden="false" customHeight="false" outlineLevel="0" collapsed="false">
      <c r="A860" s="12" t="s">
        <v>2870</v>
      </c>
      <c r="B860" s="26" t="str">
        <f aca="false">Entities!$A$24</f>
        <v>TN</v>
      </c>
      <c r="C860" s="12" t="str">
        <f aca="false">INDEX(Entities!$B$5:$B$34,MATCH(B860,Entities!$A$5:$A$34,0))</f>
        <v>Arab Tunisian Bank</v>
      </c>
      <c r="D860" s="7" t="str">
        <f aca="false">INDEX(Entities!$F$5:$F$34,MATCH(B860,Entities!$A$5:$A$34,0))</f>
        <v>Tier 2</v>
      </c>
      <c r="E860" s="26" t="str">
        <f aca="false">'Control Library'!$A$43</f>
        <v>CTL-CY-02</v>
      </c>
      <c r="F860" s="12" t="str">
        <f aca="false">INDEX('Control Library'!$B$5:$B$47,MATCH(E860,'Control Library'!$A$5:$A$47,0))</f>
        <v>Privileged access management and SOC monitoring</v>
      </c>
      <c r="G860" s="7" t="str">
        <f aca="false">INDEX('Control Library'!$F$5:$F$47,MATCH(E860,'Control Library'!$A$5:$A$47,0))</f>
        <v>Y</v>
      </c>
      <c r="H860" s="12" t="str">
        <f aca="false">INDEX('Control Library'!$E$5:$E$47,MATCH(E860,'Control Library'!$A$5:$A$47,0))</f>
        <v>Continuous</v>
      </c>
      <c r="I860" s="7" t="str">
        <f aca="false">IF(INDEX('Control Library'!$I$5:$I$47,MATCH(E860,'Control Library'!$A$5:$A$47,0))="All","Y",IF(INDEX('Control Library'!$I$5:$I$47,MATCH(E860,'Control Library'!$A$5:$A$47,0))="Banks only",IF(COUNTIF('Residual Config'!$L$28:$L$30,INDEX(Entities!$E$5:$E$34,MATCH(B860,Entities!$A$5:$A$34,0)))&gt;0,"N/A","Y"),IF(INDEX(Entities!$G$5:$G$34,MATCH(B860,Entities!$A$5:$A$34,0))="Y","Y","N/A")))</f>
        <v>Y</v>
      </c>
      <c r="J860" s="8" t="s">
        <v>2849</v>
      </c>
      <c r="K860" s="8" t="s">
        <v>2776</v>
      </c>
      <c r="L860" s="7" t="str">
        <f aca="false">IF(OR(J860="",K860=""),"",IF(J860=K860,"Breach","OK"))</f>
        <v>OK</v>
      </c>
      <c r="M860" s="24" t="n">
        <v>1</v>
      </c>
      <c r="N860" s="50" t="n">
        <v>46273</v>
      </c>
      <c r="O860" s="8" t="s">
        <v>547</v>
      </c>
      <c r="P860" s="24" t="n">
        <v>1</v>
      </c>
      <c r="Q860" s="31" t="n">
        <f aca="false">IF(I860="N/A","",IFERROR(INDEX('Residual Config'!$B$35:$B$42,MATCH(H860,'Residual Config'!$A$35:$A$42,0)),""))</f>
        <v>1</v>
      </c>
      <c r="R860" s="24" t="n">
        <v>1</v>
      </c>
      <c r="S860" s="8" t="s">
        <v>521</v>
      </c>
      <c r="T860" s="31" t="n">
        <f aca="false">IF(S860="","",MATCH(S860,'Residual Config'!$L$9:$L$12,0))</f>
        <v>2</v>
      </c>
      <c r="U860" s="8" t="s">
        <v>2871</v>
      </c>
      <c r="V860" s="24" t="n">
        <v>3</v>
      </c>
      <c r="W860" s="33" t="s">
        <v>533</v>
      </c>
      <c r="X860" s="8" t="s">
        <v>760</v>
      </c>
      <c r="Y860" s="51" t="n">
        <f aca="false">IF(N860="","",EDATE(N860,IF(G860="N",INDEX('Residual Config'!$B$31:$D$31,1,MATCH(D860,'Residual Config'!$B$27:$D$27,0)),INDEX('Residual Config'!$B$28:$D$30,IF(T860=1,1,IF(T860=4,3,2)),MATCH(D860,'Residual Config'!$B$27:$D$27,0)))))</f>
        <v>46454</v>
      </c>
      <c r="Z860" s="7" t="str">
        <f aca="false">IF(I860="N/A","N/A",IF(N860="","Not tested",IF(W860="Rejected","Evidence rejected",IF(W860&lt;&gt;"Accepted","Evidence pending",IF(Y860&lt;'Residual Config'!$C$4,"Overdue","Current")))))</f>
        <v>Current</v>
      </c>
      <c r="AA860" s="34" t="n">
        <f aca="false">IF(I860="N/A","",IF(Z860&lt;&gt;"Current",4,IF(MAX(M860,T860)=0,4,MAX(M860,T860))))</f>
        <v>2</v>
      </c>
      <c r="AB860" s="7" t="str">
        <f aca="false">IF(AA860="","N/A",IF(Z860&lt;&gt;"Current","Not tested / overdue",INDEX('Residual Config'!$B$11:$B$14,AA860)))</f>
        <v>Largely effective</v>
      </c>
      <c r="AC860" s="36" t="n">
        <f aca="false">IF(AA860="","",INDEX('Residual Config'!$D$11:$D$14,AA860))</f>
        <v>0.4</v>
      </c>
      <c r="AD860" s="7" t="str">
        <f aca="false">IF(OR(I860="N/A",P860="",Q860=""),"",IF(P860&gt;=Q860,"Yes","No"))</f>
        <v>Yes</v>
      </c>
      <c r="AE860" s="8"/>
    </row>
    <row r="861" customFormat="false" ht="15" hidden="false" customHeight="false" outlineLevel="0" collapsed="false">
      <c r="A861" s="12" t="s">
        <v>2872</v>
      </c>
      <c r="B861" s="26" t="str">
        <f aca="false">Entities!$A$24</f>
        <v>TN</v>
      </c>
      <c r="C861" s="12" t="str">
        <f aca="false">INDEX(Entities!$B$5:$B$34,MATCH(B861,Entities!$A$5:$A$34,0))</f>
        <v>Arab Tunisian Bank</v>
      </c>
      <c r="D861" s="7" t="str">
        <f aca="false">INDEX(Entities!$F$5:$F$34,MATCH(B861,Entities!$A$5:$A$34,0))</f>
        <v>Tier 2</v>
      </c>
      <c r="E861" s="26" t="str">
        <f aca="false">'Control Library'!$A$44</f>
        <v>CTL-TP-01</v>
      </c>
      <c r="F861" s="12" t="str">
        <f aca="false">INDEX('Control Library'!$B$5:$B$47,MATCH(E861,'Control Library'!$A$5:$A$47,0))</f>
        <v>Critical vendor due diligence and tested exit plans</v>
      </c>
      <c r="G861" s="7" t="str">
        <f aca="false">INDEX('Control Library'!$F$5:$F$47,MATCH(E861,'Control Library'!$A$5:$A$47,0))</f>
        <v>Y</v>
      </c>
      <c r="H861" s="12" t="str">
        <f aca="false">INDEX('Control Library'!$E$5:$E$47,MATCH(E861,'Control Library'!$A$5:$A$47,0))</f>
        <v>Annual</v>
      </c>
      <c r="I861" s="7" t="str">
        <f aca="false">IF(INDEX('Control Library'!$I$5:$I$47,MATCH(E861,'Control Library'!$A$5:$A$47,0))="All","Y",IF(INDEX('Control Library'!$I$5:$I$47,MATCH(E861,'Control Library'!$A$5:$A$47,0))="Banks only",IF(COUNTIF('Residual Config'!$L$28:$L$30,INDEX(Entities!$E$5:$E$34,MATCH(B861,Entities!$A$5:$A$34,0)))&gt;0,"N/A","Y"),IF(INDEX(Entities!$G$5:$G$34,MATCH(B861,Entities!$A$5:$A$34,0))="Y","Y","N/A")))</f>
        <v>Y</v>
      </c>
      <c r="J861" s="8" t="s">
        <v>2817</v>
      </c>
      <c r="K861" s="8" t="s">
        <v>2776</v>
      </c>
      <c r="L861" s="7" t="str">
        <f aca="false">IF(OR(J861="",K861=""),"",IF(J861=K861,"Breach","OK"))</f>
        <v>OK</v>
      </c>
      <c r="M861" s="24" t="n">
        <v>1</v>
      </c>
      <c r="N861" s="50"/>
      <c r="O861" s="8"/>
      <c r="P861" s="24"/>
      <c r="Q861" s="31" t="n">
        <f aca="false">IF(I861="N/A","",IFERROR(INDEX('Residual Config'!$B$35:$B$42,MATCH(H861,'Residual Config'!$A$35:$A$42,0)),""))</f>
        <v>1</v>
      </c>
      <c r="R861" s="24"/>
      <c r="S861" s="8"/>
      <c r="T861" s="31" t="str">
        <f aca="false">IF(S861="","",MATCH(S861,'Residual Config'!$L$9:$L$12,0))</f>
        <v/>
      </c>
      <c r="U861" s="8"/>
      <c r="V861" s="24"/>
      <c r="W861" s="33"/>
      <c r="X861" s="8"/>
      <c r="Y861" s="51" t="str">
        <f aca="false">IF(N861="","",EDATE(N861,IF(G861="N",INDEX('Residual Config'!$B$31:$D$31,1,MATCH(D861,'Residual Config'!$B$27:$D$27,0)),INDEX('Residual Config'!$B$28:$D$30,IF(T861=1,1,IF(T861=4,3,2)),MATCH(D861,'Residual Config'!$B$27:$D$27,0)))))</f>
        <v/>
      </c>
      <c r="Z861" s="7" t="str">
        <f aca="false">IF(I861="N/A","N/A",IF(N861="","Not tested",IF(W861="Rejected","Evidence rejected",IF(W861&lt;&gt;"Accepted","Evidence pending",IF(Y861&lt;'Residual Config'!$C$4,"Overdue","Current")))))</f>
        <v>Not tested</v>
      </c>
      <c r="AA861" s="34" t="n">
        <f aca="false">IF(I861="N/A","",IF(Z861&lt;&gt;"Current",4,IF(MAX(M861,T861)=0,4,MAX(M861,T861))))</f>
        <v>4</v>
      </c>
      <c r="AB861" s="7" t="str">
        <f aca="false">IF(AA861="","N/A",IF(Z861&lt;&gt;"Current","Not tested / overdue",INDEX('Residual Config'!$B$11:$B$14,AA861)))</f>
        <v>Not tested / overdue</v>
      </c>
      <c r="AC861" s="36" t="n">
        <f aca="false">IF(AA861="","",INDEX('Residual Config'!$D$11:$D$14,AA861))</f>
        <v>0</v>
      </c>
      <c r="AD861" s="7" t="str">
        <f aca="false">IF(OR(I861="N/A",P861="",Q861=""),"",IF(P861&gt;=Q861,"Yes","No"))</f>
        <v/>
      </c>
      <c r="AE861" s="8"/>
    </row>
    <row r="862" customFormat="false" ht="15" hidden="false" customHeight="false" outlineLevel="0" collapsed="false">
      <c r="A862" s="12" t="s">
        <v>2873</v>
      </c>
      <c r="B862" s="26" t="str">
        <f aca="false">Entities!$A$24</f>
        <v>TN</v>
      </c>
      <c r="C862" s="12" t="str">
        <f aca="false">INDEX(Entities!$B$5:$B$34,MATCH(B862,Entities!$A$5:$A$34,0))</f>
        <v>Arab Tunisian Bank</v>
      </c>
      <c r="D862" s="7" t="str">
        <f aca="false">INDEX(Entities!$F$5:$F$34,MATCH(B862,Entities!$A$5:$A$34,0))</f>
        <v>Tier 2</v>
      </c>
      <c r="E862" s="26" t="str">
        <f aca="false">'Control Library'!$A$45</f>
        <v>CTL-LG-01</v>
      </c>
      <c r="F862" s="12" t="str">
        <f aca="false">INDEX('Control Library'!$B$5:$B$47,MATCH(E862,'Control Library'!$A$5:$A$47,0))</f>
        <v>Legal review of contracts and litigation register</v>
      </c>
      <c r="G862" s="7" t="str">
        <f aca="false">INDEX('Control Library'!$F$5:$F$47,MATCH(E862,'Control Library'!$A$5:$A$47,0))</f>
        <v>Y</v>
      </c>
      <c r="H862" s="12" t="str">
        <f aca="false">INDEX('Control Library'!$E$5:$E$47,MATCH(E862,'Control Library'!$A$5:$A$47,0))</f>
        <v>Event-driven</v>
      </c>
      <c r="I862" s="7" t="str">
        <f aca="false">IF(INDEX('Control Library'!$I$5:$I$47,MATCH(E862,'Control Library'!$A$5:$A$47,0))="All","Y",IF(INDEX('Control Library'!$I$5:$I$47,MATCH(E862,'Control Library'!$A$5:$A$47,0))="Banks only",IF(COUNTIF('Residual Config'!$L$28:$L$30,INDEX(Entities!$E$5:$E$34,MATCH(B862,Entities!$A$5:$A$34,0)))&gt;0,"N/A","Y"),IF(INDEX(Entities!$G$5:$G$34,MATCH(B862,Entities!$A$5:$A$34,0))="Y","Y","N/A")))</f>
        <v>Y</v>
      </c>
      <c r="J862" s="8" t="s">
        <v>2874</v>
      </c>
      <c r="K862" s="8" t="s">
        <v>2776</v>
      </c>
      <c r="L862" s="7" t="str">
        <f aca="false">IF(OR(J862="",K862=""),"",IF(J862=K862,"Breach","OK"))</f>
        <v>OK</v>
      </c>
      <c r="M862" s="24" t="n">
        <v>1</v>
      </c>
      <c r="N862" s="50" t="n">
        <v>46043</v>
      </c>
      <c r="O862" s="8" t="s">
        <v>545</v>
      </c>
      <c r="P862" s="24" t="n">
        <v>30</v>
      </c>
      <c r="Q862" s="31" t="n">
        <f aca="false">IF(I862="N/A","",IFERROR(INDEX('Residual Config'!$B$35:$B$42,MATCH(H862,'Residual Config'!$A$35:$A$42,0)),""))</f>
        <v>25</v>
      </c>
      <c r="R862" s="24" t="n">
        <v>0</v>
      </c>
      <c r="S862" s="8" t="s">
        <v>516</v>
      </c>
      <c r="T862" s="31" t="n">
        <f aca="false">IF(S862="","",MATCH(S862,'Residual Config'!$L$9:$L$12,0))</f>
        <v>1</v>
      </c>
      <c r="U862" s="8" t="s">
        <v>2875</v>
      </c>
      <c r="V862" s="24" t="n">
        <v>4</v>
      </c>
      <c r="W862" s="33" t="s">
        <v>533</v>
      </c>
      <c r="X862" s="8" t="s">
        <v>754</v>
      </c>
      <c r="Y862" s="51" t="n">
        <f aca="false">IF(N862="","",EDATE(N862,IF(G862="N",INDEX('Residual Config'!$B$31:$D$31,1,MATCH(D862,'Residual Config'!$B$27:$D$27,0)),INDEX('Residual Config'!$B$28:$D$30,IF(T862=1,1,IF(T862=4,3,2)),MATCH(D862,'Residual Config'!$B$27:$D$27,0)))))</f>
        <v>46408</v>
      </c>
      <c r="Z862" s="7" t="str">
        <f aca="false">IF(I862="N/A","N/A",IF(N862="","Not tested",IF(W862="Rejected","Evidence rejected",IF(W862&lt;&gt;"Accepted","Evidence pending",IF(Y862&lt;'Residual Config'!$C$4,"Overdue","Current")))))</f>
        <v>Current</v>
      </c>
      <c r="AA862" s="34" t="n">
        <f aca="false">IF(I862="N/A","",IF(Z862&lt;&gt;"Current",4,IF(MAX(M862,T862)=0,4,MAX(M862,T862))))</f>
        <v>1</v>
      </c>
      <c r="AB862" s="7" t="str">
        <f aca="false">IF(AA862="","N/A",IF(Z862&lt;&gt;"Current","Not tested / overdue",INDEX('Residual Config'!$B$11:$B$14,AA862)))</f>
        <v>Effective</v>
      </c>
      <c r="AC862" s="36" t="n">
        <f aca="false">IF(AA862="","",INDEX('Residual Config'!$D$11:$D$14,AA862))</f>
        <v>0.6</v>
      </c>
      <c r="AD862" s="7" t="str">
        <f aca="false">IF(OR(I862="N/A",P862="",Q862=""),"",IF(P862&gt;=Q862,"Yes","No"))</f>
        <v>Yes</v>
      </c>
      <c r="AE862" s="8"/>
    </row>
    <row r="863" customFormat="false" ht="15" hidden="false" customHeight="false" outlineLevel="0" collapsed="false">
      <c r="A863" s="12" t="s">
        <v>2876</v>
      </c>
      <c r="B863" s="26" t="str">
        <f aca="false">Entities!$A$24</f>
        <v>TN</v>
      </c>
      <c r="C863" s="12" t="str">
        <f aca="false">INDEX(Entities!$B$5:$B$34,MATCH(B863,Entities!$A$5:$A$34,0))</f>
        <v>Arab Tunisian Bank</v>
      </c>
      <c r="D863" s="7" t="str">
        <f aca="false">INDEX(Entities!$F$5:$F$34,MATCH(B863,Entities!$A$5:$A$34,0))</f>
        <v>Tier 2</v>
      </c>
      <c r="E863" s="26" t="str">
        <f aca="false">'Control Library'!$A$46</f>
        <v>CTL-RP-01</v>
      </c>
      <c r="F863" s="12" t="str">
        <f aca="false">INDEX('Control Library'!$B$5:$B$47,MATCH(E863,'Control Library'!$A$5:$A$47,0))</f>
        <v>Media monitoring and reputational-risk escalation</v>
      </c>
      <c r="G863" s="7" t="str">
        <f aca="false">INDEX('Control Library'!$F$5:$F$47,MATCH(E863,'Control Library'!$A$5:$A$47,0))</f>
        <v>Y</v>
      </c>
      <c r="H863" s="12" t="str">
        <f aca="false">INDEX('Control Library'!$E$5:$E$47,MATCH(E863,'Control Library'!$A$5:$A$47,0))</f>
        <v>Daily</v>
      </c>
      <c r="I863" s="7" t="str">
        <f aca="false">IF(INDEX('Control Library'!$I$5:$I$47,MATCH(E863,'Control Library'!$A$5:$A$47,0))="All","Y",IF(INDEX('Control Library'!$I$5:$I$47,MATCH(E863,'Control Library'!$A$5:$A$47,0))="Banks only",IF(COUNTIF('Residual Config'!$L$28:$L$30,INDEX(Entities!$E$5:$E$34,MATCH(B863,Entities!$A$5:$A$34,0)))&gt;0,"N/A","Y"),IF(INDEX(Entities!$G$5:$G$34,MATCH(B863,Entities!$A$5:$A$34,0))="Y","Y","N/A")))</f>
        <v>Y</v>
      </c>
      <c r="J863" s="8" t="s">
        <v>2877</v>
      </c>
      <c r="K863" s="8" t="s">
        <v>2776</v>
      </c>
      <c r="L863" s="7" t="str">
        <f aca="false">IF(OR(J863="",K863=""),"",IF(J863=K863,"Breach","OK"))</f>
        <v>OK</v>
      </c>
      <c r="M863" s="24" t="n">
        <v>1</v>
      </c>
      <c r="N863" s="50" t="n">
        <v>46238</v>
      </c>
      <c r="O863" s="8" t="s">
        <v>545</v>
      </c>
      <c r="P863" s="24" t="n">
        <v>30</v>
      </c>
      <c r="Q863" s="31" t="n">
        <f aca="false">IF(I863="N/A","",IFERROR(INDEX('Residual Config'!$B$35:$B$42,MATCH(H863,'Residual Config'!$A$35:$A$42,0)),""))</f>
        <v>25</v>
      </c>
      <c r="R863" s="24" t="n">
        <v>1</v>
      </c>
      <c r="S863" s="8" t="s">
        <v>521</v>
      </c>
      <c r="T863" s="31" t="n">
        <f aca="false">IF(S863="","",MATCH(S863,'Residual Config'!$L$9:$L$12,0))</f>
        <v>2</v>
      </c>
      <c r="U863" s="8" t="s">
        <v>2878</v>
      </c>
      <c r="V863" s="24" t="n">
        <v>3</v>
      </c>
      <c r="W863" s="33" t="s">
        <v>533</v>
      </c>
      <c r="X863" s="8" t="s">
        <v>754</v>
      </c>
      <c r="Y863" s="51" t="n">
        <f aca="false">IF(N863="","",EDATE(N863,IF(G863="N",INDEX('Residual Config'!$B$31:$D$31,1,MATCH(D863,'Residual Config'!$B$27:$D$27,0)),INDEX('Residual Config'!$B$28:$D$30,IF(T863=1,1,IF(T863=4,3,2)),MATCH(D863,'Residual Config'!$B$27:$D$27,0)))))</f>
        <v>46422</v>
      </c>
      <c r="Z863" s="7" t="str">
        <f aca="false">IF(I863="N/A","N/A",IF(N863="","Not tested",IF(W863="Rejected","Evidence rejected",IF(W863&lt;&gt;"Accepted","Evidence pending",IF(Y863&lt;'Residual Config'!$C$4,"Overdue","Current")))))</f>
        <v>Current</v>
      </c>
      <c r="AA863" s="34" t="n">
        <f aca="false">IF(I863="N/A","",IF(Z863&lt;&gt;"Current",4,IF(MAX(M863,T863)=0,4,MAX(M863,T863))))</f>
        <v>2</v>
      </c>
      <c r="AB863" s="7" t="str">
        <f aca="false">IF(AA863="","N/A",IF(Z863&lt;&gt;"Current","Not tested / overdue",INDEX('Residual Config'!$B$11:$B$14,AA863)))</f>
        <v>Largely effective</v>
      </c>
      <c r="AC863" s="36" t="n">
        <f aca="false">IF(AA863="","",INDEX('Residual Config'!$D$11:$D$14,AA863))</f>
        <v>0.4</v>
      </c>
      <c r="AD863" s="7" t="str">
        <f aca="false">IF(OR(I863="N/A",P863="",Q863=""),"",IF(P863&gt;=Q863,"Yes","No"))</f>
        <v>Yes</v>
      </c>
      <c r="AE863" s="8"/>
    </row>
    <row r="864" customFormat="false" ht="15" hidden="false" customHeight="false" outlineLevel="0" collapsed="false">
      <c r="A864" s="12" t="s">
        <v>2879</v>
      </c>
      <c r="B864" s="26" t="str">
        <f aca="false">Entities!$A$24</f>
        <v>TN</v>
      </c>
      <c r="C864" s="12" t="str">
        <f aca="false">INDEX(Entities!$B$5:$B$34,MATCH(B864,Entities!$A$5:$A$34,0))</f>
        <v>Arab Tunisian Bank</v>
      </c>
      <c r="D864" s="7" t="str">
        <f aca="false">INDEX(Entities!$F$5:$F$34,MATCH(B864,Entities!$A$5:$A$34,0))</f>
        <v>Tier 2</v>
      </c>
      <c r="E864" s="26" t="str">
        <f aca="false">'Control Library'!$A$47</f>
        <v>CTL-ST-01</v>
      </c>
      <c r="F864" s="12" t="str">
        <f aca="false">INDEX('Control Library'!$B$5:$B$47,MATCH(E864,'Control Library'!$A$5:$A$47,0))</f>
        <v>Strategy execution monitoring and E&amp;S screening of lending</v>
      </c>
      <c r="G864" s="7" t="str">
        <f aca="false">INDEX('Control Library'!$F$5:$F$47,MATCH(E864,'Control Library'!$A$5:$A$47,0))</f>
        <v>Y</v>
      </c>
      <c r="H864" s="12" t="str">
        <f aca="false">INDEX('Control Library'!$E$5:$E$47,MATCH(E864,'Control Library'!$A$5:$A$47,0))</f>
        <v>Quarterly</v>
      </c>
      <c r="I864" s="7" t="str">
        <f aca="false">IF(INDEX('Control Library'!$I$5:$I$47,MATCH(E864,'Control Library'!$A$5:$A$47,0))="All","Y",IF(INDEX('Control Library'!$I$5:$I$47,MATCH(E864,'Control Library'!$A$5:$A$47,0))="Banks only",IF(COUNTIF('Residual Config'!$L$28:$L$30,INDEX(Entities!$E$5:$E$34,MATCH(B864,Entities!$A$5:$A$34,0)))&gt;0,"N/A","Y"),IF(INDEX(Entities!$G$5:$G$34,MATCH(B864,Entities!$A$5:$A$34,0))="Y","Y","N/A")))</f>
        <v>Y</v>
      </c>
      <c r="J864" s="8" t="s">
        <v>2880</v>
      </c>
      <c r="K864" s="8" t="s">
        <v>2776</v>
      </c>
      <c r="L864" s="7" t="str">
        <f aca="false">IF(OR(J864="",K864=""),"",IF(J864=K864,"Breach","OK"))</f>
        <v>OK</v>
      </c>
      <c r="M864" s="24" t="n">
        <v>2</v>
      </c>
      <c r="N864" s="50" t="n">
        <v>46190</v>
      </c>
      <c r="O864" s="8" t="s">
        <v>546</v>
      </c>
      <c r="P864" s="24" t="n">
        <v>2</v>
      </c>
      <c r="Q864" s="31" t="n">
        <f aca="false">IF(I864="N/A","",IFERROR(INDEX('Residual Config'!$B$35:$B$42,MATCH(H864,'Residual Config'!$A$35:$A$42,0)),""))</f>
        <v>2</v>
      </c>
      <c r="R864" s="24" t="n">
        <v>1</v>
      </c>
      <c r="S864" s="8" t="s">
        <v>521</v>
      </c>
      <c r="T864" s="31" t="n">
        <f aca="false">IF(S864="","",MATCH(S864,'Residual Config'!$L$9:$L$12,0))</f>
        <v>2</v>
      </c>
      <c r="U864" s="8" t="s">
        <v>2881</v>
      </c>
      <c r="V864" s="24" t="n">
        <v>1</v>
      </c>
      <c r="W864" s="33" t="s">
        <v>533</v>
      </c>
      <c r="X864" s="8" t="s">
        <v>760</v>
      </c>
      <c r="Y864" s="51" t="n">
        <f aca="false">IF(N864="","",EDATE(N864,IF(G864="N",INDEX('Residual Config'!$B$31:$D$31,1,MATCH(D864,'Residual Config'!$B$27:$D$27,0)),INDEX('Residual Config'!$B$28:$D$30,IF(T864=1,1,IF(T864=4,3,2)),MATCH(D864,'Residual Config'!$B$27:$D$27,0)))))</f>
        <v>46373</v>
      </c>
      <c r="Z864" s="7" t="str">
        <f aca="false">IF(I864="N/A","N/A",IF(N864="","Not tested",IF(W864="Rejected","Evidence rejected",IF(W864&lt;&gt;"Accepted","Evidence pending",IF(Y864&lt;'Residual Config'!$C$4,"Overdue","Current")))))</f>
        <v>Current</v>
      </c>
      <c r="AA864" s="34" t="n">
        <f aca="false">IF(I864="N/A","",IF(Z864&lt;&gt;"Current",4,IF(MAX(M864,T864)=0,4,MAX(M864,T864))))</f>
        <v>2</v>
      </c>
      <c r="AB864" s="7" t="str">
        <f aca="false">IF(AA864="","N/A",IF(Z864&lt;&gt;"Current","Not tested / overdue",INDEX('Residual Config'!$B$11:$B$14,AA864)))</f>
        <v>Largely effective</v>
      </c>
      <c r="AC864" s="36" t="n">
        <f aca="false">IF(AA864="","",INDEX('Residual Config'!$D$11:$D$14,AA864))</f>
        <v>0.4</v>
      </c>
      <c r="AD864" s="7" t="str">
        <f aca="false">IF(OR(I864="N/A",P864="",Q864=""),"",IF(P864&gt;=Q864,"Yes","No"))</f>
        <v>Yes</v>
      </c>
      <c r="AE864" s="8"/>
    </row>
    <row r="865" customFormat="false" ht="15" hidden="false" customHeight="false" outlineLevel="0" collapsed="false">
      <c r="A865" s="12" t="s">
        <v>2882</v>
      </c>
      <c r="B865" s="26" t="str">
        <f aca="false">Entities!$A$25</f>
        <v>SD</v>
      </c>
      <c r="C865" s="12" t="str">
        <f aca="false">INDEX(Entities!$B$5:$B$34,MATCH(B865,Entities!$A$5:$A$34,0))</f>
        <v>Arab Sudanese Bank</v>
      </c>
      <c r="D865" s="7" t="str">
        <f aca="false">INDEX(Entities!$F$5:$F$34,MATCH(B865,Entities!$A$5:$A$34,0))</f>
        <v>Tier 3</v>
      </c>
      <c r="E865" s="26" t="str">
        <f aca="false">'Control Library'!$A$5</f>
        <v>CTL-KYC-01</v>
      </c>
      <c r="F865" s="12" t="str">
        <f aca="false">INDEX('Control Library'!$B$5:$B$47,MATCH(E865,'Control Library'!$A$5:$A$47,0))</f>
        <v>Customer due diligence and ID verification at onboarding</v>
      </c>
      <c r="G865" s="7" t="str">
        <f aca="false">INDEX('Control Library'!$F$5:$F$47,MATCH(E865,'Control Library'!$A$5:$A$47,0))</f>
        <v>Y</v>
      </c>
      <c r="H865" s="12" t="str">
        <f aca="false">INDEX('Control Library'!$E$5:$E$47,MATCH(E865,'Control Library'!$A$5:$A$47,0))</f>
        <v>Event-driven</v>
      </c>
      <c r="I865" s="7" t="str">
        <f aca="false">IF(INDEX('Control Library'!$I$5:$I$47,MATCH(E865,'Control Library'!$A$5:$A$47,0))="All","Y",IF(INDEX('Control Library'!$I$5:$I$47,MATCH(E865,'Control Library'!$A$5:$A$47,0))="Banks only",IF(COUNTIF('Residual Config'!$L$28:$L$30,INDEX(Entities!$E$5:$E$34,MATCH(B865,Entities!$A$5:$A$34,0)))&gt;0,"N/A","Y"),IF(INDEX(Entities!$G$5:$G$34,MATCH(B865,Entities!$A$5:$A$34,0))="Y","Y","N/A")))</f>
        <v>Y</v>
      </c>
      <c r="J865" s="8" t="s">
        <v>2883</v>
      </c>
      <c r="K865" s="8" t="s">
        <v>2884</v>
      </c>
      <c r="L865" s="7" t="str">
        <f aca="false">IF(OR(J865="",K865=""),"",IF(J865=K865,"Breach","OK"))</f>
        <v>OK</v>
      </c>
      <c r="M865" s="24" t="n">
        <v>2</v>
      </c>
      <c r="N865" s="50" t="n">
        <v>46286</v>
      </c>
      <c r="O865" s="8" t="s">
        <v>546</v>
      </c>
      <c r="P865" s="24" t="n">
        <v>25</v>
      </c>
      <c r="Q865" s="31" t="n">
        <f aca="false">IF(I865="N/A","",IFERROR(INDEX('Residual Config'!$B$35:$B$42,MATCH(H865,'Residual Config'!$A$35:$A$42,0)),""))</f>
        <v>25</v>
      </c>
      <c r="R865" s="24" t="n">
        <v>1</v>
      </c>
      <c r="S865" s="8" t="s">
        <v>521</v>
      </c>
      <c r="T865" s="31" t="n">
        <f aca="false">IF(S865="","",MATCH(S865,'Residual Config'!$L$9:$L$12,0))</f>
        <v>2</v>
      </c>
      <c r="U865" s="8" t="s">
        <v>2885</v>
      </c>
      <c r="V865" s="24" t="n">
        <v>2</v>
      </c>
      <c r="W865" s="33" t="s">
        <v>533</v>
      </c>
      <c r="X865" s="8" t="s">
        <v>754</v>
      </c>
      <c r="Y865" s="51" t="n">
        <f aca="false">IF(N865="","",EDATE(N865,IF(G865="N",INDEX('Residual Config'!$B$31:$D$31,1,MATCH(D865,'Residual Config'!$B$27:$D$27,0)),INDEX('Residual Config'!$B$28:$D$30,IF(T865=1,1,IF(T865=4,3,2)),MATCH(D865,'Residual Config'!$B$27:$D$27,0)))))</f>
        <v>46467</v>
      </c>
      <c r="Z865" s="7" t="str">
        <f aca="false">IF(I865="N/A","N/A",IF(N865="","Not tested",IF(W865="Rejected","Evidence rejected",IF(W865&lt;&gt;"Accepted","Evidence pending",IF(Y865&lt;'Residual Config'!$C$4,"Overdue","Current")))))</f>
        <v>Current</v>
      </c>
      <c r="AA865" s="34" t="n">
        <f aca="false">IF(I865="N/A","",IF(Z865&lt;&gt;"Current",4,IF(MAX(M865,T865)=0,4,MAX(M865,T865))))</f>
        <v>2</v>
      </c>
      <c r="AB865" s="7" t="str">
        <f aca="false">IF(AA865="","N/A",IF(Z865&lt;&gt;"Current","Not tested / overdue",INDEX('Residual Config'!$B$11:$B$14,AA865)))</f>
        <v>Largely effective</v>
      </c>
      <c r="AC865" s="36" t="n">
        <f aca="false">IF(AA865="","",INDEX('Residual Config'!$D$11:$D$14,AA865))</f>
        <v>0.4</v>
      </c>
      <c r="AD865" s="7" t="str">
        <f aca="false">IF(OR(I865="N/A",P865="",Q865=""),"",IF(P865&gt;=Q865,"Yes","No"))</f>
        <v>Yes</v>
      </c>
      <c r="AE865" s="8"/>
    </row>
    <row r="866" customFormat="false" ht="15" hidden="false" customHeight="false" outlineLevel="0" collapsed="false">
      <c r="A866" s="12" t="s">
        <v>2886</v>
      </c>
      <c r="B866" s="26" t="str">
        <f aca="false">Entities!$A$25</f>
        <v>SD</v>
      </c>
      <c r="C866" s="12" t="str">
        <f aca="false">INDEX(Entities!$B$5:$B$34,MATCH(B866,Entities!$A$5:$A$34,0))</f>
        <v>Arab Sudanese Bank</v>
      </c>
      <c r="D866" s="7" t="str">
        <f aca="false">INDEX(Entities!$F$5:$F$34,MATCH(B866,Entities!$A$5:$A$34,0))</f>
        <v>Tier 3</v>
      </c>
      <c r="E866" s="26" t="str">
        <f aca="false">'Control Library'!$A$6</f>
        <v>CTL-KYC-02</v>
      </c>
      <c r="F866" s="12" t="str">
        <f aca="false">INDEX('Control Library'!$B$5:$B$47,MATCH(E866,'Control Library'!$A$5:$A$47,0))</f>
        <v>Enhanced due diligence for high-risk customers and PEPs, senior approval</v>
      </c>
      <c r="G866" s="7" t="str">
        <f aca="false">INDEX('Control Library'!$F$5:$F$47,MATCH(E866,'Control Library'!$A$5:$A$47,0))</f>
        <v>Y</v>
      </c>
      <c r="H866" s="12" t="str">
        <f aca="false">INDEX('Control Library'!$E$5:$E$47,MATCH(E866,'Control Library'!$A$5:$A$47,0))</f>
        <v>Event-driven</v>
      </c>
      <c r="I866" s="7" t="str">
        <f aca="false">IF(INDEX('Control Library'!$I$5:$I$47,MATCH(E866,'Control Library'!$A$5:$A$47,0))="All","Y",IF(INDEX('Control Library'!$I$5:$I$47,MATCH(E866,'Control Library'!$A$5:$A$47,0))="Banks only",IF(COUNTIF('Residual Config'!$L$28:$L$30,INDEX(Entities!$E$5:$E$34,MATCH(B866,Entities!$A$5:$A$34,0)))&gt;0,"N/A","Y"),IF(INDEX(Entities!$G$5:$G$34,MATCH(B866,Entities!$A$5:$A$34,0))="Y","Y","N/A")))</f>
        <v>Y</v>
      </c>
      <c r="J866" s="8" t="s">
        <v>2887</v>
      </c>
      <c r="K866" s="8" t="s">
        <v>2884</v>
      </c>
      <c r="L866" s="7" t="str">
        <f aca="false">IF(OR(J866="",K866=""),"",IF(J866=K866,"Breach","OK"))</f>
        <v>OK</v>
      </c>
      <c r="M866" s="24" t="n">
        <v>2</v>
      </c>
      <c r="N866" s="50" t="n">
        <v>46136</v>
      </c>
      <c r="O866" s="8" t="s">
        <v>545</v>
      </c>
      <c r="P866" s="24" t="n">
        <v>25</v>
      </c>
      <c r="Q866" s="31" t="n">
        <f aca="false">IF(I866="N/A","",IFERROR(INDEX('Residual Config'!$B$35:$B$42,MATCH(H866,'Residual Config'!$A$35:$A$42,0)),""))</f>
        <v>25</v>
      </c>
      <c r="R866" s="24" t="n">
        <v>1</v>
      </c>
      <c r="S866" s="8" t="s">
        <v>521</v>
      </c>
      <c r="T866" s="31" t="n">
        <f aca="false">IF(S866="","",MATCH(S866,'Residual Config'!$L$9:$L$12,0))</f>
        <v>2</v>
      </c>
      <c r="U866" s="8" t="s">
        <v>2888</v>
      </c>
      <c r="V866" s="24" t="n">
        <v>3</v>
      </c>
      <c r="W866" s="33" t="s">
        <v>533</v>
      </c>
      <c r="X866" s="8" t="s">
        <v>754</v>
      </c>
      <c r="Y866" s="51" t="n">
        <f aca="false">IF(N866="","",EDATE(N866,IF(G866="N",INDEX('Residual Config'!$B$31:$D$31,1,MATCH(D866,'Residual Config'!$B$27:$D$27,0)),INDEX('Residual Config'!$B$28:$D$30,IF(T866=1,1,IF(T866=4,3,2)),MATCH(D866,'Residual Config'!$B$27:$D$27,0)))))</f>
        <v>46319</v>
      </c>
      <c r="Z866" s="7" t="str">
        <f aca="false">IF(I866="N/A","N/A",IF(N866="","Not tested",IF(W866="Rejected","Evidence rejected",IF(W866&lt;&gt;"Accepted","Evidence pending",IF(Y866&lt;'Residual Config'!$C$4,"Overdue","Current")))))</f>
        <v>Current</v>
      </c>
      <c r="AA866" s="34" t="n">
        <f aca="false">IF(I866="N/A","",IF(Z866&lt;&gt;"Current",4,IF(MAX(M866,T866)=0,4,MAX(M866,T866))))</f>
        <v>2</v>
      </c>
      <c r="AB866" s="7" t="str">
        <f aca="false">IF(AA866="","N/A",IF(Z866&lt;&gt;"Current","Not tested / overdue",INDEX('Residual Config'!$B$11:$B$14,AA866)))</f>
        <v>Largely effective</v>
      </c>
      <c r="AC866" s="36" t="n">
        <f aca="false">IF(AA866="","",INDEX('Residual Config'!$D$11:$D$14,AA866))</f>
        <v>0.4</v>
      </c>
      <c r="AD866" s="7" t="str">
        <f aca="false">IF(OR(I866="N/A",P866="",Q866=""),"",IF(P866&gt;=Q866,"Yes","No"))</f>
        <v>Yes</v>
      </c>
      <c r="AE866" s="8"/>
    </row>
    <row r="867" customFormat="false" ht="15" hidden="false" customHeight="false" outlineLevel="0" collapsed="false">
      <c r="A867" s="12" t="s">
        <v>2889</v>
      </c>
      <c r="B867" s="26" t="str">
        <f aca="false">Entities!$A$25</f>
        <v>SD</v>
      </c>
      <c r="C867" s="12" t="str">
        <f aca="false">INDEX(Entities!$B$5:$B$34,MATCH(B867,Entities!$A$5:$A$34,0))</f>
        <v>Arab Sudanese Bank</v>
      </c>
      <c r="D867" s="7" t="str">
        <f aca="false">INDEX(Entities!$F$5:$F$34,MATCH(B867,Entities!$A$5:$A$34,0))</f>
        <v>Tier 3</v>
      </c>
      <c r="E867" s="26" t="str">
        <f aca="false">'Control Library'!$A$7</f>
        <v>CTL-KYC-03</v>
      </c>
      <c r="F867" s="12" t="str">
        <f aca="false">INDEX('Control Library'!$B$5:$B$47,MATCH(E867,'Control Library'!$A$5:$A$47,0))</f>
        <v>Ultimate beneficial owner identification and verification</v>
      </c>
      <c r="G867" s="7" t="str">
        <f aca="false">INDEX('Control Library'!$F$5:$F$47,MATCH(E867,'Control Library'!$A$5:$A$47,0))</f>
        <v>Y</v>
      </c>
      <c r="H867" s="12" t="str">
        <f aca="false">INDEX('Control Library'!$E$5:$E$47,MATCH(E867,'Control Library'!$A$5:$A$47,0))</f>
        <v>Event-driven</v>
      </c>
      <c r="I867" s="7" t="str">
        <f aca="false">IF(INDEX('Control Library'!$I$5:$I$47,MATCH(E867,'Control Library'!$A$5:$A$47,0))="All","Y",IF(INDEX('Control Library'!$I$5:$I$47,MATCH(E867,'Control Library'!$A$5:$A$47,0))="Banks only",IF(COUNTIF('Residual Config'!$L$28:$L$30,INDEX(Entities!$E$5:$E$34,MATCH(B867,Entities!$A$5:$A$34,0)))&gt;0,"N/A","Y"),IF(INDEX(Entities!$G$5:$G$34,MATCH(B867,Entities!$A$5:$A$34,0))="Y","Y","N/A")))</f>
        <v>Y</v>
      </c>
      <c r="J867" s="8" t="s">
        <v>2883</v>
      </c>
      <c r="K867" s="8" t="s">
        <v>2884</v>
      </c>
      <c r="L867" s="7" t="str">
        <f aca="false">IF(OR(J867="",K867=""),"",IF(J867=K867,"Breach","OK"))</f>
        <v>OK</v>
      </c>
      <c r="M867" s="24" t="n">
        <v>2</v>
      </c>
      <c r="N867" s="50" t="n">
        <v>46195</v>
      </c>
      <c r="O867" s="8" t="s">
        <v>546</v>
      </c>
      <c r="P867" s="24" t="n">
        <v>25</v>
      </c>
      <c r="Q867" s="31" t="n">
        <f aca="false">IF(I867="N/A","",IFERROR(INDEX('Residual Config'!$B$35:$B$42,MATCH(H867,'Residual Config'!$A$35:$A$42,0)),""))</f>
        <v>25</v>
      </c>
      <c r="R867" s="24" t="n">
        <v>1</v>
      </c>
      <c r="S867" s="8" t="s">
        <v>521</v>
      </c>
      <c r="T867" s="31" t="n">
        <f aca="false">IF(S867="","",MATCH(S867,'Residual Config'!$L$9:$L$12,0))</f>
        <v>2</v>
      </c>
      <c r="U867" s="8" t="s">
        <v>2890</v>
      </c>
      <c r="V867" s="24" t="n">
        <v>3</v>
      </c>
      <c r="W867" s="33" t="s">
        <v>533</v>
      </c>
      <c r="X867" s="8" t="s">
        <v>754</v>
      </c>
      <c r="Y867" s="51" t="n">
        <f aca="false">IF(N867="","",EDATE(N867,IF(G867="N",INDEX('Residual Config'!$B$31:$D$31,1,MATCH(D867,'Residual Config'!$B$27:$D$27,0)),INDEX('Residual Config'!$B$28:$D$30,IF(T867=1,1,IF(T867=4,3,2)),MATCH(D867,'Residual Config'!$B$27:$D$27,0)))))</f>
        <v>46378</v>
      </c>
      <c r="Z867" s="7" t="str">
        <f aca="false">IF(I867="N/A","N/A",IF(N867="","Not tested",IF(W867="Rejected","Evidence rejected",IF(W867&lt;&gt;"Accepted","Evidence pending",IF(Y867&lt;'Residual Config'!$C$4,"Overdue","Current")))))</f>
        <v>Current</v>
      </c>
      <c r="AA867" s="34" t="n">
        <f aca="false">IF(I867="N/A","",IF(Z867&lt;&gt;"Current",4,IF(MAX(M867,T867)=0,4,MAX(M867,T867))))</f>
        <v>2</v>
      </c>
      <c r="AB867" s="7" t="str">
        <f aca="false">IF(AA867="","N/A",IF(Z867&lt;&gt;"Current","Not tested / overdue",INDEX('Residual Config'!$B$11:$B$14,AA867)))</f>
        <v>Largely effective</v>
      </c>
      <c r="AC867" s="36" t="n">
        <f aca="false">IF(AA867="","",INDEX('Residual Config'!$D$11:$D$14,AA867))</f>
        <v>0.4</v>
      </c>
      <c r="AD867" s="7" t="str">
        <f aca="false">IF(OR(I867="N/A",P867="",Q867=""),"",IF(P867&gt;=Q867,"Yes","No"))</f>
        <v>Yes</v>
      </c>
      <c r="AE867" s="8"/>
    </row>
    <row r="868" customFormat="false" ht="15" hidden="false" customHeight="false" outlineLevel="0" collapsed="false">
      <c r="A868" s="12" t="s">
        <v>2891</v>
      </c>
      <c r="B868" s="26" t="str">
        <f aca="false">Entities!$A$25</f>
        <v>SD</v>
      </c>
      <c r="C868" s="12" t="str">
        <f aca="false">INDEX(Entities!$B$5:$B$34,MATCH(B868,Entities!$A$5:$A$34,0))</f>
        <v>Arab Sudanese Bank</v>
      </c>
      <c r="D868" s="7" t="str">
        <f aca="false">INDEX(Entities!$F$5:$F$34,MATCH(B868,Entities!$A$5:$A$34,0))</f>
        <v>Tier 3</v>
      </c>
      <c r="E868" s="26" t="str">
        <f aca="false">'Control Library'!$A$8</f>
        <v>CTL-KYC-04</v>
      </c>
      <c r="F868" s="12" t="str">
        <f aca="false">INDEX('Control Library'!$B$5:$B$47,MATCH(E868,'Control Library'!$A$5:$A$47,0))</f>
        <v>Periodic KYC review by customer risk rating</v>
      </c>
      <c r="G868" s="7" t="str">
        <f aca="false">INDEX('Control Library'!$F$5:$F$47,MATCH(E868,'Control Library'!$A$5:$A$47,0))</f>
        <v>Y</v>
      </c>
      <c r="H868" s="12" t="str">
        <f aca="false">INDEX('Control Library'!$E$5:$E$47,MATCH(E868,'Control Library'!$A$5:$A$47,0))</f>
        <v>Monthly</v>
      </c>
      <c r="I868" s="7" t="str">
        <f aca="false">IF(INDEX('Control Library'!$I$5:$I$47,MATCH(E868,'Control Library'!$A$5:$A$47,0))="All","Y",IF(INDEX('Control Library'!$I$5:$I$47,MATCH(E868,'Control Library'!$A$5:$A$47,0))="Banks only",IF(COUNTIF('Residual Config'!$L$28:$L$30,INDEX(Entities!$E$5:$E$34,MATCH(B868,Entities!$A$5:$A$34,0)))&gt;0,"N/A","Y"),IF(INDEX(Entities!$G$5:$G$34,MATCH(B868,Entities!$A$5:$A$34,0))="Y","Y","N/A")))</f>
        <v>Y</v>
      </c>
      <c r="J868" s="8" t="s">
        <v>2883</v>
      </c>
      <c r="K868" s="8" t="s">
        <v>2884</v>
      </c>
      <c r="L868" s="7" t="str">
        <f aca="false">IF(OR(J868="",K868=""),"",IF(J868=K868,"Breach","OK"))</f>
        <v>OK</v>
      </c>
      <c r="M868" s="24" t="n">
        <v>3</v>
      </c>
      <c r="N868" s="50" t="n">
        <v>46247</v>
      </c>
      <c r="O868" s="8" t="s">
        <v>545</v>
      </c>
      <c r="P868" s="24" t="n">
        <v>3</v>
      </c>
      <c r="Q868" s="31" t="n">
        <f aca="false">IF(I868="N/A","",IFERROR(INDEX('Residual Config'!$B$35:$B$42,MATCH(H868,'Residual Config'!$A$35:$A$42,0)),""))</f>
        <v>3</v>
      </c>
      <c r="R868" s="24" t="n">
        <v>1</v>
      </c>
      <c r="S868" s="8" t="s">
        <v>521</v>
      </c>
      <c r="T868" s="31" t="n">
        <f aca="false">IF(S868="","",MATCH(S868,'Residual Config'!$L$9:$L$12,0))</f>
        <v>2</v>
      </c>
      <c r="U868" s="8" t="s">
        <v>2892</v>
      </c>
      <c r="V868" s="24" t="n">
        <v>1</v>
      </c>
      <c r="W868" s="33" t="s">
        <v>533</v>
      </c>
      <c r="X868" s="8" t="s">
        <v>754</v>
      </c>
      <c r="Y868" s="51" t="n">
        <f aca="false">IF(N868="","",EDATE(N868,IF(G868="N",INDEX('Residual Config'!$B$31:$D$31,1,MATCH(D868,'Residual Config'!$B$27:$D$27,0)),INDEX('Residual Config'!$B$28:$D$30,IF(T868=1,1,IF(T868=4,3,2)),MATCH(D868,'Residual Config'!$B$27:$D$27,0)))))</f>
        <v>46431</v>
      </c>
      <c r="Z868" s="7" t="str">
        <f aca="false">IF(I868="N/A","N/A",IF(N868="","Not tested",IF(W868="Rejected","Evidence rejected",IF(W868&lt;&gt;"Accepted","Evidence pending",IF(Y868&lt;'Residual Config'!$C$4,"Overdue","Current")))))</f>
        <v>Current</v>
      </c>
      <c r="AA868" s="34" t="n">
        <f aca="false">IF(I868="N/A","",IF(Z868&lt;&gt;"Current",4,IF(MAX(M868,T868)=0,4,MAX(M868,T868))))</f>
        <v>3</v>
      </c>
      <c r="AB868" s="7" t="str">
        <f aca="false">IF(AA868="","N/A",IF(Z868&lt;&gt;"Current","Not tested / overdue",INDEX('Residual Config'!$B$11:$B$14,AA868)))</f>
        <v>Partially effective</v>
      </c>
      <c r="AC868" s="36" t="n">
        <f aca="false">IF(AA868="","",INDEX('Residual Config'!$D$11:$D$14,AA868))</f>
        <v>0.2</v>
      </c>
      <c r="AD868" s="7" t="str">
        <f aca="false">IF(OR(I868="N/A",P868="",Q868=""),"",IF(P868&gt;=Q868,"Yes","No"))</f>
        <v>Yes</v>
      </c>
      <c r="AE868" s="8"/>
    </row>
    <row r="869" customFormat="false" ht="15" hidden="false" customHeight="false" outlineLevel="0" collapsed="false">
      <c r="A869" s="12" t="s">
        <v>2893</v>
      </c>
      <c r="B869" s="26" t="str">
        <f aca="false">Entities!$A$25</f>
        <v>SD</v>
      </c>
      <c r="C869" s="12" t="str">
        <f aca="false">INDEX(Entities!$B$5:$B$34,MATCH(B869,Entities!$A$5:$A$34,0))</f>
        <v>Arab Sudanese Bank</v>
      </c>
      <c r="D869" s="7" t="str">
        <f aca="false">INDEX(Entities!$F$5:$F$34,MATCH(B869,Entities!$A$5:$A$34,0))</f>
        <v>Tier 3</v>
      </c>
      <c r="E869" s="26" t="str">
        <f aca="false">'Control Library'!$A$9</f>
        <v>CTL-CRR-01</v>
      </c>
      <c r="F869" s="12" t="str">
        <f aca="false">INDEX('Control Library'!$B$5:$B$47,MATCH(E869,'Control Library'!$A$5:$A$47,0))</f>
        <v>Customer risk rating model and annual validation</v>
      </c>
      <c r="G869" s="7" t="str">
        <f aca="false">INDEX('Control Library'!$F$5:$F$47,MATCH(E869,'Control Library'!$A$5:$A$47,0))</f>
        <v>N</v>
      </c>
      <c r="H869" s="12" t="str">
        <f aca="false">INDEX('Control Library'!$E$5:$E$47,MATCH(E869,'Control Library'!$A$5:$A$47,0))</f>
        <v>Annual</v>
      </c>
      <c r="I869" s="7" t="str">
        <f aca="false">IF(INDEX('Control Library'!$I$5:$I$47,MATCH(E869,'Control Library'!$A$5:$A$47,0))="All","Y",IF(INDEX('Control Library'!$I$5:$I$47,MATCH(E869,'Control Library'!$A$5:$A$47,0))="Banks only",IF(COUNTIF('Residual Config'!$L$28:$L$30,INDEX(Entities!$E$5:$E$34,MATCH(B869,Entities!$A$5:$A$34,0)))&gt;0,"N/A","Y"),IF(INDEX(Entities!$G$5:$G$34,MATCH(B869,Entities!$A$5:$A$34,0))="Y","Y","N/A")))</f>
        <v>Y</v>
      </c>
      <c r="J869" s="8" t="s">
        <v>2887</v>
      </c>
      <c r="K869" s="8" t="s">
        <v>2884</v>
      </c>
      <c r="L869" s="7" t="str">
        <f aca="false">IF(OR(J869="",K869=""),"",IF(J869=K869,"Breach","OK"))</f>
        <v>OK</v>
      </c>
      <c r="M869" s="24" t="n">
        <v>2</v>
      </c>
      <c r="N869" s="50" t="n">
        <v>45678</v>
      </c>
      <c r="O869" s="8" t="s">
        <v>547</v>
      </c>
      <c r="P869" s="24" t="n">
        <v>1</v>
      </c>
      <c r="Q869" s="31" t="n">
        <f aca="false">IF(I869="N/A","",IFERROR(INDEX('Residual Config'!$B$35:$B$42,MATCH(H869,'Residual Config'!$A$35:$A$42,0)),""))</f>
        <v>1</v>
      </c>
      <c r="R869" s="24" t="n">
        <v>1</v>
      </c>
      <c r="S869" s="8" t="s">
        <v>521</v>
      </c>
      <c r="T869" s="31" t="n">
        <f aca="false">IF(S869="","",MATCH(S869,'Residual Config'!$L$9:$L$12,0))</f>
        <v>2</v>
      </c>
      <c r="U869" s="8" t="s">
        <v>2894</v>
      </c>
      <c r="V869" s="24" t="n">
        <v>2</v>
      </c>
      <c r="W869" s="33" t="s">
        <v>535</v>
      </c>
      <c r="X869" s="8" t="s">
        <v>754</v>
      </c>
      <c r="Y869" s="51" t="n">
        <f aca="false">IF(N869="","",EDATE(N869,IF(G869="N",INDEX('Residual Config'!$B$31:$D$31,1,MATCH(D869,'Residual Config'!$B$27:$D$27,0)),INDEX('Residual Config'!$B$28:$D$30,IF(T869=1,1,IF(T869=4,3,2)),MATCH(D869,'Residual Config'!$B$27:$D$27,0)))))</f>
        <v>46408</v>
      </c>
      <c r="Z869" s="7" t="str">
        <f aca="false">IF(I869="N/A","N/A",IF(N869="","Not tested",IF(W869="Rejected","Evidence rejected",IF(W869&lt;&gt;"Accepted","Evidence pending",IF(Y869&lt;'Residual Config'!$C$4,"Overdue","Current")))))</f>
        <v>Evidence rejected</v>
      </c>
      <c r="AA869" s="34" t="n">
        <f aca="false">IF(I869="N/A","",IF(Z869&lt;&gt;"Current",4,IF(MAX(M869,T869)=0,4,MAX(M869,T869))))</f>
        <v>4</v>
      </c>
      <c r="AB869" s="7" t="str">
        <f aca="false">IF(AA869="","N/A",IF(Z869&lt;&gt;"Current","Not tested / overdue",INDEX('Residual Config'!$B$11:$B$14,AA869)))</f>
        <v>Not tested / overdue</v>
      </c>
      <c r="AC869" s="36" t="n">
        <f aca="false">IF(AA869="","",INDEX('Residual Config'!$D$11:$D$14,AA869))</f>
        <v>0</v>
      </c>
      <c r="AD869" s="7" t="str">
        <f aca="false">IF(OR(I869="N/A",P869="",Q869=""),"",IF(P869&gt;=Q869,"Yes","No"))</f>
        <v>Yes</v>
      </c>
      <c r="AE869" s="8"/>
    </row>
    <row r="870" customFormat="false" ht="15" hidden="false" customHeight="false" outlineLevel="0" collapsed="false">
      <c r="A870" s="12" t="s">
        <v>2895</v>
      </c>
      <c r="B870" s="26" t="str">
        <f aca="false">Entities!$A$25</f>
        <v>SD</v>
      </c>
      <c r="C870" s="12" t="str">
        <f aca="false">INDEX(Entities!$B$5:$B$34,MATCH(B870,Entities!$A$5:$A$34,0))</f>
        <v>Arab Sudanese Bank</v>
      </c>
      <c r="D870" s="7" t="str">
        <f aca="false">INDEX(Entities!$F$5:$F$34,MATCH(B870,Entities!$A$5:$A$34,0))</f>
        <v>Tier 3</v>
      </c>
      <c r="E870" s="26" t="str">
        <f aca="false">'Control Library'!$A$10</f>
        <v>CTL-TM-01</v>
      </c>
      <c r="F870" s="12" t="str">
        <f aca="false">INDEX('Control Library'!$B$5:$B$47,MATCH(E870,'Control Library'!$A$5:$A$47,0))</f>
        <v>Automated transaction monitoring scenarios and annual tuning</v>
      </c>
      <c r="G870" s="7" t="str">
        <f aca="false">INDEX('Control Library'!$F$5:$F$47,MATCH(E870,'Control Library'!$A$5:$A$47,0))</f>
        <v>Y</v>
      </c>
      <c r="H870" s="12" t="str">
        <f aca="false">INDEX('Control Library'!$E$5:$E$47,MATCH(E870,'Control Library'!$A$5:$A$47,0))</f>
        <v>Continuous</v>
      </c>
      <c r="I870" s="7" t="str">
        <f aca="false">IF(INDEX('Control Library'!$I$5:$I$47,MATCH(E870,'Control Library'!$A$5:$A$47,0))="All","Y",IF(INDEX('Control Library'!$I$5:$I$47,MATCH(E870,'Control Library'!$A$5:$A$47,0))="Banks only",IF(COUNTIF('Residual Config'!$L$28:$L$30,INDEX(Entities!$E$5:$E$34,MATCH(B870,Entities!$A$5:$A$34,0)))&gt;0,"N/A","Y"),IF(INDEX(Entities!$G$5:$G$34,MATCH(B870,Entities!$A$5:$A$34,0))="Y","Y","N/A")))</f>
        <v>Y</v>
      </c>
      <c r="J870" s="8" t="s">
        <v>2896</v>
      </c>
      <c r="K870" s="8" t="s">
        <v>2884</v>
      </c>
      <c r="L870" s="7" t="str">
        <f aca="false">IF(OR(J870="",K870=""),"",IF(J870=K870,"Breach","OK"))</f>
        <v>OK</v>
      </c>
      <c r="M870" s="24" t="n">
        <v>3</v>
      </c>
      <c r="N870" s="50" t="n">
        <v>46164</v>
      </c>
      <c r="O870" s="8" t="s">
        <v>546</v>
      </c>
      <c r="P870" s="24" t="n">
        <v>1</v>
      </c>
      <c r="Q870" s="31" t="n">
        <f aca="false">IF(I870="N/A","",IFERROR(INDEX('Residual Config'!$B$35:$B$42,MATCH(H870,'Residual Config'!$A$35:$A$42,0)),""))</f>
        <v>1</v>
      </c>
      <c r="R870" s="24" t="n">
        <v>0</v>
      </c>
      <c r="S870" s="8" t="s">
        <v>516</v>
      </c>
      <c r="T870" s="31" t="n">
        <f aca="false">IF(S870="","",MATCH(S870,'Residual Config'!$L$9:$L$12,0))</f>
        <v>1</v>
      </c>
      <c r="U870" s="8" t="s">
        <v>2897</v>
      </c>
      <c r="V870" s="24" t="n">
        <v>5</v>
      </c>
      <c r="W870" s="33" t="s">
        <v>533</v>
      </c>
      <c r="X870" s="8" t="s">
        <v>760</v>
      </c>
      <c r="Y870" s="51" t="n">
        <f aca="false">IF(N870="","",EDATE(N870,IF(G870="N",INDEX('Residual Config'!$B$31:$D$31,1,MATCH(D870,'Residual Config'!$B$27:$D$27,0)),INDEX('Residual Config'!$B$28:$D$30,IF(T870=1,1,IF(T870=4,3,2)),MATCH(D870,'Residual Config'!$B$27:$D$27,0)))))</f>
        <v>46529</v>
      </c>
      <c r="Z870" s="7" t="str">
        <f aca="false">IF(I870="N/A","N/A",IF(N870="","Not tested",IF(W870="Rejected","Evidence rejected",IF(W870&lt;&gt;"Accepted","Evidence pending",IF(Y870&lt;'Residual Config'!$C$4,"Overdue","Current")))))</f>
        <v>Current</v>
      </c>
      <c r="AA870" s="34" t="n">
        <f aca="false">IF(I870="N/A","",IF(Z870&lt;&gt;"Current",4,IF(MAX(M870,T870)=0,4,MAX(M870,T870))))</f>
        <v>3</v>
      </c>
      <c r="AB870" s="7" t="str">
        <f aca="false">IF(AA870="","N/A",IF(Z870&lt;&gt;"Current","Not tested / overdue",INDEX('Residual Config'!$B$11:$B$14,AA870)))</f>
        <v>Partially effective</v>
      </c>
      <c r="AC870" s="36" t="n">
        <f aca="false">IF(AA870="","",INDEX('Residual Config'!$D$11:$D$14,AA870))</f>
        <v>0.2</v>
      </c>
      <c r="AD870" s="7" t="str">
        <f aca="false">IF(OR(I870="N/A",P870="",Q870=""),"",IF(P870&gt;=Q870,"Yes","No"))</f>
        <v>Yes</v>
      </c>
      <c r="AE870" s="8"/>
    </row>
    <row r="871" customFormat="false" ht="15" hidden="false" customHeight="false" outlineLevel="0" collapsed="false">
      <c r="A871" s="12" t="s">
        <v>2898</v>
      </c>
      <c r="B871" s="26" t="str">
        <f aca="false">Entities!$A$25</f>
        <v>SD</v>
      </c>
      <c r="C871" s="12" t="str">
        <f aca="false">INDEX(Entities!$B$5:$B$34,MATCH(B871,Entities!$A$5:$A$34,0))</f>
        <v>Arab Sudanese Bank</v>
      </c>
      <c r="D871" s="7" t="str">
        <f aca="false">INDEX(Entities!$F$5:$F$34,MATCH(B871,Entities!$A$5:$A$34,0))</f>
        <v>Tier 3</v>
      </c>
      <c r="E871" s="26" t="str">
        <f aca="false">'Control Library'!$A$11</f>
        <v>CTL-TM-02</v>
      </c>
      <c r="F871" s="12" t="str">
        <f aca="false">INDEX('Control Library'!$B$5:$B$47,MATCH(E871,'Control Library'!$A$5:$A$47,0))</f>
        <v>Alert investigation and quality assurance within SLA</v>
      </c>
      <c r="G871" s="7" t="str">
        <f aca="false">INDEX('Control Library'!$F$5:$F$47,MATCH(E871,'Control Library'!$A$5:$A$47,0))</f>
        <v>Y</v>
      </c>
      <c r="H871" s="12" t="str">
        <f aca="false">INDEX('Control Library'!$E$5:$E$47,MATCH(E871,'Control Library'!$A$5:$A$47,0))</f>
        <v>Daily</v>
      </c>
      <c r="I871" s="7" t="str">
        <f aca="false">IF(INDEX('Control Library'!$I$5:$I$47,MATCH(E871,'Control Library'!$A$5:$A$47,0))="All","Y",IF(INDEX('Control Library'!$I$5:$I$47,MATCH(E871,'Control Library'!$A$5:$A$47,0))="Banks only",IF(COUNTIF('Residual Config'!$L$28:$L$30,INDEX(Entities!$E$5:$E$34,MATCH(B871,Entities!$A$5:$A$34,0)))&gt;0,"N/A","Y"),IF(INDEX(Entities!$G$5:$G$34,MATCH(B871,Entities!$A$5:$A$34,0))="Y","Y","N/A")))</f>
        <v>Y</v>
      </c>
      <c r="J871" s="8" t="s">
        <v>2896</v>
      </c>
      <c r="K871" s="8" t="s">
        <v>2884</v>
      </c>
      <c r="L871" s="7" t="str">
        <f aca="false">IF(OR(J871="",K871=""),"",IF(J871=K871,"Breach","OK"))</f>
        <v>OK</v>
      </c>
      <c r="M871" s="24" t="n">
        <v>2</v>
      </c>
      <c r="N871" s="50" t="n">
        <v>46052</v>
      </c>
      <c r="O871" s="8" t="s">
        <v>545</v>
      </c>
      <c r="P871" s="24" t="n">
        <v>35</v>
      </c>
      <c r="Q871" s="31" t="n">
        <f aca="false">IF(I871="N/A","",IFERROR(INDEX('Residual Config'!$B$35:$B$42,MATCH(H871,'Residual Config'!$A$35:$A$42,0)),""))</f>
        <v>25</v>
      </c>
      <c r="R871" s="24" t="n">
        <v>3</v>
      </c>
      <c r="S871" s="8" t="s">
        <v>524</v>
      </c>
      <c r="T871" s="31" t="n">
        <f aca="false">IF(S871="","",MATCH(S871,'Residual Config'!$L$9:$L$12,0))</f>
        <v>3</v>
      </c>
      <c r="U871" s="8" t="s">
        <v>2899</v>
      </c>
      <c r="V871" s="24" t="n">
        <v>6</v>
      </c>
      <c r="W871" s="33" t="s">
        <v>533</v>
      </c>
      <c r="X871" s="8" t="s">
        <v>754</v>
      </c>
      <c r="Y871" s="51" t="n">
        <f aca="false">IF(N871="","",EDATE(N871,IF(G871="N",INDEX('Residual Config'!$B$31:$D$31,1,MATCH(D871,'Residual Config'!$B$27:$D$27,0)),INDEX('Residual Config'!$B$28:$D$30,IF(T871=1,1,IF(T871=4,3,2)),MATCH(D871,'Residual Config'!$B$27:$D$27,0)))))</f>
        <v>46233</v>
      </c>
      <c r="Z871" s="7" t="str">
        <f aca="false">IF(I871="N/A","N/A",IF(N871="","Not tested",IF(W871="Rejected","Evidence rejected",IF(W871&lt;&gt;"Accepted","Evidence pending",IF(Y871&lt;'Residual Config'!$C$4,"Overdue","Current")))))</f>
        <v>Overdue</v>
      </c>
      <c r="AA871" s="34" t="n">
        <f aca="false">IF(I871="N/A","",IF(Z871&lt;&gt;"Current",4,IF(MAX(M871,T871)=0,4,MAX(M871,T871))))</f>
        <v>4</v>
      </c>
      <c r="AB871" s="7" t="str">
        <f aca="false">IF(AA871="","N/A",IF(Z871&lt;&gt;"Current","Not tested / overdue",INDEX('Residual Config'!$B$11:$B$14,AA871)))</f>
        <v>Not tested / overdue</v>
      </c>
      <c r="AC871" s="36" t="n">
        <f aca="false">IF(AA871="","",INDEX('Residual Config'!$D$11:$D$14,AA871))</f>
        <v>0</v>
      </c>
      <c r="AD871" s="7" t="str">
        <f aca="false">IF(OR(I871="N/A",P871="",Q871=""),"",IF(P871&gt;=Q871,"Yes","No"))</f>
        <v>Yes</v>
      </c>
      <c r="AE871" s="8"/>
    </row>
    <row r="872" customFormat="false" ht="15" hidden="false" customHeight="false" outlineLevel="0" collapsed="false">
      <c r="A872" s="12" t="s">
        <v>2900</v>
      </c>
      <c r="B872" s="26" t="str">
        <f aca="false">Entities!$A$25</f>
        <v>SD</v>
      </c>
      <c r="C872" s="12" t="str">
        <f aca="false">INDEX(Entities!$B$5:$B$34,MATCH(B872,Entities!$A$5:$A$34,0))</f>
        <v>Arab Sudanese Bank</v>
      </c>
      <c r="D872" s="7" t="str">
        <f aca="false">INDEX(Entities!$F$5:$F$34,MATCH(B872,Entities!$A$5:$A$34,0))</f>
        <v>Tier 3</v>
      </c>
      <c r="E872" s="26" t="str">
        <f aca="false">'Control Library'!$A$12</f>
        <v>CTL-STR-01</v>
      </c>
      <c r="F872" s="12" t="str">
        <f aca="false">INDEX('Control Library'!$B$5:$B$47,MATCH(E872,'Control Library'!$A$5:$A$47,0))</f>
        <v>STR decision and filing within regulatory deadline</v>
      </c>
      <c r="G872" s="7" t="str">
        <f aca="false">INDEX('Control Library'!$F$5:$F$47,MATCH(E872,'Control Library'!$A$5:$A$47,0))</f>
        <v>Y</v>
      </c>
      <c r="H872" s="12" t="str">
        <f aca="false">INDEX('Control Library'!$E$5:$E$47,MATCH(E872,'Control Library'!$A$5:$A$47,0))</f>
        <v>Event-driven</v>
      </c>
      <c r="I872" s="7" t="str">
        <f aca="false">IF(INDEX('Control Library'!$I$5:$I$47,MATCH(E872,'Control Library'!$A$5:$A$47,0))="All","Y",IF(INDEX('Control Library'!$I$5:$I$47,MATCH(E872,'Control Library'!$A$5:$A$47,0))="Banks only",IF(COUNTIF('Residual Config'!$L$28:$L$30,INDEX(Entities!$E$5:$E$34,MATCH(B872,Entities!$A$5:$A$34,0)))&gt;0,"N/A","Y"),IF(INDEX(Entities!$G$5:$G$34,MATCH(B872,Entities!$A$5:$A$34,0))="Y","Y","N/A")))</f>
        <v>Y</v>
      </c>
      <c r="J872" s="8" t="s">
        <v>2896</v>
      </c>
      <c r="K872" s="8" t="s">
        <v>2884</v>
      </c>
      <c r="L872" s="7" t="str">
        <f aca="false">IF(OR(J872="",K872=""),"",IF(J872=K872,"Breach","OK"))</f>
        <v>OK</v>
      </c>
      <c r="M872" s="24" t="n">
        <v>2</v>
      </c>
      <c r="N872" s="50" t="n">
        <v>46157</v>
      </c>
      <c r="O872" s="8" t="s">
        <v>545</v>
      </c>
      <c r="P872" s="24" t="n">
        <v>25</v>
      </c>
      <c r="Q872" s="31" t="n">
        <f aca="false">IF(I872="N/A","",IFERROR(INDEX('Residual Config'!$B$35:$B$42,MATCH(H872,'Residual Config'!$A$35:$A$42,0)),""))</f>
        <v>25</v>
      </c>
      <c r="R872" s="24" t="n">
        <v>1</v>
      </c>
      <c r="S872" s="8" t="s">
        <v>521</v>
      </c>
      <c r="T872" s="31" t="n">
        <f aca="false">IF(S872="","",MATCH(S872,'Residual Config'!$L$9:$L$12,0))</f>
        <v>2</v>
      </c>
      <c r="U872" s="8" t="s">
        <v>2901</v>
      </c>
      <c r="V872" s="24" t="n">
        <v>4</v>
      </c>
      <c r="W872" s="33" t="s">
        <v>533</v>
      </c>
      <c r="X872" s="8" t="s">
        <v>760</v>
      </c>
      <c r="Y872" s="51" t="n">
        <f aca="false">IF(N872="","",EDATE(N872,IF(G872="N",INDEX('Residual Config'!$B$31:$D$31,1,MATCH(D872,'Residual Config'!$B$27:$D$27,0)),INDEX('Residual Config'!$B$28:$D$30,IF(T872=1,1,IF(T872=4,3,2)),MATCH(D872,'Residual Config'!$B$27:$D$27,0)))))</f>
        <v>46341</v>
      </c>
      <c r="Z872" s="7" t="str">
        <f aca="false">IF(I872="N/A","N/A",IF(N872="","Not tested",IF(W872="Rejected","Evidence rejected",IF(W872&lt;&gt;"Accepted","Evidence pending",IF(Y872&lt;'Residual Config'!$C$4,"Overdue","Current")))))</f>
        <v>Current</v>
      </c>
      <c r="AA872" s="34" t="n">
        <f aca="false">IF(I872="N/A","",IF(Z872&lt;&gt;"Current",4,IF(MAX(M872,T872)=0,4,MAX(M872,T872))))</f>
        <v>2</v>
      </c>
      <c r="AB872" s="7" t="str">
        <f aca="false">IF(AA872="","N/A",IF(Z872&lt;&gt;"Current","Not tested / overdue",INDEX('Residual Config'!$B$11:$B$14,AA872)))</f>
        <v>Largely effective</v>
      </c>
      <c r="AC872" s="36" t="n">
        <f aca="false">IF(AA872="","",INDEX('Residual Config'!$D$11:$D$14,AA872))</f>
        <v>0.4</v>
      </c>
      <c r="AD872" s="7" t="str">
        <f aca="false">IF(OR(I872="N/A",P872="",Q872=""),"",IF(P872&gt;=Q872,"Yes","No"))</f>
        <v>Yes</v>
      </c>
      <c r="AE872" s="8"/>
    </row>
    <row r="873" customFormat="false" ht="15" hidden="false" customHeight="false" outlineLevel="0" collapsed="false">
      <c r="A873" s="12" t="s">
        <v>2902</v>
      </c>
      <c r="B873" s="26" t="str">
        <f aca="false">Entities!$A$25</f>
        <v>SD</v>
      </c>
      <c r="C873" s="12" t="str">
        <f aca="false">INDEX(Entities!$B$5:$B$34,MATCH(B873,Entities!$A$5:$A$34,0))</f>
        <v>Arab Sudanese Bank</v>
      </c>
      <c r="D873" s="7" t="str">
        <f aca="false">INDEX(Entities!$F$5:$F$34,MATCH(B873,Entities!$A$5:$A$34,0))</f>
        <v>Tier 3</v>
      </c>
      <c r="E873" s="26" t="str">
        <f aca="false">'Control Library'!$A$13</f>
        <v>CTL-SAN-01</v>
      </c>
      <c r="F873" s="12" t="str">
        <f aca="false">INDEX('Control Library'!$B$5:$B$47,MATCH(E873,'Control Library'!$A$5:$A$47,0))</f>
        <v>Real-time payment and transaction sanctions screening</v>
      </c>
      <c r="G873" s="7" t="str">
        <f aca="false">INDEX('Control Library'!$F$5:$F$47,MATCH(E873,'Control Library'!$A$5:$A$47,0))</f>
        <v>Y</v>
      </c>
      <c r="H873" s="12" t="str">
        <f aca="false">INDEX('Control Library'!$E$5:$E$47,MATCH(E873,'Control Library'!$A$5:$A$47,0))</f>
        <v>Continuous</v>
      </c>
      <c r="I873" s="7" t="str">
        <f aca="false">IF(INDEX('Control Library'!$I$5:$I$47,MATCH(E873,'Control Library'!$A$5:$A$47,0))="All","Y",IF(INDEX('Control Library'!$I$5:$I$47,MATCH(E873,'Control Library'!$A$5:$A$47,0))="Banks only",IF(COUNTIF('Residual Config'!$L$28:$L$30,INDEX(Entities!$E$5:$E$34,MATCH(B873,Entities!$A$5:$A$34,0)))&gt;0,"N/A","Y"),IF(INDEX(Entities!$G$5:$G$34,MATCH(B873,Entities!$A$5:$A$34,0))="Y","Y","N/A")))</f>
        <v>Y</v>
      </c>
      <c r="J873" s="8" t="s">
        <v>2903</v>
      </c>
      <c r="K873" s="8" t="s">
        <v>2884</v>
      </c>
      <c r="L873" s="7" t="str">
        <f aca="false">IF(OR(J873="",K873=""),"",IF(J873=K873,"Breach","OK"))</f>
        <v>OK</v>
      </c>
      <c r="M873" s="24" t="n">
        <v>3</v>
      </c>
      <c r="N873" s="50" t="n">
        <v>46153</v>
      </c>
      <c r="O873" s="8" t="s">
        <v>546</v>
      </c>
      <c r="P873" s="24" t="n">
        <v>1</v>
      </c>
      <c r="Q873" s="31" t="n">
        <f aca="false">IF(I873="N/A","",IFERROR(INDEX('Residual Config'!$B$35:$B$42,MATCH(H873,'Residual Config'!$A$35:$A$42,0)),""))</f>
        <v>1</v>
      </c>
      <c r="R873" s="24" t="n">
        <v>1</v>
      </c>
      <c r="S873" s="8" t="s">
        <v>521</v>
      </c>
      <c r="T873" s="31" t="n">
        <f aca="false">IF(S873="","",MATCH(S873,'Residual Config'!$L$9:$L$12,0))</f>
        <v>2</v>
      </c>
      <c r="U873" s="8" t="s">
        <v>2904</v>
      </c>
      <c r="V873" s="24" t="n">
        <v>6</v>
      </c>
      <c r="W873" s="33" t="s">
        <v>533</v>
      </c>
      <c r="X873" s="8" t="s">
        <v>760</v>
      </c>
      <c r="Y873" s="51" t="n">
        <f aca="false">IF(N873="","",EDATE(N873,IF(G873="N",INDEX('Residual Config'!$B$31:$D$31,1,MATCH(D873,'Residual Config'!$B$27:$D$27,0)),INDEX('Residual Config'!$B$28:$D$30,IF(T873=1,1,IF(T873=4,3,2)),MATCH(D873,'Residual Config'!$B$27:$D$27,0)))))</f>
        <v>46337</v>
      </c>
      <c r="Z873" s="7" t="str">
        <f aca="false">IF(I873="N/A","N/A",IF(N873="","Not tested",IF(W873="Rejected","Evidence rejected",IF(W873&lt;&gt;"Accepted","Evidence pending",IF(Y873&lt;'Residual Config'!$C$4,"Overdue","Current")))))</f>
        <v>Current</v>
      </c>
      <c r="AA873" s="34" t="n">
        <f aca="false">IF(I873="N/A","",IF(Z873&lt;&gt;"Current",4,IF(MAX(M873,T873)=0,4,MAX(M873,T873))))</f>
        <v>3</v>
      </c>
      <c r="AB873" s="7" t="str">
        <f aca="false">IF(AA873="","N/A",IF(Z873&lt;&gt;"Current","Not tested / overdue",INDEX('Residual Config'!$B$11:$B$14,AA873)))</f>
        <v>Partially effective</v>
      </c>
      <c r="AC873" s="36" t="n">
        <f aca="false">IF(AA873="","",INDEX('Residual Config'!$D$11:$D$14,AA873))</f>
        <v>0.2</v>
      </c>
      <c r="AD873" s="7" t="str">
        <f aca="false">IF(OR(I873="N/A",P873="",Q873=""),"",IF(P873&gt;=Q873,"Yes","No"))</f>
        <v>Yes</v>
      </c>
      <c r="AE873" s="8"/>
    </row>
    <row r="874" customFormat="false" ht="15" hidden="false" customHeight="false" outlineLevel="0" collapsed="false">
      <c r="A874" s="12" t="s">
        <v>2905</v>
      </c>
      <c r="B874" s="26" t="str">
        <f aca="false">Entities!$A$25</f>
        <v>SD</v>
      </c>
      <c r="C874" s="12" t="str">
        <f aca="false">INDEX(Entities!$B$5:$B$34,MATCH(B874,Entities!$A$5:$A$34,0))</f>
        <v>Arab Sudanese Bank</v>
      </c>
      <c r="D874" s="7" t="str">
        <f aca="false">INDEX(Entities!$F$5:$F$34,MATCH(B874,Entities!$A$5:$A$34,0))</f>
        <v>Tier 3</v>
      </c>
      <c r="E874" s="26" t="str">
        <f aca="false">'Control Library'!$A$14</f>
        <v>CTL-SAN-02</v>
      </c>
      <c r="F874" s="12" t="str">
        <f aca="false">INDEX('Control Library'!$B$5:$B$47,MATCH(E874,'Control Library'!$A$5:$A$47,0))</f>
        <v>Customer and counterparty screening at onboarding and on list change</v>
      </c>
      <c r="G874" s="7" t="str">
        <f aca="false">INDEX('Control Library'!$F$5:$F$47,MATCH(E874,'Control Library'!$A$5:$A$47,0))</f>
        <v>Y</v>
      </c>
      <c r="H874" s="12" t="str">
        <f aca="false">INDEX('Control Library'!$E$5:$E$47,MATCH(E874,'Control Library'!$A$5:$A$47,0))</f>
        <v>Continuous</v>
      </c>
      <c r="I874" s="7" t="str">
        <f aca="false">IF(INDEX('Control Library'!$I$5:$I$47,MATCH(E874,'Control Library'!$A$5:$A$47,0))="All","Y",IF(INDEX('Control Library'!$I$5:$I$47,MATCH(E874,'Control Library'!$A$5:$A$47,0))="Banks only",IF(COUNTIF('Residual Config'!$L$28:$L$30,INDEX(Entities!$E$5:$E$34,MATCH(B874,Entities!$A$5:$A$34,0)))&gt;0,"N/A","Y"),IF(INDEX(Entities!$G$5:$G$34,MATCH(B874,Entities!$A$5:$A$34,0))="Y","Y","N/A")))</f>
        <v>Y</v>
      </c>
      <c r="J874" s="8" t="s">
        <v>2903</v>
      </c>
      <c r="K874" s="8" t="s">
        <v>2884</v>
      </c>
      <c r="L874" s="7" t="str">
        <f aca="false">IF(OR(J874="",K874=""),"",IF(J874=K874,"Breach","OK"))</f>
        <v>OK</v>
      </c>
      <c r="M874" s="24" t="n">
        <v>1</v>
      </c>
      <c r="N874" s="50" t="n">
        <v>46246</v>
      </c>
      <c r="O874" s="8" t="s">
        <v>546</v>
      </c>
      <c r="P874" s="24" t="n">
        <v>1</v>
      </c>
      <c r="Q874" s="31" t="n">
        <f aca="false">IF(I874="N/A","",IFERROR(INDEX('Residual Config'!$B$35:$B$42,MATCH(H874,'Residual Config'!$A$35:$A$42,0)),""))</f>
        <v>1</v>
      </c>
      <c r="R874" s="24" t="n">
        <v>1</v>
      </c>
      <c r="S874" s="8" t="s">
        <v>521</v>
      </c>
      <c r="T874" s="31" t="n">
        <f aca="false">IF(S874="","",MATCH(S874,'Residual Config'!$L$9:$L$12,0))</f>
        <v>2</v>
      </c>
      <c r="U874" s="8" t="s">
        <v>2906</v>
      </c>
      <c r="V874" s="24" t="n">
        <v>3</v>
      </c>
      <c r="W874" s="33" t="s">
        <v>533</v>
      </c>
      <c r="X874" s="8" t="s">
        <v>760</v>
      </c>
      <c r="Y874" s="51" t="n">
        <f aca="false">IF(N874="","",EDATE(N874,IF(G874="N",INDEX('Residual Config'!$B$31:$D$31,1,MATCH(D874,'Residual Config'!$B$27:$D$27,0)),INDEX('Residual Config'!$B$28:$D$30,IF(T874=1,1,IF(T874=4,3,2)),MATCH(D874,'Residual Config'!$B$27:$D$27,0)))))</f>
        <v>46430</v>
      </c>
      <c r="Z874" s="7" t="str">
        <f aca="false">IF(I874="N/A","N/A",IF(N874="","Not tested",IF(W874="Rejected","Evidence rejected",IF(W874&lt;&gt;"Accepted","Evidence pending",IF(Y874&lt;'Residual Config'!$C$4,"Overdue","Current")))))</f>
        <v>Current</v>
      </c>
      <c r="AA874" s="34" t="n">
        <f aca="false">IF(I874="N/A","",IF(Z874&lt;&gt;"Current",4,IF(MAX(M874,T874)=0,4,MAX(M874,T874))))</f>
        <v>2</v>
      </c>
      <c r="AB874" s="7" t="str">
        <f aca="false">IF(AA874="","N/A",IF(Z874&lt;&gt;"Current","Not tested / overdue",INDEX('Residual Config'!$B$11:$B$14,AA874)))</f>
        <v>Largely effective</v>
      </c>
      <c r="AC874" s="36" t="n">
        <f aca="false">IF(AA874="","",INDEX('Residual Config'!$D$11:$D$14,AA874))</f>
        <v>0.4</v>
      </c>
      <c r="AD874" s="7" t="str">
        <f aca="false">IF(OR(I874="N/A",P874="",Q874=""),"",IF(P874&gt;=Q874,"Yes","No"))</f>
        <v>Yes</v>
      </c>
      <c r="AE874" s="8"/>
    </row>
    <row r="875" customFormat="false" ht="15" hidden="false" customHeight="false" outlineLevel="0" collapsed="false">
      <c r="A875" s="12" t="s">
        <v>2907</v>
      </c>
      <c r="B875" s="26" t="str">
        <f aca="false">Entities!$A$25</f>
        <v>SD</v>
      </c>
      <c r="C875" s="12" t="str">
        <f aca="false">INDEX(Entities!$B$5:$B$34,MATCH(B875,Entities!$A$5:$A$34,0))</f>
        <v>Arab Sudanese Bank</v>
      </c>
      <c r="D875" s="7" t="str">
        <f aca="false">INDEX(Entities!$F$5:$F$34,MATCH(B875,Entities!$A$5:$A$34,0))</f>
        <v>Tier 3</v>
      </c>
      <c r="E875" s="26" t="str">
        <f aca="false">'Control Library'!$A$15</f>
        <v>CTL-SAN-03</v>
      </c>
      <c r="F875" s="12" t="str">
        <f aca="false">INDEX('Control Library'!$B$5:$B$47,MATCH(E875,'Control Library'!$A$5:$A$47,0))</f>
        <v>Sanctions list updates applied within 24 hours</v>
      </c>
      <c r="G875" s="7" t="str">
        <f aca="false">INDEX('Control Library'!$F$5:$F$47,MATCH(E875,'Control Library'!$A$5:$A$47,0))</f>
        <v>N</v>
      </c>
      <c r="H875" s="12" t="str">
        <f aca="false">INDEX('Control Library'!$E$5:$E$47,MATCH(E875,'Control Library'!$A$5:$A$47,0))</f>
        <v>Daily</v>
      </c>
      <c r="I875" s="7" t="str">
        <f aca="false">IF(INDEX('Control Library'!$I$5:$I$47,MATCH(E875,'Control Library'!$A$5:$A$47,0))="All","Y",IF(INDEX('Control Library'!$I$5:$I$47,MATCH(E875,'Control Library'!$A$5:$A$47,0))="Banks only",IF(COUNTIF('Residual Config'!$L$28:$L$30,INDEX(Entities!$E$5:$E$34,MATCH(B875,Entities!$A$5:$A$34,0)))&gt;0,"N/A","Y"),IF(INDEX(Entities!$G$5:$G$34,MATCH(B875,Entities!$A$5:$A$34,0))="Y","Y","N/A")))</f>
        <v>Y</v>
      </c>
      <c r="J875" s="8" t="s">
        <v>2908</v>
      </c>
      <c r="K875" s="8" t="s">
        <v>2884</v>
      </c>
      <c r="L875" s="7" t="str">
        <f aca="false">IF(OR(J875="",K875=""),"",IF(J875=K875,"Breach","OK"))</f>
        <v>OK</v>
      </c>
      <c r="M875" s="24" t="n">
        <v>2</v>
      </c>
      <c r="N875" s="50" t="n">
        <v>46198</v>
      </c>
      <c r="O875" s="8" t="s">
        <v>546</v>
      </c>
      <c r="P875" s="24" t="n">
        <v>25</v>
      </c>
      <c r="Q875" s="31" t="n">
        <f aca="false">IF(I875="N/A","",IFERROR(INDEX('Residual Config'!$B$35:$B$42,MATCH(H875,'Residual Config'!$A$35:$A$42,0)),""))</f>
        <v>25</v>
      </c>
      <c r="R875" s="24" t="n">
        <v>1</v>
      </c>
      <c r="S875" s="8" t="s">
        <v>521</v>
      </c>
      <c r="T875" s="31" t="n">
        <f aca="false">IF(S875="","",MATCH(S875,'Residual Config'!$L$9:$L$12,0))</f>
        <v>2</v>
      </c>
      <c r="U875" s="8" t="s">
        <v>2909</v>
      </c>
      <c r="V875" s="24" t="n">
        <v>4</v>
      </c>
      <c r="W875" s="33" t="s">
        <v>533</v>
      </c>
      <c r="X875" s="8" t="s">
        <v>754</v>
      </c>
      <c r="Y875" s="51" t="n">
        <f aca="false">IF(N875="","",EDATE(N875,IF(G875="N",INDEX('Residual Config'!$B$31:$D$31,1,MATCH(D875,'Residual Config'!$B$27:$D$27,0)),INDEX('Residual Config'!$B$28:$D$30,IF(T875=1,1,IF(T875=4,3,2)),MATCH(D875,'Residual Config'!$B$27:$D$27,0)))))</f>
        <v>46929</v>
      </c>
      <c r="Z875" s="7" t="str">
        <f aca="false">IF(I875="N/A","N/A",IF(N875="","Not tested",IF(W875="Rejected","Evidence rejected",IF(W875&lt;&gt;"Accepted","Evidence pending",IF(Y875&lt;'Residual Config'!$C$4,"Overdue","Current")))))</f>
        <v>Current</v>
      </c>
      <c r="AA875" s="34" t="n">
        <f aca="false">IF(I875="N/A","",IF(Z875&lt;&gt;"Current",4,IF(MAX(M875,T875)=0,4,MAX(M875,T875))))</f>
        <v>2</v>
      </c>
      <c r="AB875" s="7" t="str">
        <f aca="false">IF(AA875="","N/A",IF(Z875&lt;&gt;"Current","Not tested / overdue",INDEX('Residual Config'!$B$11:$B$14,AA875)))</f>
        <v>Largely effective</v>
      </c>
      <c r="AC875" s="36" t="n">
        <f aca="false">IF(AA875="","",INDEX('Residual Config'!$D$11:$D$14,AA875))</f>
        <v>0.4</v>
      </c>
      <c r="AD875" s="7" t="str">
        <f aca="false">IF(OR(I875="N/A",P875="",Q875=""),"",IF(P875&gt;=Q875,"Yes","No"))</f>
        <v>Yes</v>
      </c>
      <c r="AE875" s="8"/>
    </row>
    <row r="876" customFormat="false" ht="15" hidden="false" customHeight="false" outlineLevel="0" collapsed="false">
      <c r="A876" s="12" t="s">
        <v>2910</v>
      </c>
      <c r="B876" s="26" t="str">
        <f aca="false">Entities!$A$25</f>
        <v>SD</v>
      </c>
      <c r="C876" s="12" t="str">
        <f aca="false">INDEX(Entities!$B$5:$B$34,MATCH(B876,Entities!$A$5:$A$34,0))</f>
        <v>Arab Sudanese Bank</v>
      </c>
      <c r="D876" s="7" t="str">
        <f aca="false">INDEX(Entities!$F$5:$F$34,MATCH(B876,Entities!$A$5:$A$34,0))</f>
        <v>Tier 3</v>
      </c>
      <c r="E876" s="26" t="str">
        <f aca="false">'Control Library'!$A$16</f>
        <v>CTL-TF-01</v>
      </c>
      <c r="F876" s="12" t="str">
        <f aca="false">INDEX('Control Library'!$B$5:$B$47,MATCH(E876,'Control Library'!$A$5:$A$47,0))</f>
        <v>NPO and charity enhanced due diligence</v>
      </c>
      <c r="G876" s="7" t="str">
        <f aca="false">INDEX('Control Library'!$F$5:$F$47,MATCH(E876,'Control Library'!$A$5:$A$47,0))</f>
        <v>N</v>
      </c>
      <c r="H876" s="12" t="str">
        <f aca="false">INDEX('Control Library'!$E$5:$E$47,MATCH(E876,'Control Library'!$A$5:$A$47,0))</f>
        <v>Event-driven</v>
      </c>
      <c r="I876" s="7" t="str">
        <f aca="false">IF(INDEX('Control Library'!$I$5:$I$47,MATCH(E876,'Control Library'!$A$5:$A$47,0))="All","Y",IF(INDEX('Control Library'!$I$5:$I$47,MATCH(E876,'Control Library'!$A$5:$A$47,0))="Banks only",IF(COUNTIF('Residual Config'!$L$28:$L$30,INDEX(Entities!$E$5:$E$34,MATCH(B876,Entities!$A$5:$A$34,0)))&gt;0,"N/A","Y"),IF(INDEX(Entities!$G$5:$G$34,MATCH(B876,Entities!$A$5:$A$34,0))="Y","Y","N/A")))</f>
        <v>Y</v>
      </c>
      <c r="J876" s="8" t="s">
        <v>2911</v>
      </c>
      <c r="K876" s="8" t="s">
        <v>2884</v>
      </c>
      <c r="L876" s="7" t="str">
        <f aca="false">IF(OR(J876="",K876=""),"",IF(J876=K876,"Breach","OK"))</f>
        <v>OK</v>
      </c>
      <c r="M876" s="24" t="n">
        <v>3</v>
      </c>
      <c r="N876" s="50" t="n">
        <v>45737</v>
      </c>
      <c r="O876" s="8" t="s">
        <v>546</v>
      </c>
      <c r="P876" s="24" t="n">
        <v>35</v>
      </c>
      <c r="Q876" s="31" t="n">
        <f aca="false">IF(I876="N/A","",IFERROR(INDEX('Residual Config'!$B$35:$B$42,MATCH(H876,'Residual Config'!$A$35:$A$42,0)),""))</f>
        <v>25</v>
      </c>
      <c r="R876" s="24" t="n">
        <v>1</v>
      </c>
      <c r="S876" s="8" t="s">
        <v>521</v>
      </c>
      <c r="T876" s="31" t="n">
        <f aca="false">IF(S876="","",MATCH(S876,'Residual Config'!$L$9:$L$12,0))</f>
        <v>2</v>
      </c>
      <c r="U876" s="8" t="s">
        <v>2912</v>
      </c>
      <c r="V876" s="24" t="n">
        <v>6</v>
      </c>
      <c r="W876" s="33" t="s">
        <v>533</v>
      </c>
      <c r="X876" s="8" t="s">
        <v>754</v>
      </c>
      <c r="Y876" s="51" t="n">
        <f aca="false">IF(N876="","",EDATE(N876,IF(G876="N",INDEX('Residual Config'!$B$31:$D$31,1,MATCH(D876,'Residual Config'!$B$27:$D$27,0)),INDEX('Residual Config'!$B$28:$D$30,IF(T876=1,1,IF(T876=4,3,2)),MATCH(D876,'Residual Config'!$B$27:$D$27,0)))))</f>
        <v>46467</v>
      </c>
      <c r="Z876" s="7" t="str">
        <f aca="false">IF(I876="N/A","N/A",IF(N876="","Not tested",IF(W876="Rejected","Evidence rejected",IF(W876&lt;&gt;"Accepted","Evidence pending",IF(Y876&lt;'Residual Config'!$C$4,"Overdue","Current")))))</f>
        <v>Current</v>
      </c>
      <c r="AA876" s="34" t="n">
        <f aca="false">IF(I876="N/A","",IF(Z876&lt;&gt;"Current",4,IF(MAX(M876,T876)=0,4,MAX(M876,T876))))</f>
        <v>3</v>
      </c>
      <c r="AB876" s="7" t="str">
        <f aca="false">IF(AA876="","N/A",IF(Z876&lt;&gt;"Current","Not tested / overdue",INDEX('Residual Config'!$B$11:$B$14,AA876)))</f>
        <v>Partially effective</v>
      </c>
      <c r="AC876" s="36" t="n">
        <f aca="false">IF(AA876="","",INDEX('Residual Config'!$D$11:$D$14,AA876))</f>
        <v>0.2</v>
      </c>
      <c r="AD876" s="7" t="str">
        <f aca="false">IF(OR(I876="N/A",P876="",Q876=""),"",IF(P876&gt;=Q876,"Yes","No"))</f>
        <v>Yes</v>
      </c>
      <c r="AE876" s="8"/>
    </row>
    <row r="877" customFormat="false" ht="15" hidden="false" customHeight="false" outlineLevel="0" collapsed="false">
      <c r="A877" s="12" t="s">
        <v>2913</v>
      </c>
      <c r="B877" s="26" t="str">
        <f aca="false">Entities!$A$25</f>
        <v>SD</v>
      </c>
      <c r="C877" s="12" t="str">
        <f aca="false">INDEX(Entities!$B$5:$B$34,MATCH(B877,Entities!$A$5:$A$34,0))</f>
        <v>Arab Sudanese Bank</v>
      </c>
      <c r="D877" s="7" t="str">
        <f aca="false">INDEX(Entities!$F$5:$F$34,MATCH(B877,Entities!$A$5:$A$34,0))</f>
        <v>Tier 3</v>
      </c>
      <c r="E877" s="26" t="str">
        <f aca="false">'Control Library'!$A$17</f>
        <v>CTL-TBML-01</v>
      </c>
      <c r="F877" s="12" t="str">
        <f aca="false">INDEX('Control Library'!$B$5:$B$47,MATCH(E877,'Control Library'!$A$5:$A$47,0))</f>
        <v>Trade-based ML red-flag review and pricing checks</v>
      </c>
      <c r="G877" s="7" t="str">
        <f aca="false">INDEX('Control Library'!$F$5:$F$47,MATCH(E877,'Control Library'!$A$5:$A$47,0))</f>
        <v>Y</v>
      </c>
      <c r="H877" s="12" t="str">
        <f aca="false">INDEX('Control Library'!$E$5:$E$47,MATCH(E877,'Control Library'!$A$5:$A$47,0))</f>
        <v>Event-driven</v>
      </c>
      <c r="I877" s="7" t="str">
        <f aca="false">IF(INDEX('Control Library'!$I$5:$I$47,MATCH(E877,'Control Library'!$A$5:$A$47,0))="All","Y",IF(INDEX('Control Library'!$I$5:$I$47,MATCH(E877,'Control Library'!$A$5:$A$47,0))="Banks only",IF(COUNTIF('Residual Config'!$L$28:$L$30,INDEX(Entities!$E$5:$E$34,MATCH(B877,Entities!$A$5:$A$34,0)))&gt;0,"N/A","Y"),IF(INDEX(Entities!$G$5:$G$34,MATCH(B877,Entities!$A$5:$A$34,0))="Y","Y","N/A")))</f>
        <v>Y</v>
      </c>
      <c r="J877" s="8" t="s">
        <v>2914</v>
      </c>
      <c r="K877" s="8" t="s">
        <v>2884</v>
      </c>
      <c r="L877" s="7" t="str">
        <f aca="false">IF(OR(J877="",K877=""),"",IF(J877=K877,"Breach","OK"))</f>
        <v>OK</v>
      </c>
      <c r="M877" s="24" t="n">
        <v>2</v>
      </c>
      <c r="N877" s="50" t="n">
        <v>46134</v>
      </c>
      <c r="O877" s="8" t="s">
        <v>546</v>
      </c>
      <c r="P877" s="24" t="n">
        <v>35</v>
      </c>
      <c r="Q877" s="31" t="n">
        <f aca="false">IF(I877="N/A","",IFERROR(INDEX('Residual Config'!$B$35:$B$42,MATCH(H877,'Residual Config'!$A$35:$A$42,0)),""))</f>
        <v>25</v>
      </c>
      <c r="R877" s="24" t="n">
        <v>2</v>
      </c>
      <c r="S877" s="8" t="s">
        <v>524</v>
      </c>
      <c r="T877" s="31" t="n">
        <f aca="false">IF(S877="","",MATCH(S877,'Residual Config'!$L$9:$L$12,0))</f>
        <v>3</v>
      </c>
      <c r="U877" s="8" t="s">
        <v>2915</v>
      </c>
      <c r="V877" s="24" t="n">
        <v>1</v>
      </c>
      <c r="W877" s="33" t="s">
        <v>533</v>
      </c>
      <c r="X877" s="8" t="s">
        <v>754</v>
      </c>
      <c r="Y877" s="51" t="n">
        <f aca="false">IF(N877="","",EDATE(N877,IF(G877="N",INDEX('Residual Config'!$B$31:$D$31,1,MATCH(D877,'Residual Config'!$B$27:$D$27,0)),INDEX('Residual Config'!$B$28:$D$30,IF(T877=1,1,IF(T877=4,3,2)),MATCH(D877,'Residual Config'!$B$27:$D$27,0)))))</f>
        <v>46317</v>
      </c>
      <c r="Z877" s="7" t="str">
        <f aca="false">IF(I877="N/A","N/A",IF(N877="","Not tested",IF(W877="Rejected","Evidence rejected",IF(W877&lt;&gt;"Accepted","Evidence pending",IF(Y877&lt;'Residual Config'!$C$4,"Overdue","Current")))))</f>
        <v>Current</v>
      </c>
      <c r="AA877" s="34" t="n">
        <f aca="false">IF(I877="N/A","",IF(Z877&lt;&gt;"Current",4,IF(MAX(M877,T877)=0,4,MAX(M877,T877))))</f>
        <v>3</v>
      </c>
      <c r="AB877" s="7" t="str">
        <f aca="false">IF(AA877="","N/A",IF(Z877&lt;&gt;"Current","Not tested / overdue",INDEX('Residual Config'!$B$11:$B$14,AA877)))</f>
        <v>Partially effective</v>
      </c>
      <c r="AC877" s="36" t="n">
        <f aca="false">IF(AA877="","",INDEX('Residual Config'!$D$11:$D$14,AA877))</f>
        <v>0.2</v>
      </c>
      <c r="AD877" s="7" t="str">
        <f aca="false">IF(OR(I877="N/A",P877="",Q877=""),"",IF(P877&gt;=Q877,"Yes","No"))</f>
        <v>Yes</v>
      </c>
      <c r="AE877" s="8"/>
    </row>
    <row r="878" customFormat="false" ht="15" hidden="false" customHeight="false" outlineLevel="0" collapsed="false">
      <c r="A878" s="12" t="s">
        <v>2916</v>
      </c>
      <c r="B878" s="26" t="str">
        <f aca="false">Entities!$A$25</f>
        <v>SD</v>
      </c>
      <c r="C878" s="12" t="str">
        <f aca="false">INDEX(Entities!$B$5:$B$34,MATCH(B878,Entities!$A$5:$A$34,0))</f>
        <v>Arab Sudanese Bank</v>
      </c>
      <c r="D878" s="7" t="str">
        <f aca="false">INDEX(Entities!$F$5:$F$34,MATCH(B878,Entities!$A$5:$A$34,0))</f>
        <v>Tier 3</v>
      </c>
      <c r="E878" s="26" t="str">
        <f aca="false">'Control Library'!$A$18</f>
        <v>CTL-PF-01</v>
      </c>
      <c r="F878" s="12" t="str">
        <f aca="false">INDEX('Control Library'!$B$5:$B$47,MATCH(E878,'Control Library'!$A$5:$A$47,0))</f>
        <v>Dual-use goods, vessel and port screening</v>
      </c>
      <c r="G878" s="7" t="str">
        <f aca="false">INDEX('Control Library'!$F$5:$F$47,MATCH(E878,'Control Library'!$A$5:$A$47,0))</f>
        <v>Y</v>
      </c>
      <c r="H878" s="12" t="str">
        <f aca="false">INDEX('Control Library'!$E$5:$E$47,MATCH(E878,'Control Library'!$A$5:$A$47,0))</f>
        <v>Event-driven</v>
      </c>
      <c r="I878" s="7" t="str">
        <f aca="false">IF(INDEX('Control Library'!$I$5:$I$47,MATCH(E878,'Control Library'!$A$5:$A$47,0))="All","Y",IF(INDEX('Control Library'!$I$5:$I$47,MATCH(E878,'Control Library'!$A$5:$A$47,0))="Banks only",IF(COUNTIF('Residual Config'!$L$28:$L$30,INDEX(Entities!$E$5:$E$34,MATCH(B878,Entities!$A$5:$A$34,0)))&gt;0,"N/A","Y"),IF(INDEX(Entities!$G$5:$G$34,MATCH(B878,Entities!$A$5:$A$34,0))="Y","Y","N/A")))</f>
        <v>Y</v>
      </c>
      <c r="J878" s="8" t="s">
        <v>2914</v>
      </c>
      <c r="K878" s="8" t="s">
        <v>2884</v>
      </c>
      <c r="L878" s="7" t="str">
        <f aca="false">IF(OR(J878="",K878=""),"",IF(J878=K878,"Breach","OK"))</f>
        <v>OK</v>
      </c>
      <c r="M878" s="24" t="n">
        <v>2</v>
      </c>
      <c r="N878" s="50" t="n">
        <v>46174</v>
      </c>
      <c r="O878" s="8" t="s">
        <v>545</v>
      </c>
      <c r="P878" s="24" t="n">
        <v>35</v>
      </c>
      <c r="Q878" s="31" t="n">
        <f aca="false">IF(I878="N/A","",IFERROR(INDEX('Residual Config'!$B$35:$B$42,MATCH(H878,'Residual Config'!$A$35:$A$42,0)),""))</f>
        <v>25</v>
      </c>
      <c r="R878" s="24" t="n">
        <v>1</v>
      </c>
      <c r="S878" s="8" t="s">
        <v>521</v>
      </c>
      <c r="T878" s="31" t="n">
        <f aca="false">IF(S878="","",MATCH(S878,'Residual Config'!$L$9:$L$12,0))</f>
        <v>2</v>
      </c>
      <c r="U878" s="8" t="s">
        <v>2917</v>
      </c>
      <c r="V878" s="24" t="n">
        <v>3</v>
      </c>
      <c r="W878" s="33" t="s">
        <v>533</v>
      </c>
      <c r="X878" s="8" t="s">
        <v>754</v>
      </c>
      <c r="Y878" s="51" t="n">
        <f aca="false">IF(N878="","",EDATE(N878,IF(G878="N",INDEX('Residual Config'!$B$31:$D$31,1,MATCH(D878,'Residual Config'!$B$27:$D$27,0)),INDEX('Residual Config'!$B$28:$D$30,IF(T878=1,1,IF(T878=4,3,2)),MATCH(D878,'Residual Config'!$B$27:$D$27,0)))))</f>
        <v>46357</v>
      </c>
      <c r="Z878" s="7" t="str">
        <f aca="false">IF(I878="N/A","N/A",IF(N878="","Not tested",IF(W878="Rejected","Evidence rejected",IF(W878&lt;&gt;"Accepted","Evidence pending",IF(Y878&lt;'Residual Config'!$C$4,"Overdue","Current")))))</f>
        <v>Current</v>
      </c>
      <c r="AA878" s="34" t="n">
        <f aca="false">IF(I878="N/A","",IF(Z878&lt;&gt;"Current",4,IF(MAX(M878,T878)=0,4,MAX(M878,T878))))</f>
        <v>2</v>
      </c>
      <c r="AB878" s="7" t="str">
        <f aca="false">IF(AA878="","N/A",IF(Z878&lt;&gt;"Current","Not tested / overdue",INDEX('Residual Config'!$B$11:$B$14,AA878)))</f>
        <v>Largely effective</v>
      </c>
      <c r="AC878" s="36" t="n">
        <f aca="false">IF(AA878="","",INDEX('Residual Config'!$D$11:$D$14,AA878))</f>
        <v>0.4</v>
      </c>
      <c r="AD878" s="7" t="str">
        <f aca="false">IF(OR(I878="N/A",P878="",Q878=""),"",IF(P878&gt;=Q878,"Yes","No"))</f>
        <v>Yes</v>
      </c>
      <c r="AE878" s="8"/>
    </row>
    <row r="879" customFormat="false" ht="15" hidden="false" customHeight="false" outlineLevel="0" collapsed="false">
      <c r="A879" s="12" t="s">
        <v>2918</v>
      </c>
      <c r="B879" s="26" t="str">
        <f aca="false">Entities!$A$25</f>
        <v>SD</v>
      </c>
      <c r="C879" s="12" t="str">
        <f aca="false">INDEX(Entities!$B$5:$B$34,MATCH(B879,Entities!$A$5:$A$34,0))</f>
        <v>Arab Sudanese Bank</v>
      </c>
      <c r="D879" s="7" t="str">
        <f aca="false">INDEX(Entities!$F$5:$F$34,MATCH(B879,Entities!$A$5:$A$34,0))</f>
        <v>Tier 3</v>
      </c>
      <c r="E879" s="26" t="str">
        <f aca="false">'Control Library'!$A$19</f>
        <v>CTL-CB-01</v>
      </c>
      <c r="F879" s="12" t="str">
        <f aca="false">INDEX('Control Library'!$B$5:$B$47,MATCH(E879,'Control Library'!$A$5:$A$47,0))</f>
        <v>Correspondent bank due diligence (CBDDQ) and nesting detection</v>
      </c>
      <c r="G879" s="7" t="str">
        <f aca="false">INDEX('Control Library'!$F$5:$F$47,MATCH(E879,'Control Library'!$A$5:$A$47,0))</f>
        <v>Y</v>
      </c>
      <c r="H879" s="12" t="str">
        <f aca="false">INDEX('Control Library'!$E$5:$E$47,MATCH(E879,'Control Library'!$A$5:$A$47,0))</f>
        <v>Annual</v>
      </c>
      <c r="I879" s="7" t="str">
        <f aca="false">IF(INDEX('Control Library'!$I$5:$I$47,MATCH(E879,'Control Library'!$A$5:$A$47,0))="All","Y",IF(INDEX('Control Library'!$I$5:$I$47,MATCH(E879,'Control Library'!$A$5:$A$47,0))="Banks only",IF(COUNTIF('Residual Config'!$L$28:$L$30,INDEX(Entities!$E$5:$E$34,MATCH(B879,Entities!$A$5:$A$34,0)))&gt;0,"N/A","Y"),IF(INDEX(Entities!$G$5:$G$34,MATCH(B879,Entities!$A$5:$A$34,0))="Y","Y","N/A")))</f>
        <v>Y</v>
      </c>
      <c r="J879" s="8" t="s">
        <v>2919</v>
      </c>
      <c r="K879" s="8" t="s">
        <v>2884</v>
      </c>
      <c r="L879" s="7" t="str">
        <f aca="false">IF(OR(J879="",K879=""),"",IF(J879=K879,"Breach","OK"))</f>
        <v>OK</v>
      </c>
      <c r="M879" s="24" t="n">
        <v>2</v>
      </c>
      <c r="N879" s="50" t="n">
        <v>46222</v>
      </c>
      <c r="O879" s="8" t="s">
        <v>545</v>
      </c>
      <c r="P879" s="24" t="n">
        <v>1</v>
      </c>
      <c r="Q879" s="31" t="n">
        <f aca="false">IF(I879="N/A","",IFERROR(INDEX('Residual Config'!$B$35:$B$42,MATCH(H879,'Residual Config'!$A$35:$A$42,0)),""))</f>
        <v>1</v>
      </c>
      <c r="R879" s="24" t="n">
        <v>1</v>
      </c>
      <c r="S879" s="8" t="s">
        <v>521</v>
      </c>
      <c r="T879" s="31" t="n">
        <f aca="false">IF(S879="","",MATCH(S879,'Residual Config'!$L$9:$L$12,0))</f>
        <v>2</v>
      </c>
      <c r="U879" s="8" t="s">
        <v>2920</v>
      </c>
      <c r="V879" s="24" t="n">
        <v>2</v>
      </c>
      <c r="W879" s="33" t="s">
        <v>533</v>
      </c>
      <c r="X879" s="8" t="s">
        <v>760</v>
      </c>
      <c r="Y879" s="51" t="n">
        <f aca="false">IF(N879="","",EDATE(N879,IF(G879="N",INDEX('Residual Config'!$B$31:$D$31,1,MATCH(D879,'Residual Config'!$B$27:$D$27,0)),INDEX('Residual Config'!$B$28:$D$30,IF(T879=1,1,IF(T879=4,3,2)),MATCH(D879,'Residual Config'!$B$27:$D$27,0)))))</f>
        <v>46406</v>
      </c>
      <c r="Z879" s="7" t="str">
        <f aca="false">IF(I879="N/A","N/A",IF(N879="","Not tested",IF(W879="Rejected","Evidence rejected",IF(W879&lt;&gt;"Accepted","Evidence pending",IF(Y879&lt;'Residual Config'!$C$4,"Overdue","Current")))))</f>
        <v>Current</v>
      </c>
      <c r="AA879" s="34" t="n">
        <f aca="false">IF(I879="N/A","",IF(Z879&lt;&gt;"Current",4,IF(MAX(M879,T879)=0,4,MAX(M879,T879))))</f>
        <v>2</v>
      </c>
      <c r="AB879" s="7" t="str">
        <f aca="false">IF(AA879="","N/A",IF(Z879&lt;&gt;"Current","Not tested / overdue",INDEX('Residual Config'!$B$11:$B$14,AA879)))</f>
        <v>Largely effective</v>
      </c>
      <c r="AC879" s="36" t="n">
        <f aca="false">IF(AA879="","",INDEX('Residual Config'!$D$11:$D$14,AA879))</f>
        <v>0.4</v>
      </c>
      <c r="AD879" s="7" t="str">
        <f aca="false">IF(OR(I879="N/A",P879="",Q879=""),"",IF(P879&gt;=Q879,"Yes","No"))</f>
        <v>Yes</v>
      </c>
      <c r="AE879" s="8"/>
    </row>
    <row r="880" customFormat="false" ht="15" hidden="false" customHeight="false" outlineLevel="0" collapsed="false">
      <c r="A880" s="12" t="s">
        <v>2921</v>
      </c>
      <c r="B880" s="26" t="str">
        <f aca="false">Entities!$A$25</f>
        <v>SD</v>
      </c>
      <c r="C880" s="12" t="str">
        <f aca="false">INDEX(Entities!$B$5:$B$34,MATCH(B880,Entities!$A$5:$A$34,0))</f>
        <v>Arab Sudanese Bank</v>
      </c>
      <c r="D880" s="7" t="str">
        <f aca="false">INDEX(Entities!$F$5:$F$34,MATCH(B880,Entities!$A$5:$A$34,0))</f>
        <v>Tier 3</v>
      </c>
      <c r="E880" s="26" t="str">
        <f aca="false">'Control Library'!$A$20</f>
        <v>CTL-PAY-01</v>
      </c>
      <c r="F880" s="12" t="str">
        <f aca="false">INDEX('Control Library'!$B$5:$B$47,MATCH(E880,'Control Library'!$A$5:$A$47,0))</f>
        <v>Payment transparency checks (FATF R.16)</v>
      </c>
      <c r="G880" s="7" t="str">
        <f aca="false">INDEX('Control Library'!$F$5:$F$47,MATCH(E880,'Control Library'!$A$5:$A$47,0))</f>
        <v>N</v>
      </c>
      <c r="H880" s="12" t="str">
        <f aca="false">INDEX('Control Library'!$E$5:$E$47,MATCH(E880,'Control Library'!$A$5:$A$47,0))</f>
        <v>Continuous</v>
      </c>
      <c r="I880" s="7" t="str">
        <f aca="false">IF(INDEX('Control Library'!$I$5:$I$47,MATCH(E880,'Control Library'!$A$5:$A$47,0))="All","Y",IF(INDEX('Control Library'!$I$5:$I$47,MATCH(E880,'Control Library'!$A$5:$A$47,0))="Banks only",IF(COUNTIF('Residual Config'!$L$28:$L$30,INDEX(Entities!$E$5:$E$34,MATCH(B880,Entities!$A$5:$A$34,0)))&gt;0,"N/A","Y"),IF(INDEX(Entities!$G$5:$G$34,MATCH(B880,Entities!$A$5:$A$34,0))="Y","Y","N/A")))</f>
        <v>Y</v>
      </c>
      <c r="J880" s="8" t="s">
        <v>2922</v>
      </c>
      <c r="K880" s="8" t="s">
        <v>2884</v>
      </c>
      <c r="L880" s="7" t="str">
        <f aca="false">IF(OR(J880="",K880=""),"",IF(J880=K880,"Breach","OK"))</f>
        <v>OK</v>
      </c>
      <c r="M880" s="24" t="n">
        <v>3</v>
      </c>
      <c r="N880" s="50" t="n">
        <v>45741</v>
      </c>
      <c r="O880" s="8" t="s">
        <v>546</v>
      </c>
      <c r="P880" s="24" t="n">
        <v>1</v>
      </c>
      <c r="Q880" s="31" t="n">
        <f aca="false">IF(I880="N/A","",IFERROR(INDEX('Residual Config'!$B$35:$B$42,MATCH(H880,'Residual Config'!$A$35:$A$42,0)),""))</f>
        <v>1</v>
      </c>
      <c r="R880" s="24" t="n">
        <v>1</v>
      </c>
      <c r="S880" s="8" t="s">
        <v>521</v>
      </c>
      <c r="T880" s="31" t="n">
        <f aca="false">IF(S880="","",MATCH(S880,'Residual Config'!$L$9:$L$12,0))</f>
        <v>2</v>
      </c>
      <c r="U880" s="8" t="s">
        <v>2923</v>
      </c>
      <c r="V880" s="24" t="n">
        <v>1</v>
      </c>
      <c r="W880" s="33" t="s">
        <v>533</v>
      </c>
      <c r="X880" s="8" t="s">
        <v>754</v>
      </c>
      <c r="Y880" s="51" t="n">
        <f aca="false">IF(N880="","",EDATE(N880,IF(G880="N",INDEX('Residual Config'!$B$31:$D$31,1,MATCH(D880,'Residual Config'!$B$27:$D$27,0)),INDEX('Residual Config'!$B$28:$D$30,IF(T880=1,1,IF(T880=4,3,2)),MATCH(D880,'Residual Config'!$B$27:$D$27,0)))))</f>
        <v>46471</v>
      </c>
      <c r="Z880" s="7" t="str">
        <f aca="false">IF(I880="N/A","N/A",IF(N880="","Not tested",IF(W880="Rejected","Evidence rejected",IF(W880&lt;&gt;"Accepted","Evidence pending",IF(Y880&lt;'Residual Config'!$C$4,"Overdue","Current")))))</f>
        <v>Current</v>
      </c>
      <c r="AA880" s="34" t="n">
        <f aca="false">IF(I880="N/A","",IF(Z880&lt;&gt;"Current",4,IF(MAX(M880,T880)=0,4,MAX(M880,T880))))</f>
        <v>3</v>
      </c>
      <c r="AB880" s="7" t="str">
        <f aca="false">IF(AA880="","N/A",IF(Z880&lt;&gt;"Current","Not tested / overdue",INDEX('Residual Config'!$B$11:$B$14,AA880)))</f>
        <v>Partially effective</v>
      </c>
      <c r="AC880" s="36" t="n">
        <f aca="false">IF(AA880="","",INDEX('Residual Config'!$D$11:$D$14,AA880))</f>
        <v>0.2</v>
      </c>
      <c r="AD880" s="7" t="str">
        <f aca="false">IF(OR(I880="N/A",P880="",Q880=""),"",IF(P880&gt;=Q880,"Yes","No"))</f>
        <v>Yes</v>
      </c>
      <c r="AE880" s="8"/>
    </row>
    <row r="881" customFormat="false" ht="15" hidden="false" customHeight="false" outlineLevel="0" collapsed="false">
      <c r="A881" s="12" t="s">
        <v>2924</v>
      </c>
      <c r="B881" s="26" t="str">
        <f aca="false">Entities!$A$25</f>
        <v>SD</v>
      </c>
      <c r="C881" s="12" t="str">
        <f aca="false">INDEX(Entities!$B$5:$B$34,MATCH(B881,Entities!$A$5:$A$34,0))</f>
        <v>Arab Sudanese Bank</v>
      </c>
      <c r="D881" s="7" t="str">
        <f aca="false">INDEX(Entities!$F$5:$F$34,MATCH(B881,Entities!$A$5:$A$34,0))</f>
        <v>Tier 3</v>
      </c>
      <c r="E881" s="26" t="str">
        <f aca="false">'Control Library'!$A$21</f>
        <v>CTL-ABC-01</v>
      </c>
      <c r="F881" s="12" t="str">
        <f aca="false">INDEX('Control Library'!$B$5:$B$47,MATCH(E881,'Control Library'!$A$5:$A$47,0))</f>
        <v>Third-party and intermediary anti-bribery due diligence</v>
      </c>
      <c r="G881" s="7" t="str">
        <f aca="false">INDEX('Control Library'!$F$5:$F$47,MATCH(E881,'Control Library'!$A$5:$A$47,0))</f>
        <v>Y</v>
      </c>
      <c r="H881" s="12" t="str">
        <f aca="false">INDEX('Control Library'!$E$5:$E$47,MATCH(E881,'Control Library'!$A$5:$A$47,0))</f>
        <v>Event-driven</v>
      </c>
      <c r="I881" s="7" t="str">
        <f aca="false">IF(INDEX('Control Library'!$I$5:$I$47,MATCH(E881,'Control Library'!$A$5:$A$47,0))="All","Y",IF(INDEX('Control Library'!$I$5:$I$47,MATCH(E881,'Control Library'!$A$5:$A$47,0))="Banks only",IF(COUNTIF('Residual Config'!$L$28:$L$30,INDEX(Entities!$E$5:$E$34,MATCH(B881,Entities!$A$5:$A$34,0)))&gt;0,"N/A","Y"),IF(INDEX(Entities!$G$5:$G$34,MATCH(B881,Entities!$A$5:$A$34,0))="Y","Y","N/A")))</f>
        <v>Y</v>
      </c>
      <c r="J881" s="8" t="s">
        <v>2925</v>
      </c>
      <c r="K881" s="8" t="s">
        <v>2884</v>
      </c>
      <c r="L881" s="7" t="str">
        <f aca="false">IF(OR(J881="",K881=""),"",IF(J881=K881,"Breach","OK"))</f>
        <v>OK</v>
      </c>
      <c r="M881" s="24" t="n">
        <v>2</v>
      </c>
      <c r="N881" s="50" t="n">
        <v>46179</v>
      </c>
      <c r="O881" s="8" t="s">
        <v>546</v>
      </c>
      <c r="P881" s="24" t="n">
        <v>25</v>
      </c>
      <c r="Q881" s="31" t="n">
        <f aca="false">IF(I881="N/A","",IFERROR(INDEX('Residual Config'!$B$35:$B$42,MATCH(H881,'Residual Config'!$A$35:$A$42,0)),""))</f>
        <v>25</v>
      </c>
      <c r="R881" s="24" t="n">
        <v>0</v>
      </c>
      <c r="S881" s="8" t="s">
        <v>516</v>
      </c>
      <c r="T881" s="31" t="n">
        <f aca="false">IF(S881="","",MATCH(S881,'Residual Config'!$L$9:$L$12,0))</f>
        <v>1</v>
      </c>
      <c r="U881" s="8" t="s">
        <v>2926</v>
      </c>
      <c r="V881" s="24" t="n">
        <v>4</v>
      </c>
      <c r="W881" s="33" t="s">
        <v>533</v>
      </c>
      <c r="X881" s="8" t="s">
        <v>754</v>
      </c>
      <c r="Y881" s="51" t="n">
        <f aca="false">IF(N881="","",EDATE(N881,IF(G881="N",INDEX('Residual Config'!$B$31:$D$31,1,MATCH(D881,'Residual Config'!$B$27:$D$27,0)),INDEX('Residual Config'!$B$28:$D$30,IF(T881=1,1,IF(T881=4,3,2)),MATCH(D881,'Residual Config'!$B$27:$D$27,0)))))</f>
        <v>46544</v>
      </c>
      <c r="Z881" s="7" t="str">
        <f aca="false">IF(I881="N/A","N/A",IF(N881="","Not tested",IF(W881="Rejected","Evidence rejected",IF(W881&lt;&gt;"Accepted","Evidence pending",IF(Y881&lt;'Residual Config'!$C$4,"Overdue","Current")))))</f>
        <v>Current</v>
      </c>
      <c r="AA881" s="34" t="n">
        <f aca="false">IF(I881="N/A","",IF(Z881&lt;&gt;"Current",4,IF(MAX(M881,T881)=0,4,MAX(M881,T881))))</f>
        <v>2</v>
      </c>
      <c r="AB881" s="7" t="str">
        <f aca="false">IF(AA881="","N/A",IF(Z881&lt;&gt;"Current","Not tested / overdue",INDEX('Residual Config'!$B$11:$B$14,AA881)))</f>
        <v>Largely effective</v>
      </c>
      <c r="AC881" s="36" t="n">
        <f aca="false">IF(AA881="","",INDEX('Residual Config'!$D$11:$D$14,AA881))</f>
        <v>0.4</v>
      </c>
      <c r="AD881" s="7" t="str">
        <f aca="false">IF(OR(I881="N/A",P881="",Q881=""),"",IF(P881&gt;=Q881,"Yes","No"))</f>
        <v>Yes</v>
      </c>
      <c r="AE881" s="8"/>
    </row>
    <row r="882" customFormat="false" ht="15" hidden="false" customHeight="false" outlineLevel="0" collapsed="false">
      <c r="A882" s="12" t="s">
        <v>2927</v>
      </c>
      <c r="B882" s="26" t="str">
        <f aca="false">Entities!$A$25</f>
        <v>SD</v>
      </c>
      <c r="C882" s="12" t="str">
        <f aca="false">INDEX(Entities!$B$5:$B$34,MATCH(B882,Entities!$A$5:$A$34,0))</f>
        <v>Arab Sudanese Bank</v>
      </c>
      <c r="D882" s="7" t="str">
        <f aca="false">INDEX(Entities!$F$5:$F$34,MATCH(B882,Entities!$A$5:$A$34,0))</f>
        <v>Tier 3</v>
      </c>
      <c r="E882" s="26" t="str">
        <f aca="false">'Control Library'!$A$22</f>
        <v>CTL-ABC-02</v>
      </c>
      <c r="F882" s="12" t="str">
        <f aca="false">INDEX('Control Library'!$B$5:$B$47,MATCH(E882,'Control Library'!$A$5:$A$47,0))</f>
        <v>Gifts, hospitality and donations register with pre-approval</v>
      </c>
      <c r="G882" s="7" t="str">
        <f aca="false">INDEX('Control Library'!$F$5:$F$47,MATCH(E882,'Control Library'!$A$5:$A$47,0))</f>
        <v>N</v>
      </c>
      <c r="H882" s="12" t="str">
        <f aca="false">INDEX('Control Library'!$E$5:$E$47,MATCH(E882,'Control Library'!$A$5:$A$47,0))</f>
        <v>Event-driven</v>
      </c>
      <c r="I882" s="7" t="str">
        <f aca="false">IF(INDEX('Control Library'!$I$5:$I$47,MATCH(E882,'Control Library'!$A$5:$A$47,0))="All","Y",IF(INDEX('Control Library'!$I$5:$I$47,MATCH(E882,'Control Library'!$A$5:$A$47,0))="Banks only",IF(COUNTIF('Residual Config'!$L$28:$L$30,INDEX(Entities!$E$5:$E$34,MATCH(B882,Entities!$A$5:$A$34,0)))&gt;0,"N/A","Y"),IF(INDEX(Entities!$G$5:$G$34,MATCH(B882,Entities!$A$5:$A$34,0))="Y","Y","N/A")))</f>
        <v>Y</v>
      </c>
      <c r="J882" s="8" t="s">
        <v>2887</v>
      </c>
      <c r="K882" s="8" t="s">
        <v>2884</v>
      </c>
      <c r="L882" s="7" t="str">
        <f aca="false">IF(OR(J882="",K882=""),"",IF(J882=K882,"Breach","OK"))</f>
        <v>OK</v>
      </c>
      <c r="M882" s="24" t="n">
        <v>2</v>
      </c>
      <c r="N882" s="50"/>
      <c r="O882" s="8"/>
      <c r="P882" s="24"/>
      <c r="Q882" s="31" t="n">
        <f aca="false">IF(I882="N/A","",IFERROR(INDEX('Residual Config'!$B$35:$B$42,MATCH(H882,'Residual Config'!$A$35:$A$42,0)),""))</f>
        <v>25</v>
      </c>
      <c r="R882" s="24"/>
      <c r="S882" s="8"/>
      <c r="T882" s="31" t="str">
        <f aca="false">IF(S882="","",MATCH(S882,'Residual Config'!$L$9:$L$12,0))</f>
        <v/>
      </c>
      <c r="U882" s="8"/>
      <c r="V882" s="24"/>
      <c r="W882" s="33"/>
      <c r="X882" s="8"/>
      <c r="Y882" s="51" t="str">
        <f aca="false">IF(N882="","",EDATE(N882,IF(G882="N",INDEX('Residual Config'!$B$31:$D$31,1,MATCH(D882,'Residual Config'!$B$27:$D$27,0)),INDEX('Residual Config'!$B$28:$D$30,IF(T882=1,1,IF(T882=4,3,2)),MATCH(D882,'Residual Config'!$B$27:$D$27,0)))))</f>
        <v/>
      </c>
      <c r="Z882" s="7" t="str">
        <f aca="false">IF(I882="N/A","N/A",IF(N882="","Not tested",IF(W882="Rejected","Evidence rejected",IF(W882&lt;&gt;"Accepted","Evidence pending",IF(Y882&lt;'Residual Config'!$C$4,"Overdue","Current")))))</f>
        <v>Not tested</v>
      </c>
      <c r="AA882" s="34" t="n">
        <f aca="false">IF(I882="N/A","",IF(Z882&lt;&gt;"Current",4,IF(MAX(M882,T882)=0,4,MAX(M882,T882))))</f>
        <v>4</v>
      </c>
      <c r="AB882" s="7" t="str">
        <f aca="false">IF(AA882="","N/A",IF(Z882&lt;&gt;"Current","Not tested / overdue",INDEX('Residual Config'!$B$11:$B$14,AA882)))</f>
        <v>Not tested / overdue</v>
      </c>
      <c r="AC882" s="36" t="n">
        <f aca="false">IF(AA882="","",INDEX('Residual Config'!$D$11:$D$14,AA882))</f>
        <v>0</v>
      </c>
      <c r="AD882" s="7" t="str">
        <f aca="false">IF(OR(I882="N/A",P882="",Q882=""),"",IF(P882&gt;=Q882,"Yes","No"))</f>
        <v/>
      </c>
      <c r="AE882" s="8"/>
    </row>
    <row r="883" customFormat="false" ht="15" hidden="false" customHeight="false" outlineLevel="0" collapsed="false">
      <c r="A883" s="12" t="s">
        <v>2928</v>
      </c>
      <c r="B883" s="26" t="str">
        <f aca="false">Entities!$A$25</f>
        <v>SD</v>
      </c>
      <c r="C883" s="12" t="str">
        <f aca="false">INDEX(Entities!$B$5:$B$34,MATCH(B883,Entities!$A$5:$A$34,0))</f>
        <v>Arab Sudanese Bank</v>
      </c>
      <c r="D883" s="7" t="str">
        <f aca="false">INDEX(Entities!$F$5:$F$34,MATCH(B883,Entities!$A$5:$A$34,0))</f>
        <v>Tier 3</v>
      </c>
      <c r="E883" s="26" t="str">
        <f aca="false">'Control Library'!$A$23</f>
        <v>CTL-FRD-01</v>
      </c>
      <c r="F883" s="12" t="str">
        <f aca="false">INDEX('Control Library'!$B$5:$B$47,MATCH(E883,'Control Library'!$A$5:$A$47,0))</f>
        <v>Real-time fraud monitoring for cards and digital channels</v>
      </c>
      <c r="G883" s="7" t="str">
        <f aca="false">INDEX('Control Library'!$F$5:$F$47,MATCH(E883,'Control Library'!$A$5:$A$47,0))</f>
        <v>Y</v>
      </c>
      <c r="H883" s="12" t="str">
        <f aca="false">INDEX('Control Library'!$E$5:$E$47,MATCH(E883,'Control Library'!$A$5:$A$47,0))</f>
        <v>Continuous</v>
      </c>
      <c r="I883" s="7" t="str">
        <f aca="false">IF(INDEX('Control Library'!$I$5:$I$47,MATCH(E883,'Control Library'!$A$5:$A$47,0))="All","Y",IF(INDEX('Control Library'!$I$5:$I$47,MATCH(E883,'Control Library'!$A$5:$A$47,0))="Banks only",IF(COUNTIF('Residual Config'!$L$28:$L$30,INDEX(Entities!$E$5:$E$34,MATCH(B883,Entities!$A$5:$A$34,0)))&gt;0,"N/A","Y"),IF(INDEX(Entities!$G$5:$G$34,MATCH(B883,Entities!$A$5:$A$34,0))="Y","Y","N/A")))</f>
        <v>Y</v>
      </c>
      <c r="J883" s="8" t="s">
        <v>2929</v>
      </c>
      <c r="K883" s="8" t="s">
        <v>2884</v>
      </c>
      <c r="L883" s="7" t="str">
        <f aca="false">IF(OR(J883="",K883=""),"",IF(J883=K883,"Breach","OK"))</f>
        <v>OK</v>
      </c>
      <c r="M883" s="24" t="n">
        <v>2</v>
      </c>
      <c r="N883" s="50" t="n">
        <v>46244</v>
      </c>
      <c r="O883" s="8" t="s">
        <v>546</v>
      </c>
      <c r="P883" s="24" t="n">
        <v>1</v>
      </c>
      <c r="Q883" s="31" t="n">
        <f aca="false">IF(I883="N/A","",IFERROR(INDEX('Residual Config'!$B$35:$B$42,MATCH(H883,'Residual Config'!$A$35:$A$42,0)),""))</f>
        <v>1</v>
      </c>
      <c r="R883" s="24" t="n">
        <v>1</v>
      </c>
      <c r="S883" s="8" t="s">
        <v>521</v>
      </c>
      <c r="T883" s="31" t="n">
        <f aca="false">IF(S883="","",MATCH(S883,'Residual Config'!$L$9:$L$12,0))</f>
        <v>2</v>
      </c>
      <c r="U883" s="8" t="s">
        <v>2930</v>
      </c>
      <c r="V883" s="24" t="n">
        <v>1</v>
      </c>
      <c r="W883" s="33" t="s">
        <v>533</v>
      </c>
      <c r="X883" s="8" t="s">
        <v>760</v>
      </c>
      <c r="Y883" s="51" t="n">
        <f aca="false">IF(N883="","",EDATE(N883,IF(G883="N",INDEX('Residual Config'!$B$31:$D$31,1,MATCH(D883,'Residual Config'!$B$27:$D$27,0)),INDEX('Residual Config'!$B$28:$D$30,IF(T883=1,1,IF(T883=4,3,2)),MATCH(D883,'Residual Config'!$B$27:$D$27,0)))))</f>
        <v>46428</v>
      </c>
      <c r="Z883" s="7" t="str">
        <f aca="false">IF(I883="N/A","N/A",IF(N883="","Not tested",IF(W883="Rejected","Evidence rejected",IF(W883&lt;&gt;"Accepted","Evidence pending",IF(Y883&lt;'Residual Config'!$C$4,"Overdue","Current")))))</f>
        <v>Current</v>
      </c>
      <c r="AA883" s="34" t="n">
        <f aca="false">IF(I883="N/A","",IF(Z883&lt;&gt;"Current",4,IF(MAX(M883,T883)=0,4,MAX(M883,T883))))</f>
        <v>2</v>
      </c>
      <c r="AB883" s="7" t="str">
        <f aca="false">IF(AA883="","N/A",IF(Z883&lt;&gt;"Current","Not tested / overdue",INDEX('Residual Config'!$B$11:$B$14,AA883)))</f>
        <v>Largely effective</v>
      </c>
      <c r="AC883" s="36" t="n">
        <f aca="false">IF(AA883="","",INDEX('Residual Config'!$D$11:$D$14,AA883))</f>
        <v>0.4</v>
      </c>
      <c r="AD883" s="7" t="str">
        <f aca="false">IF(OR(I883="N/A",P883="",Q883=""),"",IF(P883&gt;=Q883,"Yes","No"))</f>
        <v>Yes</v>
      </c>
      <c r="AE883" s="8"/>
    </row>
    <row r="884" customFormat="false" ht="15" hidden="false" customHeight="false" outlineLevel="0" collapsed="false">
      <c r="A884" s="12" t="s">
        <v>2931</v>
      </c>
      <c r="B884" s="26" t="str">
        <f aca="false">Entities!$A$25</f>
        <v>SD</v>
      </c>
      <c r="C884" s="12" t="str">
        <f aca="false">INDEX(Entities!$B$5:$B$34,MATCH(B884,Entities!$A$5:$A$34,0))</f>
        <v>Arab Sudanese Bank</v>
      </c>
      <c r="D884" s="7" t="str">
        <f aca="false">INDEX(Entities!$F$5:$F$34,MATCH(B884,Entities!$A$5:$A$34,0))</f>
        <v>Tier 3</v>
      </c>
      <c r="E884" s="26" t="str">
        <f aca="false">'Control Library'!$A$24</f>
        <v>CTL-FRD-02</v>
      </c>
      <c r="F884" s="12" t="str">
        <f aca="false">INDEX('Control Library'!$B$5:$B$47,MATCH(E884,'Control Library'!$A$5:$A$47,0))</f>
        <v>Maker-checker and dual control on payments and static data</v>
      </c>
      <c r="G884" s="7" t="str">
        <f aca="false">INDEX('Control Library'!$F$5:$F$47,MATCH(E884,'Control Library'!$A$5:$A$47,0))</f>
        <v>Y</v>
      </c>
      <c r="H884" s="12" t="str">
        <f aca="false">INDEX('Control Library'!$E$5:$E$47,MATCH(E884,'Control Library'!$A$5:$A$47,0))</f>
        <v>Daily</v>
      </c>
      <c r="I884" s="7" t="str">
        <f aca="false">IF(INDEX('Control Library'!$I$5:$I$47,MATCH(E884,'Control Library'!$A$5:$A$47,0))="All","Y",IF(INDEX('Control Library'!$I$5:$I$47,MATCH(E884,'Control Library'!$A$5:$A$47,0))="Banks only",IF(COUNTIF('Residual Config'!$L$28:$L$30,INDEX(Entities!$E$5:$E$34,MATCH(B884,Entities!$A$5:$A$34,0)))&gt;0,"N/A","Y"),IF(INDEX(Entities!$G$5:$G$34,MATCH(B884,Entities!$A$5:$A$34,0))="Y","Y","N/A")))</f>
        <v>Y</v>
      </c>
      <c r="J884" s="8" t="s">
        <v>2883</v>
      </c>
      <c r="K884" s="8" t="s">
        <v>2884</v>
      </c>
      <c r="L884" s="7" t="str">
        <f aca="false">IF(OR(J884="",K884=""),"",IF(J884=K884,"Breach","OK"))</f>
        <v>OK</v>
      </c>
      <c r="M884" s="24" t="n">
        <v>2</v>
      </c>
      <c r="N884" s="50" t="n">
        <v>46173</v>
      </c>
      <c r="O884" s="8" t="s">
        <v>545</v>
      </c>
      <c r="P884" s="24" t="n">
        <v>35</v>
      </c>
      <c r="Q884" s="31" t="n">
        <f aca="false">IF(I884="N/A","",IFERROR(INDEX('Residual Config'!$B$35:$B$42,MATCH(H884,'Residual Config'!$A$35:$A$42,0)),""))</f>
        <v>25</v>
      </c>
      <c r="R884" s="24" t="n">
        <v>1</v>
      </c>
      <c r="S884" s="8" t="s">
        <v>521</v>
      </c>
      <c r="T884" s="31" t="n">
        <f aca="false">IF(S884="","",MATCH(S884,'Residual Config'!$L$9:$L$12,0))</f>
        <v>2</v>
      </c>
      <c r="U884" s="8" t="s">
        <v>2932</v>
      </c>
      <c r="V884" s="24" t="n">
        <v>3</v>
      </c>
      <c r="W884" s="33" t="s">
        <v>536</v>
      </c>
      <c r="X884" s="8"/>
      <c r="Y884" s="51" t="n">
        <f aca="false">IF(N884="","",EDATE(N884,IF(G884="N",INDEX('Residual Config'!$B$31:$D$31,1,MATCH(D884,'Residual Config'!$B$27:$D$27,0)),INDEX('Residual Config'!$B$28:$D$30,IF(T884=1,1,IF(T884=4,3,2)),MATCH(D884,'Residual Config'!$B$27:$D$27,0)))))</f>
        <v>46356</v>
      </c>
      <c r="Z884" s="7" t="str">
        <f aca="false">IF(I884="N/A","N/A",IF(N884="","Not tested",IF(W884="Rejected","Evidence rejected",IF(W884&lt;&gt;"Accepted","Evidence pending",IF(Y884&lt;'Residual Config'!$C$4,"Overdue","Current")))))</f>
        <v>Evidence pending</v>
      </c>
      <c r="AA884" s="34" t="n">
        <f aca="false">IF(I884="N/A","",IF(Z884&lt;&gt;"Current",4,IF(MAX(M884,T884)=0,4,MAX(M884,T884))))</f>
        <v>4</v>
      </c>
      <c r="AB884" s="7" t="str">
        <f aca="false">IF(AA884="","N/A",IF(Z884&lt;&gt;"Current","Not tested / overdue",INDEX('Residual Config'!$B$11:$B$14,AA884)))</f>
        <v>Not tested / overdue</v>
      </c>
      <c r="AC884" s="36" t="n">
        <f aca="false">IF(AA884="","",INDEX('Residual Config'!$D$11:$D$14,AA884))</f>
        <v>0</v>
      </c>
      <c r="AD884" s="7" t="str">
        <f aca="false">IF(OR(I884="N/A",P884="",Q884=""),"",IF(P884&gt;=Q884,"Yes","No"))</f>
        <v>Yes</v>
      </c>
      <c r="AE884" s="8"/>
    </row>
    <row r="885" customFormat="false" ht="15" hidden="false" customHeight="false" outlineLevel="0" collapsed="false">
      <c r="A885" s="12" t="s">
        <v>2933</v>
      </c>
      <c r="B885" s="26" t="str">
        <f aca="false">Entities!$A$25</f>
        <v>SD</v>
      </c>
      <c r="C885" s="12" t="str">
        <f aca="false">INDEX(Entities!$B$5:$B$34,MATCH(B885,Entities!$A$5:$A$34,0))</f>
        <v>Arab Sudanese Bank</v>
      </c>
      <c r="D885" s="7" t="str">
        <f aca="false">INDEX(Entities!$F$5:$F$34,MATCH(B885,Entities!$A$5:$A$34,0))</f>
        <v>Tier 3</v>
      </c>
      <c r="E885" s="26" t="str">
        <f aca="false">'Control Library'!$A$25</f>
        <v>CTL-FRD-03</v>
      </c>
      <c r="F885" s="12" t="str">
        <f aca="false">INDEX('Control Library'!$B$5:$B$47,MATCH(E885,'Control Library'!$A$5:$A$47,0))</f>
        <v>Mandatory consecutive leave and rotation for sensitive roles</v>
      </c>
      <c r="G885" s="7" t="str">
        <f aca="false">INDEX('Control Library'!$F$5:$F$47,MATCH(E885,'Control Library'!$A$5:$A$47,0))</f>
        <v>N</v>
      </c>
      <c r="H885" s="12" t="str">
        <f aca="false">INDEX('Control Library'!$E$5:$E$47,MATCH(E885,'Control Library'!$A$5:$A$47,0))</f>
        <v>Annual</v>
      </c>
      <c r="I885" s="7" t="str">
        <f aca="false">IF(INDEX('Control Library'!$I$5:$I$47,MATCH(E885,'Control Library'!$A$5:$A$47,0))="All","Y",IF(INDEX('Control Library'!$I$5:$I$47,MATCH(E885,'Control Library'!$A$5:$A$47,0))="Banks only",IF(COUNTIF('Residual Config'!$L$28:$L$30,INDEX(Entities!$E$5:$E$34,MATCH(B885,Entities!$A$5:$A$34,0)))&gt;0,"N/A","Y"),IF(INDEX(Entities!$G$5:$G$34,MATCH(B885,Entities!$A$5:$A$34,0))="Y","Y","N/A")))</f>
        <v>Y</v>
      </c>
      <c r="J885" s="8" t="s">
        <v>2934</v>
      </c>
      <c r="K885" s="8" t="s">
        <v>2884</v>
      </c>
      <c r="L885" s="7" t="str">
        <f aca="false">IF(OR(J885="",K885=""),"",IF(J885=K885,"Breach","OK"))</f>
        <v>OK</v>
      </c>
      <c r="M885" s="24" t="n">
        <v>2</v>
      </c>
      <c r="N885" s="50" t="n">
        <v>45800</v>
      </c>
      <c r="O885" s="8" t="s">
        <v>545</v>
      </c>
      <c r="P885" s="24" t="n">
        <v>1</v>
      </c>
      <c r="Q885" s="31" t="n">
        <f aca="false">IF(I885="N/A","",IFERROR(INDEX('Residual Config'!$B$35:$B$42,MATCH(H885,'Residual Config'!$A$35:$A$42,0)),""))</f>
        <v>1</v>
      </c>
      <c r="R885" s="24" t="n">
        <v>1</v>
      </c>
      <c r="S885" s="8" t="s">
        <v>521</v>
      </c>
      <c r="T885" s="31" t="n">
        <f aca="false">IF(S885="","",MATCH(S885,'Residual Config'!$L$9:$L$12,0))</f>
        <v>2</v>
      </c>
      <c r="U885" s="8" t="s">
        <v>2935</v>
      </c>
      <c r="V885" s="24" t="n">
        <v>4</v>
      </c>
      <c r="W885" s="33" t="s">
        <v>533</v>
      </c>
      <c r="X885" s="8" t="s">
        <v>760</v>
      </c>
      <c r="Y885" s="51" t="n">
        <f aca="false">IF(N885="","",EDATE(N885,IF(G885="N",INDEX('Residual Config'!$B$31:$D$31,1,MATCH(D885,'Residual Config'!$B$27:$D$27,0)),INDEX('Residual Config'!$B$28:$D$30,IF(T885=1,1,IF(T885=4,3,2)),MATCH(D885,'Residual Config'!$B$27:$D$27,0)))))</f>
        <v>46530</v>
      </c>
      <c r="Z885" s="7" t="str">
        <f aca="false">IF(I885="N/A","N/A",IF(N885="","Not tested",IF(W885="Rejected","Evidence rejected",IF(W885&lt;&gt;"Accepted","Evidence pending",IF(Y885&lt;'Residual Config'!$C$4,"Overdue","Current")))))</f>
        <v>Current</v>
      </c>
      <c r="AA885" s="34" t="n">
        <f aca="false">IF(I885="N/A","",IF(Z885&lt;&gt;"Current",4,IF(MAX(M885,T885)=0,4,MAX(M885,T885))))</f>
        <v>2</v>
      </c>
      <c r="AB885" s="7" t="str">
        <f aca="false">IF(AA885="","N/A",IF(Z885&lt;&gt;"Current","Not tested / overdue",INDEX('Residual Config'!$B$11:$B$14,AA885)))</f>
        <v>Largely effective</v>
      </c>
      <c r="AC885" s="36" t="n">
        <f aca="false">IF(AA885="","",INDEX('Residual Config'!$D$11:$D$14,AA885))</f>
        <v>0.4</v>
      </c>
      <c r="AD885" s="7" t="str">
        <f aca="false">IF(OR(I885="N/A",P885="",Q885=""),"",IF(P885&gt;=Q885,"Yes","No"))</f>
        <v>Yes</v>
      </c>
      <c r="AE885" s="8"/>
    </row>
    <row r="886" customFormat="false" ht="15" hidden="false" customHeight="false" outlineLevel="0" collapsed="false">
      <c r="A886" s="12" t="s">
        <v>2936</v>
      </c>
      <c r="B886" s="26" t="str">
        <f aca="false">Entities!$A$25</f>
        <v>SD</v>
      </c>
      <c r="C886" s="12" t="str">
        <f aca="false">INDEX(Entities!$B$5:$B$34,MATCH(B886,Entities!$A$5:$A$34,0))</f>
        <v>Arab Sudanese Bank</v>
      </c>
      <c r="D886" s="7" t="str">
        <f aca="false">INDEX(Entities!$F$5:$F$34,MATCH(B886,Entities!$A$5:$A$34,0))</f>
        <v>Tier 3</v>
      </c>
      <c r="E886" s="26" t="str">
        <f aca="false">'Control Library'!$A$26</f>
        <v>CTL-TAX-01</v>
      </c>
      <c r="F886" s="12" t="str">
        <f aca="false">INDEX('Control Library'!$B$5:$B$47,MATCH(E886,'Control Library'!$A$5:$A$47,0))</f>
        <v>FATCA/CRS self-certification and classification</v>
      </c>
      <c r="G886" s="7" t="str">
        <f aca="false">INDEX('Control Library'!$F$5:$F$47,MATCH(E886,'Control Library'!$A$5:$A$47,0))</f>
        <v>Y</v>
      </c>
      <c r="H886" s="12" t="str">
        <f aca="false">INDEX('Control Library'!$E$5:$E$47,MATCH(E886,'Control Library'!$A$5:$A$47,0))</f>
        <v>Event-driven</v>
      </c>
      <c r="I886" s="7" t="str">
        <f aca="false">IF(INDEX('Control Library'!$I$5:$I$47,MATCH(E886,'Control Library'!$A$5:$A$47,0))="All","Y",IF(INDEX('Control Library'!$I$5:$I$47,MATCH(E886,'Control Library'!$A$5:$A$47,0))="Banks only",IF(COUNTIF('Residual Config'!$L$28:$L$30,INDEX(Entities!$E$5:$E$34,MATCH(B886,Entities!$A$5:$A$34,0)))&gt;0,"N/A","Y"),IF(INDEX(Entities!$G$5:$G$34,MATCH(B886,Entities!$A$5:$A$34,0))="Y","Y","N/A")))</f>
        <v>Y</v>
      </c>
      <c r="J886" s="8" t="s">
        <v>2883</v>
      </c>
      <c r="K886" s="8" t="s">
        <v>2884</v>
      </c>
      <c r="L886" s="7" t="str">
        <f aca="false">IF(OR(J886="",K886=""),"",IF(J886=K886,"Breach","OK"))</f>
        <v>OK</v>
      </c>
      <c r="M886" s="24" t="n">
        <v>2</v>
      </c>
      <c r="N886" s="50" t="n">
        <v>46136</v>
      </c>
      <c r="O886" s="8" t="s">
        <v>546</v>
      </c>
      <c r="P886" s="24" t="n">
        <v>25</v>
      </c>
      <c r="Q886" s="31" t="n">
        <f aca="false">IF(I886="N/A","",IFERROR(INDEX('Residual Config'!$B$35:$B$42,MATCH(H886,'Residual Config'!$A$35:$A$42,0)),""))</f>
        <v>25</v>
      </c>
      <c r="R886" s="24" t="n">
        <v>1</v>
      </c>
      <c r="S886" s="8" t="s">
        <v>521</v>
      </c>
      <c r="T886" s="31" t="n">
        <f aca="false">IF(S886="","",MATCH(S886,'Residual Config'!$L$9:$L$12,0))</f>
        <v>2</v>
      </c>
      <c r="U886" s="8" t="s">
        <v>2937</v>
      </c>
      <c r="V886" s="24" t="n">
        <v>3</v>
      </c>
      <c r="W886" s="33" t="s">
        <v>533</v>
      </c>
      <c r="X886" s="8" t="s">
        <v>760</v>
      </c>
      <c r="Y886" s="51" t="n">
        <f aca="false">IF(N886="","",EDATE(N886,IF(G886="N",INDEX('Residual Config'!$B$31:$D$31,1,MATCH(D886,'Residual Config'!$B$27:$D$27,0)),INDEX('Residual Config'!$B$28:$D$30,IF(T886=1,1,IF(T886=4,3,2)),MATCH(D886,'Residual Config'!$B$27:$D$27,0)))))</f>
        <v>46319</v>
      </c>
      <c r="Z886" s="7" t="str">
        <f aca="false">IF(I886="N/A","N/A",IF(N886="","Not tested",IF(W886="Rejected","Evidence rejected",IF(W886&lt;&gt;"Accepted","Evidence pending",IF(Y886&lt;'Residual Config'!$C$4,"Overdue","Current")))))</f>
        <v>Current</v>
      </c>
      <c r="AA886" s="34" t="n">
        <f aca="false">IF(I886="N/A","",IF(Z886&lt;&gt;"Current",4,IF(MAX(M886,T886)=0,4,MAX(M886,T886))))</f>
        <v>2</v>
      </c>
      <c r="AB886" s="7" t="str">
        <f aca="false">IF(AA886="","N/A",IF(Z886&lt;&gt;"Current","Not tested / overdue",INDEX('Residual Config'!$B$11:$B$14,AA886)))</f>
        <v>Largely effective</v>
      </c>
      <c r="AC886" s="36" t="n">
        <f aca="false">IF(AA886="","",INDEX('Residual Config'!$D$11:$D$14,AA886))</f>
        <v>0.4</v>
      </c>
      <c r="AD886" s="7" t="str">
        <f aca="false">IF(OR(I886="N/A",P886="",Q886=""),"",IF(P886&gt;=Q886,"Yes","No"))</f>
        <v>Yes</v>
      </c>
      <c r="AE886" s="8"/>
    </row>
    <row r="887" customFormat="false" ht="15" hidden="false" customHeight="false" outlineLevel="0" collapsed="false">
      <c r="A887" s="12" t="s">
        <v>2938</v>
      </c>
      <c r="B887" s="26" t="str">
        <f aca="false">Entities!$A$25</f>
        <v>SD</v>
      </c>
      <c r="C887" s="12" t="str">
        <f aca="false">INDEX(Entities!$B$5:$B$34,MATCH(B887,Entities!$A$5:$A$34,0))</f>
        <v>Arab Sudanese Bank</v>
      </c>
      <c r="D887" s="7" t="str">
        <f aca="false">INDEX(Entities!$F$5:$F$34,MATCH(B887,Entities!$A$5:$A$34,0))</f>
        <v>Tier 3</v>
      </c>
      <c r="E887" s="26" t="str">
        <f aca="false">'Control Library'!$A$27</f>
        <v>CTL-TAX-02</v>
      </c>
      <c r="F887" s="12" t="str">
        <f aca="false">INDEX('Control Library'!$B$5:$B$47,MATCH(E887,'Control Library'!$A$5:$A$47,0))</f>
        <v>FATCA/CRS reporting reconciliation and timely filing</v>
      </c>
      <c r="G887" s="7" t="str">
        <f aca="false">INDEX('Control Library'!$F$5:$F$47,MATCH(E887,'Control Library'!$A$5:$A$47,0))</f>
        <v>N</v>
      </c>
      <c r="H887" s="12" t="str">
        <f aca="false">INDEX('Control Library'!$E$5:$E$47,MATCH(E887,'Control Library'!$A$5:$A$47,0))</f>
        <v>Annual</v>
      </c>
      <c r="I887" s="7" t="str">
        <f aca="false">IF(INDEX('Control Library'!$I$5:$I$47,MATCH(E887,'Control Library'!$A$5:$A$47,0))="All","Y",IF(INDEX('Control Library'!$I$5:$I$47,MATCH(E887,'Control Library'!$A$5:$A$47,0))="Banks only",IF(COUNTIF('Residual Config'!$L$28:$L$30,INDEX(Entities!$E$5:$E$34,MATCH(B887,Entities!$A$5:$A$34,0)))&gt;0,"N/A","Y"),IF(INDEX(Entities!$G$5:$G$34,MATCH(B887,Entities!$A$5:$A$34,0))="Y","Y","N/A")))</f>
        <v>Y</v>
      </c>
      <c r="J887" s="8" t="s">
        <v>2939</v>
      </c>
      <c r="K887" s="8" t="s">
        <v>2884</v>
      </c>
      <c r="L887" s="7" t="str">
        <f aca="false">IF(OR(J887="",K887=""),"",IF(J887=K887,"Breach","OK"))</f>
        <v>OK</v>
      </c>
      <c r="M887" s="24" t="n">
        <v>2</v>
      </c>
      <c r="N887" s="50" t="n">
        <v>46066</v>
      </c>
      <c r="O887" s="8" t="s">
        <v>546</v>
      </c>
      <c r="P887" s="24" t="n">
        <v>1</v>
      </c>
      <c r="Q887" s="31" t="n">
        <f aca="false">IF(I887="N/A","",IFERROR(INDEX('Residual Config'!$B$35:$B$42,MATCH(H887,'Residual Config'!$A$35:$A$42,0)),""))</f>
        <v>1</v>
      </c>
      <c r="R887" s="24" t="n">
        <v>0</v>
      </c>
      <c r="S887" s="8" t="s">
        <v>516</v>
      </c>
      <c r="T887" s="31" t="n">
        <f aca="false">IF(S887="","",MATCH(S887,'Residual Config'!$L$9:$L$12,0))</f>
        <v>1</v>
      </c>
      <c r="U887" s="8" t="s">
        <v>2940</v>
      </c>
      <c r="V887" s="24" t="n">
        <v>6</v>
      </c>
      <c r="W887" s="33" t="s">
        <v>533</v>
      </c>
      <c r="X887" s="8" t="s">
        <v>754</v>
      </c>
      <c r="Y887" s="51" t="n">
        <f aca="false">IF(N887="","",EDATE(N887,IF(G887="N",INDEX('Residual Config'!$B$31:$D$31,1,MATCH(D887,'Residual Config'!$B$27:$D$27,0)),INDEX('Residual Config'!$B$28:$D$30,IF(T887=1,1,IF(T887=4,3,2)),MATCH(D887,'Residual Config'!$B$27:$D$27,0)))))</f>
        <v>46796</v>
      </c>
      <c r="Z887" s="7" t="str">
        <f aca="false">IF(I887="N/A","N/A",IF(N887="","Not tested",IF(W887="Rejected","Evidence rejected",IF(W887&lt;&gt;"Accepted","Evidence pending",IF(Y887&lt;'Residual Config'!$C$4,"Overdue","Current")))))</f>
        <v>Current</v>
      </c>
      <c r="AA887" s="34" t="n">
        <f aca="false">IF(I887="N/A","",IF(Z887&lt;&gt;"Current",4,IF(MAX(M887,T887)=0,4,MAX(M887,T887))))</f>
        <v>2</v>
      </c>
      <c r="AB887" s="7" t="str">
        <f aca="false">IF(AA887="","N/A",IF(Z887&lt;&gt;"Current","Not tested / overdue",INDEX('Residual Config'!$B$11:$B$14,AA887)))</f>
        <v>Largely effective</v>
      </c>
      <c r="AC887" s="36" t="n">
        <f aca="false">IF(AA887="","",INDEX('Residual Config'!$D$11:$D$14,AA887))</f>
        <v>0.4</v>
      </c>
      <c r="AD887" s="7" t="str">
        <f aca="false">IF(OR(I887="N/A",P887="",Q887=""),"",IF(P887&gt;=Q887,"Yes","No"))</f>
        <v>Yes</v>
      </c>
      <c r="AE887" s="8"/>
    </row>
    <row r="888" customFormat="false" ht="15" hidden="false" customHeight="false" outlineLevel="0" collapsed="false">
      <c r="A888" s="12" t="s">
        <v>2941</v>
      </c>
      <c r="B888" s="26" t="str">
        <f aca="false">Entities!$A$25</f>
        <v>SD</v>
      </c>
      <c r="C888" s="12" t="str">
        <f aca="false">INDEX(Entities!$B$5:$B$34,MATCH(B888,Entities!$A$5:$A$34,0))</f>
        <v>Arab Sudanese Bank</v>
      </c>
      <c r="D888" s="7" t="str">
        <f aca="false">INDEX(Entities!$F$5:$F$34,MATCH(B888,Entities!$A$5:$A$34,0))</f>
        <v>Tier 3</v>
      </c>
      <c r="E888" s="26" t="str">
        <f aca="false">'Control Library'!$A$28</f>
        <v>CTL-TRN-01</v>
      </c>
      <c r="F888" s="12" t="str">
        <f aca="false">INDEX('Control Library'!$B$5:$B$47,MATCH(E888,'Control Library'!$A$5:$A$47,0))</f>
        <v>Annual AML, sanctions and anti-bribery training</v>
      </c>
      <c r="G888" s="7" t="str">
        <f aca="false">INDEX('Control Library'!$F$5:$F$47,MATCH(E888,'Control Library'!$A$5:$A$47,0))</f>
        <v>N</v>
      </c>
      <c r="H888" s="12" t="str">
        <f aca="false">INDEX('Control Library'!$E$5:$E$47,MATCH(E888,'Control Library'!$A$5:$A$47,0))</f>
        <v>Annual</v>
      </c>
      <c r="I888" s="7" t="str">
        <f aca="false">IF(INDEX('Control Library'!$I$5:$I$47,MATCH(E888,'Control Library'!$A$5:$A$47,0))="All","Y",IF(INDEX('Control Library'!$I$5:$I$47,MATCH(E888,'Control Library'!$A$5:$A$47,0))="Banks only",IF(COUNTIF('Residual Config'!$L$28:$L$30,INDEX(Entities!$E$5:$E$34,MATCH(B888,Entities!$A$5:$A$34,0)))&gt;0,"N/A","Y"),IF(INDEX(Entities!$G$5:$G$34,MATCH(B888,Entities!$A$5:$A$34,0))="Y","Y","N/A")))</f>
        <v>Y</v>
      </c>
      <c r="J888" s="8" t="s">
        <v>2887</v>
      </c>
      <c r="K888" s="8" t="s">
        <v>2884</v>
      </c>
      <c r="L888" s="7" t="str">
        <f aca="false">IF(OR(J888="",K888=""),"",IF(J888=K888,"Breach","OK"))</f>
        <v>OK</v>
      </c>
      <c r="M888" s="24" t="n">
        <v>2</v>
      </c>
      <c r="N888" s="50" t="n">
        <v>45824</v>
      </c>
      <c r="O888" s="8" t="s">
        <v>545</v>
      </c>
      <c r="P888" s="24" t="n">
        <v>1</v>
      </c>
      <c r="Q888" s="31" t="n">
        <f aca="false">IF(I888="N/A","",IFERROR(INDEX('Residual Config'!$B$35:$B$42,MATCH(H888,'Residual Config'!$A$35:$A$42,0)),""))</f>
        <v>1</v>
      </c>
      <c r="R888" s="24" t="n">
        <v>1</v>
      </c>
      <c r="S888" s="8" t="s">
        <v>521</v>
      </c>
      <c r="T888" s="31" t="n">
        <f aca="false">IF(S888="","",MATCH(S888,'Residual Config'!$L$9:$L$12,0))</f>
        <v>2</v>
      </c>
      <c r="U888" s="8" t="s">
        <v>2942</v>
      </c>
      <c r="V888" s="24" t="n">
        <v>6</v>
      </c>
      <c r="W888" s="33" t="s">
        <v>533</v>
      </c>
      <c r="X888" s="8" t="s">
        <v>760</v>
      </c>
      <c r="Y888" s="51" t="n">
        <f aca="false">IF(N888="","",EDATE(N888,IF(G888="N",INDEX('Residual Config'!$B$31:$D$31,1,MATCH(D888,'Residual Config'!$B$27:$D$27,0)),INDEX('Residual Config'!$B$28:$D$30,IF(T888=1,1,IF(T888=4,3,2)),MATCH(D888,'Residual Config'!$B$27:$D$27,0)))))</f>
        <v>46554</v>
      </c>
      <c r="Z888" s="7" t="str">
        <f aca="false">IF(I888="N/A","N/A",IF(N888="","Not tested",IF(W888="Rejected","Evidence rejected",IF(W888&lt;&gt;"Accepted","Evidence pending",IF(Y888&lt;'Residual Config'!$C$4,"Overdue","Current")))))</f>
        <v>Current</v>
      </c>
      <c r="AA888" s="34" t="n">
        <f aca="false">IF(I888="N/A","",IF(Z888&lt;&gt;"Current",4,IF(MAX(M888,T888)=0,4,MAX(M888,T888))))</f>
        <v>2</v>
      </c>
      <c r="AB888" s="7" t="str">
        <f aca="false">IF(AA888="","N/A",IF(Z888&lt;&gt;"Current","Not tested / overdue",INDEX('Residual Config'!$B$11:$B$14,AA888)))</f>
        <v>Largely effective</v>
      </c>
      <c r="AC888" s="36" t="n">
        <f aca="false">IF(AA888="","",INDEX('Residual Config'!$D$11:$D$14,AA888))</f>
        <v>0.4</v>
      </c>
      <c r="AD888" s="7" t="str">
        <f aca="false">IF(OR(I888="N/A",P888="",Q888=""),"",IF(P888&gt;=Q888,"Yes","No"))</f>
        <v>Yes</v>
      </c>
      <c r="AE888" s="8"/>
    </row>
    <row r="889" customFormat="false" ht="15" hidden="false" customHeight="false" outlineLevel="0" collapsed="false">
      <c r="A889" s="12" t="s">
        <v>2943</v>
      </c>
      <c r="B889" s="26" t="str">
        <f aca="false">Entities!$A$25</f>
        <v>SD</v>
      </c>
      <c r="C889" s="12" t="str">
        <f aca="false">INDEX(Entities!$B$5:$B$34,MATCH(B889,Entities!$A$5:$A$34,0))</f>
        <v>Arab Sudanese Bank</v>
      </c>
      <c r="D889" s="7" t="str">
        <f aca="false">INDEX(Entities!$F$5:$F$34,MATCH(B889,Entities!$A$5:$A$34,0))</f>
        <v>Tier 3</v>
      </c>
      <c r="E889" s="26" t="str">
        <f aca="false">'Control Library'!$A$29</f>
        <v>CTL-REG-01</v>
      </c>
      <c r="F889" s="12" t="str">
        <f aca="false">INDEX('Control Library'!$B$5:$B$47,MATCH(E889,'Control Library'!$A$5:$A$47,0))</f>
        <v>Regulatory change management and obligations register</v>
      </c>
      <c r="G889" s="7" t="str">
        <f aca="false">INDEX('Control Library'!$F$5:$F$47,MATCH(E889,'Control Library'!$A$5:$A$47,0))</f>
        <v>Y</v>
      </c>
      <c r="H889" s="12" t="str">
        <f aca="false">INDEX('Control Library'!$E$5:$E$47,MATCH(E889,'Control Library'!$A$5:$A$47,0))</f>
        <v>Monthly</v>
      </c>
      <c r="I889" s="7" t="str">
        <f aca="false">IF(INDEX('Control Library'!$I$5:$I$47,MATCH(E889,'Control Library'!$A$5:$A$47,0))="All","Y",IF(INDEX('Control Library'!$I$5:$I$47,MATCH(E889,'Control Library'!$A$5:$A$47,0))="Banks only",IF(COUNTIF('Residual Config'!$L$28:$L$30,INDEX(Entities!$E$5:$E$34,MATCH(B889,Entities!$A$5:$A$34,0)))&gt;0,"N/A","Y"),IF(INDEX(Entities!$G$5:$G$34,MATCH(B889,Entities!$A$5:$A$34,0))="Y","Y","N/A")))</f>
        <v>Y</v>
      </c>
      <c r="J889" s="8" t="s">
        <v>2887</v>
      </c>
      <c r="K889" s="8" t="s">
        <v>2884</v>
      </c>
      <c r="L889" s="7" t="str">
        <f aca="false">IF(OR(J889="",K889=""),"",IF(J889=K889,"Breach","OK"))</f>
        <v>OK</v>
      </c>
      <c r="M889" s="24" t="n">
        <v>1</v>
      </c>
      <c r="N889" s="50" t="n">
        <v>46133</v>
      </c>
      <c r="O889" s="8" t="s">
        <v>545</v>
      </c>
      <c r="P889" s="24" t="n">
        <v>3</v>
      </c>
      <c r="Q889" s="31" t="n">
        <f aca="false">IF(I889="N/A","",IFERROR(INDEX('Residual Config'!$B$35:$B$42,MATCH(H889,'Residual Config'!$A$35:$A$42,0)),""))</f>
        <v>3</v>
      </c>
      <c r="R889" s="24" t="n">
        <v>1</v>
      </c>
      <c r="S889" s="8" t="s">
        <v>521</v>
      </c>
      <c r="T889" s="31" t="n">
        <f aca="false">IF(S889="","",MATCH(S889,'Residual Config'!$L$9:$L$12,0))</f>
        <v>2</v>
      </c>
      <c r="U889" s="8" t="s">
        <v>2944</v>
      </c>
      <c r="V889" s="24" t="n">
        <v>1</v>
      </c>
      <c r="W889" s="33" t="s">
        <v>533</v>
      </c>
      <c r="X889" s="8" t="s">
        <v>754</v>
      </c>
      <c r="Y889" s="51" t="n">
        <f aca="false">IF(N889="","",EDATE(N889,IF(G889="N",INDEX('Residual Config'!$B$31:$D$31,1,MATCH(D889,'Residual Config'!$B$27:$D$27,0)),INDEX('Residual Config'!$B$28:$D$30,IF(T889=1,1,IF(T889=4,3,2)),MATCH(D889,'Residual Config'!$B$27:$D$27,0)))))</f>
        <v>46316</v>
      </c>
      <c r="Z889" s="7" t="str">
        <f aca="false">IF(I889="N/A","N/A",IF(N889="","Not tested",IF(W889="Rejected","Evidence rejected",IF(W889&lt;&gt;"Accepted","Evidence pending",IF(Y889&lt;'Residual Config'!$C$4,"Overdue","Current")))))</f>
        <v>Current</v>
      </c>
      <c r="AA889" s="34" t="n">
        <f aca="false">IF(I889="N/A","",IF(Z889&lt;&gt;"Current",4,IF(MAX(M889,T889)=0,4,MAX(M889,T889))))</f>
        <v>2</v>
      </c>
      <c r="AB889" s="7" t="str">
        <f aca="false">IF(AA889="","N/A",IF(Z889&lt;&gt;"Current","Not tested / overdue",INDEX('Residual Config'!$B$11:$B$14,AA889)))</f>
        <v>Largely effective</v>
      </c>
      <c r="AC889" s="36" t="n">
        <f aca="false">IF(AA889="","",INDEX('Residual Config'!$D$11:$D$14,AA889))</f>
        <v>0.4</v>
      </c>
      <c r="AD889" s="7" t="str">
        <f aca="false">IF(OR(I889="N/A",P889="",Q889=""),"",IF(P889&gt;=Q889,"Yes","No"))</f>
        <v>Yes</v>
      </c>
      <c r="AE889" s="8"/>
    </row>
    <row r="890" customFormat="false" ht="15" hidden="false" customHeight="false" outlineLevel="0" collapsed="false">
      <c r="A890" s="12" t="s">
        <v>2945</v>
      </c>
      <c r="B890" s="26" t="str">
        <f aca="false">Entities!$A$25</f>
        <v>SD</v>
      </c>
      <c r="C890" s="12" t="str">
        <f aca="false">INDEX(Entities!$B$5:$B$34,MATCH(B890,Entities!$A$5:$A$34,0))</f>
        <v>Arab Sudanese Bank</v>
      </c>
      <c r="D890" s="7" t="str">
        <f aca="false">INDEX(Entities!$F$5:$F$34,MATCH(B890,Entities!$A$5:$A$34,0))</f>
        <v>Tier 3</v>
      </c>
      <c r="E890" s="26" t="str">
        <f aca="false">'Control Library'!$A$30</f>
        <v>CTL-REG-02</v>
      </c>
      <c r="F890" s="12" t="str">
        <f aca="false">INDEX('Control Library'!$B$5:$B$47,MATCH(E890,'Control Library'!$A$5:$A$47,0))</f>
        <v>Regulatory return review and senior sign-off</v>
      </c>
      <c r="G890" s="7" t="str">
        <f aca="false">INDEX('Control Library'!$F$5:$F$47,MATCH(E890,'Control Library'!$A$5:$A$47,0))</f>
        <v>Y</v>
      </c>
      <c r="H890" s="12" t="str">
        <f aca="false">INDEX('Control Library'!$E$5:$E$47,MATCH(E890,'Control Library'!$A$5:$A$47,0))</f>
        <v>Monthly</v>
      </c>
      <c r="I890" s="7" t="str">
        <f aca="false">IF(INDEX('Control Library'!$I$5:$I$47,MATCH(E890,'Control Library'!$A$5:$A$47,0))="All","Y",IF(INDEX('Control Library'!$I$5:$I$47,MATCH(E890,'Control Library'!$A$5:$A$47,0))="Banks only",IF(COUNTIF('Residual Config'!$L$28:$L$30,INDEX(Entities!$E$5:$E$34,MATCH(B890,Entities!$A$5:$A$34,0)))&gt;0,"N/A","Y"),IF(INDEX(Entities!$G$5:$G$34,MATCH(B890,Entities!$A$5:$A$34,0))="Y","Y","N/A")))</f>
        <v>Y</v>
      </c>
      <c r="J890" s="8" t="s">
        <v>2939</v>
      </c>
      <c r="K890" s="8" t="s">
        <v>2884</v>
      </c>
      <c r="L890" s="7" t="str">
        <f aca="false">IF(OR(J890="",K890=""),"",IF(J890=K890,"Breach","OK"))</f>
        <v>OK</v>
      </c>
      <c r="M890" s="24" t="n">
        <v>2</v>
      </c>
      <c r="N890" s="50" t="n">
        <v>46206</v>
      </c>
      <c r="O890" s="8" t="s">
        <v>546</v>
      </c>
      <c r="P890" s="24" t="n">
        <v>3</v>
      </c>
      <c r="Q890" s="31" t="n">
        <f aca="false">IF(I890="N/A","",IFERROR(INDEX('Residual Config'!$B$35:$B$42,MATCH(H890,'Residual Config'!$A$35:$A$42,0)),""))</f>
        <v>3</v>
      </c>
      <c r="R890" s="24" t="n">
        <v>2</v>
      </c>
      <c r="S890" s="8" t="s">
        <v>524</v>
      </c>
      <c r="T890" s="31" t="n">
        <f aca="false">IF(S890="","",MATCH(S890,'Residual Config'!$L$9:$L$12,0))</f>
        <v>3</v>
      </c>
      <c r="U890" s="8" t="s">
        <v>2946</v>
      </c>
      <c r="V890" s="24" t="n">
        <v>5</v>
      </c>
      <c r="W890" s="33" t="s">
        <v>533</v>
      </c>
      <c r="X890" s="8" t="s">
        <v>754</v>
      </c>
      <c r="Y890" s="51" t="n">
        <f aca="false">IF(N890="","",EDATE(N890,IF(G890="N",INDEX('Residual Config'!$B$31:$D$31,1,MATCH(D890,'Residual Config'!$B$27:$D$27,0)),INDEX('Residual Config'!$B$28:$D$30,IF(T890=1,1,IF(T890=4,3,2)),MATCH(D890,'Residual Config'!$B$27:$D$27,0)))))</f>
        <v>46390</v>
      </c>
      <c r="Z890" s="7" t="str">
        <f aca="false">IF(I890="N/A","N/A",IF(N890="","Not tested",IF(W890="Rejected","Evidence rejected",IF(W890&lt;&gt;"Accepted","Evidence pending",IF(Y890&lt;'Residual Config'!$C$4,"Overdue","Current")))))</f>
        <v>Current</v>
      </c>
      <c r="AA890" s="34" t="n">
        <f aca="false">IF(I890="N/A","",IF(Z890&lt;&gt;"Current",4,IF(MAX(M890,T890)=0,4,MAX(M890,T890))))</f>
        <v>3</v>
      </c>
      <c r="AB890" s="7" t="str">
        <f aca="false">IF(AA890="","N/A",IF(Z890&lt;&gt;"Current","Not tested / overdue",INDEX('Residual Config'!$B$11:$B$14,AA890)))</f>
        <v>Partially effective</v>
      </c>
      <c r="AC890" s="36" t="n">
        <f aca="false">IF(AA890="","",INDEX('Residual Config'!$D$11:$D$14,AA890))</f>
        <v>0.2</v>
      </c>
      <c r="AD890" s="7" t="str">
        <f aca="false">IF(OR(I890="N/A",P890="",Q890=""),"",IF(P890&gt;=Q890,"Yes","No"))</f>
        <v>Yes</v>
      </c>
      <c r="AE890" s="8"/>
    </row>
    <row r="891" customFormat="false" ht="15" hidden="false" customHeight="false" outlineLevel="0" collapsed="false">
      <c r="A891" s="12" t="s">
        <v>2947</v>
      </c>
      <c r="B891" s="26" t="str">
        <f aca="false">Entities!$A$25</f>
        <v>SD</v>
      </c>
      <c r="C891" s="12" t="str">
        <f aca="false">INDEX(Entities!$B$5:$B$34,MATCH(B891,Entities!$A$5:$A$34,0))</f>
        <v>Arab Sudanese Bank</v>
      </c>
      <c r="D891" s="7" t="str">
        <f aca="false">INDEX(Entities!$F$5:$F$34,MATCH(B891,Entities!$A$5:$A$34,0))</f>
        <v>Tier 3</v>
      </c>
      <c r="E891" s="26" t="str">
        <f aca="false">'Control Library'!$A$31</f>
        <v>CTL-CON-01</v>
      </c>
      <c r="F891" s="12" t="str">
        <f aca="false">INDEX('Control Library'!$B$5:$B$47,MATCH(E891,'Control Library'!$A$5:$A$47,0))</f>
        <v>New product approval and suitability assessment</v>
      </c>
      <c r="G891" s="7" t="str">
        <f aca="false">INDEX('Control Library'!$F$5:$F$47,MATCH(E891,'Control Library'!$A$5:$A$47,0))</f>
        <v>Y</v>
      </c>
      <c r="H891" s="12" t="str">
        <f aca="false">INDEX('Control Library'!$E$5:$E$47,MATCH(E891,'Control Library'!$A$5:$A$47,0))</f>
        <v>Event-driven</v>
      </c>
      <c r="I891" s="7" t="str">
        <f aca="false">IF(INDEX('Control Library'!$I$5:$I$47,MATCH(E891,'Control Library'!$A$5:$A$47,0))="All","Y",IF(INDEX('Control Library'!$I$5:$I$47,MATCH(E891,'Control Library'!$A$5:$A$47,0))="Banks only",IF(COUNTIF('Residual Config'!$L$28:$L$30,INDEX(Entities!$E$5:$E$34,MATCH(B891,Entities!$A$5:$A$34,0)))&gt;0,"N/A","Y"),IF(INDEX(Entities!$G$5:$G$34,MATCH(B891,Entities!$A$5:$A$34,0))="Y","Y","N/A")))</f>
        <v>Y</v>
      </c>
      <c r="J891" s="8" t="s">
        <v>2887</v>
      </c>
      <c r="K891" s="8" t="s">
        <v>2884</v>
      </c>
      <c r="L891" s="7" t="str">
        <f aca="false">IF(OR(J891="",K891=""),"",IF(J891=K891,"Breach","OK"))</f>
        <v>OK</v>
      </c>
      <c r="M891" s="24" t="n">
        <v>3</v>
      </c>
      <c r="N891" s="50" t="n">
        <v>46151</v>
      </c>
      <c r="O891" s="8" t="s">
        <v>545</v>
      </c>
      <c r="P891" s="24" t="n">
        <v>30</v>
      </c>
      <c r="Q891" s="31" t="n">
        <f aca="false">IF(I891="N/A","",IFERROR(INDEX('Residual Config'!$B$35:$B$42,MATCH(H891,'Residual Config'!$A$35:$A$42,0)),""))</f>
        <v>25</v>
      </c>
      <c r="R891" s="24" t="n">
        <v>1</v>
      </c>
      <c r="S891" s="8" t="s">
        <v>521</v>
      </c>
      <c r="T891" s="31" t="n">
        <f aca="false">IF(S891="","",MATCH(S891,'Residual Config'!$L$9:$L$12,0))</f>
        <v>2</v>
      </c>
      <c r="U891" s="8" t="s">
        <v>2948</v>
      </c>
      <c r="V891" s="24" t="n">
        <v>4</v>
      </c>
      <c r="W891" s="33" t="s">
        <v>533</v>
      </c>
      <c r="X891" s="8" t="s">
        <v>760</v>
      </c>
      <c r="Y891" s="51" t="n">
        <f aca="false">IF(N891="","",EDATE(N891,IF(G891="N",INDEX('Residual Config'!$B$31:$D$31,1,MATCH(D891,'Residual Config'!$B$27:$D$27,0)),INDEX('Residual Config'!$B$28:$D$30,IF(T891=1,1,IF(T891=4,3,2)),MATCH(D891,'Residual Config'!$B$27:$D$27,0)))))</f>
        <v>46335</v>
      </c>
      <c r="Z891" s="7" t="str">
        <f aca="false">IF(I891="N/A","N/A",IF(N891="","Not tested",IF(W891="Rejected","Evidence rejected",IF(W891&lt;&gt;"Accepted","Evidence pending",IF(Y891&lt;'Residual Config'!$C$4,"Overdue","Current")))))</f>
        <v>Current</v>
      </c>
      <c r="AA891" s="34" t="n">
        <f aca="false">IF(I891="N/A","",IF(Z891&lt;&gt;"Current",4,IF(MAX(M891,T891)=0,4,MAX(M891,T891))))</f>
        <v>3</v>
      </c>
      <c r="AB891" s="7" t="str">
        <f aca="false">IF(AA891="","N/A",IF(Z891&lt;&gt;"Current","Not tested / overdue",INDEX('Residual Config'!$B$11:$B$14,AA891)))</f>
        <v>Partially effective</v>
      </c>
      <c r="AC891" s="36" t="n">
        <f aca="false">IF(AA891="","",INDEX('Residual Config'!$D$11:$D$14,AA891))</f>
        <v>0.2</v>
      </c>
      <c r="AD891" s="7" t="str">
        <f aca="false">IF(OR(I891="N/A",P891="",Q891=""),"",IF(P891&gt;=Q891,"Yes","No"))</f>
        <v>Yes</v>
      </c>
      <c r="AE891" s="8"/>
    </row>
    <row r="892" customFormat="false" ht="15" hidden="false" customHeight="false" outlineLevel="0" collapsed="false">
      <c r="A892" s="12" t="s">
        <v>2949</v>
      </c>
      <c r="B892" s="26" t="str">
        <f aca="false">Entities!$A$25</f>
        <v>SD</v>
      </c>
      <c r="C892" s="12" t="str">
        <f aca="false">INDEX(Entities!$B$5:$B$34,MATCH(B892,Entities!$A$5:$A$34,0))</f>
        <v>Arab Sudanese Bank</v>
      </c>
      <c r="D892" s="7" t="str">
        <f aca="false">INDEX(Entities!$F$5:$F$34,MATCH(B892,Entities!$A$5:$A$34,0))</f>
        <v>Tier 3</v>
      </c>
      <c r="E892" s="26" t="str">
        <f aca="false">'Control Library'!$A$32</f>
        <v>CTL-CON-02</v>
      </c>
      <c r="F892" s="12" t="str">
        <f aca="false">INDEX('Control Library'!$B$5:$B$47,MATCH(E892,'Control Library'!$A$5:$A$47,0))</f>
        <v>Complaints handling and root-cause analysis</v>
      </c>
      <c r="G892" s="7" t="str">
        <f aca="false">INDEX('Control Library'!$F$5:$F$47,MATCH(E892,'Control Library'!$A$5:$A$47,0))</f>
        <v>N</v>
      </c>
      <c r="H892" s="12" t="str">
        <f aca="false">INDEX('Control Library'!$E$5:$E$47,MATCH(E892,'Control Library'!$A$5:$A$47,0))</f>
        <v>Monthly</v>
      </c>
      <c r="I892" s="7" t="str">
        <f aca="false">IF(INDEX('Control Library'!$I$5:$I$47,MATCH(E892,'Control Library'!$A$5:$A$47,0))="All","Y",IF(INDEX('Control Library'!$I$5:$I$47,MATCH(E892,'Control Library'!$A$5:$A$47,0))="Banks only",IF(COUNTIF('Residual Config'!$L$28:$L$30,INDEX(Entities!$E$5:$E$34,MATCH(B892,Entities!$A$5:$A$34,0)))&gt;0,"N/A","Y"),IF(INDEX(Entities!$G$5:$G$34,MATCH(B892,Entities!$A$5:$A$34,0))="Y","Y","N/A")))</f>
        <v>Y</v>
      </c>
      <c r="J892" s="8" t="s">
        <v>2950</v>
      </c>
      <c r="K892" s="8" t="s">
        <v>2884</v>
      </c>
      <c r="L892" s="7" t="str">
        <f aca="false">IF(OR(J892="",K892=""),"",IF(J892=K892,"Breach","OK"))</f>
        <v>OK</v>
      </c>
      <c r="M892" s="24" t="n">
        <v>2</v>
      </c>
      <c r="N892" s="50" t="n">
        <v>45696</v>
      </c>
      <c r="O892" s="8" t="s">
        <v>546</v>
      </c>
      <c r="P892" s="24" t="n">
        <v>3</v>
      </c>
      <c r="Q892" s="31" t="n">
        <f aca="false">IF(I892="N/A","",IFERROR(INDEX('Residual Config'!$B$35:$B$42,MATCH(H892,'Residual Config'!$A$35:$A$42,0)),""))</f>
        <v>3</v>
      </c>
      <c r="R892" s="24" t="n">
        <v>1</v>
      </c>
      <c r="S892" s="8" t="s">
        <v>521</v>
      </c>
      <c r="T892" s="31" t="n">
        <f aca="false">IF(S892="","",MATCH(S892,'Residual Config'!$L$9:$L$12,0))</f>
        <v>2</v>
      </c>
      <c r="U892" s="8" t="s">
        <v>2951</v>
      </c>
      <c r="V892" s="24" t="n">
        <v>2</v>
      </c>
      <c r="W892" s="33" t="s">
        <v>533</v>
      </c>
      <c r="X892" s="8" t="s">
        <v>760</v>
      </c>
      <c r="Y892" s="51" t="n">
        <f aca="false">IF(N892="","",EDATE(N892,IF(G892="N",INDEX('Residual Config'!$B$31:$D$31,1,MATCH(D892,'Residual Config'!$B$27:$D$27,0)),INDEX('Residual Config'!$B$28:$D$30,IF(T892=1,1,IF(T892=4,3,2)),MATCH(D892,'Residual Config'!$B$27:$D$27,0)))))</f>
        <v>46426</v>
      </c>
      <c r="Z892" s="7" t="str">
        <f aca="false">IF(I892="N/A","N/A",IF(N892="","Not tested",IF(W892="Rejected","Evidence rejected",IF(W892&lt;&gt;"Accepted","Evidence pending",IF(Y892&lt;'Residual Config'!$C$4,"Overdue","Current")))))</f>
        <v>Current</v>
      </c>
      <c r="AA892" s="34" t="n">
        <f aca="false">IF(I892="N/A","",IF(Z892&lt;&gt;"Current",4,IF(MAX(M892,T892)=0,4,MAX(M892,T892))))</f>
        <v>2</v>
      </c>
      <c r="AB892" s="7" t="str">
        <f aca="false">IF(AA892="","N/A",IF(Z892&lt;&gt;"Current","Not tested / overdue",INDEX('Residual Config'!$B$11:$B$14,AA892)))</f>
        <v>Largely effective</v>
      </c>
      <c r="AC892" s="36" t="n">
        <f aca="false">IF(AA892="","",INDEX('Residual Config'!$D$11:$D$14,AA892))</f>
        <v>0.4</v>
      </c>
      <c r="AD892" s="7" t="str">
        <f aca="false">IF(OR(I892="N/A",P892="",Q892=""),"",IF(P892&gt;=Q892,"Yes","No"))</f>
        <v>Yes</v>
      </c>
      <c r="AE892" s="8"/>
    </row>
    <row r="893" customFormat="false" ht="15" hidden="false" customHeight="false" outlineLevel="0" collapsed="false">
      <c r="A893" s="12" t="s">
        <v>2952</v>
      </c>
      <c r="B893" s="26" t="str">
        <f aca="false">Entities!$A$25</f>
        <v>SD</v>
      </c>
      <c r="C893" s="12" t="str">
        <f aca="false">INDEX(Entities!$B$5:$B$34,MATCH(B893,Entities!$A$5:$A$34,0))</f>
        <v>Arab Sudanese Bank</v>
      </c>
      <c r="D893" s="7" t="str">
        <f aca="false">INDEX(Entities!$F$5:$F$34,MATCH(B893,Entities!$A$5:$A$34,0))</f>
        <v>Tier 3</v>
      </c>
      <c r="E893" s="26" t="str">
        <f aca="false">'Control Library'!$A$33</f>
        <v>CTL-DP-01</v>
      </c>
      <c r="F893" s="12" t="str">
        <f aca="false">INDEX('Control Library'!$B$5:$B$47,MATCH(E893,'Control Library'!$A$5:$A$47,0))</f>
        <v>Data protection impact assessments and processing records</v>
      </c>
      <c r="G893" s="7" t="str">
        <f aca="false">INDEX('Control Library'!$F$5:$F$47,MATCH(E893,'Control Library'!$A$5:$A$47,0))</f>
        <v>Y</v>
      </c>
      <c r="H893" s="12" t="str">
        <f aca="false">INDEX('Control Library'!$E$5:$E$47,MATCH(E893,'Control Library'!$A$5:$A$47,0))</f>
        <v>Event-driven</v>
      </c>
      <c r="I893" s="7" t="str">
        <f aca="false">IF(INDEX('Control Library'!$I$5:$I$47,MATCH(E893,'Control Library'!$A$5:$A$47,0))="All","Y",IF(INDEX('Control Library'!$I$5:$I$47,MATCH(E893,'Control Library'!$A$5:$A$47,0))="Banks only",IF(COUNTIF('Residual Config'!$L$28:$L$30,INDEX(Entities!$E$5:$E$34,MATCH(B893,Entities!$A$5:$A$34,0)))&gt;0,"N/A","Y"),IF(INDEX(Entities!$G$5:$G$34,MATCH(B893,Entities!$A$5:$A$34,0))="Y","Y","N/A")))</f>
        <v>Y</v>
      </c>
      <c r="J893" s="8" t="s">
        <v>2953</v>
      </c>
      <c r="K893" s="8" t="s">
        <v>2884</v>
      </c>
      <c r="L893" s="7" t="str">
        <f aca="false">IF(OR(J893="",K893=""),"",IF(J893=K893,"Breach","OK"))</f>
        <v>OK</v>
      </c>
      <c r="M893" s="24" t="n">
        <v>3</v>
      </c>
      <c r="N893" s="50" t="n">
        <v>46269</v>
      </c>
      <c r="O893" s="8" t="s">
        <v>546</v>
      </c>
      <c r="P893" s="24" t="n">
        <v>25</v>
      </c>
      <c r="Q893" s="31" t="n">
        <f aca="false">IF(I893="N/A","",IFERROR(INDEX('Residual Config'!$B$35:$B$42,MATCH(H893,'Residual Config'!$A$35:$A$42,0)),""))</f>
        <v>25</v>
      </c>
      <c r="R893" s="24" t="n">
        <v>1</v>
      </c>
      <c r="S893" s="8" t="s">
        <v>521</v>
      </c>
      <c r="T893" s="31" t="n">
        <f aca="false">IF(S893="","",MATCH(S893,'Residual Config'!$L$9:$L$12,0))</f>
        <v>2</v>
      </c>
      <c r="U893" s="8" t="s">
        <v>2954</v>
      </c>
      <c r="V893" s="24" t="n">
        <v>5</v>
      </c>
      <c r="W893" s="33" t="s">
        <v>533</v>
      </c>
      <c r="X893" s="8" t="s">
        <v>760</v>
      </c>
      <c r="Y893" s="51" t="n">
        <f aca="false">IF(N893="","",EDATE(N893,IF(G893="N",INDEX('Residual Config'!$B$31:$D$31,1,MATCH(D893,'Residual Config'!$B$27:$D$27,0)),INDEX('Residual Config'!$B$28:$D$30,IF(T893=1,1,IF(T893=4,3,2)),MATCH(D893,'Residual Config'!$B$27:$D$27,0)))))</f>
        <v>46450</v>
      </c>
      <c r="Z893" s="7" t="str">
        <f aca="false">IF(I893="N/A","N/A",IF(N893="","Not tested",IF(W893="Rejected","Evidence rejected",IF(W893&lt;&gt;"Accepted","Evidence pending",IF(Y893&lt;'Residual Config'!$C$4,"Overdue","Current")))))</f>
        <v>Current</v>
      </c>
      <c r="AA893" s="34" t="n">
        <f aca="false">IF(I893="N/A","",IF(Z893&lt;&gt;"Current",4,IF(MAX(M893,T893)=0,4,MAX(M893,T893))))</f>
        <v>3</v>
      </c>
      <c r="AB893" s="7" t="str">
        <f aca="false">IF(AA893="","N/A",IF(Z893&lt;&gt;"Current","Not tested / overdue",INDEX('Residual Config'!$B$11:$B$14,AA893)))</f>
        <v>Partially effective</v>
      </c>
      <c r="AC893" s="36" t="n">
        <f aca="false">IF(AA893="","",INDEX('Residual Config'!$D$11:$D$14,AA893))</f>
        <v>0.2</v>
      </c>
      <c r="AD893" s="7" t="str">
        <f aca="false">IF(OR(I893="N/A",P893="",Q893=""),"",IF(P893&gt;=Q893,"Yes","No"))</f>
        <v>Yes</v>
      </c>
      <c r="AE893" s="8"/>
    </row>
    <row r="894" customFormat="false" ht="15" hidden="false" customHeight="false" outlineLevel="0" collapsed="false">
      <c r="A894" s="12" t="s">
        <v>2955</v>
      </c>
      <c r="B894" s="26" t="str">
        <f aca="false">Entities!$A$25</f>
        <v>SD</v>
      </c>
      <c r="C894" s="12" t="str">
        <f aca="false">INDEX(Entities!$B$5:$B$34,MATCH(B894,Entities!$A$5:$A$34,0))</f>
        <v>Arab Sudanese Bank</v>
      </c>
      <c r="D894" s="7" t="str">
        <f aca="false">INDEX(Entities!$F$5:$F$34,MATCH(B894,Entities!$A$5:$A$34,0))</f>
        <v>Tier 3</v>
      </c>
      <c r="E894" s="26" t="str">
        <f aca="false">'Control Library'!$A$34</f>
        <v>CTL-DP-02</v>
      </c>
      <c r="F894" s="12" t="str">
        <f aca="false">INDEX('Control Library'!$B$5:$B$47,MATCH(E894,'Control Library'!$A$5:$A$47,0))</f>
        <v>Data loss prevention and quarterly access recertification</v>
      </c>
      <c r="G894" s="7" t="str">
        <f aca="false">INDEX('Control Library'!$F$5:$F$47,MATCH(E894,'Control Library'!$A$5:$A$47,0))</f>
        <v>Y</v>
      </c>
      <c r="H894" s="12" t="str">
        <f aca="false">INDEX('Control Library'!$E$5:$E$47,MATCH(E894,'Control Library'!$A$5:$A$47,0))</f>
        <v>Quarterly</v>
      </c>
      <c r="I894" s="7" t="str">
        <f aca="false">IF(INDEX('Control Library'!$I$5:$I$47,MATCH(E894,'Control Library'!$A$5:$A$47,0))="All","Y",IF(INDEX('Control Library'!$I$5:$I$47,MATCH(E894,'Control Library'!$A$5:$A$47,0))="Banks only",IF(COUNTIF('Residual Config'!$L$28:$L$30,INDEX(Entities!$E$5:$E$34,MATCH(B894,Entities!$A$5:$A$34,0)))&gt;0,"N/A","Y"),IF(INDEX(Entities!$G$5:$G$34,MATCH(B894,Entities!$A$5:$A$34,0))="Y","Y","N/A")))</f>
        <v>Y</v>
      </c>
      <c r="J894" s="8" t="s">
        <v>2956</v>
      </c>
      <c r="K894" s="8" t="s">
        <v>2884</v>
      </c>
      <c r="L894" s="7" t="str">
        <f aca="false">IF(OR(J894="",K894=""),"",IF(J894=K894,"Breach","OK"))</f>
        <v>OK</v>
      </c>
      <c r="M894" s="24" t="n">
        <v>2</v>
      </c>
      <c r="N894" s="50" t="n">
        <v>46142</v>
      </c>
      <c r="O894" s="8" t="s">
        <v>546</v>
      </c>
      <c r="P894" s="24" t="n">
        <v>2</v>
      </c>
      <c r="Q894" s="31" t="n">
        <f aca="false">IF(I894="N/A","",IFERROR(INDEX('Residual Config'!$B$35:$B$42,MATCH(H894,'Residual Config'!$A$35:$A$42,0)),""))</f>
        <v>2</v>
      </c>
      <c r="R894" s="24" t="n">
        <v>2</v>
      </c>
      <c r="S894" s="8" t="s">
        <v>524</v>
      </c>
      <c r="T894" s="31" t="n">
        <f aca="false">IF(S894="","",MATCH(S894,'Residual Config'!$L$9:$L$12,0))</f>
        <v>3</v>
      </c>
      <c r="U894" s="8" t="s">
        <v>2957</v>
      </c>
      <c r="V894" s="24" t="n">
        <v>1</v>
      </c>
      <c r="W894" s="33" t="s">
        <v>533</v>
      </c>
      <c r="X894" s="8" t="s">
        <v>754</v>
      </c>
      <c r="Y894" s="51" t="n">
        <f aca="false">IF(N894="","",EDATE(N894,IF(G894="N",INDEX('Residual Config'!$B$31:$D$31,1,MATCH(D894,'Residual Config'!$B$27:$D$27,0)),INDEX('Residual Config'!$B$28:$D$30,IF(T894=1,1,IF(T894=4,3,2)),MATCH(D894,'Residual Config'!$B$27:$D$27,0)))))</f>
        <v>46325</v>
      </c>
      <c r="Z894" s="7" t="str">
        <f aca="false">IF(I894="N/A","N/A",IF(N894="","Not tested",IF(W894="Rejected","Evidence rejected",IF(W894&lt;&gt;"Accepted","Evidence pending",IF(Y894&lt;'Residual Config'!$C$4,"Overdue","Current")))))</f>
        <v>Current</v>
      </c>
      <c r="AA894" s="34" t="n">
        <f aca="false">IF(I894="N/A","",IF(Z894&lt;&gt;"Current",4,IF(MAX(M894,T894)=0,4,MAX(M894,T894))))</f>
        <v>3</v>
      </c>
      <c r="AB894" s="7" t="str">
        <f aca="false">IF(AA894="","N/A",IF(Z894&lt;&gt;"Current","Not tested / overdue",INDEX('Residual Config'!$B$11:$B$14,AA894)))</f>
        <v>Partially effective</v>
      </c>
      <c r="AC894" s="36" t="n">
        <f aca="false">IF(AA894="","",INDEX('Residual Config'!$D$11:$D$14,AA894))</f>
        <v>0.2</v>
      </c>
      <c r="AD894" s="7" t="str">
        <f aca="false">IF(OR(I894="N/A",P894="",Q894=""),"",IF(P894&gt;=Q894,"Yes","No"))</f>
        <v>Yes</v>
      </c>
      <c r="AE894" s="8"/>
    </row>
    <row r="895" customFormat="false" ht="15" hidden="false" customHeight="false" outlineLevel="0" collapsed="false">
      <c r="A895" s="12" t="s">
        <v>2958</v>
      </c>
      <c r="B895" s="26" t="str">
        <f aca="false">Entities!$A$25</f>
        <v>SD</v>
      </c>
      <c r="C895" s="12" t="str">
        <f aca="false">INDEX(Entities!$B$5:$B$34,MATCH(B895,Entities!$A$5:$A$34,0))</f>
        <v>Arab Sudanese Bank</v>
      </c>
      <c r="D895" s="7" t="str">
        <f aca="false">INDEX(Entities!$F$5:$F$34,MATCH(B895,Entities!$A$5:$A$34,0))</f>
        <v>Tier 3</v>
      </c>
      <c r="E895" s="26" t="str">
        <f aca="false">'Control Library'!$A$35</f>
        <v>CTL-SH-01</v>
      </c>
      <c r="F895" s="12" t="str">
        <f aca="false">INDEX('Control Library'!$B$5:$B$47,MATCH(E895,'Control Library'!$A$5:$A$47,0))</f>
        <v>Shariah review of products and income purification</v>
      </c>
      <c r="G895" s="7" t="str">
        <f aca="false">INDEX('Control Library'!$F$5:$F$47,MATCH(E895,'Control Library'!$A$5:$A$47,0))</f>
        <v>Y</v>
      </c>
      <c r="H895" s="12" t="str">
        <f aca="false">INDEX('Control Library'!$E$5:$E$47,MATCH(E895,'Control Library'!$A$5:$A$47,0))</f>
        <v>Quarterly</v>
      </c>
      <c r="I895" s="7" t="str">
        <f aca="false">IF(INDEX('Control Library'!$I$5:$I$47,MATCH(E895,'Control Library'!$A$5:$A$47,0))="All","Y",IF(INDEX('Control Library'!$I$5:$I$47,MATCH(E895,'Control Library'!$A$5:$A$47,0))="Banks only",IF(COUNTIF('Residual Config'!$L$28:$L$30,INDEX(Entities!$E$5:$E$34,MATCH(B895,Entities!$A$5:$A$34,0)))&gt;0,"N/A","Y"),IF(INDEX(Entities!$G$5:$G$34,MATCH(B895,Entities!$A$5:$A$34,0))="Y","Y","N/A")))</f>
        <v>N/A</v>
      </c>
      <c r="J895" s="8"/>
      <c r="K895" s="8"/>
      <c r="L895" s="7" t="str">
        <f aca="false">IF(OR(J895="",K895=""),"",IF(J895=K895,"Breach","OK"))</f>
        <v/>
      </c>
      <c r="M895" s="24"/>
      <c r="N895" s="50"/>
      <c r="O895" s="8"/>
      <c r="P895" s="24"/>
      <c r="Q895" s="31" t="str">
        <f aca="false">IF(I895="N/A","",IFERROR(INDEX('Residual Config'!$B$35:$B$42,MATCH(H895,'Residual Config'!$A$35:$A$42,0)),""))</f>
        <v/>
      </c>
      <c r="R895" s="24"/>
      <c r="S895" s="8"/>
      <c r="T895" s="31" t="str">
        <f aca="false">IF(S895="","",MATCH(S895,'Residual Config'!$L$9:$L$12,0))</f>
        <v/>
      </c>
      <c r="U895" s="8"/>
      <c r="V895" s="24"/>
      <c r="W895" s="33"/>
      <c r="X895" s="8"/>
      <c r="Y895" s="51" t="str">
        <f aca="false">IF(N895="","",EDATE(N895,IF(G895="N",INDEX('Residual Config'!$B$31:$D$31,1,MATCH(D895,'Residual Config'!$B$27:$D$27,0)),INDEX('Residual Config'!$B$28:$D$30,IF(T895=1,1,IF(T895=4,3,2)),MATCH(D895,'Residual Config'!$B$27:$D$27,0)))))</f>
        <v/>
      </c>
      <c r="Z895" s="7" t="str">
        <f aca="false">IF(I895="N/A","N/A",IF(N895="","Not tested",IF(W895="Rejected","Evidence rejected",IF(W895&lt;&gt;"Accepted","Evidence pending",IF(Y895&lt;'Residual Config'!$C$4,"Overdue","Current")))))</f>
        <v>N/A</v>
      </c>
      <c r="AA895" s="34" t="str">
        <f aca="false">IF(I895="N/A","",IF(Z895&lt;&gt;"Current",4,IF(MAX(M895,T895)=0,4,MAX(M895,T895))))</f>
        <v/>
      </c>
      <c r="AB895" s="7" t="str">
        <f aca="false">IF(AA895="","N/A",IF(Z895&lt;&gt;"Current","Not tested / overdue",INDEX('Residual Config'!$B$11:$B$14,AA895)))</f>
        <v>N/A</v>
      </c>
      <c r="AC895" s="36" t="str">
        <f aca="false">IF(AA895="","",INDEX('Residual Config'!$D$11:$D$14,AA895))</f>
        <v/>
      </c>
      <c r="AD895" s="7" t="str">
        <f aca="false">IF(OR(I895="N/A",P895="",Q895=""),"",IF(P895&gt;=Q895,"Yes","No"))</f>
        <v/>
      </c>
      <c r="AE895" s="8"/>
    </row>
    <row r="896" customFormat="false" ht="15" hidden="false" customHeight="false" outlineLevel="0" collapsed="false">
      <c r="A896" s="12" t="s">
        <v>2959</v>
      </c>
      <c r="B896" s="26" t="str">
        <f aca="false">Entities!$A$25</f>
        <v>SD</v>
      </c>
      <c r="C896" s="12" t="str">
        <f aca="false">INDEX(Entities!$B$5:$B$34,MATCH(B896,Entities!$A$5:$A$34,0))</f>
        <v>Arab Sudanese Bank</v>
      </c>
      <c r="D896" s="7" t="str">
        <f aca="false">INDEX(Entities!$F$5:$F$34,MATCH(B896,Entities!$A$5:$A$34,0))</f>
        <v>Tier 3</v>
      </c>
      <c r="E896" s="26" t="str">
        <f aca="false">'Control Library'!$A$36</f>
        <v>CTL-CR-01</v>
      </c>
      <c r="F896" s="12" t="str">
        <f aca="false">INDEX('Control Library'!$B$5:$B$47,MATCH(E896,'Control Library'!$A$5:$A$47,0))</f>
        <v>Credit approval authorities and committee review</v>
      </c>
      <c r="G896" s="7" t="str">
        <f aca="false">INDEX('Control Library'!$F$5:$F$47,MATCH(E896,'Control Library'!$A$5:$A$47,0))</f>
        <v>Y</v>
      </c>
      <c r="H896" s="12" t="str">
        <f aca="false">INDEX('Control Library'!$E$5:$E$47,MATCH(E896,'Control Library'!$A$5:$A$47,0))</f>
        <v>Event-driven</v>
      </c>
      <c r="I896" s="7" t="str">
        <f aca="false">IF(INDEX('Control Library'!$I$5:$I$47,MATCH(E896,'Control Library'!$A$5:$A$47,0))="All","Y",IF(INDEX('Control Library'!$I$5:$I$47,MATCH(E896,'Control Library'!$A$5:$A$47,0))="Banks only",IF(COUNTIF('Residual Config'!$L$28:$L$30,INDEX(Entities!$E$5:$E$34,MATCH(B896,Entities!$A$5:$A$34,0)))&gt;0,"N/A","Y"),IF(INDEX(Entities!$G$5:$G$34,MATCH(B896,Entities!$A$5:$A$34,0))="Y","Y","N/A")))</f>
        <v>Y</v>
      </c>
      <c r="J896" s="8" t="s">
        <v>2960</v>
      </c>
      <c r="K896" s="8" t="s">
        <v>2884</v>
      </c>
      <c r="L896" s="7" t="str">
        <f aca="false">IF(OR(J896="",K896=""),"",IF(J896=K896,"Breach","OK"))</f>
        <v>OK</v>
      </c>
      <c r="M896" s="24" t="n">
        <v>4</v>
      </c>
      <c r="N896" s="50" t="n">
        <v>46167</v>
      </c>
      <c r="O896" s="8" t="s">
        <v>545</v>
      </c>
      <c r="P896" s="24" t="n">
        <v>35</v>
      </c>
      <c r="Q896" s="31" t="n">
        <f aca="false">IF(I896="N/A","",IFERROR(INDEX('Residual Config'!$B$35:$B$42,MATCH(H896,'Residual Config'!$A$35:$A$42,0)),""))</f>
        <v>25</v>
      </c>
      <c r="R896" s="24" t="n">
        <v>3</v>
      </c>
      <c r="S896" s="8" t="s">
        <v>524</v>
      </c>
      <c r="T896" s="31" t="n">
        <f aca="false">IF(S896="","",MATCH(S896,'Residual Config'!$L$9:$L$12,0))</f>
        <v>3</v>
      </c>
      <c r="U896" s="8" t="s">
        <v>2961</v>
      </c>
      <c r="V896" s="24" t="n">
        <v>2</v>
      </c>
      <c r="W896" s="33" t="s">
        <v>533</v>
      </c>
      <c r="X896" s="8" t="s">
        <v>760</v>
      </c>
      <c r="Y896" s="51" t="n">
        <f aca="false">IF(N896="","",EDATE(N896,IF(G896="N",INDEX('Residual Config'!$B$31:$D$31,1,MATCH(D896,'Residual Config'!$B$27:$D$27,0)),INDEX('Residual Config'!$B$28:$D$30,IF(T896=1,1,IF(T896=4,3,2)),MATCH(D896,'Residual Config'!$B$27:$D$27,0)))))</f>
        <v>46351</v>
      </c>
      <c r="Z896" s="7" t="str">
        <f aca="false">IF(I896="N/A","N/A",IF(N896="","Not tested",IF(W896="Rejected","Evidence rejected",IF(W896&lt;&gt;"Accepted","Evidence pending",IF(Y896&lt;'Residual Config'!$C$4,"Overdue","Current")))))</f>
        <v>Current</v>
      </c>
      <c r="AA896" s="34" t="n">
        <f aca="false">IF(I896="N/A","",IF(Z896&lt;&gt;"Current",4,IF(MAX(M896,T896)=0,4,MAX(M896,T896))))</f>
        <v>4</v>
      </c>
      <c r="AB896" s="7" t="str">
        <f aca="false">IF(AA896="","N/A",IF(Z896&lt;&gt;"Current","Not tested / overdue",INDEX('Residual Config'!$B$11:$B$14,AA896)))</f>
        <v>Ineffective</v>
      </c>
      <c r="AC896" s="36" t="n">
        <f aca="false">IF(AA896="","",INDEX('Residual Config'!$D$11:$D$14,AA896))</f>
        <v>0</v>
      </c>
      <c r="AD896" s="7" t="str">
        <f aca="false">IF(OR(I896="N/A",P896="",Q896=""),"",IF(P896&gt;=Q896,"Yes","No"))</f>
        <v>Yes</v>
      </c>
      <c r="AE896" s="8"/>
    </row>
    <row r="897" customFormat="false" ht="15" hidden="false" customHeight="false" outlineLevel="0" collapsed="false">
      <c r="A897" s="12" t="s">
        <v>2962</v>
      </c>
      <c r="B897" s="26" t="str">
        <f aca="false">Entities!$A$25</f>
        <v>SD</v>
      </c>
      <c r="C897" s="12" t="str">
        <f aca="false">INDEX(Entities!$B$5:$B$34,MATCH(B897,Entities!$A$5:$A$34,0))</f>
        <v>Arab Sudanese Bank</v>
      </c>
      <c r="D897" s="7" t="str">
        <f aca="false">INDEX(Entities!$F$5:$F$34,MATCH(B897,Entities!$A$5:$A$34,0))</f>
        <v>Tier 3</v>
      </c>
      <c r="E897" s="26" t="str">
        <f aca="false">'Control Library'!$A$37</f>
        <v>CTL-CR-02</v>
      </c>
      <c r="F897" s="12" t="str">
        <f aca="false">INDEX('Control Library'!$B$5:$B$47,MATCH(E897,'Control Library'!$A$5:$A$47,0))</f>
        <v>Collateral valuation and exposure limit monitoring</v>
      </c>
      <c r="G897" s="7" t="str">
        <f aca="false">INDEX('Control Library'!$F$5:$F$47,MATCH(E897,'Control Library'!$A$5:$A$47,0))</f>
        <v>N</v>
      </c>
      <c r="H897" s="12" t="str">
        <f aca="false">INDEX('Control Library'!$E$5:$E$47,MATCH(E897,'Control Library'!$A$5:$A$47,0))</f>
        <v>Monthly</v>
      </c>
      <c r="I897" s="7" t="str">
        <f aca="false">IF(INDEX('Control Library'!$I$5:$I$47,MATCH(E897,'Control Library'!$A$5:$A$47,0))="All","Y",IF(INDEX('Control Library'!$I$5:$I$47,MATCH(E897,'Control Library'!$A$5:$A$47,0))="Banks only",IF(COUNTIF('Residual Config'!$L$28:$L$30,INDEX(Entities!$E$5:$E$34,MATCH(B897,Entities!$A$5:$A$34,0)))&gt;0,"N/A","Y"),IF(INDEX(Entities!$G$5:$G$34,MATCH(B897,Entities!$A$5:$A$34,0))="Y","Y","N/A")))</f>
        <v>Y</v>
      </c>
      <c r="J897" s="8" t="s">
        <v>2963</v>
      </c>
      <c r="K897" s="8" t="s">
        <v>2884</v>
      </c>
      <c r="L897" s="7" t="str">
        <f aca="false">IF(OR(J897="",K897=""),"",IF(J897=K897,"Breach","OK"))</f>
        <v>OK</v>
      </c>
      <c r="M897" s="24" t="n">
        <v>2</v>
      </c>
      <c r="N897" s="50" t="n">
        <v>45679</v>
      </c>
      <c r="O897" s="8" t="s">
        <v>545</v>
      </c>
      <c r="P897" s="24" t="n">
        <v>3</v>
      </c>
      <c r="Q897" s="31" t="n">
        <f aca="false">IF(I897="N/A","",IFERROR(INDEX('Residual Config'!$B$35:$B$42,MATCH(H897,'Residual Config'!$A$35:$A$42,0)),""))</f>
        <v>3</v>
      </c>
      <c r="R897" s="24" t="n">
        <v>2</v>
      </c>
      <c r="S897" s="8" t="s">
        <v>524</v>
      </c>
      <c r="T897" s="31" t="n">
        <f aca="false">IF(S897="","",MATCH(S897,'Residual Config'!$L$9:$L$12,0))</f>
        <v>3</v>
      </c>
      <c r="U897" s="8" t="s">
        <v>2964</v>
      </c>
      <c r="V897" s="24" t="n">
        <v>6</v>
      </c>
      <c r="W897" s="33" t="s">
        <v>533</v>
      </c>
      <c r="X897" s="8" t="s">
        <v>754</v>
      </c>
      <c r="Y897" s="51" t="n">
        <f aca="false">IF(N897="","",EDATE(N897,IF(G897="N",INDEX('Residual Config'!$B$31:$D$31,1,MATCH(D897,'Residual Config'!$B$27:$D$27,0)),INDEX('Residual Config'!$B$28:$D$30,IF(T897=1,1,IF(T897=4,3,2)),MATCH(D897,'Residual Config'!$B$27:$D$27,0)))))</f>
        <v>46409</v>
      </c>
      <c r="Z897" s="7" t="str">
        <f aca="false">IF(I897="N/A","N/A",IF(N897="","Not tested",IF(W897="Rejected","Evidence rejected",IF(W897&lt;&gt;"Accepted","Evidence pending",IF(Y897&lt;'Residual Config'!$C$4,"Overdue","Current")))))</f>
        <v>Current</v>
      </c>
      <c r="AA897" s="34" t="n">
        <f aca="false">IF(I897="N/A","",IF(Z897&lt;&gt;"Current",4,IF(MAX(M897,T897)=0,4,MAX(M897,T897))))</f>
        <v>3</v>
      </c>
      <c r="AB897" s="7" t="str">
        <f aca="false">IF(AA897="","N/A",IF(Z897&lt;&gt;"Current","Not tested / overdue",INDEX('Residual Config'!$B$11:$B$14,AA897)))</f>
        <v>Partially effective</v>
      </c>
      <c r="AC897" s="36" t="n">
        <f aca="false">IF(AA897="","",INDEX('Residual Config'!$D$11:$D$14,AA897))</f>
        <v>0.2</v>
      </c>
      <c r="AD897" s="7" t="str">
        <f aca="false">IF(OR(I897="N/A",P897="",Q897=""),"",IF(P897&gt;=Q897,"Yes","No"))</f>
        <v>Yes</v>
      </c>
      <c r="AE897" s="8"/>
    </row>
    <row r="898" customFormat="false" ht="15" hidden="false" customHeight="false" outlineLevel="0" collapsed="false">
      <c r="A898" s="12" t="s">
        <v>2965</v>
      </c>
      <c r="B898" s="26" t="str">
        <f aca="false">Entities!$A$25</f>
        <v>SD</v>
      </c>
      <c r="C898" s="12" t="str">
        <f aca="false">INDEX(Entities!$B$5:$B$34,MATCH(B898,Entities!$A$5:$A$34,0))</f>
        <v>Arab Sudanese Bank</v>
      </c>
      <c r="D898" s="7" t="str">
        <f aca="false">INDEX(Entities!$F$5:$F$34,MATCH(B898,Entities!$A$5:$A$34,0))</f>
        <v>Tier 3</v>
      </c>
      <c r="E898" s="26" t="str">
        <f aca="false">'Control Library'!$A$38</f>
        <v>CTL-MR-01</v>
      </c>
      <c r="F898" s="12" t="str">
        <f aca="false">INDEX('Control Library'!$B$5:$B$47,MATCH(E898,'Control Library'!$A$5:$A$47,0))</f>
        <v>Market risk limits and daily VaR monitoring</v>
      </c>
      <c r="G898" s="7" t="str">
        <f aca="false">INDEX('Control Library'!$F$5:$F$47,MATCH(E898,'Control Library'!$A$5:$A$47,0))</f>
        <v>Y</v>
      </c>
      <c r="H898" s="12" t="str">
        <f aca="false">INDEX('Control Library'!$E$5:$E$47,MATCH(E898,'Control Library'!$A$5:$A$47,0))</f>
        <v>Daily</v>
      </c>
      <c r="I898" s="7" t="str">
        <f aca="false">IF(INDEX('Control Library'!$I$5:$I$47,MATCH(E898,'Control Library'!$A$5:$A$47,0))="All","Y",IF(INDEX('Control Library'!$I$5:$I$47,MATCH(E898,'Control Library'!$A$5:$A$47,0))="Banks only",IF(COUNTIF('Residual Config'!$L$28:$L$30,INDEX(Entities!$E$5:$E$34,MATCH(B898,Entities!$A$5:$A$34,0)))&gt;0,"N/A","Y"),IF(INDEX(Entities!$G$5:$G$34,MATCH(B898,Entities!$A$5:$A$34,0))="Y","Y","N/A")))</f>
        <v>Y</v>
      </c>
      <c r="J898" s="8" t="s">
        <v>2963</v>
      </c>
      <c r="K898" s="8" t="s">
        <v>2884</v>
      </c>
      <c r="L898" s="7" t="str">
        <f aca="false">IF(OR(J898="",K898=""),"",IF(J898=K898,"Breach","OK"))</f>
        <v>OK</v>
      </c>
      <c r="M898" s="24" t="n">
        <v>2</v>
      </c>
      <c r="N898" s="50" t="n">
        <v>46193</v>
      </c>
      <c r="O898" s="8" t="s">
        <v>546</v>
      </c>
      <c r="P898" s="24" t="n">
        <v>25</v>
      </c>
      <c r="Q898" s="31" t="n">
        <f aca="false">IF(I898="N/A","",IFERROR(INDEX('Residual Config'!$B$35:$B$42,MATCH(H898,'Residual Config'!$A$35:$A$42,0)),""))</f>
        <v>25</v>
      </c>
      <c r="R898" s="24" t="n">
        <v>0</v>
      </c>
      <c r="S898" s="8" t="s">
        <v>516</v>
      </c>
      <c r="T898" s="31" t="n">
        <f aca="false">IF(S898="","",MATCH(S898,'Residual Config'!$L$9:$L$12,0))</f>
        <v>1</v>
      </c>
      <c r="U898" s="8" t="s">
        <v>2966</v>
      </c>
      <c r="V898" s="24" t="n">
        <v>6</v>
      </c>
      <c r="W898" s="33" t="s">
        <v>533</v>
      </c>
      <c r="X898" s="8" t="s">
        <v>754</v>
      </c>
      <c r="Y898" s="51" t="n">
        <f aca="false">IF(N898="","",EDATE(N898,IF(G898="N",INDEX('Residual Config'!$B$31:$D$31,1,MATCH(D898,'Residual Config'!$B$27:$D$27,0)),INDEX('Residual Config'!$B$28:$D$30,IF(T898=1,1,IF(T898=4,3,2)),MATCH(D898,'Residual Config'!$B$27:$D$27,0)))))</f>
        <v>46558</v>
      </c>
      <c r="Z898" s="7" t="str">
        <f aca="false">IF(I898="N/A","N/A",IF(N898="","Not tested",IF(W898="Rejected","Evidence rejected",IF(W898&lt;&gt;"Accepted","Evidence pending",IF(Y898&lt;'Residual Config'!$C$4,"Overdue","Current")))))</f>
        <v>Current</v>
      </c>
      <c r="AA898" s="34" t="n">
        <f aca="false">IF(I898="N/A","",IF(Z898&lt;&gt;"Current",4,IF(MAX(M898,T898)=0,4,MAX(M898,T898))))</f>
        <v>2</v>
      </c>
      <c r="AB898" s="7" t="str">
        <f aca="false">IF(AA898="","N/A",IF(Z898&lt;&gt;"Current","Not tested / overdue",INDEX('Residual Config'!$B$11:$B$14,AA898)))</f>
        <v>Largely effective</v>
      </c>
      <c r="AC898" s="36" t="n">
        <f aca="false">IF(AA898="","",INDEX('Residual Config'!$D$11:$D$14,AA898))</f>
        <v>0.4</v>
      </c>
      <c r="AD898" s="7" t="str">
        <f aca="false">IF(OR(I898="N/A",P898="",Q898=""),"",IF(P898&gt;=Q898,"Yes","No"))</f>
        <v>Yes</v>
      </c>
      <c r="AE898" s="8"/>
    </row>
    <row r="899" customFormat="false" ht="15" hidden="false" customHeight="false" outlineLevel="0" collapsed="false">
      <c r="A899" s="12" t="s">
        <v>2967</v>
      </c>
      <c r="B899" s="26" t="str">
        <f aca="false">Entities!$A$25</f>
        <v>SD</v>
      </c>
      <c r="C899" s="12" t="str">
        <f aca="false">INDEX(Entities!$B$5:$B$34,MATCH(B899,Entities!$A$5:$A$34,0))</f>
        <v>Arab Sudanese Bank</v>
      </c>
      <c r="D899" s="7" t="str">
        <f aca="false">INDEX(Entities!$F$5:$F$34,MATCH(B899,Entities!$A$5:$A$34,0))</f>
        <v>Tier 3</v>
      </c>
      <c r="E899" s="26" t="str">
        <f aca="false">'Control Library'!$A$39</f>
        <v>CTL-LQ-01</v>
      </c>
      <c r="F899" s="12" t="str">
        <f aca="false">INDEX('Control Library'!$B$5:$B$47,MATCH(E899,'Control Library'!$A$5:$A$47,0))</f>
        <v>Liquidity buffers, LCR/NSFR monitoring and contingency funding plan</v>
      </c>
      <c r="G899" s="7" t="str">
        <f aca="false">INDEX('Control Library'!$F$5:$F$47,MATCH(E899,'Control Library'!$A$5:$A$47,0))</f>
        <v>Y</v>
      </c>
      <c r="H899" s="12" t="str">
        <f aca="false">INDEX('Control Library'!$E$5:$E$47,MATCH(E899,'Control Library'!$A$5:$A$47,0))</f>
        <v>Daily</v>
      </c>
      <c r="I899" s="7" t="str">
        <f aca="false">IF(INDEX('Control Library'!$I$5:$I$47,MATCH(E899,'Control Library'!$A$5:$A$47,0))="All","Y",IF(INDEX('Control Library'!$I$5:$I$47,MATCH(E899,'Control Library'!$A$5:$A$47,0))="Banks only",IF(COUNTIF('Residual Config'!$L$28:$L$30,INDEX(Entities!$E$5:$E$34,MATCH(B899,Entities!$A$5:$A$34,0)))&gt;0,"N/A","Y"),IF(INDEX(Entities!$G$5:$G$34,MATCH(B899,Entities!$A$5:$A$34,0))="Y","Y","N/A")))</f>
        <v>Y</v>
      </c>
      <c r="J899" s="8" t="s">
        <v>2968</v>
      </c>
      <c r="K899" s="8" t="s">
        <v>2884</v>
      </c>
      <c r="L899" s="7" t="str">
        <f aca="false">IF(OR(J899="",K899=""),"",IF(J899=K899,"Breach","OK"))</f>
        <v>OK</v>
      </c>
      <c r="M899" s="24" t="n">
        <v>2</v>
      </c>
      <c r="N899" s="50" t="n">
        <v>46287</v>
      </c>
      <c r="O899" s="8" t="s">
        <v>545</v>
      </c>
      <c r="P899" s="24" t="n">
        <v>35</v>
      </c>
      <c r="Q899" s="31" t="n">
        <f aca="false">IF(I899="N/A","",IFERROR(INDEX('Residual Config'!$B$35:$B$42,MATCH(H899,'Residual Config'!$A$35:$A$42,0)),""))</f>
        <v>25</v>
      </c>
      <c r="R899" s="24" t="n">
        <v>2</v>
      </c>
      <c r="S899" s="8" t="s">
        <v>524</v>
      </c>
      <c r="T899" s="31" t="n">
        <f aca="false">IF(S899="","",MATCH(S899,'Residual Config'!$L$9:$L$12,0))</f>
        <v>3</v>
      </c>
      <c r="U899" s="8" t="s">
        <v>2969</v>
      </c>
      <c r="V899" s="24" t="n">
        <v>4</v>
      </c>
      <c r="W899" s="33" t="s">
        <v>533</v>
      </c>
      <c r="X899" s="8" t="s">
        <v>754</v>
      </c>
      <c r="Y899" s="51" t="n">
        <f aca="false">IF(N899="","",EDATE(N899,IF(G899="N",INDEX('Residual Config'!$B$31:$D$31,1,MATCH(D899,'Residual Config'!$B$27:$D$27,0)),INDEX('Residual Config'!$B$28:$D$30,IF(T899=1,1,IF(T899=4,3,2)),MATCH(D899,'Residual Config'!$B$27:$D$27,0)))))</f>
        <v>46468</v>
      </c>
      <c r="Z899" s="7" t="str">
        <f aca="false">IF(I899="N/A","N/A",IF(N899="","Not tested",IF(W899="Rejected","Evidence rejected",IF(W899&lt;&gt;"Accepted","Evidence pending",IF(Y899&lt;'Residual Config'!$C$4,"Overdue","Current")))))</f>
        <v>Current</v>
      </c>
      <c r="AA899" s="34" t="n">
        <f aca="false">IF(I899="N/A","",IF(Z899&lt;&gt;"Current",4,IF(MAX(M899,T899)=0,4,MAX(M899,T899))))</f>
        <v>3</v>
      </c>
      <c r="AB899" s="7" t="str">
        <f aca="false">IF(AA899="","N/A",IF(Z899&lt;&gt;"Current","Not tested / overdue",INDEX('Residual Config'!$B$11:$B$14,AA899)))</f>
        <v>Partially effective</v>
      </c>
      <c r="AC899" s="36" t="n">
        <f aca="false">IF(AA899="","",INDEX('Residual Config'!$D$11:$D$14,AA899))</f>
        <v>0.2</v>
      </c>
      <c r="AD899" s="7" t="str">
        <f aca="false">IF(OR(I899="N/A",P899="",Q899=""),"",IF(P899&gt;=Q899,"Yes","No"))</f>
        <v>Yes</v>
      </c>
      <c r="AE899" s="8"/>
    </row>
    <row r="900" customFormat="false" ht="15" hidden="false" customHeight="false" outlineLevel="0" collapsed="false">
      <c r="A900" s="12" t="s">
        <v>2970</v>
      </c>
      <c r="B900" s="26" t="str">
        <f aca="false">Entities!$A$25</f>
        <v>SD</v>
      </c>
      <c r="C900" s="12" t="str">
        <f aca="false">INDEX(Entities!$B$5:$B$34,MATCH(B900,Entities!$A$5:$A$34,0))</f>
        <v>Arab Sudanese Bank</v>
      </c>
      <c r="D900" s="7" t="str">
        <f aca="false">INDEX(Entities!$F$5:$F$34,MATCH(B900,Entities!$A$5:$A$34,0))</f>
        <v>Tier 3</v>
      </c>
      <c r="E900" s="26" t="str">
        <f aca="false">'Control Library'!$A$40</f>
        <v>CTL-OR-01</v>
      </c>
      <c r="F900" s="12" t="str">
        <f aca="false">INDEX('Control Library'!$B$5:$B$47,MATCH(E900,'Control Library'!$A$5:$A$47,0))</f>
        <v>Business continuity plans and annual testing</v>
      </c>
      <c r="G900" s="7" t="str">
        <f aca="false">INDEX('Control Library'!$F$5:$F$47,MATCH(E900,'Control Library'!$A$5:$A$47,0))</f>
        <v>Y</v>
      </c>
      <c r="H900" s="12" t="str">
        <f aca="false">INDEX('Control Library'!$E$5:$E$47,MATCH(E900,'Control Library'!$A$5:$A$47,0))</f>
        <v>Annual</v>
      </c>
      <c r="I900" s="7" t="str">
        <f aca="false">IF(INDEX('Control Library'!$I$5:$I$47,MATCH(E900,'Control Library'!$A$5:$A$47,0))="All","Y",IF(INDEX('Control Library'!$I$5:$I$47,MATCH(E900,'Control Library'!$A$5:$A$47,0))="Banks only",IF(COUNTIF('Residual Config'!$L$28:$L$30,INDEX(Entities!$E$5:$E$34,MATCH(B900,Entities!$A$5:$A$34,0)))&gt;0,"N/A","Y"),IF(INDEX(Entities!$G$5:$G$34,MATCH(B900,Entities!$A$5:$A$34,0))="Y","Y","N/A")))</f>
        <v>Y</v>
      </c>
      <c r="J900" s="8" t="s">
        <v>2971</v>
      </c>
      <c r="K900" s="8" t="s">
        <v>2884</v>
      </c>
      <c r="L900" s="7" t="str">
        <f aca="false">IF(OR(J900="",K900=""),"",IF(J900=K900,"Breach","OK"))</f>
        <v>OK</v>
      </c>
      <c r="M900" s="24" t="n">
        <v>2</v>
      </c>
      <c r="N900" s="50" t="n">
        <v>46160</v>
      </c>
      <c r="O900" s="8" t="s">
        <v>546</v>
      </c>
      <c r="P900" s="24" t="n">
        <v>1</v>
      </c>
      <c r="Q900" s="31" t="n">
        <f aca="false">IF(I900="N/A","",IFERROR(INDEX('Residual Config'!$B$35:$B$42,MATCH(H900,'Residual Config'!$A$35:$A$42,0)),""))</f>
        <v>1</v>
      </c>
      <c r="R900" s="24" t="n">
        <v>1</v>
      </c>
      <c r="S900" s="8" t="s">
        <v>524</v>
      </c>
      <c r="T900" s="31" t="n">
        <f aca="false">IF(S900="","",MATCH(S900,'Residual Config'!$L$9:$L$12,0))</f>
        <v>3</v>
      </c>
      <c r="U900" s="8" t="s">
        <v>2972</v>
      </c>
      <c r="V900" s="24" t="n">
        <v>2</v>
      </c>
      <c r="W900" s="33" t="s">
        <v>533</v>
      </c>
      <c r="X900" s="8" t="s">
        <v>760</v>
      </c>
      <c r="Y900" s="51" t="n">
        <f aca="false">IF(N900="","",EDATE(N900,IF(G900="N",INDEX('Residual Config'!$B$31:$D$31,1,MATCH(D900,'Residual Config'!$B$27:$D$27,0)),INDEX('Residual Config'!$B$28:$D$30,IF(T900=1,1,IF(T900=4,3,2)),MATCH(D900,'Residual Config'!$B$27:$D$27,0)))))</f>
        <v>46344</v>
      </c>
      <c r="Z900" s="7" t="str">
        <f aca="false">IF(I900="N/A","N/A",IF(N900="","Not tested",IF(W900="Rejected","Evidence rejected",IF(W900&lt;&gt;"Accepted","Evidence pending",IF(Y900&lt;'Residual Config'!$C$4,"Overdue","Current")))))</f>
        <v>Current</v>
      </c>
      <c r="AA900" s="34" t="n">
        <f aca="false">IF(I900="N/A","",IF(Z900&lt;&gt;"Current",4,IF(MAX(M900,T900)=0,4,MAX(M900,T900))))</f>
        <v>3</v>
      </c>
      <c r="AB900" s="7" t="str">
        <f aca="false">IF(AA900="","N/A",IF(Z900&lt;&gt;"Current","Not tested / overdue",INDEX('Residual Config'!$B$11:$B$14,AA900)))</f>
        <v>Partially effective</v>
      </c>
      <c r="AC900" s="36" t="n">
        <f aca="false">IF(AA900="","",INDEX('Residual Config'!$D$11:$D$14,AA900))</f>
        <v>0.2</v>
      </c>
      <c r="AD900" s="7" t="str">
        <f aca="false">IF(OR(I900="N/A",P900="",Q900=""),"",IF(P900&gt;=Q900,"Yes","No"))</f>
        <v>Yes</v>
      </c>
      <c r="AE900" s="8"/>
    </row>
    <row r="901" customFormat="false" ht="15" hidden="false" customHeight="false" outlineLevel="0" collapsed="false">
      <c r="A901" s="12" t="s">
        <v>2973</v>
      </c>
      <c r="B901" s="26" t="str">
        <f aca="false">Entities!$A$25</f>
        <v>SD</v>
      </c>
      <c r="C901" s="12" t="str">
        <f aca="false">INDEX(Entities!$B$5:$B$34,MATCH(B901,Entities!$A$5:$A$34,0))</f>
        <v>Arab Sudanese Bank</v>
      </c>
      <c r="D901" s="7" t="str">
        <f aca="false">INDEX(Entities!$F$5:$F$34,MATCH(B901,Entities!$A$5:$A$34,0))</f>
        <v>Tier 3</v>
      </c>
      <c r="E901" s="26" t="str">
        <f aca="false">'Control Library'!$A$41</f>
        <v>CTL-OR-02</v>
      </c>
      <c r="F901" s="12" t="str">
        <f aca="false">INDEX('Control Library'!$B$5:$B$47,MATCH(E901,'Control Library'!$A$5:$A$47,0))</f>
        <v>Operational loss event capture and RCSA</v>
      </c>
      <c r="G901" s="7" t="str">
        <f aca="false">INDEX('Control Library'!$F$5:$F$47,MATCH(E901,'Control Library'!$A$5:$A$47,0))</f>
        <v>N</v>
      </c>
      <c r="H901" s="12" t="str">
        <f aca="false">INDEX('Control Library'!$E$5:$E$47,MATCH(E901,'Control Library'!$A$5:$A$47,0))</f>
        <v>Quarterly</v>
      </c>
      <c r="I901" s="7" t="str">
        <f aca="false">IF(INDEX('Control Library'!$I$5:$I$47,MATCH(E901,'Control Library'!$A$5:$A$47,0))="All","Y",IF(INDEX('Control Library'!$I$5:$I$47,MATCH(E901,'Control Library'!$A$5:$A$47,0))="Banks only",IF(COUNTIF('Residual Config'!$L$28:$L$30,INDEX(Entities!$E$5:$E$34,MATCH(B901,Entities!$A$5:$A$34,0)))&gt;0,"N/A","Y"),IF(INDEX(Entities!$G$5:$G$34,MATCH(B901,Entities!$A$5:$A$34,0))="Y","Y","N/A")))</f>
        <v>Y</v>
      </c>
      <c r="J901" s="8" t="s">
        <v>2963</v>
      </c>
      <c r="K901" s="8" t="s">
        <v>2884</v>
      </c>
      <c r="L901" s="7" t="str">
        <f aca="false">IF(OR(J901="",K901=""),"",IF(J901=K901,"Breach","OK"))</f>
        <v>OK</v>
      </c>
      <c r="M901" s="24" t="n">
        <v>1</v>
      </c>
      <c r="N901" s="50" t="n">
        <v>45999</v>
      </c>
      <c r="O901" s="8" t="s">
        <v>545</v>
      </c>
      <c r="P901" s="24" t="n">
        <v>2</v>
      </c>
      <c r="Q901" s="31" t="n">
        <f aca="false">IF(I901="N/A","",IFERROR(INDEX('Residual Config'!$B$35:$B$42,MATCH(H901,'Residual Config'!$A$35:$A$42,0)),""))</f>
        <v>2</v>
      </c>
      <c r="R901" s="24" t="n">
        <v>1</v>
      </c>
      <c r="S901" s="8" t="s">
        <v>521</v>
      </c>
      <c r="T901" s="31" t="n">
        <f aca="false">IF(S901="","",MATCH(S901,'Residual Config'!$L$9:$L$12,0))</f>
        <v>2</v>
      </c>
      <c r="U901" s="8" t="s">
        <v>2974</v>
      </c>
      <c r="V901" s="24" t="n">
        <v>1</v>
      </c>
      <c r="W901" s="33" t="s">
        <v>533</v>
      </c>
      <c r="X901" s="8" t="s">
        <v>760</v>
      </c>
      <c r="Y901" s="51" t="n">
        <f aca="false">IF(N901="","",EDATE(N901,IF(G901="N",INDEX('Residual Config'!$B$31:$D$31,1,MATCH(D901,'Residual Config'!$B$27:$D$27,0)),INDEX('Residual Config'!$B$28:$D$30,IF(T901=1,1,IF(T901=4,3,2)),MATCH(D901,'Residual Config'!$B$27:$D$27,0)))))</f>
        <v>46729</v>
      </c>
      <c r="Z901" s="7" t="str">
        <f aca="false">IF(I901="N/A","N/A",IF(N901="","Not tested",IF(W901="Rejected","Evidence rejected",IF(W901&lt;&gt;"Accepted","Evidence pending",IF(Y901&lt;'Residual Config'!$C$4,"Overdue","Current")))))</f>
        <v>Current</v>
      </c>
      <c r="AA901" s="34" t="n">
        <f aca="false">IF(I901="N/A","",IF(Z901&lt;&gt;"Current",4,IF(MAX(M901,T901)=0,4,MAX(M901,T901))))</f>
        <v>2</v>
      </c>
      <c r="AB901" s="7" t="str">
        <f aca="false">IF(AA901="","N/A",IF(Z901&lt;&gt;"Current","Not tested / overdue",INDEX('Residual Config'!$B$11:$B$14,AA901)))</f>
        <v>Largely effective</v>
      </c>
      <c r="AC901" s="36" t="n">
        <f aca="false">IF(AA901="","",INDEX('Residual Config'!$D$11:$D$14,AA901))</f>
        <v>0.4</v>
      </c>
      <c r="AD901" s="7" t="str">
        <f aca="false">IF(OR(I901="N/A",P901="",Q901=""),"",IF(P901&gt;=Q901,"Yes","No"))</f>
        <v>Yes</v>
      </c>
      <c r="AE901" s="8"/>
    </row>
    <row r="902" customFormat="false" ht="15" hidden="false" customHeight="false" outlineLevel="0" collapsed="false">
      <c r="A902" s="12" t="s">
        <v>2975</v>
      </c>
      <c r="B902" s="26" t="str">
        <f aca="false">Entities!$A$25</f>
        <v>SD</v>
      </c>
      <c r="C902" s="12" t="str">
        <f aca="false">INDEX(Entities!$B$5:$B$34,MATCH(B902,Entities!$A$5:$A$34,0))</f>
        <v>Arab Sudanese Bank</v>
      </c>
      <c r="D902" s="7" t="str">
        <f aca="false">INDEX(Entities!$F$5:$F$34,MATCH(B902,Entities!$A$5:$A$34,0))</f>
        <v>Tier 3</v>
      </c>
      <c r="E902" s="26" t="str">
        <f aca="false">'Control Library'!$A$42</f>
        <v>CTL-CY-01</v>
      </c>
      <c r="F902" s="12" t="str">
        <f aca="false">INDEX('Control Library'!$B$5:$B$47,MATCH(E902,'Control Library'!$A$5:$A$47,0))</f>
        <v>Vulnerability and patch management</v>
      </c>
      <c r="G902" s="7" t="str">
        <f aca="false">INDEX('Control Library'!$F$5:$F$47,MATCH(E902,'Control Library'!$A$5:$A$47,0))</f>
        <v>Y</v>
      </c>
      <c r="H902" s="12" t="str">
        <f aca="false">INDEX('Control Library'!$E$5:$E$47,MATCH(E902,'Control Library'!$A$5:$A$47,0))</f>
        <v>Monthly</v>
      </c>
      <c r="I902" s="7" t="str">
        <f aca="false">IF(INDEX('Control Library'!$I$5:$I$47,MATCH(E902,'Control Library'!$A$5:$A$47,0))="All","Y",IF(INDEX('Control Library'!$I$5:$I$47,MATCH(E902,'Control Library'!$A$5:$A$47,0))="Banks only",IF(COUNTIF('Residual Config'!$L$28:$L$30,INDEX(Entities!$E$5:$E$34,MATCH(B902,Entities!$A$5:$A$34,0)))&gt;0,"N/A","Y"),IF(INDEX(Entities!$G$5:$G$34,MATCH(B902,Entities!$A$5:$A$34,0))="Y","Y","N/A")))</f>
        <v>Y</v>
      </c>
      <c r="J902" s="8" t="s">
        <v>2908</v>
      </c>
      <c r="K902" s="8" t="s">
        <v>2884</v>
      </c>
      <c r="L902" s="7" t="str">
        <f aca="false">IF(OR(J902="",K902=""),"",IF(J902=K902,"Breach","OK"))</f>
        <v>OK</v>
      </c>
      <c r="M902" s="24" t="n">
        <v>2</v>
      </c>
      <c r="N902" s="50" t="n">
        <v>46250</v>
      </c>
      <c r="O902" s="8" t="s">
        <v>546</v>
      </c>
      <c r="P902" s="24" t="n">
        <v>3</v>
      </c>
      <c r="Q902" s="31" t="n">
        <f aca="false">IF(I902="N/A","",IFERROR(INDEX('Residual Config'!$B$35:$B$42,MATCH(H902,'Residual Config'!$A$35:$A$42,0)),""))</f>
        <v>3</v>
      </c>
      <c r="R902" s="24" t="n">
        <v>1</v>
      </c>
      <c r="S902" s="8" t="s">
        <v>521</v>
      </c>
      <c r="T902" s="31" t="n">
        <f aca="false">IF(S902="","",MATCH(S902,'Residual Config'!$L$9:$L$12,0))</f>
        <v>2</v>
      </c>
      <c r="U902" s="8" t="s">
        <v>2976</v>
      </c>
      <c r="V902" s="24" t="n">
        <v>5</v>
      </c>
      <c r="W902" s="33" t="s">
        <v>533</v>
      </c>
      <c r="X902" s="8" t="s">
        <v>760</v>
      </c>
      <c r="Y902" s="51" t="n">
        <f aca="false">IF(N902="","",EDATE(N902,IF(G902="N",INDEX('Residual Config'!$B$31:$D$31,1,MATCH(D902,'Residual Config'!$B$27:$D$27,0)),INDEX('Residual Config'!$B$28:$D$30,IF(T902=1,1,IF(T902=4,3,2)),MATCH(D902,'Residual Config'!$B$27:$D$27,0)))))</f>
        <v>46434</v>
      </c>
      <c r="Z902" s="7" t="str">
        <f aca="false">IF(I902="N/A","N/A",IF(N902="","Not tested",IF(W902="Rejected","Evidence rejected",IF(W902&lt;&gt;"Accepted","Evidence pending",IF(Y902&lt;'Residual Config'!$C$4,"Overdue","Current")))))</f>
        <v>Current</v>
      </c>
      <c r="AA902" s="34" t="n">
        <f aca="false">IF(I902="N/A","",IF(Z902&lt;&gt;"Current",4,IF(MAX(M902,T902)=0,4,MAX(M902,T902))))</f>
        <v>2</v>
      </c>
      <c r="AB902" s="7" t="str">
        <f aca="false">IF(AA902="","N/A",IF(Z902&lt;&gt;"Current","Not tested / overdue",INDEX('Residual Config'!$B$11:$B$14,AA902)))</f>
        <v>Largely effective</v>
      </c>
      <c r="AC902" s="36" t="n">
        <f aca="false">IF(AA902="","",INDEX('Residual Config'!$D$11:$D$14,AA902))</f>
        <v>0.4</v>
      </c>
      <c r="AD902" s="7" t="str">
        <f aca="false">IF(OR(I902="N/A",P902="",Q902=""),"",IF(P902&gt;=Q902,"Yes","No"))</f>
        <v>Yes</v>
      </c>
      <c r="AE902" s="8"/>
    </row>
    <row r="903" customFormat="false" ht="15" hidden="false" customHeight="false" outlineLevel="0" collapsed="false">
      <c r="A903" s="12" t="s">
        <v>2977</v>
      </c>
      <c r="B903" s="26" t="str">
        <f aca="false">Entities!$A$25</f>
        <v>SD</v>
      </c>
      <c r="C903" s="12" t="str">
        <f aca="false">INDEX(Entities!$B$5:$B$34,MATCH(B903,Entities!$A$5:$A$34,0))</f>
        <v>Arab Sudanese Bank</v>
      </c>
      <c r="D903" s="7" t="str">
        <f aca="false">INDEX(Entities!$F$5:$F$34,MATCH(B903,Entities!$A$5:$A$34,0))</f>
        <v>Tier 3</v>
      </c>
      <c r="E903" s="26" t="str">
        <f aca="false">'Control Library'!$A$43</f>
        <v>CTL-CY-02</v>
      </c>
      <c r="F903" s="12" t="str">
        <f aca="false">INDEX('Control Library'!$B$5:$B$47,MATCH(E903,'Control Library'!$A$5:$A$47,0))</f>
        <v>Privileged access management and SOC monitoring</v>
      </c>
      <c r="G903" s="7" t="str">
        <f aca="false">INDEX('Control Library'!$F$5:$F$47,MATCH(E903,'Control Library'!$A$5:$A$47,0))</f>
        <v>Y</v>
      </c>
      <c r="H903" s="12" t="str">
        <f aca="false">INDEX('Control Library'!$E$5:$E$47,MATCH(E903,'Control Library'!$A$5:$A$47,0))</f>
        <v>Continuous</v>
      </c>
      <c r="I903" s="7" t="str">
        <f aca="false">IF(INDEX('Control Library'!$I$5:$I$47,MATCH(E903,'Control Library'!$A$5:$A$47,0))="All","Y",IF(INDEX('Control Library'!$I$5:$I$47,MATCH(E903,'Control Library'!$A$5:$A$47,0))="Banks only",IF(COUNTIF('Residual Config'!$L$28:$L$30,INDEX(Entities!$E$5:$E$34,MATCH(B903,Entities!$A$5:$A$34,0)))&gt;0,"N/A","Y"),IF(INDEX(Entities!$G$5:$G$34,MATCH(B903,Entities!$A$5:$A$34,0))="Y","Y","N/A")))</f>
        <v>Y</v>
      </c>
      <c r="J903" s="8" t="s">
        <v>2956</v>
      </c>
      <c r="K903" s="8" t="s">
        <v>2884</v>
      </c>
      <c r="L903" s="7" t="str">
        <f aca="false">IF(OR(J903="",K903=""),"",IF(J903=K903,"Breach","OK"))</f>
        <v>OK</v>
      </c>
      <c r="M903" s="24" t="n">
        <v>2</v>
      </c>
      <c r="N903" s="50" t="n">
        <v>46257</v>
      </c>
      <c r="O903" s="8" t="s">
        <v>546</v>
      </c>
      <c r="P903" s="24" t="n">
        <v>1</v>
      </c>
      <c r="Q903" s="31" t="n">
        <f aca="false">IF(I903="N/A","",IFERROR(INDEX('Residual Config'!$B$35:$B$42,MATCH(H903,'Residual Config'!$A$35:$A$42,0)),""))</f>
        <v>1</v>
      </c>
      <c r="R903" s="24" t="n">
        <v>1</v>
      </c>
      <c r="S903" s="8" t="s">
        <v>521</v>
      </c>
      <c r="T903" s="31" t="n">
        <f aca="false">IF(S903="","",MATCH(S903,'Residual Config'!$L$9:$L$12,0))</f>
        <v>2</v>
      </c>
      <c r="U903" s="8" t="s">
        <v>2978</v>
      </c>
      <c r="V903" s="24" t="n">
        <v>2</v>
      </c>
      <c r="W903" s="33" t="s">
        <v>533</v>
      </c>
      <c r="X903" s="8" t="s">
        <v>754</v>
      </c>
      <c r="Y903" s="51" t="n">
        <f aca="false">IF(N903="","",EDATE(N903,IF(G903="N",INDEX('Residual Config'!$B$31:$D$31,1,MATCH(D903,'Residual Config'!$B$27:$D$27,0)),INDEX('Residual Config'!$B$28:$D$30,IF(T903=1,1,IF(T903=4,3,2)),MATCH(D903,'Residual Config'!$B$27:$D$27,0)))))</f>
        <v>46441</v>
      </c>
      <c r="Z903" s="7" t="str">
        <f aca="false">IF(I903="N/A","N/A",IF(N903="","Not tested",IF(W903="Rejected","Evidence rejected",IF(W903&lt;&gt;"Accepted","Evidence pending",IF(Y903&lt;'Residual Config'!$C$4,"Overdue","Current")))))</f>
        <v>Current</v>
      </c>
      <c r="AA903" s="34" t="n">
        <f aca="false">IF(I903="N/A","",IF(Z903&lt;&gt;"Current",4,IF(MAX(M903,T903)=0,4,MAX(M903,T903))))</f>
        <v>2</v>
      </c>
      <c r="AB903" s="7" t="str">
        <f aca="false">IF(AA903="","N/A",IF(Z903&lt;&gt;"Current","Not tested / overdue",INDEX('Residual Config'!$B$11:$B$14,AA903)))</f>
        <v>Largely effective</v>
      </c>
      <c r="AC903" s="36" t="n">
        <f aca="false">IF(AA903="","",INDEX('Residual Config'!$D$11:$D$14,AA903))</f>
        <v>0.4</v>
      </c>
      <c r="AD903" s="7" t="str">
        <f aca="false">IF(OR(I903="N/A",P903="",Q903=""),"",IF(P903&gt;=Q903,"Yes","No"))</f>
        <v>Yes</v>
      </c>
      <c r="AE903" s="8"/>
    </row>
    <row r="904" customFormat="false" ht="15" hidden="false" customHeight="false" outlineLevel="0" collapsed="false">
      <c r="A904" s="12" t="s">
        <v>2979</v>
      </c>
      <c r="B904" s="26" t="str">
        <f aca="false">Entities!$A$25</f>
        <v>SD</v>
      </c>
      <c r="C904" s="12" t="str">
        <f aca="false">INDEX(Entities!$B$5:$B$34,MATCH(B904,Entities!$A$5:$A$34,0))</f>
        <v>Arab Sudanese Bank</v>
      </c>
      <c r="D904" s="7" t="str">
        <f aca="false">INDEX(Entities!$F$5:$F$34,MATCH(B904,Entities!$A$5:$A$34,0))</f>
        <v>Tier 3</v>
      </c>
      <c r="E904" s="26" t="str">
        <f aca="false">'Control Library'!$A$44</f>
        <v>CTL-TP-01</v>
      </c>
      <c r="F904" s="12" t="str">
        <f aca="false">INDEX('Control Library'!$B$5:$B$47,MATCH(E904,'Control Library'!$A$5:$A$47,0))</f>
        <v>Critical vendor due diligence and tested exit plans</v>
      </c>
      <c r="G904" s="7" t="str">
        <f aca="false">INDEX('Control Library'!$F$5:$F$47,MATCH(E904,'Control Library'!$A$5:$A$47,0))</f>
        <v>Y</v>
      </c>
      <c r="H904" s="12" t="str">
        <f aca="false">INDEX('Control Library'!$E$5:$E$47,MATCH(E904,'Control Library'!$A$5:$A$47,0))</f>
        <v>Annual</v>
      </c>
      <c r="I904" s="7" t="str">
        <f aca="false">IF(INDEX('Control Library'!$I$5:$I$47,MATCH(E904,'Control Library'!$A$5:$A$47,0))="All","Y",IF(INDEX('Control Library'!$I$5:$I$47,MATCH(E904,'Control Library'!$A$5:$A$47,0))="Banks only",IF(COUNTIF('Residual Config'!$L$28:$L$30,INDEX(Entities!$E$5:$E$34,MATCH(B904,Entities!$A$5:$A$34,0)))&gt;0,"N/A","Y"),IF(INDEX(Entities!$G$5:$G$34,MATCH(B904,Entities!$A$5:$A$34,0))="Y","Y","N/A")))</f>
        <v>Y</v>
      </c>
      <c r="J904" s="8" t="s">
        <v>2925</v>
      </c>
      <c r="K904" s="8" t="s">
        <v>2884</v>
      </c>
      <c r="L904" s="7" t="str">
        <f aca="false">IF(OR(J904="",K904=""),"",IF(J904=K904,"Breach","OK"))</f>
        <v>OK</v>
      </c>
      <c r="M904" s="24" t="n">
        <v>1</v>
      </c>
      <c r="N904" s="50" t="n">
        <v>46286</v>
      </c>
      <c r="O904" s="8" t="s">
        <v>546</v>
      </c>
      <c r="P904" s="24" t="n">
        <v>1</v>
      </c>
      <c r="Q904" s="31" t="n">
        <f aca="false">IF(I904="N/A","",IFERROR(INDEX('Residual Config'!$B$35:$B$42,MATCH(H904,'Residual Config'!$A$35:$A$42,0)),""))</f>
        <v>1</v>
      </c>
      <c r="R904" s="24" t="n">
        <v>1</v>
      </c>
      <c r="S904" s="8" t="s">
        <v>524</v>
      </c>
      <c r="T904" s="31" t="n">
        <f aca="false">IF(S904="","",MATCH(S904,'Residual Config'!$L$9:$L$12,0))</f>
        <v>3</v>
      </c>
      <c r="U904" s="8" t="s">
        <v>2980</v>
      </c>
      <c r="V904" s="24" t="n">
        <v>6</v>
      </c>
      <c r="W904" s="33" t="s">
        <v>533</v>
      </c>
      <c r="X904" s="8" t="s">
        <v>754</v>
      </c>
      <c r="Y904" s="51" t="n">
        <f aca="false">IF(N904="","",EDATE(N904,IF(G904="N",INDEX('Residual Config'!$B$31:$D$31,1,MATCH(D904,'Residual Config'!$B$27:$D$27,0)),INDEX('Residual Config'!$B$28:$D$30,IF(T904=1,1,IF(T904=4,3,2)),MATCH(D904,'Residual Config'!$B$27:$D$27,0)))))</f>
        <v>46467</v>
      </c>
      <c r="Z904" s="7" t="str">
        <f aca="false">IF(I904="N/A","N/A",IF(N904="","Not tested",IF(W904="Rejected","Evidence rejected",IF(W904&lt;&gt;"Accepted","Evidence pending",IF(Y904&lt;'Residual Config'!$C$4,"Overdue","Current")))))</f>
        <v>Current</v>
      </c>
      <c r="AA904" s="34" t="n">
        <f aca="false">IF(I904="N/A","",IF(Z904&lt;&gt;"Current",4,IF(MAX(M904,T904)=0,4,MAX(M904,T904))))</f>
        <v>3</v>
      </c>
      <c r="AB904" s="7" t="str">
        <f aca="false">IF(AA904="","N/A",IF(Z904&lt;&gt;"Current","Not tested / overdue",INDEX('Residual Config'!$B$11:$B$14,AA904)))</f>
        <v>Partially effective</v>
      </c>
      <c r="AC904" s="36" t="n">
        <f aca="false">IF(AA904="","",INDEX('Residual Config'!$D$11:$D$14,AA904))</f>
        <v>0.2</v>
      </c>
      <c r="AD904" s="7" t="str">
        <f aca="false">IF(OR(I904="N/A",P904="",Q904=""),"",IF(P904&gt;=Q904,"Yes","No"))</f>
        <v>Yes</v>
      </c>
      <c r="AE904" s="8"/>
    </row>
    <row r="905" customFormat="false" ht="15" hidden="false" customHeight="false" outlineLevel="0" collapsed="false">
      <c r="A905" s="12" t="s">
        <v>2981</v>
      </c>
      <c r="B905" s="26" t="str">
        <f aca="false">Entities!$A$25</f>
        <v>SD</v>
      </c>
      <c r="C905" s="12" t="str">
        <f aca="false">INDEX(Entities!$B$5:$B$34,MATCH(B905,Entities!$A$5:$A$34,0))</f>
        <v>Arab Sudanese Bank</v>
      </c>
      <c r="D905" s="7" t="str">
        <f aca="false">INDEX(Entities!$F$5:$F$34,MATCH(B905,Entities!$A$5:$A$34,0))</f>
        <v>Tier 3</v>
      </c>
      <c r="E905" s="26" t="str">
        <f aca="false">'Control Library'!$A$45</f>
        <v>CTL-LG-01</v>
      </c>
      <c r="F905" s="12" t="str">
        <f aca="false">INDEX('Control Library'!$B$5:$B$47,MATCH(E905,'Control Library'!$A$5:$A$47,0))</f>
        <v>Legal review of contracts and litigation register</v>
      </c>
      <c r="G905" s="7" t="str">
        <f aca="false">INDEX('Control Library'!$F$5:$F$47,MATCH(E905,'Control Library'!$A$5:$A$47,0))</f>
        <v>Y</v>
      </c>
      <c r="H905" s="12" t="str">
        <f aca="false">INDEX('Control Library'!$E$5:$E$47,MATCH(E905,'Control Library'!$A$5:$A$47,0))</f>
        <v>Event-driven</v>
      </c>
      <c r="I905" s="7" t="str">
        <f aca="false">IF(INDEX('Control Library'!$I$5:$I$47,MATCH(E905,'Control Library'!$A$5:$A$47,0))="All","Y",IF(INDEX('Control Library'!$I$5:$I$47,MATCH(E905,'Control Library'!$A$5:$A$47,0))="Banks only",IF(COUNTIF('Residual Config'!$L$28:$L$30,INDEX(Entities!$E$5:$E$34,MATCH(B905,Entities!$A$5:$A$34,0)))&gt;0,"N/A","Y"),IF(INDEX(Entities!$G$5:$G$34,MATCH(B905,Entities!$A$5:$A$34,0))="Y","Y","N/A")))</f>
        <v>Y</v>
      </c>
      <c r="J905" s="8" t="s">
        <v>2982</v>
      </c>
      <c r="K905" s="8" t="s">
        <v>2884</v>
      </c>
      <c r="L905" s="7" t="str">
        <f aca="false">IF(OR(J905="",K905=""),"",IF(J905=K905,"Breach","OK"))</f>
        <v>OK</v>
      </c>
      <c r="M905" s="24" t="n">
        <v>3</v>
      </c>
      <c r="N905" s="50" t="n">
        <v>46150</v>
      </c>
      <c r="O905" s="8" t="s">
        <v>545</v>
      </c>
      <c r="P905" s="24" t="n">
        <v>25</v>
      </c>
      <c r="Q905" s="31" t="n">
        <f aca="false">IF(I905="N/A","",IFERROR(INDEX('Residual Config'!$B$35:$B$42,MATCH(H905,'Residual Config'!$A$35:$A$42,0)),""))</f>
        <v>25</v>
      </c>
      <c r="R905" s="24" t="n">
        <v>1</v>
      </c>
      <c r="S905" s="8" t="s">
        <v>521</v>
      </c>
      <c r="T905" s="31" t="n">
        <f aca="false">IF(S905="","",MATCH(S905,'Residual Config'!$L$9:$L$12,0))</f>
        <v>2</v>
      </c>
      <c r="U905" s="8" t="s">
        <v>2983</v>
      </c>
      <c r="V905" s="24" t="n">
        <v>3</v>
      </c>
      <c r="W905" s="33" t="s">
        <v>533</v>
      </c>
      <c r="X905" s="8" t="s">
        <v>760</v>
      </c>
      <c r="Y905" s="51" t="n">
        <f aca="false">IF(N905="","",EDATE(N905,IF(G905="N",INDEX('Residual Config'!$B$31:$D$31,1,MATCH(D905,'Residual Config'!$B$27:$D$27,0)),INDEX('Residual Config'!$B$28:$D$30,IF(T905=1,1,IF(T905=4,3,2)),MATCH(D905,'Residual Config'!$B$27:$D$27,0)))))</f>
        <v>46334</v>
      </c>
      <c r="Z905" s="7" t="str">
        <f aca="false">IF(I905="N/A","N/A",IF(N905="","Not tested",IF(W905="Rejected","Evidence rejected",IF(W905&lt;&gt;"Accepted","Evidence pending",IF(Y905&lt;'Residual Config'!$C$4,"Overdue","Current")))))</f>
        <v>Current</v>
      </c>
      <c r="AA905" s="34" t="n">
        <f aca="false">IF(I905="N/A","",IF(Z905&lt;&gt;"Current",4,IF(MAX(M905,T905)=0,4,MAX(M905,T905))))</f>
        <v>3</v>
      </c>
      <c r="AB905" s="7" t="str">
        <f aca="false">IF(AA905="","N/A",IF(Z905&lt;&gt;"Current","Not tested / overdue",INDEX('Residual Config'!$B$11:$B$14,AA905)))</f>
        <v>Partially effective</v>
      </c>
      <c r="AC905" s="36" t="n">
        <f aca="false">IF(AA905="","",INDEX('Residual Config'!$D$11:$D$14,AA905))</f>
        <v>0.2</v>
      </c>
      <c r="AD905" s="7" t="str">
        <f aca="false">IF(OR(I905="N/A",P905="",Q905=""),"",IF(P905&gt;=Q905,"Yes","No"))</f>
        <v>Yes</v>
      </c>
      <c r="AE905" s="8"/>
    </row>
    <row r="906" customFormat="false" ht="15" hidden="false" customHeight="false" outlineLevel="0" collapsed="false">
      <c r="A906" s="12" t="s">
        <v>2984</v>
      </c>
      <c r="B906" s="26" t="str">
        <f aca="false">Entities!$A$25</f>
        <v>SD</v>
      </c>
      <c r="C906" s="12" t="str">
        <f aca="false">INDEX(Entities!$B$5:$B$34,MATCH(B906,Entities!$A$5:$A$34,0))</f>
        <v>Arab Sudanese Bank</v>
      </c>
      <c r="D906" s="7" t="str">
        <f aca="false">INDEX(Entities!$F$5:$F$34,MATCH(B906,Entities!$A$5:$A$34,0))</f>
        <v>Tier 3</v>
      </c>
      <c r="E906" s="26" t="str">
        <f aca="false">'Control Library'!$A$46</f>
        <v>CTL-RP-01</v>
      </c>
      <c r="F906" s="12" t="str">
        <f aca="false">INDEX('Control Library'!$B$5:$B$47,MATCH(E906,'Control Library'!$A$5:$A$47,0))</f>
        <v>Media monitoring and reputational-risk escalation</v>
      </c>
      <c r="G906" s="7" t="str">
        <f aca="false">INDEX('Control Library'!$F$5:$F$47,MATCH(E906,'Control Library'!$A$5:$A$47,0))</f>
        <v>Y</v>
      </c>
      <c r="H906" s="12" t="str">
        <f aca="false">INDEX('Control Library'!$E$5:$E$47,MATCH(E906,'Control Library'!$A$5:$A$47,0))</f>
        <v>Daily</v>
      </c>
      <c r="I906" s="7" t="str">
        <f aca="false">IF(INDEX('Control Library'!$I$5:$I$47,MATCH(E906,'Control Library'!$A$5:$A$47,0))="All","Y",IF(INDEX('Control Library'!$I$5:$I$47,MATCH(E906,'Control Library'!$A$5:$A$47,0))="Banks only",IF(COUNTIF('Residual Config'!$L$28:$L$30,INDEX(Entities!$E$5:$E$34,MATCH(B906,Entities!$A$5:$A$34,0)))&gt;0,"N/A","Y"),IF(INDEX(Entities!$G$5:$G$34,MATCH(B906,Entities!$A$5:$A$34,0))="Y","Y","N/A")))</f>
        <v>Y</v>
      </c>
      <c r="J906" s="8" t="s">
        <v>2985</v>
      </c>
      <c r="K906" s="8" t="s">
        <v>2884</v>
      </c>
      <c r="L906" s="7" t="str">
        <f aca="false">IF(OR(J906="",K906=""),"",IF(J906=K906,"Breach","OK"))</f>
        <v>OK</v>
      </c>
      <c r="M906" s="24" t="n">
        <v>2</v>
      </c>
      <c r="N906" s="50" t="n">
        <v>46198</v>
      </c>
      <c r="O906" s="8" t="s">
        <v>545</v>
      </c>
      <c r="P906" s="24" t="n">
        <v>25</v>
      </c>
      <c r="Q906" s="31" t="n">
        <f aca="false">IF(I906="N/A","",IFERROR(INDEX('Residual Config'!$B$35:$B$42,MATCH(H906,'Residual Config'!$A$35:$A$42,0)),""))</f>
        <v>25</v>
      </c>
      <c r="R906" s="24" t="n">
        <v>1</v>
      </c>
      <c r="S906" s="8" t="s">
        <v>521</v>
      </c>
      <c r="T906" s="31" t="n">
        <f aca="false">IF(S906="","",MATCH(S906,'Residual Config'!$L$9:$L$12,0))</f>
        <v>2</v>
      </c>
      <c r="U906" s="8" t="s">
        <v>2986</v>
      </c>
      <c r="V906" s="24" t="n">
        <v>5</v>
      </c>
      <c r="W906" s="33" t="s">
        <v>536</v>
      </c>
      <c r="X906" s="8"/>
      <c r="Y906" s="51" t="n">
        <f aca="false">IF(N906="","",EDATE(N906,IF(G906="N",INDEX('Residual Config'!$B$31:$D$31,1,MATCH(D906,'Residual Config'!$B$27:$D$27,0)),INDEX('Residual Config'!$B$28:$D$30,IF(T906=1,1,IF(T906=4,3,2)),MATCH(D906,'Residual Config'!$B$27:$D$27,0)))))</f>
        <v>46381</v>
      </c>
      <c r="Z906" s="7" t="str">
        <f aca="false">IF(I906="N/A","N/A",IF(N906="","Not tested",IF(W906="Rejected","Evidence rejected",IF(W906&lt;&gt;"Accepted","Evidence pending",IF(Y906&lt;'Residual Config'!$C$4,"Overdue","Current")))))</f>
        <v>Evidence pending</v>
      </c>
      <c r="AA906" s="34" t="n">
        <f aca="false">IF(I906="N/A","",IF(Z906&lt;&gt;"Current",4,IF(MAX(M906,T906)=0,4,MAX(M906,T906))))</f>
        <v>4</v>
      </c>
      <c r="AB906" s="7" t="str">
        <f aca="false">IF(AA906="","N/A",IF(Z906&lt;&gt;"Current","Not tested / overdue",INDEX('Residual Config'!$B$11:$B$14,AA906)))</f>
        <v>Not tested / overdue</v>
      </c>
      <c r="AC906" s="36" t="n">
        <f aca="false">IF(AA906="","",INDEX('Residual Config'!$D$11:$D$14,AA906))</f>
        <v>0</v>
      </c>
      <c r="AD906" s="7" t="str">
        <f aca="false">IF(OR(I906="N/A",P906="",Q906=""),"",IF(P906&gt;=Q906,"Yes","No"))</f>
        <v>Yes</v>
      </c>
      <c r="AE906" s="8"/>
    </row>
    <row r="907" customFormat="false" ht="15" hidden="false" customHeight="false" outlineLevel="0" collapsed="false">
      <c r="A907" s="12" t="s">
        <v>2987</v>
      </c>
      <c r="B907" s="26" t="str">
        <f aca="false">Entities!$A$25</f>
        <v>SD</v>
      </c>
      <c r="C907" s="12" t="str">
        <f aca="false">INDEX(Entities!$B$5:$B$34,MATCH(B907,Entities!$A$5:$A$34,0))</f>
        <v>Arab Sudanese Bank</v>
      </c>
      <c r="D907" s="7" t="str">
        <f aca="false">INDEX(Entities!$F$5:$F$34,MATCH(B907,Entities!$A$5:$A$34,0))</f>
        <v>Tier 3</v>
      </c>
      <c r="E907" s="26" t="str">
        <f aca="false">'Control Library'!$A$47</f>
        <v>CTL-ST-01</v>
      </c>
      <c r="F907" s="12" t="str">
        <f aca="false">INDEX('Control Library'!$B$5:$B$47,MATCH(E907,'Control Library'!$A$5:$A$47,0))</f>
        <v>Strategy execution monitoring and E&amp;S screening of lending</v>
      </c>
      <c r="G907" s="7" t="str">
        <f aca="false">INDEX('Control Library'!$F$5:$F$47,MATCH(E907,'Control Library'!$A$5:$A$47,0))</f>
        <v>Y</v>
      </c>
      <c r="H907" s="12" t="str">
        <f aca="false">INDEX('Control Library'!$E$5:$E$47,MATCH(E907,'Control Library'!$A$5:$A$47,0))</f>
        <v>Quarterly</v>
      </c>
      <c r="I907" s="7" t="str">
        <f aca="false">IF(INDEX('Control Library'!$I$5:$I$47,MATCH(E907,'Control Library'!$A$5:$A$47,0))="All","Y",IF(INDEX('Control Library'!$I$5:$I$47,MATCH(E907,'Control Library'!$A$5:$A$47,0))="Banks only",IF(COUNTIF('Residual Config'!$L$28:$L$30,INDEX(Entities!$E$5:$E$34,MATCH(B907,Entities!$A$5:$A$34,0)))&gt;0,"N/A","Y"),IF(INDEX(Entities!$G$5:$G$34,MATCH(B907,Entities!$A$5:$A$34,0))="Y","Y","N/A")))</f>
        <v>Y</v>
      </c>
      <c r="J907" s="8" t="s">
        <v>2988</v>
      </c>
      <c r="K907" s="8" t="s">
        <v>2884</v>
      </c>
      <c r="L907" s="7" t="str">
        <f aca="false">IF(OR(J907="",K907=""),"",IF(J907=K907,"Breach","OK"))</f>
        <v>OK</v>
      </c>
      <c r="M907" s="24" t="n">
        <v>2</v>
      </c>
      <c r="N907" s="50" t="n">
        <v>46228</v>
      </c>
      <c r="O907" s="8" t="s">
        <v>545</v>
      </c>
      <c r="P907" s="24" t="n">
        <v>2</v>
      </c>
      <c r="Q907" s="31" t="n">
        <f aca="false">IF(I907="N/A","",IFERROR(INDEX('Residual Config'!$B$35:$B$42,MATCH(H907,'Residual Config'!$A$35:$A$42,0)),""))</f>
        <v>2</v>
      </c>
      <c r="R907" s="24" t="n">
        <v>2</v>
      </c>
      <c r="S907" s="8" t="s">
        <v>524</v>
      </c>
      <c r="T907" s="31" t="n">
        <f aca="false">IF(S907="","",MATCH(S907,'Residual Config'!$L$9:$L$12,0))</f>
        <v>3</v>
      </c>
      <c r="U907" s="8" t="s">
        <v>2989</v>
      </c>
      <c r="V907" s="24" t="n">
        <v>3</v>
      </c>
      <c r="W907" s="33" t="s">
        <v>535</v>
      </c>
      <c r="X907" s="8" t="s">
        <v>754</v>
      </c>
      <c r="Y907" s="51" t="n">
        <f aca="false">IF(N907="","",EDATE(N907,IF(G907="N",INDEX('Residual Config'!$B$31:$D$31,1,MATCH(D907,'Residual Config'!$B$27:$D$27,0)),INDEX('Residual Config'!$B$28:$D$30,IF(T907=1,1,IF(T907=4,3,2)),MATCH(D907,'Residual Config'!$B$27:$D$27,0)))))</f>
        <v>46412</v>
      </c>
      <c r="Z907" s="7" t="str">
        <f aca="false">IF(I907="N/A","N/A",IF(N907="","Not tested",IF(W907="Rejected","Evidence rejected",IF(W907&lt;&gt;"Accepted","Evidence pending",IF(Y907&lt;'Residual Config'!$C$4,"Overdue","Current")))))</f>
        <v>Evidence rejected</v>
      </c>
      <c r="AA907" s="34" t="n">
        <f aca="false">IF(I907="N/A","",IF(Z907&lt;&gt;"Current",4,IF(MAX(M907,T907)=0,4,MAX(M907,T907))))</f>
        <v>4</v>
      </c>
      <c r="AB907" s="7" t="str">
        <f aca="false">IF(AA907="","N/A",IF(Z907&lt;&gt;"Current","Not tested / overdue",INDEX('Residual Config'!$B$11:$B$14,AA907)))</f>
        <v>Not tested / overdue</v>
      </c>
      <c r="AC907" s="36" t="n">
        <f aca="false">IF(AA907="","",INDEX('Residual Config'!$D$11:$D$14,AA907))</f>
        <v>0</v>
      </c>
      <c r="AD907" s="7" t="str">
        <f aca="false">IF(OR(I907="N/A",P907="",Q907=""),"",IF(P907&gt;=Q907,"Yes","No"))</f>
        <v>Yes</v>
      </c>
      <c r="AE907" s="8"/>
    </row>
    <row r="908" customFormat="false" ht="15" hidden="false" customHeight="false" outlineLevel="0" collapsed="false">
      <c r="A908" s="12" t="s">
        <v>2990</v>
      </c>
      <c r="B908" s="26" t="str">
        <f aca="false">Entities!$A$26</f>
        <v>GB</v>
      </c>
      <c r="C908" s="12" t="str">
        <f aca="false">INDEX(Entities!$B$5:$B$34,MATCH(B908,Entities!$A$5:$A$34,0))</f>
        <v>Europe Arab Bank – United Kingdom</v>
      </c>
      <c r="D908" s="7" t="str">
        <f aca="false">INDEX(Entities!$F$5:$F$34,MATCH(B908,Entities!$A$5:$A$34,0))</f>
        <v>Tier 1</v>
      </c>
      <c r="E908" s="26" t="str">
        <f aca="false">'Control Library'!$A$5</f>
        <v>CTL-KYC-01</v>
      </c>
      <c r="F908" s="12" t="str">
        <f aca="false">INDEX('Control Library'!$B$5:$B$47,MATCH(E908,'Control Library'!$A$5:$A$47,0))</f>
        <v>Customer due diligence and ID verification at onboarding</v>
      </c>
      <c r="G908" s="7" t="str">
        <f aca="false">INDEX('Control Library'!$F$5:$F$47,MATCH(E908,'Control Library'!$A$5:$A$47,0))</f>
        <v>Y</v>
      </c>
      <c r="H908" s="12" t="str">
        <f aca="false">INDEX('Control Library'!$E$5:$E$47,MATCH(E908,'Control Library'!$A$5:$A$47,0))</f>
        <v>Event-driven</v>
      </c>
      <c r="I908" s="7" t="str">
        <f aca="false">IF(INDEX('Control Library'!$I$5:$I$47,MATCH(E908,'Control Library'!$A$5:$A$47,0))="All","Y",IF(INDEX('Control Library'!$I$5:$I$47,MATCH(E908,'Control Library'!$A$5:$A$47,0))="Banks only",IF(COUNTIF('Residual Config'!$L$28:$L$30,INDEX(Entities!$E$5:$E$34,MATCH(B908,Entities!$A$5:$A$34,0)))&gt;0,"N/A","Y"),IF(INDEX(Entities!$G$5:$G$34,MATCH(B908,Entities!$A$5:$A$34,0))="Y","Y","N/A")))</f>
        <v>Y</v>
      </c>
      <c r="J908" s="8" t="s">
        <v>2991</v>
      </c>
      <c r="K908" s="8" t="s">
        <v>752</v>
      </c>
      <c r="L908" s="7" t="str">
        <f aca="false">IF(OR(J908="",K908=""),"",IF(J908=K908,"Breach","OK"))</f>
        <v>OK</v>
      </c>
      <c r="M908" s="24" t="n">
        <v>1</v>
      </c>
      <c r="N908" s="50" t="n">
        <v>46279</v>
      </c>
      <c r="O908" s="8" t="s">
        <v>545</v>
      </c>
      <c r="P908" s="24" t="n">
        <v>25</v>
      </c>
      <c r="Q908" s="31" t="n">
        <f aca="false">IF(I908="N/A","",IFERROR(INDEX('Residual Config'!$B$35:$B$42,MATCH(H908,'Residual Config'!$A$35:$A$42,0)),""))</f>
        <v>25</v>
      </c>
      <c r="R908" s="24" t="n">
        <v>0</v>
      </c>
      <c r="S908" s="8" t="s">
        <v>516</v>
      </c>
      <c r="T908" s="31" t="n">
        <f aca="false">IF(S908="","",MATCH(S908,'Residual Config'!$L$9:$L$12,0))</f>
        <v>1</v>
      </c>
      <c r="U908" s="8" t="s">
        <v>2992</v>
      </c>
      <c r="V908" s="24" t="n">
        <v>6</v>
      </c>
      <c r="W908" s="33" t="s">
        <v>533</v>
      </c>
      <c r="X908" s="8" t="s">
        <v>754</v>
      </c>
      <c r="Y908" s="51" t="n">
        <f aca="false">IF(N908="","",EDATE(N908,IF(G908="N",INDEX('Residual Config'!$B$31:$D$31,1,MATCH(D908,'Residual Config'!$B$27:$D$27,0)),INDEX('Residual Config'!$B$28:$D$30,IF(T908=1,1,IF(T908=4,3,2)),MATCH(D908,'Residual Config'!$B$27:$D$27,0)))))</f>
        <v>46460</v>
      </c>
      <c r="Z908" s="7" t="str">
        <f aca="false">IF(I908="N/A","N/A",IF(N908="","Not tested",IF(W908="Rejected","Evidence rejected",IF(W908&lt;&gt;"Accepted","Evidence pending",IF(Y908&lt;'Residual Config'!$C$4,"Overdue","Current")))))</f>
        <v>Current</v>
      </c>
      <c r="AA908" s="34" t="n">
        <f aca="false">IF(I908="N/A","",IF(Z908&lt;&gt;"Current",4,IF(MAX(M908,T908)=0,4,MAX(M908,T908))))</f>
        <v>1</v>
      </c>
      <c r="AB908" s="7" t="str">
        <f aca="false">IF(AA908="","N/A",IF(Z908&lt;&gt;"Current","Not tested / overdue",INDEX('Residual Config'!$B$11:$B$14,AA908)))</f>
        <v>Effective</v>
      </c>
      <c r="AC908" s="36" t="n">
        <f aca="false">IF(AA908="","",INDEX('Residual Config'!$D$11:$D$14,AA908))</f>
        <v>0.6</v>
      </c>
      <c r="AD908" s="7" t="str">
        <f aca="false">IF(OR(I908="N/A",P908="",Q908=""),"",IF(P908&gt;=Q908,"Yes","No"))</f>
        <v>Yes</v>
      </c>
      <c r="AE908" s="8"/>
    </row>
    <row r="909" customFormat="false" ht="15" hidden="false" customHeight="false" outlineLevel="0" collapsed="false">
      <c r="A909" s="12" t="s">
        <v>2993</v>
      </c>
      <c r="B909" s="26" t="str">
        <f aca="false">Entities!$A$26</f>
        <v>GB</v>
      </c>
      <c r="C909" s="12" t="str">
        <f aca="false">INDEX(Entities!$B$5:$B$34,MATCH(B909,Entities!$A$5:$A$34,0))</f>
        <v>Europe Arab Bank – United Kingdom</v>
      </c>
      <c r="D909" s="7" t="str">
        <f aca="false">INDEX(Entities!$F$5:$F$34,MATCH(B909,Entities!$A$5:$A$34,0))</f>
        <v>Tier 1</v>
      </c>
      <c r="E909" s="26" t="str">
        <f aca="false">'Control Library'!$A$6</f>
        <v>CTL-KYC-02</v>
      </c>
      <c r="F909" s="12" t="str">
        <f aca="false">INDEX('Control Library'!$B$5:$B$47,MATCH(E909,'Control Library'!$A$5:$A$47,0))</f>
        <v>Enhanced due diligence for high-risk customers and PEPs, senior approval</v>
      </c>
      <c r="G909" s="7" t="str">
        <f aca="false">INDEX('Control Library'!$F$5:$F$47,MATCH(E909,'Control Library'!$A$5:$A$47,0))</f>
        <v>Y</v>
      </c>
      <c r="H909" s="12" t="str">
        <f aca="false">INDEX('Control Library'!$E$5:$E$47,MATCH(E909,'Control Library'!$A$5:$A$47,0))</f>
        <v>Event-driven</v>
      </c>
      <c r="I909" s="7" t="str">
        <f aca="false">IF(INDEX('Control Library'!$I$5:$I$47,MATCH(E909,'Control Library'!$A$5:$A$47,0))="All","Y",IF(INDEX('Control Library'!$I$5:$I$47,MATCH(E909,'Control Library'!$A$5:$A$47,0))="Banks only",IF(COUNTIF('Residual Config'!$L$28:$L$30,INDEX(Entities!$E$5:$E$34,MATCH(B909,Entities!$A$5:$A$34,0)))&gt;0,"N/A","Y"),IF(INDEX(Entities!$G$5:$G$34,MATCH(B909,Entities!$A$5:$A$34,0))="Y","Y","N/A")))</f>
        <v>Y</v>
      </c>
      <c r="J909" s="8" t="s">
        <v>2994</v>
      </c>
      <c r="K909" s="8" t="s">
        <v>752</v>
      </c>
      <c r="L909" s="7" t="str">
        <f aca="false">IF(OR(J909="",K909=""),"",IF(J909=K909,"Breach","OK"))</f>
        <v>OK</v>
      </c>
      <c r="M909" s="24" t="n">
        <v>1</v>
      </c>
      <c r="N909" s="50" t="n">
        <v>46252</v>
      </c>
      <c r="O909" s="8" t="s">
        <v>546</v>
      </c>
      <c r="P909" s="24" t="n">
        <v>25</v>
      </c>
      <c r="Q909" s="31" t="n">
        <f aca="false">IF(I909="N/A","",IFERROR(INDEX('Residual Config'!$B$35:$B$42,MATCH(H909,'Residual Config'!$A$35:$A$42,0)),""))</f>
        <v>25</v>
      </c>
      <c r="R909" s="24" t="n">
        <v>1</v>
      </c>
      <c r="S909" s="8" t="s">
        <v>521</v>
      </c>
      <c r="T909" s="31" t="n">
        <f aca="false">IF(S909="","",MATCH(S909,'Residual Config'!$L$9:$L$12,0))</f>
        <v>2</v>
      </c>
      <c r="U909" s="8" t="s">
        <v>2995</v>
      </c>
      <c r="V909" s="24" t="n">
        <v>3</v>
      </c>
      <c r="W909" s="33" t="s">
        <v>533</v>
      </c>
      <c r="X909" s="8" t="s">
        <v>760</v>
      </c>
      <c r="Y909" s="51" t="n">
        <f aca="false">IF(N909="","",EDATE(N909,IF(G909="N",INDEX('Residual Config'!$B$31:$D$31,1,MATCH(D909,'Residual Config'!$B$27:$D$27,0)),INDEX('Residual Config'!$B$28:$D$30,IF(T909=1,1,IF(T909=4,3,2)),MATCH(D909,'Residual Config'!$B$27:$D$27,0)))))</f>
        <v>46344</v>
      </c>
      <c r="Z909" s="7" t="str">
        <f aca="false">IF(I909="N/A","N/A",IF(N909="","Not tested",IF(W909="Rejected","Evidence rejected",IF(W909&lt;&gt;"Accepted","Evidence pending",IF(Y909&lt;'Residual Config'!$C$4,"Overdue","Current")))))</f>
        <v>Current</v>
      </c>
      <c r="AA909" s="34" t="n">
        <f aca="false">IF(I909="N/A","",IF(Z909&lt;&gt;"Current",4,IF(MAX(M909,T909)=0,4,MAX(M909,T909))))</f>
        <v>2</v>
      </c>
      <c r="AB909" s="7" t="str">
        <f aca="false">IF(AA909="","N/A",IF(Z909&lt;&gt;"Current","Not tested / overdue",INDEX('Residual Config'!$B$11:$B$14,AA909)))</f>
        <v>Largely effective</v>
      </c>
      <c r="AC909" s="36" t="n">
        <f aca="false">IF(AA909="","",INDEX('Residual Config'!$D$11:$D$14,AA909))</f>
        <v>0.4</v>
      </c>
      <c r="AD909" s="7" t="str">
        <f aca="false">IF(OR(I909="N/A",P909="",Q909=""),"",IF(P909&gt;=Q909,"Yes","No"))</f>
        <v>Yes</v>
      </c>
      <c r="AE909" s="8"/>
    </row>
    <row r="910" customFormat="false" ht="15" hidden="false" customHeight="false" outlineLevel="0" collapsed="false">
      <c r="A910" s="12" t="s">
        <v>2996</v>
      </c>
      <c r="B910" s="26" t="str">
        <f aca="false">Entities!$A$26</f>
        <v>GB</v>
      </c>
      <c r="C910" s="12" t="str">
        <f aca="false">INDEX(Entities!$B$5:$B$34,MATCH(B910,Entities!$A$5:$A$34,0))</f>
        <v>Europe Arab Bank – United Kingdom</v>
      </c>
      <c r="D910" s="7" t="str">
        <f aca="false">INDEX(Entities!$F$5:$F$34,MATCH(B910,Entities!$A$5:$A$34,0))</f>
        <v>Tier 1</v>
      </c>
      <c r="E910" s="26" t="str">
        <f aca="false">'Control Library'!$A$7</f>
        <v>CTL-KYC-03</v>
      </c>
      <c r="F910" s="12" t="str">
        <f aca="false">INDEX('Control Library'!$B$5:$B$47,MATCH(E910,'Control Library'!$A$5:$A$47,0))</f>
        <v>Ultimate beneficial owner identification and verification</v>
      </c>
      <c r="G910" s="7" t="str">
        <f aca="false">INDEX('Control Library'!$F$5:$F$47,MATCH(E910,'Control Library'!$A$5:$A$47,0))</f>
        <v>Y</v>
      </c>
      <c r="H910" s="12" t="str">
        <f aca="false">INDEX('Control Library'!$E$5:$E$47,MATCH(E910,'Control Library'!$A$5:$A$47,0))</f>
        <v>Event-driven</v>
      </c>
      <c r="I910" s="7" t="str">
        <f aca="false">IF(INDEX('Control Library'!$I$5:$I$47,MATCH(E910,'Control Library'!$A$5:$A$47,0))="All","Y",IF(INDEX('Control Library'!$I$5:$I$47,MATCH(E910,'Control Library'!$A$5:$A$47,0))="Banks only",IF(COUNTIF('Residual Config'!$L$28:$L$30,INDEX(Entities!$E$5:$E$34,MATCH(B910,Entities!$A$5:$A$34,0)))&gt;0,"N/A","Y"),IF(INDEX(Entities!$G$5:$G$34,MATCH(B910,Entities!$A$5:$A$34,0))="Y","Y","N/A")))</f>
        <v>Y</v>
      </c>
      <c r="J910" s="8" t="s">
        <v>2991</v>
      </c>
      <c r="K910" s="8" t="s">
        <v>752</v>
      </c>
      <c r="L910" s="7" t="str">
        <f aca="false">IF(OR(J910="",K910=""),"",IF(J910=K910,"Breach","OK"))</f>
        <v>OK</v>
      </c>
      <c r="M910" s="24" t="n">
        <v>1</v>
      </c>
      <c r="N910" s="50" t="n">
        <v>46255</v>
      </c>
      <c r="O910" s="8" t="s">
        <v>545</v>
      </c>
      <c r="P910" s="24" t="n">
        <v>30</v>
      </c>
      <c r="Q910" s="31" t="n">
        <f aca="false">IF(I910="N/A","",IFERROR(INDEX('Residual Config'!$B$35:$B$42,MATCH(H910,'Residual Config'!$A$35:$A$42,0)),""))</f>
        <v>25</v>
      </c>
      <c r="R910" s="24" t="n">
        <v>0</v>
      </c>
      <c r="S910" s="8" t="s">
        <v>516</v>
      </c>
      <c r="T910" s="31" t="n">
        <f aca="false">IF(S910="","",MATCH(S910,'Residual Config'!$L$9:$L$12,0))</f>
        <v>1</v>
      </c>
      <c r="U910" s="8" t="s">
        <v>2997</v>
      </c>
      <c r="V910" s="24" t="n">
        <v>5</v>
      </c>
      <c r="W910" s="33" t="s">
        <v>533</v>
      </c>
      <c r="X910" s="8" t="s">
        <v>760</v>
      </c>
      <c r="Y910" s="51" t="n">
        <f aca="false">IF(N910="","",EDATE(N910,IF(G910="N",INDEX('Residual Config'!$B$31:$D$31,1,MATCH(D910,'Residual Config'!$B$27:$D$27,0)),INDEX('Residual Config'!$B$28:$D$30,IF(T910=1,1,IF(T910=4,3,2)),MATCH(D910,'Residual Config'!$B$27:$D$27,0)))))</f>
        <v>46439</v>
      </c>
      <c r="Z910" s="7" t="str">
        <f aca="false">IF(I910="N/A","N/A",IF(N910="","Not tested",IF(W910="Rejected","Evidence rejected",IF(W910&lt;&gt;"Accepted","Evidence pending",IF(Y910&lt;'Residual Config'!$C$4,"Overdue","Current")))))</f>
        <v>Current</v>
      </c>
      <c r="AA910" s="34" t="n">
        <f aca="false">IF(I910="N/A","",IF(Z910&lt;&gt;"Current",4,IF(MAX(M910,T910)=0,4,MAX(M910,T910))))</f>
        <v>1</v>
      </c>
      <c r="AB910" s="7" t="str">
        <f aca="false">IF(AA910="","N/A",IF(Z910&lt;&gt;"Current","Not tested / overdue",INDEX('Residual Config'!$B$11:$B$14,AA910)))</f>
        <v>Effective</v>
      </c>
      <c r="AC910" s="36" t="n">
        <f aca="false">IF(AA910="","",INDEX('Residual Config'!$D$11:$D$14,AA910))</f>
        <v>0.6</v>
      </c>
      <c r="AD910" s="7" t="str">
        <f aca="false">IF(OR(I910="N/A",P910="",Q910=""),"",IF(P910&gt;=Q910,"Yes","No"))</f>
        <v>Yes</v>
      </c>
      <c r="AE910" s="8"/>
    </row>
    <row r="911" customFormat="false" ht="15" hidden="false" customHeight="false" outlineLevel="0" collapsed="false">
      <c r="A911" s="12" t="s">
        <v>2998</v>
      </c>
      <c r="B911" s="26" t="str">
        <f aca="false">Entities!$A$26</f>
        <v>GB</v>
      </c>
      <c r="C911" s="12" t="str">
        <f aca="false">INDEX(Entities!$B$5:$B$34,MATCH(B911,Entities!$A$5:$A$34,0))</f>
        <v>Europe Arab Bank – United Kingdom</v>
      </c>
      <c r="D911" s="7" t="str">
        <f aca="false">INDEX(Entities!$F$5:$F$34,MATCH(B911,Entities!$A$5:$A$34,0))</f>
        <v>Tier 1</v>
      </c>
      <c r="E911" s="26" t="str">
        <f aca="false">'Control Library'!$A$8</f>
        <v>CTL-KYC-04</v>
      </c>
      <c r="F911" s="12" t="str">
        <f aca="false">INDEX('Control Library'!$B$5:$B$47,MATCH(E911,'Control Library'!$A$5:$A$47,0))</f>
        <v>Periodic KYC review by customer risk rating</v>
      </c>
      <c r="G911" s="7" t="str">
        <f aca="false">INDEX('Control Library'!$F$5:$F$47,MATCH(E911,'Control Library'!$A$5:$A$47,0))</f>
        <v>Y</v>
      </c>
      <c r="H911" s="12" t="str">
        <f aca="false">INDEX('Control Library'!$E$5:$E$47,MATCH(E911,'Control Library'!$A$5:$A$47,0))</f>
        <v>Monthly</v>
      </c>
      <c r="I911" s="7" t="str">
        <f aca="false">IF(INDEX('Control Library'!$I$5:$I$47,MATCH(E911,'Control Library'!$A$5:$A$47,0))="All","Y",IF(INDEX('Control Library'!$I$5:$I$47,MATCH(E911,'Control Library'!$A$5:$A$47,0))="Banks only",IF(COUNTIF('Residual Config'!$L$28:$L$30,INDEX(Entities!$E$5:$E$34,MATCH(B911,Entities!$A$5:$A$34,0)))&gt;0,"N/A","Y"),IF(INDEX(Entities!$G$5:$G$34,MATCH(B911,Entities!$A$5:$A$34,0))="Y","Y","N/A")))</f>
        <v>Y</v>
      </c>
      <c r="J911" s="8" t="s">
        <v>2991</v>
      </c>
      <c r="K911" s="8" t="s">
        <v>752</v>
      </c>
      <c r="L911" s="7" t="str">
        <f aca="false">IF(OR(J911="",K911=""),"",IF(J911=K911,"Breach","OK"))</f>
        <v>OK</v>
      </c>
      <c r="M911" s="24" t="n">
        <v>1</v>
      </c>
      <c r="N911" s="50" t="n">
        <v>46156</v>
      </c>
      <c r="O911" s="8" t="s">
        <v>545</v>
      </c>
      <c r="P911" s="24" t="n">
        <v>3</v>
      </c>
      <c r="Q911" s="31" t="n">
        <f aca="false">IF(I911="N/A","",IFERROR(INDEX('Residual Config'!$B$35:$B$42,MATCH(H911,'Residual Config'!$A$35:$A$42,0)),""))</f>
        <v>3</v>
      </c>
      <c r="R911" s="24" t="n">
        <v>0</v>
      </c>
      <c r="S911" s="8" t="s">
        <v>516</v>
      </c>
      <c r="T911" s="31" t="n">
        <f aca="false">IF(S911="","",MATCH(S911,'Residual Config'!$L$9:$L$12,0))</f>
        <v>1</v>
      </c>
      <c r="U911" s="8" t="s">
        <v>2999</v>
      </c>
      <c r="V911" s="24" t="n">
        <v>4</v>
      </c>
      <c r="W911" s="33" t="s">
        <v>533</v>
      </c>
      <c r="X911" s="8" t="s">
        <v>760</v>
      </c>
      <c r="Y911" s="51" t="n">
        <f aca="false">IF(N911="","",EDATE(N911,IF(G911="N",INDEX('Residual Config'!$B$31:$D$31,1,MATCH(D911,'Residual Config'!$B$27:$D$27,0)),INDEX('Residual Config'!$B$28:$D$30,IF(T911=1,1,IF(T911=4,3,2)),MATCH(D911,'Residual Config'!$B$27:$D$27,0)))))</f>
        <v>46340</v>
      </c>
      <c r="Z911" s="7" t="str">
        <f aca="false">IF(I911="N/A","N/A",IF(N911="","Not tested",IF(W911="Rejected","Evidence rejected",IF(W911&lt;&gt;"Accepted","Evidence pending",IF(Y911&lt;'Residual Config'!$C$4,"Overdue","Current")))))</f>
        <v>Current</v>
      </c>
      <c r="AA911" s="34" t="n">
        <f aca="false">IF(I911="N/A","",IF(Z911&lt;&gt;"Current",4,IF(MAX(M911,T911)=0,4,MAX(M911,T911))))</f>
        <v>1</v>
      </c>
      <c r="AB911" s="7" t="str">
        <f aca="false">IF(AA911="","N/A",IF(Z911&lt;&gt;"Current","Not tested / overdue",INDEX('Residual Config'!$B$11:$B$14,AA911)))</f>
        <v>Effective</v>
      </c>
      <c r="AC911" s="36" t="n">
        <f aca="false">IF(AA911="","",INDEX('Residual Config'!$D$11:$D$14,AA911))</f>
        <v>0.6</v>
      </c>
      <c r="AD911" s="7" t="str">
        <f aca="false">IF(OR(I911="N/A",P911="",Q911=""),"",IF(P911&gt;=Q911,"Yes","No"))</f>
        <v>Yes</v>
      </c>
      <c r="AE911" s="8"/>
    </row>
    <row r="912" customFormat="false" ht="15" hidden="false" customHeight="false" outlineLevel="0" collapsed="false">
      <c r="A912" s="12" t="s">
        <v>3000</v>
      </c>
      <c r="B912" s="26" t="str">
        <f aca="false">Entities!$A$26</f>
        <v>GB</v>
      </c>
      <c r="C912" s="12" t="str">
        <f aca="false">INDEX(Entities!$B$5:$B$34,MATCH(B912,Entities!$A$5:$A$34,0))</f>
        <v>Europe Arab Bank – United Kingdom</v>
      </c>
      <c r="D912" s="7" t="str">
        <f aca="false">INDEX(Entities!$F$5:$F$34,MATCH(B912,Entities!$A$5:$A$34,0))</f>
        <v>Tier 1</v>
      </c>
      <c r="E912" s="26" t="str">
        <f aca="false">'Control Library'!$A$9</f>
        <v>CTL-CRR-01</v>
      </c>
      <c r="F912" s="12" t="str">
        <f aca="false">INDEX('Control Library'!$B$5:$B$47,MATCH(E912,'Control Library'!$A$5:$A$47,0))</f>
        <v>Customer risk rating model and annual validation</v>
      </c>
      <c r="G912" s="7" t="str">
        <f aca="false">INDEX('Control Library'!$F$5:$F$47,MATCH(E912,'Control Library'!$A$5:$A$47,0))</f>
        <v>N</v>
      </c>
      <c r="H912" s="12" t="str">
        <f aca="false">INDEX('Control Library'!$E$5:$E$47,MATCH(E912,'Control Library'!$A$5:$A$47,0))</f>
        <v>Annual</v>
      </c>
      <c r="I912" s="7" t="str">
        <f aca="false">IF(INDEX('Control Library'!$I$5:$I$47,MATCH(E912,'Control Library'!$A$5:$A$47,0))="All","Y",IF(INDEX('Control Library'!$I$5:$I$47,MATCH(E912,'Control Library'!$A$5:$A$47,0))="Banks only",IF(COUNTIF('Residual Config'!$L$28:$L$30,INDEX(Entities!$E$5:$E$34,MATCH(B912,Entities!$A$5:$A$34,0)))&gt;0,"N/A","Y"),IF(INDEX(Entities!$G$5:$G$34,MATCH(B912,Entities!$A$5:$A$34,0))="Y","Y","N/A")))</f>
        <v>Y</v>
      </c>
      <c r="J912" s="8" t="s">
        <v>2994</v>
      </c>
      <c r="K912" s="8" t="s">
        <v>3001</v>
      </c>
      <c r="L912" s="7" t="str">
        <f aca="false">IF(OR(J912="",K912=""),"",IF(J912=K912,"Breach","OK"))</f>
        <v>OK</v>
      </c>
      <c r="M912" s="24" t="n">
        <v>1</v>
      </c>
      <c r="N912" s="50" t="n">
        <v>46287</v>
      </c>
      <c r="O912" s="8" t="s">
        <v>547</v>
      </c>
      <c r="P912" s="24" t="n">
        <v>1</v>
      </c>
      <c r="Q912" s="31" t="n">
        <f aca="false">IF(I912="N/A","",IFERROR(INDEX('Residual Config'!$B$35:$B$42,MATCH(H912,'Residual Config'!$A$35:$A$42,0)),""))</f>
        <v>1</v>
      </c>
      <c r="R912" s="24" t="n">
        <v>0</v>
      </c>
      <c r="S912" s="8" t="s">
        <v>516</v>
      </c>
      <c r="T912" s="31" t="n">
        <f aca="false">IF(S912="","",MATCH(S912,'Residual Config'!$L$9:$L$12,0))</f>
        <v>1</v>
      </c>
      <c r="U912" s="8" t="s">
        <v>3002</v>
      </c>
      <c r="V912" s="24" t="n">
        <v>2</v>
      </c>
      <c r="W912" s="33" t="s">
        <v>533</v>
      </c>
      <c r="X912" s="8" t="s">
        <v>754</v>
      </c>
      <c r="Y912" s="51" t="n">
        <f aca="false">IF(N912="","",EDATE(N912,IF(G912="N",INDEX('Residual Config'!$B$31:$D$31,1,MATCH(D912,'Residual Config'!$B$27:$D$27,0)),INDEX('Residual Config'!$B$28:$D$30,IF(T912=1,1,IF(T912=4,3,2)),MATCH(D912,'Residual Config'!$B$27:$D$27,0)))))</f>
        <v>46652</v>
      </c>
      <c r="Z912" s="7" t="str">
        <f aca="false">IF(I912="N/A","N/A",IF(N912="","Not tested",IF(W912="Rejected","Evidence rejected",IF(W912&lt;&gt;"Accepted","Evidence pending",IF(Y912&lt;'Residual Config'!$C$4,"Overdue","Current")))))</f>
        <v>Current</v>
      </c>
      <c r="AA912" s="34" t="n">
        <f aca="false">IF(I912="N/A","",IF(Z912&lt;&gt;"Current",4,IF(MAX(M912,T912)=0,4,MAX(M912,T912))))</f>
        <v>1</v>
      </c>
      <c r="AB912" s="7" t="str">
        <f aca="false">IF(AA912="","N/A",IF(Z912&lt;&gt;"Current","Not tested / overdue",INDEX('Residual Config'!$B$11:$B$14,AA912)))</f>
        <v>Effective</v>
      </c>
      <c r="AC912" s="36" t="n">
        <f aca="false">IF(AA912="","",INDEX('Residual Config'!$D$11:$D$14,AA912))</f>
        <v>0.6</v>
      </c>
      <c r="AD912" s="7" t="str">
        <f aca="false">IF(OR(I912="N/A",P912="",Q912=""),"",IF(P912&gt;=Q912,"Yes","No"))</f>
        <v>Yes</v>
      </c>
      <c r="AE912" s="8"/>
    </row>
    <row r="913" customFormat="false" ht="15" hidden="false" customHeight="false" outlineLevel="0" collapsed="false">
      <c r="A913" s="12" t="s">
        <v>3003</v>
      </c>
      <c r="B913" s="26" t="str">
        <f aca="false">Entities!$A$26</f>
        <v>GB</v>
      </c>
      <c r="C913" s="12" t="str">
        <f aca="false">INDEX(Entities!$B$5:$B$34,MATCH(B913,Entities!$A$5:$A$34,0))</f>
        <v>Europe Arab Bank – United Kingdom</v>
      </c>
      <c r="D913" s="7" t="str">
        <f aca="false">INDEX(Entities!$F$5:$F$34,MATCH(B913,Entities!$A$5:$A$34,0))</f>
        <v>Tier 1</v>
      </c>
      <c r="E913" s="26" t="str">
        <f aca="false">'Control Library'!$A$10</f>
        <v>CTL-TM-01</v>
      </c>
      <c r="F913" s="12" t="str">
        <f aca="false">INDEX('Control Library'!$B$5:$B$47,MATCH(E913,'Control Library'!$A$5:$A$47,0))</f>
        <v>Automated transaction monitoring scenarios and annual tuning</v>
      </c>
      <c r="G913" s="7" t="str">
        <f aca="false">INDEX('Control Library'!$F$5:$F$47,MATCH(E913,'Control Library'!$A$5:$A$47,0))</f>
        <v>Y</v>
      </c>
      <c r="H913" s="12" t="str">
        <f aca="false">INDEX('Control Library'!$E$5:$E$47,MATCH(E913,'Control Library'!$A$5:$A$47,0))</f>
        <v>Continuous</v>
      </c>
      <c r="I913" s="7" t="str">
        <f aca="false">IF(INDEX('Control Library'!$I$5:$I$47,MATCH(E913,'Control Library'!$A$5:$A$47,0))="All","Y",IF(INDEX('Control Library'!$I$5:$I$47,MATCH(E913,'Control Library'!$A$5:$A$47,0))="Banks only",IF(COUNTIF('Residual Config'!$L$28:$L$30,INDEX(Entities!$E$5:$E$34,MATCH(B913,Entities!$A$5:$A$34,0)))&gt;0,"N/A","Y"),IF(INDEX(Entities!$G$5:$G$34,MATCH(B913,Entities!$A$5:$A$34,0))="Y","Y","N/A")))</f>
        <v>Y</v>
      </c>
      <c r="J913" s="8" t="s">
        <v>3004</v>
      </c>
      <c r="K913" s="8" t="s">
        <v>752</v>
      </c>
      <c r="L913" s="7" t="str">
        <f aca="false">IF(OR(J913="",K913=""),"",IF(J913=K913,"Breach","OK"))</f>
        <v>OK</v>
      </c>
      <c r="M913" s="24" t="n">
        <v>1</v>
      </c>
      <c r="N913" s="50" t="n">
        <v>46249</v>
      </c>
      <c r="O913" s="8" t="s">
        <v>547</v>
      </c>
      <c r="P913" s="24" t="n">
        <v>1</v>
      </c>
      <c r="Q913" s="31" t="n">
        <f aca="false">IF(I913="N/A","",IFERROR(INDEX('Residual Config'!$B$35:$B$42,MATCH(H913,'Residual Config'!$A$35:$A$42,0)),""))</f>
        <v>1</v>
      </c>
      <c r="R913" s="24" t="n">
        <v>1</v>
      </c>
      <c r="S913" s="8" t="s">
        <v>521</v>
      </c>
      <c r="T913" s="31" t="n">
        <f aca="false">IF(S913="","",MATCH(S913,'Residual Config'!$L$9:$L$12,0))</f>
        <v>2</v>
      </c>
      <c r="U913" s="8" t="s">
        <v>3005</v>
      </c>
      <c r="V913" s="24" t="n">
        <v>4</v>
      </c>
      <c r="W913" s="33" t="s">
        <v>533</v>
      </c>
      <c r="X913" s="8" t="s">
        <v>754</v>
      </c>
      <c r="Y913" s="51" t="n">
        <f aca="false">IF(N913="","",EDATE(N913,IF(G913="N",INDEX('Residual Config'!$B$31:$D$31,1,MATCH(D913,'Residual Config'!$B$27:$D$27,0)),INDEX('Residual Config'!$B$28:$D$30,IF(T913=1,1,IF(T913=4,3,2)),MATCH(D913,'Residual Config'!$B$27:$D$27,0)))))</f>
        <v>46341</v>
      </c>
      <c r="Z913" s="7" t="str">
        <f aca="false">IF(I913="N/A","N/A",IF(N913="","Not tested",IF(W913="Rejected","Evidence rejected",IF(W913&lt;&gt;"Accepted","Evidence pending",IF(Y913&lt;'Residual Config'!$C$4,"Overdue","Current")))))</f>
        <v>Current</v>
      </c>
      <c r="AA913" s="34" t="n">
        <f aca="false">IF(I913="N/A","",IF(Z913&lt;&gt;"Current",4,IF(MAX(M913,T913)=0,4,MAX(M913,T913))))</f>
        <v>2</v>
      </c>
      <c r="AB913" s="7" t="str">
        <f aca="false">IF(AA913="","N/A",IF(Z913&lt;&gt;"Current","Not tested / overdue",INDEX('Residual Config'!$B$11:$B$14,AA913)))</f>
        <v>Largely effective</v>
      </c>
      <c r="AC913" s="36" t="n">
        <f aca="false">IF(AA913="","",INDEX('Residual Config'!$D$11:$D$14,AA913))</f>
        <v>0.4</v>
      </c>
      <c r="AD913" s="7" t="str">
        <f aca="false">IF(OR(I913="N/A",P913="",Q913=""),"",IF(P913&gt;=Q913,"Yes","No"))</f>
        <v>Yes</v>
      </c>
      <c r="AE913" s="8"/>
    </row>
    <row r="914" customFormat="false" ht="15" hidden="false" customHeight="false" outlineLevel="0" collapsed="false">
      <c r="A914" s="12" t="s">
        <v>3006</v>
      </c>
      <c r="B914" s="26" t="str">
        <f aca="false">Entities!$A$26</f>
        <v>GB</v>
      </c>
      <c r="C914" s="12" t="str">
        <f aca="false">INDEX(Entities!$B$5:$B$34,MATCH(B914,Entities!$A$5:$A$34,0))</f>
        <v>Europe Arab Bank – United Kingdom</v>
      </c>
      <c r="D914" s="7" t="str">
        <f aca="false">INDEX(Entities!$F$5:$F$34,MATCH(B914,Entities!$A$5:$A$34,0))</f>
        <v>Tier 1</v>
      </c>
      <c r="E914" s="26" t="str">
        <f aca="false">'Control Library'!$A$11</f>
        <v>CTL-TM-02</v>
      </c>
      <c r="F914" s="12" t="str">
        <f aca="false">INDEX('Control Library'!$B$5:$B$47,MATCH(E914,'Control Library'!$A$5:$A$47,0))</f>
        <v>Alert investigation and quality assurance within SLA</v>
      </c>
      <c r="G914" s="7" t="str">
        <f aca="false">INDEX('Control Library'!$F$5:$F$47,MATCH(E914,'Control Library'!$A$5:$A$47,0))</f>
        <v>Y</v>
      </c>
      <c r="H914" s="12" t="str">
        <f aca="false">INDEX('Control Library'!$E$5:$E$47,MATCH(E914,'Control Library'!$A$5:$A$47,0))</f>
        <v>Daily</v>
      </c>
      <c r="I914" s="7" t="str">
        <f aca="false">IF(INDEX('Control Library'!$I$5:$I$47,MATCH(E914,'Control Library'!$A$5:$A$47,0))="All","Y",IF(INDEX('Control Library'!$I$5:$I$47,MATCH(E914,'Control Library'!$A$5:$A$47,0))="Banks only",IF(COUNTIF('Residual Config'!$L$28:$L$30,INDEX(Entities!$E$5:$E$34,MATCH(B914,Entities!$A$5:$A$34,0)))&gt;0,"N/A","Y"),IF(INDEX(Entities!$G$5:$G$34,MATCH(B914,Entities!$A$5:$A$34,0))="Y","Y","N/A")))</f>
        <v>Y</v>
      </c>
      <c r="J914" s="8" t="s">
        <v>3004</v>
      </c>
      <c r="K914" s="8" t="s">
        <v>752</v>
      </c>
      <c r="L914" s="7" t="str">
        <f aca="false">IF(OR(J914="",K914=""),"",IF(J914=K914,"Breach","OK"))</f>
        <v>OK</v>
      </c>
      <c r="M914" s="24" t="n">
        <v>2</v>
      </c>
      <c r="N914" s="50" t="n">
        <v>46288</v>
      </c>
      <c r="O914" s="8" t="s">
        <v>545</v>
      </c>
      <c r="P914" s="24" t="n">
        <v>25</v>
      </c>
      <c r="Q914" s="31" t="n">
        <f aca="false">IF(I914="N/A","",IFERROR(INDEX('Residual Config'!$B$35:$B$42,MATCH(H914,'Residual Config'!$A$35:$A$42,0)),""))</f>
        <v>25</v>
      </c>
      <c r="R914" s="24" t="n">
        <v>0</v>
      </c>
      <c r="S914" s="8" t="s">
        <v>516</v>
      </c>
      <c r="T914" s="31" t="n">
        <f aca="false">IF(S914="","",MATCH(S914,'Residual Config'!$L$9:$L$12,0))</f>
        <v>1</v>
      </c>
      <c r="U914" s="8" t="s">
        <v>3007</v>
      </c>
      <c r="V914" s="24" t="n">
        <v>1</v>
      </c>
      <c r="W914" s="33" t="s">
        <v>533</v>
      </c>
      <c r="X914" s="8" t="s">
        <v>754</v>
      </c>
      <c r="Y914" s="51" t="n">
        <f aca="false">IF(N914="","",EDATE(N914,IF(G914="N",INDEX('Residual Config'!$B$31:$D$31,1,MATCH(D914,'Residual Config'!$B$27:$D$27,0)),INDEX('Residual Config'!$B$28:$D$30,IF(T914=1,1,IF(T914=4,3,2)),MATCH(D914,'Residual Config'!$B$27:$D$27,0)))))</f>
        <v>46469</v>
      </c>
      <c r="Z914" s="7" t="str">
        <f aca="false">IF(I914="N/A","N/A",IF(N914="","Not tested",IF(W914="Rejected","Evidence rejected",IF(W914&lt;&gt;"Accepted","Evidence pending",IF(Y914&lt;'Residual Config'!$C$4,"Overdue","Current")))))</f>
        <v>Current</v>
      </c>
      <c r="AA914" s="34" t="n">
        <f aca="false">IF(I914="N/A","",IF(Z914&lt;&gt;"Current",4,IF(MAX(M914,T914)=0,4,MAX(M914,T914))))</f>
        <v>2</v>
      </c>
      <c r="AB914" s="7" t="str">
        <f aca="false">IF(AA914="","N/A",IF(Z914&lt;&gt;"Current","Not tested / overdue",INDEX('Residual Config'!$B$11:$B$14,AA914)))</f>
        <v>Largely effective</v>
      </c>
      <c r="AC914" s="36" t="n">
        <f aca="false">IF(AA914="","",INDEX('Residual Config'!$D$11:$D$14,AA914))</f>
        <v>0.4</v>
      </c>
      <c r="AD914" s="7" t="str">
        <f aca="false">IF(OR(I914="N/A",P914="",Q914=""),"",IF(P914&gt;=Q914,"Yes","No"))</f>
        <v>Yes</v>
      </c>
      <c r="AE914" s="8"/>
    </row>
    <row r="915" customFormat="false" ht="15" hidden="false" customHeight="false" outlineLevel="0" collapsed="false">
      <c r="A915" s="12" t="s">
        <v>3008</v>
      </c>
      <c r="B915" s="26" t="str">
        <f aca="false">Entities!$A$26</f>
        <v>GB</v>
      </c>
      <c r="C915" s="12" t="str">
        <f aca="false">INDEX(Entities!$B$5:$B$34,MATCH(B915,Entities!$A$5:$A$34,0))</f>
        <v>Europe Arab Bank – United Kingdom</v>
      </c>
      <c r="D915" s="7" t="str">
        <f aca="false">INDEX(Entities!$F$5:$F$34,MATCH(B915,Entities!$A$5:$A$34,0))</f>
        <v>Tier 1</v>
      </c>
      <c r="E915" s="26" t="str">
        <f aca="false">'Control Library'!$A$12</f>
        <v>CTL-STR-01</v>
      </c>
      <c r="F915" s="12" t="str">
        <f aca="false">INDEX('Control Library'!$B$5:$B$47,MATCH(E915,'Control Library'!$A$5:$A$47,0))</f>
        <v>STR decision and filing within regulatory deadline</v>
      </c>
      <c r="G915" s="7" t="str">
        <f aca="false">INDEX('Control Library'!$F$5:$F$47,MATCH(E915,'Control Library'!$A$5:$A$47,0))</f>
        <v>Y</v>
      </c>
      <c r="H915" s="12" t="str">
        <f aca="false">INDEX('Control Library'!$E$5:$E$47,MATCH(E915,'Control Library'!$A$5:$A$47,0))</f>
        <v>Event-driven</v>
      </c>
      <c r="I915" s="7" t="str">
        <f aca="false">IF(INDEX('Control Library'!$I$5:$I$47,MATCH(E915,'Control Library'!$A$5:$A$47,0))="All","Y",IF(INDEX('Control Library'!$I$5:$I$47,MATCH(E915,'Control Library'!$A$5:$A$47,0))="Banks only",IF(COUNTIF('Residual Config'!$L$28:$L$30,INDEX(Entities!$E$5:$E$34,MATCH(B915,Entities!$A$5:$A$34,0)))&gt;0,"N/A","Y"),IF(INDEX(Entities!$G$5:$G$34,MATCH(B915,Entities!$A$5:$A$34,0))="Y","Y","N/A")))</f>
        <v>Y</v>
      </c>
      <c r="J915" s="8" t="s">
        <v>3004</v>
      </c>
      <c r="K915" s="8" t="s">
        <v>752</v>
      </c>
      <c r="L915" s="7" t="str">
        <f aca="false">IF(OR(J915="",K915=""),"",IF(J915=K915,"Breach","OK"))</f>
        <v>OK</v>
      </c>
      <c r="M915" s="24" t="n">
        <v>2</v>
      </c>
      <c r="N915" s="50" t="n">
        <v>46141</v>
      </c>
      <c r="O915" s="8" t="s">
        <v>545</v>
      </c>
      <c r="P915" s="24" t="n">
        <v>35</v>
      </c>
      <c r="Q915" s="31" t="n">
        <f aca="false">IF(I915="N/A","",IFERROR(INDEX('Residual Config'!$B$35:$B$42,MATCH(H915,'Residual Config'!$A$35:$A$42,0)),""))</f>
        <v>25</v>
      </c>
      <c r="R915" s="24" t="n">
        <v>0</v>
      </c>
      <c r="S915" s="8" t="s">
        <v>516</v>
      </c>
      <c r="T915" s="31" t="n">
        <f aca="false">IF(S915="","",MATCH(S915,'Residual Config'!$L$9:$L$12,0))</f>
        <v>1</v>
      </c>
      <c r="U915" s="8" t="s">
        <v>3009</v>
      </c>
      <c r="V915" s="24" t="n">
        <v>2</v>
      </c>
      <c r="W915" s="33" t="s">
        <v>533</v>
      </c>
      <c r="X915" s="8" t="s">
        <v>760</v>
      </c>
      <c r="Y915" s="51" t="n">
        <f aca="false">IF(N915="","",EDATE(N915,IF(G915="N",INDEX('Residual Config'!$B$31:$D$31,1,MATCH(D915,'Residual Config'!$B$27:$D$27,0)),INDEX('Residual Config'!$B$28:$D$30,IF(T915=1,1,IF(T915=4,3,2)),MATCH(D915,'Residual Config'!$B$27:$D$27,0)))))</f>
        <v>46324</v>
      </c>
      <c r="Z915" s="7" t="str">
        <f aca="false">IF(I915="N/A","N/A",IF(N915="","Not tested",IF(W915="Rejected","Evidence rejected",IF(W915&lt;&gt;"Accepted","Evidence pending",IF(Y915&lt;'Residual Config'!$C$4,"Overdue","Current")))))</f>
        <v>Current</v>
      </c>
      <c r="AA915" s="34" t="n">
        <f aca="false">IF(I915="N/A","",IF(Z915&lt;&gt;"Current",4,IF(MAX(M915,T915)=0,4,MAX(M915,T915))))</f>
        <v>2</v>
      </c>
      <c r="AB915" s="7" t="str">
        <f aca="false">IF(AA915="","N/A",IF(Z915&lt;&gt;"Current","Not tested / overdue",INDEX('Residual Config'!$B$11:$B$14,AA915)))</f>
        <v>Largely effective</v>
      </c>
      <c r="AC915" s="36" t="n">
        <f aca="false">IF(AA915="","",INDEX('Residual Config'!$D$11:$D$14,AA915))</f>
        <v>0.4</v>
      </c>
      <c r="AD915" s="7" t="str">
        <f aca="false">IF(OR(I915="N/A",P915="",Q915=""),"",IF(P915&gt;=Q915,"Yes","No"))</f>
        <v>Yes</v>
      </c>
      <c r="AE915" s="8"/>
    </row>
    <row r="916" customFormat="false" ht="15" hidden="false" customHeight="false" outlineLevel="0" collapsed="false">
      <c r="A916" s="12" t="s">
        <v>3010</v>
      </c>
      <c r="B916" s="26" t="str">
        <f aca="false">Entities!$A$26</f>
        <v>GB</v>
      </c>
      <c r="C916" s="12" t="str">
        <f aca="false">INDEX(Entities!$B$5:$B$34,MATCH(B916,Entities!$A$5:$A$34,0))</f>
        <v>Europe Arab Bank – United Kingdom</v>
      </c>
      <c r="D916" s="7" t="str">
        <f aca="false">INDEX(Entities!$F$5:$F$34,MATCH(B916,Entities!$A$5:$A$34,0))</f>
        <v>Tier 1</v>
      </c>
      <c r="E916" s="26" t="str">
        <f aca="false">'Control Library'!$A$13</f>
        <v>CTL-SAN-01</v>
      </c>
      <c r="F916" s="12" t="str">
        <f aca="false">INDEX('Control Library'!$B$5:$B$47,MATCH(E916,'Control Library'!$A$5:$A$47,0))</f>
        <v>Real-time payment and transaction sanctions screening</v>
      </c>
      <c r="G916" s="7" t="str">
        <f aca="false">INDEX('Control Library'!$F$5:$F$47,MATCH(E916,'Control Library'!$A$5:$A$47,0))</f>
        <v>Y</v>
      </c>
      <c r="H916" s="12" t="str">
        <f aca="false">INDEX('Control Library'!$E$5:$E$47,MATCH(E916,'Control Library'!$A$5:$A$47,0))</f>
        <v>Continuous</v>
      </c>
      <c r="I916" s="7" t="str">
        <f aca="false">IF(INDEX('Control Library'!$I$5:$I$47,MATCH(E916,'Control Library'!$A$5:$A$47,0))="All","Y",IF(INDEX('Control Library'!$I$5:$I$47,MATCH(E916,'Control Library'!$A$5:$A$47,0))="Banks only",IF(COUNTIF('Residual Config'!$L$28:$L$30,INDEX(Entities!$E$5:$E$34,MATCH(B916,Entities!$A$5:$A$34,0)))&gt;0,"N/A","Y"),IF(INDEX(Entities!$G$5:$G$34,MATCH(B916,Entities!$A$5:$A$34,0))="Y","Y","N/A")))</f>
        <v>Y</v>
      </c>
      <c r="J916" s="8" t="s">
        <v>3011</v>
      </c>
      <c r="K916" s="8" t="s">
        <v>752</v>
      </c>
      <c r="L916" s="7" t="str">
        <f aca="false">IF(OR(J916="",K916=""),"",IF(J916=K916,"Breach","OK"))</f>
        <v>OK</v>
      </c>
      <c r="M916" s="24" t="n">
        <v>2</v>
      </c>
      <c r="N916" s="50" t="n">
        <v>46147</v>
      </c>
      <c r="O916" s="8" t="s">
        <v>546</v>
      </c>
      <c r="P916" s="24" t="n">
        <v>1</v>
      </c>
      <c r="Q916" s="31" t="n">
        <f aca="false">IF(I916="N/A","",IFERROR(INDEX('Residual Config'!$B$35:$B$42,MATCH(H916,'Residual Config'!$A$35:$A$42,0)),""))</f>
        <v>1</v>
      </c>
      <c r="R916" s="24" t="n">
        <v>0</v>
      </c>
      <c r="S916" s="8" t="s">
        <v>516</v>
      </c>
      <c r="T916" s="31" t="n">
        <f aca="false">IF(S916="","",MATCH(S916,'Residual Config'!$L$9:$L$12,0))</f>
        <v>1</v>
      </c>
      <c r="U916" s="8" t="s">
        <v>3012</v>
      </c>
      <c r="V916" s="24" t="n">
        <v>5</v>
      </c>
      <c r="W916" s="33" t="s">
        <v>533</v>
      </c>
      <c r="X916" s="8" t="s">
        <v>754</v>
      </c>
      <c r="Y916" s="51" t="n">
        <f aca="false">IF(N916="","",EDATE(N916,IF(G916="N",INDEX('Residual Config'!$B$31:$D$31,1,MATCH(D916,'Residual Config'!$B$27:$D$27,0)),INDEX('Residual Config'!$B$28:$D$30,IF(T916=1,1,IF(T916=4,3,2)),MATCH(D916,'Residual Config'!$B$27:$D$27,0)))))</f>
        <v>46331</v>
      </c>
      <c r="Z916" s="7" t="str">
        <f aca="false">IF(I916="N/A","N/A",IF(N916="","Not tested",IF(W916="Rejected","Evidence rejected",IF(W916&lt;&gt;"Accepted","Evidence pending",IF(Y916&lt;'Residual Config'!$C$4,"Overdue","Current")))))</f>
        <v>Current</v>
      </c>
      <c r="AA916" s="34" t="n">
        <f aca="false">IF(I916="N/A","",IF(Z916&lt;&gt;"Current",4,IF(MAX(M916,T916)=0,4,MAX(M916,T916))))</f>
        <v>2</v>
      </c>
      <c r="AB916" s="7" t="str">
        <f aca="false">IF(AA916="","N/A",IF(Z916&lt;&gt;"Current","Not tested / overdue",INDEX('Residual Config'!$B$11:$B$14,AA916)))</f>
        <v>Largely effective</v>
      </c>
      <c r="AC916" s="36" t="n">
        <f aca="false">IF(AA916="","",INDEX('Residual Config'!$D$11:$D$14,AA916))</f>
        <v>0.4</v>
      </c>
      <c r="AD916" s="7" t="str">
        <f aca="false">IF(OR(I916="N/A",P916="",Q916=""),"",IF(P916&gt;=Q916,"Yes","No"))</f>
        <v>Yes</v>
      </c>
      <c r="AE916" s="8"/>
    </row>
    <row r="917" customFormat="false" ht="15" hidden="false" customHeight="false" outlineLevel="0" collapsed="false">
      <c r="A917" s="12" t="s">
        <v>3013</v>
      </c>
      <c r="B917" s="26" t="str">
        <f aca="false">Entities!$A$26</f>
        <v>GB</v>
      </c>
      <c r="C917" s="12" t="str">
        <f aca="false">INDEX(Entities!$B$5:$B$34,MATCH(B917,Entities!$A$5:$A$34,0))</f>
        <v>Europe Arab Bank – United Kingdom</v>
      </c>
      <c r="D917" s="7" t="str">
        <f aca="false">INDEX(Entities!$F$5:$F$34,MATCH(B917,Entities!$A$5:$A$34,0))</f>
        <v>Tier 1</v>
      </c>
      <c r="E917" s="26" t="str">
        <f aca="false">'Control Library'!$A$14</f>
        <v>CTL-SAN-02</v>
      </c>
      <c r="F917" s="12" t="str">
        <f aca="false">INDEX('Control Library'!$B$5:$B$47,MATCH(E917,'Control Library'!$A$5:$A$47,0))</f>
        <v>Customer and counterparty screening at onboarding and on list change</v>
      </c>
      <c r="G917" s="7" t="str">
        <f aca="false">INDEX('Control Library'!$F$5:$F$47,MATCH(E917,'Control Library'!$A$5:$A$47,0))</f>
        <v>Y</v>
      </c>
      <c r="H917" s="12" t="str">
        <f aca="false">INDEX('Control Library'!$E$5:$E$47,MATCH(E917,'Control Library'!$A$5:$A$47,0))</f>
        <v>Continuous</v>
      </c>
      <c r="I917" s="7" t="str">
        <f aca="false">IF(INDEX('Control Library'!$I$5:$I$47,MATCH(E917,'Control Library'!$A$5:$A$47,0))="All","Y",IF(INDEX('Control Library'!$I$5:$I$47,MATCH(E917,'Control Library'!$A$5:$A$47,0))="Banks only",IF(COUNTIF('Residual Config'!$L$28:$L$30,INDEX(Entities!$E$5:$E$34,MATCH(B917,Entities!$A$5:$A$34,0)))&gt;0,"N/A","Y"),IF(INDEX(Entities!$G$5:$G$34,MATCH(B917,Entities!$A$5:$A$34,0))="Y","Y","N/A")))</f>
        <v>Y</v>
      </c>
      <c r="J917" s="8" t="s">
        <v>3011</v>
      </c>
      <c r="K917" s="8" t="s">
        <v>752</v>
      </c>
      <c r="L917" s="7" t="str">
        <f aca="false">IF(OR(J917="",K917=""),"",IF(J917=K917,"Breach","OK"))</f>
        <v>OK</v>
      </c>
      <c r="M917" s="24" t="n">
        <v>2</v>
      </c>
      <c r="N917" s="50" t="n">
        <v>46268</v>
      </c>
      <c r="O917" s="8" t="s">
        <v>546</v>
      </c>
      <c r="P917" s="24" t="n">
        <v>1</v>
      </c>
      <c r="Q917" s="31" t="n">
        <f aca="false">IF(I917="N/A","",IFERROR(INDEX('Residual Config'!$B$35:$B$42,MATCH(H917,'Residual Config'!$A$35:$A$42,0)),""))</f>
        <v>1</v>
      </c>
      <c r="R917" s="24" t="n">
        <v>1</v>
      </c>
      <c r="S917" s="8" t="s">
        <v>521</v>
      </c>
      <c r="T917" s="31" t="n">
        <f aca="false">IF(S917="","",MATCH(S917,'Residual Config'!$L$9:$L$12,0))</f>
        <v>2</v>
      </c>
      <c r="U917" s="8" t="s">
        <v>3014</v>
      </c>
      <c r="V917" s="24" t="n">
        <v>5</v>
      </c>
      <c r="W917" s="33" t="s">
        <v>533</v>
      </c>
      <c r="X917" s="8" t="s">
        <v>760</v>
      </c>
      <c r="Y917" s="51" t="n">
        <f aca="false">IF(N917="","",EDATE(N917,IF(G917="N",INDEX('Residual Config'!$B$31:$D$31,1,MATCH(D917,'Residual Config'!$B$27:$D$27,0)),INDEX('Residual Config'!$B$28:$D$30,IF(T917=1,1,IF(T917=4,3,2)),MATCH(D917,'Residual Config'!$B$27:$D$27,0)))))</f>
        <v>46359</v>
      </c>
      <c r="Z917" s="7" t="str">
        <f aca="false">IF(I917="N/A","N/A",IF(N917="","Not tested",IF(W917="Rejected","Evidence rejected",IF(W917&lt;&gt;"Accepted","Evidence pending",IF(Y917&lt;'Residual Config'!$C$4,"Overdue","Current")))))</f>
        <v>Current</v>
      </c>
      <c r="AA917" s="34" t="n">
        <f aca="false">IF(I917="N/A","",IF(Z917&lt;&gt;"Current",4,IF(MAX(M917,T917)=0,4,MAX(M917,T917))))</f>
        <v>2</v>
      </c>
      <c r="AB917" s="7" t="str">
        <f aca="false">IF(AA917="","N/A",IF(Z917&lt;&gt;"Current","Not tested / overdue",INDEX('Residual Config'!$B$11:$B$14,AA917)))</f>
        <v>Largely effective</v>
      </c>
      <c r="AC917" s="36" t="n">
        <f aca="false">IF(AA917="","",INDEX('Residual Config'!$D$11:$D$14,AA917))</f>
        <v>0.4</v>
      </c>
      <c r="AD917" s="7" t="str">
        <f aca="false">IF(OR(I917="N/A",P917="",Q917=""),"",IF(P917&gt;=Q917,"Yes","No"))</f>
        <v>Yes</v>
      </c>
      <c r="AE917" s="8"/>
    </row>
    <row r="918" customFormat="false" ht="15" hidden="false" customHeight="false" outlineLevel="0" collapsed="false">
      <c r="A918" s="12" t="s">
        <v>3015</v>
      </c>
      <c r="B918" s="26" t="str">
        <f aca="false">Entities!$A$26</f>
        <v>GB</v>
      </c>
      <c r="C918" s="12" t="str">
        <f aca="false">INDEX(Entities!$B$5:$B$34,MATCH(B918,Entities!$A$5:$A$34,0))</f>
        <v>Europe Arab Bank – United Kingdom</v>
      </c>
      <c r="D918" s="7" t="str">
        <f aca="false">INDEX(Entities!$F$5:$F$34,MATCH(B918,Entities!$A$5:$A$34,0))</f>
        <v>Tier 1</v>
      </c>
      <c r="E918" s="26" t="str">
        <f aca="false">'Control Library'!$A$15</f>
        <v>CTL-SAN-03</v>
      </c>
      <c r="F918" s="12" t="str">
        <f aca="false">INDEX('Control Library'!$B$5:$B$47,MATCH(E918,'Control Library'!$A$5:$A$47,0))</f>
        <v>Sanctions list updates applied within 24 hours</v>
      </c>
      <c r="G918" s="7" t="str">
        <f aca="false">INDEX('Control Library'!$F$5:$F$47,MATCH(E918,'Control Library'!$A$5:$A$47,0))</f>
        <v>N</v>
      </c>
      <c r="H918" s="12" t="str">
        <f aca="false">INDEX('Control Library'!$E$5:$E$47,MATCH(E918,'Control Library'!$A$5:$A$47,0))</f>
        <v>Daily</v>
      </c>
      <c r="I918" s="7" t="str">
        <f aca="false">IF(INDEX('Control Library'!$I$5:$I$47,MATCH(E918,'Control Library'!$A$5:$A$47,0))="All","Y",IF(INDEX('Control Library'!$I$5:$I$47,MATCH(E918,'Control Library'!$A$5:$A$47,0))="Banks only",IF(COUNTIF('Residual Config'!$L$28:$L$30,INDEX(Entities!$E$5:$E$34,MATCH(B918,Entities!$A$5:$A$34,0)))&gt;0,"N/A","Y"),IF(INDEX(Entities!$G$5:$G$34,MATCH(B918,Entities!$A$5:$A$34,0))="Y","Y","N/A")))</f>
        <v>Y</v>
      </c>
      <c r="J918" s="8" t="s">
        <v>3016</v>
      </c>
      <c r="K918" s="8" t="s">
        <v>3001</v>
      </c>
      <c r="L918" s="7" t="str">
        <f aca="false">IF(OR(J918="",K918=""),"",IF(J918=K918,"Breach","OK"))</f>
        <v>OK</v>
      </c>
      <c r="M918" s="24" t="n">
        <v>1</v>
      </c>
      <c r="N918" s="50" t="n">
        <v>46133</v>
      </c>
      <c r="O918" s="8" t="s">
        <v>546</v>
      </c>
      <c r="P918" s="24" t="n">
        <v>25</v>
      </c>
      <c r="Q918" s="31" t="n">
        <f aca="false">IF(I918="N/A","",IFERROR(INDEX('Residual Config'!$B$35:$B$42,MATCH(H918,'Residual Config'!$A$35:$A$42,0)),""))</f>
        <v>25</v>
      </c>
      <c r="R918" s="24" t="n">
        <v>0</v>
      </c>
      <c r="S918" s="8" t="s">
        <v>516</v>
      </c>
      <c r="T918" s="31" t="n">
        <f aca="false">IF(S918="","",MATCH(S918,'Residual Config'!$L$9:$L$12,0))</f>
        <v>1</v>
      </c>
      <c r="U918" s="8" t="s">
        <v>3017</v>
      </c>
      <c r="V918" s="24" t="n">
        <v>2</v>
      </c>
      <c r="W918" s="33" t="s">
        <v>533</v>
      </c>
      <c r="X918" s="8" t="s">
        <v>754</v>
      </c>
      <c r="Y918" s="51" t="n">
        <f aca="false">IF(N918="","",EDATE(N918,IF(G918="N",INDEX('Residual Config'!$B$31:$D$31,1,MATCH(D918,'Residual Config'!$B$27:$D$27,0)),INDEX('Residual Config'!$B$28:$D$30,IF(T918=1,1,IF(T918=4,3,2)),MATCH(D918,'Residual Config'!$B$27:$D$27,0)))))</f>
        <v>46498</v>
      </c>
      <c r="Z918" s="7" t="str">
        <f aca="false">IF(I918="N/A","N/A",IF(N918="","Not tested",IF(W918="Rejected","Evidence rejected",IF(W918&lt;&gt;"Accepted","Evidence pending",IF(Y918&lt;'Residual Config'!$C$4,"Overdue","Current")))))</f>
        <v>Current</v>
      </c>
      <c r="AA918" s="34" t="n">
        <f aca="false">IF(I918="N/A","",IF(Z918&lt;&gt;"Current",4,IF(MAX(M918,T918)=0,4,MAX(M918,T918))))</f>
        <v>1</v>
      </c>
      <c r="AB918" s="7" t="str">
        <f aca="false">IF(AA918="","N/A",IF(Z918&lt;&gt;"Current","Not tested / overdue",INDEX('Residual Config'!$B$11:$B$14,AA918)))</f>
        <v>Effective</v>
      </c>
      <c r="AC918" s="36" t="n">
        <f aca="false">IF(AA918="","",INDEX('Residual Config'!$D$11:$D$14,AA918))</f>
        <v>0.6</v>
      </c>
      <c r="AD918" s="7" t="str">
        <f aca="false">IF(OR(I918="N/A",P918="",Q918=""),"",IF(P918&gt;=Q918,"Yes","No"))</f>
        <v>Yes</v>
      </c>
      <c r="AE918" s="8"/>
    </row>
    <row r="919" customFormat="false" ht="15" hidden="false" customHeight="false" outlineLevel="0" collapsed="false">
      <c r="A919" s="12" t="s">
        <v>3018</v>
      </c>
      <c r="B919" s="26" t="str">
        <f aca="false">Entities!$A$26</f>
        <v>GB</v>
      </c>
      <c r="C919" s="12" t="str">
        <f aca="false">INDEX(Entities!$B$5:$B$34,MATCH(B919,Entities!$A$5:$A$34,0))</f>
        <v>Europe Arab Bank – United Kingdom</v>
      </c>
      <c r="D919" s="7" t="str">
        <f aca="false">INDEX(Entities!$F$5:$F$34,MATCH(B919,Entities!$A$5:$A$34,0))</f>
        <v>Tier 1</v>
      </c>
      <c r="E919" s="26" t="str">
        <f aca="false">'Control Library'!$A$16</f>
        <v>CTL-TF-01</v>
      </c>
      <c r="F919" s="12" t="str">
        <f aca="false">INDEX('Control Library'!$B$5:$B$47,MATCH(E919,'Control Library'!$A$5:$A$47,0))</f>
        <v>NPO and charity enhanced due diligence</v>
      </c>
      <c r="G919" s="7" t="str">
        <f aca="false">INDEX('Control Library'!$F$5:$F$47,MATCH(E919,'Control Library'!$A$5:$A$47,0))</f>
        <v>N</v>
      </c>
      <c r="H919" s="12" t="str">
        <f aca="false">INDEX('Control Library'!$E$5:$E$47,MATCH(E919,'Control Library'!$A$5:$A$47,0))</f>
        <v>Event-driven</v>
      </c>
      <c r="I919" s="7" t="str">
        <f aca="false">IF(INDEX('Control Library'!$I$5:$I$47,MATCH(E919,'Control Library'!$A$5:$A$47,0))="All","Y",IF(INDEX('Control Library'!$I$5:$I$47,MATCH(E919,'Control Library'!$A$5:$A$47,0))="Banks only",IF(COUNTIF('Residual Config'!$L$28:$L$30,INDEX(Entities!$E$5:$E$34,MATCH(B919,Entities!$A$5:$A$34,0)))&gt;0,"N/A","Y"),IF(INDEX(Entities!$G$5:$G$34,MATCH(B919,Entities!$A$5:$A$34,0))="Y","Y","N/A")))</f>
        <v>Y</v>
      </c>
      <c r="J919" s="8" t="s">
        <v>3019</v>
      </c>
      <c r="K919" s="8" t="s">
        <v>3001</v>
      </c>
      <c r="L919" s="7" t="str">
        <f aca="false">IF(OR(J919="",K919=""),"",IF(J919=K919,"Breach","OK"))</f>
        <v>OK</v>
      </c>
      <c r="M919" s="24" t="n">
        <v>1</v>
      </c>
      <c r="N919" s="50" t="n">
        <v>46148</v>
      </c>
      <c r="O919" s="8" t="s">
        <v>545</v>
      </c>
      <c r="P919" s="24" t="n">
        <v>30</v>
      </c>
      <c r="Q919" s="31" t="n">
        <f aca="false">IF(I919="N/A","",IFERROR(INDEX('Residual Config'!$B$35:$B$42,MATCH(H919,'Residual Config'!$A$35:$A$42,0)),""))</f>
        <v>25</v>
      </c>
      <c r="R919" s="24" t="n">
        <v>0</v>
      </c>
      <c r="S919" s="8" t="s">
        <v>516</v>
      </c>
      <c r="T919" s="31" t="n">
        <f aca="false">IF(S919="","",MATCH(S919,'Residual Config'!$L$9:$L$12,0))</f>
        <v>1</v>
      </c>
      <c r="U919" s="8" t="s">
        <v>3020</v>
      </c>
      <c r="V919" s="24" t="n">
        <v>2</v>
      </c>
      <c r="W919" s="33" t="s">
        <v>533</v>
      </c>
      <c r="X919" s="8" t="s">
        <v>754</v>
      </c>
      <c r="Y919" s="51" t="n">
        <f aca="false">IF(N919="","",EDATE(N919,IF(G919="N",INDEX('Residual Config'!$B$31:$D$31,1,MATCH(D919,'Residual Config'!$B$27:$D$27,0)),INDEX('Residual Config'!$B$28:$D$30,IF(T919=1,1,IF(T919=4,3,2)),MATCH(D919,'Residual Config'!$B$27:$D$27,0)))))</f>
        <v>46513</v>
      </c>
      <c r="Z919" s="7" t="str">
        <f aca="false">IF(I919="N/A","N/A",IF(N919="","Not tested",IF(W919="Rejected","Evidence rejected",IF(W919&lt;&gt;"Accepted","Evidence pending",IF(Y919&lt;'Residual Config'!$C$4,"Overdue","Current")))))</f>
        <v>Current</v>
      </c>
      <c r="AA919" s="34" t="n">
        <f aca="false">IF(I919="N/A","",IF(Z919&lt;&gt;"Current",4,IF(MAX(M919,T919)=0,4,MAX(M919,T919))))</f>
        <v>1</v>
      </c>
      <c r="AB919" s="7" t="str">
        <f aca="false">IF(AA919="","N/A",IF(Z919&lt;&gt;"Current","Not tested / overdue",INDEX('Residual Config'!$B$11:$B$14,AA919)))</f>
        <v>Effective</v>
      </c>
      <c r="AC919" s="36" t="n">
        <f aca="false">IF(AA919="","",INDEX('Residual Config'!$D$11:$D$14,AA919))</f>
        <v>0.6</v>
      </c>
      <c r="AD919" s="7" t="str">
        <f aca="false">IF(OR(I919="N/A",P919="",Q919=""),"",IF(P919&gt;=Q919,"Yes","No"))</f>
        <v>Yes</v>
      </c>
      <c r="AE919" s="8"/>
    </row>
    <row r="920" customFormat="false" ht="15" hidden="false" customHeight="false" outlineLevel="0" collapsed="false">
      <c r="A920" s="12" t="s">
        <v>3021</v>
      </c>
      <c r="B920" s="26" t="str">
        <f aca="false">Entities!$A$26</f>
        <v>GB</v>
      </c>
      <c r="C920" s="12" t="str">
        <f aca="false">INDEX(Entities!$B$5:$B$34,MATCH(B920,Entities!$A$5:$A$34,0))</f>
        <v>Europe Arab Bank – United Kingdom</v>
      </c>
      <c r="D920" s="7" t="str">
        <f aca="false">INDEX(Entities!$F$5:$F$34,MATCH(B920,Entities!$A$5:$A$34,0))</f>
        <v>Tier 1</v>
      </c>
      <c r="E920" s="26" t="str">
        <f aca="false">'Control Library'!$A$17</f>
        <v>CTL-TBML-01</v>
      </c>
      <c r="F920" s="12" t="str">
        <f aca="false">INDEX('Control Library'!$B$5:$B$47,MATCH(E920,'Control Library'!$A$5:$A$47,0))</f>
        <v>Trade-based ML red-flag review and pricing checks</v>
      </c>
      <c r="G920" s="7" t="str">
        <f aca="false">INDEX('Control Library'!$F$5:$F$47,MATCH(E920,'Control Library'!$A$5:$A$47,0))</f>
        <v>Y</v>
      </c>
      <c r="H920" s="12" t="str">
        <f aca="false">INDEX('Control Library'!$E$5:$E$47,MATCH(E920,'Control Library'!$A$5:$A$47,0))</f>
        <v>Event-driven</v>
      </c>
      <c r="I920" s="7" t="str">
        <f aca="false">IF(INDEX('Control Library'!$I$5:$I$47,MATCH(E920,'Control Library'!$A$5:$A$47,0))="All","Y",IF(INDEX('Control Library'!$I$5:$I$47,MATCH(E920,'Control Library'!$A$5:$A$47,0))="Banks only",IF(COUNTIF('Residual Config'!$L$28:$L$30,INDEX(Entities!$E$5:$E$34,MATCH(B920,Entities!$A$5:$A$34,0)))&gt;0,"N/A","Y"),IF(INDEX(Entities!$G$5:$G$34,MATCH(B920,Entities!$A$5:$A$34,0))="Y","Y","N/A")))</f>
        <v>Y</v>
      </c>
      <c r="J920" s="8" t="s">
        <v>3022</v>
      </c>
      <c r="K920" s="8" t="s">
        <v>752</v>
      </c>
      <c r="L920" s="7" t="str">
        <f aca="false">IF(OR(J920="",K920=""),"",IF(J920=K920,"Breach","OK"))</f>
        <v>OK</v>
      </c>
      <c r="M920" s="24" t="n">
        <v>2</v>
      </c>
      <c r="N920" s="50" t="n">
        <v>46240</v>
      </c>
      <c r="O920" s="8" t="s">
        <v>545</v>
      </c>
      <c r="P920" s="24" t="n">
        <v>25</v>
      </c>
      <c r="Q920" s="31" t="n">
        <f aca="false">IF(I920="N/A","",IFERROR(INDEX('Residual Config'!$B$35:$B$42,MATCH(H920,'Residual Config'!$A$35:$A$42,0)),""))</f>
        <v>25</v>
      </c>
      <c r="R920" s="24" t="n">
        <v>0</v>
      </c>
      <c r="S920" s="8" t="s">
        <v>516</v>
      </c>
      <c r="T920" s="31" t="n">
        <f aca="false">IF(S920="","",MATCH(S920,'Residual Config'!$L$9:$L$12,0))</f>
        <v>1</v>
      </c>
      <c r="U920" s="8" t="s">
        <v>3023</v>
      </c>
      <c r="V920" s="24" t="n">
        <v>2</v>
      </c>
      <c r="W920" s="33" t="s">
        <v>533</v>
      </c>
      <c r="X920" s="8" t="s">
        <v>754</v>
      </c>
      <c r="Y920" s="51" t="n">
        <f aca="false">IF(N920="","",EDATE(N920,IF(G920="N",INDEX('Residual Config'!$B$31:$D$31,1,MATCH(D920,'Residual Config'!$B$27:$D$27,0)),INDEX('Residual Config'!$B$28:$D$30,IF(T920=1,1,IF(T920=4,3,2)),MATCH(D920,'Residual Config'!$B$27:$D$27,0)))))</f>
        <v>46424</v>
      </c>
      <c r="Z920" s="7" t="str">
        <f aca="false">IF(I920="N/A","N/A",IF(N920="","Not tested",IF(W920="Rejected","Evidence rejected",IF(W920&lt;&gt;"Accepted","Evidence pending",IF(Y920&lt;'Residual Config'!$C$4,"Overdue","Current")))))</f>
        <v>Current</v>
      </c>
      <c r="AA920" s="34" t="n">
        <f aca="false">IF(I920="N/A","",IF(Z920&lt;&gt;"Current",4,IF(MAX(M920,T920)=0,4,MAX(M920,T920))))</f>
        <v>2</v>
      </c>
      <c r="AB920" s="7" t="str">
        <f aca="false">IF(AA920="","N/A",IF(Z920&lt;&gt;"Current","Not tested / overdue",INDEX('Residual Config'!$B$11:$B$14,AA920)))</f>
        <v>Largely effective</v>
      </c>
      <c r="AC920" s="36" t="n">
        <f aca="false">IF(AA920="","",INDEX('Residual Config'!$D$11:$D$14,AA920))</f>
        <v>0.4</v>
      </c>
      <c r="AD920" s="7" t="str">
        <f aca="false">IF(OR(I920="N/A",P920="",Q920=""),"",IF(P920&gt;=Q920,"Yes","No"))</f>
        <v>Yes</v>
      </c>
      <c r="AE920" s="8"/>
    </row>
    <row r="921" customFormat="false" ht="15" hidden="false" customHeight="false" outlineLevel="0" collapsed="false">
      <c r="A921" s="12" t="s">
        <v>3024</v>
      </c>
      <c r="B921" s="26" t="str">
        <f aca="false">Entities!$A$26</f>
        <v>GB</v>
      </c>
      <c r="C921" s="12" t="str">
        <f aca="false">INDEX(Entities!$B$5:$B$34,MATCH(B921,Entities!$A$5:$A$34,0))</f>
        <v>Europe Arab Bank – United Kingdom</v>
      </c>
      <c r="D921" s="7" t="str">
        <f aca="false">INDEX(Entities!$F$5:$F$34,MATCH(B921,Entities!$A$5:$A$34,0))</f>
        <v>Tier 1</v>
      </c>
      <c r="E921" s="26" t="str">
        <f aca="false">'Control Library'!$A$18</f>
        <v>CTL-PF-01</v>
      </c>
      <c r="F921" s="12" t="str">
        <f aca="false">INDEX('Control Library'!$B$5:$B$47,MATCH(E921,'Control Library'!$A$5:$A$47,0))</f>
        <v>Dual-use goods, vessel and port screening</v>
      </c>
      <c r="G921" s="7" t="str">
        <f aca="false">INDEX('Control Library'!$F$5:$F$47,MATCH(E921,'Control Library'!$A$5:$A$47,0))</f>
        <v>Y</v>
      </c>
      <c r="H921" s="12" t="str">
        <f aca="false">INDEX('Control Library'!$E$5:$E$47,MATCH(E921,'Control Library'!$A$5:$A$47,0))</f>
        <v>Event-driven</v>
      </c>
      <c r="I921" s="7" t="str">
        <f aca="false">IF(INDEX('Control Library'!$I$5:$I$47,MATCH(E921,'Control Library'!$A$5:$A$47,0))="All","Y",IF(INDEX('Control Library'!$I$5:$I$47,MATCH(E921,'Control Library'!$A$5:$A$47,0))="Banks only",IF(COUNTIF('Residual Config'!$L$28:$L$30,INDEX(Entities!$E$5:$E$34,MATCH(B921,Entities!$A$5:$A$34,0)))&gt;0,"N/A","Y"),IF(INDEX(Entities!$G$5:$G$34,MATCH(B921,Entities!$A$5:$A$34,0))="Y","Y","N/A")))</f>
        <v>Y</v>
      </c>
      <c r="J921" s="8" t="s">
        <v>3022</v>
      </c>
      <c r="K921" s="8" t="s">
        <v>752</v>
      </c>
      <c r="L921" s="7" t="str">
        <f aca="false">IF(OR(J921="",K921=""),"",IF(J921=K921,"Breach","OK"))</f>
        <v>OK</v>
      </c>
      <c r="M921" s="24" t="n">
        <v>1</v>
      </c>
      <c r="N921" s="50" t="n">
        <v>46171</v>
      </c>
      <c r="O921" s="8" t="s">
        <v>545</v>
      </c>
      <c r="P921" s="24" t="n">
        <v>25</v>
      </c>
      <c r="Q921" s="31" t="n">
        <f aca="false">IF(I921="N/A","",IFERROR(INDEX('Residual Config'!$B$35:$B$42,MATCH(H921,'Residual Config'!$A$35:$A$42,0)),""))</f>
        <v>25</v>
      </c>
      <c r="R921" s="24" t="n">
        <v>0</v>
      </c>
      <c r="S921" s="8" t="s">
        <v>516</v>
      </c>
      <c r="T921" s="31" t="n">
        <f aca="false">IF(S921="","",MATCH(S921,'Residual Config'!$L$9:$L$12,0))</f>
        <v>1</v>
      </c>
      <c r="U921" s="8" t="s">
        <v>3025</v>
      </c>
      <c r="V921" s="24" t="n">
        <v>2</v>
      </c>
      <c r="W921" s="33" t="s">
        <v>533</v>
      </c>
      <c r="X921" s="8" t="s">
        <v>754</v>
      </c>
      <c r="Y921" s="51" t="n">
        <f aca="false">IF(N921="","",EDATE(N921,IF(G921="N",INDEX('Residual Config'!$B$31:$D$31,1,MATCH(D921,'Residual Config'!$B$27:$D$27,0)),INDEX('Residual Config'!$B$28:$D$30,IF(T921=1,1,IF(T921=4,3,2)),MATCH(D921,'Residual Config'!$B$27:$D$27,0)))))</f>
        <v>46355</v>
      </c>
      <c r="Z921" s="7" t="str">
        <f aca="false">IF(I921="N/A","N/A",IF(N921="","Not tested",IF(W921="Rejected","Evidence rejected",IF(W921&lt;&gt;"Accepted","Evidence pending",IF(Y921&lt;'Residual Config'!$C$4,"Overdue","Current")))))</f>
        <v>Current</v>
      </c>
      <c r="AA921" s="34" t="n">
        <f aca="false">IF(I921="N/A","",IF(Z921&lt;&gt;"Current",4,IF(MAX(M921,T921)=0,4,MAX(M921,T921))))</f>
        <v>1</v>
      </c>
      <c r="AB921" s="7" t="str">
        <f aca="false">IF(AA921="","N/A",IF(Z921&lt;&gt;"Current","Not tested / overdue",INDEX('Residual Config'!$B$11:$B$14,AA921)))</f>
        <v>Effective</v>
      </c>
      <c r="AC921" s="36" t="n">
        <f aca="false">IF(AA921="","",INDEX('Residual Config'!$D$11:$D$14,AA921))</f>
        <v>0.6</v>
      </c>
      <c r="AD921" s="7" t="str">
        <f aca="false">IF(OR(I921="N/A",P921="",Q921=""),"",IF(P921&gt;=Q921,"Yes","No"))</f>
        <v>Yes</v>
      </c>
      <c r="AE921" s="8"/>
    </row>
    <row r="922" customFormat="false" ht="15" hidden="false" customHeight="false" outlineLevel="0" collapsed="false">
      <c r="A922" s="12" t="s">
        <v>3026</v>
      </c>
      <c r="B922" s="26" t="str">
        <f aca="false">Entities!$A$26</f>
        <v>GB</v>
      </c>
      <c r="C922" s="12" t="str">
        <f aca="false">INDEX(Entities!$B$5:$B$34,MATCH(B922,Entities!$A$5:$A$34,0))</f>
        <v>Europe Arab Bank – United Kingdom</v>
      </c>
      <c r="D922" s="7" t="str">
        <f aca="false">INDEX(Entities!$F$5:$F$34,MATCH(B922,Entities!$A$5:$A$34,0))</f>
        <v>Tier 1</v>
      </c>
      <c r="E922" s="26" t="str">
        <f aca="false">'Control Library'!$A$19</f>
        <v>CTL-CB-01</v>
      </c>
      <c r="F922" s="12" t="str">
        <f aca="false">INDEX('Control Library'!$B$5:$B$47,MATCH(E922,'Control Library'!$A$5:$A$47,0))</f>
        <v>Correspondent bank due diligence (CBDDQ) and nesting detection</v>
      </c>
      <c r="G922" s="7" t="str">
        <f aca="false">INDEX('Control Library'!$F$5:$F$47,MATCH(E922,'Control Library'!$A$5:$A$47,0))</f>
        <v>Y</v>
      </c>
      <c r="H922" s="12" t="str">
        <f aca="false">INDEX('Control Library'!$E$5:$E$47,MATCH(E922,'Control Library'!$A$5:$A$47,0))</f>
        <v>Annual</v>
      </c>
      <c r="I922" s="7" t="str">
        <f aca="false">IF(INDEX('Control Library'!$I$5:$I$47,MATCH(E922,'Control Library'!$A$5:$A$47,0))="All","Y",IF(INDEX('Control Library'!$I$5:$I$47,MATCH(E922,'Control Library'!$A$5:$A$47,0))="Banks only",IF(COUNTIF('Residual Config'!$L$28:$L$30,INDEX(Entities!$E$5:$E$34,MATCH(B922,Entities!$A$5:$A$34,0)))&gt;0,"N/A","Y"),IF(INDEX(Entities!$G$5:$G$34,MATCH(B922,Entities!$A$5:$A$34,0))="Y","Y","N/A")))</f>
        <v>Y</v>
      </c>
      <c r="J922" s="8" t="s">
        <v>3027</v>
      </c>
      <c r="K922" s="8" t="s">
        <v>752</v>
      </c>
      <c r="L922" s="7" t="str">
        <f aca="false">IF(OR(J922="",K922=""),"",IF(J922=K922,"Breach","OK"))</f>
        <v>OK</v>
      </c>
      <c r="M922" s="24" t="n">
        <v>2</v>
      </c>
      <c r="N922" s="50" t="n">
        <v>46210</v>
      </c>
      <c r="O922" s="8" t="s">
        <v>545</v>
      </c>
      <c r="P922" s="24" t="n">
        <v>1</v>
      </c>
      <c r="Q922" s="31" t="n">
        <f aca="false">IF(I922="N/A","",IFERROR(INDEX('Residual Config'!$B$35:$B$42,MATCH(H922,'Residual Config'!$A$35:$A$42,0)),""))</f>
        <v>1</v>
      </c>
      <c r="R922" s="24" t="n">
        <v>0</v>
      </c>
      <c r="S922" s="8" t="s">
        <v>516</v>
      </c>
      <c r="T922" s="31" t="n">
        <f aca="false">IF(S922="","",MATCH(S922,'Residual Config'!$L$9:$L$12,0))</f>
        <v>1</v>
      </c>
      <c r="U922" s="8" t="s">
        <v>3028</v>
      </c>
      <c r="V922" s="24" t="n">
        <v>6</v>
      </c>
      <c r="W922" s="33" t="s">
        <v>533</v>
      </c>
      <c r="X922" s="8" t="s">
        <v>760</v>
      </c>
      <c r="Y922" s="51" t="n">
        <f aca="false">IF(N922="","",EDATE(N922,IF(G922="N",INDEX('Residual Config'!$B$31:$D$31,1,MATCH(D922,'Residual Config'!$B$27:$D$27,0)),INDEX('Residual Config'!$B$28:$D$30,IF(T922=1,1,IF(T922=4,3,2)),MATCH(D922,'Residual Config'!$B$27:$D$27,0)))))</f>
        <v>46394</v>
      </c>
      <c r="Z922" s="7" t="str">
        <f aca="false">IF(I922="N/A","N/A",IF(N922="","Not tested",IF(W922="Rejected","Evidence rejected",IF(W922&lt;&gt;"Accepted","Evidence pending",IF(Y922&lt;'Residual Config'!$C$4,"Overdue","Current")))))</f>
        <v>Current</v>
      </c>
      <c r="AA922" s="34" t="n">
        <f aca="false">IF(I922="N/A","",IF(Z922&lt;&gt;"Current",4,IF(MAX(M922,T922)=0,4,MAX(M922,T922))))</f>
        <v>2</v>
      </c>
      <c r="AB922" s="7" t="str">
        <f aca="false">IF(AA922="","N/A",IF(Z922&lt;&gt;"Current","Not tested / overdue",INDEX('Residual Config'!$B$11:$B$14,AA922)))</f>
        <v>Largely effective</v>
      </c>
      <c r="AC922" s="36" t="n">
        <f aca="false">IF(AA922="","",INDEX('Residual Config'!$D$11:$D$14,AA922))</f>
        <v>0.4</v>
      </c>
      <c r="AD922" s="7" t="str">
        <f aca="false">IF(OR(I922="N/A",P922="",Q922=""),"",IF(P922&gt;=Q922,"Yes","No"))</f>
        <v>Yes</v>
      </c>
      <c r="AE922" s="8"/>
    </row>
    <row r="923" customFormat="false" ht="15" hidden="false" customHeight="false" outlineLevel="0" collapsed="false">
      <c r="A923" s="12" t="s">
        <v>3029</v>
      </c>
      <c r="B923" s="26" t="str">
        <f aca="false">Entities!$A$26</f>
        <v>GB</v>
      </c>
      <c r="C923" s="12" t="str">
        <f aca="false">INDEX(Entities!$B$5:$B$34,MATCH(B923,Entities!$A$5:$A$34,0))</f>
        <v>Europe Arab Bank – United Kingdom</v>
      </c>
      <c r="D923" s="7" t="str">
        <f aca="false">INDEX(Entities!$F$5:$F$34,MATCH(B923,Entities!$A$5:$A$34,0))</f>
        <v>Tier 1</v>
      </c>
      <c r="E923" s="26" t="str">
        <f aca="false">'Control Library'!$A$20</f>
        <v>CTL-PAY-01</v>
      </c>
      <c r="F923" s="12" t="str">
        <f aca="false">INDEX('Control Library'!$B$5:$B$47,MATCH(E923,'Control Library'!$A$5:$A$47,0))</f>
        <v>Payment transparency checks (FATF R.16)</v>
      </c>
      <c r="G923" s="7" t="str">
        <f aca="false">INDEX('Control Library'!$F$5:$F$47,MATCH(E923,'Control Library'!$A$5:$A$47,0))</f>
        <v>N</v>
      </c>
      <c r="H923" s="12" t="str">
        <f aca="false">INDEX('Control Library'!$E$5:$E$47,MATCH(E923,'Control Library'!$A$5:$A$47,0))</f>
        <v>Continuous</v>
      </c>
      <c r="I923" s="7" t="str">
        <f aca="false">IF(INDEX('Control Library'!$I$5:$I$47,MATCH(E923,'Control Library'!$A$5:$A$47,0))="All","Y",IF(INDEX('Control Library'!$I$5:$I$47,MATCH(E923,'Control Library'!$A$5:$A$47,0))="Banks only",IF(COUNTIF('Residual Config'!$L$28:$L$30,INDEX(Entities!$E$5:$E$34,MATCH(B923,Entities!$A$5:$A$34,0)))&gt;0,"N/A","Y"),IF(INDEX(Entities!$G$5:$G$34,MATCH(B923,Entities!$A$5:$A$34,0))="Y","Y","N/A")))</f>
        <v>Y</v>
      </c>
      <c r="J923" s="8" t="s">
        <v>3030</v>
      </c>
      <c r="K923" s="8" t="s">
        <v>3001</v>
      </c>
      <c r="L923" s="7" t="str">
        <f aca="false">IF(OR(J923="",K923=""),"",IF(J923=K923,"Breach","OK"))</f>
        <v>OK</v>
      </c>
      <c r="M923" s="24" t="n">
        <v>2</v>
      </c>
      <c r="N923" s="50" t="n">
        <v>46188</v>
      </c>
      <c r="O923" s="8" t="s">
        <v>547</v>
      </c>
      <c r="P923" s="24" t="n">
        <v>1</v>
      </c>
      <c r="Q923" s="31" t="n">
        <f aca="false">IF(I923="N/A","",IFERROR(INDEX('Residual Config'!$B$35:$B$42,MATCH(H923,'Residual Config'!$A$35:$A$42,0)),""))</f>
        <v>1</v>
      </c>
      <c r="R923" s="24" t="n">
        <v>0</v>
      </c>
      <c r="S923" s="8" t="s">
        <v>516</v>
      </c>
      <c r="T923" s="31" t="n">
        <f aca="false">IF(S923="","",MATCH(S923,'Residual Config'!$L$9:$L$12,0))</f>
        <v>1</v>
      </c>
      <c r="U923" s="8" t="s">
        <v>3031</v>
      </c>
      <c r="V923" s="24" t="n">
        <v>4</v>
      </c>
      <c r="W923" s="33" t="s">
        <v>533</v>
      </c>
      <c r="X923" s="8" t="s">
        <v>760</v>
      </c>
      <c r="Y923" s="51" t="n">
        <f aca="false">IF(N923="","",EDATE(N923,IF(G923="N",INDEX('Residual Config'!$B$31:$D$31,1,MATCH(D923,'Residual Config'!$B$27:$D$27,0)),INDEX('Residual Config'!$B$28:$D$30,IF(T923=1,1,IF(T923=4,3,2)),MATCH(D923,'Residual Config'!$B$27:$D$27,0)))))</f>
        <v>46553</v>
      </c>
      <c r="Z923" s="7" t="str">
        <f aca="false">IF(I923="N/A","N/A",IF(N923="","Not tested",IF(W923="Rejected","Evidence rejected",IF(W923&lt;&gt;"Accepted","Evidence pending",IF(Y923&lt;'Residual Config'!$C$4,"Overdue","Current")))))</f>
        <v>Current</v>
      </c>
      <c r="AA923" s="34" t="n">
        <f aca="false">IF(I923="N/A","",IF(Z923&lt;&gt;"Current",4,IF(MAX(M923,T923)=0,4,MAX(M923,T923))))</f>
        <v>2</v>
      </c>
      <c r="AB923" s="7" t="str">
        <f aca="false">IF(AA923="","N/A",IF(Z923&lt;&gt;"Current","Not tested / overdue",INDEX('Residual Config'!$B$11:$B$14,AA923)))</f>
        <v>Largely effective</v>
      </c>
      <c r="AC923" s="36" t="n">
        <f aca="false">IF(AA923="","",INDEX('Residual Config'!$D$11:$D$14,AA923))</f>
        <v>0.4</v>
      </c>
      <c r="AD923" s="7" t="str">
        <f aca="false">IF(OR(I923="N/A",P923="",Q923=""),"",IF(P923&gt;=Q923,"Yes","No"))</f>
        <v>Yes</v>
      </c>
      <c r="AE923" s="8"/>
    </row>
    <row r="924" customFormat="false" ht="15" hidden="false" customHeight="false" outlineLevel="0" collapsed="false">
      <c r="A924" s="12" t="s">
        <v>3032</v>
      </c>
      <c r="B924" s="26" t="str">
        <f aca="false">Entities!$A$26</f>
        <v>GB</v>
      </c>
      <c r="C924" s="12" t="str">
        <f aca="false">INDEX(Entities!$B$5:$B$34,MATCH(B924,Entities!$A$5:$A$34,0))</f>
        <v>Europe Arab Bank – United Kingdom</v>
      </c>
      <c r="D924" s="7" t="str">
        <f aca="false">INDEX(Entities!$F$5:$F$34,MATCH(B924,Entities!$A$5:$A$34,0))</f>
        <v>Tier 1</v>
      </c>
      <c r="E924" s="26" t="str">
        <f aca="false">'Control Library'!$A$21</f>
        <v>CTL-ABC-01</v>
      </c>
      <c r="F924" s="12" t="str">
        <f aca="false">INDEX('Control Library'!$B$5:$B$47,MATCH(E924,'Control Library'!$A$5:$A$47,0))</f>
        <v>Third-party and intermediary anti-bribery due diligence</v>
      </c>
      <c r="G924" s="7" t="str">
        <f aca="false">INDEX('Control Library'!$F$5:$F$47,MATCH(E924,'Control Library'!$A$5:$A$47,0))</f>
        <v>Y</v>
      </c>
      <c r="H924" s="12" t="str">
        <f aca="false">INDEX('Control Library'!$E$5:$E$47,MATCH(E924,'Control Library'!$A$5:$A$47,0))</f>
        <v>Event-driven</v>
      </c>
      <c r="I924" s="7" t="str">
        <f aca="false">IF(INDEX('Control Library'!$I$5:$I$47,MATCH(E924,'Control Library'!$A$5:$A$47,0))="All","Y",IF(INDEX('Control Library'!$I$5:$I$47,MATCH(E924,'Control Library'!$A$5:$A$47,0))="Banks only",IF(COUNTIF('Residual Config'!$L$28:$L$30,INDEX(Entities!$E$5:$E$34,MATCH(B924,Entities!$A$5:$A$34,0)))&gt;0,"N/A","Y"),IF(INDEX(Entities!$G$5:$G$34,MATCH(B924,Entities!$A$5:$A$34,0))="Y","Y","N/A")))</f>
        <v>Y</v>
      </c>
      <c r="J924" s="8" t="s">
        <v>3033</v>
      </c>
      <c r="K924" s="8" t="s">
        <v>752</v>
      </c>
      <c r="L924" s="7" t="str">
        <f aca="false">IF(OR(J924="",K924=""),"",IF(J924=K924,"Breach","OK"))</f>
        <v>OK</v>
      </c>
      <c r="M924" s="24" t="n">
        <v>1</v>
      </c>
      <c r="N924" s="50" t="n">
        <v>46208</v>
      </c>
      <c r="O924" s="8" t="s">
        <v>546</v>
      </c>
      <c r="P924" s="24" t="n">
        <v>25</v>
      </c>
      <c r="Q924" s="31" t="n">
        <f aca="false">IF(I924="N/A","",IFERROR(INDEX('Residual Config'!$B$35:$B$42,MATCH(H924,'Residual Config'!$A$35:$A$42,0)),""))</f>
        <v>25</v>
      </c>
      <c r="R924" s="24" t="n">
        <v>0</v>
      </c>
      <c r="S924" s="8" t="s">
        <v>516</v>
      </c>
      <c r="T924" s="31" t="n">
        <f aca="false">IF(S924="","",MATCH(S924,'Residual Config'!$L$9:$L$12,0))</f>
        <v>1</v>
      </c>
      <c r="U924" s="8" t="s">
        <v>3034</v>
      </c>
      <c r="V924" s="24" t="n">
        <v>3</v>
      </c>
      <c r="W924" s="33" t="s">
        <v>533</v>
      </c>
      <c r="X924" s="8" t="s">
        <v>760</v>
      </c>
      <c r="Y924" s="51" t="n">
        <f aca="false">IF(N924="","",EDATE(N924,IF(G924="N",INDEX('Residual Config'!$B$31:$D$31,1,MATCH(D924,'Residual Config'!$B$27:$D$27,0)),INDEX('Residual Config'!$B$28:$D$30,IF(T924=1,1,IF(T924=4,3,2)),MATCH(D924,'Residual Config'!$B$27:$D$27,0)))))</f>
        <v>46392</v>
      </c>
      <c r="Z924" s="7" t="str">
        <f aca="false">IF(I924="N/A","N/A",IF(N924="","Not tested",IF(W924="Rejected","Evidence rejected",IF(W924&lt;&gt;"Accepted","Evidence pending",IF(Y924&lt;'Residual Config'!$C$4,"Overdue","Current")))))</f>
        <v>Current</v>
      </c>
      <c r="AA924" s="34" t="n">
        <f aca="false">IF(I924="N/A","",IF(Z924&lt;&gt;"Current",4,IF(MAX(M924,T924)=0,4,MAX(M924,T924))))</f>
        <v>1</v>
      </c>
      <c r="AB924" s="7" t="str">
        <f aca="false">IF(AA924="","N/A",IF(Z924&lt;&gt;"Current","Not tested / overdue",INDEX('Residual Config'!$B$11:$B$14,AA924)))</f>
        <v>Effective</v>
      </c>
      <c r="AC924" s="36" t="n">
        <f aca="false">IF(AA924="","",INDEX('Residual Config'!$D$11:$D$14,AA924))</f>
        <v>0.6</v>
      </c>
      <c r="AD924" s="7" t="str">
        <f aca="false">IF(OR(I924="N/A",P924="",Q924=""),"",IF(P924&gt;=Q924,"Yes","No"))</f>
        <v>Yes</v>
      </c>
      <c r="AE924" s="8"/>
    </row>
    <row r="925" customFormat="false" ht="15" hidden="false" customHeight="false" outlineLevel="0" collapsed="false">
      <c r="A925" s="12" t="s">
        <v>3035</v>
      </c>
      <c r="B925" s="26" t="str">
        <f aca="false">Entities!$A$26</f>
        <v>GB</v>
      </c>
      <c r="C925" s="12" t="str">
        <f aca="false">INDEX(Entities!$B$5:$B$34,MATCH(B925,Entities!$A$5:$A$34,0))</f>
        <v>Europe Arab Bank – United Kingdom</v>
      </c>
      <c r="D925" s="7" t="str">
        <f aca="false">INDEX(Entities!$F$5:$F$34,MATCH(B925,Entities!$A$5:$A$34,0))</f>
        <v>Tier 1</v>
      </c>
      <c r="E925" s="26" t="str">
        <f aca="false">'Control Library'!$A$22</f>
        <v>CTL-ABC-02</v>
      </c>
      <c r="F925" s="12" t="str">
        <f aca="false">INDEX('Control Library'!$B$5:$B$47,MATCH(E925,'Control Library'!$A$5:$A$47,0))</f>
        <v>Gifts, hospitality and donations register with pre-approval</v>
      </c>
      <c r="G925" s="7" t="str">
        <f aca="false">INDEX('Control Library'!$F$5:$F$47,MATCH(E925,'Control Library'!$A$5:$A$47,0))</f>
        <v>N</v>
      </c>
      <c r="H925" s="12" t="str">
        <f aca="false">INDEX('Control Library'!$E$5:$E$47,MATCH(E925,'Control Library'!$A$5:$A$47,0))</f>
        <v>Event-driven</v>
      </c>
      <c r="I925" s="7" t="str">
        <f aca="false">IF(INDEX('Control Library'!$I$5:$I$47,MATCH(E925,'Control Library'!$A$5:$A$47,0))="All","Y",IF(INDEX('Control Library'!$I$5:$I$47,MATCH(E925,'Control Library'!$A$5:$A$47,0))="Banks only",IF(COUNTIF('Residual Config'!$L$28:$L$30,INDEX(Entities!$E$5:$E$34,MATCH(B925,Entities!$A$5:$A$34,0)))&gt;0,"N/A","Y"),IF(INDEX(Entities!$G$5:$G$34,MATCH(B925,Entities!$A$5:$A$34,0))="Y","Y","N/A")))</f>
        <v>Y</v>
      </c>
      <c r="J925" s="8" t="s">
        <v>2994</v>
      </c>
      <c r="K925" s="8" t="s">
        <v>3001</v>
      </c>
      <c r="L925" s="7" t="str">
        <f aca="false">IF(OR(J925="",K925=""),"",IF(J925=K925,"Breach","OK"))</f>
        <v>OK</v>
      </c>
      <c r="M925" s="24" t="n">
        <v>2</v>
      </c>
      <c r="N925" s="50" t="n">
        <v>46040</v>
      </c>
      <c r="O925" s="8" t="s">
        <v>545</v>
      </c>
      <c r="P925" s="24" t="n">
        <v>25</v>
      </c>
      <c r="Q925" s="31" t="n">
        <f aca="false">IF(I925="N/A","",IFERROR(INDEX('Residual Config'!$B$35:$B$42,MATCH(H925,'Residual Config'!$A$35:$A$42,0)),""))</f>
        <v>25</v>
      </c>
      <c r="R925" s="24" t="n">
        <v>1</v>
      </c>
      <c r="S925" s="8" t="s">
        <v>521</v>
      </c>
      <c r="T925" s="31" t="n">
        <f aca="false">IF(S925="","",MATCH(S925,'Residual Config'!$L$9:$L$12,0))</f>
        <v>2</v>
      </c>
      <c r="U925" s="8" t="s">
        <v>3036</v>
      </c>
      <c r="V925" s="24" t="n">
        <v>2</v>
      </c>
      <c r="W925" s="33" t="s">
        <v>533</v>
      </c>
      <c r="X925" s="8" t="s">
        <v>760</v>
      </c>
      <c r="Y925" s="51" t="n">
        <f aca="false">IF(N925="","",EDATE(N925,IF(G925="N",INDEX('Residual Config'!$B$31:$D$31,1,MATCH(D925,'Residual Config'!$B$27:$D$27,0)),INDEX('Residual Config'!$B$28:$D$30,IF(T925=1,1,IF(T925=4,3,2)),MATCH(D925,'Residual Config'!$B$27:$D$27,0)))))</f>
        <v>46405</v>
      </c>
      <c r="Z925" s="7" t="str">
        <f aca="false">IF(I925="N/A","N/A",IF(N925="","Not tested",IF(W925="Rejected","Evidence rejected",IF(W925&lt;&gt;"Accepted","Evidence pending",IF(Y925&lt;'Residual Config'!$C$4,"Overdue","Current")))))</f>
        <v>Current</v>
      </c>
      <c r="AA925" s="34" t="n">
        <f aca="false">IF(I925="N/A","",IF(Z925&lt;&gt;"Current",4,IF(MAX(M925,T925)=0,4,MAX(M925,T925))))</f>
        <v>2</v>
      </c>
      <c r="AB925" s="7" t="str">
        <f aca="false">IF(AA925="","N/A",IF(Z925&lt;&gt;"Current","Not tested / overdue",INDEX('Residual Config'!$B$11:$B$14,AA925)))</f>
        <v>Largely effective</v>
      </c>
      <c r="AC925" s="36" t="n">
        <f aca="false">IF(AA925="","",INDEX('Residual Config'!$D$11:$D$14,AA925))</f>
        <v>0.4</v>
      </c>
      <c r="AD925" s="7" t="str">
        <f aca="false">IF(OR(I925="N/A",P925="",Q925=""),"",IF(P925&gt;=Q925,"Yes","No"))</f>
        <v>Yes</v>
      </c>
      <c r="AE925" s="8"/>
    </row>
    <row r="926" customFormat="false" ht="15" hidden="false" customHeight="false" outlineLevel="0" collapsed="false">
      <c r="A926" s="12" t="s">
        <v>3037</v>
      </c>
      <c r="B926" s="26" t="str">
        <f aca="false">Entities!$A$26</f>
        <v>GB</v>
      </c>
      <c r="C926" s="12" t="str">
        <f aca="false">INDEX(Entities!$B$5:$B$34,MATCH(B926,Entities!$A$5:$A$34,0))</f>
        <v>Europe Arab Bank – United Kingdom</v>
      </c>
      <c r="D926" s="7" t="str">
        <f aca="false">INDEX(Entities!$F$5:$F$34,MATCH(B926,Entities!$A$5:$A$34,0))</f>
        <v>Tier 1</v>
      </c>
      <c r="E926" s="26" t="str">
        <f aca="false">'Control Library'!$A$23</f>
        <v>CTL-FRD-01</v>
      </c>
      <c r="F926" s="12" t="str">
        <f aca="false">INDEX('Control Library'!$B$5:$B$47,MATCH(E926,'Control Library'!$A$5:$A$47,0))</f>
        <v>Real-time fraud monitoring for cards and digital channels</v>
      </c>
      <c r="G926" s="7" t="str">
        <f aca="false">INDEX('Control Library'!$F$5:$F$47,MATCH(E926,'Control Library'!$A$5:$A$47,0))</f>
        <v>Y</v>
      </c>
      <c r="H926" s="12" t="str">
        <f aca="false">INDEX('Control Library'!$E$5:$E$47,MATCH(E926,'Control Library'!$A$5:$A$47,0))</f>
        <v>Continuous</v>
      </c>
      <c r="I926" s="7" t="str">
        <f aca="false">IF(INDEX('Control Library'!$I$5:$I$47,MATCH(E926,'Control Library'!$A$5:$A$47,0))="All","Y",IF(INDEX('Control Library'!$I$5:$I$47,MATCH(E926,'Control Library'!$A$5:$A$47,0))="Banks only",IF(COUNTIF('Residual Config'!$L$28:$L$30,INDEX(Entities!$E$5:$E$34,MATCH(B926,Entities!$A$5:$A$34,0)))&gt;0,"N/A","Y"),IF(INDEX(Entities!$G$5:$G$34,MATCH(B926,Entities!$A$5:$A$34,0))="Y","Y","N/A")))</f>
        <v>Y</v>
      </c>
      <c r="J926" s="8" t="s">
        <v>3038</v>
      </c>
      <c r="K926" s="8" t="s">
        <v>752</v>
      </c>
      <c r="L926" s="7" t="str">
        <f aca="false">IF(OR(J926="",K926=""),"",IF(J926=K926,"Breach","OK"))</f>
        <v>OK</v>
      </c>
      <c r="M926" s="24" t="n">
        <v>1</v>
      </c>
      <c r="N926" s="50" t="n">
        <v>46276</v>
      </c>
      <c r="O926" s="8" t="s">
        <v>546</v>
      </c>
      <c r="P926" s="24" t="n">
        <v>1</v>
      </c>
      <c r="Q926" s="31" t="n">
        <f aca="false">IF(I926="N/A","",IFERROR(INDEX('Residual Config'!$B$35:$B$42,MATCH(H926,'Residual Config'!$A$35:$A$42,0)),""))</f>
        <v>1</v>
      </c>
      <c r="R926" s="24" t="n">
        <v>0</v>
      </c>
      <c r="S926" s="8" t="s">
        <v>516</v>
      </c>
      <c r="T926" s="31" t="n">
        <f aca="false">IF(S926="","",MATCH(S926,'Residual Config'!$L$9:$L$12,0))</f>
        <v>1</v>
      </c>
      <c r="U926" s="8" t="s">
        <v>3039</v>
      </c>
      <c r="V926" s="24" t="n">
        <v>4</v>
      </c>
      <c r="W926" s="33" t="s">
        <v>533</v>
      </c>
      <c r="X926" s="8" t="s">
        <v>754</v>
      </c>
      <c r="Y926" s="51" t="n">
        <f aca="false">IF(N926="","",EDATE(N926,IF(G926="N",INDEX('Residual Config'!$B$31:$D$31,1,MATCH(D926,'Residual Config'!$B$27:$D$27,0)),INDEX('Residual Config'!$B$28:$D$30,IF(T926=1,1,IF(T926=4,3,2)),MATCH(D926,'Residual Config'!$B$27:$D$27,0)))))</f>
        <v>46457</v>
      </c>
      <c r="Z926" s="7" t="str">
        <f aca="false">IF(I926="N/A","N/A",IF(N926="","Not tested",IF(W926="Rejected","Evidence rejected",IF(W926&lt;&gt;"Accepted","Evidence pending",IF(Y926&lt;'Residual Config'!$C$4,"Overdue","Current")))))</f>
        <v>Current</v>
      </c>
      <c r="AA926" s="34" t="n">
        <f aca="false">IF(I926="N/A","",IF(Z926&lt;&gt;"Current",4,IF(MAX(M926,T926)=0,4,MAX(M926,T926))))</f>
        <v>1</v>
      </c>
      <c r="AB926" s="7" t="str">
        <f aca="false">IF(AA926="","N/A",IF(Z926&lt;&gt;"Current","Not tested / overdue",INDEX('Residual Config'!$B$11:$B$14,AA926)))</f>
        <v>Effective</v>
      </c>
      <c r="AC926" s="36" t="n">
        <f aca="false">IF(AA926="","",INDEX('Residual Config'!$D$11:$D$14,AA926))</f>
        <v>0.6</v>
      </c>
      <c r="AD926" s="7" t="str">
        <f aca="false">IF(OR(I926="N/A",P926="",Q926=""),"",IF(P926&gt;=Q926,"Yes","No"))</f>
        <v>Yes</v>
      </c>
      <c r="AE926" s="8"/>
    </row>
    <row r="927" customFormat="false" ht="15" hidden="false" customHeight="false" outlineLevel="0" collapsed="false">
      <c r="A927" s="12" t="s">
        <v>3040</v>
      </c>
      <c r="B927" s="26" t="str">
        <f aca="false">Entities!$A$26</f>
        <v>GB</v>
      </c>
      <c r="C927" s="12" t="str">
        <f aca="false">INDEX(Entities!$B$5:$B$34,MATCH(B927,Entities!$A$5:$A$34,0))</f>
        <v>Europe Arab Bank – United Kingdom</v>
      </c>
      <c r="D927" s="7" t="str">
        <f aca="false">INDEX(Entities!$F$5:$F$34,MATCH(B927,Entities!$A$5:$A$34,0))</f>
        <v>Tier 1</v>
      </c>
      <c r="E927" s="26" t="str">
        <f aca="false">'Control Library'!$A$24</f>
        <v>CTL-FRD-02</v>
      </c>
      <c r="F927" s="12" t="str">
        <f aca="false">INDEX('Control Library'!$B$5:$B$47,MATCH(E927,'Control Library'!$A$5:$A$47,0))</f>
        <v>Maker-checker and dual control on payments and static data</v>
      </c>
      <c r="G927" s="7" t="str">
        <f aca="false">INDEX('Control Library'!$F$5:$F$47,MATCH(E927,'Control Library'!$A$5:$A$47,0))</f>
        <v>Y</v>
      </c>
      <c r="H927" s="12" t="str">
        <f aca="false">INDEX('Control Library'!$E$5:$E$47,MATCH(E927,'Control Library'!$A$5:$A$47,0))</f>
        <v>Daily</v>
      </c>
      <c r="I927" s="7" t="str">
        <f aca="false">IF(INDEX('Control Library'!$I$5:$I$47,MATCH(E927,'Control Library'!$A$5:$A$47,0))="All","Y",IF(INDEX('Control Library'!$I$5:$I$47,MATCH(E927,'Control Library'!$A$5:$A$47,0))="Banks only",IF(COUNTIF('Residual Config'!$L$28:$L$30,INDEX(Entities!$E$5:$E$34,MATCH(B927,Entities!$A$5:$A$34,0)))&gt;0,"N/A","Y"),IF(INDEX(Entities!$G$5:$G$34,MATCH(B927,Entities!$A$5:$A$34,0))="Y","Y","N/A")))</f>
        <v>Y</v>
      </c>
      <c r="J927" s="8" t="s">
        <v>2991</v>
      </c>
      <c r="K927" s="8" t="s">
        <v>752</v>
      </c>
      <c r="L927" s="7" t="str">
        <f aca="false">IF(OR(J927="",K927=""),"",IF(J927=K927,"Breach","OK"))</f>
        <v>OK</v>
      </c>
      <c r="M927" s="24" t="n">
        <v>1</v>
      </c>
      <c r="N927" s="50" t="n">
        <v>46173</v>
      </c>
      <c r="O927" s="8" t="s">
        <v>545</v>
      </c>
      <c r="P927" s="24" t="n">
        <v>25</v>
      </c>
      <c r="Q927" s="31" t="n">
        <f aca="false">IF(I927="N/A","",IFERROR(INDEX('Residual Config'!$B$35:$B$42,MATCH(H927,'Residual Config'!$A$35:$A$42,0)),""))</f>
        <v>25</v>
      </c>
      <c r="R927" s="24" t="n">
        <v>0</v>
      </c>
      <c r="S927" s="8" t="s">
        <v>516</v>
      </c>
      <c r="T927" s="31" t="n">
        <f aca="false">IF(S927="","",MATCH(S927,'Residual Config'!$L$9:$L$12,0))</f>
        <v>1</v>
      </c>
      <c r="U927" s="8" t="s">
        <v>3041</v>
      </c>
      <c r="V927" s="24" t="n">
        <v>5</v>
      </c>
      <c r="W927" s="33" t="s">
        <v>533</v>
      </c>
      <c r="X927" s="8" t="s">
        <v>754</v>
      </c>
      <c r="Y927" s="51" t="n">
        <f aca="false">IF(N927="","",EDATE(N927,IF(G927="N",INDEX('Residual Config'!$B$31:$D$31,1,MATCH(D927,'Residual Config'!$B$27:$D$27,0)),INDEX('Residual Config'!$B$28:$D$30,IF(T927=1,1,IF(T927=4,3,2)),MATCH(D927,'Residual Config'!$B$27:$D$27,0)))))</f>
        <v>46356</v>
      </c>
      <c r="Z927" s="7" t="str">
        <f aca="false">IF(I927="N/A","N/A",IF(N927="","Not tested",IF(W927="Rejected","Evidence rejected",IF(W927&lt;&gt;"Accepted","Evidence pending",IF(Y927&lt;'Residual Config'!$C$4,"Overdue","Current")))))</f>
        <v>Current</v>
      </c>
      <c r="AA927" s="34" t="n">
        <f aca="false">IF(I927="N/A","",IF(Z927&lt;&gt;"Current",4,IF(MAX(M927,T927)=0,4,MAX(M927,T927))))</f>
        <v>1</v>
      </c>
      <c r="AB927" s="7" t="str">
        <f aca="false">IF(AA927="","N/A",IF(Z927&lt;&gt;"Current","Not tested / overdue",INDEX('Residual Config'!$B$11:$B$14,AA927)))</f>
        <v>Effective</v>
      </c>
      <c r="AC927" s="36" t="n">
        <f aca="false">IF(AA927="","",INDEX('Residual Config'!$D$11:$D$14,AA927))</f>
        <v>0.6</v>
      </c>
      <c r="AD927" s="7" t="str">
        <f aca="false">IF(OR(I927="N/A",P927="",Q927=""),"",IF(P927&gt;=Q927,"Yes","No"))</f>
        <v>Yes</v>
      </c>
      <c r="AE927" s="8"/>
    </row>
    <row r="928" customFormat="false" ht="15" hidden="false" customHeight="false" outlineLevel="0" collapsed="false">
      <c r="A928" s="12" t="s">
        <v>3042</v>
      </c>
      <c r="B928" s="26" t="str">
        <f aca="false">Entities!$A$26</f>
        <v>GB</v>
      </c>
      <c r="C928" s="12" t="str">
        <f aca="false">INDEX(Entities!$B$5:$B$34,MATCH(B928,Entities!$A$5:$A$34,0))</f>
        <v>Europe Arab Bank – United Kingdom</v>
      </c>
      <c r="D928" s="7" t="str">
        <f aca="false">INDEX(Entities!$F$5:$F$34,MATCH(B928,Entities!$A$5:$A$34,0))</f>
        <v>Tier 1</v>
      </c>
      <c r="E928" s="26" t="str">
        <f aca="false">'Control Library'!$A$25</f>
        <v>CTL-FRD-03</v>
      </c>
      <c r="F928" s="12" t="str">
        <f aca="false">INDEX('Control Library'!$B$5:$B$47,MATCH(E928,'Control Library'!$A$5:$A$47,0))</f>
        <v>Mandatory consecutive leave and rotation for sensitive roles</v>
      </c>
      <c r="G928" s="7" t="str">
        <f aca="false">INDEX('Control Library'!$F$5:$F$47,MATCH(E928,'Control Library'!$A$5:$A$47,0))</f>
        <v>N</v>
      </c>
      <c r="H928" s="12" t="str">
        <f aca="false">INDEX('Control Library'!$E$5:$E$47,MATCH(E928,'Control Library'!$A$5:$A$47,0))</f>
        <v>Annual</v>
      </c>
      <c r="I928" s="7" t="str">
        <f aca="false">IF(INDEX('Control Library'!$I$5:$I$47,MATCH(E928,'Control Library'!$A$5:$A$47,0))="All","Y",IF(INDEX('Control Library'!$I$5:$I$47,MATCH(E928,'Control Library'!$A$5:$A$47,0))="Banks only",IF(COUNTIF('Residual Config'!$L$28:$L$30,INDEX(Entities!$E$5:$E$34,MATCH(B928,Entities!$A$5:$A$34,0)))&gt;0,"N/A","Y"),IF(INDEX(Entities!$G$5:$G$34,MATCH(B928,Entities!$A$5:$A$34,0))="Y","Y","N/A")))</f>
        <v>Y</v>
      </c>
      <c r="J928" s="8" t="s">
        <v>3043</v>
      </c>
      <c r="K928" s="8" t="s">
        <v>3001</v>
      </c>
      <c r="L928" s="7" t="str">
        <f aca="false">IF(OR(J928="",K928=""),"",IF(J928=K928,"Breach","OK"))</f>
        <v>OK</v>
      </c>
      <c r="M928" s="24" t="n">
        <v>2</v>
      </c>
      <c r="N928" s="50" t="n">
        <v>46096</v>
      </c>
      <c r="O928" s="8" t="s">
        <v>546</v>
      </c>
      <c r="P928" s="24" t="n">
        <v>1</v>
      </c>
      <c r="Q928" s="31" t="n">
        <f aca="false">IF(I928="N/A","",IFERROR(INDEX('Residual Config'!$B$35:$B$42,MATCH(H928,'Residual Config'!$A$35:$A$42,0)),""))</f>
        <v>1</v>
      </c>
      <c r="R928" s="24" t="n">
        <v>0</v>
      </c>
      <c r="S928" s="8" t="s">
        <v>516</v>
      </c>
      <c r="T928" s="31" t="n">
        <f aca="false">IF(S928="","",MATCH(S928,'Residual Config'!$L$9:$L$12,0))</f>
        <v>1</v>
      </c>
      <c r="U928" s="8" t="s">
        <v>3044</v>
      </c>
      <c r="V928" s="24" t="n">
        <v>2</v>
      </c>
      <c r="W928" s="33" t="s">
        <v>533</v>
      </c>
      <c r="X928" s="8" t="s">
        <v>754</v>
      </c>
      <c r="Y928" s="51" t="n">
        <f aca="false">IF(N928="","",EDATE(N928,IF(G928="N",INDEX('Residual Config'!$B$31:$D$31,1,MATCH(D928,'Residual Config'!$B$27:$D$27,0)),INDEX('Residual Config'!$B$28:$D$30,IF(T928=1,1,IF(T928=4,3,2)),MATCH(D928,'Residual Config'!$B$27:$D$27,0)))))</f>
        <v>46461</v>
      </c>
      <c r="Z928" s="7" t="str">
        <f aca="false">IF(I928="N/A","N/A",IF(N928="","Not tested",IF(W928="Rejected","Evidence rejected",IF(W928&lt;&gt;"Accepted","Evidence pending",IF(Y928&lt;'Residual Config'!$C$4,"Overdue","Current")))))</f>
        <v>Current</v>
      </c>
      <c r="AA928" s="34" t="n">
        <f aca="false">IF(I928="N/A","",IF(Z928&lt;&gt;"Current",4,IF(MAX(M928,T928)=0,4,MAX(M928,T928))))</f>
        <v>2</v>
      </c>
      <c r="AB928" s="7" t="str">
        <f aca="false">IF(AA928="","N/A",IF(Z928&lt;&gt;"Current","Not tested / overdue",INDEX('Residual Config'!$B$11:$B$14,AA928)))</f>
        <v>Largely effective</v>
      </c>
      <c r="AC928" s="36" t="n">
        <f aca="false">IF(AA928="","",INDEX('Residual Config'!$D$11:$D$14,AA928))</f>
        <v>0.4</v>
      </c>
      <c r="AD928" s="7" t="str">
        <f aca="false">IF(OR(I928="N/A",P928="",Q928=""),"",IF(P928&gt;=Q928,"Yes","No"))</f>
        <v>Yes</v>
      </c>
      <c r="AE928" s="8"/>
    </row>
    <row r="929" customFormat="false" ht="15" hidden="false" customHeight="false" outlineLevel="0" collapsed="false">
      <c r="A929" s="12" t="s">
        <v>3045</v>
      </c>
      <c r="B929" s="26" t="str">
        <f aca="false">Entities!$A$26</f>
        <v>GB</v>
      </c>
      <c r="C929" s="12" t="str">
        <f aca="false">INDEX(Entities!$B$5:$B$34,MATCH(B929,Entities!$A$5:$A$34,0))</f>
        <v>Europe Arab Bank – United Kingdom</v>
      </c>
      <c r="D929" s="7" t="str">
        <f aca="false">INDEX(Entities!$F$5:$F$34,MATCH(B929,Entities!$A$5:$A$34,0))</f>
        <v>Tier 1</v>
      </c>
      <c r="E929" s="26" t="str">
        <f aca="false">'Control Library'!$A$26</f>
        <v>CTL-TAX-01</v>
      </c>
      <c r="F929" s="12" t="str">
        <f aca="false">INDEX('Control Library'!$B$5:$B$47,MATCH(E929,'Control Library'!$A$5:$A$47,0))</f>
        <v>FATCA/CRS self-certification and classification</v>
      </c>
      <c r="G929" s="7" t="str">
        <f aca="false">INDEX('Control Library'!$F$5:$F$47,MATCH(E929,'Control Library'!$A$5:$A$47,0))</f>
        <v>Y</v>
      </c>
      <c r="H929" s="12" t="str">
        <f aca="false">INDEX('Control Library'!$E$5:$E$47,MATCH(E929,'Control Library'!$A$5:$A$47,0))</f>
        <v>Event-driven</v>
      </c>
      <c r="I929" s="7" t="str">
        <f aca="false">IF(INDEX('Control Library'!$I$5:$I$47,MATCH(E929,'Control Library'!$A$5:$A$47,0))="All","Y",IF(INDEX('Control Library'!$I$5:$I$47,MATCH(E929,'Control Library'!$A$5:$A$47,0))="Banks only",IF(COUNTIF('Residual Config'!$L$28:$L$30,INDEX(Entities!$E$5:$E$34,MATCH(B929,Entities!$A$5:$A$34,0)))&gt;0,"N/A","Y"),IF(INDEX(Entities!$G$5:$G$34,MATCH(B929,Entities!$A$5:$A$34,0))="Y","Y","N/A")))</f>
        <v>Y</v>
      </c>
      <c r="J929" s="8" t="s">
        <v>2991</v>
      </c>
      <c r="K929" s="8" t="s">
        <v>752</v>
      </c>
      <c r="L929" s="7" t="str">
        <f aca="false">IF(OR(J929="",K929=""),"",IF(J929=K929,"Breach","OK"))</f>
        <v>OK</v>
      </c>
      <c r="M929" s="24" t="n">
        <v>1</v>
      </c>
      <c r="N929" s="50" t="n">
        <v>46176</v>
      </c>
      <c r="O929" s="8" t="s">
        <v>545</v>
      </c>
      <c r="P929" s="24" t="n">
        <v>35</v>
      </c>
      <c r="Q929" s="31" t="n">
        <f aca="false">IF(I929="N/A","",IFERROR(INDEX('Residual Config'!$B$35:$B$42,MATCH(H929,'Residual Config'!$A$35:$A$42,0)),""))</f>
        <v>25</v>
      </c>
      <c r="R929" s="24" t="n">
        <v>0</v>
      </c>
      <c r="S929" s="8" t="s">
        <v>516</v>
      </c>
      <c r="T929" s="31" t="n">
        <f aca="false">IF(S929="","",MATCH(S929,'Residual Config'!$L$9:$L$12,0))</f>
        <v>1</v>
      </c>
      <c r="U929" s="8" t="s">
        <v>3046</v>
      </c>
      <c r="V929" s="24" t="n">
        <v>4</v>
      </c>
      <c r="W929" s="33" t="s">
        <v>533</v>
      </c>
      <c r="X929" s="8" t="s">
        <v>754</v>
      </c>
      <c r="Y929" s="51" t="n">
        <f aca="false">IF(N929="","",EDATE(N929,IF(G929="N",INDEX('Residual Config'!$B$31:$D$31,1,MATCH(D929,'Residual Config'!$B$27:$D$27,0)),INDEX('Residual Config'!$B$28:$D$30,IF(T929=1,1,IF(T929=4,3,2)),MATCH(D929,'Residual Config'!$B$27:$D$27,0)))))</f>
        <v>46359</v>
      </c>
      <c r="Z929" s="7" t="str">
        <f aca="false">IF(I929="N/A","N/A",IF(N929="","Not tested",IF(W929="Rejected","Evidence rejected",IF(W929&lt;&gt;"Accepted","Evidence pending",IF(Y929&lt;'Residual Config'!$C$4,"Overdue","Current")))))</f>
        <v>Current</v>
      </c>
      <c r="AA929" s="34" t="n">
        <f aca="false">IF(I929="N/A","",IF(Z929&lt;&gt;"Current",4,IF(MAX(M929,T929)=0,4,MAX(M929,T929))))</f>
        <v>1</v>
      </c>
      <c r="AB929" s="7" t="str">
        <f aca="false">IF(AA929="","N/A",IF(Z929&lt;&gt;"Current","Not tested / overdue",INDEX('Residual Config'!$B$11:$B$14,AA929)))</f>
        <v>Effective</v>
      </c>
      <c r="AC929" s="36" t="n">
        <f aca="false">IF(AA929="","",INDEX('Residual Config'!$D$11:$D$14,AA929))</f>
        <v>0.6</v>
      </c>
      <c r="AD929" s="7" t="str">
        <f aca="false">IF(OR(I929="N/A",P929="",Q929=""),"",IF(P929&gt;=Q929,"Yes","No"))</f>
        <v>Yes</v>
      </c>
      <c r="AE929" s="8"/>
    </row>
    <row r="930" customFormat="false" ht="15" hidden="false" customHeight="false" outlineLevel="0" collapsed="false">
      <c r="A930" s="12" t="s">
        <v>3047</v>
      </c>
      <c r="B930" s="26" t="str">
        <f aca="false">Entities!$A$26</f>
        <v>GB</v>
      </c>
      <c r="C930" s="12" t="str">
        <f aca="false">INDEX(Entities!$B$5:$B$34,MATCH(B930,Entities!$A$5:$A$34,0))</f>
        <v>Europe Arab Bank – United Kingdom</v>
      </c>
      <c r="D930" s="7" t="str">
        <f aca="false">INDEX(Entities!$F$5:$F$34,MATCH(B930,Entities!$A$5:$A$34,0))</f>
        <v>Tier 1</v>
      </c>
      <c r="E930" s="26" t="str">
        <f aca="false">'Control Library'!$A$27</f>
        <v>CTL-TAX-02</v>
      </c>
      <c r="F930" s="12" t="str">
        <f aca="false">INDEX('Control Library'!$B$5:$B$47,MATCH(E930,'Control Library'!$A$5:$A$47,0))</f>
        <v>FATCA/CRS reporting reconciliation and timely filing</v>
      </c>
      <c r="G930" s="7" t="str">
        <f aca="false">INDEX('Control Library'!$F$5:$F$47,MATCH(E930,'Control Library'!$A$5:$A$47,0))</f>
        <v>N</v>
      </c>
      <c r="H930" s="12" t="str">
        <f aca="false">INDEX('Control Library'!$E$5:$E$47,MATCH(E930,'Control Library'!$A$5:$A$47,0))</f>
        <v>Annual</v>
      </c>
      <c r="I930" s="7" t="str">
        <f aca="false">IF(INDEX('Control Library'!$I$5:$I$47,MATCH(E930,'Control Library'!$A$5:$A$47,0))="All","Y",IF(INDEX('Control Library'!$I$5:$I$47,MATCH(E930,'Control Library'!$A$5:$A$47,0))="Banks only",IF(COUNTIF('Residual Config'!$L$28:$L$30,INDEX(Entities!$E$5:$E$34,MATCH(B930,Entities!$A$5:$A$34,0)))&gt;0,"N/A","Y"),IF(INDEX(Entities!$G$5:$G$34,MATCH(B930,Entities!$A$5:$A$34,0))="Y","Y","N/A")))</f>
        <v>Y</v>
      </c>
      <c r="J930" s="8" t="s">
        <v>3048</v>
      </c>
      <c r="K930" s="8" t="s">
        <v>3001</v>
      </c>
      <c r="L930" s="7" t="str">
        <f aca="false">IF(OR(J930="",K930=""),"",IF(J930=K930,"Breach","OK"))</f>
        <v>OK</v>
      </c>
      <c r="M930" s="24" t="n">
        <v>1</v>
      </c>
      <c r="N930" s="50" t="n">
        <v>46028</v>
      </c>
      <c r="O930" s="8" t="s">
        <v>546</v>
      </c>
      <c r="P930" s="24" t="n">
        <v>1</v>
      </c>
      <c r="Q930" s="31" t="n">
        <f aca="false">IF(I930="N/A","",IFERROR(INDEX('Residual Config'!$B$35:$B$42,MATCH(H930,'Residual Config'!$A$35:$A$42,0)),""))</f>
        <v>1</v>
      </c>
      <c r="R930" s="24" t="n">
        <v>0</v>
      </c>
      <c r="S930" s="8" t="s">
        <v>516</v>
      </c>
      <c r="T930" s="31" t="n">
        <f aca="false">IF(S930="","",MATCH(S930,'Residual Config'!$L$9:$L$12,0))</f>
        <v>1</v>
      </c>
      <c r="U930" s="8" t="s">
        <v>3049</v>
      </c>
      <c r="V930" s="24" t="n">
        <v>6</v>
      </c>
      <c r="W930" s="33" t="s">
        <v>533</v>
      </c>
      <c r="X930" s="8" t="s">
        <v>754</v>
      </c>
      <c r="Y930" s="51" t="n">
        <f aca="false">IF(N930="","",EDATE(N930,IF(G930="N",INDEX('Residual Config'!$B$31:$D$31,1,MATCH(D930,'Residual Config'!$B$27:$D$27,0)),INDEX('Residual Config'!$B$28:$D$30,IF(T930=1,1,IF(T930=4,3,2)),MATCH(D930,'Residual Config'!$B$27:$D$27,0)))))</f>
        <v>46393</v>
      </c>
      <c r="Z930" s="7" t="str">
        <f aca="false">IF(I930="N/A","N/A",IF(N930="","Not tested",IF(W930="Rejected","Evidence rejected",IF(W930&lt;&gt;"Accepted","Evidence pending",IF(Y930&lt;'Residual Config'!$C$4,"Overdue","Current")))))</f>
        <v>Current</v>
      </c>
      <c r="AA930" s="34" t="n">
        <f aca="false">IF(I930="N/A","",IF(Z930&lt;&gt;"Current",4,IF(MAX(M930,T930)=0,4,MAX(M930,T930))))</f>
        <v>1</v>
      </c>
      <c r="AB930" s="7" t="str">
        <f aca="false">IF(AA930="","N/A",IF(Z930&lt;&gt;"Current","Not tested / overdue",INDEX('Residual Config'!$B$11:$B$14,AA930)))</f>
        <v>Effective</v>
      </c>
      <c r="AC930" s="36" t="n">
        <f aca="false">IF(AA930="","",INDEX('Residual Config'!$D$11:$D$14,AA930))</f>
        <v>0.6</v>
      </c>
      <c r="AD930" s="7" t="str">
        <f aca="false">IF(OR(I930="N/A",P930="",Q930=""),"",IF(P930&gt;=Q930,"Yes","No"))</f>
        <v>Yes</v>
      </c>
      <c r="AE930" s="8"/>
    </row>
    <row r="931" customFormat="false" ht="15" hidden="false" customHeight="false" outlineLevel="0" collapsed="false">
      <c r="A931" s="12" t="s">
        <v>3050</v>
      </c>
      <c r="B931" s="26" t="str">
        <f aca="false">Entities!$A$26</f>
        <v>GB</v>
      </c>
      <c r="C931" s="12" t="str">
        <f aca="false">INDEX(Entities!$B$5:$B$34,MATCH(B931,Entities!$A$5:$A$34,0))</f>
        <v>Europe Arab Bank – United Kingdom</v>
      </c>
      <c r="D931" s="7" t="str">
        <f aca="false">INDEX(Entities!$F$5:$F$34,MATCH(B931,Entities!$A$5:$A$34,0))</f>
        <v>Tier 1</v>
      </c>
      <c r="E931" s="26" t="str">
        <f aca="false">'Control Library'!$A$28</f>
        <v>CTL-TRN-01</v>
      </c>
      <c r="F931" s="12" t="str">
        <f aca="false">INDEX('Control Library'!$B$5:$B$47,MATCH(E931,'Control Library'!$A$5:$A$47,0))</f>
        <v>Annual AML, sanctions and anti-bribery training</v>
      </c>
      <c r="G931" s="7" t="str">
        <f aca="false">INDEX('Control Library'!$F$5:$F$47,MATCH(E931,'Control Library'!$A$5:$A$47,0))</f>
        <v>N</v>
      </c>
      <c r="H931" s="12" t="str">
        <f aca="false">INDEX('Control Library'!$E$5:$E$47,MATCH(E931,'Control Library'!$A$5:$A$47,0))</f>
        <v>Annual</v>
      </c>
      <c r="I931" s="7" t="str">
        <f aca="false">IF(INDEX('Control Library'!$I$5:$I$47,MATCH(E931,'Control Library'!$A$5:$A$47,0))="All","Y",IF(INDEX('Control Library'!$I$5:$I$47,MATCH(E931,'Control Library'!$A$5:$A$47,0))="Banks only",IF(COUNTIF('Residual Config'!$L$28:$L$30,INDEX(Entities!$E$5:$E$34,MATCH(B931,Entities!$A$5:$A$34,0)))&gt;0,"N/A","Y"),IF(INDEX(Entities!$G$5:$G$34,MATCH(B931,Entities!$A$5:$A$34,0))="Y","Y","N/A")))</f>
        <v>Y</v>
      </c>
      <c r="J931" s="8" t="s">
        <v>2994</v>
      </c>
      <c r="K931" s="8" t="s">
        <v>3001</v>
      </c>
      <c r="L931" s="7" t="str">
        <f aca="false">IF(OR(J931="",K931=""),"",IF(J931=K931,"Breach","OK"))</f>
        <v>OK</v>
      </c>
      <c r="M931" s="24" t="n">
        <v>2</v>
      </c>
      <c r="N931" s="50" t="n">
        <v>46070</v>
      </c>
      <c r="O931" s="8" t="s">
        <v>545</v>
      </c>
      <c r="P931" s="24" t="n">
        <v>1</v>
      </c>
      <c r="Q931" s="31" t="n">
        <f aca="false">IF(I931="N/A","",IFERROR(INDEX('Residual Config'!$B$35:$B$42,MATCH(H931,'Residual Config'!$A$35:$A$42,0)),""))</f>
        <v>1</v>
      </c>
      <c r="R931" s="24" t="n">
        <v>0</v>
      </c>
      <c r="S931" s="8" t="s">
        <v>516</v>
      </c>
      <c r="T931" s="31" t="n">
        <f aca="false">IF(S931="","",MATCH(S931,'Residual Config'!$L$9:$L$12,0))</f>
        <v>1</v>
      </c>
      <c r="U931" s="8" t="s">
        <v>3051</v>
      </c>
      <c r="V931" s="24" t="n">
        <v>1</v>
      </c>
      <c r="W931" s="33" t="s">
        <v>533</v>
      </c>
      <c r="X931" s="8" t="s">
        <v>760</v>
      </c>
      <c r="Y931" s="51" t="n">
        <f aca="false">IF(N931="","",EDATE(N931,IF(G931="N",INDEX('Residual Config'!$B$31:$D$31,1,MATCH(D931,'Residual Config'!$B$27:$D$27,0)),INDEX('Residual Config'!$B$28:$D$30,IF(T931=1,1,IF(T931=4,3,2)),MATCH(D931,'Residual Config'!$B$27:$D$27,0)))))</f>
        <v>46435</v>
      </c>
      <c r="Z931" s="7" t="str">
        <f aca="false">IF(I931="N/A","N/A",IF(N931="","Not tested",IF(W931="Rejected","Evidence rejected",IF(W931&lt;&gt;"Accepted","Evidence pending",IF(Y931&lt;'Residual Config'!$C$4,"Overdue","Current")))))</f>
        <v>Current</v>
      </c>
      <c r="AA931" s="34" t="n">
        <f aca="false">IF(I931="N/A","",IF(Z931&lt;&gt;"Current",4,IF(MAX(M931,T931)=0,4,MAX(M931,T931))))</f>
        <v>2</v>
      </c>
      <c r="AB931" s="7" t="str">
        <f aca="false">IF(AA931="","N/A",IF(Z931&lt;&gt;"Current","Not tested / overdue",INDEX('Residual Config'!$B$11:$B$14,AA931)))</f>
        <v>Largely effective</v>
      </c>
      <c r="AC931" s="36" t="n">
        <f aca="false">IF(AA931="","",INDEX('Residual Config'!$D$11:$D$14,AA931))</f>
        <v>0.4</v>
      </c>
      <c r="AD931" s="7" t="str">
        <f aca="false">IF(OR(I931="N/A",P931="",Q931=""),"",IF(P931&gt;=Q931,"Yes","No"))</f>
        <v>Yes</v>
      </c>
      <c r="AE931" s="8"/>
    </row>
    <row r="932" customFormat="false" ht="15" hidden="false" customHeight="false" outlineLevel="0" collapsed="false">
      <c r="A932" s="12" t="s">
        <v>3052</v>
      </c>
      <c r="B932" s="26" t="str">
        <f aca="false">Entities!$A$26</f>
        <v>GB</v>
      </c>
      <c r="C932" s="12" t="str">
        <f aca="false">INDEX(Entities!$B$5:$B$34,MATCH(B932,Entities!$A$5:$A$34,0))</f>
        <v>Europe Arab Bank – United Kingdom</v>
      </c>
      <c r="D932" s="7" t="str">
        <f aca="false">INDEX(Entities!$F$5:$F$34,MATCH(B932,Entities!$A$5:$A$34,0))</f>
        <v>Tier 1</v>
      </c>
      <c r="E932" s="26" t="str">
        <f aca="false">'Control Library'!$A$29</f>
        <v>CTL-REG-01</v>
      </c>
      <c r="F932" s="12" t="str">
        <f aca="false">INDEX('Control Library'!$B$5:$B$47,MATCH(E932,'Control Library'!$A$5:$A$47,0))</f>
        <v>Regulatory change management and obligations register</v>
      </c>
      <c r="G932" s="7" t="str">
        <f aca="false">INDEX('Control Library'!$F$5:$F$47,MATCH(E932,'Control Library'!$A$5:$A$47,0))</f>
        <v>Y</v>
      </c>
      <c r="H932" s="12" t="str">
        <f aca="false">INDEX('Control Library'!$E$5:$E$47,MATCH(E932,'Control Library'!$A$5:$A$47,0))</f>
        <v>Monthly</v>
      </c>
      <c r="I932" s="7" t="str">
        <f aca="false">IF(INDEX('Control Library'!$I$5:$I$47,MATCH(E932,'Control Library'!$A$5:$A$47,0))="All","Y",IF(INDEX('Control Library'!$I$5:$I$47,MATCH(E932,'Control Library'!$A$5:$A$47,0))="Banks only",IF(COUNTIF('Residual Config'!$L$28:$L$30,INDEX(Entities!$E$5:$E$34,MATCH(B932,Entities!$A$5:$A$34,0)))&gt;0,"N/A","Y"),IF(INDEX(Entities!$G$5:$G$34,MATCH(B932,Entities!$A$5:$A$34,0))="Y","Y","N/A")))</f>
        <v>Y</v>
      </c>
      <c r="J932" s="8" t="s">
        <v>2994</v>
      </c>
      <c r="K932" s="8" t="s">
        <v>752</v>
      </c>
      <c r="L932" s="7" t="str">
        <f aca="false">IF(OR(J932="",K932=""),"",IF(J932=K932,"Breach","OK"))</f>
        <v>OK</v>
      </c>
      <c r="M932" s="24" t="n">
        <v>1</v>
      </c>
      <c r="N932" s="50" t="n">
        <v>46277</v>
      </c>
      <c r="O932" s="8" t="s">
        <v>545</v>
      </c>
      <c r="P932" s="24" t="n">
        <v>3</v>
      </c>
      <c r="Q932" s="31" t="n">
        <f aca="false">IF(I932="N/A","",IFERROR(INDEX('Residual Config'!$B$35:$B$42,MATCH(H932,'Residual Config'!$A$35:$A$42,0)),""))</f>
        <v>3</v>
      </c>
      <c r="R932" s="24" t="n">
        <v>1</v>
      </c>
      <c r="S932" s="8" t="s">
        <v>521</v>
      </c>
      <c r="T932" s="31" t="n">
        <f aca="false">IF(S932="","",MATCH(S932,'Residual Config'!$L$9:$L$12,0))</f>
        <v>2</v>
      </c>
      <c r="U932" s="8" t="s">
        <v>3053</v>
      </c>
      <c r="V932" s="24" t="n">
        <v>1</v>
      </c>
      <c r="W932" s="33" t="s">
        <v>533</v>
      </c>
      <c r="X932" s="8" t="s">
        <v>754</v>
      </c>
      <c r="Y932" s="51" t="n">
        <f aca="false">IF(N932="","",EDATE(N932,IF(G932="N",INDEX('Residual Config'!$B$31:$D$31,1,MATCH(D932,'Residual Config'!$B$27:$D$27,0)),INDEX('Residual Config'!$B$28:$D$30,IF(T932=1,1,IF(T932=4,3,2)),MATCH(D932,'Residual Config'!$B$27:$D$27,0)))))</f>
        <v>46368</v>
      </c>
      <c r="Z932" s="7" t="str">
        <f aca="false">IF(I932="N/A","N/A",IF(N932="","Not tested",IF(W932="Rejected","Evidence rejected",IF(W932&lt;&gt;"Accepted","Evidence pending",IF(Y932&lt;'Residual Config'!$C$4,"Overdue","Current")))))</f>
        <v>Current</v>
      </c>
      <c r="AA932" s="34" t="n">
        <f aca="false">IF(I932="N/A","",IF(Z932&lt;&gt;"Current",4,IF(MAX(M932,T932)=0,4,MAX(M932,T932))))</f>
        <v>2</v>
      </c>
      <c r="AB932" s="7" t="str">
        <f aca="false">IF(AA932="","N/A",IF(Z932&lt;&gt;"Current","Not tested / overdue",INDEX('Residual Config'!$B$11:$B$14,AA932)))</f>
        <v>Largely effective</v>
      </c>
      <c r="AC932" s="36" t="n">
        <f aca="false">IF(AA932="","",INDEX('Residual Config'!$D$11:$D$14,AA932))</f>
        <v>0.4</v>
      </c>
      <c r="AD932" s="7" t="str">
        <f aca="false">IF(OR(I932="N/A",P932="",Q932=""),"",IF(P932&gt;=Q932,"Yes","No"))</f>
        <v>Yes</v>
      </c>
      <c r="AE932" s="8"/>
    </row>
    <row r="933" customFormat="false" ht="15" hidden="false" customHeight="false" outlineLevel="0" collapsed="false">
      <c r="A933" s="12" t="s">
        <v>3054</v>
      </c>
      <c r="B933" s="26" t="str">
        <f aca="false">Entities!$A$26</f>
        <v>GB</v>
      </c>
      <c r="C933" s="12" t="str">
        <f aca="false">INDEX(Entities!$B$5:$B$34,MATCH(B933,Entities!$A$5:$A$34,0))</f>
        <v>Europe Arab Bank – United Kingdom</v>
      </c>
      <c r="D933" s="7" t="str">
        <f aca="false">INDEX(Entities!$F$5:$F$34,MATCH(B933,Entities!$A$5:$A$34,0))</f>
        <v>Tier 1</v>
      </c>
      <c r="E933" s="26" t="str">
        <f aca="false">'Control Library'!$A$30</f>
        <v>CTL-REG-02</v>
      </c>
      <c r="F933" s="12" t="str">
        <f aca="false">INDEX('Control Library'!$B$5:$B$47,MATCH(E933,'Control Library'!$A$5:$A$47,0))</f>
        <v>Regulatory return review and senior sign-off</v>
      </c>
      <c r="G933" s="7" t="str">
        <f aca="false">INDEX('Control Library'!$F$5:$F$47,MATCH(E933,'Control Library'!$A$5:$A$47,0))</f>
        <v>Y</v>
      </c>
      <c r="H933" s="12" t="str">
        <f aca="false">INDEX('Control Library'!$E$5:$E$47,MATCH(E933,'Control Library'!$A$5:$A$47,0))</f>
        <v>Monthly</v>
      </c>
      <c r="I933" s="7" t="str">
        <f aca="false">IF(INDEX('Control Library'!$I$5:$I$47,MATCH(E933,'Control Library'!$A$5:$A$47,0))="All","Y",IF(INDEX('Control Library'!$I$5:$I$47,MATCH(E933,'Control Library'!$A$5:$A$47,0))="Banks only",IF(COUNTIF('Residual Config'!$L$28:$L$30,INDEX(Entities!$E$5:$E$34,MATCH(B933,Entities!$A$5:$A$34,0)))&gt;0,"N/A","Y"),IF(INDEX(Entities!$G$5:$G$34,MATCH(B933,Entities!$A$5:$A$34,0))="Y","Y","N/A")))</f>
        <v>Y</v>
      </c>
      <c r="J933" s="8" t="s">
        <v>3048</v>
      </c>
      <c r="K933" s="8" t="s">
        <v>752</v>
      </c>
      <c r="L933" s="7" t="str">
        <f aca="false">IF(OR(J933="",K933=""),"",IF(J933=K933,"Breach","OK"))</f>
        <v>OK</v>
      </c>
      <c r="M933" s="24" t="n">
        <v>1</v>
      </c>
      <c r="N933" s="50" t="n">
        <v>46113</v>
      </c>
      <c r="O933" s="8" t="s">
        <v>545</v>
      </c>
      <c r="P933" s="24" t="n">
        <v>3</v>
      </c>
      <c r="Q933" s="31" t="n">
        <f aca="false">IF(I933="N/A","",IFERROR(INDEX('Residual Config'!$B$35:$B$42,MATCH(H933,'Residual Config'!$A$35:$A$42,0)),""))</f>
        <v>3</v>
      </c>
      <c r="R933" s="24" t="n">
        <v>1</v>
      </c>
      <c r="S933" s="8" t="s">
        <v>521</v>
      </c>
      <c r="T933" s="31" t="n">
        <f aca="false">IF(S933="","",MATCH(S933,'Residual Config'!$L$9:$L$12,0))</f>
        <v>2</v>
      </c>
      <c r="U933" s="8" t="s">
        <v>3055</v>
      </c>
      <c r="V933" s="24" t="n">
        <v>3</v>
      </c>
      <c r="W933" s="33" t="s">
        <v>536</v>
      </c>
      <c r="X933" s="8"/>
      <c r="Y933" s="51" t="n">
        <f aca="false">IF(N933="","",EDATE(N933,IF(G933="N",INDEX('Residual Config'!$B$31:$D$31,1,MATCH(D933,'Residual Config'!$B$27:$D$27,0)),INDEX('Residual Config'!$B$28:$D$30,IF(T933=1,1,IF(T933=4,3,2)),MATCH(D933,'Residual Config'!$B$27:$D$27,0)))))</f>
        <v>46204</v>
      </c>
      <c r="Z933" s="7" t="str">
        <f aca="false">IF(I933="N/A","N/A",IF(N933="","Not tested",IF(W933="Rejected","Evidence rejected",IF(W933&lt;&gt;"Accepted","Evidence pending",IF(Y933&lt;'Residual Config'!$C$4,"Overdue","Current")))))</f>
        <v>Evidence pending</v>
      </c>
      <c r="AA933" s="34" t="n">
        <f aca="false">IF(I933="N/A","",IF(Z933&lt;&gt;"Current",4,IF(MAX(M933,T933)=0,4,MAX(M933,T933))))</f>
        <v>4</v>
      </c>
      <c r="AB933" s="7" t="str">
        <f aca="false">IF(AA933="","N/A",IF(Z933&lt;&gt;"Current","Not tested / overdue",INDEX('Residual Config'!$B$11:$B$14,AA933)))</f>
        <v>Not tested / overdue</v>
      </c>
      <c r="AC933" s="36" t="n">
        <f aca="false">IF(AA933="","",INDEX('Residual Config'!$D$11:$D$14,AA933))</f>
        <v>0</v>
      </c>
      <c r="AD933" s="7" t="str">
        <f aca="false">IF(OR(I933="N/A",P933="",Q933=""),"",IF(P933&gt;=Q933,"Yes","No"))</f>
        <v>Yes</v>
      </c>
      <c r="AE933" s="8"/>
    </row>
    <row r="934" customFormat="false" ht="15" hidden="false" customHeight="false" outlineLevel="0" collapsed="false">
      <c r="A934" s="12" t="s">
        <v>3056</v>
      </c>
      <c r="B934" s="26" t="str">
        <f aca="false">Entities!$A$26</f>
        <v>GB</v>
      </c>
      <c r="C934" s="12" t="str">
        <f aca="false">INDEX(Entities!$B$5:$B$34,MATCH(B934,Entities!$A$5:$A$34,0))</f>
        <v>Europe Arab Bank – United Kingdom</v>
      </c>
      <c r="D934" s="7" t="str">
        <f aca="false">INDEX(Entities!$F$5:$F$34,MATCH(B934,Entities!$A$5:$A$34,0))</f>
        <v>Tier 1</v>
      </c>
      <c r="E934" s="26" t="str">
        <f aca="false">'Control Library'!$A$31</f>
        <v>CTL-CON-01</v>
      </c>
      <c r="F934" s="12" t="str">
        <f aca="false">INDEX('Control Library'!$B$5:$B$47,MATCH(E934,'Control Library'!$A$5:$A$47,0))</f>
        <v>New product approval and suitability assessment</v>
      </c>
      <c r="G934" s="7" t="str">
        <f aca="false">INDEX('Control Library'!$F$5:$F$47,MATCH(E934,'Control Library'!$A$5:$A$47,0))</f>
        <v>Y</v>
      </c>
      <c r="H934" s="12" t="str">
        <f aca="false">INDEX('Control Library'!$E$5:$E$47,MATCH(E934,'Control Library'!$A$5:$A$47,0))</f>
        <v>Event-driven</v>
      </c>
      <c r="I934" s="7" t="str">
        <f aca="false">IF(INDEX('Control Library'!$I$5:$I$47,MATCH(E934,'Control Library'!$A$5:$A$47,0))="All","Y",IF(INDEX('Control Library'!$I$5:$I$47,MATCH(E934,'Control Library'!$A$5:$A$47,0))="Banks only",IF(COUNTIF('Residual Config'!$L$28:$L$30,INDEX(Entities!$E$5:$E$34,MATCH(B934,Entities!$A$5:$A$34,0)))&gt;0,"N/A","Y"),IF(INDEX(Entities!$G$5:$G$34,MATCH(B934,Entities!$A$5:$A$34,0))="Y","Y","N/A")))</f>
        <v>Y</v>
      </c>
      <c r="J934" s="8" t="s">
        <v>2994</v>
      </c>
      <c r="K934" s="8" t="s">
        <v>752</v>
      </c>
      <c r="L934" s="7" t="str">
        <f aca="false">IF(OR(J934="",K934=""),"",IF(J934=K934,"Breach","OK"))</f>
        <v>OK</v>
      </c>
      <c r="M934" s="24" t="n">
        <v>1</v>
      </c>
      <c r="N934" s="50" t="n">
        <v>46249</v>
      </c>
      <c r="O934" s="8" t="s">
        <v>545</v>
      </c>
      <c r="P934" s="24" t="n">
        <v>25</v>
      </c>
      <c r="Q934" s="31" t="n">
        <f aca="false">IF(I934="N/A","",IFERROR(INDEX('Residual Config'!$B$35:$B$42,MATCH(H934,'Residual Config'!$A$35:$A$42,0)),""))</f>
        <v>25</v>
      </c>
      <c r="R934" s="24" t="n">
        <v>0</v>
      </c>
      <c r="S934" s="8" t="s">
        <v>516</v>
      </c>
      <c r="T934" s="31" t="n">
        <f aca="false">IF(S934="","",MATCH(S934,'Residual Config'!$L$9:$L$12,0))</f>
        <v>1</v>
      </c>
      <c r="U934" s="8" t="s">
        <v>3057</v>
      </c>
      <c r="V934" s="24" t="n">
        <v>3</v>
      </c>
      <c r="W934" s="33" t="s">
        <v>533</v>
      </c>
      <c r="X934" s="8" t="s">
        <v>760</v>
      </c>
      <c r="Y934" s="51" t="n">
        <f aca="false">IF(N934="","",EDATE(N934,IF(G934="N",INDEX('Residual Config'!$B$31:$D$31,1,MATCH(D934,'Residual Config'!$B$27:$D$27,0)),INDEX('Residual Config'!$B$28:$D$30,IF(T934=1,1,IF(T934=4,3,2)),MATCH(D934,'Residual Config'!$B$27:$D$27,0)))))</f>
        <v>46433</v>
      </c>
      <c r="Z934" s="7" t="str">
        <f aca="false">IF(I934="N/A","N/A",IF(N934="","Not tested",IF(W934="Rejected","Evidence rejected",IF(W934&lt;&gt;"Accepted","Evidence pending",IF(Y934&lt;'Residual Config'!$C$4,"Overdue","Current")))))</f>
        <v>Current</v>
      </c>
      <c r="AA934" s="34" t="n">
        <f aca="false">IF(I934="N/A","",IF(Z934&lt;&gt;"Current",4,IF(MAX(M934,T934)=0,4,MAX(M934,T934))))</f>
        <v>1</v>
      </c>
      <c r="AB934" s="7" t="str">
        <f aca="false">IF(AA934="","N/A",IF(Z934&lt;&gt;"Current","Not tested / overdue",INDEX('Residual Config'!$B$11:$B$14,AA934)))</f>
        <v>Effective</v>
      </c>
      <c r="AC934" s="36" t="n">
        <f aca="false">IF(AA934="","",INDEX('Residual Config'!$D$11:$D$14,AA934))</f>
        <v>0.6</v>
      </c>
      <c r="AD934" s="7" t="str">
        <f aca="false">IF(OR(I934="N/A",P934="",Q934=""),"",IF(P934&gt;=Q934,"Yes","No"))</f>
        <v>Yes</v>
      </c>
      <c r="AE934" s="8"/>
    </row>
    <row r="935" customFormat="false" ht="15" hidden="false" customHeight="false" outlineLevel="0" collapsed="false">
      <c r="A935" s="12" t="s">
        <v>3058</v>
      </c>
      <c r="B935" s="26" t="str">
        <f aca="false">Entities!$A$26</f>
        <v>GB</v>
      </c>
      <c r="C935" s="12" t="str">
        <f aca="false">INDEX(Entities!$B$5:$B$34,MATCH(B935,Entities!$A$5:$A$34,0))</f>
        <v>Europe Arab Bank – United Kingdom</v>
      </c>
      <c r="D935" s="7" t="str">
        <f aca="false">INDEX(Entities!$F$5:$F$34,MATCH(B935,Entities!$A$5:$A$34,0))</f>
        <v>Tier 1</v>
      </c>
      <c r="E935" s="26" t="str">
        <f aca="false">'Control Library'!$A$32</f>
        <v>CTL-CON-02</v>
      </c>
      <c r="F935" s="12" t="str">
        <f aca="false">INDEX('Control Library'!$B$5:$B$47,MATCH(E935,'Control Library'!$A$5:$A$47,0))</f>
        <v>Complaints handling and root-cause analysis</v>
      </c>
      <c r="G935" s="7" t="str">
        <f aca="false">INDEX('Control Library'!$F$5:$F$47,MATCH(E935,'Control Library'!$A$5:$A$47,0))</f>
        <v>N</v>
      </c>
      <c r="H935" s="12" t="str">
        <f aca="false">INDEX('Control Library'!$E$5:$E$47,MATCH(E935,'Control Library'!$A$5:$A$47,0))</f>
        <v>Monthly</v>
      </c>
      <c r="I935" s="7" t="str">
        <f aca="false">IF(INDEX('Control Library'!$I$5:$I$47,MATCH(E935,'Control Library'!$A$5:$A$47,0))="All","Y",IF(INDEX('Control Library'!$I$5:$I$47,MATCH(E935,'Control Library'!$A$5:$A$47,0))="Banks only",IF(COUNTIF('Residual Config'!$L$28:$L$30,INDEX(Entities!$E$5:$E$34,MATCH(B935,Entities!$A$5:$A$34,0)))&gt;0,"N/A","Y"),IF(INDEX(Entities!$G$5:$G$34,MATCH(B935,Entities!$A$5:$A$34,0))="Y","Y","N/A")))</f>
        <v>Y</v>
      </c>
      <c r="J935" s="8" t="s">
        <v>3059</v>
      </c>
      <c r="K935" s="8" t="s">
        <v>3001</v>
      </c>
      <c r="L935" s="7" t="str">
        <f aca="false">IF(OR(J935="",K935=""),"",IF(J935=K935,"Breach","OK"))</f>
        <v>OK</v>
      </c>
      <c r="M935" s="24" t="n">
        <v>1</v>
      </c>
      <c r="N935" s="50" t="n">
        <v>46284</v>
      </c>
      <c r="O935" s="8" t="s">
        <v>546</v>
      </c>
      <c r="P935" s="24" t="n">
        <v>3</v>
      </c>
      <c r="Q935" s="31" t="n">
        <f aca="false">IF(I935="N/A","",IFERROR(INDEX('Residual Config'!$B$35:$B$42,MATCH(H935,'Residual Config'!$A$35:$A$42,0)),""))</f>
        <v>3</v>
      </c>
      <c r="R935" s="24" t="n">
        <v>1</v>
      </c>
      <c r="S935" s="8" t="s">
        <v>521</v>
      </c>
      <c r="T935" s="31" t="n">
        <f aca="false">IF(S935="","",MATCH(S935,'Residual Config'!$L$9:$L$12,0))</f>
        <v>2</v>
      </c>
      <c r="U935" s="8" t="s">
        <v>3060</v>
      </c>
      <c r="V935" s="24" t="n">
        <v>6</v>
      </c>
      <c r="W935" s="33" t="s">
        <v>533</v>
      </c>
      <c r="X935" s="8" t="s">
        <v>754</v>
      </c>
      <c r="Y935" s="51" t="n">
        <f aca="false">IF(N935="","",EDATE(N935,IF(G935="N",INDEX('Residual Config'!$B$31:$D$31,1,MATCH(D935,'Residual Config'!$B$27:$D$27,0)),INDEX('Residual Config'!$B$28:$D$30,IF(T935=1,1,IF(T935=4,3,2)),MATCH(D935,'Residual Config'!$B$27:$D$27,0)))))</f>
        <v>46649</v>
      </c>
      <c r="Z935" s="7" t="str">
        <f aca="false">IF(I935="N/A","N/A",IF(N935="","Not tested",IF(W935="Rejected","Evidence rejected",IF(W935&lt;&gt;"Accepted","Evidence pending",IF(Y935&lt;'Residual Config'!$C$4,"Overdue","Current")))))</f>
        <v>Current</v>
      </c>
      <c r="AA935" s="34" t="n">
        <f aca="false">IF(I935="N/A","",IF(Z935&lt;&gt;"Current",4,IF(MAX(M935,T935)=0,4,MAX(M935,T935))))</f>
        <v>2</v>
      </c>
      <c r="AB935" s="7" t="str">
        <f aca="false">IF(AA935="","N/A",IF(Z935&lt;&gt;"Current","Not tested / overdue",INDEX('Residual Config'!$B$11:$B$14,AA935)))</f>
        <v>Largely effective</v>
      </c>
      <c r="AC935" s="36" t="n">
        <f aca="false">IF(AA935="","",INDEX('Residual Config'!$D$11:$D$14,AA935))</f>
        <v>0.4</v>
      </c>
      <c r="AD935" s="7" t="str">
        <f aca="false">IF(OR(I935="N/A",P935="",Q935=""),"",IF(P935&gt;=Q935,"Yes","No"))</f>
        <v>Yes</v>
      </c>
      <c r="AE935" s="8"/>
    </row>
    <row r="936" customFormat="false" ht="15" hidden="false" customHeight="false" outlineLevel="0" collapsed="false">
      <c r="A936" s="12" t="s">
        <v>3061</v>
      </c>
      <c r="B936" s="26" t="str">
        <f aca="false">Entities!$A$26</f>
        <v>GB</v>
      </c>
      <c r="C936" s="12" t="str">
        <f aca="false">INDEX(Entities!$B$5:$B$34,MATCH(B936,Entities!$A$5:$A$34,0))</f>
        <v>Europe Arab Bank – United Kingdom</v>
      </c>
      <c r="D936" s="7" t="str">
        <f aca="false">INDEX(Entities!$F$5:$F$34,MATCH(B936,Entities!$A$5:$A$34,0))</f>
        <v>Tier 1</v>
      </c>
      <c r="E936" s="26" t="str">
        <f aca="false">'Control Library'!$A$33</f>
        <v>CTL-DP-01</v>
      </c>
      <c r="F936" s="12" t="str">
        <f aca="false">INDEX('Control Library'!$B$5:$B$47,MATCH(E936,'Control Library'!$A$5:$A$47,0))</f>
        <v>Data protection impact assessments and processing records</v>
      </c>
      <c r="G936" s="7" t="str">
        <f aca="false">INDEX('Control Library'!$F$5:$F$47,MATCH(E936,'Control Library'!$A$5:$A$47,0))</f>
        <v>Y</v>
      </c>
      <c r="H936" s="12" t="str">
        <f aca="false">INDEX('Control Library'!$E$5:$E$47,MATCH(E936,'Control Library'!$A$5:$A$47,0))</f>
        <v>Event-driven</v>
      </c>
      <c r="I936" s="7" t="str">
        <f aca="false">IF(INDEX('Control Library'!$I$5:$I$47,MATCH(E936,'Control Library'!$A$5:$A$47,0))="All","Y",IF(INDEX('Control Library'!$I$5:$I$47,MATCH(E936,'Control Library'!$A$5:$A$47,0))="Banks only",IF(COUNTIF('Residual Config'!$L$28:$L$30,INDEX(Entities!$E$5:$E$34,MATCH(B936,Entities!$A$5:$A$34,0)))&gt;0,"N/A","Y"),IF(INDEX(Entities!$G$5:$G$34,MATCH(B936,Entities!$A$5:$A$34,0))="Y","Y","N/A")))</f>
        <v>Y</v>
      </c>
      <c r="J936" s="8" t="s">
        <v>3062</v>
      </c>
      <c r="K936" s="8" t="s">
        <v>752</v>
      </c>
      <c r="L936" s="7" t="str">
        <f aca="false">IF(OR(J936="",K936=""),"",IF(J936=K936,"Breach","OK"))</f>
        <v>OK</v>
      </c>
      <c r="M936" s="24" t="n">
        <v>1</v>
      </c>
      <c r="N936" s="50"/>
      <c r="O936" s="8"/>
      <c r="P936" s="24"/>
      <c r="Q936" s="31" t="n">
        <f aca="false">IF(I936="N/A","",IFERROR(INDEX('Residual Config'!$B$35:$B$42,MATCH(H936,'Residual Config'!$A$35:$A$42,0)),""))</f>
        <v>25</v>
      </c>
      <c r="R936" s="24"/>
      <c r="S936" s="8"/>
      <c r="T936" s="31" t="str">
        <f aca="false">IF(S936="","",MATCH(S936,'Residual Config'!$L$9:$L$12,0))</f>
        <v/>
      </c>
      <c r="U936" s="8"/>
      <c r="V936" s="24"/>
      <c r="W936" s="33"/>
      <c r="X936" s="8"/>
      <c r="Y936" s="51" t="str">
        <f aca="false">IF(N936="","",EDATE(N936,IF(G936="N",INDEX('Residual Config'!$B$31:$D$31,1,MATCH(D936,'Residual Config'!$B$27:$D$27,0)),INDEX('Residual Config'!$B$28:$D$30,IF(T936=1,1,IF(T936=4,3,2)),MATCH(D936,'Residual Config'!$B$27:$D$27,0)))))</f>
        <v/>
      </c>
      <c r="Z936" s="7" t="str">
        <f aca="false">IF(I936="N/A","N/A",IF(N936="","Not tested",IF(W936="Rejected","Evidence rejected",IF(W936&lt;&gt;"Accepted","Evidence pending",IF(Y936&lt;'Residual Config'!$C$4,"Overdue","Current")))))</f>
        <v>Not tested</v>
      </c>
      <c r="AA936" s="34" t="n">
        <f aca="false">IF(I936="N/A","",IF(Z936&lt;&gt;"Current",4,IF(MAX(M936,T936)=0,4,MAX(M936,T936))))</f>
        <v>4</v>
      </c>
      <c r="AB936" s="7" t="str">
        <f aca="false">IF(AA936="","N/A",IF(Z936&lt;&gt;"Current","Not tested / overdue",INDEX('Residual Config'!$B$11:$B$14,AA936)))</f>
        <v>Not tested / overdue</v>
      </c>
      <c r="AC936" s="36" t="n">
        <f aca="false">IF(AA936="","",INDEX('Residual Config'!$D$11:$D$14,AA936))</f>
        <v>0</v>
      </c>
      <c r="AD936" s="7" t="str">
        <f aca="false">IF(OR(I936="N/A",P936="",Q936=""),"",IF(P936&gt;=Q936,"Yes","No"))</f>
        <v/>
      </c>
      <c r="AE936" s="8"/>
    </row>
    <row r="937" customFormat="false" ht="15" hidden="false" customHeight="false" outlineLevel="0" collapsed="false">
      <c r="A937" s="12" t="s">
        <v>3063</v>
      </c>
      <c r="B937" s="26" t="str">
        <f aca="false">Entities!$A$26</f>
        <v>GB</v>
      </c>
      <c r="C937" s="12" t="str">
        <f aca="false">INDEX(Entities!$B$5:$B$34,MATCH(B937,Entities!$A$5:$A$34,0))</f>
        <v>Europe Arab Bank – United Kingdom</v>
      </c>
      <c r="D937" s="7" t="str">
        <f aca="false">INDEX(Entities!$F$5:$F$34,MATCH(B937,Entities!$A$5:$A$34,0))</f>
        <v>Tier 1</v>
      </c>
      <c r="E937" s="26" t="str">
        <f aca="false">'Control Library'!$A$34</f>
        <v>CTL-DP-02</v>
      </c>
      <c r="F937" s="12" t="str">
        <f aca="false">INDEX('Control Library'!$B$5:$B$47,MATCH(E937,'Control Library'!$A$5:$A$47,0))</f>
        <v>Data loss prevention and quarterly access recertification</v>
      </c>
      <c r="G937" s="7" t="str">
        <f aca="false">INDEX('Control Library'!$F$5:$F$47,MATCH(E937,'Control Library'!$A$5:$A$47,0))</f>
        <v>Y</v>
      </c>
      <c r="H937" s="12" t="str">
        <f aca="false">INDEX('Control Library'!$E$5:$E$47,MATCH(E937,'Control Library'!$A$5:$A$47,0))</f>
        <v>Quarterly</v>
      </c>
      <c r="I937" s="7" t="str">
        <f aca="false">IF(INDEX('Control Library'!$I$5:$I$47,MATCH(E937,'Control Library'!$A$5:$A$47,0))="All","Y",IF(INDEX('Control Library'!$I$5:$I$47,MATCH(E937,'Control Library'!$A$5:$A$47,0))="Banks only",IF(COUNTIF('Residual Config'!$L$28:$L$30,INDEX(Entities!$E$5:$E$34,MATCH(B937,Entities!$A$5:$A$34,0)))&gt;0,"N/A","Y"),IF(INDEX(Entities!$G$5:$G$34,MATCH(B937,Entities!$A$5:$A$34,0))="Y","Y","N/A")))</f>
        <v>Y</v>
      </c>
      <c r="J937" s="8" t="s">
        <v>3064</v>
      </c>
      <c r="K937" s="8" t="s">
        <v>752</v>
      </c>
      <c r="L937" s="7" t="str">
        <f aca="false">IF(OR(J937="",K937=""),"",IF(J937=K937,"Breach","OK"))</f>
        <v>OK</v>
      </c>
      <c r="M937" s="24" t="n">
        <v>1</v>
      </c>
      <c r="N937" s="50" t="n">
        <v>46264</v>
      </c>
      <c r="O937" s="8" t="s">
        <v>545</v>
      </c>
      <c r="P937" s="24" t="n">
        <v>2</v>
      </c>
      <c r="Q937" s="31" t="n">
        <f aca="false">IF(I937="N/A","",IFERROR(INDEX('Residual Config'!$B$35:$B$42,MATCH(H937,'Residual Config'!$A$35:$A$42,0)),""))</f>
        <v>2</v>
      </c>
      <c r="R937" s="24" t="n">
        <v>1</v>
      </c>
      <c r="S937" s="8" t="s">
        <v>521</v>
      </c>
      <c r="T937" s="31" t="n">
        <f aca="false">IF(S937="","",MATCH(S937,'Residual Config'!$L$9:$L$12,0))</f>
        <v>2</v>
      </c>
      <c r="U937" s="8" t="s">
        <v>3065</v>
      </c>
      <c r="V937" s="24" t="n">
        <v>3</v>
      </c>
      <c r="W937" s="33" t="s">
        <v>533</v>
      </c>
      <c r="X937" s="8" t="s">
        <v>760</v>
      </c>
      <c r="Y937" s="51" t="n">
        <f aca="false">IF(N937="","",EDATE(N937,IF(G937="N",INDEX('Residual Config'!$B$31:$D$31,1,MATCH(D937,'Residual Config'!$B$27:$D$27,0)),INDEX('Residual Config'!$B$28:$D$30,IF(T937=1,1,IF(T937=4,3,2)),MATCH(D937,'Residual Config'!$B$27:$D$27,0)))))</f>
        <v>46356</v>
      </c>
      <c r="Z937" s="7" t="str">
        <f aca="false">IF(I937="N/A","N/A",IF(N937="","Not tested",IF(W937="Rejected","Evidence rejected",IF(W937&lt;&gt;"Accepted","Evidence pending",IF(Y937&lt;'Residual Config'!$C$4,"Overdue","Current")))))</f>
        <v>Current</v>
      </c>
      <c r="AA937" s="34" t="n">
        <f aca="false">IF(I937="N/A","",IF(Z937&lt;&gt;"Current",4,IF(MAX(M937,T937)=0,4,MAX(M937,T937))))</f>
        <v>2</v>
      </c>
      <c r="AB937" s="7" t="str">
        <f aca="false">IF(AA937="","N/A",IF(Z937&lt;&gt;"Current","Not tested / overdue",INDEX('Residual Config'!$B$11:$B$14,AA937)))</f>
        <v>Largely effective</v>
      </c>
      <c r="AC937" s="36" t="n">
        <f aca="false">IF(AA937="","",INDEX('Residual Config'!$D$11:$D$14,AA937))</f>
        <v>0.4</v>
      </c>
      <c r="AD937" s="7" t="str">
        <f aca="false">IF(OR(I937="N/A",P937="",Q937=""),"",IF(P937&gt;=Q937,"Yes","No"))</f>
        <v>Yes</v>
      </c>
      <c r="AE937" s="8"/>
    </row>
    <row r="938" customFormat="false" ht="15" hidden="false" customHeight="false" outlineLevel="0" collapsed="false">
      <c r="A938" s="12" t="s">
        <v>3066</v>
      </c>
      <c r="B938" s="26" t="str">
        <f aca="false">Entities!$A$26</f>
        <v>GB</v>
      </c>
      <c r="C938" s="12" t="str">
        <f aca="false">INDEX(Entities!$B$5:$B$34,MATCH(B938,Entities!$A$5:$A$34,0))</f>
        <v>Europe Arab Bank – United Kingdom</v>
      </c>
      <c r="D938" s="7" t="str">
        <f aca="false">INDEX(Entities!$F$5:$F$34,MATCH(B938,Entities!$A$5:$A$34,0))</f>
        <v>Tier 1</v>
      </c>
      <c r="E938" s="26" t="str">
        <f aca="false">'Control Library'!$A$35</f>
        <v>CTL-SH-01</v>
      </c>
      <c r="F938" s="12" t="str">
        <f aca="false">INDEX('Control Library'!$B$5:$B$47,MATCH(E938,'Control Library'!$A$5:$A$47,0))</f>
        <v>Shariah review of products and income purification</v>
      </c>
      <c r="G938" s="7" t="str">
        <f aca="false">INDEX('Control Library'!$F$5:$F$47,MATCH(E938,'Control Library'!$A$5:$A$47,0))</f>
        <v>Y</v>
      </c>
      <c r="H938" s="12" t="str">
        <f aca="false">INDEX('Control Library'!$E$5:$E$47,MATCH(E938,'Control Library'!$A$5:$A$47,0))</f>
        <v>Quarterly</v>
      </c>
      <c r="I938" s="7" t="str">
        <f aca="false">IF(INDEX('Control Library'!$I$5:$I$47,MATCH(E938,'Control Library'!$A$5:$A$47,0))="All","Y",IF(INDEX('Control Library'!$I$5:$I$47,MATCH(E938,'Control Library'!$A$5:$A$47,0))="Banks only",IF(COUNTIF('Residual Config'!$L$28:$L$30,INDEX(Entities!$E$5:$E$34,MATCH(B938,Entities!$A$5:$A$34,0)))&gt;0,"N/A","Y"),IF(INDEX(Entities!$G$5:$G$34,MATCH(B938,Entities!$A$5:$A$34,0))="Y","Y","N/A")))</f>
        <v>N/A</v>
      </c>
      <c r="J938" s="8"/>
      <c r="K938" s="8"/>
      <c r="L938" s="7" t="str">
        <f aca="false">IF(OR(J938="",K938=""),"",IF(J938=K938,"Breach","OK"))</f>
        <v/>
      </c>
      <c r="M938" s="24"/>
      <c r="N938" s="50"/>
      <c r="O938" s="8"/>
      <c r="P938" s="24"/>
      <c r="Q938" s="31" t="str">
        <f aca="false">IF(I938="N/A","",IFERROR(INDEX('Residual Config'!$B$35:$B$42,MATCH(H938,'Residual Config'!$A$35:$A$42,0)),""))</f>
        <v/>
      </c>
      <c r="R938" s="24"/>
      <c r="S938" s="8"/>
      <c r="T938" s="31" t="str">
        <f aca="false">IF(S938="","",MATCH(S938,'Residual Config'!$L$9:$L$12,0))</f>
        <v/>
      </c>
      <c r="U938" s="8"/>
      <c r="V938" s="24"/>
      <c r="W938" s="33"/>
      <c r="X938" s="8"/>
      <c r="Y938" s="51" t="str">
        <f aca="false">IF(N938="","",EDATE(N938,IF(G938="N",INDEX('Residual Config'!$B$31:$D$31,1,MATCH(D938,'Residual Config'!$B$27:$D$27,0)),INDEX('Residual Config'!$B$28:$D$30,IF(T938=1,1,IF(T938=4,3,2)),MATCH(D938,'Residual Config'!$B$27:$D$27,0)))))</f>
        <v/>
      </c>
      <c r="Z938" s="7" t="str">
        <f aca="false">IF(I938="N/A","N/A",IF(N938="","Not tested",IF(W938="Rejected","Evidence rejected",IF(W938&lt;&gt;"Accepted","Evidence pending",IF(Y938&lt;'Residual Config'!$C$4,"Overdue","Current")))))</f>
        <v>N/A</v>
      </c>
      <c r="AA938" s="34" t="str">
        <f aca="false">IF(I938="N/A","",IF(Z938&lt;&gt;"Current",4,IF(MAX(M938,T938)=0,4,MAX(M938,T938))))</f>
        <v/>
      </c>
      <c r="AB938" s="7" t="str">
        <f aca="false">IF(AA938="","N/A",IF(Z938&lt;&gt;"Current","Not tested / overdue",INDEX('Residual Config'!$B$11:$B$14,AA938)))</f>
        <v>N/A</v>
      </c>
      <c r="AC938" s="36" t="str">
        <f aca="false">IF(AA938="","",INDEX('Residual Config'!$D$11:$D$14,AA938))</f>
        <v/>
      </c>
      <c r="AD938" s="7" t="str">
        <f aca="false">IF(OR(I938="N/A",P938="",Q938=""),"",IF(P938&gt;=Q938,"Yes","No"))</f>
        <v/>
      </c>
      <c r="AE938" s="8"/>
    </row>
    <row r="939" customFormat="false" ht="15" hidden="false" customHeight="false" outlineLevel="0" collapsed="false">
      <c r="A939" s="12" t="s">
        <v>3067</v>
      </c>
      <c r="B939" s="26" t="str">
        <f aca="false">Entities!$A$26</f>
        <v>GB</v>
      </c>
      <c r="C939" s="12" t="str">
        <f aca="false">INDEX(Entities!$B$5:$B$34,MATCH(B939,Entities!$A$5:$A$34,0))</f>
        <v>Europe Arab Bank – United Kingdom</v>
      </c>
      <c r="D939" s="7" t="str">
        <f aca="false">INDEX(Entities!$F$5:$F$34,MATCH(B939,Entities!$A$5:$A$34,0))</f>
        <v>Tier 1</v>
      </c>
      <c r="E939" s="26" t="str">
        <f aca="false">'Control Library'!$A$36</f>
        <v>CTL-CR-01</v>
      </c>
      <c r="F939" s="12" t="str">
        <f aca="false">INDEX('Control Library'!$B$5:$B$47,MATCH(E939,'Control Library'!$A$5:$A$47,0))</f>
        <v>Credit approval authorities and committee review</v>
      </c>
      <c r="G939" s="7" t="str">
        <f aca="false">INDEX('Control Library'!$F$5:$F$47,MATCH(E939,'Control Library'!$A$5:$A$47,0))</f>
        <v>Y</v>
      </c>
      <c r="H939" s="12" t="str">
        <f aca="false">INDEX('Control Library'!$E$5:$E$47,MATCH(E939,'Control Library'!$A$5:$A$47,0))</f>
        <v>Event-driven</v>
      </c>
      <c r="I939" s="7" t="str">
        <f aca="false">IF(INDEX('Control Library'!$I$5:$I$47,MATCH(E939,'Control Library'!$A$5:$A$47,0))="All","Y",IF(INDEX('Control Library'!$I$5:$I$47,MATCH(E939,'Control Library'!$A$5:$A$47,0))="Banks only",IF(COUNTIF('Residual Config'!$L$28:$L$30,INDEX(Entities!$E$5:$E$34,MATCH(B939,Entities!$A$5:$A$34,0)))&gt;0,"N/A","Y"),IF(INDEX(Entities!$G$5:$G$34,MATCH(B939,Entities!$A$5:$A$34,0))="Y","Y","N/A")))</f>
        <v>Y</v>
      </c>
      <c r="J939" s="8" t="s">
        <v>3068</v>
      </c>
      <c r="K939" s="8" t="s">
        <v>752</v>
      </c>
      <c r="L939" s="7" t="str">
        <f aca="false">IF(OR(J939="",K939=""),"",IF(J939=K939,"Breach","OK"))</f>
        <v>OK</v>
      </c>
      <c r="M939" s="24" t="n">
        <v>2</v>
      </c>
      <c r="N939" s="50" t="n">
        <v>46268</v>
      </c>
      <c r="O939" s="8" t="s">
        <v>545</v>
      </c>
      <c r="P939" s="24" t="n">
        <v>25</v>
      </c>
      <c r="Q939" s="31" t="n">
        <f aca="false">IF(I939="N/A","",IFERROR(INDEX('Residual Config'!$B$35:$B$42,MATCH(H939,'Residual Config'!$A$35:$A$42,0)),""))</f>
        <v>25</v>
      </c>
      <c r="R939" s="24" t="n">
        <v>0</v>
      </c>
      <c r="S939" s="8" t="s">
        <v>516</v>
      </c>
      <c r="T939" s="31" t="n">
        <f aca="false">IF(S939="","",MATCH(S939,'Residual Config'!$L$9:$L$12,0))</f>
        <v>1</v>
      </c>
      <c r="U939" s="8" t="s">
        <v>3069</v>
      </c>
      <c r="V939" s="24" t="n">
        <v>1</v>
      </c>
      <c r="W939" s="33" t="s">
        <v>533</v>
      </c>
      <c r="X939" s="8" t="s">
        <v>754</v>
      </c>
      <c r="Y939" s="51" t="n">
        <f aca="false">IF(N939="","",EDATE(N939,IF(G939="N",INDEX('Residual Config'!$B$31:$D$31,1,MATCH(D939,'Residual Config'!$B$27:$D$27,0)),INDEX('Residual Config'!$B$28:$D$30,IF(T939=1,1,IF(T939=4,3,2)),MATCH(D939,'Residual Config'!$B$27:$D$27,0)))))</f>
        <v>46449</v>
      </c>
      <c r="Z939" s="7" t="str">
        <f aca="false">IF(I939="N/A","N/A",IF(N939="","Not tested",IF(W939="Rejected","Evidence rejected",IF(W939&lt;&gt;"Accepted","Evidence pending",IF(Y939&lt;'Residual Config'!$C$4,"Overdue","Current")))))</f>
        <v>Current</v>
      </c>
      <c r="AA939" s="34" t="n">
        <f aca="false">IF(I939="N/A","",IF(Z939&lt;&gt;"Current",4,IF(MAX(M939,T939)=0,4,MAX(M939,T939))))</f>
        <v>2</v>
      </c>
      <c r="AB939" s="7" t="str">
        <f aca="false">IF(AA939="","N/A",IF(Z939&lt;&gt;"Current","Not tested / overdue",INDEX('Residual Config'!$B$11:$B$14,AA939)))</f>
        <v>Largely effective</v>
      </c>
      <c r="AC939" s="36" t="n">
        <f aca="false">IF(AA939="","",INDEX('Residual Config'!$D$11:$D$14,AA939))</f>
        <v>0.4</v>
      </c>
      <c r="AD939" s="7" t="str">
        <f aca="false">IF(OR(I939="N/A",P939="",Q939=""),"",IF(P939&gt;=Q939,"Yes","No"))</f>
        <v>Yes</v>
      </c>
      <c r="AE939" s="8"/>
    </row>
    <row r="940" customFormat="false" ht="15" hidden="false" customHeight="false" outlineLevel="0" collapsed="false">
      <c r="A940" s="12" t="s">
        <v>3070</v>
      </c>
      <c r="B940" s="26" t="str">
        <f aca="false">Entities!$A$26</f>
        <v>GB</v>
      </c>
      <c r="C940" s="12" t="str">
        <f aca="false">INDEX(Entities!$B$5:$B$34,MATCH(B940,Entities!$A$5:$A$34,0))</f>
        <v>Europe Arab Bank – United Kingdom</v>
      </c>
      <c r="D940" s="7" t="str">
        <f aca="false">INDEX(Entities!$F$5:$F$34,MATCH(B940,Entities!$A$5:$A$34,0))</f>
        <v>Tier 1</v>
      </c>
      <c r="E940" s="26" t="str">
        <f aca="false">'Control Library'!$A$37</f>
        <v>CTL-CR-02</v>
      </c>
      <c r="F940" s="12" t="str">
        <f aca="false">INDEX('Control Library'!$B$5:$B$47,MATCH(E940,'Control Library'!$A$5:$A$47,0))</f>
        <v>Collateral valuation and exposure limit monitoring</v>
      </c>
      <c r="G940" s="7" t="str">
        <f aca="false">INDEX('Control Library'!$F$5:$F$47,MATCH(E940,'Control Library'!$A$5:$A$47,0))</f>
        <v>N</v>
      </c>
      <c r="H940" s="12" t="str">
        <f aca="false">INDEX('Control Library'!$E$5:$E$47,MATCH(E940,'Control Library'!$A$5:$A$47,0))</f>
        <v>Monthly</v>
      </c>
      <c r="I940" s="7" t="str">
        <f aca="false">IF(INDEX('Control Library'!$I$5:$I$47,MATCH(E940,'Control Library'!$A$5:$A$47,0))="All","Y",IF(INDEX('Control Library'!$I$5:$I$47,MATCH(E940,'Control Library'!$A$5:$A$47,0))="Banks only",IF(COUNTIF('Residual Config'!$L$28:$L$30,INDEX(Entities!$E$5:$E$34,MATCH(B940,Entities!$A$5:$A$34,0)))&gt;0,"N/A","Y"),IF(INDEX(Entities!$G$5:$G$34,MATCH(B940,Entities!$A$5:$A$34,0))="Y","Y","N/A")))</f>
        <v>Y</v>
      </c>
      <c r="J940" s="8" t="s">
        <v>3071</v>
      </c>
      <c r="K940" s="8" t="s">
        <v>3001</v>
      </c>
      <c r="L940" s="7" t="str">
        <f aca="false">IF(OR(J940="",K940=""),"",IF(J940=K940,"Breach","OK"))</f>
        <v>OK</v>
      </c>
      <c r="M940" s="24" t="n">
        <v>2</v>
      </c>
      <c r="N940" s="50" t="n">
        <v>46119</v>
      </c>
      <c r="O940" s="8" t="s">
        <v>546</v>
      </c>
      <c r="P940" s="24" t="n">
        <v>3</v>
      </c>
      <c r="Q940" s="31" t="n">
        <f aca="false">IF(I940="N/A","",IFERROR(INDEX('Residual Config'!$B$35:$B$42,MATCH(H940,'Residual Config'!$A$35:$A$42,0)),""))</f>
        <v>3</v>
      </c>
      <c r="R940" s="24" t="n">
        <v>1</v>
      </c>
      <c r="S940" s="8" t="s">
        <v>521</v>
      </c>
      <c r="T940" s="31" t="n">
        <f aca="false">IF(S940="","",MATCH(S940,'Residual Config'!$L$9:$L$12,0))</f>
        <v>2</v>
      </c>
      <c r="U940" s="8" t="s">
        <v>3072</v>
      </c>
      <c r="V940" s="24" t="n">
        <v>1</v>
      </c>
      <c r="W940" s="33" t="s">
        <v>533</v>
      </c>
      <c r="X940" s="8" t="s">
        <v>760</v>
      </c>
      <c r="Y940" s="51" t="n">
        <f aca="false">IF(N940="","",EDATE(N940,IF(G940="N",INDEX('Residual Config'!$B$31:$D$31,1,MATCH(D940,'Residual Config'!$B$27:$D$27,0)),INDEX('Residual Config'!$B$28:$D$30,IF(T940=1,1,IF(T940=4,3,2)),MATCH(D940,'Residual Config'!$B$27:$D$27,0)))))</f>
        <v>46484</v>
      </c>
      <c r="Z940" s="7" t="str">
        <f aca="false">IF(I940="N/A","N/A",IF(N940="","Not tested",IF(W940="Rejected","Evidence rejected",IF(W940&lt;&gt;"Accepted","Evidence pending",IF(Y940&lt;'Residual Config'!$C$4,"Overdue","Current")))))</f>
        <v>Current</v>
      </c>
      <c r="AA940" s="34" t="n">
        <f aca="false">IF(I940="N/A","",IF(Z940&lt;&gt;"Current",4,IF(MAX(M940,T940)=0,4,MAX(M940,T940))))</f>
        <v>2</v>
      </c>
      <c r="AB940" s="7" t="str">
        <f aca="false">IF(AA940="","N/A",IF(Z940&lt;&gt;"Current","Not tested / overdue",INDEX('Residual Config'!$B$11:$B$14,AA940)))</f>
        <v>Largely effective</v>
      </c>
      <c r="AC940" s="36" t="n">
        <f aca="false">IF(AA940="","",INDEX('Residual Config'!$D$11:$D$14,AA940))</f>
        <v>0.4</v>
      </c>
      <c r="AD940" s="7" t="str">
        <f aca="false">IF(OR(I940="N/A",P940="",Q940=""),"",IF(P940&gt;=Q940,"Yes","No"))</f>
        <v>Yes</v>
      </c>
      <c r="AE940" s="8"/>
    </row>
    <row r="941" customFormat="false" ht="15" hidden="false" customHeight="false" outlineLevel="0" collapsed="false">
      <c r="A941" s="12" t="s">
        <v>3073</v>
      </c>
      <c r="B941" s="26" t="str">
        <f aca="false">Entities!$A$26</f>
        <v>GB</v>
      </c>
      <c r="C941" s="12" t="str">
        <f aca="false">INDEX(Entities!$B$5:$B$34,MATCH(B941,Entities!$A$5:$A$34,0))</f>
        <v>Europe Arab Bank – United Kingdom</v>
      </c>
      <c r="D941" s="7" t="str">
        <f aca="false">INDEX(Entities!$F$5:$F$34,MATCH(B941,Entities!$A$5:$A$34,0))</f>
        <v>Tier 1</v>
      </c>
      <c r="E941" s="26" t="str">
        <f aca="false">'Control Library'!$A$38</f>
        <v>CTL-MR-01</v>
      </c>
      <c r="F941" s="12" t="str">
        <f aca="false">INDEX('Control Library'!$B$5:$B$47,MATCH(E941,'Control Library'!$A$5:$A$47,0))</f>
        <v>Market risk limits and daily VaR monitoring</v>
      </c>
      <c r="G941" s="7" t="str">
        <f aca="false">INDEX('Control Library'!$F$5:$F$47,MATCH(E941,'Control Library'!$A$5:$A$47,0))</f>
        <v>Y</v>
      </c>
      <c r="H941" s="12" t="str">
        <f aca="false">INDEX('Control Library'!$E$5:$E$47,MATCH(E941,'Control Library'!$A$5:$A$47,0))</f>
        <v>Daily</v>
      </c>
      <c r="I941" s="7" t="str">
        <f aca="false">IF(INDEX('Control Library'!$I$5:$I$47,MATCH(E941,'Control Library'!$A$5:$A$47,0))="All","Y",IF(INDEX('Control Library'!$I$5:$I$47,MATCH(E941,'Control Library'!$A$5:$A$47,0))="Banks only",IF(COUNTIF('Residual Config'!$L$28:$L$30,INDEX(Entities!$E$5:$E$34,MATCH(B941,Entities!$A$5:$A$34,0)))&gt;0,"N/A","Y"),IF(INDEX(Entities!$G$5:$G$34,MATCH(B941,Entities!$A$5:$A$34,0))="Y","Y","N/A")))</f>
        <v>Y</v>
      </c>
      <c r="J941" s="8" t="s">
        <v>3071</v>
      </c>
      <c r="K941" s="8" t="s">
        <v>752</v>
      </c>
      <c r="L941" s="7" t="str">
        <f aca="false">IF(OR(J941="",K941=""),"",IF(J941=K941,"Breach","OK"))</f>
        <v>OK</v>
      </c>
      <c r="M941" s="24" t="n">
        <v>2</v>
      </c>
      <c r="N941" s="50" t="n">
        <v>46227</v>
      </c>
      <c r="O941" s="8" t="s">
        <v>547</v>
      </c>
      <c r="P941" s="24" t="n">
        <v>25</v>
      </c>
      <c r="Q941" s="31" t="n">
        <f aca="false">IF(I941="N/A","",IFERROR(INDEX('Residual Config'!$B$35:$B$42,MATCH(H941,'Residual Config'!$A$35:$A$42,0)),""))</f>
        <v>25</v>
      </c>
      <c r="R941" s="24" t="n">
        <v>1</v>
      </c>
      <c r="S941" s="8" t="s">
        <v>521</v>
      </c>
      <c r="T941" s="31" t="n">
        <f aca="false">IF(S941="","",MATCH(S941,'Residual Config'!$L$9:$L$12,0))</f>
        <v>2</v>
      </c>
      <c r="U941" s="8" t="s">
        <v>3074</v>
      </c>
      <c r="V941" s="24" t="n">
        <v>2</v>
      </c>
      <c r="W941" s="33" t="s">
        <v>533</v>
      </c>
      <c r="X941" s="8" t="s">
        <v>754</v>
      </c>
      <c r="Y941" s="51" t="n">
        <f aca="false">IF(N941="","",EDATE(N941,IF(G941="N",INDEX('Residual Config'!$B$31:$D$31,1,MATCH(D941,'Residual Config'!$B$27:$D$27,0)),INDEX('Residual Config'!$B$28:$D$30,IF(T941=1,1,IF(T941=4,3,2)),MATCH(D941,'Residual Config'!$B$27:$D$27,0)))))</f>
        <v>46319</v>
      </c>
      <c r="Z941" s="7" t="str">
        <f aca="false">IF(I941="N/A","N/A",IF(N941="","Not tested",IF(W941="Rejected","Evidence rejected",IF(W941&lt;&gt;"Accepted","Evidence pending",IF(Y941&lt;'Residual Config'!$C$4,"Overdue","Current")))))</f>
        <v>Current</v>
      </c>
      <c r="AA941" s="34" t="n">
        <f aca="false">IF(I941="N/A","",IF(Z941&lt;&gt;"Current",4,IF(MAX(M941,T941)=0,4,MAX(M941,T941))))</f>
        <v>2</v>
      </c>
      <c r="AB941" s="7" t="str">
        <f aca="false">IF(AA941="","N/A",IF(Z941&lt;&gt;"Current","Not tested / overdue",INDEX('Residual Config'!$B$11:$B$14,AA941)))</f>
        <v>Largely effective</v>
      </c>
      <c r="AC941" s="36" t="n">
        <f aca="false">IF(AA941="","",INDEX('Residual Config'!$D$11:$D$14,AA941))</f>
        <v>0.4</v>
      </c>
      <c r="AD941" s="7" t="str">
        <f aca="false">IF(OR(I941="N/A",P941="",Q941=""),"",IF(P941&gt;=Q941,"Yes","No"))</f>
        <v>Yes</v>
      </c>
      <c r="AE941" s="8"/>
    </row>
    <row r="942" customFormat="false" ht="15" hidden="false" customHeight="false" outlineLevel="0" collapsed="false">
      <c r="A942" s="12" t="s">
        <v>3075</v>
      </c>
      <c r="B942" s="26" t="str">
        <f aca="false">Entities!$A$26</f>
        <v>GB</v>
      </c>
      <c r="C942" s="12" t="str">
        <f aca="false">INDEX(Entities!$B$5:$B$34,MATCH(B942,Entities!$A$5:$A$34,0))</f>
        <v>Europe Arab Bank – United Kingdom</v>
      </c>
      <c r="D942" s="7" t="str">
        <f aca="false">INDEX(Entities!$F$5:$F$34,MATCH(B942,Entities!$A$5:$A$34,0))</f>
        <v>Tier 1</v>
      </c>
      <c r="E942" s="26" t="str">
        <f aca="false">'Control Library'!$A$39</f>
        <v>CTL-LQ-01</v>
      </c>
      <c r="F942" s="12" t="str">
        <f aca="false">INDEX('Control Library'!$B$5:$B$47,MATCH(E942,'Control Library'!$A$5:$A$47,0))</f>
        <v>Liquidity buffers, LCR/NSFR monitoring and contingency funding plan</v>
      </c>
      <c r="G942" s="7" t="str">
        <f aca="false">INDEX('Control Library'!$F$5:$F$47,MATCH(E942,'Control Library'!$A$5:$A$47,0))</f>
        <v>Y</v>
      </c>
      <c r="H942" s="12" t="str">
        <f aca="false">INDEX('Control Library'!$E$5:$E$47,MATCH(E942,'Control Library'!$A$5:$A$47,0))</f>
        <v>Daily</v>
      </c>
      <c r="I942" s="7" t="str">
        <f aca="false">IF(INDEX('Control Library'!$I$5:$I$47,MATCH(E942,'Control Library'!$A$5:$A$47,0))="All","Y",IF(INDEX('Control Library'!$I$5:$I$47,MATCH(E942,'Control Library'!$A$5:$A$47,0))="Banks only",IF(COUNTIF('Residual Config'!$L$28:$L$30,INDEX(Entities!$E$5:$E$34,MATCH(B942,Entities!$A$5:$A$34,0)))&gt;0,"N/A","Y"),IF(INDEX(Entities!$G$5:$G$34,MATCH(B942,Entities!$A$5:$A$34,0))="Y","Y","N/A")))</f>
        <v>Y</v>
      </c>
      <c r="J942" s="8" t="s">
        <v>3076</v>
      </c>
      <c r="K942" s="8" t="s">
        <v>752</v>
      </c>
      <c r="L942" s="7" t="str">
        <f aca="false">IF(OR(J942="",K942=""),"",IF(J942=K942,"Breach","OK"))</f>
        <v>OK</v>
      </c>
      <c r="M942" s="24" t="n">
        <v>1</v>
      </c>
      <c r="N942" s="50" t="n">
        <v>46272</v>
      </c>
      <c r="O942" s="8" t="s">
        <v>545</v>
      </c>
      <c r="P942" s="24" t="n">
        <v>25</v>
      </c>
      <c r="Q942" s="31" t="n">
        <f aca="false">IF(I942="N/A","",IFERROR(INDEX('Residual Config'!$B$35:$B$42,MATCH(H942,'Residual Config'!$A$35:$A$42,0)),""))</f>
        <v>25</v>
      </c>
      <c r="R942" s="24" t="n">
        <v>1</v>
      </c>
      <c r="S942" s="8" t="s">
        <v>521</v>
      </c>
      <c r="T942" s="31" t="n">
        <f aca="false">IF(S942="","",MATCH(S942,'Residual Config'!$L$9:$L$12,0))</f>
        <v>2</v>
      </c>
      <c r="U942" s="8" t="s">
        <v>3077</v>
      </c>
      <c r="V942" s="24" t="n">
        <v>2</v>
      </c>
      <c r="W942" s="33" t="s">
        <v>533</v>
      </c>
      <c r="X942" s="8" t="s">
        <v>754</v>
      </c>
      <c r="Y942" s="51" t="n">
        <f aca="false">IF(N942="","",EDATE(N942,IF(G942="N",INDEX('Residual Config'!$B$31:$D$31,1,MATCH(D942,'Residual Config'!$B$27:$D$27,0)),INDEX('Residual Config'!$B$28:$D$30,IF(T942=1,1,IF(T942=4,3,2)),MATCH(D942,'Residual Config'!$B$27:$D$27,0)))))</f>
        <v>46363</v>
      </c>
      <c r="Z942" s="7" t="str">
        <f aca="false">IF(I942="N/A","N/A",IF(N942="","Not tested",IF(W942="Rejected","Evidence rejected",IF(W942&lt;&gt;"Accepted","Evidence pending",IF(Y942&lt;'Residual Config'!$C$4,"Overdue","Current")))))</f>
        <v>Current</v>
      </c>
      <c r="AA942" s="34" t="n">
        <f aca="false">IF(I942="N/A","",IF(Z942&lt;&gt;"Current",4,IF(MAX(M942,T942)=0,4,MAX(M942,T942))))</f>
        <v>2</v>
      </c>
      <c r="AB942" s="7" t="str">
        <f aca="false">IF(AA942="","N/A",IF(Z942&lt;&gt;"Current","Not tested / overdue",INDEX('Residual Config'!$B$11:$B$14,AA942)))</f>
        <v>Largely effective</v>
      </c>
      <c r="AC942" s="36" t="n">
        <f aca="false">IF(AA942="","",INDEX('Residual Config'!$D$11:$D$14,AA942))</f>
        <v>0.4</v>
      </c>
      <c r="AD942" s="7" t="str">
        <f aca="false">IF(OR(I942="N/A",P942="",Q942=""),"",IF(P942&gt;=Q942,"Yes","No"))</f>
        <v>Yes</v>
      </c>
      <c r="AE942" s="8"/>
    </row>
    <row r="943" customFormat="false" ht="15" hidden="false" customHeight="false" outlineLevel="0" collapsed="false">
      <c r="A943" s="12" t="s">
        <v>3078</v>
      </c>
      <c r="B943" s="26" t="str">
        <f aca="false">Entities!$A$26</f>
        <v>GB</v>
      </c>
      <c r="C943" s="12" t="str">
        <f aca="false">INDEX(Entities!$B$5:$B$34,MATCH(B943,Entities!$A$5:$A$34,0))</f>
        <v>Europe Arab Bank – United Kingdom</v>
      </c>
      <c r="D943" s="7" t="str">
        <f aca="false">INDEX(Entities!$F$5:$F$34,MATCH(B943,Entities!$A$5:$A$34,0))</f>
        <v>Tier 1</v>
      </c>
      <c r="E943" s="26" t="str">
        <f aca="false">'Control Library'!$A$40</f>
        <v>CTL-OR-01</v>
      </c>
      <c r="F943" s="12" t="str">
        <f aca="false">INDEX('Control Library'!$B$5:$B$47,MATCH(E943,'Control Library'!$A$5:$A$47,0))</f>
        <v>Business continuity plans and annual testing</v>
      </c>
      <c r="G943" s="7" t="str">
        <f aca="false">INDEX('Control Library'!$F$5:$F$47,MATCH(E943,'Control Library'!$A$5:$A$47,0))</f>
        <v>Y</v>
      </c>
      <c r="H943" s="12" t="str">
        <f aca="false">INDEX('Control Library'!$E$5:$E$47,MATCH(E943,'Control Library'!$A$5:$A$47,0))</f>
        <v>Annual</v>
      </c>
      <c r="I943" s="7" t="str">
        <f aca="false">IF(INDEX('Control Library'!$I$5:$I$47,MATCH(E943,'Control Library'!$A$5:$A$47,0))="All","Y",IF(INDEX('Control Library'!$I$5:$I$47,MATCH(E943,'Control Library'!$A$5:$A$47,0))="Banks only",IF(COUNTIF('Residual Config'!$L$28:$L$30,INDEX(Entities!$E$5:$E$34,MATCH(B943,Entities!$A$5:$A$34,0)))&gt;0,"N/A","Y"),IF(INDEX(Entities!$G$5:$G$34,MATCH(B943,Entities!$A$5:$A$34,0))="Y","Y","N/A")))</f>
        <v>Y</v>
      </c>
      <c r="J943" s="8" t="s">
        <v>3079</v>
      </c>
      <c r="K943" s="8" t="s">
        <v>752</v>
      </c>
      <c r="L943" s="7" t="str">
        <f aca="false">IF(OR(J943="",K943=""),"",IF(J943=K943,"Breach","OK"))</f>
        <v>OK</v>
      </c>
      <c r="M943" s="24" t="n">
        <v>1</v>
      </c>
      <c r="N943" s="50" t="n">
        <v>46251</v>
      </c>
      <c r="O943" s="8" t="s">
        <v>545</v>
      </c>
      <c r="P943" s="24" t="n">
        <v>1</v>
      </c>
      <c r="Q943" s="31" t="n">
        <f aca="false">IF(I943="N/A","",IFERROR(INDEX('Residual Config'!$B$35:$B$42,MATCH(H943,'Residual Config'!$A$35:$A$42,0)),""))</f>
        <v>1</v>
      </c>
      <c r="R943" s="24" t="n">
        <v>0</v>
      </c>
      <c r="S943" s="8" t="s">
        <v>516</v>
      </c>
      <c r="T943" s="31" t="n">
        <f aca="false">IF(S943="","",MATCH(S943,'Residual Config'!$L$9:$L$12,0))</f>
        <v>1</v>
      </c>
      <c r="U943" s="8" t="s">
        <v>3080</v>
      </c>
      <c r="V943" s="24" t="n">
        <v>3</v>
      </c>
      <c r="W943" s="33" t="s">
        <v>533</v>
      </c>
      <c r="X943" s="8" t="s">
        <v>760</v>
      </c>
      <c r="Y943" s="51" t="n">
        <f aca="false">IF(N943="","",EDATE(N943,IF(G943="N",INDEX('Residual Config'!$B$31:$D$31,1,MATCH(D943,'Residual Config'!$B$27:$D$27,0)),INDEX('Residual Config'!$B$28:$D$30,IF(T943=1,1,IF(T943=4,3,2)),MATCH(D943,'Residual Config'!$B$27:$D$27,0)))))</f>
        <v>46435</v>
      </c>
      <c r="Z943" s="7" t="str">
        <f aca="false">IF(I943="N/A","N/A",IF(N943="","Not tested",IF(W943="Rejected","Evidence rejected",IF(W943&lt;&gt;"Accepted","Evidence pending",IF(Y943&lt;'Residual Config'!$C$4,"Overdue","Current")))))</f>
        <v>Current</v>
      </c>
      <c r="AA943" s="34" t="n">
        <f aca="false">IF(I943="N/A","",IF(Z943&lt;&gt;"Current",4,IF(MAX(M943,T943)=0,4,MAX(M943,T943))))</f>
        <v>1</v>
      </c>
      <c r="AB943" s="7" t="str">
        <f aca="false">IF(AA943="","N/A",IF(Z943&lt;&gt;"Current","Not tested / overdue",INDEX('Residual Config'!$B$11:$B$14,AA943)))</f>
        <v>Effective</v>
      </c>
      <c r="AC943" s="36" t="n">
        <f aca="false">IF(AA943="","",INDEX('Residual Config'!$D$11:$D$14,AA943))</f>
        <v>0.6</v>
      </c>
      <c r="AD943" s="7" t="str">
        <f aca="false">IF(OR(I943="N/A",P943="",Q943=""),"",IF(P943&gt;=Q943,"Yes","No"))</f>
        <v>Yes</v>
      </c>
      <c r="AE943" s="8"/>
    </row>
    <row r="944" customFormat="false" ht="15" hidden="false" customHeight="false" outlineLevel="0" collapsed="false">
      <c r="A944" s="12" t="s">
        <v>3081</v>
      </c>
      <c r="B944" s="26" t="str">
        <f aca="false">Entities!$A$26</f>
        <v>GB</v>
      </c>
      <c r="C944" s="12" t="str">
        <f aca="false">INDEX(Entities!$B$5:$B$34,MATCH(B944,Entities!$A$5:$A$34,0))</f>
        <v>Europe Arab Bank – United Kingdom</v>
      </c>
      <c r="D944" s="7" t="str">
        <f aca="false">INDEX(Entities!$F$5:$F$34,MATCH(B944,Entities!$A$5:$A$34,0))</f>
        <v>Tier 1</v>
      </c>
      <c r="E944" s="26" t="str">
        <f aca="false">'Control Library'!$A$41</f>
        <v>CTL-OR-02</v>
      </c>
      <c r="F944" s="12" t="str">
        <f aca="false">INDEX('Control Library'!$B$5:$B$47,MATCH(E944,'Control Library'!$A$5:$A$47,0))</f>
        <v>Operational loss event capture and RCSA</v>
      </c>
      <c r="G944" s="7" t="str">
        <f aca="false">INDEX('Control Library'!$F$5:$F$47,MATCH(E944,'Control Library'!$A$5:$A$47,0))</f>
        <v>N</v>
      </c>
      <c r="H944" s="12" t="str">
        <f aca="false">INDEX('Control Library'!$E$5:$E$47,MATCH(E944,'Control Library'!$A$5:$A$47,0))</f>
        <v>Quarterly</v>
      </c>
      <c r="I944" s="7" t="str">
        <f aca="false">IF(INDEX('Control Library'!$I$5:$I$47,MATCH(E944,'Control Library'!$A$5:$A$47,0))="All","Y",IF(INDEX('Control Library'!$I$5:$I$47,MATCH(E944,'Control Library'!$A$5:$A$47,0))="Banks only",IF(COUNTIF('Residual Config'!$L$28:$L$30,INDEX(Entities!$E$5:$E$34,MATCH(B944,Entities!$A$5:$A$34,0)))&gt;0,"N/A","Y"),IF(INDEX(Entities!$G$5:$G$34,MATCH(B944,Entities!$A$5:$A$34,0))="Y","Y","N/A")))</f>
        <v>Y</v>
      </c>
      <c r="J944" s="8" t="s">
        <v>3071</v>
      </c>
      <c r="K944" s="8" t="s">
        <v>3001</v>
      </c>
      <c r="L944" s="7" t="str">
        <f aca="false">IF(OR(J944="",K944=""),"",IF(J944=K944,"Breach","OK"))</f>
        <v>OK</v>
      </c>
      <c r="M944" s="24" t="n">
        <v>1</v>
      </c>
      <c r="N944" s="50" t="n">
        <v>45986</v>
      </c>
      <c r="O944" s="8" t="s">
        <v>545</v>
      </c>
      <c r="P944" s="24" t="n">
        <v>2</v>
      </c>
      <c r="Q944" s="31" t="n">
        <f aca="false">IF(I944="N/A","",IFERROR(INDEX('Residual Config'!$B$35:$B$42,MATCH(H944,'Residual Config'!$A$35:$A$42,0)),""))</f>
        <v>2</v>
      </c>
      <c r="R944" s="24" t="n">
        <v>0</v>
      </c>
      <c r="S944" s="8" t="s">
        <v>516</v>
      </c>
      <c r="T944" s="31" t="n">
        <f aca="false">IF(S944="","",MATCH(S944,'Residual Config'!$L$9:$L$12,0))</f>
        <v>1</v>
      </c>
      <c r="U944" s="8" t="s">
        <v>3082</v>
      </c>
      <c r="V944" s="24" t="n">
        <v>6</v>
      </c>
      <c r="W944" s="33" t="s">
        <v>533</v>
      </c>
      <c r="X944" s="8" t="s">
        <v>754</v>
      </c>
      <c r="Y944" s="51" t="n">
        <f aca="false">IF(N944="","",EDATE(N944,IF(G944="N",INDEX('Residual Config'!$B$31:$D$31,1,MATCH(D944,'Residual Config'!$B$27:$D$27,0)),INDEX('Residual Config'!$B$28:$D$30,IF(T944=1,1,IF(T944=4,3,2)),MATCH(D944,'Residual Config'!$B$27:$D$27,0)))))</f>
        <v>46351</v>
      </c>
      <c r="Z944" s="7" t="str">
        <f aca="false">IF(I944="N/A","N/A",IF(N944="","Not tested",IF(W944="Rejected","Evidence rejected",IF(W944&lt;&gt;"Accepted","Evidence pending",IF(Y944&lt;'Residual Config'!$C$4,"Overdue","Current")))))</f>
        <v>Current</v>
      </c>
      <c r="AA944" s="34" t="n">
        <f aca="false">IF(I944="N/A","",IF(Z944&lt;&gt;"Current",4,IF(MAX(M944,T944)=0,4,MAX(M944,T944))))</f>
        <v>1</v>
      </c>
      <c r="AB944" s="7" t="str">
        <f aca="false">IF(AA944="","N/A",IF(Z944&lt;&gt;"Current","Not tested / overdue",INDEX('Residual Config'!$B$11:$B$14,AA944)))</f>
        <v>Effective</v>
      </c>
      <c r="AC944" s="36" t="n">
        <f aca="false">IF(AA944="","",INDEX('Residual Config'!$D$11:$D$14,AA944))</f>
        <v>0.6</v>
      </c>
      <c r="AD944" s="7" t="str">
        <f aca="false">IF(OR(I944="N/A",P944="",Q944=""),"",IF(P944&gt;=Q944,"Yes","No"))</f>
        <v>Yes</v>
      </c>
      <c r="AE944" s="8"/>
    </row>
    <row r="945" customFormat="false" ht="15" hidden="false" customHeight="false" outlineLevel="0" collapsed="false">
      <c r="A945" s="12" t="s">
        <v>3083</v>
      </c>
      <c r="B945" s="26" t="str">
        <f aca="false">Entities!$A$26</f>
        <v>GB</v>
      </c>
      <c r="C945" s="12" t="str">
        <f aca="false">INDEX(Entities!$B$5:$B$34,MATCH(B945,Entities!$A$5:$A$34,0))</f>
        <v>Europe Arab Bank – United Kingdom</v>
      </c>
      <c r="D945" s="7" t="str">
        <f aca="false">INDEX(Entities!$F$5:$F$34,MATCH(B945,Entities!$A$5:$A$34,0))</f>
        <v>Tier 1</v>
      </c>
      <c r="E945" s="26" t="str">
        <f aca="false">'Control Library'!$A$42</f>
        <v>CTL-CY-01</v>
      </c>
      <c r="F945" s="12" t="str">
        <f aca="false">INDEX('Control Library'!$B$5:$B$47,MATCH(E945,'Control Library'!$A$5:$A$47,0))</f>
        <v>Vulnerability and patch management</v>
      </c>
      <c r="G945" s="7" t="str">
        <f aca="false">INDEX('Control Library'!$F$5:$F$47,MATCH(E945,'Control Library'!$A$5:$A$47,0))</f>
        <v>Y</v>
      </c>
      <c r="H945" s="12" t="str">
        <f aca="false">INDEX('Control Library'!$E$5:$E$47,MATCH(E945,'Control Library'!$A$5:$A$47,0))</f>
        <v>Monthly</v>
      </c>
      <c r="I945" s="7" t="str">
        <f aca="false">IF(INDEX('Control Library'!$I$5:$I$47,MATCH(E945,'Control Library'!$A$5:$A$47,0))="All","Y",IF(INDEX('Control Library'!$I$5:$I$47,MATCH(E945,'Control Library'!$A$5:$A$47,0))="Banks only",IF(COUNTIF('Residual Config'!$L$28:$L$30,INDEX(Entities!$E$5:$E$34,MATCH(B945,Entities!$A$5:$A$34,0)))&gt;0,"N/A","Y"),IF(INDEX(Entities!$G$5:$G$34,MATCH(B945,Entities!$A$5:$A$34,0))="Y","Y","N/A")))</f>
        <v>Y</v>
      </c>
      <c r="J945" s="8" t="s">
        <v>3016</v>
      </c>
      <c r="K945" s="8" t="s">
        <v>752</v>
      </c>
      <c r="L945" s="7" t="str">
        <f aca="false">IF(OR(J945="",K945=""),"",IF(J945=K945,"Breach","OK"))</f>
        <v>OK</v>
      </c>
      <c r="M945" s="24" t="n">
        <v>1</v>
      </c>
      <c r="N945" s="50" t="n">
        <v>46281</v>
      </c>
      <c r="O945" s="8" t="s">
        <v>545</v>
      </c>
      <c r="P945" s="24" t="n">
        <v>3</v>
      </c>
      <c r="Q945" s="31" t="n">
        <f aca="false">IF(I945="N/A","",IFERROR(INDEX('Residual Config'!$B$35:$B$42,MATCH(H945,'Residual Config'!$A$35:$A$42,0)),""))</f>
        <v>3</v>
      </c>
      <c r="R945" s="24" t="n">
        <v>1</v>
      </c>
      <c r="S945" s="8" t="s">
        <v>521</v>
      </c>
      <c r="T945" s="31" t="n">
        <f aca="false">IF(S945="","",MATCH(S945,'Residual Config'!$L$9:$L$12,0))</f>
        <v>2</v>
      </c>
      <c r="U945" s="8" t="s">
        <v>3084</v>
      </c>
      <c r="V945" s="24" t="n">
        <v>3</v>
      </c>
      <c r="W945" s="33" t="s">
        <v>533</v>
      </c>
      <c r="X945" s="8" t="s">
        <v>760</v>
      </c>
      <c r="Y945" s="51" t="n">
        <f aca="false">IF(N945="","",EDATE(N945,IF(G945="N",INDEX('Residual Config'!$B$31:$D$31,1,MATCH(D945,'Residual Config'!$B$27:$D$27,0)),INDEX('Residual Config'!$B$28:$D$30,IF(T945=1,1,IF(T945=4,3,2)),MATCH(D945,'Residual Config'!$B$27:$D$27,0)))))</f>
        <v>46372</v>
      </c>
      <c r="Z945" s="7" t="str">
        <f aca="false">IF(I945="N/A","N/A",IF(N945="","Not tested",IF(W945="Rejected","Evidence rejected",IF(W945&lt;&gt;"Accepted","Evidence pending",IF(Y945&lt;'Residual Config'!$C$4,"Overdue","Current")))))</f>
        <v>Current</v>
      </c>
      <c r="AA945" s="34" t="n">
        <f aca="false">IF(I945="N/A","",IF(Z945&lt;&gt;"Current",4,IF(MAX(M945,T945)=0,4,MAX(M945,T945))))</f>
        <v>2</v>
      </c>
      <c r="AB945" s="7" t="str">
        <f aca="false">IF(AA945="","N/A",IF(Z945&lt;&gt;"Current","Not tested / overdue",INDEX('Residual Config'!$B$11:$B$14,AA945)))</f>
        <v>Largely effective</v>
      </c>
      <c r="AC945" s="36" t="n">
        <f aca="false">IF(AA945="","",INDEX('Residual Config'!$D$11:$D$14,AA945))</f>
        <v>0.4</v>
      </c>
      <c r="AD945" s="7" t="str">
        <f aca="false">IF(OR(I945="N/A",P945="",Q945=""),"",IF(P945&gt;=Q945,"Yes","No"))</f>
        <v>Yes</v>
      </c>
      <c r="AE945" s="8"/>
    </row>
    <row r="946" customFormat="false" ht="15" hidden="false" customHeight="false" outlineLevel="0" collapsed="false">
      <c r="A946" s="12" t="s">
        <v>3085</v>
      </c>
      <c r="B946" s="26" t="str">
        <f aca="false">Entities!$A$26</f>
        <v>GB</v>
      </c>
      <c r="C946" s="12" t="str">
        <f aca="false">INDEX(Entities!$B$5:$B$34,MATCH(B946,Entities!$A$5:$A$34,0))</f>
        <v>Europe Arab Bank – United Kingdom</v>
      </c>
      <c r="D946" s="7" t="str">
        <f aca="false">INDEX(Entities!$F$5:$F$34,MATCH(B946,Entities!$A$5:$A$34,0))</f>
        <v>Tier 1</v>
      </c>
      <c r="E946" s="26" t="str">
        <f aca="false">'Control Library'!$A$43</f>
        <v>CTL-CY-02</v>
      </c>
      <c r="F946" s="12" t="str">
        <f aca="false">INDEX('Control Library'!$B$5:$B$47,MATCH(E946,'Control Library'!$A$5:$A$47,0))</f>
        <v>Privileged access management and SOC monitoring</v>
      </c>
      <c r="G946" s="7" t="str">
        <f aca="false">INDEX('Control Library'!$F$5:$F$47,MATCH(E946,'Control Library'!$A$5:$A$47,0))</f>
        <v>Y</v>
      </c>
      <c r="H946" s="12" t="str">
        <f aca="false">INDEX('Control Library'!$E$5:$E$47,MATCH(E946,'Control Library'!$A$5:$A$47,0))</f>
        <v>Continuous</v>
      </c>
      <c r="I946" s="7" t="str">
        <f aca="false">IF(INDEX('Control Library'!$I$5:$I$47,MATCH(E946,'Control Library'!$A$5:$A$47,0))="All","Y",IF(INDEX('Control Library'!$I$5:$I$47,MATCH(E946,'Control Library'!$A$5:$A$47,0))="Banks only",IF(COUNTIF('Residual Config'!$L$28:$L$30,INDEX(Entities!$E$5:$E$34,MATCH(B946,Entities!$A$5:$A$34,0)))&gt;0,"N/A","Y"),IF(INDEX(Entities!$G$5:$G$34,MATCH(B946,Entities!$A$5:$A$34,0))="Y","Y","N/A")))</f>
        <v>Y</v>
      </c>
      <c r="J946" s="8" t="s">
        <v>3064</v>
      </c>
      <c r="K946" s="8" t="s">
        <v>752</v>
      </c>
      <c r="L946" s="7" t="str">
        <f aca="false">IF(OR(J946="",K946=""),"",IF(J946=K946,"Breach","OK"))</f>
        <v>OK</v>
      </c>
      <c r="M946" s="24" t="n">
        <v>1</v>
      </c>
      <c r="N946" s="50" t="n">
        <v>46233</v>
      </c>
      <c r="O946" s="8" t="s">
        <v>546</v>
      </c>
      <c r="P946" s="24" t="n">
        <v>1</v>
      </c>
      <c r="Q946" s="31" t="n">
        <f aca="false">IF(I946="N/A","",IFERROR(INDEX('Residual Config'!$B$35:$B$42,MATCH(H946,'Residual Config'!$A$35:$A$42,0)),""))</f>
        <v>1</v>
      </c>
      <c r="R946" s="24" t="n">
        <v>0</v>
      </c>
      <c r="S946" s="8" t="s">
        <v>516</v>
      </c>
      <c r="T946" s="31" t="n">
        <f aca="false">IF(S946="","",MATCH(S946,'Residual Config'!$L$9:$L$12,0))</f>
        <v>1</v>
      </c>
      <c r="U946" s="8" t="s">
        <v>3086</v>
      </c>
      <c r="V946" s="24" t="n">
        <v>2</v>
      </c>
      <c r="W946" s="33" t="s">
        <v>533</v>
      </c>
      <c r="X946" s="8" t="s">
        <v>760</v>
      </c>
      <c r="Y946" s="51" t="n">
        <f aca="false">IF(N946="","",EDATE(N946,IF(G946="N",INDEX('Residual Config'!$B$31:$D$31,1,MATCH(D946,'Residual Config'!$B$27:$D$27,0)),INDEX('Residual Config'!$B$28:$D$30,IF(T946=1,1,IF(T946=4,3,2)),MATCH(D946,'Residual Config'!$B$27:$D$27,0)))))</f>
        <v>46417</v>
      </c>
      <c r="Z946" s="7" t="str">
        <f aca="false">IF(I946="N/A","N/A",IF(N946="","Not tested",IF(W946="Rejected","Evidence rejected",IF(W946&lt;&gt;"Accepted","Evidence pending",IF(Y946&lt;'Residual Config'!$C$4,"Overdue","Current")))))</f>
        <v>Current</v>
      </c>
      <c r="AA946" s="34" t="n">
        <f aca="false">IF(I946="N/A","",IF(Z946&lt;&gt;"Current",4,IF(MAX(M946,T946)=0,4,MAX(M946,T946))))</f>
        <v>1</v>
      </c>
      <c r="AB946" s="7" t="str">
        <f aca="false">IF(AA946="","N/A",IF(Z946&lt;&gt;"Current","Not tested / overdue",INDEX('Residual Config'!$B$11:$B$14,AA946)))</f>
        <v>Effective</v>
      </c>
      <c r="AC946" s="36" t="n">
        <f aca="false">IF(AA946="","",INDEX('Residual Config'!$D$11:$D$14,AA946))</f>
        <v>0.6</v>
      </c>
      <c r="AD946" s="7" t="str">
        <f aca="false">IF(OR(I946="N/A",P946="",Q946=""),"",IF(P946&gt;=Q946,"Yes","No"))</f>
        <v>Yes</v>
      </c>
      <c r="AE946" s="8"/>
    </row>
    <row r="947" customFormat="false" ht="15" hidden="false" customHeight="false" outlineLevel="0" collapsed="false">
      <c r="A947" s="12" t="s">
        <v>3087</v>
      </c>
      <c r="B947" s="26" t="str">
        <f aca="false">Entities!$A$26</f>
        <v>GB</v>
      </c>
      <c r="C947" s="12" t="str">
        <f aca="false">INDEX(Entities!$B$5:$B$34,MATCH(B947,Entities!$A$5:$A$34,0))</f>
        <v>Europe Arab Bank – United Kingdom</v>
      </c>
      <c r="D947" s="7" t="str">
        <f aca="false">INDEX(Entities!$F$5:$F$34,MATCH(B947,Entities!$A$5:$A$34,0))</f>
        <v>Tier 1</v>
      </c>
      <c r="E947" s="26" t="str">
        <f aca="false">'Control Library'!$A$44</f>
        <v>CTL-TP-01</v>
      </c>
      <c r="F947" s="12" t="str">
        <f aca="false">INDEX('Control Library'!$B$5:$B$47,MATCH(E947,'Control Library'!$A$5:$A$47,0))</f>
        <v>Critical vendor due diligence and tested exit plans</v>
      </c>
      <c r="G947" s="7" t="str">
        <f aca="false">INDEX('Control Library'!$F$5:$F$47,MATCH(E947,'Control Library'!$A$5:$A$47,0))</f>
        <v>Y</v>
      </c>
      <c r="H947" s="12" t="str">
        <f aca="false">INDEX('Control Library'!$E$5:$E$47,MATCH(E947,'Control Library'!$A$5:$A$47,0))</f>
        <v>Annual</v>
      </c>
      <c r="I947" s="7" t="str">
        <f aca="false">IF(INDEX('Control Library'!$I$5:$I$47,MATCH(E947,'Control Library'!$A$5:$A$47,0))="All","Y",IF(INDEX('Control Library'!$I$5:$I$47,MATCH(E947,'Control Library'!$A$5:$A$47,0))="Banks only",IF(COUNTIF('Residual Config'!$L$28:$L$30,INDEX(Entities!$E$5:$E$34,MATCH(B947,Entities!$A$5:$A$34,0)))&gt;0,"N/A","Y"),IF(INDEX(Entities!$G$5:$G$34,MATCH(B947,Entities!$A$5:$A$34,0))="Y","Y","N/A")))</f>
        <v>Y</v>
      </c>
      <c r="J947" s="8" t="s">
        <v>3033</v>
      </c>
      <c r="K947" s="8" t="s">
        <v>752</v>
      </c>
      <c r="L947" s="7" t="str">
        <f aca="false">IF(OR(J947="",K947=""),"",IF(J947=K947,"Breach","OK"))</f>
        <v>OK</v>
      </c>
      <c r="M947" s="24" t="n">
        <v>2</v>
      </c>
      <c r="N947" s="50" t="n">
        <v>46167</v>
      </c>
      <c r="O947" s="8" t="s">
        <v>545</v>
      </c>
      <c r="P947" s="24" t="n">
        <v>1</v>
      </c>
      <c r="Q947" s="31" t="n">
        <f aca="false">IF(I947="N/A","",IFERROR(INDEX('Residual Config'!$B$35:$B$42,MATCH(H947,'Residual Config'!$A$35:$A$42,0)),""))</f>
        <v>1</v>
      </c>
      <c r="R947" s="24" t="n">
        <v>0</v>
      </c>
      <c r="S947" s="8" t="s">
        <v>516</v>
      </c>
      <c r="T947" s="31" t="n">
        <f aca="false">IF(S947="","",MATCH(S947,'Residual Config'!$L$9:$L$12,0))</f>
        <v>1</v>
      </c>
      <c r="U947" s="8" t="s">
        <v>3088</v>
      </c>
      <c r="V947" s="24" t="n">
        <v>6</v>
      </c>
      <c r="W947" s="33" t="s">
        <v>533</v>
      </c>
      <c r="X947" s="8" t="s">
        <v>754</v>
      </c>
      <c r="Y947" s="51" t="n">
        <f aca="false">IF(N947="","",EDATE(N947,IF(G947="N",INDEX('Residual Config'!$B$31:$D$31,1,MATCH(D947,'Residual Config'!$B$27:$D$27,0)),INDEX('Residual Config'!$B$28:$D$30,IF(T947=1,1,IF(T947=4,3,2)),MATCH(D947,'Residual Config'!$B$27:$D$27,0)))))</f>
        <v>46351</v>
      </c>
      <c r="Z947" s="7" t="str">
        <f aca="false">IF(I947="N/A","N/A",IF(N947="","Not tested",IF(W947="Rejected","Evidence rejected",IF(W947&lt;&gt;"Accepted","Evidence pending",IF(Y947&lt;'Residual Config'!$C$4,"Overdue","Current")))))</f>
        <v>Current</v>
      </c>
      <c r="AA947" s="34" t="n">
        <f aca="false">IF(I947="N/A","",IF(Z947&lt;&gt;"Current",4,IF(MAX(M947,T947)=0,4,MAX(M947,T947))))</f>
        <v>2</v>
      </c>
      <c r="AB947" s="7" t="str">
        <f aca="false">IF(AA947="","N/A",IF(Z947&lt;&gt;"Current","Not tested / overdue",INDEX('Residual Config'!$B$11:$B$14,AA947)))</f>
        <v>Largely effective</v>
      </c>
      <c r="AC947" s="36" t="n">
        <f aca="false">IF(AA947="","",INDEX('Residual Config'!$D$11:$D$14,AA947))</f>
        <v>0.4</v>
      </c>
      <c r="AD947" s="7" t="str">
        <f aca="false">IF(OR(I947="N/A",P947="",Q947=""),"",IF(P947&gt;=Q947,"Yes","No"))</f>
        <v>Yes</v>
      </c>
      <c r="AE947" s="8"/>
    </row>
    <row r="948" customFormat="false" ht="15" hidden="false" customHeight="false" outlineLevel="0" collapsed="false">
      <c r="A948" s="12" t="s">
        <v>3089</v>
      </c>
      <c r="B948" s="26" t="str">
        <f aca="false">Entities!$A$26</f>
        <v>GB</v>
      </c>
      <c r="C948" s="12" t="str">
        <f aca="false">INDEX(Entities!$B$5:$B$34,MATCH(B948,Entities!$A$5:$A$34,0))</f>
        <v>Europe Arab Bank – United Kingdom</v>
      </c>
      <c r="D948" s="7" t="str">
        <f aca="false">INDEX(Entities!$F$5:$F$34,MATCH(B948,Entities!$A$5:$A$34,0))</f>
        <v>Tier 1</v>
      </c>
      <c r="E948" s="26" t="str">
        <f aca="false">'Control Library'!$A$45</f>
        <v>CTL-LG-01</v>
      </c>
      <c r="F948" s="12" t="str">
        <f aca="false">INDEX('Control Library'!$B$5:$B$47,MATCH(E948,'Control Library'!$A$5:$A$47,0))</f>
        <v>Legal review of contracts and litigation register</v>
      </c>
      <c r="G948" s="7" t="str">
        <f aca="false">INDEX('Control Library'!$F$5:$F$47,MATCH(E948,'Control Library'!$A$5:$A$47,0))</f>
        <v>Y</v>
      </c>
      <c r="H948" s="12" t="str">
        <f aca="false">INDEX('Control Library'!$E$5:$E$47,MATCH(E948,'Control Library'!$A$5:$A$47,0))</f>
        <v>Event-driven</v>
      </c>
      <c r="I948" s="7" t="str">
        <f aca="false">IF(INDEX('Control Library'!$I$5:$I$47,MATCH(E948,'Control Library'!$A$5:$A$47,0))="All","Y",IF(INDEX('Control Library'!$I$5:$I$47,MATCH(E948,'Control Library'!$A$5:$A$47,0))="Banks only",IF(COUNTIF('Residual Config'!$L$28:$L$30,INDEX(Entities!$E$5:$E$34,MATCH(B948,Entities!$A$5:$A$34,0)))&gt;0,"N/A","Y"),IF(INDEX(Entities!$G$5:$G$34,MATCH(B948,Entities!$A$5:$A$34,0))="Y","Y","N/A")))</f>
        <v>Y</v>
      </c>
      <c r="J948" s="8" t="s">
        <v>3090</v>
      </c>
      <c r="K948" s="8" t="s">
        <v>752</v>
      </c>
      <c r="L948" s="7" t="str">
        <f aca="false">IF(OR(J948="",K948=""),"",IF(J948=K948,"Breach","OK"))</f>
        <v>OK</v>
      </c>
      <c r="M948" s="24" t="n">
        <v>1</v>
      </c>
      <c r="N948" s="50" t="n">
        <v>46052</v>
      </c>
      <c r="O948" s="8" t="s">
        <v>545</v>
      </c>
      <c r="P948" s="24" t="n">
        <v>25</v>
      </c>
      <c r="Q948" s="31" t="n">
        <f aca="false">IF(I948="N/A","",IFERROR(INDEX('Residual Config'!$B$35:$B$42,MATCH(H948,'Residual Config'!$A$35:$A$42,0)),""))</f>
        <v>25</v>
      </c>
      <c r="R948" s="24" t="n">
        <v>0</v>
      </c>
      <c r="S948" s="8" t="s">
        <v>516</v>
      </c>
      <c r="T948" s="31" t="n">
        <f aca="false">IF(S948="","",MATCH(S948,'Residual Config'!$L$9:$L$12,0))</f>
        <v>1</v>
      </c>
      <c r="U948" s="8" t="s">
        <v>3091</v>
      </c>
      <c r="V948" s="24" t="n">
        <v>5</v>
      </c>
      <c r="W948" s="33" t="s">
        <v>533</v>
      </c>
      <c r="X948" s="8" t="s">
        <v>754</v>
      </c>
      <c r="Y948" s="51" t="n">
        <f aca="false">IF(N948="","",EDATE(N948,IF(G948="N",INDEX('Residual Config'!$B$31:$D$31,1,MATCH(D948,'Residual Config'!$B$27:$D$27,0)),INDEX('Residual Config'!$B$28:$D$30,IF(T948=1,1,IF(T948=4,3,2)),MATCH(D948,'Residual Config'!$B$27:$D$27,0)))))</f>
        <v>46233</v>
      </c>
      <c r="Z948" s="7" t="str">
        <f aca="false">IF(I948="N/A","N/A",IF(N948="","Not tested",IF(W948="Rejected","Evidence rejected",IF(W948&lt;&gt;"Accepted","Evidence pending",IF(Y948&lt;'Residual Config'!$C$4,"Overdue","Current")))))</f>
        <v>Overdue</v>
      </c>
      <c r="AA948" s="34" t="n">
        <f aca="false">IF(I948="N/A","",IF(Z948&lt;&gt;"Current",4,IF(MAX(M948,T948)=0,4,MAX(M948,T948))))</f>
        <v>4</v>
      </c>
      <c r="AB948" s="7" t="str">
        <f aca="false">IF(AA948="","N/A",IF(Z948&lt;&gt;"Current","Not tested / overdue",INDEX('Residual Config'!$B$11:$B$14,AA948)))</f>
        <v>Not tested / overdue</v>
      </c>
      <c r="AC948" s="36" t="n">
        <f aca="false">IF(AA948="","",INDEX('Residual Config'!$D$11:$D$14,AA948))</f>
        <v>0</v>
      </c>
      <c r="AD948" s="7" t="str">
        <f aca="false">IF(OR(I948="N/A",P948="",Q948=""),"",IF(P948&gt;=Q948,"Yes","No"))</f>
        <v>Yes</v>
      </c>
      <c r="AE948" s="8"/>
    </row>
    <row r="949" customFormat="false" ht="15" hidden="false" customHeight="false" outlineLevel="0" collapsed="false">
      <c r="A949" s="12" t="s">
        <v>3092</v>
      </c>
      <c r="B949" s="26" t="str">
        <f aca="false">Entities!$A$26</f>
        <v>GB</v>
      </c>
      <c r="C949" s="12" t="str">
        <f aca="false">INDEX(Entities!$B$5:$B$34,MATCH(B949,Entities!$A$5:$A$34,0))</f>
        <v>Europe Arab Bank – United Kingdom</v>
      </c>
      <c r="D949" s="7" t="str">
        <f aca="false">INDEX(Entities!$F$5:$F$34,MATCH(B949,Entities!$A$5:$A$34,0))</f>
        <v>Tier 1</v>
      </c>
      <c r="E949" s="26" t="str">
        <f aca="false">'Control Library'!$A$46</f>
        <v>CTL-RP-01</v>
      </c>
      <c r="F949" s="12" t="str">
        <f aca="false">INDEX('Control Library'!$B$5:$B$47,MATCH(E949,'Control Library'!$A$5:$A$47,0))</f>
        <v>Media monitoring and reputational-risk escalation</v>
      </c>
      <c r="G949" s="7" t="str">
        <f aca="false">INDEX('Control Library'!$F$5:$F$47,MATCH(E949,'Control Library'!$A$5:$A$47,0))</f>
        <v>Y</v>
      </c>
      <c r="H949" s="12" t="str">
        <f aca="false">INDEX('Control Library'!$E$5:$E$47,MATCH(E949,'Control Library'!$A$5:$A$47,0))</f>
        <v>Daily</v>
      </c>
      <c r="I949" s="7" t="str">
        <f aca="false">IF(INDEX('Control Library'!$I$5:$I$47,MATCH(E949,'Control Library'!$A$5:$A$47,0))="All","Y",IF(INDEX('Control Library'!$I$5:$I$47,MATCH(E949,'Control Library'!$A$5:$A$47,0))="Banks only",IF(COUNTIF('Residual Config'!$L$28:$L$30,INDEX(Entities!$E$5:$E$34,MATCH(B949,Entities!$A$5:$A$34,0)))&gt;0,"N/A","Y"),IF(INDEX(Entities!$G$5:$G$34,MATCH(B949,Entities!$A$5:$A$34,0))="Y","Y","N/A")))</f>
        <v>Y</v>
      </c>
      <c r="J949" s="8" t="s">
        <v>3093</v>
      </c>
      <c r="K949" s="8" t="s">
        <v>752</v>
      </c>
      <c r="L949" s="7" t="str">
        <f aca="false">IF(OR(J949="",K949=""),"",IF(J949=K949,"Breach","OK"))</f>
        <v>OK</v>
      </c>
      <c r="M949" s="24" t="n">
        <v>1</v>
      </c>
      <c r="N949" s="50" t="n">
        <v>46158</v>
      </c>
      <c r="O949" s="8" t="s">
        <v>545</v>
      </c>
      <c r="P949" s="24" t="n">
        <v>30</v>
      </c>
      <c r="Q949" s="31" t="n">
        <f aca="false">IF(I949="N/A","",IFERROR(INDEX('Residual Config'!$B$35:$B$42,MATCH(H949,'Residual Config'!$A$35:$A$42,0)),""))</f>
        <v>25</v>
      </c>
      <c r="R949" s="24" t="n">
        <v>0</v>
      </c>
      <c r="S949" s="8" t="s">
        <v>516</v>
      </c>
      <c r="T949" s="31" t="n">
        <f aca="false">IF(S949="","",MATCH(S949,'Residual Config'!$L$9:$L$12,0))</f>
        <v>1</v>
      </c>
      <c r="U949" s="8" t="s">
        <v>3094</v>
      </c>
      <c r="V949" s="24" t="n">
        <v>3</v>
      </c>
      <c r="W949" s="33" t="s">
        <v>533</v>
      </c>
      <c r="X949" s="8" t="s">
        <v>754</v>
      </c>
      <c r="Y949" s="51" t="n">
        <f aca="false">IF(N949="","",EDATE(N949,IF(G949="N",INDEX('Residual Config'!$B$31:$D$31,1,MATCH(D949,'Residual Config'!$B$27:$D$27,0)),INDEX('Residual Config'!$B$28:$D$30,IF(T949=1,1,IF(T949=4,3,2)),MATCH(D949,'Residual Config'!$B$27:$D$27,0)))))</f>
        <v>46342</v>
      </c>
      <c r="Z949" s="7" t="str">
        <f aca="false">IF(I949="N/A","N/A",IF(N949="","Not tested",IF(W949="Rejected","Evidence rejected",IF(W949&lt;&gt;"Accepted","Evidence pending",IF(Y949&lt;'Residual Config'!$C$4,"Overdue","Current")))))</f>
        <v>Current</v>
      </c>
      <c r="AA949" s="34" t="n">
        <f aca="false">IF(I949="N/A","",IF(Z949&lt;&gt;"Current",4,IF(MAX(M949,T949)=0,4,MAX(M949,T949))))</f>
        <v>1</v>
      </c>
      <c r="AB949" s="7" t="str">
        <f aca="false">IF(AA949="","N/A",IF(Z949&lt;&gt;"Current","Not tested / overdue",INDEX('Residual Config'!$B$11:$B$14,AA949)))</f>
        <v>Effective</v>
      </c>
      <c r="AC949" s="36" t="n">
        <f aca="false">IF(AA949="","",INDEX('Residual Config'!$D$11:$D$14,AA949))</f>
        <v>0.6</v>
      </c>
      <c r="AD949" s="7" t="str">
        <f aca="false">IF(OR(I949="N/A",P949="",Q949=""),"",IF(P949&gt;=Q949,"Yes","No"))</f>
        <v>Yes</v>
      </c>
      <c r="AE949" s="8"/>
    </row>
    <row r="950" customFormat="false" ht="15" hidden="false" customHeight="false" outlineLevel="0" collapsed="false">
      <c r="A950" s="12" t="s">
        <v>3095</v>
      </c>
      <c r="B950" s="26" t="str">
        <f aca="false">Entities!$A$26</f>
        <v>GB</v>
      </c>
      <c r="C950" s="12" t="str">
        <f aca="false">INDEX(Entities!$B$5:$B$34,MATCH(B950,Entities!$A$5:$A$34,0))</f>
        <v>Europe Arab Bank – United Kingdom</v>
      </c>
      <c r="D950" s="7" t="str">
        <f aca="false">INDEX(Entities!$F$5:$F$34,MATCH(B950,Entities!$A$5:$A$34,0))</f>
        <v>Tier 1</v>
      </c>
      <c r="E950" s="26" t="str">
        <f aca="false">'Control Library'!$A$47</f>
        <v>CTL-ST-01</v>
      </c>
      <c r="F950" s="12" t="str">
        <f aca="false">INDEX('Control Library'!$B$5:$B$47,MATCH(E950,'Control Library'!$A$5:$A$47,0))</f>
        <v>Strategy execution monitoring and E&amp;S screening of lending</v>
      </c>
      <c r="G950" s="7" t="str">
        <f aca="false">INDEX('Control Library'!$F$5:$F$47,MATCH(E950,'Control Library'!$A$5:$A$47,0))</f>
        <v>Y</v>
      </c>
      <c r="H950" s="12" t="str">
        <f aca="false">INDEX('Control Library'!$E$5:$E$47,MATCH(E950,'Control Library'!$A$5:$A$47,0))</f>
        <v>Quarterly</v>
      </c>
      <c r="I950" s="7" t="str">
        <f aca="false">IF(INDEX('Control Library'!$I$5:$I$47,MATCH(E950,'Control Library'!$A$5:$A$47,0))="All","Y",IF(INDEX('Control Library'!$I$5:$I$47,MATCH(E950,'Control Library'!$A$5:$A$47,0))="Banks only",IF(COUNTIF('Residual Config'!$L$28:$L$30,INDEX(Entities!$E$5:$E$34,MATCH(B950,Entities!$A$5:$A$34,0)))&gt;0,"N/A","Y"),IF(INDEX(Entities!$G$5:$G$34,MATCH(B950,Entities!$A$5:$A$34,0))="Y","Y","N/A")))</f>
        <v>Y</v>
      </c>
      <c r="J950" s="8" t="s">
        <v>3096</v>
      </c>
      <c r="K950" s="8" t="s">
        <v>752</v>
      </c>
      <c r="L950" s="7" t="str">
        <f aca="false">IF(OR(J950="",K950=""),"",IF(J950=K950,"Breach","OK"))</f>
        <v>OK</v>
      </c>
      <c r="M950" s="24" t="n">
        <v>1</v>
      </c>
      <c r="N950" s="50" t="n">
        <v>46150</v>
      </c>
      <c r="O950" s="8" t="s">
        <v>545</v>
      </c>
      <c r="P950" s="24" t="n">
        <v>2</v>
      </c>
      <c r="Q950" s="31" t="n">
        <f aca="false">IF(I950="N/A","",IFERROR(INDEX('Residual Config'!$B$35:$B$42,MATCH(H950,'Residual Config'!$A$35:$A$42,0)),""))</f>
        <v>2</v>
      </c>
      <c r="R950" s="24" t="n">
        <v>0</v>
      </c>
      <c r="S950" s="8" t="s">
        <v>516</v>
      </c>
      <c r="T950" s="31" t="n">
        <f aca="false">IF(S950="","",MATCH(S950,'Residual Config'!$L$9:$L$12,0))</f>
        <v>1</v>
      </c>
      <c r="U950" s="8" t="s">
        <v>3097</v>
      </c>
      <c r="V950" s="24" t="n">
        <v>5</v>
      </c>
      <c r="W950" s="33" t="s">
        <v>533</v>
      </c>
      <c r="X950" s="8" t="s">
        <v>760</v>
      </c>
      <c r="Y950" s="51" t="n">
        <f aca="false">IF(N950="","",EDATE(N950,IF(G950="N",INDEX('Residual Config'!$B$31:$D$31,1,MATCH(D950,'Residual Config'!$B$27:$D$27,0)),INDEX('Residual Config'!$B$28:$D$30,IF(T950=1,1,IF(T950=4,3,2)),MATCH(D950,'Residual Config'!$B$27:$D$27,0)))))</f>
        <v>46334</v>
      </c>
      <c r="Z950" s="7" t="str">
        <f aca="false">IF(I950="N/A","N/A",IF(N950="","Not tested",IF(W950="Rejected","Evidence rejected",IF(W950&lt;&gt;"Accepted","Evidence pending",IF(Y950&lt;'Residual Config'!$C$4,"Overdue","Current")))))</f>
        <v>Current</v>
      </c>
      <c r="AA950" s="34" t="n">
        <f aca="false">IF(I950="N/A","",IF(Z950&lt;&gt;"Current",4,IF(MAX(M950,T950)=0,4,MAX(M950,T950))))</f>
        <v>1</v>
      </c>
      <c r="AB950" s="7" t="str">
        <f aca="false">IF(AA950="","N/A",IF(Z950&lt;&gt;"Current","Not tested / overdue",INDEX('Residual Config'!$B$11:$B$14,AA950)))</f>
        <v>Effective</v>
      </c>
      <c r="AC950" s="36" t="n">
        <f aca="false">IF(AA950="","",INDEX('Residual Config'!$D$11:$D$14,AA950))</f>
        <v>0.6</v>
      </c>
      <c r="AD950" s="7" t="str">
        <f aca="false">IF(OR(I950="N/A",P950="",Q950=""),"",IF(P950&gt;=Q950,"Yes","No"))</f>
        <v>Yes</v>
      </c>
      <c r="AE950" s="8"/>
    </row>
    <row r="951" customFormat="false" ht="15" hidden="false" customHeight="false" outlineLevel="0" collapsed="false">
      <c r="A951" s="12" t="s">
        <v>3098</v>
      </c>
      <c r="B951" s="26" t="str">
        <f aca="false">Entities!$A$27</f>
        <v>FR</v>
      </c>
      <c r="C951" s="12" t="str">
        <f aca="false">INDEX(Entities!$B$5:$B$34,MATCH(B951,Entities!$A$5:$A$34,0))</f>
        <v>Arab Bank – France</v>
      </c>
      <c r="D951" s="7" t="str">
        <f aca="false">INDEX(Entities!$F$5:$F$34,MATCH(B951,Entities!$A$5:$A$34,0))</f>
        <v>Tier 2</v>
      </c>
      <c r="E951" s="26" t="str">
        <f aca="false">'Control Library'!$A$5</f>
        <v>CTL-KYC-01</v>
      </c>
      <c r="F951" s="12" t="str">
        <f aca="false">INDEX('Control Library'!$B$5:$B$47,MATCH(E951,'Control Library'!$A$5:$A$47,0))</f>
        <v>Customer due diligence and ID verification at onboarding</v>
      </c>
      <c r="G951" s="7" t="str">
        <f aca="false">INDEX('Control Library'!$F$5:$F$47,MATCH(E951,'Control Library'!$A$5:$A$47,0))</f>
        <v>Y</v>
      </c>
      <c r="H951" s="12" t="str">
        <f aca="false">INDEX('Control Library'!$E$5:$E$47,MATCH(E951,'Control Library'!$A$5:$A$47,0))</f>
        <v>Event-driven</v>
      </c>
      <c r="I951" s="7" t="str">
        <f aca="false">IF(INDEX('Control Library'!$I$5:$I$47,MATCH(E951,'Control Library'!$A$5:$A$47,0))="All","Y",IF(INDEX('Control Library'!$I$5:$I$47,MATCH(E951,'Control Library'!$A$5:$A$47,0))="Banks only",IF(COUNTIF('Residual Config'!$L$28:$L$30,INDEX(Entities!$E$5:$E$34,MATCH(B951,Entities!$A$5:$A$34,0)))&gt;0,"N/A","Y"),IF(INDEX(Entities!$G$5:$G$34,MATCH(B951,Entities!$A$5:$A$34,0))="Y","Y","N/A")))</f>
        <v>Y</v>
      </c>
      <c r="J951" s="8" t="s">
        <v>3099</v>
      </c>
      <c r="K951" s="8" t="s">
        <v>3100</v>
      </c>
      <c r="L951" s="7" t="str">
        <f aca="false">IF(OR(J951="",K951=""),"",IF(J951=K951,"Breach","OK"))</f>
        <v>OK</v>
      </c>
      <c r="M951" s="24" t="n">
        <v>1</v>
      </c>
      <c r="N951" s="50" t="n">
        <v>46083</v>
      </c>
      <c r="O951" s="8" t="s">
        <v>545</v>
      </c>
      <c r="P951" s="24" t="n">
        <v>35</v>
      </c>
      <c r="Q951" s="31" t="n">
        <f aca="false">IF(I951="N/A","",IFERROR(INDEX('Residual Config'!$B$35:$B$42,MATCH(H951,'Residual Config'!$A$35:$A$42,0)),""))</f>
        <v>25</v>
      </c>
      <c r="R951" s="24" t="n">
        <v>1</v>
      </c>
      <c r="S951" s="8" t="s">
        <v>521</v>
      </c>
      <c r="T951" s="31" t="n">
        <f aca="false">IF(S951="","",MATCH(S951,'Residual Config'!$L$9:$L$12,0))</f>
        <v>2</v>
      </c>
      <c r="U951" s="8" t="s">
        <v>3101</v>
      </c>
      <c r="V951" s="24" t="n">
        <v>2</v>
      </c>
      <c r="W951" s="33" t="s">
        <v>533</v>
      </c>
      <c r="X951" s="8" t="s">
        <v>754</v>
      </c>
      <c r="Y951" s="51" t="n">
        <f aca="false">IF(N951="","",EDATE(N951,IF(G951="N",INDEX('Residual Config'!$B$31:$D$31,1,MATCH(D951,'Residual Config'!$B$27:$D$27,0)),INDEX('Residual Config'!$B$28:$D$30,IF(T951=1,1,IF(T951=4,3,2)),MATCH(D951,'Residual Config'!$B$27:$D$27,0)))))</f>
        <v>46267</v>
      </c>
      <c r="Z951" s="7" t="str">
        <f aca="false">IF(I951="N/A","N/A",IF(N951="","Not tested",IF(W951="Rejected","Evidence rejected",IF(W951&lt;&gt;"Accepted","Evidence pending",IF(Y951&lt;'Residual Config'!$C$4,"Overdue","Current")))))</f>
        <v>Overdue</v>
      </c>
      <c r="AA951" s="34" t="n">
        <f aca="false">IF(I951="N/A","",IF(Z951&lt;&gt;"Current",4,IF(MAX(M951,T951)=0,4,MAX(M951,T951))))</f>
        <v>4</v>
      </c>
      <c r="AB951" s="7" t="str">
        <f aca="false">IF(AA951="","N/A",IF(Z951&lt;&gt;"Current","Not tested / overdue",INDEX('Residual Config'!$B$11:$B$14,AA951)))</f>
        <v>Not tested / overdue</v>
      </c>
      <c r="AC951" s="36" t="n">
        <f aca="false">IF(AA951="","",INDEX('Residual Config'!$D$11:$D$14,AA951))</f>
        <v>0</v>
      </c>
      <c r="AD951" s="7" t="str">
        <f aca="false">IF(OR(I951="N/A",P951="",Q951=""),"",IF(P951&gt;=Q951,"Yes","No"))</f>
        <v>Yes</v>
      </c>
      <c r="AE951" s="8"/>
    </row>
    <row r="952" customFormat="false" ht="15" hidden="false" customHeight="false" outlineLevel="0" collapsed="false">
      <c r="A952" s="12" t="s">
        <v>3102</v>
      </c>
      <c r="B952" s="26" t="str">
        <f aca="false">Entities!$A$27</f>
        <v>FR</v>
      </c>
      <c r="C952" s="12" t="str">
        <f aca="false">INDEX(Entities!$B$5:$B$34,MATCH(B952,Entities!$A$5:$A$34,0))</f>
        <v>Arab Bank – France</v>
      </c>
      <c r="D952" s="7" t="str">
        <f aca="false">INDEX(Entities!$F$5:$F$34,MATCH(B952,Entities!$A$5:$A$34,0))</f>
        <v>Tier 2</v>
      </c>
      <c r="E952" s="26" t="str">
        <f aca="false">'Control Library'!$A$6</f>
        <v>CTL-KYC-02</v>
      </c>
      <c r="F952" s="12" t="str">
        <f aca="false">INDEX('Control Library'!$B$5:$B$47,MATCH(E952,'Control Library'!$A$5:$A$47,0))</f>
        <v>Enhanced due diligence for high-risk customers and PEPs, senior approval</v>
      </c>
      <c r="G952" s="7" t="str">
        <f aca="false">INDEX('Control Library'!$F$5:$F$47,MATCH(E952,'Control Library'!$A$5:$A$47,0))</f>
        <v>Y</v>
      </c>
      <c r="H952" s="12" t="str">
        <f aca="false">INDEX('Control Library'!$E$5:$E$47,MATCH(E952,'Control Library'!$A$5:$A$47,0))</f>
        <v>Event-driven</v>
      </c>
      <c r="I952" s="7" t="str">
        <f aca="false">IF(INDEX('Control Library'!$I$5:$I$47,MATCH(E952,'Control Library'!$A$5:$A$47,0))="All","Y",IF(INDEX('Control Library'!$I$5:$I$47,MATCH(E952,'Control Library'!$A$5:$A$47,0))="Banks only",IF(COUNTIF('Residual Config'!$L$28:$L$30,INDEX(Entities!$E$5:$E$34,MATCH(B952,Entities!$A$5:$A$34,0)))&gt;0,"N/A","Y"),IF(INDEX(Entities!$G$5:$G$34,MATCH(B952,Entities!$A$5:$A$34,0))="Y","Y","N/A")))</f>
        <v>Y</v>
      </c>
      <c r="J952" s="8" t="s">
        <v>3103</v>
      </c>
      <c r="K952" s="8" t="s">
        <v>3100</v>
      </c>
      <c r="L952" s="7" t="str">
        <f aca="false">IF(OR(J952="",K952=""),"",IF(J952=K952,"Breach","OK"))</f>
        <v>OK</v>
      </c>
      <c r="M952" s="24" t="n">
        <v>1</v>
      </c>
      <c r="N952" s="50" t="n">
        <v>46229</v>
      </c>
      <c r="O952" s="8" t="s">
        <v>545</v>
      </c>
      <c r="P952" s="24" t="n">
        <v>30</v>
      </c>
      <c r="Q952" s="31" t="n">
        <f aca="false">IF(I952="N/A","",IFERROR(INDEX('Residual Config'!$B$35:$B$42,MATCH(H952,'Residual Config'!$A$35:$A$42,0)),""))</f>
        <v>25</v>
      </c>
      <c r="R952" s="24" t="n">
        <v>0</v>
      </c>
      <c r="S952" s="8" t="s">
        <v>516</v>
      </c>
      <c r="T952" s="31" t="n">
        <f aca="false">IF(S952="","",MATCH(S952,'Residual Config'!$L$9:$L$12,0))</f>
        <v>1</v>
      </c>
      <c r="U952" s="8" t="s">
        <v>3104</v>
      </c>
      <c r="V952" s="24" t="n">
        <v>3</v>
      </c>
      <c r="W952" s="33" t="s">
        <v>536</v>
      </c>
      <c r="X952" s="8"/>
      <c r="Y952" s="51" t="n">
        <f aca="false">IF(N952="","",EDATE(N952,IF(G952="N",INDEX('Residual Config'!$B$31:$D$31,1,MATCH(D952,'Residual Config'!$B$27:$D$27,0)),INDEX('Residual Config'!$B$28:$D$30,IF(T952=1,1,IF(T952=4,3,2)),MATCH(D952,'Residual Config'!$B$27:$D$27,0)))))</f>
        <v>46594</v>
      </c>
      <c r="Z952" s="7" t="str">
        <f aca="false">IF(I952="N/A","N/A",IF(N952="","Not tested",IF(W952="Rejected","Evidence rejected",IF(W952&lt;&gt;"Accepted","Evidence pending",IF(Y952&lt;'Residual Config'!$C$4,"Overdue","Current")))))</f>
        <v>Evidence pending</v>
      </c>
      <c r="AA952" s="34" t="n">
        <f aca="false">IF(I952="N/A","",IF(Z952&lt;&gt;"Current",4,IF(MAX(M952,T952)=0,4,MAX(M952,T952))))</f>
        <v>4</v>
      </c>
      <c r="AB952" s="7" t="str">
        <f aca="false">IF(AA952="","N/A",IF(Z952&lt;&gt;"Current","Not tested / overdue",INDEX('Residual Config'!$B$11:$B$14,AA952)))</f>
        <v>Not tested / overdue</v>
      </c>
      <c r="AC952" s="36" t="n">
        <f aca="false">IF(AA952="","",INDEX('Residual Config'!$D$11:$D$14,AA952))</f>
        <v>0</v>
      </c>
      <c r="AD952" s="7" t="str">
        <f aca="false">IF(OR(I952="N/A",P952="",Q952=""),"",IF(P952&gt;=Q952,"Yes","No"))</f>
        <v>Yes</v>
      </c>
      <c r="AE952" s="8"/>
    </row>
    <row r="953" customFormat="false" ht="15" hidden="false" customHeight="false" outlineLevel="0" collapsed="false">
      <c r="A953" s="12" t="s">
        <v>3105</v>
      </c>
      <c r="B953" s="26" t="str">
        <f aca="false">Entities!$A$27</f>
        <v>FR</v>
      </c>
      <c r="C953" s="12" t="str">
        <f aca="false">INDEX(Entities!$B$5:$B$34,MATCH(B953,Entities!$A$5:$A$34,0))</f>
        <v>Arab Bank – France</v>
      </c>
      <c r="D953" s="7" t="str">
        <f aca="false">INDEX(Entities!$F$5:$F$34,MATCH(B953,Entities!$A$5:$A$34,0))</f>
        <v>Tier 2</v>
      </c>
      <c r="E953" s="26" t="str">
        <f aca="false">'Control Library'!$A$7</f>
        <v>CTL-KYC-03</v>
      </c>
      <c r="F953" s="12" t="str">
        <f aca="false">INDEX('Control Library'!$B$5:$B$47,MATCH(E953,'Control Library'!$A$5:$A$47,0))</f>
        <v>Ultimate beneficial owner identification and verification</v>
      </c>
      <c r="G953" s="7" t="str">
        <f aca="false">INDEX('Control Library'!$F$5:$F$47,MATCH(E953,'Control Library'!$A$5:$A$47,0))</f>
        <v>Y</v>
      </c>
      <c r="H953" s="12" t="str">
        <f aca="false">INDEX('Control Library'!$E$5:$E$47,MATCH(E953,'Control Library'!$A$5:$A$47,0))</f>
        <v>Event-driven</v>
      </c>
      <c r="I953" s="7" t="str">
        <f aca="false">IF(INDEX('Control Library'!$I$5:$I$47,MATCH(E953,'Control Library'!$A$5:$A$47,0))="All","Y",IF(INDEX('Control Library'!$I$5:$I$47,MATCH(E953,'Control Library'!$A$5:$A$47,0))="Banks only",IF(COUNTIF('Residual Config'!$L$28:$L$30,INDEX(Entities!$E$5:$E$34,MATCH(B953,Entities!$A$5:$A$34,0)))&gt;0,"N/A","Y"),IF(INDEX(Entities!$G$5:$G$34,MATCH(B953,Entities!$A$5:$A$34,0))="Y","Y","N/A")))</f>
        <v>Y</v>
      </c>
      <c r="J953" s="8" t="s">
        <v>3099</v>
      </c>
      <c r="K953" s="8" t="s">
        <v>3100</v>
      </c>
      <c r="L953" s="7" t="str">
        <f aca="false">IF(OR(J953="",K953=""),"",IF(J953=K953,"Breach","OK"))</f>
        <v>OK</v>
      </c>
      <c r="M953" s="24" t="n">
        <v>1</v>
      </c>
      <c r="N953" s="50" t="n">
        <v>46124</v>
      </c>
      <c r="O953" s="8" t="s">
        <v>545</v>
      </c>
      <c r="P953" s="24" t="n">
        <v>25</v>
      </c>
      <c r="Q953" s="31" t="n">
        <f aca="false">IF(I953="N/A","",IFERROR(INDEX('Residual Config'!$B$35:$B$42,MATCH(H953,'Residual Config'!$A$35:$A$42,0)),""))</f>
        <v>25</v>
      </c>
      <c r="R953" s="24" t="n">
        <v>0</v>
      </c>
      <c r="S953" s="8" t="s">
        <v>516</v>
      </c>
      <c r="T953" s="31" t="n">
        <f aca="false">IF(S953="","",MATCH(S953,'Residual Config'!$L$9:$L$12,0))</f>
        <v>1</v>
      </c>
      <c r="U953" s="8" t="s">
        <v>3106</v>
      </c>
      <c r="V953" s="24" t="n">
        <v>3</v>
      </c>
      <c r="W953" s="33" t="s">
        <v>533</v>
      </c>
      <c r="X953" s="8" t="s">
        <v>760</v>
      </c>
      <c r="Y953" s="51" t="n">
        <f aca="false">IF(N953="","",EDATE(N953,IF(G953="N",INDEX('Residual Config'!$B$31:$D$31,1,MATCH(D953,'Residual Config'!$B$27:$D$27,0)),INDEX('Residual Config'!$B$28:$D$30,IF(T953=1,1,IF(T953=4,3,2)),MATCH(D953,'Residual Config'!$B$27:$D$27,0)))))</f>
        <v>46489</v>
      </c>
      <c r="Z953" s="7" t="str">
        <f aca="false">IF(I953="N/A","N/A",IF(N953="","Not tested",IF(W953="Rejected","Evidence rejected",IF(W953&lt;&gt;"Accepted","Evidence pending",IF(Y953&lt;'Residual Config'!$C$4,"Overdue","Current")))))</f>
        <v>Current</v>
      </c>
      <c r="AA953" s="34" t="n">
        <f aca="false">IF(I953="N/A","",IF(Z953&lt;&gt;"Current",4,IF(MAX(M953,T953)=0,4,MAX(M953,T953))))</f>
        <v>1</v>
      </c>
      <c r="AB953" s="7" t="str">
        <f aca="false">IF(AA953="","N/A",IF(Z953&lt;&gt;"Current","Not tested / overdue",INDEX('Residual Config'!$B$11:$B$14,AA953)))</f>
        <v>Effective</v>
      </c>
      <c r="AC953" s="36" t="n">
        <f aca="false">IF(AA953="","",INDEX('Residual Config'!$D$11:$D$14,AA953))</f>
        <v>0.6</v>
      </c>
      <c r="AD953" s="7" t="str">
        <f aca="false">IF(OR(I953="N/A",P953="",Q953=""),"",IF(P953&gt;=Q953,"Yes","No"))</f>
        <v>Yes</v>
      </c>
      <c r="AE953" s="8"/>
    </row>
    <row r="954" customFormat="false" ht="15" hidden="false" customHeight="false" outlineLevel="0" collapsed="false">
      <c r="A954" s="12" t="s">
        <v>3107</v>
      </c>
      <c r="B954" s="26" t="str">
        <f aca="false">Entities!$A$27</f>
        <v>FR</v>
      </c>
      <c r="C954" s="12" t="str">
        <f aca="false">INDEX(Entities!$B$5:$B$34,MATCH(B954,Entities!$A$5:$A$34,0))</f>
        <v>Arab Bank – France</v>
      </c>
      <c r="D954" s="7" t="str">
        <f aca="false">INDEX(Entities!$F$5:$F$34,MATCH(B954,Entities!$A$5:$A$34,0))</f>
        <v>Tier 2</v>
      </c>
      <c r="E954" s="26" t="str">
        <f aca="false">'Control Library'!$A$8</f>
        <v>CTL-KYC-04</v>
      </c>
      <c r="F954" s="12" t="str">
        <f aca="false">INDEX('Control Library'!$B$5:$B$47,MATCH(E954,'Control Library'!$A$5:$A$47,0))</f>
        <v>Periodic KYC review by customer risk rating</v>
      </c>
      <c r="G954" s="7" t="str">
        <f aca="false">INDEX('Control Library'!$F$5:$F$47,MATCH(E954,'Control Library'!$A$5:$A$47,0))</f>
        <v>Y</v>
      </c>
      <c r="H954" s="12" t="str">
        <f aca="false">INDEX('Control Library'!$E$5:$E$47,MATCH(E954,'Control Library'!$A$5:$A$47,0))</f>
        <v>Monthly</v>
      </c>
      <c r="I954" s="7" t="str">
        <f aca="false">IF(INDEX('Control Library'!$I$5:$I$47,MATCH(E954,'Control Library'!$A$5:$A$47,0))="All","Y",IF(INDEX('Control Library'!$I$5:$I$47,MATCH(E954,'Control Library'!$A$5:$A$47,0))="Banks only",IF(COUNTIF('Residual Config'!$L$28:$L$30,INDEX(Entities!$E$5:$E$34,MATCH(B954,Entities!$A$5:$A$34,0)))&gt;0,"N/A","Y"),IF(INDEX(Entities!$G$5:$G$34,MATCH(B954,Entities!$A$5:$A$34,0))="Y","Y","N/A")))</f>
        <v>Y</v>
      </c>
      <c r="J954" s="8" t="s">
        <v>3099</v>
      </c>
      <c r="K954" s="8" t="s">
        <v>3100</v>
      </c>
      <c r="L954" s="7" t="str">
        <f aca="false">IF(OR(J954="",K954=""),"",IF(J954=K954,"Breach","OK"))</f>
        <v>OK</v>
      </c>
      <c r="M954" s="24" t="n">
        <v>1</v>
      </c>
      <c r="N954" s="50" t="n">
        <v>45839</v>
      </c>
      <c r="O954" s="8" t="s">
        <v>545</v>
      </c>
      <c r="P954" s="24" t="n">
        <v>3</v>
      </c>
      <c r="Q954" s="31" t="n">
        <f aca="false">IF(I954="N/A","",IFERROR(INDEX('Residual Config'!$B$35:$B$42,MATCH(H954,'Residual Config'!$A$35:$A$42,0)),""))</f>
        <v>3</v>
      </c>
      <c r="R954" s="24" t="n">
        <v>0</v>
      </c>
      <c r="S954" s="8" t="s">
        <v>516</v>
      </c>
      <c r="T954" s="31" t="n">
        <f aca="false">IF(S954="","",MATCH(S954,'Residual Config'!$L$9:$L$12,0))</f>
        <v>1</v>
      </c>
      <c r="U954" s="8" t="s">
        <v>3108</v>
      </c>
      <c r="V954" s="24" t="n">
        <v>1</v>
      </c>
      <c r="W954" s="33" t="s">
        <v>533</v>
      </c>
      <c r="X954" s="8" t="s">
        <v>760</v>
      </c>
      <c r="Y954" s="51" t="n">
        <f aca="false">IF(N954="","",EDATE(N954,IF(G954="N",INDEX('Residual Config'!$B$31:$D$31,1,MATCH(D954,'Residual Config'!$B$27:$D$27,0)),INDEX('Residual Config'!$B$28:$D$30,IF(T954=1,1,IF(T954=4,3,2)),MATCH(D954,'Residual Config'!$B$27:$D$27,0)))))</f>
        <v>46204</v>
      </c>
      <c r="Z954" s="7" t="str">
        <f aca="false">IF(I954="N/A","N/A",IF(N954="","Not tested",IF(W954="Rejected","Evidence rejected",IF(W954&lt;&gt;"Accepted","Evidence pending",IF(Y954&lt;'Residual Config'!$C$4,"Overdue","Current")))))</f>
        <v>Overdue</v>
      </c>
      <c r="AA954" s="34" t="n">
        <f aca="false">IF(I954="N/A","",IF(Z954&lt;&gt;"Current",4,IF(MAX(M954,T954)=0,4,MAX(M954,T954))))</f>
        <v>4</v>
      </c>
      <c r="AB954" s="7" t="str">
        <f aca="false">IF(AA954="","N/A",IF(Z954&lt;&gt;"Current","Not tested / overdue",INDEX('Residual Config'!$B$11:$B$14,AA954)))</f>
        <v>Not tested / overdue</v>
      </c>
      <c r="AC954" s="36" t="n">
        <f aca="false">IF(AA954="","",INDEX('Residual Config'!$D$11:$D$14,AA954))</f>
        <v>0</v>
      </c>
      <c r="AD954" s="7" t="str">
        <f aca="false">IF(OR(I954="N/A",P954="",Q954=""),"",IF(P954&gt;=Q954,"Yes","No"))</f>
        <v>Yes</v>
      </c>
      <c r="AE954" s="8"/>
    </row>
    <row r="955" customFormat="false" ht="15" hidden="false" customHeight="false" outlineLevel="0" collapsed="false">
      <c r="A955" s="12" t="s">
        <v>3109</v>
      </c>
      <c r="B955" s="26" t="str">
        <f aca="false">Entities!$A$27</f>
        <v>FR</v>
      </c>
      <c r="C955" s="12" t="str">
        <f aca="false">INDEX(Entities!$B$5:$B$34,MATCH(B955,Entities!$A$5:$A$34,0))</f>
        <v>Arab Bank – France</v>
      </c>
      <c r="D955" s="7" t="str">
        <f aca="false">INDEX(Entities!$F$5:$F$34,MATCH(B955,Entities!$A$5:$A$34,0))</f>
        <v>Tier 2</v>
      </c>
      <c r="E955" s="26" t="str">
        <f aca="false">'Control Library'!$A$9</f>
        <v>CTL-CRR-01</v>
      </c>
      <c r="F955" s="12" t="str">
        <f aca="false">INDEX('Control Library'!$B$5:$B$47,MATCH(E955,'Control Library'!$A$5:$A$47,0))</f>
        <v>Customer risk rating model and annual validation</v>
      </c>
      <c r="G955" s="7" t="str">
        <f aca="false">INDEX('Control Library'!$F$5:$F$47,MATCH(E955,'Control Library'!$A$5:$A$47,0))</f>
        <v>N</v>
      </c>
      <c r="H955" s="12" t="str">
        <f aca="false">INDEX('Control Library'!$E$5:$E$47,MATCH(E955,'Control Library'!$A$5:$A$47,0))</f>
        <v>Annual</v>
      </c>
      <c r="I955" s="7" t="str">
        <f aca="false">IF(INDEX('Control Library'!$I$5:$I$47,MATCH(E955,'Control Library'!$A$5:$A$47,0))="All","Y",IF(INDEX('Control Library'!$I$5:$I$47,MATCH(E955,'Control Library'!$A$5:$A$47,0))="Banks only",IF(COUNTIF('Residual Config'!$L$28:$L$30,INDEX(Entities!$E$5:$E$34,MATCH(B955,Entities!$A$5:$A$34,0)))&gt;0,"N/A","Y"),IF(INDEX(Entities!$G$5:$G$34,MATCH(B955,Entities!$A$5:$A$34,0))="Y","Y","N/A")))</f>
        <v>Y</v>
      </c>
      <c r="J955" s="8" t="s">
        <v>3103</v>
      </c>
      <c r="K955" s="8" t="s">
        <v>3100</v>
      </c>
      <c r="L955" s="7" t="str">
        <f aca="false">IF(OR(J955="",K955=""),"",IF(J955=K955,"Breach","OK"))</f>
        <v>OK</v>
      </c>
      <c r="M955" s="24" t="n">
        <v>1</v>
      </c>
      <c r="N955" s="50" t="n">
        <v>46132</v>
      </c>
      <c r="O955" s="8" t="s">
        <v>547</v>
      </c>
      <c r="P955" s="24" t="n">
        <v>1</v>
      </c>
      <c r="Q955" s="31" t="n">
        <f aca="false">IF(I955="N/A","",IFERROR(INDEX('Residual Config'!$B$35:$B$42,MATCH(H955,'Residual Config'!$A$35:$A$42,0)),""))</f>
        <v>1</v>
      </c>
      <c r="R955" s="24" t="n">
        <v>1</v>
      </c>
      <c r="S955" s="8" t="s">
        <v>521</v>
      </c>
      <c r="T955" s="31" t="n">
        <f aca="false">IF(S955="","",MATCH(S955,'Residual Config'!$L$9:$L$12,0))</f>
        <v>2</v>
      </c>
      <c r="U955" s="8" t="s">
        <v>3110</v>
      </c>
      <c r="V955" s="24" t="n">
        <v>5</v>
      </c>
      <c r="W955" s="33" t="s">
        <v>533</v>
      </c>
      <c r="X955" s="8" t="s">
        <v>760</v>
      </c>
      <c r="Y955" s="51" t="n">
        <f aca="false">IF(N955="","",EDATE(N955,IF(G955="N",INDEX('Residual Config'!$B$31:$D$31,1,MATCH(D955,'Residual Config'!$B$27:$D$27,0)),INDEX('Residual Config'!$B$28:$D$30,IF(T955=1,1,IF(T955=4,3,2)),MATCH(D955,'Residual Config'!$B$27:$D$27,0)))))</f>
        <v>46497</v>
      </c>
      <c r="Z955" s="7" t="str">
        <f aca="false">IF(I955="N/A","N/A",IF(N955="","Not tested",IF(W955="Rejected","Evidence rejected",IF(W955&lt;&gt;"Accepted","Evidence pending",IF(Y955&lt;'Residual Config'!$C$4,"Overdue","Current")))))</f>
        <v>Current</v>
      </c>
      <c r="AA955" s="34" t="n">
        <f aca="false">IF(I955="N/A","",IF(Z955&lt;&gt;"Current",4,IF(MAX(M955,T955)=0,4,MAX(M955,T955))))</f>
        <v>2</v>
      </c>
      <c r="AB955" s="7" t="str">
        <f aca="false">IF(AA955="","N/A",IF(Z955&lt;&gt;"Current","Not tested / overdue",INDEX('Residual Config'!$B$11:$B$14,AA955)))</f>
        <v>Largely effective</v>
      </c>
      <c r="AC955" s="36" t="n">
        <f aca="false">IF(AA955="","",INDEX('Residual Config'!$D$11:$D$14,AA955))</f>
        <v>0.4</v>
      </c>
      <c r="AD955" s="7" t="str">
        <f aca="false">IF(OR(I955="N/A",P955="",Q955=""),"",IF(P955&gt;=Q955,"Yes","No"))</f>
        <v>Yes</v>
      </c>
      <c r="AE955" s="8"/>
    </row>
    <row r="956" customFormat="false" ht="15" hidden="false" customHeight="false" outlineLevel="0" collapsed="false">
      <c r="A956" s="12" t="s">
        <v>3111</v>
      </c>
      <c r="B956" s="26" t="str">
        <f aca="false">Entities!$A$27</f>
        <v>FR</v>
      </c>
      <c r="C956" s="12" t="str">
        <f aca="false">INDEX(Entities!$B$5:$B$34,MATCH(B956,Entities!$A$5:$A$34,0))</f>
        <v>Arab Bank – France</v>
      </c>
      <c r="D956" s="7" t="str">
        <f aca="false">INDEX(Entities!$F$5:$F$34,MATCH(B956,Entities!$A$5:$A$34,0))</f>
        <v>Tier 2</v>
      </c>
      <c r="E956" s="26" t="str">
        <f aca="false">'Control Library'!$A$10</f>
        <v>CTL-TM-01</v>
      </c>
      <c r="F956" s="12" t="str">
        <f aca="false">INDEX('Control Library'!$B$5:$B$47,MATCH(E956,'Control Library'!$A$5:$A$47,0))</f>
        <v>Automated transaction monitoring scenarios and annual tuning</v>
      </c>
      <c r="G956" s="7" t="str">
        <f aca="false">INDEX('Control Library'!$F$5:$F$47,MATCH(E956,'Control Library'!$A$5:$A$47,0))</f>
        <v>Y</v>
      </c>
      <c r="H956" s="12" t="str">
        <f aca="false">INDEX('Control Library'!$E$5:$E$47,MATCH(E956,'Control Library'!$A$5:$A$47,0))</f>
        <v>Continuous</v>
      </c>
      <c r="I956" s="7" t="str">
        <f aca="false">IF(INDEX('Control Library'!$I$5:$I$47,MATCH(E956,'Control Library'!$A$5:$A$47,0))="All","Y",IF(INDEX('Control Library'!$I$5:$I$47,MATCH(E956,'Control Library'!$A$5:$A$47,0))="Banks only",IF(COUNTIF('Residual Config'!$L$28:$L$30,INDEX(Entities!$E$5:$E$34,MATCH(B956,Entities!$A$5:$A$34,0)))&gt;0,"N/A","Y"),IF(INDEX(Entities!$G$5:$G$34,MATCH(B956,Entities!$A$5:$A$34,0))="Y","Y","N/A")))</f>
        <v>Y</v>
      </c>
      <c r="J956" s="8" t="s">
        <v>3112</v>
      </c>
      <c r="K956" s="8" t="s">
        <v>3100</v>
      </c>
      <c r="L956" s="7" t="str">
        <f aca="false">IF(OR(J956="",K956=""),"",IF(J956=K956,"Breach","OK"))</f>
        <v>OK</v>
      </c>
      <c r="M956" s="24" t="n">
        <v>1</v>
      </c>
      <c r="N956" s="50" t="n">
        <v>46274</v>
      </c>
      <c r="O956" s="8" t="s">
        <v>547</v>
      </c>
      <c r="P956" s="24" t="n">
        <v>1</v>
      </c>
      <c r="Q956" s="31" t="n">
        <f aca="false">IF(I956="N/A","",IFERROR(INDEX('Residual Config'!$B$35:$B$42,MATCH(H956,'Residual Config'!$A$35:$A$42,0)),""))</f>
        <v>1</v>
      </c>
      <c r="R956" s="24" t="n">
        <v>1</v>
      </c>
      <c r="S956" s="8" t="s">
        <v>521</v>
      </c>
      <c r="T956" s="31" t="n">
        <f aca="false">IF(S956="","",MATCH(S956,'Residual Config'!$L$9:$L$12,0))</f>
        <v>2</v>
      </c>
      <c r="U956" s="8" t="s">
        <v>3113</v>
      </c>
      <c r="V956" s="24" t="n">
        <v>5</v>
      </c>
      <c r="W956" s="33" t="s">
        <v>533</v>
      </c>
      <c r="X956" s="8" t="s">
        <v>754</v>
      </c>
      <c r="Y956" s="51" t="n">
        <f aca="false">IF(N956="","",EDATE(N956,IF(G956="N",INDEX('Residual Config'!$B$31:$D$31,1,MATCH(D956,'Residual Config'!$B$27:$D$27,0)),INDEX('Residual Config'!$B$28:$D$30,IF(T956=1,1,IF(T956=4,3,2)),MATCH(D956,'Residual Config'!$B$27:$D$27,0)))))</f>
        <v>46455</v>
      </c>
      <c r="Z956" s="7" t="str">
        <f aca="false">IF(I956="N/A","N/A",IF(N956="","Not tested",IF(W956="Rejected","Evidence rejected",IF(W956&lt;&gt;"Accepted","Evidence pending",IF(Y956&lt;'Residual Config'!$C$4,"Overdue","Current")))))</f>
        <v>Current</v>
      </c>
      <c r="AA956" s="34" t="n">
        <f aca="false">IF(I956="N/A","",IF(Z956&lt;&gt;"Current",4,IF(MAX(M956,T956)=0,4,MAX(M956,T956))))</f>
        <v>2</v>
      </c>
      <c r="AB956" s="7" t="str">
        <f aca="false">IF(AA956="","N/A",IF(Z956&lt;&gt;"Current","Not tested / overdue",INDEX('Residual Config'!$B$11:$B$14,AA956)))</f>
        <v>Largely effective</v>
      </c>
      <c r="AC956" s="36" t="n">
        <f aca="false">IF(AA956="","",INDEX('Residual Config'!$D$11:$D$14,AA956))</f>
        <v>0.4</v>
      </c>
      <c r="AD956" s="7" t="str">
        <f aca="false">IF(OR(I956="N/A",P956="",Q956=""),"",IF(P956&gt;=Q956,"Yes","No"))</f>
        <v>Yes</v>
      </c>
      <c r="AE956" s="8"/>
    </row>
    <row r="957" customFormat="false" ht="15" hidden="false" customHeight="false" outlineLevel="0" collapsed="false">
      <c r="A957" s="12" t="s">
        <v>3114</v>
      </c>
      <c r="B957" s="26" t="str">
        <f aca="false">Entities!$A$27</f>
        <v>FR</v>
      </c>
      <c r="C957" s="12" t="str">
        <f aca="false">INDEX(Entities!$B$5:$B$34,MATCH(B957,Entities!$A$5:$A$34,0))</f>
        <v>Arab Bank – France</v>
      </c>
      <c r="D957" s="7" t="str">
        <f aca="false">INDEX(Entities!$F$5:$F$34,MATCH(B957,Entities!$A$5:$A$34,0))</f>
        <v>Tier 2</v>
      </c>
      <c r="E957" s="26" t="str">
        <f aca="false">'Control Library'!$A$11</f>
        <v>CTL-TM-02</v>
      </c>
      <c r="F957" s="12" t="str">
        <f aca="false">INDEX('Control Library'!$B$5:$B$47,MATCH(E957,'Control Library'!$A$5:$A$47,0))</f>
        <v>Alert investigation and quality assurance within SLA</v>
      </c>
      <c r="G957" s="7" t="str">
        <f aca="false">INDEX('Control Library'!$F$5:$F$47,MATCH(E957,'Control Library'!$A$5:$A$47,0))</f>
        <v>Y</v>
      </c>
      <c r="H957" s="12" t="str">
        <f aca="false">INDEX('Control Library'!$E$5:$E$47,MATCH(E957,'Control Library'!$A$5:$A$47,0))</f>
        <v>Daily</v>
      </c>
      <c r="I957" s="7" t="str">
        <f aca="false">IF(INDEX('Control Library'!$I$5:$I$47,MATCH(E957,'Control Library'!$A$5:$A$47,0))="All","Y",IF(INDEX('Control Library'!$I$5:$I$47,MATCH(E957,'Control Library'!$A$5:$A$47,0))="Banks only",IF(COUNTIF('Residual Config'!$L$28:$L$30,INDEX(Entities!$E$5:$E$34,MATCH(B957,Entities!$A$5:$A$34,0)))&gt;0,"N/A","Y"),IF(INDEX(Entities!$G$5:$G$34,MATCH(B957,Entities!$A$5:$A$34,0))="Y","Y","N/A")))</f>
        <v>Y</v>
      </c>
      <c r="J957" s="8" t="s">
        <v>3112</v>
      </c>
      <c r="K957" s="8" t="s">
        <v>3100</v>
      </c>
      <c r="L957" s="7" t="str">
        <f aca="false">IF(OR(J957="",K957=""),"",IF(J957=K957,"Breach","OK"))</f>
        <v>OK</v>
      </c>
      <c r="M957" s="24" t="n">
        <v>1</v>
      </c>
      <c r="N957" s="50" t="n">
        <v>46168</v>
      </c>
      <c r="O957" s="8" t="s">
        <v>545</v>
      </c>
      <c r="P957" s="24" t="n">
        <v>25</v>
      </c>
      <c r="Q957" s="31" t="n">
        <f aca="false">IF(I957="N/A","",IFERROR(INDEX('Residual Config'!$B$35:$B$42,MATCH(H957,'Residual Config'!$A$35:$A$42,0)),""))</f>
        <v>25</v>
      </c>
      <c r="R957" s="24" t="n">
        <v>0</v>
      </c>
      <c r="S957" s="8" t="s">
        <v>516</v>
      </c>
      <c r="T957" s="31" t="n">
        <f aca="false">IF(S957="","",MATCH(S957,'Residual Config'!$L$9:$L$12,0))</f>
        <v>1</v>
      </c>
      <c r="U957" s="8" t="s">
        <v>3115</v>
      </c>
      <c r="V957" s="24" t="n">
        <v>2</v>
      </c>
      <c r="W957" s="33" t="s">
        <v>533</v>
      </c>
      <c r="X957" s="8" t="s">
        <v>754</v>
      </c>
      <c r="Y957" s="51" t="n">
        <f aca="false">IF(N957="","",EDATE(N957,IF(G957="N",INDEX('Residual Config'!$B$31:$D$31,1,MATCH(D957,'Residual Config'!$B$27:$D$27,0)),INDEX('Residual Config'!$B$28:$D$30,IF(T957=1,1,IF(T957=4,3,2)),MATCH(D957,'Residual Config'!$B$27:$D$27,0)))))</f>
        <v>46533</v>
      </c>
      <c r="Z957" s="7" t="str">
        <f aca="false">IF(I957="N/A","N/A",IF(N957="","Not tested",IF(W957="Rejected","Evidence rejected",IF(W957&lt;&gt;"Accepted","Evidence pending",IF(Y957&lt;'Residual Config'!$C$4,"Overdue","Current")))))</f>
        <v>Current</v>
      </c>
      <c r="AA957" s="34" t="n">
        <f aca="false">IF(I957="N/A","",IF(Z957&lt;&gt;"Current",4,IF(MAX(M957,T957)=0,4,MAX(M957,T957))))</f>
        <v>1</v>
      </c>
      <c r="AB957" s="7" t="str">
        <f aca="false">IF(AA957="","N/A",IF(Z957&lt;&gt;"Current","Not tested / overdue",INDEX('Residual Config'!$B$11:$B$14,AA957)))</f>
        <v>Effective</v>
      </c>
      <c r="AC957" s="36" t="n">
        <f aca="false">IF(AA957="","",INDEX('Residual Config'!$D$11:$D$14,AA957))</f>
        <v>0.6</v>
      </c>
      <c r="AD957" s="7" t="str">
        <f aca="false">IF(OR(I957="N/A",P957="",Q957=""),"",IF(P957&gt;=Q957,"Yes","No"))</f>
        <v>Yes</v>
      </c>
      <c r="AE957" s="8"/>
    </row>
    <row r="958" customFormat="false" ht="15" hidden="false" customHeight="false" outlineLevel="0" collapsed="false">
      <c r="A958" s="12" t="s">
        <v>3116</v>
      </c>
      <c r="B958" s="26" t="str">
        <f aca="false">Entities!$A$27</f>
        <v>FR</v>
      </c>
      <c r="C958" s="12" t="str">
        <f aca="false">INDEX(Entities!$B$5:$B$34,MATCH(B958,Entities!$A$5:$A$34,0))</f>
        <v>Arab Bank – France</v>
      </c>
      <c r="D958" s="7" t="str">
        <f aca="false">INDEX(Entities!$F$5:$F$34,MATCH(B958,Entities!$A$5:$A$34,0))</f>
        <v>Tier 2</v>
      </c>
      <c r="E958" s="26" t="str">
        <f aca="false">'Control Library'!$A$12</f>
        <v>CTL-STR-01</v>
      </c>
      <c r="F958" s="12" t="str">
        <f aca="false">INDEX('Control Library'!$B$5:$B$47,MATCH(E958,'Control Library'!$A$5:$A$47,0))</f>
        <v>STR decision and filing within regulatory deadline</v>
      </c>
      <c r="G958" s="7" t="str">
        <f aca="false">INDEX('Control Library'!$F$5:$F$47,MATCH(E958,'Control Library'!$A$5:$A$47,0))</f>
        <v>Y</v>
      </c>
      <c r="H958" s="12" t="str">
        <f aca="false">INDEX('Control Library'!$E$5:$E$47,MATCH(E958,'Control Library'!$A$5:$A$47,0))</f>
        <v>Event-driven</v>
      </c>
      <c r="I958" s="7" t="str">
        <f aca="false">IF(INDEX('Control Library'!$I$5:$I$47,MATCH(E958,'Control Library'!$A$5:$A$47,0))="All","Y",IF(INDEX('Control Library'!$I$5:$I$47,MATCH(E958,'Control Library'!$A$5:$A$47,0))="Banks only",IF(COUNTIF('Residual Config'!$L$28:$L$30,INDEX(Entities!$E$5:$E$34,MATCH(B958,Entities!$A$5:$A$34,0)))&gt;0,"N/A","Y"),IF(INDEX(Entities!$G$5:$G$34,MATCH(B958,Entities!$A$5:$A$34,0))="Y","Y","N/A")))</f>
        <v>Y</v>
      </c>
      <c r="J958" s="8" t="s">
        <v>3112</v>
      </c>
      <c r="K958" s="8" t="s">
        <v>3100</v>
      </c>
      <c r="L958" s="7" t="str">
        <f aca="false">IF(OR(J958="",K958=""),"",IF(J958=K958,"Breach","OK"))</f>
        <v>OK</v>
      </c>
      <c r="M958" s="24" t="n">
        <v>1</v>
      </c>
      <c r="N958" s="50" t="n">
        <v>46164</v>
      </c>
      <c r="O958" s="8" t="s">
        <v>545</v>
      </c>
      <c r="P958" s="24" t="n">
        <v>30</v>
      </c>
      <c r="Q958" s="31" t="n">
        <f aca="false">IF(I958="N/A","",IFERROR(INDEX('Residual Config'!$B$35:$B$42,MATCH(H958,'Residual Config'!$A$35:$A$42,0)),""))</f>
        <v>25</v>
      </c>
      <c r="R958" s="24" t="n">
        <v>0</v>
      </c>
      <c r="S958" s="8" t="s">
        <v>516</v>
      </c>
      <c r="T958" s="31" t="n">
        <f aca="false">IF(S958="","",MATCH(S958,'Residual Config'!$L$9:$L$12,0))</f>
        <v>1</v>
      </c>
      <c r="U958" s="8" t="s">
        <v>3117</v>
      </c>
      <c r="V958" s="24" t="n">
        <v>5</v>
      </c>
      <c r="W958" s="33" t="s">
        <v>533</v>
      </c>
      <c r="X958" s="8" t="s">
        <v>760</v>
      </c>
      <c r="Y958" s="51" t="n">
        <f aca="false">IF(N958="","",EDATE(N958,IF(G958="N",INDEX('Residual Config'!$B$31:$D$31,1,MATCH(D958,'Residual Config'!$B$27:$D$27,0)),INDEX('Residual Config'!$B$28:$D$30,IF(T958=1,1,IF(T958=4,3,2)),MATCH(D958,'Residual Config'!$B$27:$D$27,0)))))</f>
        <v>46529</v>
      </c>
      <c r="Z958" s="7" t="str">
        <f aca="false">IF(I958="N/A","N/A",IF(N958="","Not tested",IF(W958="Rejected","Evidence rejected",IF(W958&lt;&gt;"Accepted","Evidence pending",IF(Y958&lt;'Residual Config'!$C$4,"Overdue","Current")))))</f>
        <v>Current</v>
      </c>
      <c r="AA958" s="34" t="n">
        <f aca="false">IF(I958="N/A","",IF(Z958&lt;&gt;"Current",4,IF(MAX(M958,T958)=0,4,MAX(M958,T958))))</f>
        <v>1</v>
      </c>
      <c r="AB958" s="7" t="str">
        <f aca="false">IF(AA958="","N/A",IF(Z958&lt;&gt;"Current","Not tested / overdue",INDEX('Residual Config'!$B$11:$B$14,AA958)))</f>
        <v>Effective</v>
      </c>
      <c r="AC958" s="36" t="n">
        <f aca="false">IF(AA958="","",INDEX('Residual Config'!$D$11:$D$14,AA958))</f>
        <v>0.6</v>
      </c>
      <c r="AD958" s="7" t="str">
        <f aca="false">IF(OR(I958="N/A",P958="",Q958=""),"",IF(P958&gt;=Q958,"Yes","No"))</f>
        <v>Yes</v>
      </c>
      <c r="AE958" s="8"/>
    </row>
    <row r="959" customFormat="false" ht="15" hidden="false" customHeight="false" outlineLevel="0" collapsed="false">
      <c r="A959" s="12" t="s">
        <v>3118</v>
      </c>
      <c r="B959" s="26" t="str">
        <f aca="false">Entities!$A$27</f>
        <v>FR</v>
      </c>
      <c r="C959" s="12" t="str">
        <f aca="false">INDEX(Entities!$B$5:$B$34,MATCH(B959,Entities!$A$5:$A$34,0))</f>
        <v>Arab Bank – France</v>
      </c>
      <c r="D959" s="7" t="str">
        <f aca="false">INDEX(Entities!$F$5:$F$34,MATCH(B959,Entities!$A$5:$A$34,0))</f>
        <v>Tier 2</v>
      </c>
      <c r="E959" s="26" t="str">
        <f aca="false">'Control Library'!$A$13</f>
        <v>CTL-SAN-01</v>
      </c>
      <c r="F959" s="12" t="str">
        <f aca="false">INDEX('Control Library'!$B$5:$B$47,MATCH(E959,'Control Library'!$A$5:$A$47,0))</f>
        <v>Real-time payment and transaction sanctions screening</v>
      </c>
      <c r="G959" s="7" t="str">
        <f aca="false">INDEX('Control Library'!$F$5:$F$47,MATCH(E959,'Control Library'!$A$5:$A$47,0))</f>
        <v>Y</v>
      </c>
      <c r="H959" s="12" t="str">
        <f aca="false">INDEX('Control Library'!$E$5:$E$47,MATCH(E959,'Control Library'!$A$5:$A$47,0))</f>
        <v>Continuous</v>
      </c>
      <c r="I959" s="7" t="str">
        <f aca="false">IF(INDEX('Control Library'!$I$5:$I$47,MATCH(E959,'Control Library'!$A$5:$A$47,0))="All","Y",IF(INDEX('Control Library'!$I$5:$I$47,MATCH(E959,'Control Library'!$A$5:$A$47,0))="Banks only",IF(COUNTIF('Residual Config'!$L$28:$L$30,INDEX(Entities!$E$5:$E$34,MATCH(B959,Entities!$A$5:$A$34,0)))&gt;0,"N/A","Y"),IF(INDEX(Entities!$G$5:$G$34,MATCH(B959,Entities!$A$5:$A$34,0))="Y","Y","N/A")))</f>
        <v>Y</v>
      </c>
      <c r="J959" s="8" t="s">
        <v>3119</v>
      </c>
      <c r="K959" s="8" t="s">
        <v>3100</v>
      </c>
      <c r="L959" s="7" t="str">
        <f aca="false">IF(OR(J959="",K959=""),"",IF(J959=K959,"Breach","OK"))</f>
        <v>OK</v>
      </c>
      <c r="M959" s="24" t="n">
        <v>2</v>
      </c>
      <c r="N959" s="50" t="n">
        <v>46181</v>
      </c>
      <c r="O959" s="8" t="s">
        <v>546</v>
      </c>
      <c r="P959" s="24" t="n">
        <v>1</v>
      </c>
      <c r="Q959" s="31" t="n">
        <f aca="false">IF(I959="N/A","",IFERROR(INDEX('Residual Config'!$B$35:$B$42,MATCH(H959,'Residual Config'!$A$35:$A$42,0)),""))</f>
        <v>1</v>
      </c>
      <c r="R959" s="24" t="n">
        <v>1</v>
      </c>
      <c r="S959" s="8" t="s">
        <v>521</v>
      </c>
      <c r="T959" s="31" t="n">
        <f aca="false">IF(S959="","",MATCH(S959,'Residual Config'!$L$9:$L$12,0))</f>
        <v>2</v>
      </c>
      <c r="U959" s="8" t="s">
        <v>3120</v>
      </c>
      <c r="V959" s="24" t="n">
        <v>6</v>
      </c>
      <c r="W959" s="33" t="s">
        <v>533</v>
      </c>
      <c r="X959" s="8" t="s">
        <v>754</v>
      </c>
      <c r="Y959" s="51" t="n">
        <f aca="false">IF(N959="","",EDATE(N959,IF(G959="N",INDEX('Residual Config'!$B$31:$D$31,1,MATCH(D959,'Residual Config'!$B$27:$D$27,0)),INDEX('Residual Config'!$B$28:$D$30,IF(T959=1,1,IF(T959=4,3,2)),MATCH(D959,'Residual Config'!$B$27:$D$27,0)))))</f>
        <v>46364</v>
      </c>
      <c r="Z959" s="7" t="str">
        <f aca="false">IF(I959="N/A","N/A",IF(N959="","Not tested",IF(W959="Rejected","Evidence rejected",IF(W959&lt;&gt;"Accepted","Evidence pending",IF(Y959&lt;'Residual Config'!$C$4,"Overdue","Current")))))</f>
        <v>Current</v>
      </c>
      <c r="AA959" s="34" t="n">
        <f aca="false">IF(I959="N/A","",IF(Z959&lt;&gt;"Current",4,IF(MAX(M959,T959)=0,4,MAX(M959,T959))))</f>
        <v>2</v>
      </c>
      <c r="AB959" s="7" t="str">
        <f aca="false">IF(AA959="","N/A",IF(Z959&lt;&gt;"Current","Not tested / overdue",INDEX('Residual Config'!$B$11:$B$14,AA959)))</f>
        <v>Largely effective</v>
      </c>
      <c r="AC959" s="36" t="n">
        <f aca="false">IF(AA959="","",INDEX('Residual Config'!$D$11:$D$14,AA959))</f>
        <v>0.4</v>
      </c>
      <c r="AD959" s="7" t="str">
        <f aca="false">IF(OR(I959="N/A",P959="",Q959=""),"",IF(P959&gt;=Q959,"Yes","No"))</f>
        <v>Yes</v>
      </c>
      <c r="AE959" s="8"/>
    </row>
    <row r="960" customFormat="false" ht="15" hidden="false" customHeight="false" outlineLevel="0" collapsed="false">
      <c r="A960" s="12" t="s">
        <v>3121</v>
      </c>
      <c r="B960" s="26" t="str">
        <f aca="false">Entities!$A$27</f>
        <v>FR</v>
      </c>
      <c r="C960" s="12" t="str">
        <f aca="false">INDEX(Entities!$B$5:$B$34,MATCH(B960,Entities!$A$5:$A$34,0))</f>
        <v>Arab Bank – France</v>
      </c>
      <c r="D960" s="7" t="str">
        <f aca="false">INDEX(Entities!$F$5:$F$34,MATCH(B960,Entities!$A$5:$A$34,0))</f>
        <v>Tier 2</v>
      </c>
      <c r="E960" s="26" t="str">
        <f aca="false">'Control Library'!$A$14</f>
        <v>CTL-SAN-02</v>
      </c>
      <c r="F960" s="12" t="str">
        <f aca="false">INDEX('Control Library'!$B$5:$B$47,MATCH(E960,'Control Library'!$A$5:$A$47,0))</f>
        <v>Customer and counterparty screening at onboarding and on list change</v>
      </c>
      <c r="G960" s="7" t="str">
        <f aca="false">INDEX('Control Library'!$F$5:$F$47,MATCH(E960,'Control Library'!$A$5:$A$47,0))</f>
        <v>Y</v>
      </c>
      <c r="H960" s="12" t="str">
        <f aca="false">INDEX('Control Library'!$E$5:$E$47,MATCH(E960,'Control Library'!$A$5:$A$47,0))</f>
        <v>Continuous</v>
      </c>
      <c r="I960" s="7" t="str">
        <f aca="false">IF(INDEX('Control Library'!$I$5:$I$47,MATCH(E960,'Control Library'!$A$5:$A$47,0))="All","Y",IF(INDEX('Control Library'!$I$5:$I$47,MATCH(E960,'Control Library'!$A$5:$A$47,0))="Banks only",IF(COUNTIF('Residual Config'!$L$28:$L$30,INDEX(Entities!$E$5:$E$34,MATCH(B960,Entities!$A$5:$A$34,0)))&gt;0,"N/A","Y"),IF(INDEX(Entities!$G$5:$G$34,MATCH(B960,Entities!$A$5:$A$34,0))="Y","Y","N/A")))</f>
        <v>Y</v>
      </c>
      <c r="J960" s="8" t="s">
        <v>3119</v>
      </c>
      <c r="K960" s="8" t="s">
        <v>3100</v>
      </c>
      <c r="L960" s="7" t="str">
        <f aca="false">IF(OR(J960="",K960=""),"",IF(J960=K960,"Breach","OK"))</f>
        <v>OK</v>
      </c>
      <c r="M960" s="24" t="n">
        <v>1</v>
      </c>
      <c r="N960" s="50" t="n">
        <v>46157</v>
      </c>
      <c r="O960" s="8" t="s">
        <v>547</v>
      </c>
      <c r="P960" s="24" t="n">
        <v>1</v>
      </c>
      <c r="Q960" s="31" t="n">
        <f aca="false">IF(I960="N/A","",IFERROR(INDEX('Residual Config'!$B$35:$B$42,MATCH(H960,'Residual Config'!$A$35:$A$42,0)),""))</f>
        <v>1</v>
      </c>
      <c r="R960" s="24" t="n">
        <v>0</v>
      </c>
      <c r="S960" s="8" t="s">
        <v>516</v>
      </c>
      <c r="T960" s="31" t="n">
        <f aca="false">IF(S960="","",MATCH(S960,'Residual Config'!$L$9:$L$12,0))</f>
        <v>1</v>
      </c>
      <c r="U960" s="8" t="s">
        <v>3122</v>
      </c>
      <c r="V960" s="24" t="n">
        <v>5</v>
      </c>
      <c r="W960" s="33" t="s">
        <v>533</v>
      </c>
      <c r="X960" s="8" t="s">
        <v>754</v>
      </c>
      <c r="Y960" s="51" t="n">
        <f aca="false">IF(N960="","",EDATE(N960,IF(G960="N",INDEX('Residual Config'!$B$31:$D$31,1,MATCH(D960,'Residual Config'!$B$27:$D$27,0)),INDEX('Residual Config'!$B$28:$D$30,IF(T960=1,1,IF(T960=4,3,2)),MATCH(D960,'Residual Config'!$B$27:$D$27,0)))))</f>
        <v>46522</v>
      </c>
      <c r="Z960" s="7" t="str">
        <f aca="false">IF(I960="N/A","N/A",IF(N960="","Not tested",IF(W960="Rejected","Evidence rejected",IF(W960&lt;&gt;"Accepted","Evidence pending",IF(Y960&lt;'Residual Config'!$C$4,"Overdue","Current")))))</f>
        <v>Current</v>
      </c>
      <c r="AA960" s="34" t="n">
        <f aca="false">IF(I960="N/A","",IF(Z960&lt;&gt;"Current",4,IF(MAX(M960,T960)=0,4,MAX(M960,T960))))</f>
        <v>1</v>
      </c>
      <c r="AB960" s="7" t="str">
        <f aca="false">IF(AA960="","N/A",IF(Z960&lt;&gt;"Current","Not tested / overdue",INDEX('Residual Config'!$B$11:$B$14,AA960)))</f>
        <v>Effective</v>
      </c>
      <c r="AC960" s="36" t="n">
        <f aca="false">IF(AA960="","",INDEX('Residual Config'!$D$11:$D$14,AA960))</f>
        <v>0.6</v>
      </c>
      <c r="AD960" s="7" t="str">
        <f aca="false">IF(OR(I960="N/A",P960="",Q960=""),"",IF(P960&gt;=Q960,"Yes","No"))</f>
        <v>Yes</v>
      </c>
      <c r="AE960" s="8"/>
    </row>
    <row r="961" customFormat="false" ht="15" hidden="false" customHeight="false" outlineLevel="0" collapsed="false">
      <c r="A961" s="12" t="s">
        <v>3123</v>
      </c>
      <c r="B961" s="26" t="str">
        <f aca="false">Entities!$A$27</f>
        <v>FR</v>
      </c>
      <c r="C961" s="12" t="str">
        <f aca="false">INDEX(Entities!$B$5:$B$34,MATCH(B961,Entities!$A$5:$A$34,0))</f>
        <v>Arab Bank – France</v>
      </c>
      <c r="D961" s="7" t="str">
        <f aca="false">INDEX(Entities!$F$5:$F$34,MATCH(B961,Entities!$A$5:$A$34,0))</f>
        <v>Tier 2</v>
      </c>
      <c r="E961" s="26" t="str">
        <f aca="false">'Control Library'!$A$15</f>
        <v>CTL-SAN-03</v>
      </c>
      <c r="F961" s="12" t="str">
        <f aca="false">INDEX('Control Library'!$B$5:$B$47,MATCH(E961,'Control Library'!$A$5:$A$47,0))</f>
        <v>Sanctions list updates applied within 24 hours</v>
      </c>
      <c r="G961" s="7" t="str">
        <f aca="false">INDEX('Control Library'!$F$5:$F$47,MATCH(E961,'Control Library'!$A$5:$A$47,0))</f>
        <v>N</v>
      </c>
      <c r="H961" s="12" t="str">
        <f aca="false">INDEX('Control Library'!$E$5:$E$47,MATCH(E961,'Control Library'!$A$5:$A$47,0))</f>
        <v>Daily</v>
      </c>
      <c r="I961" s="7" t="str">
        <f aca="false">IF(INDEX('Control Library'!$I$5:$I$47,MATCH(E961,'Control Library'!$A$5:$A$47,0))="All","Y",IF(INDEX('Control Library'!$I$5:$I$47,MATCH(E961,'Control Library'!$A$5:$A$47,0))="Banks only",IF(COUNTIF('Residual Config'!$L$28:$L$30,INDEX(Entities!$E$5:$E$34,MATCH(B961,Entities!$A$5:$A$34,0)))&gt;0,"N/A","Y"),IF(INDEX(Entities!$G$5:$G$34,MATCH(B961,Entities!$A$5:$A$34,0))="Y","Y","N/A")))</f>
        <v>Y</v>
      </c>
      <c r="J961" s="8" t="s">
        <v>3124</v>
      </c>
      <c r="K961" s="8" t="s">
        <v>3100</v>
      </c>
      <c r="L961" s="7" t="str">
        <f aca="false">IF(OR(J961="",K961=""),"",IF(J961=K961,"Breach","OK"))</f>
        <v>OK</v>
      </c>
      <c r="M961" s="24" t="n">
        <v>1</v>
      </c>
      <c r="N961" s="50" t="n">
        <v>46279</v>
      </c>
      <c r="O961" s="8" t="s">
        <v>546</v>
      </c>
      <c r="P961" s="24" t="n">
        <v>25</v>
      </c>
      <c r="Q961" s="31" t="n">
        <f aca="false">IF(I961="N/A","",IFERROR(INDEX('Residual Config'!$B$35:$B$42,MATCH(H961,'Residual Config'!$A$35:$A$42,0)),""))</f>
        <v>25</v>
      </c>
      <c r="R961" s="24" t="n">
        <v>0</v>
      </c>
      <c r="S961" s="8" t="s">
        <v>516</v>
      </c>
      <c r="T961" s="31" t="n">
        <f aca="false">IF(S961="","",MATCH(S961,'Residual Config'!$L$9:$L$12,0))</f>
        <v>1</v>
      </c>
      <c r="U961" s="8" t="s">
        <v>3125</v>
      </c>
      <c r="V961" s="24" t="n">
        <v>6</v>
      </c>
      <c r="W961" s="33" t="s">
        <v>533</v>
      </c>
      <c r="X961" s="8" t="s">
        <v>754</v>
      </c>
      <c r="Y961" s="51" t="n">
        <f aca="false">IF(N961="","",EDATE(N961,IF(G961="N",INDEX('Residual Config'!$B$31:$D$31,1,MATCH(D961,'Residual Config'!$B$27:$D$27,0)),INDEX('Residual Config'!$B$28:$D$30,IF(T961=1,1,IF(T961=4,3,2)),MATCH(D961,'Residual Config'!$B$27:$D$27,0)))))</f>
        <v>46644</v>
      </c>
      <c r="Z961" s="7" t="str">
        <f aca="false">IF(I961="N/A","N/A",IF(N961="","Not tested",IF(W961="Rejected","Evidence rejected",IF(W961&lt;&gt;"Accepted","Evidence pending",IF(Y961&lt;'Residual Config'!$C$4,"Overdue","Current")))))</f>
        <v>Current</v>
      </c>
      <c r="AA961" s="34" t="n">
        <f aca="false">IF(I961="N/A","",IF(Z961&lt;&gt;"Current",4,IF(MAX(M961,T961)=0,4,MAX(M961,T961))))</f>
        <v>1</v>
      </c>
      <c r="AB961" s="7" t="str">
        <f aca="false">IF(AA961="","N/A",IF(Z961&lt;&gt;"Current","Not tested / overdue",INDEX('Residual Config'!$B$11:$B$14,AA961)))</f>
        <v>Effective</v>
      </c>
      <c r="AC961" s="36" t="n">
        <f aca="false">IF(AA961="","",INDEX('Residual Config'!$D$11:$D$14,AA961))</f>
        <v>0.6</v>
      </c>
      <c r="AD961" s="7" t="str">
        <f aca="false">IF(OR(I961="N/A",P961="",Q961=""),"",IF(P961&gt;=Q961,"Yes","No"))</f>
        <v>Yes</v>
      </c>
      <c r="AE961" s="8"/>
    </row>
    <row r="962" customFormat="false" ht="15" hidden="false" customHeight="false" outlineLevel="0" collapsed="false">
      <c r="A962" s="12" t="s">
        <v>3126</v>
      </c>
      <c r="B962" s="26" t="str">
        <f aca="false">Entities!$A$27</f>
        <v>FR</v>
      </c>
      <c r="C962" s="12" t="str">
        <f aca="false">INDEX(Entities!$B$5:$B$34,MATCH(B962,Entities!$A$5:$A$34,0))</f>
        <v>Arab Bank – France</v>
      </c>
      <c r="D962" s="7" t="str">
        <f aca="false">INDEX(Entities!$F$5:$F$34,MATCH(B962,Entities!$A$5:$A$34,0))</f>
        <v>Tier 2</v>
      </c>
      <c r="E962" s="26" t="str">
        <f aca="false">'Control Library'!$A$16</f>
        <v>CTL-TF-01</v>
      </c>
      <c r="F962" s="12" t="str">
        <f aca="false">INDEX('Control Library'!$B$5:$B$47,MATCH(E962,'Control Library'!$A$5:$A$47,0))</f>
        <v>NPO and charity enhanced due diligence</v>
      </c>
      <c r="G962" s="7" t="str">
        <f aca="false">INDEX('Control Library'!$F$5:$F$47,MATCH(E962,'Control Library'!$A$5:$A$47,0))</f>
        <v>N</v>
      </c>
      <c r="H962" s="12" t="str">
        <f aca="false">INDEX('Control Library'!$E$5:$E$47,MATCH(E962,'Control Library'!$A$5:$A$47,0))</f>
        <v>Event-driven</v>
      </c>
      <c r="I962" s="7" t="str">
        <f aca="false">IF(INDEX('Control Library'!$I$5:$I$47,MATCH(E962,'Control Library'!$A$5:$A$47,0))="All","Y",IF(INDEX('Control Library'!$I$5:$I$47,MATCH(E962,'Control Library'!$A$5:$A$47,0))="Banks only",IF(COUNTIF('Residual Config'!$L$28:$L$30,INDEX(Entities!$E$5:$E$34,MATCH(B962,Entities!$A$5:$A$34,0)))&gt;0,"N/A","Y"),IF(INDEX(Entities!$G$5:$G$34,MATCH(B962,Entities!$A$5:$A$34,0))="Y","Y","N/A")))</f>
        <v>Y</v>
      </c>
      <c r="J962" s="8" t="s">
        <v>3127</v>
      </c>
      <c r="K962" s="8" t="s">
        <v>3100</v>
      </c>
      <c r="L962" s="7" t="str">
        <f aca="false">IF(OR(J962="",K962=""),"",IF(J962=K962,"Breach","OK"))</f>
        <v>OK</v>
      </c>
      <c r="M962" s="24" t="n">
        <v>1</v>
      </c>
      <c r="N962" s="50" t="n">
        <v>45957</v>
      </c>
      <c r="O962" s="8" t="s">
        <v>545</v>
      </c>
      <c r="P962" s="24" t="n">
        <v>30</v>
      </c>
      <c r="Q962" s="31" t="n">
        <f aca="false">IF(I962="N/A","",IFERROR(INDEX('Residual Config'!$B$35:$B$42,MATCH(H962,'Residual Config'!$A$35:$A$42,0)),""))</f>
        <v>25</v>
      </c>
      <c r="R962" s="24" t="n">
        <v>0</v>
      </c>
      <c r="S962" s="8" t="s">
        <v>516</v>
      </c>
      <c r="T962" s="31" t="n">
        <f aca="false">IF(S962="","",MATCH(S962,'Residual Config'!$L$9:$L$12,0))</f>
        <v>1</v>
      </c>
      <c r="U962" s="8" t="s">
        <v>3128</v>
      </c>
      <c r="V962" s="24" t="n">
        <v>2</v>
      </c>
      <c r="W962" s="33" t="s">
        <v>533</v>
      </c>
      <c r="X962" s="8" t="s">
        <v>760</v>
      </c>
      <c r="Y962" s="51" t="n">
        <f aca="false">IF(N962="","",EDATE(N962,IF(G962="N",INDEX('Residual Config'!$B$31:$D$31,1,MATCH(D962,'Residual Config'!$B$27:$D$27,0)),INDEX('Residual Config'!$B$28:$D$30,IF(T962=1,1,IF(T962=4,3,2)),MATCH(D962,'Residual Config'!$B$27:$D$27,0)))))</f>
        <v>46322</v>
      </c>
      <c r="Z962" s="7" t="str">
        <f aca="false">IF(I962="N/A","N/A",IF(N962="","Not tested",IF(W962="Rejected","Evidence rejected",IF(W962&lt;&gt;"Accepted","Evidence pending",IF(Y962&lt;'Residual Config'!$C$4,"Overdue","Current")))))</f>
        <v>Current</v>
      </c>
      <c r="AA962" s="34" t="n">
        <f aca="false">IF(I962="N/A","",IF(Z962&lt;&gt;"Current",4,IF(MAX(M962,T962)=0,4,MAX(M962,T962))))</f>
        <v>1</v>
      </c>
      <c r="AB962" s="7" t="str">
        <f aca="false">IF(AA962="","N/A",IF(Z962&lt;&gt;"Current","Not tested / overdue",INDEX('Residual Config'!$B$11:$B$14,AA962)))</f>
        <v>Effective</v>
      </c>
      <c r="AC962" s="36" t="n">
        <f aca="false">IF(AA962="","",INDEX('Residual Config'!$D$11:$D$14,AA962))</f>
        <v>0.6</v>
      </c>
      <c r="AD962" s="7" t="str">
        <f aca="false">IF(OR(I962="N/A",P962="",Q962=""),"",IF(P962&gt;=Q962,"Yes","No"))</f>
        <v>Yes</v>
      </c>
      <c r="AE962" s="8"/>
    </row>
    <row r="963" customFormat="false" ht="15" hidden="false" customHeight="false" outlineLevel="0" collapsed="false">
      <c r="A963" s="12" t="s">
        <v>3129</v>
      </c>
      <c r="B963" s="26" t="str">
        <f aca="false">Entities!$A$27</f>
        <v>FR</v>
      </c>
      <c r="C963" s="12" t="str">
        <f aca="false">INDEX(Entities!$B$5:$B$34,MATCH(B963,Entities!$A$5:$A$34,0))</f>
        <v>Arab Bank – France</v>
      </c>
      <c r="D963" s="7" t="str">
        <f aca="false">INDEX(Entities!$F$5:$F$34,MATCH(B963,Entities!$A$5:$A$34,0))</f>
        <v>Tier 2</v>
      </c>
      <c r="E963" s="26" t="str">
        <f aca="false">'Control Library'!$A$17</f>
        <v>CTL-TBML-01</v>
      </c>
      <c r="F963" s="12" t="str">
        <f aca="false">INDEX('Control Library'!$B$5:$B$47,MATCH(E963,'Control Library'!$A$5:$A$47,0))</f>
        <v>Trade-based ML red-flag review and pricing checks</v>
      </c>
      <c r="G963" s="7" t="str">
        <f aca="false">INDEX('Control Library'!$F$5:$F$47,MATCH(E963,'Control Library'!$A$5:$A$47,0))</f>
        <v>Y</v>
      </c>
      <c r="H963" s="12" t="str">
        <f aca="false">INDEX('Control Library'!$E$5:$E$47,MATCH(E963,'Control Library'!$A$5:$A$47,0))</f>
        <v>Event-driven</v>
      </c>
      <c r="I963" s="7" t="str">
        <f aca="false">IF(INDEX('Control Library'!$I$5:$I$47,MATCH(E963,'Control Library'!$A$5:$A$47,0))="All","Y",IF(INDEX('Control Library'!$I$5:$I$47,MATCH(E963,'Control Library'!$A$5:$A$47,0))="Banks only",IF(COUNTIF('Residual Config'!$L$28:$L$30,INDEX(Entities!$E$5:$E$34,MATCH(B963,Entities!$A$5:$A$34,0)))&gt;0,"N/A","Y"),IF(INDEX(Entities!$G$5:$G$34,MATCH(B963,Entities!$A$5:$A$34,0))="Y","Y","N/A")))</f>
        <v>Y</v>
      </c>
      <c r="J963" s="8" t="s">
        <v>3130</v>
      </c>
      <c r="K963" s="8" t="s">
        <v>3100</v>
      </c>
      <c r="L963" s="7" t="str">
        <f aca="false">IF(OR(J963="",K963=""),"",IF(J963=K963,"Breach","OK"))</f>
        <v>OK</v>
      </c>
      <c r="M963" s="24" t="n">
        <v>1</v>
      </c>
      <c r="N963" s="50" t="n">
        <v>46109</v>
      </c>
      <c r="O963" s="8" t="s">
        <v>546</v>
      </c>
      <c r="P963" s="24" t="n">
        <v>25</v>
      </c>
      <c r="Q963" s="31" t="n">
        <f aca="false">IF(I963="N/A","",IFERROR(INDEX('Residual Config'!$B$35:$B$42,MATCH(H963,'Residual Config'!$A$35:$A$42,0)),""))</f>
        <v>25</v>
      </c>
      <c r="R963" s="24" t="n">
        <v>0</v>
      </c>
      <c r="S963" s="8" t="s">
        <v>516</v>
      </c>
      <c r="T963" s="31" t="n">
        <f aca="false">IF(S963="","",MATCH(S963,'Residual Config'!$L$9:$L$12,0))</f>
        <v>1</v>
      </c>
      <c r="U963" s="8" t="s">
        <v>3131</v>
      </c>
      <c r="V963" s="24" t="n">
        <v>4</v>
      </c>
      <c r="W963" s="33" t="s">
        <v>536</v>
      </c>
      <c r="X963" s="8"/>
      <c r="Y963" s="51" t="n">
        <f aca="false">IF(N963="","",EDATE(N963,IF(G963="N",INDEX('Residual Config'!$B$31:$D$31,1,MATCH(D963,'Residual Config'!$B$27:$D$27,0)),INDEX('Residual Config'!$B$28:$D$30,IF(T963=1,1,IF(T963=4,3,2)),MATCH(D963,'Residual Config'!$B$27:$D$27,0)))))</f>
        <v>46474</v>
      </c>
      <c r="Z963" s="7" t="str">
        <f aca="false">IF(I963="N/A","N/A",IF(N963="","Not tested",IF(W963="Rejected","Evidence rejected",IF(W963&lt;&gt;"Accepted","Evidence pending",IF(Y963&lt;'Residual Config'!$C$4,"Overdue","Current")))))</f>
        <v>Evidence pending</v>
      </c>
      <c r="AA963" s="34" t="n">
        <f aca="false">IF(I963="N/A","",IF(Z963&lt;&gt;"Current",4,IF(MAX(M963,T963)=0,4,MAX(M963,T963))))</f>
        <v>4</v>
      </c>
      <c r="AB963" s="7" t="str">
        <f aca="false">IF(AA963="","N/A",IF(Z963&lt;&gt;"Current","Not tested / overdue",INDEX('Residual Config'!$B$11:$B$14,AA963)))</f>
        <v>Not tested / overdue</v>
      </c>
      <c r="AC963" s="36" t="n">
        <f aca="false">IF(AA963="","",INDEX('Residual Config'!$D$11:$D$14,AA963))</f>
        <v>0</v>
      </c>
      <c r="AD963" s="7" t="str">
        <f aca="false">IF(OR(I963="N/A",P963="",Q963=""),"",IF(P963&gt;=Q963,"Yes","No"))</f>
        <v>Yes</v>
      </c>
      <c r="AE963" s="8"/>
    </row>
    <row r="964" customFormat="false" ht="15" hidden="false" customHeight="false" outlineLevel="0" collapsed="false">
      <c r="A964" s="12" t="s">
        <v>3132</v>
      </c>
      <c r="B964" s="26" t="str">
        <f aca="false">Entities!$A$27</f>
        <v>FR</v>
      </c>
      <c r="C964" s="12" t="str">
        <f aca="false">INDEX(Entities!$B$5:$B$34,MATCH(B964,Entities!$A$5:$A$34,0))</f>
        <v>Arab Bank – France</v>
      </c>
      <c r="D964" s="7" t="str">
        <f aca="false">INDEX(Entities!$F$5:$F$34,MATCH(B964,Entities!$A$5:$A$34,0))</f>
        <v>Tier 2</v>
      </c>
      <c r="E964" s="26" t="str">
        <f aca="false">'Control Library'!$A$18</f>
        <v>CTL-PF-01</v>
      </c>
      <c r="F964" s="12" t="str">
        <f aca="false">INDEX('Control Library'!$B$5:$B$47,MATCH(E964,'Control Library'!$A$5:$A$47,0))</f>
        <v>Dual-use goods, vessel and port screening</v>
      </c>
      <c r="G964" s="7" t="str">
        <f aca="false">INDEX('Control Library'!$F$5:$F$47,MATCH(E964,'Control Library'!$A$5:$A$47,0))</f>
        <v>Y</v>
      </c>
      <c r="H964" s="12" t="str">
        <f aca="false">INDEX('Control Library'!$E$5:$E$47,MATCH(E964,'Control Library'!$A$5:$A$47,0))</f>
        <v>Event-driven</v>
      </c>
      <c r="I964" s="7" t="str">
        <f aca="false">IF(INDEX('Control Library'!$I$5:$I$47,MATCH(E964,'Control Library'!$A$5:$A$47,0))="All","Y",IF(INDEX('Control Library'!$I$5:$I$47,MATCH(E964,'Control Library'!$A$5:$A$47,0))="Banks only",IF(COUNTIF('Residual Config'!$L$28:$L$30,INDEX(Entities!$E$5:$E$34,MATCH(B964,Entities!$A$5:$A$34,0)))&gt;0,"N/A","Y"),IF(INDEX(Entities!$G$5:$G$34,MATCH(B964,Entities!$A$5:$A$34,0))="Y","Y","N/A")))</f>
        <v>Y</v>
      </c>
      <c r="J964" s="8" t="s">
        <v>3130</v>
      </c>
      <c r="K964" s="8" t="s">
        <v>3100</v>
      </c>
      <c r="L964" s="7" t="str">
        <f aca="false">IF(OR(J964="",K964=""),"",IF(J964=K964,"Breach","OK"))</f>
        <v>OK</v>
      </c>
      <c r="M964" s="24" t="n">
        <v>1</v>
      </c>
      <c r="N964" s="50" t="n">
        <v>46281</v>
      </c>
      <c r="O964" s="8" t="s">
        <v>545</v>
      </c>
      <c r="P964" s="24" t="n">
        <v>25</v>
      </c>
      <c r="Q964" s="31" t="n">
        <f aca="false">IF(I964="N/A","",IFERROR(INDEX('Residual Config'!$B$35:$B$42,MATCH(H964,'Residual Config'!$A$35:$A$42,0)),""))</f>
        <v>25</v>
      </c>
      <c r="R964" s="24" t="n">
        <v>0</v>
      </c>
      <c r="S964" s="8" t="s">
        <v>516</v>
      </c>
      <c r="T964" s="31" t="n">
        <f aca="false">IF(S964="","",MATCH(S964,'Residual Config'!$L$9:$L$12,0))</f>
        <v>1</v>
      </c>
      <c r="U964" s="8" t="s">
        <v>3133</v>
      </c>
      <c r="V964" s="24" t="n">
        <v>6</v>
      </c>
      <c r="W964" s="33" t="s">
        <v>533</v>
      </c>
      <c r="X964" s="8" t="s">
        <v>754</v>
      </c>
      <c r="Y964" s="51" t="n">
        <f aca="false">IF(N964="","",EDATE(N964,IF(G964="N",INDEX('Residual Config'!$B$31:$D$31,1,MATCH(D964,'Residual Config'!$B$27:$D$27,0)),INDEX('Residual Config'!$B$28:$D$30,IF(T964=1,1,IF(T964=4,3,2)),MATCH(D964,'Residual Config'!$B$27:$D$27,0)))))</f>
        <v>46646</v>
      </c>
      <c r="Z964" s="7" t="str">
        <f aca="false">IF(I964="N/A","N/A",IF(N964="","Not tested",IF(W964="Rejected","Evidence rejected",IF(W964&lt;&gt;"Accepted","Evidence pending",IF(Y964&lt;'Residual Config'!$C$4,"Overdue","Current")))))</f>
        <v>Current</v>
      </c>
      <c r="AA964" s="34" t="n">
        <f aca="false">IF(I964="N/A","",IF(Z964&lt;&gt;"Current",4,IF(MAX(M964,T964)=0,4,MAX(M964,T964))))</f>
        <v>1</v>
      </c>
      <c r="AB964" s="7" t="str">
        <f aca="false">IF(AA964="","N/A",IF(Z964&lt;&gt;"Current","Not tested / overdue",INDEX('Residual Config'!$B$11:$B$14,AA964)))</f>
        <v>Effective</v>
      </c>
      <c r="AC964" s="36" t="n">
        <f aca="false">IF(AA964="","",INDEX('Residual Config'!$D$11:$D$14,AA964))</f>
        <v>0.6</v>
      </c>
      <c r="AD964" s="7" t="str">
        <f aca="false">IF(OR(I964="N/A",P964="",Q964=""),"",IF(P964&gt;=Q964,"Yes","No"))</f>
        <v>Yes</v>
      </c>
      <c r="AE964" s="8"/>
    </row>
    <row r="965" customFormat="false" ht="15" hidden="false" customHeight="false" outlineLevel="0" collapsed="false">
      <c r="A965" s="12" t="s">
        <v>3134</v>
      </c>
      <c r="B965" s="26" t="str">
        <f aca="false">Entities!$A$27</f>
        <v>FR</v>
      </c>
      <c r="C965" s="12" t="str">
        <f aca="false">INDEX(Entities!$B$5:$B$34,MATCH(B965,Entities!$A$5:$A$34,0))</f>
        <v>Arab Bank – France</v>
      </c>
      <c r="D965" s="7" t="str">
        <f aca="false">INDEX(Entities!$F$5:$F$34,MATCH(B965,Entities!$A$5:$A$34,0))</f>
        <v>Tier 2</v>
      </c>
      <c r="E965" s="26" t="str">
        <f aca="false">'Control Library'!$A$19</f>
        <v>CTL-CB-01</v>
      </c>
      <c r="F965" s="12" t="str">
        <f aca="false">INDEX('Control Library'!$B$5:$B$47,MATCH(E965,'Control Library'!$A$5:$A$47,0))</f>
        <v>Correspondent bank due diligence (CBDDQ) and nesting detection</v>
      </c>
      <c r="G965" s="7" t="str">
        <f aca="false">INDEX('Control Library'!$F$5:$F$47,MATCH(E965,'Control Library'!$A$5:$A$47,0))</f>
        <v>Y</v>
      </c>
      <c r="H965" s="12" t="str">
        <f aca="false">INDEX('Control Library'!$E$5:$E$47,MATCH(E965,'Control Library'!$A$5:$A$47,0))</f>
        <v>Annual</v>
      </c>
      <c r="I965" s="7" t="str">
        <f aca="false">IF(INDEX('Control Library'!$I$5:$I$47,MATCH(E965,'Control Library'!$A$5:$A$47,0))="All","Y",IF(INDEX('Control Library'!$I$5:$I$47,MATCH(E965,'Control Library'!$A$5:$A$47,0))="Banks only",IF(COUNTIF('Residual Config'!$L$28:$L$30,INDEX(Entities!$E$5:$E$34,MATCH(B965,Entities!$A$5:$A$34,0)))&gt;0,"N/A","Y"),IF(INDEX(Entities!$G$5:$G$34,MATCH(B965,Entities!$A$5:$A$34,0))="Y","Y","N/A")))</f>
        <v>Y</v>
      </c>
      <c r="J965" s="8" t="s">
        <v>3135</v>
      </c>
      <c r="K965" s="8" t="s">
        <v>3100</v>
      </c>
      <c r="L965" s="7" t="str">
        <f aca="false">IF(OR(J965="",K965=""),"",IF(J965=K965,"Breach","OK"))</f>
        <v>OK</v>
      </c>
      <c r="M965" s="24" t="n">
        <v>1</v>
      </c>
      <c r="N965" s="50" t="n">
        <v>46254</v>
      </c>
      <c r="O965" s="8" t="s">
        <v>545</v>
      </c>
      <c r="P965" s="24" t="n">
        <v>1</v>
      </c>
      <c r="Q965" s="31" t="n">
        <f aca="false">IF(I965="N/A","",IFERROR(INDEX('Residual Config'!$B$35:$B$42,MATCH(H965,'Residual Config'!$A$35:$A$42,0)),""))</f>
        <v>1</v>
      </c>
      <c r="R965" s="24" t="n">
        <v>1</v>
      </c>
      <c r="S965" s="8" t="s">
        <v>521</v>
      </c>
      <c r="T965" s="31" t="n">
        <f aca="false">IF(S965="","",MATCH(S965,'Residual Config'!$L$9:$L$12,0))</f>
        <v>2</v>
      </c>
      <c r="U965" s="8" t="s">
        <v>3136</v>
      </c>
      <c r="V965" s="24" t="n">
        <v>2</v>
      </c>
      <c r="W965" s="33" t="s">
        <v>533</v>
      </c>
      <c r="X965" s="8" t="s">
        <v>754</v>
      </c>
      <c r="Y965" s="51" t="n">
        <f aca="false">IF(N965="","",EDATE(N965,IF(G965="N",INDEX('Residual Config'!$B$31:$D$31,1,MATCH(D965,'Residual Config'!$B$27:$D$27,0)),INDEX('Residual Config'!$B$28:$D$30,IF(T965=1,1,IF(T965=4,3,2)),MATCH(D965,'Residual Config'!$B$27:$D$27,0)))))</f>
        <v>46438</v>
      </c>
      <c r="Z965" s="7" t="str">
        <f aca="false">IF(I965="N/A","N/A",IF(N965="","Not tested",IF(W965="Rejected","Evidence rejected",IF(W965&lt;&gt;"Accepted","Evidence pending",IF(Y965&lt;'Residual Config'!$C$4,"Overdue","Current")))))</f>
        <v>Current</v>
      </c>
      <c r="AA965" s="34" t="n">
        <f aca="false">IF(I965="N/A","",IF(Z965&lt;&gt;"Current",4,IF(MAX(M965,T965)=0,4,MAX(M965,T965))))</f>
        <v>2</v>
      </c>
      <c r="AB965" s="7" t="str">
        <f aca="false">IF(AA965="","N/A",IF(Z965&lt;&gt;"Current","Not tested / overdue",INDEX('Residual Config'!$B$11:$B$14,AA965)))</f>
        <v>Largely effective</v>
      </c>
      <c r="AC965" s="36" t="n">
        <f aca="false">IF(AA965="","",INDEX('Residual Config'!$D$11:$D$14,AA965))</f>
        <v>0.4</v>
      </c>
      <c r="AD965" s="7" t="str">
        <f aca="false">IF(OR(I965="N/A",P965="",Q965=""),"",IF(P965&gt;=Q965,"Yes","No"))</f>
        <v>Yes</v>
      </c>
      <c r="AE965" s="8"/>
    </row>
    <row r="966" customFormat="false" ht="15" hidden="false" customHeight="false" outlineLevel="0" collapsed="false">
      <c r="A966" s="12" t="s">
        <v>3137</v>
      </c>
      <c r="B966" s="26" t="str">
        <f aca="false">Entities!$A$27</f>
        <v>FR</v>
      </c>
      <c r="C966" s="12" t="str">
        <f aca="false">INDEX(Entities!$B$5:$B$34,MATCH(B966,Entities!$A$5:$A$34,0))</f>
        <v>Arab Bank – France</v>
      </c>
      <c r="D966" s="7" t="str">
        <f aca="false">INDEX(Entities!$F$5:$F$34,MATCH(B966,Entities!$A$5:$A$34,0))</f>
        <v>Tier 2</v>
      </c>
      <c r="E966" s="26" t="str">
        <f aca="false">'Control Library'!$A$20</f>
        <v>CTL-PAY-01</v>
      </c>
      <c r="F966" s="12" t="str">
        <f aca="false">INDEX('Control Library'!$B$5:$B$47,MATCH(E966,'Control Library'!$A$5:$A$47,0))</f>
        <v>Payment transparency checks (FATF R.16)</v>
      </c>
      <c r="G966" s="7" t="str">
        <f aca="false">INDEX('Control Library'!$F$5:$F$47,MATCH(E966,'Control Library'!$A$5:$A$47,0))</f>
        <v>N</v>
      </c>
      <c r="H966" s="12" t="str">
        <f aca="false">INDEX('Control Library'!$E$5:$E$47,MATCH(E966,'Control Library'!$A$5:$A$47,0))</f>
        <v>Continuous</v>
      </c>
      <c r="I966" s="7" t="str">
        <f aca="false">IF(INDEX('Control Library'!$I$5:$I$47,MATCH(E966,'Control Library'!$A$5:$A$47,0))="All","Y",IF(INDEX('Control Library'!$I$5:$I$47,MATCH(E966,'Control Library'!$A$5:$A$47,0))="Banks only",IF(COUNTIF('Residual Config'!$L$28:$L$30,INDEX(Entities!$E$5:$E$34,MATCH(B966,Entities!$A$5:$A$34,0)))&gt;0,"N/A","Y"),IF(INDEX(Entities!$G$5:$G$34,MATCH(B966,Entities!$A$5:$A$34,0))="Y","Y","N/A")))</f>
        <v>Y</v>
      </c>
      <c r="J966" s="8" t="s">
        <v>3138</v>
      </c>
      <c r="K966" s="8" t="s">
        <v>3100</v>
      </c>
      <c r="L966" s="7" t="str">
        <f aca="false">IF(OR(J966="",K966=""),"",IF(J966=K966,"Breach","OK"))</f>
        <v>OK</v>
      </c>
      <c r="M966" s="24" t="n">
        <v>1</v>
      </c>
      <c r="N966" s="50" t="n">
        <v>46189</v>
      </c>
      <c r="O966" s="8" t="s">
        <v>546</v>
      </c>
      <c r="P966" s="24" t="n">
        <v>1</v>
      </c>
      <c r="Q966" s="31" t="n">
        <f aca="false">IF(I966="N/A","",IFERROR(INDEX('Residual Config'!$B$35:$B$42,MATCH(H966,'Residual Config'!$A$35:$A$42,0)),""))</f>
        <v>1</v>
      </c>
      <c r="R966" s="24" t="n">
        <v>0</v>
      </c>
      <c r="S966" s="8" t="s">
        <v>516</v>
      </c>
      <c r="T966" s="31" t="n">
        <f aca="false">IF(S966="","",MATCH(S966,'Residual Config'!$L$9:$L$12,0))</f>
        <v>1</v>
      </c>
      <c r="U966" s="8" t="s">
        <v>3139</v>
      </c>
      <c r="V966" s="24" t="n">
        <v>5</v>
      </c>
      <c r="W966" s="33" t="s">
        <v>533</v>
      </c>
      <c r="X966" s="8" t="s">
        <v>760</v>
      </c>
      <c r="Y966" s="51" t="n">
        <f aca="false">IF(N966="","",EDATE(N966,IF(G966="N",INDEX('Residual Config'!$B$31:$D$31,1,MATCH(D966,'Residual Config'!$B$27:$D$27,0)),INDEX('Residual Config'!$B$28:$D$30,IF(T966=1,1,IF(T966=4,3,2)),MATCH(D966,'Residual Config'!$B$27:$D$27,0)))))</f>
        <v>46554</v>
      </c>
      <c r="Z966" s="7" t="str">
        <f aca="false">IF(I966="N/A","N/A",IF(N966="","Not tested",IF(W966="Rejected","Evidence rejected",IF(W966&lt;&gt;"Accepted","Evidence pending",IF(Y966&lt;'Residual Config'!$C$4,"Overdue","Current")))))</f>
        <v>Current</v>
      </c>
      <c r="AA966" s="34" t="n">
        <f aca="false">IF(I966="N/A","",IF(Z966&lt;&gt;"Current",4,IF(MAX(M966,T966)=0,4,MAX(M966,T966))))</f>
        <v>1</v>
      </c>
      <c r="AB966" s="7" t="str">
        <f aca="false">IF(AA966="","N/A",IF(Z966&lt;&gt;"Current","Not tested / overdue",INDEX('Residual Config'!$B$11:$B$14,AA966)))</f>
        <v>Effective</v>
      </c>
      <c r="AC966" s="36" t="n">
        <f aca="false">IF(AA966="","",INDEX('Residual Config'!$D$11:$D$14,AA966))</f>
        <v>0.6</v>
      </c>
      <c r="AD966" s="7" t="str">
        <f aca="false">IF(OR(I966="N/A",P966="",Q966=""),"",IF(P966&gt;=Q966,"Yes","No"))</f>
        <v>Yes</v>
      </c>
      <c r="AE966" s="8"/>
    </row>
    <row r="967" customFormat="false" ht="15" hidden="false" customHeight="false" outlineLevel="0" collapsed="false">
      <c r="A967" s="12" t="s">
        <v>3140</v>
      </c>
      <c r="B967" s="26" t="str">
        <f aca="false">Entities!$A$27</f>
        <v>FR</v>
      </c>
      <c r="C967" s="12" t="str">
        <f aca="false">INDEX(Entities!$B$5:$B$34,MATCH(B967,Entities!$A$5:$A$34,0))</f>
        <v>Arab Bank – France</v>
      </c>
      <c r="D967" s="7" t="str">
        <f aca="false">INDEX(Entities!$F$5:$F$34,MATCH(B967,Entities!$A$5:$A$34,0))</f>
        <v>Tier 2</v>
      </c>
      <c r="E967" s="26" t="str">
        <f aca="false">'Control Library'!$A$21</f>
        <v>CTL-ABC-01</v>
      </c>
      <c r="F967" s="12" t="str">
        <f aca="false">INDEX('Control Library'!$B$5:$B$47,MATCH(E967,'Control Library'!$A$5:$A$47,0))</f>
        <v>Third-party and intermediary anti-bribery due diligence</v>
      </c>
      <c r="G967" s="7" t="str">
        <f aca="false">INDEX('Control Library'!$F$5:$F$47,MATCH(E967,'Control Library'!$A$5:$A$47,0))</f>
        <v>Y</v>
      </c>
      <c r="H967" s="12" t="str">
        <f aca="false">INDEX('Control Library'!$E$5:$E$47,MATCH(E967,'Control Library'!$A$5:$A$47,0))</f>
        <v>Event-driven</v>
      </c>
      <c r="I967" s="7" t="str">
        <f aca="false">IF(INDEX('Control Library'!$I$5:$I$47,MATCH(E967,'Control Library'!$A$5:$A$47,0))="All","Y",IF(INDEX('Control Library'!$I$5:$I$47,MATCH(E967,'Control Library'!$A$5:$A$47,0))="Banks only",IF(COUNTIF('Residual Config'!$L$28:$L$30,INDEX(Entities!$E$5:$E$34,MATCH(B967,Entities!$A$5:$A$34,0)))&gt;0,"N/A","Y"),IF(INDEX(Entities!$G$5:$G$34,MATCH(B967,Entities!$A$5:$A$34,0))="Y","Y","N/A")))</f>
        <v>Y</v>
      </c>
      <c r="J967" s="8" t="s">
        <v>3141</v>
      </c>
      <c r="K967" s="8" t="s">
        <v>3100</v>
      </c>
      <c r="L967" s="7" t="str">
        <f aca="false">IF(OR(J967="",K967=""),"",IF(J967=K967,"Breach","OK"))</f>
        <v>OK</v>
      </c>
      <c r="M967" s="24" t="n">
        <v>2</v>
      </c>
      <c r="N967" s="50" t="n">
        <v>46249</v>
      </c>
      <c r="O967" s="8" t="s">
        <v>545</v>
      </c>
      <c r="P967" s="24" t="n">
        <v>30</v>
      </c>
      <c r="Q967" s="31" t="n">
        <f aca="false">IF(I967="N/A","",IFERROR(INDEX('Residual Config'!$B$35:$B$42,MATCH(H967,'Residual Config'!$A$35:$A$42,0)),""))</f>
        <v>25</v>
      </c>
      <c r="R967" s="24" t="n">
        <v>0</v>
      </c>
      <c r="S967" s="8" t="s">
        <v>516</v>
      </c>
      <c r="T967" s="31" t="n">
        <f aca="false">IF(S967="","",MATCH(S967,'Residual Config'!$L$9:$L$12,0))</f>
        <v>1</v>
      </c>
      <c r="U967" s="8" t="s">
        <v>3142</v>
      </c>
      <c r="V967" s="24" t="n">
        <v>6</v>
      </c>
      <c r="W967" s="33" t="s">
        <v>533</v>
      </c>
      <c r="X967" s="8" t="s">
        <v>754</v>
      </c>
      <c r="Y967" s="51" t="n">
        <f aca="false">IF(N967="","",EDATE(N967,IF(G967="N",INDEX('Residual Config'!$B$31:$D$31,1,MATCH(D967,'Residual Config'!$B$27:$D$27,0)),INDEX('Residual Config'!$B$28:$D$30,IF(T967=1,1,IF(T967=4,3,2)),MATCH(D967,'Residual Config'!$B$27:$D$27,0)))))</f>
        <v>46614</v>
      </c>
      <c r="Z967" s="7" t="str">
        <f aca="false">IF(I967="N/A","N/A",IF(N967="","Not tested",IF(W967="Rejected","Evidence rejected",IF(W967&lt;&gt;"Accepted","Evidence pending",IF(Y967&lt;'Residual Config'!$C$4,"Overdue","Current")))))</f>
        <v>Current</v>
      </c>
      <c r="AA967" s="34" t="n">
        <f aca="false">IF(I967="N/A","",IF(Z967&lt;&gt;"Current",4,IF(MAX(M967,T967)=0,4,MAX(M967,T967))))</f>
        <v>2</v>
      </c>
      <c r="AB967" s="7" t="str">
        <f aca="false">IF(AA967="","N/A",IF(Z967&lt;&gt;"Current","Not tested / overdue",INDEX('Residual Config'!$B$11:$B$14,AA967)))</f>
        <v>Largely effective</v>
      </c>
      <c r="AC967" s="36" t="n">
        <f aca="false">IF(AA967="","",INDEX('Residual Config'!$D$11:$D$14,AA967))</f>
        <v>0.4</v>
      </c>
      <c r="AD967" s="7" t="str">
        <f aca="false">IF(OR(I967="N/A",P967="",Q967=""),"",IF(P967&gt;=Q967,"Yes","No"))</f>
        <v>Yes</v>
      </c>
      <c r="AE967" s="8"/>
    </row>
    <row r="968" customFormat="false" ht="15" hidden="false" customHeight="false" outlineLevel="0" collapsed="false">
      <c r="A968" s="12" t="s">
        <v>3143</v>
      </c>
      <c r="B968" s="26" t="str">
        <f aca="false">Entities!$A$27</f>
        <v>FR</v>
      </c>
      <c r="C968" s="12" t="str">
        <f aca="false">INDEX(Entities!$B$5:$B$34,MATCH(B968,Entities!$A$5:$A$34,0))</f>
        <v>Arab Bank – France</v>
      </c>
      <c r="D968" s="7" t="str">
        <f aca="false">INDEX(Entities!$F$5:$F$34,MATCH(B968,Entities!$A$5:$A$34,0))</f>
        <v>Tier 2</v>
      </c>
      <c r="E968" s="26" t="str">
        <f aca="false">'Control Library'!$A$22</f>
        <v>CTL-ABC-02</v>
      </c>
      <c r="F968" s="12" t="str">
        <f aca="false">INDEX('Control Library'!$B$5:$B$47,MATCH(E968,'Control Library'!$A$5:$A$47,0))</f>
        <v>Gifts, hospitality and donations register with pre-approval</v>
      </c>
      <c r="G968" s="7" t="str">
        <f aca="false">INDEX('Control Library'!$F$5:$F$47,MATCH(E968,'Control Library'!$A$5:$A$47,0))</f>
        <v>N</v>
      </c>
      <c r="H968" s="12" t="str">
        <f aca="false">INDEX('Control Library'!$E$5:$E$47,MATCH(E968,'Control Library'!$A$5:$A$47,0))</f>
        <v>Event-driven</v>
      </c>
      <c r="I968" s="7" t="str">
        <f aca="false">IF(INDEX('Control Library'!$I$5:$I$47,MATCH(E968,'Control Library'!$A$5:$A$47,0))="All","Y",IF(INDEX('Control Library'!$I$5:$I$47,MATCH(E968,'Control Library'!$A$5:$A$47,0))="Banks only",IF(COUNTIF('Residual Config'!$L$28:$L$30,INDEX(Entities!$E$5:$E$34,MATCH(B968,Entities!$A$5:$A$34,0)))&gt;0,"N/A","Y"),IF(INDEX(Entities!$G$5:$G$34,MATCH(B968,Entities!$A$5:$A$34,0))="Y","Y","N/A")))</f>
        <v>Y</v>
      </c>
      <c r="J968" s="8" t="s">
        <v>3103</v>
      </c>
      <c r="K968" s="8" t="s">
        <v>3100</v>
      </c>
      <c r="L968" s="7" t="str">
        <f aca="false">IF(OR(J968="",K968=""),"",IF(J968=K968,"Breach","OK"))</f>
        <v>OK</v>
      </c>
      <c r="M968" s="24" t="n">
        <v>1</v>
      </c>
      <c r="N968" s="50" t="n">
        <v>45900</v>
      </c>
      <c r="O968" s="8" t="s">
        <v>545</v>
      </c>
      <c r="P968" s="24" t="n">
        <v>30</v>
      </c>
      <c r="Q968" s="31" t="n">
        <f aca="false">IF(I968="N/A","",IFERROR(INDEX('Residual Config'!$B$35:$B$42,MATCH(H968,'Residual Config'!$A$35:$A$42,0)),""))</f>
        <v>25</v>
      </c>
      <c r="R968" s="24" t="n">
        <v>0</v>
      </c>
      <c r="S968" s="8" t="s">
        <v>516</v>
      </c>
      <c r="T968" s="31" t="n">
        <f aca="false">IF(S968="","",MATCH(S968,'Residual Config'!$L$9:$L$12,0))</f>
        <v>1</v>
      </c>
      <c r="U968" s="8" t="s">
        <v>3144</v>
      </c>
      <c r="V968" s="24" t="n">
        <v>5</v>
      </c>
      <c r="W968" s="33" t="s">
        <v>533</v>
      </c>
      <c r="X968" s="8" t="s">
        <v>754</v>
      </c>
      <c r="Y968" s="51" t="n">
        <f aca="false">IF(N968="","",EDATE(N968,IF(G968="N",INDEX('Residual Config'!$B$31:$D$31,1,MATCH(D968,'Residual Config'!$B$27:$D$27,0)),INDEX('Residual Config'!$B$28:$D$30,IF(T968=1,1,IF(T968=4,3,2)),MATCH(D968,'Residual Config'!$B$27:$D$27,0)))))</f>
        <v>46265</v>
      </c>
      <c r="Z968" s="7" t="str">
        <f aca="false">IF(I968="N/A","N/A",IF(N968="","Not tested",IF(W968="Rejected","Evidence rejected",IF(W968&lt;&gt;"Accepted","Evidence pending",IF(Y968&lt;'Residual Config'!$C$4,"Overdue","Current")))))</f>
        <v>Overdue</v>
      </c>
      <c r="AA968" s="34" t="n">
        <f aca="false">IF(I968="N/A","",IF(Z968&lt;&gt;"Current",4,IF(MAX(M968,T968)=0,4,MAX(M968,T968))))</f>
        <v>4</v>
      </c>
      <c r="AB968" s="7" t="str">
        <f aca="false">IF(AA968="","N/A",IF(Z968&lt;&gt;"Current","Not tested / overdue",INDEX('Residual Config'!$B$11:$B$14,AA968)))</f>
        <v>Not tested / overdue</v>
      </c>
      <c r="AC968" s="36" t="n">
        <f aca="false">IF(AA968="","",INDEX('Residual Config'!$D$11:$D$14,AA968))</f>
        <v>0</v>
      </c>
      <c r="AD968" s="7" t="str">
        <f aca="false">IF(OR(I968="N/A",P968="",Q968=""),"",IF(P968&gt;=Q968,"Yes","No"))</f>
        <v>Yes</v>
      </c>
      <c r="AE968" s="8"/>
    </row>
    <row r="969" customFormat="false" ht="15" hidden="false" customHeight="false" outlineLevel="0" collapsed="false">
      <c r="A969" s="12" t="s">
        <v>3145</v>
      </c>
      <c r="B969" s="26" t="str">
        <f aca="false">Entities!$A$27</f>
        <v>FR</v>
      </c>
      <c r="C969" s="12" t="str">
        <f aca="false">INDEX(Entities!$B$5:$B$34,MATCH(B969,Entities!$A$5:$A$34,0))</f>
        <v>Arab Bank – France</v>
      </c>
      <c r="D969" s="7" t="str">
        <f aca="false">INDEX(Entities!$F$5:$F$34,MATCH(B969,Entities!$A$5:$A$34,0))</f>
        <v>Tier 2</v>
      </c>
      <c r="E969" s="26" t="str">
        <f aca="false">'Control Library'!$A$23</f>
        <v>CTL-FRD-01</v>
      </c>
      <c r="F969" s="12" t="str">
        <f aca="false">INDEX('Control Library'!$B$5:$B$47,MATCH(E969,'Control Library'!$A$5:$A$47,0))</f>
        <v>Real-time fraud monitoring for cards and digital channels</v>
      </c>
      <c r="G969" s="7" t="str">
        <f aca="false">INDEX('Control Library'!$F$5:$F$47,MATCH(E969,'Control Library'!$A$5:$A$47,0))</f>
        <v>Y</v>
      </c>
      <c r="H969" s="12" t="str">
        <f aca="false">INDEX('Control Library'!$E$5:$E$47,MATCH(E969,'Control Library'!$A$5:$A$47,0))</f>
        <v>Continuous</v>
      </c>
      <c r="I969" s="7" t="str">
        <f aca="false">IF(INDEX('Control Library'!$I$5:$I$47,MATCH(E969,'Control Library'!$A$5:$A$47,0))="All","Y",IF(INDEX('Control Library'!$I$5:$I$47,MATCH(E969,'Control Library'!$A$5:$A$47,0))="Banks only",IF(COUNTIF('Residual Config'!$L$28:$L$30,INDEX(Entities!$E$5:$E$34,MATCH(B969,Entities!$A$5:$A$34,0)))&gt;0,"N/A","Y"),IF(INDEX(Entities!$G$5:$G$34,MATCH(B969,Entities!$A$5:$A$34,0))="Y","Y","N/A")))</f>
        <v>Y</v>
      </c>
      <c r="J969" s="8" t="s">
        <v>3146</v>
      </c>
      <c r="K969" s="8" t="s">
        <v>3100</v>
      </c>
      <c r="L969" s="7" t="str">
        <f aca="false">IF(OR(J969="",K969=""),"",IF(J969=K969,"Breach","OK"))</f>
        <v>OK</v>
      </c>
      <c r="M969" s="24" t="n">
        <v>1</v>
      </c>
      <c r="N969" s="50" t="n">
        <v>46074</v>
      </c>
      <c r="O969" s="8" t="s">
        <v>547</v>
      </c>
      <c r="P969" s="24" t="n">
        <v>1</v>
      </c>
      <c r="Q969" s="31" t="n">
        <f aca="false">IF(I969="N/A","",IFERROR(INDEX('Residual Config'!$B$35:$B$42,MATCH(H969,'Residual Config'!$A$35:$A$42,0)),""))</f>
        <v>1</v>
      </c>
      <c r="R969" s="24" t="n">
        <v>0</v>
      </c>
      <c r="S969" s="8" t="s">
        <v>516</v>
      </c>
      <c r="T969" s="31" t="n">
        <f aca="false">IF(S969="","",MATCH(S969,'Residual Config'!$L$9:$L$12,0))</f>
        <v>1</v>
      </c>
      <c r="U969" s="8" t="s">
        <v>3147</v>
      </c>
      <c r="V969" s="24" t="n">
        <v>3</v>
      </c>
      <c r="W969" s="33" t="s">
        <v>533</v>
      </c>
      <c r="X969" s="8" t="s">
        <v>760</v>
      </c>
      <c r="Y969" s="51" t="n">
        <f aca="false">IF(N969="","",EDATE(N969,IF(G969="N",INDEX('Residual Config'!$B$31:$D$31,1,MATCH(D969,'Residual Config'!$B$27:$D$27,0)),INDEX('Residual Config'!$B$28:$D$30,IF(T969=1,1,IF(T969=4,3,2)),MATCH(D969,'Residual Config'!$B$27:$D$27,0)))))</f>
        <v>46439</v>
      </c>
      <c r="Z969" s="7" t="str">
        <f aca="false">IF(I969="N/A","N/A",IF(N969="","Not tested",IF(W969="Rejected","Evidence rejected",IF(W969&lt;&gt;"Accepted","Evidence pending",IF(Y969&lt;'Residual Config'!$C$4,"Overdue","Current")))))</f>
        <v>Current</v>
      </c>
      <c r="AA969" s="34" t="n">
        <f aca="false">IF(I969="N/A","",IF(Z969&lt;&gt;"Current",4,IF(MAX(M969,T969)=0,4,MAX(M969,T969))))</f>
        <v>1</v>
      </c>
      <c r="AB969" s="7" t="str">
        <f aca="false">IF(AA969="","N/A",IF(Z969&lt;&gt;"Current","Not tested / overdue",INDEX('Residual Config'!$B$11:$B$14,AA969)))</f>
        <v>Effective</v>
      </c>
      <c r="AC969" s="36" t="n">
        <f aca="false">IF(AA969="","",INDEX('Residual Config'!$D$11:$D$14,AA969))</f>
        <v>0.6</v>
      </c>
      <c r="AD969" s="7" t="str">
        <f aca="false">IF(OR(I969="N/A",P969="",Q969=""),"",IF(P969&gt;=Q969,"Yes","No"))</f>
        <v>Yes</v>
      </c>
      <c r="AE969" s="8"/>
    </row>
    <row r="970" customFormat="false" ht="15" hidden="false" customHeight="false" outlineLevel="0" collapsed="false">
      <c r="A970" s="12" t="s">
        <v>3148</v>
      </c>
      <c r="B970" s="26" t="str">
        <f aca="false">Entities!$A$27</f>
        <v>FR</v>
      </c>
      <c r="C970" s="12" t="str">
        <f aca="false">INDEX(Entities!$B$5:$B$34,MATCH(B970,Entities!$A$5:$A$34,0))</f>
        <v>Arab Bank – France</v>
      </c>
      <c r="D970" s="7" t="str">
        <f aca="false">INDEX(Entities!$F$5:$F$34,MATCH(B970,Entities!$A$5:$A$34,0))</f>
        <v>Tier 2</v>
      </c>
      <c r="E970" s="26" t="str">
        <f aca="false">'Control Library'!$A$24</f>
        <v>CTL-FRD-02</v>
      </c>
      <c r="F970" s="12" t="str">
        <f aca="false">INDEX('Control Library'!$B$5:$B$47,MATCH(E970,'Control Library'!$A$5:$A$47,0))</f>
        <v>Maker-checker and dual control on payments and static data</v>
      </c>
      <c r="G970" s="7" t="str">
        <f aca="false">INDEX('Control Library'!$F$5:$F$47,MATCH(E970,'Control Library'!$A$5:$A$47,0))</f>
        <v>Y</v>
      </c>
      <c r="H970" s="12" t="str">
        <f aca="false">INDEX('Control Library'!$E$5:$E$47,MATCH(E970,'Control Library'!$A$5:$A$47,0))</f>
        <v>Daily</v>
      </c>
      <c r="I970" s="7" t="str">
        <f aca="false">IF(INDEX('Control Library'!$I$5:$I$47,MATCH(E970,'Control Library'!$A$5:$A$47,0))="All","Y",IF(INDEX('Control Library'!$I$5:$I$47,MATCH(E970,'Control Library'!$A$5:$A$47,0))="Banks only",IF(COUNTIF('Residual Config'!$L$28:$L$30,INDEX(Entities!$E$5:$E$34,MATCH(B970,Entities!$A$5:$A$34,0)))&gt;0,"N/A","Y"),IF(INDEX(Entities!$G$5:$G$34,MATCH(B970,Entities!$A$5:$A$34,0))="Y","Y","N/A")))</f>
        <v>Y</v>
      </c>
      <c r="J970" s="8" t="s">
        <v>3099</v>
      </c>
      <c r="K970" s="8" t="s">
        <v>3100</v>
      </c>
      <c r="L970" s="7" t="str">
        <f aca="false">IF(OR(J970="",K970=""),"",IF(J970=K970,"Breach","OK"))</f>
        <v>OK</v>
      </c>
      <c r="M970" s="24" t="n">
        <v>1</v>
      </c>
      <c r="N970" s="50" t="n">
        <v>46045</v>
      </c>
      <c r="O970" s="8" t="s">
        <v>545</v>
      </c>
      <c r="P970" s="24" t="n">
        <v>30</v>
      </c>
      <c r="Q970" s="31" t="n">
        <f aca="false">IF(I970="N/A","",IFERROR(INDEX('Residual Config'!$B$35:$B$42,MATCH(H970,'Residual Config'!$A$35:$A$42,0)),""))</f>
        <v>25</v>
      </c>
      <c r="R970" s="24" t="n">
        <v>0</v>
      </c>
      <c r="S970" s="8" t="s">
        <v>516</v>
      </c>
      <c r="T970" s="31" t="n">
        <f aca="false">IF(S970="","",MATCH(S970,'Residual Config'!$L$9:$L$12,0))</f>
        <v>1</v>
      </c>
      <c r="U970" s="8" t="s">
        <v>3149</v>
      </c>
      <c r="V970" s="24" t="n">
        <v>1</v>
      </c>
      <c r="W970" s="33" t="s">
        <v>533</v>
      </c>
      <c r="X970" s="8" t="s">
        <v>760</v>
      </c>
      <c r="Y970" s="51" t="n">
        <f aca="false">IF(N970="","",EDATE(N970,IF(G970="N",INDEX('Residual Config'!$B$31:$D$31,1,MATCH(D970,'Residual Config'!$B$27:$D$27,0)),INDEX('Residual Config'!$B$28:$D$30,IF(T970=1,1,IF(T970=4,3,2)),MATCH(D970,'Residual Config'!$B$27:$D$27,0)))))</f>
        <v>46410</v>
      </c>
      <c r="Z970" s="7" t="str">
        <f aca="false">IF(I970="N/A","N/A",IF(N970="","Not tested",IF(W970="Rejected","Evidence rejected",IF(W970&lt;&gt;"Accepted","Evidence pending",IF(Y970&lt;'Residual Config'!$C$4,"Overdue","Current")))))</f>
        <v>Current</v>
      </c>
      <c r="AA970" s="34" t="n">
        <f aca="false">IF(I970="N/A","",IF(Z970&lt;&gt;"Current",4,IF(MAX(M970,T970)=0,4,MAX(M970,T970))))</f>
        <v>1</v>
      </c>
      <c r="AB970" s="7" t="str">
        <f aca="false">IF(AA970="","N/A",IF(Z970&lt;&gt;"Current","Not tested / overdue",INDEX('Residual Config'!$B$11:$B$14,AA970)))</f>
        <v>Effective</v>
      </c>
      <c r="AC970" s="36" t="n">
        <f aca="false">IF(AA970="","",INDEX('Residual Config'!$D$11:$D$14,AA970))</f>
        <v>0.6</v>
      </c>
      <c r="AD970" s="7" t="str">
        <f aca="false">IF(OR(I970="N/A",P970="",Q970=""),"",IF(P970&gt;=Q970,"Yes","No"))</f>
        <v>Yes</v>
      </c>
      <c r="AE970" s="8"/>
    </row>
    <row r="971" customFormat="false" ht="15" hidden="false" customHeight="false" outlineLevel="0" collapsed="false">
      <c r="A971" s="12" t="s">
        <v>3150</v>
      </c>
      <c r="B971" s="26" t="str">
        <f aca="false">Entities!$A$27</f>
        <v>FR</v>
      </c>
      <c r="C971" s="12" t="str">
        <f aca="false">INDEX(Entities!$B$5:$B$34,MATCH(B971,Entities!$A$5:$A$34,0))</f>
        <v>Arab Bank – France</v>
      </c>
      <c r="D971" s="7" t="str">
        <f aca="false">INDEX(Entities!$F$5:$F$34,MATCH(B971,Entities!$A$5:$A$34,0))</f>
        <v>Tier 2</v>
      </c>
      <c r="E971" s="26" t="str">
        <f aca="false">'Control Library'!$A$25</f>
        <v>CTL-FRD-03</v>
      </c>
      <c r="F971" s="12" t="str">
        <f aca="false">INDEX('Control Library'!$B$5:$B$47,MATCH(E971,'Control Library'!$A$5:$A$47,0))</f>
        <v>Mandatory consecutive leave and rotation for sensitive roles</v>
      </c>
      <c r="G971" s="7" t="str">
        <f aca="false">INDEX('Control Library'!$F$5:$F$47,MATCH(E971,'Control Library'!$A$5:$A$47,0))</f>
        <v>N</v>
      </c>
      <c r="H971" s="12" t="str">
        <f aca="false">INDEX('Control Library'!$E$5:$E$47,MATCH(E971,'Control Library'!$A$5:$A$47,0))</f>
        <v>Annual</v>
      </c>
      <c r="I971" s="7" t="str">
        <f aca="false">IF(INDEX('Control Library'!$I$5:$I$47,MATCH(E971,'Control Library'!$A$5:$A$47,0))="All","Y",IF(INDEX('Control Library'!$I$5:$I$47,MATCH(E971,'Control Library'!$A$5:$A$47,0))="Banks only",IF(COUNTIF('Residual Config'!$L$28:$L$30,INDEX(Entities!$E$5:$E$34,MATCH(B971,Entities!$A$5:$A$34,0)))&gt;0,"N/A","Y"),IF(INDEX(Entities!$G$5:$G$34,MATCH(B971,Entities!$A$5:$A$34,0))="Y","Y","N/A")))</f>
        <v>Y</v>
      </c>
      <c r="J971" s="8" t="s">
        <v>3151</v>
      </c>
      <c r="K971" s="8" t="s">
        <v>3100</v>
      </c>
      <c r="L971" s="7" t="str">
        <f aca="false">IF(OR(J971="",K971=""),"",IF(J971=K971,"Breach","OK"))</f>
        <v>OK</v>
      </c>
      <c r="M971" s="24" t="n">
        <v>2</v>
      </c>
      <c r="N971" s="50" t="n">
        <v>46201</v>
      </c>
      <c r="O971" s="8" t="s">
        <v>545</v>
      </c>
      <c r="P971" s="24" t="n">
        <v>1</v>
      </c>
      <c r="Q971" s="31" t="n">
        <f aca="false">IF(I971="N/A","",IFERROR(INDEX('Residual Config'!$B$35:$B$42,MATCH(H971,'Residual Config'!$A$35:$A$42,0)),""))</f>
        <v>1</v>
      </c>
      <c r="R971" s="24" t="n">
        <v>0</v>
      </c>
      <c r="S971" s="8" t="s">
        <v>516</v>
      </c>
      <c r="T971" s="31" t="n">
        <f aca="false">IF(S971="","",MATCH(S971,'Residual Config'!$L$9:$L$12,0))</f>
        <v>1</v>
      </c>
      <c r="U971" s="8" t="s">
        <v>3152</v>
      </c>
      <c r="V971" s="24" t="n">
        <v>2</v>
      </c>
      <c r="W971" s="33" t="s">
        <v>533</v>
      </c>
      <c r="X971" s="8" t="s">
        <v>760</v>
      </c>
      <c r="Y971" s="51" t="n">
        <f aca="false">IF(N971="","",EDATE(N971,IF(G971="N",INDEX('Residual Config'!$B$31:$D$31,1,MATCH(D971,'Residual Config'!$B$27:$D$27,0)),INDEX('Residual Config'!$B$28:$D$30,IF(T971=1,1,IF(T971=4,3,2)),MATCH(D971,'Residual Config'!$B$27:$D$27,0)))))</f>
        <v>46566</v>
      </c>
      <c r="Z971" s="7" t="str">
        <f aca="false">IF(I971="N/A","N/A",IF(N971="","Not tested",IF(W971="Rejected","Evidence rejected",IF(W971&lt;&gt;"Accepted","Evidence pending",IF(Y971&lt;'Residual Config'!$C$4,"Overdue","Current")))))</f>
        <v>Current</v>
      </c>
      <c r="AA971" s="34" t="n">
        <f aca="false">IF(I971="N/A","",IF(Z971&lt;&gt;"Current",4,IF(MAX(M971,T971)=0,4,MAX(M971,T971))))</f>
        <v>2</v>
      </c>
      <c r="AB971" s="7" t="str">
        <f aca="false">IF(AA971="","N/A",IF(Z971&lt;&gt;"Current","Not tested / overdue",INDEX('Residual Config'!$B$11:$B$14,AA971)))</f>
        <v>Largely effective</v>
      </c>
      <c r="AC971" s="36" t="n">
        <f aca="false">IF(AA971="","",INDEX('Residual Config'!$D$11:$D$14,AA971))</f>
        <v>0.4</v>
      </c>
      <c r="AD971" s="7" t="str">
        <f aca="false">IF(OR(I971="N/A",P971="",Q971=""),"",IF(P971&gt;=Q971,"Yes","No"))</f>
        <v>Yes</v>
      </c>
      <c r="AE971" s="8"/>
    </row>
    <row r="972" customFormat="false" ht="15" hidden="false" customHeight="false" outlineLevel="0" collapsed="false">
      <c r="A972" s="12" t="s">
        <v>3153</v>
      </c>
      <c r="B972" s="26" t="str">
        <f aca="false">Entities!$A$27</f>
        <v>FR</v>
      </c>
      <c r="C972" s="12" t="str">
        <f aca="false">INDEX(Entities!$B$5:$B$34,MATCH(B972,Entities!$A$5:$A$34,0))</f>
        <v>Arab Bank – France</v>
      </c>
      <c r="D972" s="7" t="str">
        <f aca="false">INDEX(Entities!$F$5:$F$34,MATCH(B972,Entities!$A$5:$A$34,0))</f>
        <v>Tier 2</v>
      </c>
      <c r="E972" s="26" t="str">
        <f aca="false">'Control Library'!$A$26</f>
        <v>CTL-TAX-01</v>
      </c>
      <c r="F972" s="12" t="str">
        <f aca="false">INDEX('Control Library'!$B$5:$B$47,MATCH(E972,'Control Library'!$A$5:$A$47,0))</f>
        <v>FATCA/CRS self-certification and classification</v>
      </c>
      <c r="G972" s="7" t="str">
        <f aca="false">INDEX('Control Library'!$F$5:$F$47,MATCH(E972,'Control Library'!$A$5:$A$47,0))</f>
        <v>Y</v>
      </c>
      <c r="H972" s="12" t="str">
        <f aca="false">INDEX('Control Library'!$E$5:$E$47,MATCH(E972,'Control Library'!$A$5:$A$47,0))</f>
        <v>Event-driven</v>
      </c>
      <c r="I972" s="7" t="str">
        <f aca="false">IF(INDEX('Control Library'!$I$5:$I$47,MATCH(E972,'Control Library'!$A$5:$A$47,0))="All","Y",IF(INDEX('Control Library'!$I$5:$I$47,MATCH(E972,'Control Library'!$A$5:$A$47,0))="Banks only",IF(COUNTIF('Residual Config'!$L$28:$L$30,INDEX(Entities!$E$5:$E$34,MATCH(B972,Entities!$A$5:$A$34,0)))&gt;0,"N/A","Y"),IF(INDEX(Entities!$G$5:$G$34,MATCH(B972,Entities!$A$5:$A$34,0))="Y","Y","N/A")))</f>
        <v>Y</v>
      </c>
      <c r="J972" s="8" t="s">
        <v>3099</v>
      </c>
      <c r="K972" s="8" t="s">
        <v>3100</v>
      </c>
      <c r="L972" s="7" t="str">
        <f aca="false">IF(OR(J972="",K972=""),"",IF(J972=K972,"Breach","OK"))</f>
        <v>OK</v>
      </c>
      <c r="M972" s="24" t="n">
        <v>2</v>
      </c>
      <c r="N972" s="50" t="n">
        <v>46196</v>
      </c>
      <c r="O972" s="8" t="s">
        <v>546</v>
      </c>
      <c r="P972" s="24" t="n">
        <v>25</v>
      </c>
      <c r="Q972" s="31" t="n">
        <f aca="false">IF(I972="N/A","",IFERROR(INDEX('Residual Config'!$B$35:$B$42,MATCH(H972,'Residual Config'!$A$35:$A$42,0)),""))</f>
        <v>25</v>
      </c>
      <c r="R972" s="24" t="n">
        <v>1</v>
      </c>
      <c r="S972" s="8" t="s">
        <v>521</v>
      </c>
      <c r="T972" s="31" t="n">
        <f aca="false">IF(S972="","",MATCH(S972,'Residual Config'!$L$9:$L$12,0))</f>
        <v>2</v>
      </c>
      <c r="U972" s="8" t="s">
        <v>3154</v>
      </c>
      <c r="V972" s="24" t="n">
        <v>1</v>
      </c>
      <c r="W972" s="33" t="s">
        <v>533</v>
      </c>
      <c r="X972" s="8" t="s">
        <v>754</v>
      </c>
      <c r="Y972" s="51" t="n">
        <f aca="false">IF(N972="","",EDATE(N972,IF(G972="N",INDEX('Residual Config'!$B$31:$D$31,1,MATCH(D972,'Residual Config'!$B$27:$D$27,0)),INDEX('Residual Config'!$B$28:$D$30,IF(T972=1,1,IF(T972=4,3,2)),MATCH(D972,'Residual Config'!$B$27:$D$27,0)))))</f>
        <v>46379</v>
      </c>
      <c r="Z972" s="7" t="str">
        <f aca="false">IF(I972="N/A","N/A",IF(N972="","Not tested",IF(W972="Rejected","Evidence rejected",IF(W972&lt;&gt;"Accepted","Evidence pending",IF(Y972&lt;'Residual Config'!$C$4,"Overdue","Current")))))</f>
        <v>Current</v>
      </c>
      <c r="AA972" s="34" t="n">
        <f aca="false">IF(I972="N/A","",IF(Z972&lt;&gt;"Current",4,IF(MAX(M972,T972)=0,4,MAX(M972,T972))))</f>
        <v>2</v>
      </c>
      <c r="AB972" s="7" t="str">
        <f aca="false">IF(AA972="","N/A",IF(Z972&lt;&gt;"Current","Not tested / overdue",INDEX('Residual Config'!$B$11:$B$14,AA972)))</f>
        <v>Largely effective</v>
      </c>
      <c r="AC972" s="36" t="n">
        <f aca="false">IF(AA972="","",INDEX('Residual Config'!$D$11:$D$14,AA972))</f>
        <v>0.4</v>
      </c>
      <c r="AD972" s="7" t="str">
        <f aca="false">IF(OR(I972="N/A",P972="",Q972=""),"",IF(P972&gt;=Q972,"Yes","No"))</f>
        <v>Yes</v>
      </c>
      <c r="AE972" s="8"/>
    </row>
    <row r="973" customFormat="false" ht="15" hidden="false" customHeight="false" outlineLevel="0" collapsed="false">
      <c r="A973" s="12" t="s">
        <v>3155</v>
      </c>
      <c r="B973" s="26" t="str">
        <f aca="false">Entities!$A$27</f>
        <v>FR</v>
      </c>
      <c r="C973" s="12" t="str">
        <f aca="false">INDEX(Entities!$B$5:$B$34,MATCH(B973,Entities!$A$5:$A$34,0))</f>
        <v>Arab Bank – France</v>
      </c>
      <c r="D973" s="7" t="str">
        <f aca="false">INDEX(Entities!$F$5:$F$34,MATCH(B973,Entities!$A$5:$A$34,0))</f>
        <v>Tier 2</v>
      </c>
      <c r="E973" s="26" t="str">
        <f aca="false">'Control Library'!$A$27</f>
        <v>CTL-TAX-02</v>
      </c>
      <c r="F973" s="12" t="str">
        <f aca="false">INDEX('Control Library'!$B$5:$B$47,MATCH(E973,'Control Library'!$A$5:$A$47,0))</f>
        <v>FATCA/CRS reporting reconciliation and timely filing</v>
      </c>
      <c r="G973" s="7" t="str">
        <f aca="false">INDEX('Control Library'!$F$5:$F$47,MATCH(E973,'Control Library'!$A$5:$A$47,0))</f>
        <v>N</v>
      </c>
      <c r="H973" s="12" t="str">
        <f aca="false">INDEX('Control Library'!$E$5:$E$47,MATCH(E973,'Control Library'!$A$5:$A$47,0))</f>
        <v>Annual</v>
      </c>
      <c r="I973" s="7" t="str">
        <f aca="false">IF(INDEX('Control Library'!$I$5:$I$47,MATCH(E973,'Control Library'!$A$5:$A$47,0))="All","Y",IF(INDEX('Control Library'!$I$5:$I$47,MATCH(E973,'Control Library'!$A$5:$A$47,0))="Banks only",IF(COUNTIF('Residual Config'!$L$28:$L$30,INDEX(Entities!$E$5:$E$34,MATCH(B973,Entities!$A$5:$A$34,0)))&gt;0,"N/A","Y"),IF(INDEX(Entities!$G$5:$G$34,MATCH(B973,Entities!$A$5:$A$34,0))="Y","Y","N/A")))</f>
        <v>Y</v>
      </c>
      <c r="J973" s="8" t="s">
        <v>3156</v>
      </c>
      <c r="K973" s="8" t="s">
        <v>3100</v>
      </c>
      <c r="L973" s="7" t="str">
        <f aca="false">IF(OR(J973="",K973=""),"",IF(J973=K973,"Breach","OK"))</f>
        <v>OK</v>
      </c>
      <c r="M973" s="24" t="n">
        <v>1</v>
      </c>
      <c r="N973" s="50" t="n">
        <v>46201</v>
      </c>
      <c r="O973" s="8" t="s">
        <v>546</v>
      </c>
      <c r="P973" s="24" t="n">
        <v>1</v>
      </c>
      <c r="Q973" s="31" t="n">
        <f aca="false">IF(I973="N/A","",IFERROR(INDEX('Residual Config'!$B$35:$B$42,MATCH(H973,'Residual Config'!$A$35:$A$42,0)),""))</f>
        <v>1</v>
      </c>
      <c r="R973" s="24" t="n">
        <v>0</v>
      </c>
      <c r="S973" s="8" t="s">
        <v>516</v>
      </c>
      <c r="T973" s="31" t="n">
        <f aca="false">IF(S973="","",MATCH(S973,'Residual Config'!$L$9:$L$12,0))</f>
        <v>1</v>
      </c>
      <c r="U973" s="8" t="s">
        <v>3157</v>
      </c>
      <c r="V973" s="24" t="n">
        <v>2</v>
      </c>
      <c r="W973" s="33" t="s">
        <v>533</v>
      </c>
      <c r="X973" s="8" t="s">
        <v>760</v>
      </c>
      <c r="Y973" s="51" t="n">
        <f aca="false">IF(N973="","",EDATE(N973,IF(G973="N",INDEX('Residual Config'!$B$31:$D$31,1,MATCH(D973,'Residual Config'!$B$27:$D$27,0)),INDEX('Residual Config'!$B$28:$D$30,IF(T973=1,1,IF(T973=4,3,2)),MATCH(D973,'Residual Config'!$B$27:$D$27,0)))))</f>
        <v>46566</v>
      </c>
      <c r="Z973" s="7" t="str">
        <f aca="false">IF(I973="N/A","N/A",IF(N973="","Not tested",IF(W973="Rejected","Evidence rejected",IF(W973&lt;&gt;"Accepted","Evidence pending",IF(Y973&lt;'Residual Config'!$C$4,"Overdue","Current")))))</f>
        <v>Current</v>
      </c>
      <c r="AA973" s="34" t="n">
        <f aca="false">IF(I973="N/A","",IF(Z973&lt;&gt;"Current",4,IF(MAX(M973,T973)=0,4,MAX(M973,T973))))</f>
        <v>1</v>
      </c>
      <c r="AB973" s="7" t="str">
        <f aca="false">IF(AA973="","N/A",IF(Z973&lt;&gt;"Current","Not tested / overdue",INDEX('Residual Config'!$B$11:$B$14,AA973)))</f>
        <v>Effective</v>
      </c>
      <c r="AC973" s="36" t="n">
        <f aca="false">IF(AA973="","",INDEX('Residual Config'!$D$11:$D$14,AA973))</f>
        <v>0.6</v>
      </c>
      <c r="AD973" s="7" t="str">
        <f aca="false">IF(OR(I973="N/A",P973="",Q973=""),"",IF(P973&gt;=Q973,"Yes","No"))</f>
        <v>Yes</v>
      </c>
      <c r="AE973" s="8"/>
    </row>
    <row r="974" customFormat="false" ht="15" hidden="false" customHeight="false" outlineLevel="0" collapsed="false">
      <c r="A974" s="12" t="s">
        <v>3158</v>
      </c>
      <c r="B974" s="26" t="str">
        <f aca="false">Entities!$A$27</f>
        <v>FR</v>
      </c>
      <c r="C974" s="12" t="str">
        <f aca="false">INDEX(Entities!$B$5:$B$34,MATCH(B974,Entities!$A$5:$A$34,0))</f>
        <v>Arab Bank – France</v>
      </c>
      <c r="D974" s="7" t="str">
        <f aca="false">INDEX(Entities!$F$5:$F$34,MATCH(B974,Entities!$A$5:$A$34,0))</f>
        <v>Tier 2</v>
      </c>
      <c r="E974" s="26" t="str">
        <f aca="false">'Control Library'!$A$28</f>
        <v>CTL-TRN-01</v>
      </c>
      <c r="F974" s="12" t="str">
        <f aca="false">INDEX('Control Library'!$B$5:$B$47,MATCH(E974,'Control Library'!$A$5:$A$47,0))</f>
        <v>Annual AML, sanctions and anti-bribery training</v>
      </c>
      <c r="G974" s="7" t="str">
        <f aca="false">INDEX('Control Library'!$F$5:$F$47,MATCH(E974,'Control Library'!$A$5:$A$47,0))</f>
        <v>N</v>
      </c>
      <c r="H974" s="12" t="str">
        <f aca="false">INDEX('Control Library'!$E$5:$E$47,MATCH(E974,'Control Library'!$A$5:$A$47,0))</f>
        <v>Annual</v>
      </c>
      <c r="I974" s="7" t="str">
        <f aca="false">IF(INDEX('Control Library'!$I$5:$I$47,MATCH(E974,'Control Library'!$A$5:$A$47,0))="All","Y",IF(INDEX('Control Library'!$I$5:$I$47,MATCH(E974,'Control Library'!$A$5:$A$47,0))="Banks only",IF(COUNTIF('Residual Config'!$L$28:$L$30,INDEX(Entities!$E$5:$E$34,MATCH(B974,Entities!$A$5:$A$34,0)))&gt;0,"N/A","Y"),IF(INDEX(Entities!$G$5:$G$34,MATCH(B974,Entities!$A$5:$A$34,0))="Y","Y","N/A")))</f>
        <v>Y</v>
      </c>
      <c r="J974" s="8" t="s">
        <v>3103</v>
      </c>
      <c r="K974" s="8" t="s">
        <v>3100</v>
      </c>
      <c r="L974" s="7" t="str">
        <f aca="false">IF(OR(J974="",K974=""),"",IF(J974=K974,"Breach","OK"))</f>
        <v>OK</v>
      </c>
      <c r="M974" s="24" t="n">
        <v>2</v>
      </c>
      <c r="N974" s="50" t="n">
        <v>46151</v>
      </c>
      <c r="O974" s="8" t="s">
        <v>546</v>
      </c>
      <c r="P974" s="24" t="n">
        <v>1</v>
      </c>
      <c r="Q974" s="31" t="n">
        <f aca="false">IF(I974="N/A","",IFERROR(INDEX('Residual Config'!$B$35:$B$42,MATCH(H974,'Residual Config'!$A$35:$A$42,0)),""))</f>
        <v>1</v>
      </c>
      <c r="R974" s="24" t="n">
        <v>0</v>
      </c>
      <c r="S974" s="8" t="s">
        <v>516</v>
      </c>
      <c r="T974" s="31" t="n">
        <f aca="false">IF(S974="","",MATCH(S974,'Residual Config'!$L$9:$L$12,0))</f>
        <v>1</v>
      </c>
      <c r="U974" s="8" t="s">
        <v>3159</v>
      </c>
      <c r="V974" s="24" t="n">
        <v>5</v>
      </c>
      <c r="W974" s="33" t="s">
        <v>533</v>
      </c>
      <c r="X974" s="8" t="s">
        <v>760</v>
      </c>
      <c r="Y974" s="51" t="n">
        <f aca="false">IF(N974="","",EDATE(N974,IF(G974="N",INDEX('Residual Config'!$B$31:$D$31,1,MATCH(D974,'Residual Config'!$B$27:$D$27,0)),INDEX('Residual Config'!$B$28:$D$30,IF(T974=1,1,IF(T974=4,3,2)),MATCH(D974,'Residual Config'!$B$27:$D$27,0)))))</f>
        <v>46516</v>
      </c>
      <c r="Z974" s="7" t="str">
        <f aca="false">IF(I974="N/A","N/A",IF(N974="","Not tested",IF(W974="Rejected","Evidence rejected",IF(W974&lt;&gt;"Accepted","Evidence pending",IF(Y974&lt;'Residual Config'!$C$4,"Overdue","Current")))))</f>
        <v>Current</v>
      </c>
      <c r="AA974" s="34" t="n">
        <f aca="false">IF(I974="N/A","",IF(Z974&lt;&gt;"Current",4,IF(MAX(M974,T974)=0,4,MAX(M974,T974))))</f>
        <v>2</v>
      </c>
      <c r="AB974" s="7" t="str">
        <f aca="false">IF(AA974="","N/A",IF(Z974&lt;&gt;"Current","Not tested / overdue",INDEX('Residual Config'!$B$11:$B$14,AA974)))</f>
        <v>Largely effective</v>
      </c>
      <c r="AC974" s="36" t="n">
        <f aca="false">IF(AA974="","",INDEX('Residual Config'!$D$11:$D$14,AA974))</f>
        <v>0.4</v>
      </c>
      <c r="AD974" s="7" t="str">
        <f aca="false">IF(OR(I974="N/A",P974="",Q974=""),"",IF(P974&gt;=Q974,"Yes","No"))</f>
        <v>Yes</v>
      </c>
      <c r="AE974" s="8"/>
    </row>
    <row r="975" customFormat="false" ht="15" hidden="false" customHeight="false" outlineLevel="0" collapsed="false">
      <c r="A975" s="12" t="s">
        <v>3160</v>
      </c>
      <c r="B975" s="26" t="str">
        <f aca="false">Entities!$A$27</f>
        <v>FR</v>
      </c>
      <c r="C975" s="12" t="str">
        <f aca="false">INDEX(Entities!$B$5:$B$34,MATCH(B975,Entities!$A$5:$A$34,0))</f>
        <v>Arab Bank – France</v>
      </c>
      <c r="D975" s="7" t="str">
        <f aca="false">INDEX(Entities!$F$5:$F$34,MATCH(B975,Entities!$A$5:$A$34,0))</f>
        <v>Tier 2</v>
      </c>
      <c r="E975" s="26" t="str">
        <f aca="false">'Control Library'!$A$29</f>
        <v>CTL-REG-01</v>
      </c>
      <c r="F975" s="12" t="str">
        <f aca="false">INDEX('Control Library'!$B$5:$B$47,MATCH(E975,'Control Library'!$A$5:$A$47,0))</f>
        <v>Regulatory change management and obligations register</v>
      </c>
      <c r="G975" s="7" t="str">
        <f aca="false">INDEX('Control Library'!$F$5:$F$47,MATCH(E975,'Control Library'!$A$5:$A$47,0))</f>
        <v>Y</v>
      </c>
      <c r="H975" s="12" t="str">
        <f aca="false">INDEX('Control Library'!$E$5:$E$47,MATCH(E975,'Control Library'!$A$5:$A$47,0))</f>
        <v>Monthly</v>
      </c>
      <c r="I975" s="7" t="str">
        <f aca="false">IF(INDEX('Control Library'!$I$5:$I$47,MATCH(E975,'Control Library'!$A$5:$A$47,0))="All","Y",IF(INDEX('Control Library'!$I$5:$I$47,MATCH(E975,'Control Library'!$A$5:$A$47,0))="Banks only",IF(COUNTIF('Residual Config'!$L$28:$L$30,INDEX(Entities!$E$5:$E$34,MATCH(B975,Entities!$A$5:$A$34,0)))&gt;0,"N/A","Y"),IF(INDEX(Entities!$G$5:$G$34,MATCH(B975,Entities!$A$5:$A$34,0))="Y","Y","N/A")))</f>
        <v>Y</v>
      </c>
      <c r="J975" s="8" t="s">
        <v>3103</v>
      </c>
      <c r="K975" s="8" t="s">
        <v>3100</v>
      </c>
      <c r="L975" s="7" t="str">
        <f aca="false">IF(OR(J975="",K975=""),"",IF(J975=K975,"Breach","OK"))</f>
        <v>OK</v>
      </c>
      <c r="M975" s="24" t="n">
        <v>1</v>
      </c>
      <c r="N975" s="50" t="n">
        <v>46277</v>
      </c>
      <c r="O975" s="8" t="s">
        <v>545</v>
      </c>
      <c r="P975" s="24" t="n">
        <v>3</v>
      </c>
      <c r="Q975" s="31" t="n">
        <f aca="false">IF(I975="N/A","",IFERROR(INDEX('Residual Config'!$B$35:$B$42,MATCH(H975,'Residual Config'!$A$35:$A$42,0)),""))</f>
        <v>3</v>
      </c>
      <c r="R975" s="24" t="n">
        <v>0</v>
      </c>
      <c r="S975" s="8" t="s">
        <v>516</v>
      </c>
      <c r="T975" s="31" t="n">
        <f aca="false">IF(S975="","",MATCH(S975,'Residual Config'!$L$9:$L$12,0))</f>
        <v>1</v>
      </c>
      <c r="U975" s="8" t="s">
        <v>3161</v>
      </c>
      <c r="V975" s="24" t="n">
        <v>3</v>
      </c>
      <c r="W975" s="33" t="s">
        <v>533</v>
      </c>
      <c r="X975" s="8" t="s">
        <v>754</v>
      </c>
      <c r="Y975" s="51" t="n">
        <f aca="false">IF(N975="","",EDATE(N975,IF(G975="N",INDEX('Residual Config'!$B$31:$D$31,1,MATCH(D975,'Residual Config'!$B$27:$D$27,0)),INDEX('Residual Config'!$B$28:$D$30,IF(T975=1,1,IF(T975=4,3,2)),MATCH(D975,'Residual Config'!$B$27:$D$27,0)))))</f>
        <v>46642</v>
      </c>
      <c r="Z975" s="7" t="str">
        <f aca="false">IF(I975="N/A","N/A",IF(N975="","Not tested",IF(W975="Rejected","Evidence rejected",IF(W975&lt;&gt;"Accepted","Evidence pending",IF(Y975&lt;'Residual Config'!$C$4,"Overdue","Current")))))</f>
        <v>Current</v>
      </c>
      <c r="AA975" s="34" t="n">
        <f aca="false">IF(I975="N/A","",IF(Z975&lt;&gt;"Current",4,IF(MAX(M975,T975)=0,4,MAX(M975,T975))))</f>
        <v>1</v>
      </c>
      <c r="AB975" s="7" t="str">
        <f aca="false">IF(AA975="","N/A",IF(Z975&lt;&gt;"Current","Not tested / overdue",INDEX('Residual Config'!$B$11:$B$14,AA975)))</f>
        <v>Effective</v>
      </c>
      <c r="AC975" s="36" t="n">
        <f aca="false">IF(AA975="","",INDEX('Residual Config'!$D$11:$D$14,AA975))</f>
        <v>0.6</v>
      </c>
      <c r="AD975" s="7" t="str">
        <f aca="false">IF(OR(I975="N/A",P975="",Q975=""),"",IF(P975&gt;=Q975,"Yes","No"))</f>
        <v>Yes</v>
      </c>
      <c r="AE975" s="8"/>
    </row>
    <row r="976" customFormat="false" ht="15" hidden="false" customHeight="false" outlineLevel="0" collapsed="false">
      <c r="A976" s="12" t="s">
        <v>3162</v>
      </c>
      <c r="B976" s="26" t="str">
        <f aca="false">Entities!$A$27</f>
        <v>FR</v>
      </c>
      <c r="C976" s="12" t="str">
        <f aca="false">INDEX(Entities!$B$5:$B$34,MATCH(B976,Entities!$A$5:$A$34,0))</f>
        <v>Arab Bank – France</v>
      </c>
      <c r="D976" s="7" t="str">
        <f aca="false">INDEX(Entities!$F$5:$F$34,MATCH(B976,Entities!$A$5:$A$34,0))</f>
        <v>Tier 2</v>
      </c>
      <c r="E976" s="26" t="str">
        <f aca="false">'Control Library'!$A$30</f>
        <v>CTL-REG-02</v>
      </c>
      <c r="F976" s="12" t="str">
        <f aca="false">INDEX('Control Library'!$B$5:$B$47,MATCH(E976,'Control Library'!$A$5:$A$47,0))</f>
        <v>Regulatory return review and senior sign-off</v>
      </c>
      <c r="G976" s="7" t="str">
        <f aca="false">INDEX('Control Library'!$F$5:$F$47,MATCH(E976,'Control Library'!$A$5:$A$47,0))</f>
        <v>Y</v>
      </c>
      <c r="H976" s="12" t="str">
        <f aca="false">INDEX('Control Library'!$E$5:$E$47,MATCH(E976,'Control Library'!$A$5:$A$47,0))</f>
        <v>Monthly</v>
      </c>
      <c r="I976" s="7" t="str">
        <f aca="false">IF(INDEX('Control Library'!$I$5:$I$47,MATCH(E976,'Control Library'!$A$5:$A$47,0))="All","Y",IF(INDEX('Control Library'!$I$5:$I$47,MATCH(E976,'Control Library'!$A$5:$A$47,0))="Banks only",IF(COUNTIF('Residual Config'!$L$28:$L$30,INDEX(Entities!$E$5:$E$34,MATCH(B976,Entities!$A$5:$A$34,0)))&gt;0,"N/A","Y"),IF(INDEX(Entities!$G$5:$G$34,MATCH(B976,Entities!$A$5:$A$34,0))="Y","Y","N/A")))</f>
        <v>Y</v>
      </c>
      <c r="J976" s="8" t="s">
        <v>3156</v>
      </c>
      <c r="K976" s="8" t="s">
        <v>3100</v>
      </c>
      <c r="L976" s="7" t="str">
        <f aca="false">IF(OR(J976="",K976=""),"",IF(J976=K976,"Breach","OK"))</f>
        <v>OK</v>
      </c>
      <c r="M976" s="24" t="n">
        <v>1</v>
      </c>
      <c r="N976" s="50" t="n">
        <v>46143</v>
      </c>
      <c r="O976" s="8" t="s">
        <v>545</v>
      </c>
      <c r="P976" s="24" t="n">
        <v>3</v>
      </c>
      <c r="Q976" s="31" t="n">
        <f aca="false">IF(I976="N/A","",IFERROR(INDEX('Residual Config'!$B$35:$B$42,MATCH(H976,'Residual Config'!$A$35:$A$42,0)),""))</f>
        <v>3</v>
      </c>
      <c r="R976" s="24" t="n">
        <v>0</v>
      </c>
      <c r="S976" s="8" t="s">
        <v>516</v>
      </c>
      <c r="T976" s="31" t="n">
        <f aca="false">IF(S976="","",MATCH(S976,'Residual Config'!$L$9:$L$12,0))</f>
        <v>1</v>
      </c>
      <c r="U976" s="8" t="s">
        <v>3163</v>
      </c>
      <c r="V976" s="24" t="n">
        <v>1</v>
      </c>
      <c r="W976" s="33" t="s">
        <v>533</v>
      </c>
      <c r="X976" s="8" t="s">
        <v>754</v>
      </c>
      <c r="Y976" s="51" t="n">
        <f aca="false">IF(N976="","",EDATE(N976,IF(G976="N",INDEX('Residual Config'!$B$31:$D$31,1,MATCH(D976,'Residual Config'!$B$27:$D$27,0)),INDEX('Residual Config'!$B$28:$D$30,IF(T976=1,1,IF(T976=4,3,2)),MATCH(D976,'Residual Config'!$B$27:$D$27,0)))))</f>
        <v>46508</v>
      </c>
      <c r="Z976" s="7" t="str">
        <f aca="false">IF(I976="N/A","N/A",IF(N976="","Not tested",IF(W976="Rejected","Evidence rejected",IF(W976&lt;&gt;"Accepted","Evidence pending",IF(Y976&lt;'Residual Config'!$C$4,"Overdue","Current")))))</f>
        <v>Current</v>
      </c>
      <c r="AA976" s="34" t="n">
        <f aca="false">IF(I976="N/A","",IF(Z976&lt;&gt;"Current",4,IF(MAX(M976,T976)=0,4,MAX(M976,T976))))</f>
        <v>1</v>
      </c>
      <c r="AB976" s="7" t="str">
        <f aca="false">IF(AA976="","N/A",IF(Z976&lt;&gt;"Current","Not tested / overdue",INDEX('Residual Config'!$B$11:$B$14,AA976)))</f>
        <v>Effective</v>
      </c>
      <c r="AC976" s="36" t="n">
        <f aca="false">IF(AA976="","",INDEX('Residual Config'!$D$11:$D$14,AA976))</f>
        <v>0.6</v>
      </c>
      <c r="AD976" s="7" t="str">
        <f aca="false">IF(OR(I976="N/A",P976="",Q976=""),"",IF(P976&gt;=Q976,"Yes","No"))</f>
        <v>Yes</v>
      </c>
      <c r="AE976" s="8"/>
    </row>
    <row r="977" customFormat="false" ht="15" hidden="false" customHeight="false" outlineLevel="0" collapsed="false">
      <c r="A977" s="12" t="s">
        <v>3164</v>
      </c>
      <c r="B977" s="26" t="str">
        <f aca="false">Entities!$A$27</f>
        <v>FR</v>
      </c>
      <c r="C977" s="12" t="str">
        <f aca="false">INDEX(Entities!$B$5:$B$34,MATCH(B977,Entities!$A$5:$A$34,0))</f>
        <v>Arab Bank – France</v>
      </c>
      <c r="D977" s="7" t="str">
        <f aca="false">INDEX(Entities!$F$5:$F$34,MATCH(B977,Entities!$A$5:$A$34,0))</f>
        <v>Tier 2</v>
      </c>
      <c r="E977" s="26" t="str">
        <f aca="false">'Control Library'!$A$31</f>
        <v>CTL-CON-01</v>
      </c>
      <c r="F977" s="12" t="str">
        <f aca="false">INDEX('Control Library'!$B$5:$B$47,MATCH(E977,'Control Library'!$A$5:$A$47,0))</f>
        <v>New product approval and suitability assessment</v>
      </c>
      <c r="G977" s="7" t="str">
        <f aca="false">INDEX('Control Library'!$F$5:$F$47,MATCH(E977,'Control Library'!$A$5:$A$47,0))</f>
        <v>Y</v>
      </c>
      <c r="H977" s="12" t="str">
        <f aca="false">INDEX('Control Library'!$E$5:$E$47,MATCH(E977,'Control Library'!$A$5:$A$47,0))</f>
        <v>Event-driven</v>
      </c>
      <c r="I977" s="7" t="str">
        <f aca="false">IF(INDEX('Control Library'!$I$5:$I$47,MATCH(E977,'Control Library'!$A$5:$A$47,0))="All","Y",IF(INDEX('Control Library'!$I$5:$I$47,MATCH(E977,'Control Library'!$A$5:$A$47,0))="Banks only",IF(COUNTIF('Residual Config'!$L$28:$L$30,INDEX(Entities!$E$5:$E$34,MATCH(B977,Entities!$A$5:$A$34,0)))&gt;0,"N/A","Y"),IF(INDEX(Entities!$G$5:$G$34,MATCH(B977,Entities!$A$5:$A$34,0))="Y","Y","N/A")))</f>
        <v>Y</v>
      </c>
      <c r="J977" s="8" t="s">
        <v>3103</v>
      </c>
      <c r="K977" s="8" t="s">
        <v>3100</v>
      </c>
      <c r="L977" s="7" t="str">
        <f aca="false">IF(OR(J977="",K977=""),"",IF(J977=K977,"Breach","OK"))</f>
        <v>OK</v>
      </c>
      <c r="M977" s="24" t="n">
        <v>1</v>
      </c>
      <c r="N977" s="50" t="n">
        <v>46289</v>
      </c>
      <c r="O977" s="8" t="s">
        <v>546</v>
      </c>
      <c r="P977" s="24" t="n">
        <v>30</v>
      </c>
      <c r="Q977" s="31" t="n">
        <f aca="false">IF(I977="N/A","",IFERROR(INDEX('Residual Config'!$B$35:$B$42,MATCH(H977,'Residual Config'!$A$35:$A$42,0)),""))</f>
        <v>25</v>
      </c>
      <c r="R977" s="24" t="n">
        <v>0</v>
      </c>
      <c r="S977" s="8" t="s">
        <v>516</v>
      </c>
      <c r="T977" s="31" t="n">
        <f aca="false">IF(S977="","",MATCH(S977,'Residual Config'!$L$9:$L$12,0))</f>
        <v>1</v>
      </c>
      <c r="U977" s="8" t="s">
        <v>3165</v>
      </c>
      <c r="V977" s="24" t="n">
        <v>2</v>
      </c>
      <c r="W977" s="33" t="s">
        <v>533</v>
      </c>
      <c r="X977" s="8" t="s">
        <v>754</v>
      </c>
      <c r="Y977" s="51" t="n">
        <f aca="false">IF(N977="","",EDATE(N977,IF(G977="N",INDEX('Residual Config'!$B$31:$D$31,1,MATCH(D977,'Residual Config'!$B$27:$D$27,0)),INDEX('Residual Config'!$B$28:$D$30,IF(T977=1,1,IF(T977=4,3,2)),MATCH(D977,'Residual Config'!$B$27:$D$27,0)))))</f>
        <v>46654</v>
      </c>
      <c r="Z977" s="7" t="str">
        <f aca="false">IF(I977="N/A","N/A",IF(N977="","Not tested",IF(W977="Rejected","Evidence rejected",IF(W977&lt;&gt;"Accepted","Evidence pending",IF(Y977&lt;'Residual Config'!$C$4,"Overdue","Current")))))</f>
        <v>Current</v>
      </c>
      <c r="AA977" s="34" t="n">
        <f aca="false">IF(I977="N/A","",IF(Z977&lt;&gt;"Current",4,IF(MAX(M977,T977)=0,4,MAX(M977,T977))))</f>
        <v>1</v>
      </c>
      <c r="AB977" s="7" t="str">
        <f aca="false">IF(AA977="","N/A",IF(Z977&lt;&gt;"Current","Not tested / overdue",INDEX('Residual Config'!$B$11:$B$14,AA977)))</f>
        <v>Effective</v>
      </c>
      <c r="AC977" s="36" t="n">
        <f aca="false">IF(AA977="","",INDEX('Residual Config'!$D$11:$D$14,AA977))</f>
        <v>0.6</v>
      </c>
      <c r="AD977" s="7" t="str">
        <f aca="false">IF(OR(I977="N/A",P977="",Q977=""),"",IF(P977&gt;=Q977,"Yes","No"))</f>
        <v>Yes</v>
      </c>
      <c r="AE977" s="8"/>
    </row>
    <row r="978" customFormat="false" ht="15" hidden="false" customHeight="false" outlineLevel="0" collapsed="false">
      <c r="A978" s="12" t="s">
        <v>3166</v>
      </c>
      <c r="B978" s="26" t="str">
        <f aca="false">Entities!$A$27</f>
        <v>FR</v>
      </c>
      <c r="C978" s="12" t="str">
        <f aca="false">INDEX(Entities!$B$5:$B$34,MATCH(B978,Entities!$A$5:$A$34,0))</f>
        <v>Arab Bank – France</v>
      </c>
      <c r="D978" s="7" t="str">
        <f aca="false">INDEX(Entities!$F$5:$F$34,MATCH(B978,Entities!$A$5:$A$34,0))</f>
        <v>Tier 2</v>
      </c>
      <c r="E978" s="26" t="str">
        <f aca="false">'Control Library'!$A$32</f>
        <v>CTL-CON-02</v>
      </c>
      <c r="F978" s="12" t="str">
        <f aca="false">INDEX('Control Library'!$B$5:$B$47,MATCH(E978,'Control Library'!$A$5:$A$47,0))</f>
        <v>Complaints handling and root-cause analysis</v>
      </c>
      <c r="G978" s="7" t="str">
        <f aca="false">INDEX('Control Library'!$F$5:$F$47,MATCH(E978,'Control Library'!$A$5:$A$47,0))</f>
        <v>N</v>
      </c>
      <c r="H978" s="12" t="str">
        <f aca="false">INDEX('Control Library'!$E$5:$E$47,MATCH(E978,'Control Library'!$A$5:$A$47,0))</f>
        <v>Monthly</v>
      </c>
      <c r="I978" s="7" t="str">
        <f aca="false">IF(INDEX('Control Library'!$I$5:$I$47,MATCH(E978,'Control Library'!$A$5:$A$47,0))="All","Y",IF(INDEX('Control Library'!$I$5:$I$47,MATCH(E978,'Control Library'!$A$5:$A$47,0))="Banks only",IF(COUNTIF('Residual Config'!$L$28:$L$30,INDEX(Entities!$E$5:$E$34,MATCH(B978,Entities!$A$5:$A$34,0)))&gt;0,"N/A","Y"),IF(INDEX(Entities!$G$5:$G$34,MATCH(B978,Entities!$A$5:$A$34,0))="Y","Y","N/A")))</f>
        <v>Y</v>
      </c>
      <c r="J978" s="8" t="s">
        <v>3167</v>
      </c>
      <c r="K978" s="8" t="s">
        <v>3100</v>
      </c>
      <c r="L978" s="7" t="str">
        <f aca="false">IF(OR(J978="",K978=""),"",IF(J978=K978,"Breach","OK"))</f>
        <v>OK</v>
      </c>
      <c r="M978" s="24" t="n">
        <v>1</v>
      </c>
      <c r="N978" s="50" t="n">
        <v>46247</v>
      </c>
      <c r="O978" s="8" t="s">
        <v>546</v>
      </c>
      <c r="P978" s="24" t="n">
        <v>3</v>
      </c>
      <c r="Q978" s="31" t="n">
        <f aca="false">IF(I978="N/A","",IFERROR(INDEX('Residual Config'!$B$35:$B$42,MATCH(H978,'Residual Config'!$A$35:$A$42,0)),""))</f>
        <v>3</v>
      </c>
      <c r="R978" s="24" t="n">
        <v>0</v>
      </c>
      <c r="S978" s="8" t="s">
        <v>516</v>
      </c>
      <c r="T978" s="31" t="n">
        <f aca="false">IF(S978="","",MATCH(S978,'Residual Config'!$L$9:$L$12,0))</f>
        <v>1</v>
      </c>
      <c r="U978" s="8" t="s">
        <v>3168</v>
      </c>
      <c r="V978" s="24" t="n">
        <v>3</v>
      </c>
      <c r="W978" s="33" t="s">
        <v>533</v>
      </c>
      <c r="X978" s="8" t="s">
        <v>754</v>
      </c>
      <c r="Y978" s="51" t="n">
        <f aca="false">IF(N978="","",EDATE(N978,IF(G978="N",INDEX('Residual Config'!$B$31:$D$31,1,MATCH(D978,'Residual Config'!$B$27:$D$27,0)),INDEX('Residual Config'!$B$28:$D$30,IF(T978=1,1,IF(T978=4,3,2)),MATCH(D978,'Residual Config'!$B$27:$D$27,0)))))</f>
        <v>46612</v>
      </c>
      <c r="Z978" s="7" t="str">
        <f aca="false">IF(I978="N/A","N/A",IF(N978="","Not tested",IF(W978="Rejected","Evidence rejected",IF(W978&lt;&gt;"Accepted","Evidence pending",IF(Y978&lt;'Residual Config'!$C$4,"Overdue","Current")))))</f>
        <v>Current</v>
      </c>
      <c r="AA978" s="34" t="n">
        <f aca="false">IF(I978="N/A","",IF(Z978&lt;&gt;"Current",4,IF(MAX(M978,T978)=0,4,MAX(M978,T978))))</f>
        <v>1</v>
      </c>
      <c r="AB978" s="7" t="str">
        <f aca="false">IF(AA978="","N/A",IF(Z978&lt;&gt;"Current","Not tested / overdue",INDEX('Residual Config'!$B$11:$B$14,AA978)))</f>
        <v>Effective</v>
      </c>
      <c r="AC978" s="36" t="n">
        <f aca="false">IF(AA978="","",INDEX('Residual Config'!$D$11:$D$14,AA978))</f>
        <v>0.6</v>
      </c>
      <c r="AD978" s="7" t="str">
        <f aca="false">IF(OR(I978="N/A",P978="",Q978=""),"",IF(P978&gt;=Q978,"Yes","No"))</f>
        <v>Yes</v>
      </c>
      <c r="AE978" s="8"/>
    </row>
    <row r="979" customFormat="false" ht="15" hidden="false" customHeight="false" outlineLevel="0" collapsed="false">
      <c r="A979" s="12" t="s">
        <v>3169</v>
      </c>
      <c r="B979" s="26" t="str">
        <f aca="false">Entities!$A$27</f>
        <v>FR</v>
      </c>
      <c r="C979" s="12" t="str">
        <f aca="false">INDEX(Entities!$B$5:$B$34,MATCH(B979,Entities!$A$5:$A$34,0))</f>
        <v>Arab Bank – France</v>
      </c>
      <c r="D979" s="7" t="str">
        <f aca="false">INDEX(Entities!$F$5:$F$34,MATCH(B979,Entities!$A$5:$A$34,0))</f>
        <v>Tier 2</v>
      </c>
      <c r="E979" s="26" t="str">
        <f aca="false">'Control Library'!$A$33</f>
        <v>CTL-DP-01</v>
      </c>
      <c r="F979" s="12" t="str">
        <f aca="false">INDEX('Control Library'!$B$5:$B$47,MATCH(E979,'Control Library'!$A$5:$A$47,0))</f>
        <v>Data protection impact assessments and processing records</v>
      </c>
      <c r="G979" s="7" t="str">
        <f aca="false">INDEX('Control Library'!$F$5:$F$47,MATCH(E979,'Control Library'!$A$5:$A$47,0))</f>
        <v>Y</v>
      </c>
      <c r="H979" s="12" t="str">
        <f aca="false">INDEX('Control Library'!$E$5:$E$47,MATCH(E979,'Control Library'!$A$5:$A$47,0))</f>
        <v>Event-driven</v>
      </c>
      <c r="I979" s="7" t="str">
        <f aca="false">IF(INDEX('Control Library'!$I$5:$I$47,MATCH(E979,'Control Library'!$A$5:$A$47,0))="All","Y",IF(INDEX('Control Library'!$I$5:$I$47,MATCH(E979,'Control Library'!$A$5:$A$47,0))="Banks only",IF(COUNTIF('Residual Config'!$L$28:$L$30,INDEX(Entities!$E$5:$E$34,MATCH(B979,Entities!$A$5:$A$34,0)))&gt;0,"N/A","Y"),IF(INDEX(Entities!$G$5:$G$34,MATCH(B979,Entities!$A$5:$A$34,0))="Y","Y","N/A")))</f>
        <v>Y</v>
      </c>
      <c r="J979" s="8" t="s">
        <v>3170</v>
      </c>
      <c r="K979" s="8" t="s">
        <v>3100</v>
      </c>
      <c r="L979" s="7" t="str">
        <f aca="false">IF(OR(J979="",K979=""),"",IF(J979=K979,"Breach","OK"))</f>
        <v>OK</v>
      </c>
      <c r="M979" s="24" t="n">
        <v>1</v>
      </c>
      <c r="N979" s="50" t="n">
        <v>46277</v>
      </c>
      <c r="O979" s="8" t="s">
        <v>545</v>
      </c>
      <c r="P979" s="24" t="n">
        <v>35</v>
      </c>
      <c r="Q979" s="31" t="n">
        <f aca="false">IF(I979="N/A","",IFERROR(INDEX('Residual Config'!$B$35:$B$42,MATCH(H979,'Residual Config'!$A$35:$A$42,0)),""))</f>
        <v>25</v>
      </c>
      <c r="R979" s="24" t="n">
        <v>0</v>
      </c>
      <c r="S979" s="8" t="s">
        <v>516</v>
      </c>
      <c r="T979" s="31" t="n">
        <f aca="false">IF(S979="","",MATCH(S979,'Residual Config'!$L$9:$L$12,0))</f>
        <v>1</v>
      </c>
      <c r="U979" s="8" t="s">
        <v>3171</v>
      </c>
      <c r="V979" s="24" t="n">
        <v>2</v>
      </c>
      <c r="W979" s="33" t="s">
        <v>533</v>
      </c>
      <c r="X979" s="8" t="s">
        <v>754</v>
      </c>
      <c r="Y979" s="51" t="n">
        <f aca="false">IF(N979="","",EDATE(N979,IF(G979="N",INDEX('Residual Config'!$B$31:$D$31,1,MATCH(D979,'Residual Config'!$B$27:$D$27,0)),INDEX('Residual Config'!$B$28:$D$30,IF(T979=1,1,IF(T979=4,3,2)),MATCH(D979,'Residual Config'!$B$27:$D$27,0)))))</f>
        <v>46642</v>
      </c>
      <c r="Z979" s="7" t="str">
        <f aca="false">IF(I979="N/A","N/A",IF(N979="","Not tested",IF(W979="Rejected","Evidence rejected",IF(W979&lt;&gt;"Accepted","Evidence pending",IF(Y979&lt;'Residual Config'!$C$4,"Overdue","Current")))))</f>
        <v>Current</v>
      </c>
      <c r="AA979" s="34" t="n">
        <f aca="false">IF(I979="N/A","",IF(Z979&lt;&gt;"Current",4,IF(MAX(M979,T979)=0,4,MAX(M979,T979))))</f>
        <v>1</v>
      </c>
      <c r="AB979" s="7" t="str">
        <f aca="false">IF(AA979="","N/A",IF(Z979&lt;&gt;"Current","Not tested / overdue",INDEX('Residual Config'!$B$11:$B$14,AA979)))</f>
        <v>Effective</v>
      </c>
      <c r="AC979" s="36" t="n">
        <f aca="false">IF(AA979="","",INDEX('Residual Config'!$D$11:$D$14,AA979))</f>
        <v>0.6</v>
      </c>
      <c r="AD979" s="7" t="str">
        <f aca="false">IF(OR(I979="N/A",P979="",Q979=""),"",IF(P979&gt;=Q979,"Yes","No"))</f>
        <v>Yes</v>
      </c>
      <c r="AE979" s="8"/>
    </row>
    <row r="980" customFormat="false" ht="15" hidden="false" customHeight="false" outlineLevel="0" collapsed="false">
      <c r="A980" s="12" t="s">
        <v>3172</v>
      </c>
      <c r="B980" s="26" t="str">
        <f aca="false">Entities!$A$27</f>
        <v>FR</v>
      </c>
      <c r="C980" s="12" t="str">
        <f aca="false">INDEX(Entities!$B$5:$B$34,MATCH(B980,Entities!$A$5:$A$34,0))</f>
        <v>Arab Bank – France</v>
      </c>
      <c r="D980" s="7" t="str">
        <f aca="false">INDEX(Entities!$F$5:$F$34,MATCH(B980,Entities!$A$5:$A$34,0))</f>
        <v>Tier 2</v>
      </c>
      <c r="E980" s="26" t="str">
        <f aca="false">'Control Library'!$A$34</f>
        <v>CTL-DP-02</v>
      </c>
      <c r="F980" s="12" t="str">
        <f aca="false">INDEX('Control Library'!$B$5:$B$47,MATCH(E980,'Control Library'!$A$5:$A$47,0))</f>
        <v>Data loss prevention and quarterly access recertification</v>
      </c>
      <c r="G980" s="7" t="str">
        <f aca="false">INDEX('Control Library'!$F$5:$F$47,MATCH(E980,'Control Library'!$A$5:$A$47,0))</f>
        <v>Y</v>
      </c>
      <c r="H980" s="12" t="str">
        <f aca="false">INDEX('Control Library'!$E$5:$E$47,MATCH(E980,'Control Library'!$A$5:$A$47,0))</f>
        <v>Quarterly</v>
      </c>
      <c r="I980" s="7" t="str">
        <f aca="false">IF(INDEX('Control Library'!$I$5:$I$47,MATCH(E980,'Control Library'!$A$5:$A$47,0))="All","Y",IF(INDEX('Control Library'!$I$5:$I$47,MATCH(E980,'Control Library'!$A$5:$A$47,0))="Banks only",IF(COUNTIF('Residual Config'!$L$28:$L$30,INDEX(Entities!$E$5:$E$34,MATCH(B980,Entities!$A$5:$A$34,0)))&gt;0,"N/A","Y"),IF(INDEX(Entities!$G$5:$G$34,MATCH(B980,Entities!$A$5:$A$34,0))="Y","Y","N/A")))</f>
        <v>Y</v>
      </c>
      <c r="J980" s="8" t="s">
        <v>3173</v>
      </c>
      <c r="K980" s="8" t="s">
        <v>3100</v>
      </c>
      <c r="L980" s="7" t="str">
        <f aca="false">IF(OR(J980="",K980=""),"",IF(J980=K980,"Breach","OK"))</f>
        <v>OK</v>
      </c>
      <c r="M980" s="24" t="n">
        <v>1</v>
      </c>
      <c r="N980" s="50"/>
      <c r="O980" s="8"/>
      <c r="P980" s="24"/>
      <c r="Q980" s="31" t="n">
        <f aca="false">IF(I980="N/A","",IFERROR(INDEX('Residual Config'!$B$35:$B$42,MATCH(H980,'Residual Config'!$A$35:$A$42,0)),""))</f>
        <v>2</v>
      </c>
      <c r="R980" s="24"/>
      <c r="S980" s="8"/>
      <c r="T980" s="31" t="str">
        <f aca="false">IF(S980="","",MATCH(S980,'Residual Config'!$L$9:$L$12,0))</f>
        <v/>
      </c>
      <c r="U980" s="8"/>
      <c r="V980" s="24"/>
      <c r="W980" s="33"/>
      <c r="X980" s="8"/>
      <c r="Y980" s="51" t="str">
        <f aca="false">IF(N980="","",EDATE(N980,IF(G980="N",INDEX('Residual Config'!$B$31:$D$31,1,MATCH(D980,'Residual Config'!$B$27:$D$27,0)),INDEX('Residual Config'!$B$28:$D$30,IF(T980=1,1,IF(T980=4,3,2)),MATCH(D980,'Residual Config'!$B$27:$D$27,0)))))</f>
        <v/>
      </c>
      <c r="Z980" s="7" t="str">
        <f aca="false">IF(I980="N/A","N/A",IF(N980="","Not tested",IF(W980="Rejected","Evidence rejected",IF(W980&lt;&gt;"Accepted","Evidence pending",IF(Y980&lt;'Residual Config'!$C$4,"Overdue","Current")))))</f>
        <v>Not tested</v>
      </c>
      <c r="AA980" s="34" t="n">
        <f aca="false">IF(I980="N/A","",IF(Z980&lt;&gt;"Current",4,IF(MAX(M980,T980)=0,4,MAX(M980,T980))))</f>
        <v>4</v>
      </c>
      <c r="AB980" s="7" t="str">
        <f aca="false">IF(AA980="","N/A",IF(Z980&lt;&gt;"Current","Not tested / overdue",INDEX('Residual Config'!$B$11:$B$14,AA980)))</f>
        <v>Not tested / overdue</v>
      </c>
      <c r="AC980" s="36" t="n">
        <f aca="false">IF(AA980="","",INDEX('Residual Config'!$D$11:$D$14,AA980))</f>
        <v>0</v>
      </c>
      <c r="AD980" s="7" t="str">
        <f aca="false">IF(OR(I980="N/A",P980="",Q980=""),"",IF(P980&gt;=Q980,"Yes","No"))</f>
        <v/>
      </c>
      <c r="AE980" s="8"/>
    </row>
    <row r="981" customFormat="false" ht="15" hidden="false" customHeight="false" outlineLevel="0" collapsed="false">
      <c r="A981" s="12" t="s">
        <v>3174</v>
      </c>
      <c r="B981" s="26" t="str">
        <f aca="false">Entities!$A$27</f>
        <v>FR</v>
      </c>
      <c r="C981" s="12" t="str">
        <f aca="false">INDEX(Entities!$B$5:$B$34,MATCH(B981,Entities!$A$5:$A$34,0))</f>
        <v>Arab Bank – France</v>
      </c>
      <c r="D981" s="7" t="str">
        <f aca="false">INDEX(Entities!$F$5:$F$34,MATCH(B981,Entities!$A$5:$A$34,0))</f>
        <v>Tier 2</v>
      </c>
      <c r="E981" s="26" t="str">
        <f aca="false">'Control Library'!$A$35</f>
        <v>CTL-SH-01</v>
      </c>
      <c r="F981" s="12" t="str">
        <f aca="false">INDEX('Control Library'!$B$5:$B$47,MATCH(E981,'Control Library'!$A$5:$A$47,0))</f>
        <v>Shariah review of products and income purification</v>
      </c>
      <c r="G981" s="7" t="str">
        <f aca="false">INDEX('Control Library'!$F$5:$F$47,MATCH(E981,'Control Library'!$A$5:$A$47,0))</f>
        <v>Y</v>
      </c>
      <c r="H981" s="12" t="str">
        <f aca="false">INDEX('Control Library'!$E$5:$E$47,MATCH(E981,'Control Library'!$A$5:$A$47,0))</f>
        <v>Quarterly</v>
      </c>
      <c r="I981" s="7" t="str">
        <f aca="false">IF(INDEX('Control Library'!$I$5:$I$47,MATCH(E981,'Control Library'!$A$5:$A$47,0))="All","Y",IF(INDEX('Control Library'!$I$5:$I$47,MATCH(E981,'Control Library'!$A$5:$A$47,0))="Banks only",IF(COUNTIF('Residual Config'!$L$28:$L$30,INDEX(Entities!$E$5:$E$34,MATCH(B981,Entities!$A$5:$A$34,0)))&gt;0,"N/A","Y"),IF(INDEX(Entities!$G$5:$G$34,MATCH(B981,Entities!$A$5:$A$34,0))="Y","Y","N/A")))</f>
        <v>N/A</v>
      </c>
      <c r="J981" s="8"/>
      <c r="K981" s="8"/>
      <c r="L981" s="7" t="str">
        <f aca="false">IF(OR(J981="",K981=""),"",IF(J981=K981,"Breach","OK"))</f>
        <v/>
      </c>
      <c r="M981" s="24"/>
      <c r="N981" s="50"/>
      <c r="O981" s="8"/>
      <c r="P981" s="24"/>
      <c r="Q981" s="31" t="str">
        <f aca="false">IF(I981="N/A","",IFERROR(INDEX('Residual Config'!$B$35:$B$42,MATCH(H981,'Residual Config'!$A$35:$A$42,0)),""))</f>
        <v/>
      </c>
      <c r="R981" s="24"/>
      <c r="S981" s="8"/>
      <c r="T981" s="31" t="str">
        <f aca="false">IF(S981="","",MATCH(S981,'Residual Config'!$L$9:$L$12,0))</f>
        <v/>
      </c>
      <c r="U981" s="8"/>
      <c r="V981" s="24"/>
      <c r="W981" s="33"/>
      <c r="X981" s="8"/>
      <c r="Y981" s="51" t="str">
        <f aca="false">IF(N981="","",EDATE(N981,IF(G981="N",INDEX('Residual Config'!$B$31:$D$31,1,MATCH(D981,'Residual Config'!$B$27:$D$27,0)),INDEX('Residual Config'!$B$28:$D$30,IF(T981=1,1,IF(T981=4,3,2)),MATCH(D981,'Residual Config'!$B$27:$D$27,0)))))</f>
        <v/>
      </c>
      <c r="Z981" s="7" t="str">
        <f aca="false">IF(I981="N/A","N/A",IF(N981="","Not tested",IF(W981="Rejected","Evidence rejected",IF(W981&lt;&gt;"Accepted","Evidence pending",IF(Y981&lt;'Residual Config'!$C$4,"Overdue","Current")))))</f>
        <v>N/A</v>
      </c>
      <c r="AA981" s="34" t="str">
        <f aca="false">IF(I981="N/A","",IF(Z981&lt;&gt;"Current",4,IF(MAX(M981,T981)=0,4,MAX(M981,T981))))</f>
        <v/>
      </c>
      <c r="AB981" s="7" t="str">
        <f aca="false">IF(AA981="","N/A",IF(Z981&lt;&gt;"Current","Not tested / overdue",INDEX('Residual Config'!$B$11:$B$14,AA981)))</f>
        <v>N/A</v>
      </c>
      <c r="AC981" s="36" t="str">
        <f aca="false">IF(AA981="","",INDEX('Residual Config'!$D$11:$D$14,AA981))</f>
        <v/>
      </c>
      <c r="AD981" s="7" t="str">
        <f aca="false">IF(OR(I981="N/A",P981="",Q981=""),"",IF(P981&gt;=Q981,"Yes","No"))</f>
        <v/>
      </c>
      <c r="AE981" s="8"/>
    </row>
    <row r="982" customFormat="false" ht="15" hidden="false" customHeight="false" outlineLevel="0" collapsed="false">
      <c r="A982" s="12" t="s">
        <v>3175</v>
      </c>
      <c r="B982" s="26" t="str">
        <f aca="false">Entities!$A$27</f>
        <v>FR</v>
      </c>
      <c r="C982" s="12" t="str">
        <f aca="false">INDEX(Entities!$B$5:$B$34,MATCH(B982,Entities!$A$5:$A$34,0))</f>
        <v>Arab Bank – France</v>
      </c>
      <c r="D982" s="7" t="str">
        <f aca="false">INDEX(Entities!$F$5:$F$34,MATCH(B982,Entities!$A$5:$A$34,0))</f>
        <v>Tier 2</v>
      </c>
      <c r="E982" s="26" t="str">
        <f aca="false">'Control Library'!$A$36</f>
        <v>CTL-CR-01</v>
      </c>
      <c r="F982" s="12" t="str">
        <f aca="false">INDEX('Control Library'!$B$5:$B$47,MATCH(E982,'Control Library'!$A$5:$A$47,0))</f>
        <v>Credit approval authorities and committee review</v>
      </c>
      <c r="G982" s="7" t="str">
        <f aca="false">INDEX('Control Library'!$F$5:$F$47,MATCH(E982,'Control Library'!$A$5:$A$47,0))</f>
        <v>Y</v>
      </c>
      <c r="H982" s="12" t="str">
        <f aca="false">INDEX('Control Library'!$E$5:$E$47,MATCH(E982,'Control Library'!$A$5:$A$47,0))</f>
        <v>Event-driven</v>
      </c>
      <c r="I982" s="7" t="str">
        <f aca="false">IF(INDEX('Control Library'!$I$5:$I$47,MATCH(E982,'Control Library'!$A$5:$A$47,0))="All","Y",IF(INDEX('Control Library'!$I$5:$I$47,MATCH(E982,'Control Library'!$A$5:$A$47,0))="Banks only",IF(COUNTIF('Residual Config'!$L$28:$L$30,INDEX(Entities!$E$5:$E$34,MATCH(B982,Entities!$A$5:$A$34,0)))&gt;0,"N/A","Y"),IF(INDEX(Entities!$G$5:$G$34,MATCH(B982,Entities!$A$5:$A$34,0))="Y","Y","N/A")))</f>
        <v>Y</v>
      </c>
      <c r="J982" s="8" t="s">
        <v>3176</v>
      </c>
      <c r="K982" s="8" t="s">
        <v>3100</v>
      </c>
      <c r="L982" s="7" t="str">
        <f aca="false">IF(OR(J982="",K982=""),"",IF(J982=K982,"Breach","OK"))</f>
        <v>OK</v>
      </c>
      <c r="M982" s="24" t="n">
        <v>1</v>
      </c>
      <c r="N982" s="50" t="n">
        <v>46251</v>
      </c>
      <c r="O982" s="8" t="s">
        <v>545</v>
      </c>
      <c r="P982" s="24" t="n">
        <v>35</v>
      </c>
      <c r="Q982" s="31" t="n">
        <f aca="false">IF(I982="N/A","",IFERROR(INDEX('Residual Config'!$B$35:$B$42,MATCH(H982,'Residual Config'!$A$35:$A$42,0)),""))</f>
        <v>25</v>
      </c>
      <c r="R982" s="24" t="n">
        <v>0</v>
      </c>
      <c r="S982" s="8" t="s">
        <v>516</v>
      </c>
      <c r="T982" s="31" t="n">
        <f aca="false">IF(S982="","",MATCH(S982,'Residual Config'!$L$9:$L$12,0))</f>
        <v>1</v>
      </c>
      <c r="U982" s="8" t="s">
        <v>3177</v>
      </c>
      <c r="V982" s="24" t="n">
        <v>5</v>
      </c>
      <c r="W982" s="33" t="s">
        <v>533</v>
      </c>
      <c r="X982" s="8" t="s">
        <v>754</v>
      </c>
      <c r="Y982" s="51" t="n">
        <f aca="false">IF(N982="","",EDATE(N982,IF(G982="N",INDEX('Residual Config'!$B$31:$D$31,1,MATCH(D982,'Residual Config'!$B$27:$D$27,0)),INDEX('Residual Config'!$B$28:$D$30,IF(T982=1,1,IF(T982=4,3,2)),MATCH(D982,'Residual Config'!$B$27:$D$27,0)))))</f>
        <v>46616</v>
      </c>
      <c r="Z982" s="7" t="str">
        <f aca="false">IF(I982="N/A","N/A",IF(N982="","Not tested",IF(W982="Rejected","Evidence rejected",IF(W982&lt;&gt;"Accepted","Evidence pending",IF(Y982&lt;'Residual Config'!$C$4,"Overdue","Current")))))</f>
        <v>Current</v>
      </c>
      <c r="AA982" s="34" t="n">
        <f aca="false">IF(I982="N/A","",IF(Z982&lt;&gt;"Current",4,IF(MAX(M982,T982)=0,4,MAX(M982,T982))))</f>
        <v>1</v>
      </c>
      <c r="AB982" s="7" t="str">
        <f aca="false">IF(AA982="","N/A",IF(Z982&lt;&gt;"Current","Not tested / overdue",INDEX('Residual Config'!$B$11:$B$14,AA982)))</f>
        <v>Effective</v>
      </c>
      <c r="AC982" s="36" t="n">
        <f aca="false">IF(AA982="","",INDEX('Residual Config'!$D$11:$D$14,AA982))</f>
        <v>0.6</v>
      </c>
      <c r="AD982" s="7" t="str">
        <f aca="false">IF(OR(I982="N/A",P982="",Q982=""),"",IF(P982&gt;=Q982,"Yes","No"))</f>
        <v>Yes</v>
      </c>
      <c r="AE982" s="8"/>
    </row>
    <row r="983" customFormat="false" ht="15" hidden="false" customHeight="false" outlineLevel="0" collapsed="false">
      <c r="A983" s="12" t="s">
        <v>3178</v>
      </c>
      <c r="B983" s="26" t="str">
        <f aca="false">Entities!$A$27</f>
        <v>FR</v>
      </c>
      <c r="C983" s="12" t="str">
        <f aca="false">INDEX(Entities!$B$5:$B$34,MATCH(B983,Entities!$A$5:$A$34,0))</f>
        <v>Arab Bank – France</v>
      </c>
      <c r="D983" s="7" t="str">
        <f aca="false">INDEX(Entities!$F$5:$F$34,MATCH(B983,Entities!$A$5:$A$34,0))</f>
        <v>Tier 2</v>
      </c>
      <c r="E983" s="26" t="str">
        <f aca="false">'Control Library'!$A$37</f>
        <v>CTL-CR-02</v>
      </c>
      <c r="F983" s="12" t="str">
        <f aca="false">INDEX('Control Library'!$B$5:$B$47,MATCH(E983,'Control Library'!$A$5:$A$47,0))</f>
        <v>Collateral valuation and exposure limit monitoring</v>
      </c>
      <c r="G983" s="7" t="str">
        <f aca="false">INDEX('Control Library'!$F$5:$F$47,MATCH(E983,'Control Library'!$A$5:$A$47,0))</f>
        <v>N</v>
      </c>
      <c r="H983" s="12" t="str">
        <f aca="false">INDEX('Control Library'!$E$5:$E$47,MATCH(E983,'Control Library'!$A$5:$A$47,0))</f>
        <v>Monthly</v>
      </c>
      <c r="I983" s="7" t="str">
        <f aca="false">IF(INDEX('Control Library'!$I$5:$I$47,MATCH(E983,'Control Library'!$A$5:$A$47,0))="All","Y",IF(INDEX('Control Library'!$I$5:$I$47,MATCH(E983,'Control Library'!$A$5:$A$47,0))="Banks only",IF(COUNTIF('Residual Config'!$L$28:$L$30,INDEX(Entities!$E$5:$E$34,MATCH(B983,Entities!$A$5:$A$34,0)))&gt;0,"N/A","Y"),IF(INDEX(Entities!$G$5:$G$34,MATCH(B983,Entities!$A$5:$A$34,0))="Y","Y","N/A")))</f>
        <v>Y</v>
      </c>
      <c r="J983" s="8" t="s">
        <v>3179</v>
      </c>
      <c r="K983" s="8" t="s">
        <v>3100</v>
      </c>
      <c r="L983" s="7" t="str">
        <f aca="false">IF(OR(J983="",K983=""),"",IF(J983=K983,"Breach","OK"))</f>
        <v>OK</v>
      </c>
      <c r="M983" s="24" t="n">
        <v>1</v>
      </c>
      <c r="N983" s="50" t="n">
        <v>45976</v>
      </c>
      <c r="O983" s="8" t="s">
        <v>545</v>
      </c>
      <c r="P983" s="24" t="n">
        <v>3</v>
      </c>
      <c r="Q983" s="31" t="n">
        <f aca="false">IF(I983="N/A","",IFERROR(INDEX('Residual Config'!$B$35:$B$42,MATCH(H983,'Residual Config'!$A$35:$A$42,0)),""))</f>
        <v>3</v>
      </c>
      <c r="R983" s="24" t="n">
        <v>1</v>
      </c>
      <c r="S983" s="8" t="s">
        <v>521</v>
      </c>
      <c r="T983" s="31" t="n">
        <f aca="false">IF(S983="","",MATCH(S983,'Residual Config'!$L$9:$L$12,0))</f>
        <v>2</v>
      </c>
      <c r="U983" s="8" t="s">
        <v>3180</v>
      </c>
      <c r="V983" s="24" t="n">
        <v>2</v>
      </c>
      <c r="W983" s="33" t="s">
        <v>533</v>
      </c>
      <c r="X983" s="8" t="s">
        <v>760</v>
      </c>
      <c r="Y983" s="51" t="n">
        <f aca="false">IF(N983="","",EDATE(N983,IF(G983="N",INDEX('Residual Config'!$B$31:$D$31,1,MATCH(D983,'Residual Config'!$B$27:$D$27,0)),INDEX('Residual Config'!$B$28:$D$30,IF(T983=1,1,IF(T983=4,3,2)),MATCH(D983,'Residual Config'!$B$27:$D$27,0)))))</f>
        <v>46341</v>
      </c>
      <c r="Z983" s="7" t="str">
        <f aca="false">IF(I983="N/A","N/A",IF(N983="","Not tested",IF(W983="Rejected","Evidence rejected",IF(W983&lt;&gt;"Accepted","Evidence pending",IF(Y983&lt;'Residual Config'!$C$4,"Overdue","Current")))))</f>
        <v>Current</v>
      </c>
      <c r="AA983" s="34" t="n">
        <f aca="false">IF(I983="N/A","",IF(Z983&lt;&gt;"Current",4,IF(MAX(M983,T983)=0,4,MAX(M983,T983))))</f>
        <v>2</v>
      </c>
      <c r="AB983" s="7" t="str">
        <f aca="false">IF(AA983="","N/A",IF(Z983&lt;&gt;"Current","Not tested / overdue",INDEX('Residual Config'!$B$11:$B$14,AA983)))</f>
        <v>Largely effective</v>
      </c>
      <c r="AC983" s="36" t="n">
        <f aca="false">IF(AA983="","",INDEX('Residual Config'!$D$11:$D$14,AA983))</f>
        <v>0.4</v>
      </c>
      <c r="AD983" s="7" t="str">
        <f aca="false">IF(OR(I983="N/A",P983="",Q983=""),"",IF(P983&gt;=Q983,"Yes","No"))</f>
        <v>Yes</v>
      </c>
      <c r="AE983" s="8"/>
    </row>
    <row r="984" customFormat="false" ht="15" hidden="false" customHeight="false" outlineLevel="0" collapsed="false">
      <c r="A984" s="12" t="s">
        <v>3181</v>
      </c>
      <c r="B984" s="26" t="str">
        <f aca="false">Entities!$A$27</f>
        <v>FR</v>
      </c>
      <c r="C984" s="12" t="str">
        <f aca="false">INDEX(Entities!$B$5:$B$34,MATCH(B984,Entities!$A$5:$A$34,0))</f>
        <v>Arab Bank – France</v>
      </c>
      <c r="D984" s="7" t="str">
        <f aca="false">INDEX(Entities!$F$5:$F$34,MATCH(B984,Entities!$A$5:$A$34,0))</f>
        <v>Tier 2</v>
      </c>
      <c r="E984" s="26" t="str">
        <f aca="false">'Control Library'!$A$38</f>
        <v>CTL-MR-01</v>
      </c>
      <c r="F984" s="12" t="str">
        <f aca="false">INDEX('Control Library'!$B$5:$B$47,MATCH(E984,'Control Library'!$A$5:$A$47,0))</f>
        <v>Market risk limits and daily VaR monitoring</v>
      </c>
      <c r="G984" s="7" t="str">
        <f aca="false">INDEX('Control Library'!$F$5:$F$47,MATCH(E984,'Control Library'!$A$5:$A$47,0))</f>
        <v>Y</v>
      </c>
      <c r="H984" s="12" t="str">
        <f aca="false">INDEX('Control Library'!$E$5:$E$47,MATCH(E984,'Control Library'!$A$5:$A$47,0))</f>
        <v>Daily</v>
      </c>
      <c r="I984" s="7" t="str">
        <f aca="false">IF(INDEX('Control Library'!$I$5:$I$47,MATCH(E984,'Control Library'!$A$5:$A$47,0))="All","Y",IF(INDEX('Control Library'!$I$5:$I$47,MATCH(E984,'Control Library'!$A$5:$A$47,0))="Banks only",IF(COUNTIF('Residual Config'!$L$28:$L$30,INDEX(Entities!$E$5:$E$34,MATCH(B984,Entities!$A$5:$A$34,0)))&gt;0,"N/A","Y"),IF(INDEX(Entities!$G$5:$G$34,MATCH(B984,Entities!$A$5:$A$34,0))="Y","Y","N/A")))</f>
        <v>Y</v>
      </c>
      <c r="J984" s="8" t="s">
        <v>3179</v>
      </c>
      <c r="K984" s="8" t="s">
        <v>3100</v>
      </c>
      <c r="L984" s="7" t="str">
        <f aca="false">IF(OR(J984="",K984=""),"",IF(J984=K984,"Breach","OK"))</f>
        <v>OK</v>
      </c>
      <c r="M984" s="24" t="n">
        <v>1</v>
      </c>
      <c r="N984" s="50" t="n">
        <v>46119</v>
      </c>
      <c r="O984" s="8" t="s">
        <v>546</v>
      </c>
      <c r="P984" s="24" t="n">
        <v>35</v>
      </c>
      <c r="Q984" s="31" t="n">
        <f aca="false">IF(I984="N/A","",IFERROR(INDEX('Residual Config'!$B$35:$B$42,MATCH(H984,'Residual Config'!$A$35:$A$42,0)),""))</f>
        <v>25</v>
      </c>
      <c r="R984" s="24" t="n">
        <v>0</v>
      </c>
      <c r="S984" s="8" t="s">
        <v>516</v>
      </c>
      <c r="T984" s="31" t="n">
        <f aca="false">IF(S984="","",MATCH(S984,'Residual Config'!$L$9:$L$12,0))</f>
        <v>1</v>
      </c>
      <c r="U984" s="8" t="s">
        <v>3182</v>
      </c>
      <c r="V984" s="24" t="n">
        <v>6</v>
      </c>
      <c r="W984" s="33" t="s">
        <v>533</v>
      </c>
      <c r="X984" s="8" t="s">
        <v>754</v>
      </c>
      <c r="Y984" s="51" t="n">
        <f aca="false">IF(N984="","",EDATE(N984,IF(G984="N",INDEX('Residual Config'!$B$31:$D$31,1,MATCH(D984,'Residual Config'!$B$27:$D$27,0)),INDEX('Residual Config'!$B$28:$D$30,IF(T984=1,1,IF(T984=4,3,2)),MATCH(D984,'Residual Config'!$B$27:$D$27,0)))))</f>
        <v>46484</v>
      </c>
      <c r="Z984" s="7" t="str">
        <f aca="false">IF(I984="N/A","N/A",IF(N984="","Not tested",IF(W984="Rejected","Evidence rejected",IF(W984&lt;&gt;"Accepted","Evidence pending",IF(Y984&lt;'Residual Config'!$C$4,"Overdue","Current")))))</f>
        <v>Current</v>
      </c>
      <c r="AA984" s="34" t="n">
        <f aca="false">IF(I984="N/A","",IF(Z984&lt;&gt;"Current",4,IF(MAX(M984,T984)=0,4,MAX(M984,T984))))</f>
        <v>1</v>
      </c>
      <c r="AB984" s="7" t="str">
        <f aca="false">IF(AA984="","N/A",IF(Z984&lt;&gt;"Current","Not tested / overdue",INDEX('Residual Config'!$B$11:$B$14,AA984)))</f>
        <v>Effective</v>
      </c>
      <c r="AC984" s="36" t="n">
        <f aca="false">IF(AA984="","",INDEX('Residual Config'!$D$11:$D$14,AA984))</f>
        <v>0.6</v>
      </c>
      <c r="AD984" s="7" t="str">
        <f aca="false">IF(OR(I984="N/A",P984="",Q984=""),"",IF(P984&gt;=Q984,"Yes","No"))</f>
        <v>Yes</v>
      </c>
      <c r="AE984" s="8"/>
    </row>
    <row r="985" customFormat="false" ht="15" hidden="false" customHeight="false" outlineLevel="0" collapsed="false">
      <c r="A985" s="12" t="s">
        <v>3183</v>
      </c>
      <c r="B985" s="26" t="str">
        <f aca="false">Entities!$A$27</f>
        <v>FR</v>
      </c>
      <c r="C985" s="12" t="str">
        <f aca="false">INDEX(Entities!$B$5:$B$34,MATCH(B985,Entities!$A$5:$A$34,0))</f>
        <v>Arab Bank – France</v>
      </c>
      <c r="D985" s="7" t="str">
        <f aca="false">INDEX(Entities!$F$5:$F$34,MATCH(B985,Entities!$A$5:$A$34,0))</f>
        <v>Tier 2</v>
      </c>
      <c r="E985" s="26" t="str">
        <f aca="false">'Control Library'!$A$39</f>
        <v>CTL-LQ-01</v>
      </c>
      <c r="F985" s="12" t="str">
        <f aca="false">INDEX('Control Library'!$B$5:$B$47,MATCH(E985,'Control Library'!$A$5:$A$47,0))</f>
        <v>Liquidity buffers, LCR/NSFR monitoring and contingency funding plan</v>
      </c>
      <c r="G985" s="7" t="str">
        <f aca="false">INDEX('Control Library'!$F$5:$F$47,MATCH(E985,'Control Library'!$A$5:$A$47,0))</f>
        <v>Y</v>
      </c>
      <c r="H985" s="12" t="str">
        <f aca="false">INDEX('Control Library'!$E$5:$E$47,MATCH(E985,'Control Library'!$A$5:$A$47,0))</f>
        <v>Daily</v>
      </c>
      <c r="I985" s="7" t="str">
        <f aca="false">IF(INDEX('Control Library'!$I$5:$I$47,MATCH(E985,'Control Library'!$A$5:$A$47,0))="All","Y",IF(INDEX('Control Library'!$I$5:$I$47,MATCH(E985,'Control Library'!$A$5:$A$47,0))="Banks only",IF(COUNTIF('Residual Config'!$L$28:$L$30,INDEX(Entities!$E$5:$E$34,MATCH(B985,Entities!$A$5:$A$34,0)))&gt;0,"N/A","Y"),IF(INDEX(Entities!$G$5:$G$34,MATCH(B985,Entities!$A$5:$A$34,0))="Y","Y","N/A")))</f>
        <v>Y</v>
      </c>
      <c r="J985" s="8" t="s">
        <v>3184</v>
      </c>
      <c r="K985" s="8" t="s">
        <v>3100</v>
      </c>
      <c r="L985" s="7" t="str">
        <f aca="false">IF(OR(J985="",K985=""),"",IF(J985=K985,"Breach","OK"))</f>
        <v>OK</v>
      </c>
      <c r="M985" s="24" t="n">
        <v>2</v>
      </c>
      <c r="N985" s="50"/>
      <c r="O985" s="8"/>
      <c r="P985" s="24"/>
      <c r="Q985" s="31" t="n">
        <f aca="false">IF(I985="N/A","",IFERROR(INDEX('Residual Config'!$B$35:$B$42,MATCH(H985,'Residual Config'!$A$35:$A$42,0)),""))</f>
        <v>25</v>
      </c>
      <c r="R985" s="24"/>
      <c r="S985" s="8"/>
      <c r="T985" s="31" t="str">
        <f aca="false">IF(S985="","",MATCH(S985,'Residual Config'!$L$9:$L$12,0))</f>
        <v/>
      </c>
      <c r="U985" s="8"/>
      <c r="V985" s="24"/>
      <c r="W985" s="33"/>
      <c r="X985" s="8"/>
      <c r="Y985" s="51" t="str">
        <f aca="false">IF(N985="","",EDATE(N985,IF(G985="N",INDEX('Residual Config'!$B$31:$D$31,1,MATCH(D985,'Residual Config'!$B$27:$D$27,0)),INDEX('Residual Config'!$B$28:$D$30,IF(T985=1,1,IF(T985=4,3,2)),MATCH(D985,'Residual Config'!$B$27:$D$27,0)))))</f>
        <v/>
      </c>
      <c r="Z985" s="7" t="str">
        <f aca="false">IF(I985="N/A","N/A",IF(N985="","Not tested",IF(W985="Rejected","Evidence rejected",IF(W985&lt;&gt;"Accepted","Evidence pending",IF(Y985&lt;'Residual Config'!$C$4,"Overdue","Current")))))</f>
        <v>Not tested</v>
      </c>
      <c r="AA985" s="34" t="n">
        <f aca="false">IF(I985="N/A","",IF(Z985&lt;&gt;"Current",4,IF(MAX(M985,T985)=0,4,MAX(M985,T985))))</f>
        <v>4</v>
      </c>
      <c r="AB985" s="7" t="str">
        <f aca="false">IF(AA985="","N/A",IF(Z985&lt;&gt;"Current","Not tested / overdue",INDEX('Residual Config'!$B$11:$B$14,AA985)))</f>
        <v>Not tested / overdue</v>
      </c>
      <c r="AC985" s="36" t="n">
        <f aca="false">IF(AA985="","",INDEX('Residual Config'!$D$11:$D$14,AA985))</f>
        <v>0</v>
      </c>
      <c r="AD985" s="7" t="str">
        <f aca="false">IF(OR(I985="N/A",P985="",Q985=""),"",IF(P985&gt;=Q985,"Yes","No"))</f>
        <v/>
      </c>
      <c r="AE985" s="8"/>
    </row>
    <row r="986" customFormat="false" ht="15" hidden="false" customHeight="false" outlineLevel="0" collapsed="false">
      <c r="A986" s="12" t="s">
        <v>3185</v>
      </c>
      <c r="B986" s="26" t="str">
        <f aca="false">Entities!$A$27</f>
        <v>FR</v>
      </c>
      <c r="C986" s="12" t="str">
        <f aca="false">INDEX(Entities!$B$5:$B$34,MATCH(B986,Entities!$A$5:$A$34,0))</f>
        <v>Arab Bank – France</v>
      </c>
      <c r="D986" s="7" t="str">
        <f aca="false">INDEX(Entities!$F$5:$F$34,MATCH(B986,Entities!$A$5:$A$34,0))</f>
        <v>Tier 2</v>
      </c>
      <c r="E986" s="26" t="str">
        <f aca="false">'Control Library'!$A$40</f>
        <v>CTL-OR-01</v>
      </c>
      <c r="F986" s="12" t="str">
        <f aca="false">INDEX('Control Library'!$B$5:$B$47,MATCH(E986,'Control Library'!$A$5:$A$47,0))</f>
        <v>Business continuity plans and annual testing</v>
      </c>
      <c r="G986" s="7" t="str">
        <f aca="false">INDEX('Control Library'!$F$5:$F$47,MATCH(E986,'Control Library'!$A$5:$A$47,0))</f>
        <v>Y</v>
      </c>
      <c r="H986" s="12" t="str">
        <f aca="false">INDEX('Control Library'!$E$5:$E$47,MATCH(E986,'Control Library'!$A$5:$A$47,0))</f>
        <v>Annual</v>
      </c>
      <c r="I986" s="7" t="str">
        <f aca="false">IF(INDEX('Control Library'!$I$5:$I$47,MATCH(E986,'Control Library'!$A$5:$A$47,0))="All","Y",IF(INDEX('Control Library'!$I$5:$I$47,MATCH(E986,'Control Library'!$A$5:$A$47,0))="Banks only",IF(COUNTIF('Residual Config'!$L$28:$L$30,INDEX(Entities!$E$5:$E$34,MATCH(B986,Entities!$A$5:$A$34,0)))&gt;0,"N/A","Y"),IF(INDEX(Entities!$G$5:$G$34,MATCH(B986,Entities!$A$5:$A$34,0))="Y","Y","N/A")))</f>
        <v>Y</v>
      </c>
      <c r="J986" s="8" t="s">
        <v>3186</v>
      </c>
      <c r="K986" s="8" t="s">
        <v>3100</v>
      </c>
      <c r="L986" s="7" t="str">
        <f aca="false">IF(OR(J986="",K986=""),"",IF(J986=K986,"Breach","OK"))</f>
        <v>OK</v>
      </c>
      <c r="M986" s="24" t="n">
        <v>1</v>
      </c>
      <c r="N986" s="50" t="n">
        <v>46275</v>
      </c>
      <c r="O986" s="8" t="s">
        <v>546</v>
      </c>
      <c r="P986" s="24" t="n">
        <v>1</v>
      </c>
      <c r="Q986" s="31" t="n">
        <f aca="false">IF(I986="N/A","",IFERROR(INDEX('Residual Config'!$B$35:$B$42,MATCH(H986,'Residual Config'!$A$35:$A$42,0)),""))</f>
        <v>1</v>
      </c>
      <c r="R986" s="24" t="n">
        <v>1</v>
      </c>
      <c r="S986" s="8" t="s">
        <v>521</v>
      </c>
      <c r="T986" s="31" t="n">
        <f aca="false">IF(S986="","",MATCH(S986,'Residual Config'!$L$9:$L$12,0))</f>
        <v>2</v>
      </c>
      <c r="U986" s="8" t="s">
        <v>3187</v>
      </c>
      <c r="V986" s="24" t="n">
        <v>5</v>
      </c>
      <c r="W986" s="33" t="s">
        <v>533</v>
      </c>
      <c r="X986" s="8" t="s">
        <v>760</v>
      </c>
      <c r="Y986" s="51" t="n">
        <f aca="false">IF(N986="","",EDATE(N986,IF(G986="N",INDEX('Residual Config'!$B$31:$D$31,1,MATCH(D986,'Residual Config'!$B$27:$D$27,0)),INDEX('Residual Config'!$B$28:$D$30,IF(T986=1,1,IF(T986=4,3,2)),MATCH(D986,'Residual Config'!$B$27:$D$27,0)))))</f>
        <v>46456</v>
      </c>
      <c r="Z986" s="7" t="str">
        <f aca="false">IF(I986="N/A","N/A",IF(N986="","Not tested",IF(W986="Rejected","Evidence rejected",IF(W986&lt;&gt;"Accepted","Evidence pending",IF(Y986&lt;'Residual Config'!$C$4,"Overdue","Current")))))</f>
        <v>Current</v>
      </c>
      <c r="AA986" s="34" t="n">
        <f aca="false">IF(I986="N/A","",IF(Z986&lt;&gt;"Current",4,IF(MAX(M986,T986)=0,4,MAX(M986,T986))))</f>
        <v>2</v>
      </c>
      <c r="AB986" s="7" t="str">
        <f aca="false">IF(AA986="","N/A",IF(Z986&lt;&gt;"Current","Not tested / overdue",INDEX('Residual Config'!$B$11:$B$14,AA986)))</f>
        <v>Largely effective</v>
      </c>
      <c r="AC986" s="36" t="n">
        <f aca="false">IF(AA986="","",INDEX('Residual Config'!$D$11:$D$14,AA986))</f>
        <v>0.4</v>
      </c>
      <c r="AD986" s="7" t="str">
        <f aca="false">IF(OR(I986="N/A",P986="",Q986=""),"",IF(P986&gt;=Q986,"Yes","No"))</f>
        <v>Yes</v>
      </c>
      <c r="AE986" s="8"/>
    </row>
    <row r="987" customFormat="false" ht="15" hidden="false" customHeight="false" outlineLevel="0" collapsed="false">
      <c r="A987" s="12" t="s">
        <v>3188</v>
      </c>
      <c r="B987" s="26" t="str">
        <f aca="false">Entities!$A$27</f>
        <v>FR</v>
      </c>
      <c r="C987" s="12" t="str">
        <f aca="false">INDEX(Entities!$B$5:$B$34,MATCH(B987,Entities!$A$5:$A$34,0))</f>
        <v>Arab Bank – France</v>
      </c>
      <c r="D987" s="7" t="str">
        <f aca="false">INDEX(Entities!$F$5:$F$34,MATCH(B987,Entities!$A$5:$A$34,0))</f>
        <v>Tier 2</v>
      </c>
      <c r="E987" s="26" t="str">
        <f aca="false">'Control Library'!$A$41</f>
        <v>CTL-OR-02</v>
      </c>
      <c r="F987" s="12" t="str">
        <f aca="false">INDEX('Control Library'!$B$5:$B$47,MATCH(E987,'Control Library'!$A$5:$A$47,0))</f>
        <v>Operational loss event capture and RCSA</v>
      </c>
      <c r="G987" s="7" t="str">
        <f aca="false">INDEX('Control Library'!$F$5:$F$47,MATCH(E987,'Control Library'!$A$5:$A$47,0))</f>
        <v>N</v>
      </c>
      <c r="H987" s="12" t="str">
        <f aca="false">INDEX('Control Library'!$E$5:$E$47,MATCH(E987,'Control Library'!$A$5:$A$47,0))</f>
        <v>Quarterly</v>
      </c>
      <c r="I987" s="7" t="str">
        <f aca="false">IF(INDEX('Control Library'!$I$5:$I$47,MATCH(E987,'Control Library'!$A$5:$A$47,0))="All","Y",IF(INDEX('Control Library'!$I$5:$I$47,MATCH(E987,'Control Library'!$A$5:$A$47,0))="Banks only",IF(COUNTIF('Residual Config'!$L$28:$L$30,INDEX(Entities!$E$5:$E$34,MATCH(B987,Entities!$A$5:$A$34,0)))&gt;0,"N/A","Y"),IF(INDEX(Entities!$G$5:$G$34,MATCH(B987,Entities!$A$5:$A$34,0))="Y","Y","N/A")))</f>
        <v>Y</v>
      </c>
      <c r="J987" s="8" t="s">
        <v>3179</v>
      </c>
      <c r="K987" s="8" t="s">
        <v>3100</v>
      </c>
      <c r="L987" s="7" t="str">
        <f aca="false">IF(OR(J987="",K987=""),"",IF(J987=K987,"Breach","OK"))</f>
        <v>OK</v>
      </c>
      <c r="M987" s="24" t="n">
        <v>1</v>
      </c>
      <c r="N987" s="50" t="n">
        <v>46211</v>
      </c>
      <c r="O987" s="8" t="s">
        <v>545</v>
      </c>
      <c r="P987" s="24" t="n">
        <v>2</v>
      </c>
      <c r="Q987" s="31" t="n">
        <f aca="false">IF(I987="N/A","",IFERROR(INDEX('Residual Config'!$B$35:$B$42,MATCH(H987,'Residual Config'!$A$35:$A$42,0)),""))</f>
        <v>2</v>
      </c>
      <c r="R987" s="24" t="n">
        <v>1</v>
      </c>
      <c r="S987" s="8" t="s">
        <v>521</v>
      </c>
      <c r="T987" s="31" t="n">
        <f aca="false">IF(S987="","",MATCH(S987,'Residual Config'!$L$9:$L$12,0))</f>
        <v>2</v>
      </c>
      <c r="U987" s="8" t="s">
        <v>3189</v>
      </c>
      <c r="V987" s="24" t="n">
        <v>2</v>
      </c>
      <c r="W987" s="33" t="s">
        <v>533</v>
      </c>
      <c r="X987" s="8" t="s">
        <v>754</v>
      </c>
      <c r="Y987" s="51" t="n">
        <f aca="false">IF(N987="","",EDATE(N987,IF(G987="N",INDEX('Residual Config'!$B$31:$D$31,1,MATCH(D987,'Residual Config'!$B$27:$D$27,0)),INDEX('Residual Config'!$B$28:$D$30,IF(T987=1,1,IF(T987=4,3,2)),MATCH(D987,'Residual Config'!$B$27:$D$27,0)))))</f>
        <v>46576</v>
      </c>
      <c r="Z987" s="7" t="str">
        <f aca="false">IF(I987="N/A","N/A",IF(N987="","Not tested",IF(W987="Rejected","Evidence rejected",IF(W987&lt;&gt;"Accepted","Evidence pending",IF(Y987&lt;'Residual Config'!$C$4,"Overdue","Current")))))</f>
        <v>Current</v>
      </c>
      <c r="AA987" s="34" t="n">
        <f aca="false">IF(I987="N/A","",IF(Z987&lt;&gt;"Current",4,IF(MAX(M987,T987)=0,4,MAX(M987,T987))))</f>
        <v>2</v>
      </c>
      <c r="AB987" s="7" t="str">
        <f aca="false">IF(AA987="","N/A",IF(Z987&lt;&gt;"Current","Not tested / overdue",INDEX('Residual Config'!$B$11:$B$14,AA987)))</f>
        <v>Largely effective</v>
      </c>
      <c r="AC987" s="36" t="n">
        <f aca="false">IF(AA987="","",INDEX('Residual Config'!$D$11:$D$14,AA987))</f>
        <v>0.4</v>
      </c>
      <c r="AD987" s="7" t="str">
        <f aca="false">IF(OR(I987="N/A",P987="",Q987=""),"",IF(P987&gt;=Q987,"Yes","No"))</f>
        <v>Yes</v>
      </c>
      <c r="AE987" s="8"/>
    </row>
    <row r="988" customFormat="false" ht="15" hidden="false" customHeight="false" outlineLevel="0" collapsed="false">
      <c r="A988" s="12" t="s">
        <v>3190</v>
      </c>
      <c r="B988" s="26" t="str">
        <f aca="false">Entities!$A$27</f>
        <v>FR</v>
      </c>
      <c r="C988" s="12" t="str">
        <f aca="false">INDEX(Entities!$B$5:$B$34,MATCH(B988,Entities!$A$5:$A$34,0))</f>
        <v>Arab Bank – France</v>
      </c>
      <c r="D988" s="7" t="str">
        <f aca="false">INDEX(Entities!$F$5:$F$34,MATCH(B988,Entities!$A$5:$A$34,0))</f>
        <v>Tier 2</v>
      </c>
      <c r="E988" s="26" t="str">
        <f aca="false">'Control Library'!$A$42</f>
        <v>CTL-CY-01</v>
      </c>
      <c r="F988" s="12" t="str">
        <f aca="false">INDEX('Control Library'!$B$5:$B$47,MATCH(E988,'Control Library'!$A$5:$A$47,0))</f>
        <v>Vulnerability and patch management</v>
      </c>
      <c r="G988" s="7" t="str">
        <f aca="false">INDEX('Control Library'!$F$5:$F$47,MATCH(E988,'Control Library'!$A$5:$A$47,0))</f>
        <v>Y</v>
      </c>
      <c r="H988" s="12" t="str">
        <f aca="false">INDEX('Control Library'!$E$5:$E$47,MATCH(E988,'Control Library'!$A$5:$A$47,0))</f>
        <v>Monthly</v>
      </c>
      <c r="I988" s="7" t="str">
        <f aca="false">IF(INDEX('Control Library'!$I$5:$I$47,MATCH(E988,'Control Library'!$A$5:$A$47,0))="All","Y",IF(INDEX('Control Library'!$I$5:$I$47,MATCH(E988,'Control Library'!$A$5:$A$47,0))="Banks only",IF(COUNTIF('Residual Config'!$L$28:$L$30,INDEX(Entities!$E$5:$E$34,MATCH(B988,Entities!$A$5:$A$34,0)))&gt;0,"N/A","Y"),IF(INDEX(Entities!$G$5:$G$34,MATCH(B988,Entities!$A$5:$A$34,0))="Y","Y","N/A")))</f>
        <v>Y</v>
      </c>
      <c r="J988" s="8" t="s">
        <v>3124</v>
      </c>
      <c r="K988" s="8" t="s">
        <v>3100</v>
      </c>
      <c r="L988" s="7" t="str">
        <f aca="false">IF(OR(J988="",K988=""),"",IF(J988=K988,"Breach","OK"))</f>
        <v>OK</v>
      </c>
      <c r="M988" s="24" t="n">
        <v>1</v>
      </c>
      <c r="N988" s="50" t="n">
        <v>46145</v>
      </c>
      <c r="O988" s="8" t="s">
        <v>546</v>
      </c>
      <c r="P988" s="24" t="n">
        <v>3</v>
      </c>
      <c r="Q988" s="31" t="n">
        <f aca="false">IF(I988="N/A","",IFERROR(INDEX('Residual Config'!$B$35:$B$42,MATCH(H988,'Residual Config'!$A$35:$A$42,0)),""))</f>
        <v>3</v>
      </c>
      <c r="R988" s="24" t="n">
        <v>1</v>
      </c>
      <c r="S988" s="8" t="s">
        <v>521</v>
      </c>
      <c r="T988" s="31" t="n">
        <f aca="false">IF(S988="","",MATCH(S988,'Residual Config'!$L$9:$L$12,0))</f>
        <v>2</v>
      </c>
      <c r="U988" s="8" t="s">
        <v>3191</v>
      </c>
      <c r="V988" s="24" t="n">
        <v>2</v>
      </c>
      <c r="W988" s="33" t="s">
        <v>533</v>
      </c>
      <c r="X988" s="8" t="s">
        <v>754</v>
      </c>
      <c r="Y988" s="51" t="n">
        <f aca="false">IF(N988="","",EDATE(N988,IF(G988="N",INDEX('Residual Config'!$B$31:$D$31,1,MATCH(D988,'Residual Config'!$B$27:$D$27,0)),INDEX('Residual Config'!$B$28:$D$30,IF(T988=1,1,IF(T988=4,3,2)),MATCH(D988,'Residual Config'!$B$27:$D$27,0)))))</f>
        <v>46329</v>
      </c>
      <c r="Z988" s="7" t="str">
        <f aca="false">IF(I988="N/A","N/A",IF(N988="","Not tested",IF(W988="Rejected","Evidence rejected",IF(W988&lt;&gt;"Accepted","Evidence pending",IF(Y988&lt;'Residual Config'!$C$4,"Overdue","Current")))))</f>
        <v>Current</v>
      </c>
      <c r="AA988" s="34" t="n">
        <f aca="false">IF(I988="N/A","",IF(Z988&lt;&gt;"Current",4,IF(MAX(M988,T988)=0,4,MAX(M988,T988))))</f>
        <v>2</v>
      </c>
      <c r="AB988" s="7" t="str">
        <f aca="false">IF(AA988="","N/A",IF(Z988&lt;&gt;"Current","Not tested / overdue",INDEX('Residual Config'!$B$11:$B$14,AA988)))</f>
        <v>Largely effective</v>
      </c>
      <c r="AC988" s="36" t="n">
        <f aca="false">IF(AA988="","",INDEX('Residual Config'!$D$11:$D$14,AA988))</f>
        <v>0.4</v>
      </c>
      <c r="AD988" s="7" t="str">
        <f aca="false">IF(OR(I988="N/A",P988="",Q988=""),"",IF(P988&gt;=Q988,"Yes","No"))</f>
        <v>Yes</v>
      </c>
      <c r="AE988" s="8"/>
    </row>
    <row r="989" customFormat="false" ht="15" hidden="false" customHeight="false" outlineLevel="0" collapsed="false">
      <c r="A989" s="12" t="s">
        <v>3192</v>
      </c>
      <c r="B989" s="26" t="str">
        <f aca="false">Entities!$A$27</f>
        <v>FR</v>
      </c>
      <c r="C989" s="12" t="str">
        <f aca="false">INDEX(Entities!$B$5:$B$34,MATCH(B989,Entities!$A$5:$A$34,0))</f>
        <v>Arab Bank – France</v>
      </c>
      <c r="D989" s="7" t="str">
        <f aca="false">INDEX(Entities!$F$5:$F$34,MATCH(B989,Entities!$A$5:$A$34,0))</f>
        <v>Tier 2</v>
      </c>
      <c r="E989" s="26" t="str">
        <f aca="false">'Control Library'!$A$43</f>
        <v>CTL-CY-02</v>
      </c>
      <c r="F989" s="12" t="str">
        <f aca="false">INDEX('Control Library'!$B$5:$B$47,MATCH(E989,'Control Library'!$A$5:$A$47,0))</f>
        <v>Privileged access management and SOC monitoring</v>
      </c>
      <c r="G989" s="7" t="str">
        <f aca="false">INDEX('Control Library'!$F$5:$F$47,MATCH(E989,'Control Library'!$A$5:$A$47,0))</f>
        <v>Y</v>
      </c>
      <c r="H989" s="12" t="str">
        <f aca="false">INDEX('Control Library'!$E$5:$E$47,MATCH(E989,'Control Library'!$A$5:$A$47,0))</f>
        <v>Continuous</v>
      </c>
      <c r="I989" s="7" t="str">
        <f aca="false">IF(INDEX('Control Library'!$I$5:$I$47,MATCH(E989,'Control Library'!$A$5:$A$47,0))="All","Y",IF(INDEX('Control Library'!$I$5:$I$47,MATCH(E989,'Control Library'!$A$5:$A$47,0))="Banks only",IF(COUNTIF('Residual Config'!$L$28:$L$30,INDEX(Entities!$E$5:$E$34,MATCH(B989,Entities!$A$5:$A$34,0)))&gt;0,"N/A","Y"),IF(INDEX(Entities!$G$5:$G$34,MATCH(B989,Entities!$A$5:$A$34,0))="Y","Y","N/A")))</f>
        <v>Y</v>
      </c>
      <c r="J989" s="8" t="s">
        <v>3173</v>
      </c>
      <c r="K989" s="8" t="s">
        <v>3100</v>
      </c>
      <c r="L989" s="7" t="str">
        <f aca="false">IF(OR(J989="",K989=""),"",IF(J989=K989,"Breach","OK"))</f>
        <v>OK</v>
      </c>
      <c r="M989" s="24" t="n">
        <v>1</v>
      </c>
      <c r="N989" s="50" t="n">
        <v>46165</v>
      </c>
      <c r="O989" s="8" t="s">
        <v>546</v>
      </c>
      <c r="P989" s="24" t="n">
        <v>1</v>
      </c>
      <c r="Q989" s="31" t="n">
        <f aca="false">IF(I989="N/A","",IFERROR(INDEX('Residual Config'!$B$35:$B$42,MATCH(H989,'Residual Config'!$A$35:$A$42,0)),""))</f>
        <v>1</v>
      </c>
      <c r="R989" s="24" t="n">
        <v>1</v>
      </c>
      <c r="S989" s="8" t="s">
        <v>521</v>
      </c>
      <c r="T989" s="31" t="n">
        <f aca="false">IF(S989="","",MATCH(S989,'Residual Config'!$L$9:$L$12,0))</f>
        <v>2</v>
      </c>
      <c r="U989" s="8" t="s">
        <v>3193</v>
      </c>
      <c r="V989" s="24" t="n">
        <v>5</v>
      </c>
      <c r="W989" s="33" t="s">
        <v>533</v>
      </c>
      <c r="X989" s="8" t="s">
        <v>754</v>
      </c>
      <c r="Y989" s="51" t="n">
        <f aca="false">IF(N989="","",EDATE(N989,IF(G989="N",INDEX('Residual Config'!$B$31:$D$31,1,MATCH(D989,'Residual Config'!$B$27:$D$27,0)),INDEX('Residual Config'!$B$28:$D$30,IF(T989=1,1,IF(T989=4,3,2)),MATCH(D989,'Residual Config'!$B$27:$D$27,0)))))</f>
        <v>46349</v>
      </c>
      <c r="Z989" s="7" t="str">
        <f aca="false">IF(I989="N/A","N/A",IF(N989="","Not tested",IF(W989="Rejected","Evidence rejected",IF(W989&lt;&gt;"Accepted","Evidence pending",IF(Y989&lt;'Residual Config'!$C$4,"Overdue","Current")))))</f>
        <v>Current</v>
      </c>
      <c r="AA989" s="34" t="n">
        <f aca="false">IF(I989="N/A","",IF(Z989&lt;&gt;"Current",4,IF(MAX(M989,T989)=0,4,MAX(M989,T989))))</f>
        <v>2</v>
      </c>
      <c r="AB989" s="7" t="str">
        <f aca="false">IF(AA989="","N/A",IF(Z989&lt;&gt;"Current","Not tested / overdue",INDEX('Residual Config'!$B$11:$B$14,AA989)))</f>
        <v>Largely effective</v>
      </c>
      <c r="AC989" s="36" t="n">
        <f aca="false">IF(AA989="","",INDEX('Residual Config'!$D$11:$D$14,AA989))</f>
        <v>0.4</v>
      </c>
      <c r="AD989" s="7" t="str">
        <f aca="false">IF(OR(I989="N/A",P989="",Q989=""),"",IF(P989&gt;=Q989,"Yes","No"))</f>
        <v>Yes</v>
      </c>
      <c r="AE989" s="8"/>
    </row>
    <row r="990" customFormat="false" ht="15" hidden="false" customHeight="false" outlineLevel="0" collapsed="false">
      <c r="A990" s="12" t="s">
        <v>3194</v>
      </c>
      <c r="B990" s="26" t="str">
        <f aca="false">Entities!$A$27</f>
        <v>FR</v>
      </c>
      <c r="C990" s="12" t="str">
        <f aca="false">INDEX(Entities!$B$5:$B$34,MATCH(B990,Entities!$A$5:$A$34,0))</f>
        <v>Arab Bank – France</v>
      </c>
      <c r="D990" s="7" t="str">
        <f aca="false">INDEX(Entities!$F$5:$F$34,MATCH(B990,Entities!$A$5:$A$34,0))</f>
        <v>Tier 2</v>
      </c>
      <c r="E990" s="26" t="str">
        <f aca="false">'Control Library'!$A$44</f>
        <v>CTL-TP-01</v>
      </c>
      <c r="F990" s="12" t="str">
        <f aca="false">INDEX('Control Library'!$B$5:$B$47,MATCH(E990,'Control Library'!$A$5:$A$47,0))</f>
        <v>Critical vendor due diligence and tested exit plans</v>
      </c>
      <c r="G990" s="7" t="str">
        <f aca="false">INDEX('Control Library'!$F$5:$F$47,MATCH(E990,'Control Library'!$A$5:$A$47,0))</f>
        <v>Y</v>
      </c>
      <c r="H990" s="12" t="str">
        <f aca="false">INDEX('Control Library'!$E$5:$E$47,MATCH(E990,'Control Library'!$A$5:$A$47,0))</f>
        <v>Annual</v>
      </c>
      <c r="I990" s="7" t="str">
        <f aca="false">IF(INDEX('Control Library'!$I$5:$I$47,MATCH(E990,'Control Library'!$A$5:$A$47,0))="All","Y",IF(INDEX('Control Library'!$I$5:$I$47,MATCH(E990,'Control Library'!$A$5:$A$47,0))="Banks only",IF(COUNTIF('Residual Config'!$L$28:$L$30,INDEX(Entities!$E$5:$E$34,MATCH(B990,Entities!$A$5:$A$34,0)))&gt;0,"N/A","Y"),IF(INDEX(Entities!$G$5:$G$34,MATCH(B990,Entities!$A$5:$A$34,0))="Y","Y","N/A")))</f>
        <v>Y</v>
      </c>
      <c r="J990" s="8" t="s">
        <v>3141</v>
      </c>
      <c r="K990" s="8" t="s">
        <v>3100</v>
      </c>
      <c r="L990" s="7" t="str">
        <f aca="false">IF(OR(J990="",K990=""),"",IF(J990=K990,"Breach","OK"))</f>
        <v>OK</v>
      </c>
      <c r="M990" s="24" t="n">
        <v>1</v>
      </c>
      <c r="N990" s="50" t="n">
        <v>46039</v>
      </c>
      <c r="O990" s="8" t="s">
        <v>546</v>
      </c>
      <c r="P990" s="24" t="n">
        <v>1</v>
      </c>
      <c r="Q990" s="31" t="n">
        <f aca="false">IF(I990="N/A","",IFERROR(INDEX('Residual Config'!$B$35:$B$42,MATCH(H990,'Residual Config'!$A$35:$A$42,0)),""))</f>
        <v>1</v>
      </c>
      <c r="R990" s="24" t="n">
        <v>0</v>
      </c>
      <c r="S990" s="8" t="s">
        <v>516</v>
      </c>
      <c r="T990" s="31" t="n">
        <f aca="false">IF(S990="","",MATCH(S990,'Residual Config'!$L$9:$L$12,0))</f>
        <v>1</v>
      </c>
      <c r="U990" s="8" t="s">
        <v>3195</v>
      </c>
      <c r="V990" s="24" t="n">
        <v>4</v>
      </c>
      <c r="W990" s="33" t="s">
        <v>533</v>
      </c>
      <c r="X990" s="8" t="s">
        <v>754</v>
      </c>
      <c r="Y990" s="51" t="n">
        <f aca="false">IF(N990="","",EDATE(N990,IF(G990="N",INDEX('Residual Config'!$B$31:$D$31,1,MATCH(D990,'Residual Config'!$B$27:$D$27,0)),INDEX('Residual Config'!$B$28:$D$30,IF(T990=1,1,IF(T990=4,3,2)),MATCH(D990,'Residual Config'!$B$27:$D$27,0)))))</f>
        <v>46404</v>
      </c>
      <c r="Z990" s="7" t="str">
        <f aca="false">IF(I990="N/A","N/A",IF(N990="","Not tested",IF(W990="Rejected","Evidence rejected",IF(W990&lt;&gt;"Accepted","Evidence pending",IF(Y990&lt;'Residual Config'!$C$4,"Overdue","Current")))))</f>
        <v>Current</v>
      </c>
      <c r="AA990" s="34" t="n">
        <f aca="false">IF(I990="N/A","",IF(Z990&lt;&gt;"Current",4,IF(MAX(M990,T990)=0,4,MAX(M990,T990))))</f>
        <v>1</v>
      </c>
      <c r="AB990" s="7" t="str">
        <f aca="false">IF(AA990="","N/A",IF(Z990&lt;&gt;"Current","Not tested / overdue",INDEX('Residual Config'!$B$11:$B$14,AA990)))</f>
        <v>Effective</v>
      </c>
      <c r="AC990" s="36" t="n">
        <f aca="false">IF(AA990="","",INDEX('Residual Config'!$D$11:$D$14,AA990))</f>
        <v>0.6</v>
      </c>
      <c r="AD990" s="7" t="str">
        <f aca="false">IF(OR(I990="N/A",P990="",Q990=""),"",IF(P990&gt;=Q990,"Yes","No"))</f>
        <v>Yes</v>
      </c>
      <c r="AE990" s="8"/>
    </row>
    <row r="991" customFormat="false" ht="15" hidden="false" customHeight="false" outlineLevel="0" collapsed="false">
      <c r="A991" s="12" t="s">
        <v>3196</v>
      </c>
      <c r="B991" s="26" t="str">
        <f aca="false">Entities!$A$27</f>
        <v>FR</v>
      </c>
      <c r="C991" s="12" t="str">
        <f aca="false">INDEX(Entities!$B$5:$B$34,MATCH(B991,Entities!$A$5:$A$34,0))</f>
        <v>Arab Bank – France</v>
      </c>
      <c r="D991" s="7" t="str">
        <f aca="false">INDEX(Entities!$F$5:$F$34,MATCH(B991,Entities!$A$5:$A$34,0))</f>
        <v>Tier 2</v>
      </c>
      <c r="E991" s="26" t="str">
        <f aca="false">'Control Library'!$A$45</f>
        <v>CTL-LG-01</v>
      </c>
      <c r="F991" s="12" t="str">
        <f aca="false">INDEX('Control Library'!$B$5:$B$47,MATCH(E991,'Control Library'!$A$5:$A$47,0))</f>
        <v>Legal review of contracts and litigation register</v>
      </c>
      <c r="G991" s="7" t="str">
        <f aca="false">INDEX('Control Library'!$F$5:$F$47,MATCH(E991,'Control Library'!$A$5:$A$47,0))</f>
        <v>Y</v>
      </c>
      <c r="H991" s="12" t="str">
        <f aca="false">INDEX('Control Library'!$E$5:$E$47,MATCH(E991,'Control Library'!$A$5:$A$47,0))</f>
        <v>Event-driven</v>
      </c>
      <c r="I991" s="7" t="str">
        <f aca="false">IF(INDEX('Control Library'!$I$5:$I$47,MATCH(E991,'Control Library'!$A$5:$A$47,0))="All","Y",IF(INDEX('Control Library'!$I$5:$I$47,MATCH(E991,'Control Library'!$A$5:$A$47,0))="Banks only",IF(COUNTIF('Residual Config'!$L$28:$L$30,INDEX(Entities!$E$5:$E$34,MATCH(B991,Entities!$A$5:$A$34,0)))&gt;0,"N/A","Y"),IF(INDEX(Entities!$G$5:$G$34,MATCH(B991,Entities!$A$5:$A$34,0))="Y","Y","N/A")))</f>
        <v>Y</v>
      </c>
      <c r="J991" s="8" t="s">
        <v>3197</v>
      </c>
      <c r="K991" s="8" t="s">
        <v>3100</v>
      </c>
      <c r="L991" s="7" t="str">
        <f aca="false">IF(OR(J991="",K991=""),"",IF(J991=K991,"Breach","OK"))</f>
        <v>OK</v>
      </c>
      <c r="M991" s="24" t="n">
        <v>2</v>
      </c>
      <c r="N991" s="50" t="n">
        <v>45982</v>
      </c>
      <c r="O991" s="8" t="s">
        <v>546</v>
      </c>
      <c r="P991" s="24" t="n">
        <v>25</v>
      </c>
      <c r="Q991" s="31" t="n">
        <f aca="false">IF(I991="N/A","",IFERROR(INDEX('Residual Config'!$B$35:$B$42,MATCH(H991,'Residual Config'!$A$35:$A$42,0)),""))</f>
        <v>25</v>
      </c>
      <c r="R991" s="24" t="n">
        <v>0</v>
      </c>
      <c r="S991" s="8" t="s">
        <v>516</v>
      </c>
      <c r="T991" s="31" t="n">
        <f aca="false">IF(S991="","",MATCH(S991,'Residual Config'!$L$9:$L$12,0))</f>
        <v>1</v>
      </c>
      <c r="U991" s="8" t="s">
        <v>3198</v>
      </c>
      <c r="V991" s="24" t="n">
        <v>6</v>
      </c>
      <c r="W991" s="33" t="s">
        <v>533</v>
      </c>
      <c r="X991" s="8" t="s">
        <v>760</v>
      </c>
      <c r="Y991" s="51" t="n">
        <f aca="false">IF(N991="","",EDATE(N991,IF(G991="N",INDEX('Residual Config'!$B$31:$D$31,1,MATCH(D991,'Residual Config'!$B$27:$D$27,0)),INDEX('Residual Config'!$B$28:$D$30,IF(T991=1,1,IF(T991=4,3,2)),MATCH(D991,'Residual Config'!$B$27:$D$27,0)))))</f>
        <v>46347</v>
      </c>
      <c r="Z991" s="7" t="str">
        <f aca="false">IF(I991="N/A","N/A",IF(N991="","Not tested",IF(W991="Rejected","Evidence rejected",IF(W991&lt;&gt;"Accepted","Evidence pending",IF(Y991&lt;'Residual Config'!$C$4,"Overdue","Current")))))</f>
        <v>Current</v>
      </c>
      <c r="AA991" s="34" t="n">
        <f aca="false">IF(I991="N/A","",IF(Z991&lt;&gt;"Current",4,IF(MAX(M991,T991)=0,4,MAX(M991,T991))))</f>
        <v>2</v>
      </c>
      <c r="AB991" s="7" t="str">
        <f aca="false">IF(AA991="","N/A",IF(Z991&lt;&gt;"Current","Not tested / overdue",INDEX('Residual Config'!$B$11:$B$14,AA991)))</f>
        <v>Largely effective</v>
      </c>
      <c r="AC991" s="36" t="n">
        <f aca="false">IF(AA991="","",INDEX('Residual Config'!$D$11:$D$14,AA991))</f>
        <v>0.4</v>
      </c>
      <c r="AD991" s="7" t="str">
        <f aca="false">IF(OR(I991="N/A",P991="",Q991=""),"",IF(P991&gt;=Q991,"Yes","No"))</f>
        <v>Yes</v>
      </c>
      <c r="AE991" s="8"/>
    </row>
    <row r="992" customFormat="false" ht="15" hidden="false" customHeight="false" outlineLevel="0" collapsed="false">
      <c r="A992" s="12" t="s">
        <v>3199</v>
      </c>
      <c r="B992" s="26" t="str">
        <f aca="false">Entities!$A$27</f>
        <v>FR</v>
      </c>
      <c r="C992" s="12" t="str">
        <f aca="false">INDEX(Entities!$B$5:$B$34,MATCH(B992,Entities!$A$5:$A$34,0))</f>
        <v>Arab Bank – France</v>
      </c>
      <c r="D992" s="7" t="str">
        <f aca="false">INDEX(Entities!$F$5:$F$34,MATCH(B992,Entities!$A$5:$A$34,0))</f>
        <v>Tier 2</v>
      </c>
      <c r="E992" s="26" t="str">
        <f aca="false">'Control Library'!$A$46</f>
        <v>CTL-RP-01</v>
      </c>
      <c r="F992" s="12" t="str">
        <f aca="false">INDEX('Control Library'!$B$5:$B$47,MATCH(E992,'Control Library'!$A$5:$A$47,0))</f>
        <v>Media monitoring and reputational-risk escalation</v>
      </c>
      <c r="G992" s="7" t="str">
        <f aca="false">INDEX('Control Library'!$F$5:$F$47,MATCH(E992,'Control Library'!$A$5:$A$47,0))</f>
        <v>Y</v>
      </c>
      <c r="H992" s="12" t="str">
        <f aca="false">INDEX('Control Library'!$E$5:$E$47,MATCH(E992,'Control Library'!$A$5:$A$47,0))</f>
        <v>Daily</v>
      </c>
      <c r="I992" s="7" t="str">
        <f aca="false">IF(INDEX('Control Library'!$I$5:$I$47,MATCH(E992,'Control Library'!$A$5:$A$47,0))="All","Y",IF(INDEX('Control Library'!$I$5:$I$47,MATCH(E992,'Control Library'!$A$5:$A$47,0))="Banks only",IF(COUNTIF('Residual Config'!$L$28:$L$30,INDEX(Entities!$E$5:$E$34,MATCH(B992,Entities!$A$5:$A$34,0)))&gt;0,"N/A","Y"),IF(INDEX(Entities!$G$5:$G$34,MATCH(B992,Entities!$A$5:$A$34,0))="Y","Y","N/A")))</f>
        <v>Y</v>
      </c>
      <c r="J992" s="8" t="s">
        <v>3200</v>
      </c>
      <c r="K992" s="8" t="s">
        <v>3100</v>
      </c>
      <c r="L992" s="7" t="str">
        <f aca="false">IF(OR(J992="",K992=""),"",IF(J992=K992,"Breach","OK"))</f>
        <v>OK</v>
      </c>
      <c r="M992" s="24" t="n">
        <v>1</v>
      </c>
      <c r="N992" s="50" t="n">
        <v>46289</v>
      </c>
      <c r="O992" s="8" t="s">
        <v>546</v>
      </c>
      <c r="P992" s="24" t="n">
        <v>35</v>
      </c>
      <c r="Q992" s="31" t="n">
        <f aca="false">IF(I992="N/A","",IFERROR(INDEX('Residual Config'!$B$35:$B$42,MATCH(H992,'Residual Config'!$A$35:$A$42,0)),""))</f>
        <v>25</v>
      </c>
      <c r="R992" s="24" t="n">
        <v>0</v>
      </c>
      <c r="S992" s="8" t="s">
        <v>516</v>
      </c>
      <c r="T992" s="31" t="n">
        <f aca="false">IF(S992="","",MATCH(S992,'Residual Config'!$L$9:$L$12,0))</f>
        <v>1</v>
      </c>
      <c r="U992" s="8" t="s">
        <v>3201</v>
      </c>
      <c r="V992" s="24" t="n">
        <v>4</v>
      </c>
      <c r="W992" s="33" t="s">
        <v>533</v>
      </c>
      <c r="X992" s="8" t="s">
        <v>754</v>
      </c>
      <c r="Y992" s="51" t="n">
        <f aca="false">IF(N992="","",EDATE(N992,IF(G992="N",INDEX('Residual Config'!$B$31:$D$31,1,MATCH(D992,'Residual Config'!$B$27:$D$27,0)),INDEX('Residual Config'!$B$28:$D$30,IF(T992=1,1,IF(T992=4,3,2)),MATCH(D992,'Residual Config'!$B$27:$D$27,0)))))</f>
        <v>46654</v>
      </c>
      <c r="Z992" s="7" t="str">
        <f aca="false">IF(I992="N/A","N/A",IF(N992="","Not tested",IF(W992="Rejected","Evidence rejected",IF(W992&lt;&gt;"Accepted","Evidence pending",IF(Y992&lt;'Residual Config'!$C$4,"Overdue","Current")))))</f>
        <v>Current</v>
      </c>
      <c r="AA992" s="34" t="n">
        <f aca="false">IF(I992="N/A","",IF(Z992&lt;&gt;"Current",4,IF(MAX(M992,T992)=0,4,MAX(M992,T992))))</f>
        <v>1</v>
      </c>
      <c r="AB992" s="7" t="str">
        <f aca="false">IF(AA992="","N/A",IF(Z992&lt;&gt;"Current","Not tested / overdue",INDEX('Residual Config'!$B$11:$B$14,AA992)))</f>
        <v>Effective</v>
      </c>
      <c r="AC992" s="36" t="n">
        <f aca="false">IF(AA992="","",INDEX('Residual Config'!$D$11:$D$14,AA992))</f>
        <v>0.6</v>
      </c>
      <c r="AD992" s="7" t="str">
        <f aca="false">IF(OR(I992="N/A",P992="",Q992=""),"",IF(P992&gt;=Q992,"Yes","No"))</f>
        <v>Yes</v>
      </c>
      <c r="AE992" s="8"/>
    </row>
    <row r="993" customFormat="false" ht="15" hidden="false" customHeight="false" outlineLevel="0" collapsed="false">
      <c r="A993" s="12" t="s">
        <v>3202</v>
      </c>
      <c r="B993" s="26" t="str">
        <f aca="false">Entities!$A$27</f>
        <v>FR</v>
      </c>
      <c r="C993" s="12" t="str">
        <f aca="false">INDEX(Entities!$B$5:$B$34,MATCH(B993,Entities!$A$5:$A$34,0))</f>
        <v>Arab Bank – France</v>
      </c>
      <c r="D993" s="7" t="str">
        <f aca="false">INDEX(Entities!$F$5:$F$34,MATCH(B993,Entities!$A$5:$A$34,0))</f>
        <v>Tier 2</v>
      </c>
      <c r="E993" s="26" t="str">
        <f aca="false">'Control Library'!$A$47</f>
        <v>CTL-ST-01</v>
      </c>
      <c r="F993" s="12" t="str">
        <f aca="false">INDEX('Control Library'!$B$5:$B$47,MATCH(E993,'Control Library'!$A$5:$A$47,0))</f>
        <v>Strategy execution monitoring and E&amp;S screening of lending</v>
      </c>
      <c r="G993" s="7" t="str">
        <f aca="false">INDEX('Control Library'!$F$5:$F$47,MATCH(E993,'Control Library'!$A$5:$A$47,0))</f>
        <v>Y</v>
      </c>
      <c r="H993" s="12" t="str">
        <f aca="false">INDEX('Control Library'!$E$5:$E$47,MATCH(E993,'Control Library'!$A$5:$A$47,0))</f>
        <v>Quarterly</v>
      </c>
      <c r="I993" s="7" t="str">
        <f aca="false">IF(INDEX('Control Library'!$I$5:$I$47,MATCH(E993,'Control Library'!$A$5:$A$47,0))="All","Y",IF(INDEX('Control Library'!$I$5:$I$47,MATCH(E993,'Control Library'!$A$5:$A$47,0))="Banks only",IF(COUNTIF('Residual Config'!$L$28:$L$30,INDEX(Entities!$E$5:$E$34,MATCH(B993,Entities!$A$5:$A$34,0)))&gt;0,"N/A","Y"),IF(INDEX(Entities!$G$5:$G$34,MATCH(B993,Entities!$A$5:$A$34,0))="Y","Y","N/A")))</f>
        <v>Y</v>
      </c>
      <c r="J993" s="8" t="s">
        <v>3203</v>
      </c>
      <c r="K993" s="8" t="s">
        <v>3100</v>
      </c>
      <c r="L993" s="7" t="str">
        <f aca="false">IF(OR(J993="",K993=""),"",IF(J993=K993,"Breach","OK"))</f>
        <v>OK</v>
      </c>
      <c r="M993" s="24" t="n">
        <v>2</v>
      </c>
      <c r="N993" s="50" t="n">
        <v>46224</v>
      </c>
      <c r="O993" s="8" t="s">
        <v>546</v>
      </c>
      <c r="P993" s="24" t="n">
        <v>2</v>
      </c>
      <c r="Q993" s="31" t="n">
        <f aca="false">IF(I993="N/A","",IFERROR(INDEX('Residual Config'!$B$35:$B$42,MATCH(H993,'Residual Config'!$A$35:$A$42,0)),""))</f>
        <v>2</v>
      </c>
      <c r="R993" s="24" t="n">
        <v>1</v>
      </c>
      <c r="S993" s="8" t="s">
        <v>521</v>
      </c>
      <c r="T993" s="31" t="n">
        <f aca="false">IF(S993="","",MATCH(S993,'Residual Config'!$L$9:$L$12,0))</f>
        <v>2</v>
      </c>
      <c r="U993" s="8" t="s">
        <v>3204</v>
      </c>
      <c r="V993" s="24" t="n">
        <v>5</v>
      </c>
      <c r="W993" s="33" t="s">
        <v>533</v>
      </c>
      <c r="X993" s="8" t="s">
        <v>760</v>
      </c>
      <c r="Y993" s="51" t="n">
        <f aca="false">IF(N993="","",EDATE(N993,IF(G993="N",INDEX('Residual Config'!$B$31:$D$31,1,MATCH(D993,'Residual Config'!$B$27:$D$27,0)),INDEX('Residual Config'!$B$28:$D$30,IF(T993=1,1,IF(T993=4,3,2)),MATCH(D993,'Residual Config'!$B$27:$D$27,0)))))</f>
        <v>46408</v>
      </c>
      <c r="Z993" s="7" t="str">
        <f aca="false">IF(I993="N/A","N/A",IF(N993="","Not tested",IF(W993="Rejected","Evidence rejected",IF(W993&lt;&gt;"Accepted","Evidence pending",IF(Y993&lt;'Residual Config'!$C$4,"Overdue","Current")))))</f>
        <v>Current</v>
      </c>
      <c r="AA993" s="34" t="n">
        <f aca="false">IF(I993="N/A","",IF(Z993&lt;&gt;"Current",4,IF(MAX(M993,T993)=0,4,MAX(M993,T993))))</f>
        <v>2</v>
      </c>
      <c r="AB993" s="7" t="str">
        <f aca="false">IF(AA993="","N/A",IF(Z993&lt;&gt;"Current","Not tested / overdue",INDEX('Residual Config'!$B$11:$B$14,AA993)))</f>
        <v>Largely effective</v>
      </c>
      <c r="AC993" s="36" t="n">
        <f aca="false">IF(AA993="","",INDEX('Residual Config'!$D$11:$D$14,AA993))</f>
        <v>0.4</v>
      </c>
      <c r="AD993" s="7" t="str">
        <f aca="false">IF(OR(I993="N/A",P993="",Q993=""),"",IF(P993&gt;=Q993,"Yes","No"))</f>
        <v>Yes</v>
      </c>
      <c r="AE993" s="8"/>
    </row>
    <row r="994" customFormat="false" ht="15" hidden="false" customHeight="false" outlineLevel="0" collapsed="false">
      <c r="A994" s="12" t="s">
        <v>3205</v>
      </c>
      <c r="B994" s="26" t="str">
        <f aca="false">Entities!$A$28</f>
        <v>DE</v>
      </c>
      <c r="C994" s="12" t="str">
        <f aca="false">INDEX(Entities!$B$5:$B$34,MATCH(B994,Entities!$A$5:$A$34,0))</f>
        <v>Arab Bank – Germany</v>
      </c>
      <c r="D994" s="7" t="str">
        <f aca="false">INDEX(Entities!$F$5:$F$34,MATCH(B994,Entities!$A$5:$A$34,0))</f>
        <v>Tier 3</v>
      </c>
      <c r="E994" s="26" t="str">
        <f aca="false">'Control Library'!$A$5</f>
        <v>CTL-KYC-01</v>
      </c>
      <c r="F994" s="12" t="str">
        <f aca="false">INDEX('Control Library'!$B$5:$B$47,MATCH(E994,'Control Library'!$A$5:$A$47,0))</f>
        <v>Customer due diligence and ID verification at onboarding</v>
      </c>
      <c r="G994" s="7" t="str">
        <f aca="false">INDEX('Control Library'!$F$5:$F$47,MATCH(E994,'Control Library'!$A$5:$A$47,0))</f>
        <v>Y</v>
      </c>
      <c r="H994" s="12" t="str">
        <f aca="false">INDEX('Control Library'!$E$5:$E$47,MATCH(E994,'Control Library'!$A$5:$A$47,0))</f>
        <v>Event-driven</v>
      </c>
      <c r="I994" s="7" t="str">
        <f aca="false">IF(INDEX('Control Library'!$I$5:$I$47,MATCH(E994,'Control Library'!$A$5:$A$47,0))="All","Y",IF(INDEX('Control Library'!$I$5:$I$47,MATCH(E994,'Control Library'!$A$5:$A$47,0))="Banks only",IF(COUNTIF('Residual Config'!$L$28:$L$30,INDEX(Entities!$E$5:$E$34,MATCH(B994,Entities!$A$5:$A$34,0)))&gt;0,"N/A","Y"),IF(INDEX(Entities!$G$5:$G$34,MATCH(B994,Entities!$A$5:$A$34,0))="Y","Y","N/A")))</f>
        <v>Y</v>
      </c>
      <c r="J994" s="8" t="s">
        <v>3206</v>
      </c>
      <c r="K994" s="8" t="s">
        <v>3207</v>
      </c>
      <c r="L994" s="7" t="str">
        <f aca="false">IF(OR(J994="",K994=""),"",IF(J994=K994,"Breach","OK"))</f>
        <v>OK</v>
      </c>
      <c r="M994" s="24" t="n">
        <v>1</v>
      </c>
      <c r="N994" s="50" t="n">
        <v>46231</v>
      </c>
      <c r="O994" s="8" t="s">
        <v>545</v>
      </c>
      <c r="P994" s="24" t="n">
        <v>30</v>
      </c>
      <c r="Q994" s="31" t="n">
        <f aca="false">IF(I994="N/A","",IFERROR(INDEX('Residual Config'!$B$35:$B$42,MATCH(H994,'Residual Config'!$A$35:$A$42,0)),""))</f>
        <v>25</v>
      </c>
      <c r="R994" s="24" t="n">
        <v>0</v>
      </c>
      <c r="S994" s="8" t="s">
        <v>516</v>
      </c>
      <c r="T994" s="31" t="n">
        <f aca="false">IF(S994="","",MATCH(S994,'Residual Config'!$L$9:$L$12,0))</f>
        <v>1</v>
      </c>
      <c r="U994" s="8" t="s">
        <v>3208</v>
      </c>
      <c r="V994" s="24" t="n">
        <v>3</v>
      </c>
      <c r="W994" s="33" t="s">
        <v>533</v>
      </c>
      <c r="X994" s="8" t="s">
        <v>760</v>
      </c>
      <c r="Y994" s="51" t="n">
        <f aca="false">IF(N994="","",EDATE(N994,IF(G994="N",INDEX('Residual Config'!$B$31:$D$31,1,MATCH(D994,'Residual Config'!$B$27:$D$27,0)),INDEX('Residual Config'!$B$28:$D$30,IF(T994=1,1,IF(T994=4,3,2)),MATCH(D994,'Residual Config'!$B$27:$D$27,0)))))</f>
        <v>46596</v>
      </c>
      <c r="Z994" s="7" t="str">
        <f aca="false">IF(I994="N/A","N/A",IF(N994="","Not tested",IF(W994="Rejected","Evidence rejected",IF(W994&lt;&gt;"Accepted","Evidence pending",IF(Y994&lt;'Residual Config'!$C$4,"Overdue","Current")))))</f>
        <v>Current</v>
      </c>
      <c r="AA994" s="34" t="n">
        <f aca="false">IF(I994="N/A","",IF(Z994&lt;&gt;"Current",4,IF(MAX(M994,T994)=0,4,MAX(M994,T994))))</f>
        <v>1</v>
      </c>
      <c r="AB994" s="7" t="str">
        <f aca="false">IF(AA994="","N/A",IF(Z994&lt;&gt;"Current","Not tested / overdue",INDEX('Residual Config'!$B$11:$B$14,AA994)))</f>
        <v>Effective</v>
      </c>
      <c r="AC994" s="36" t="n">
        <f aca="false">IF(AA994="","",INDEX('Residual Config'!$D$11:$D$14,AA994))</f>
        <v>0.6</v>
      </c>
      <c r="AD994" s="7" t="str">
        <f aca="false">IF(OR(I994="N/A",P994="",Q994=""),"",IF(P994&gt;=Q994,"Yes","No"))</f>
        <v>Yes</v>
      </c>
      <c r="AE994" s="8"/>
    </row>
    <row r="995" customFormat="false" ht="15" hidden="false" customHeight="false" outlineLevel="0" collapsed="false">
      <c r="A995" s="12" t="s">
        <v>3209</v>
      </c>
      <c r="B995" s="26" t="str">
        <f aca="false">Entities!$A$28</f>
        <v>DE</v>
      </c>
      <c r="C995" s="12" t="str">
        <f aca="false">INDEX(Entities!$B$5:$B$34,MATCH(B995,Entities!$A$5:$A$34,0))</f>
        <v>Arab Bank – Germany</v>
      </c>
      <c r="D995" s="7" t="str">
        <f aca="false">INDEX(Entities!$F$5:$F$34,MATCH(B995,Entities!$A$5:$A$34,0))</f>
        <v>Tier 3</v>
      </c>
      <c r="E995" s="26" t="str">
        <f aca="false">'Control Library'!$A$6</f>
        <v>CTL-KYC-02</v>
      </c>
      <c r="F995" s="12" t="str">
        <f aca="false">INDEX('Control Library'!$B$5:$B$47,MATCH(E995,'Control Library'!$A$5:$A$47,0))</f>
        <v>Enhanced due diligence for high-risk customers and PEPs, senior approval</v>
      </c>
      <c r="G995" s="7" t="str">
        <f aca="false">INDEX('Control Library'!$F$5:$F$47,MATCH(E995,'Control Library'!$A$5:$A$47,0))</f>
        <v>Y</v>
      </c>
      <c r="H995" s="12" t="str">
        <f aca="false">INDEX('Control Library'!$E$5:$E$47,MATCH(E995,'Control Library'!$A$5:$A$47,0))</f>
        <v>Event-driven</v>
      </c>
      <c r="I995" s="7" t="str">
        <f aca="false">IF(INDEX('Control Library'!$I$5:$I$47,MATCH(E995,'Control Library'!$A$5:$A$47,0))="All","Y",IF(INDEX('Control Library'!$I$5:$I$47,MATCH(E995,'Control Library'!$A$5:$A$47,0))="Banks only",IF(COUNTIF('Residual Config'!$L$28:$L$30,INDEX(Entities!$E$5:$E$34,MATCH(B995,Entities!$A$5:$A$34,0)))&gt;0,"N/A","Y"),IF(INDEX(Entities!$G$5:$G$34,MATCH(B995,Entities!$A$5:$A$34,0))="Y","Y","N/A")))</f>
        <v>Y</v>
      </c>
      <c r="J995" s="8" t="s">
        <v>3210</v>
      </c>
      <c r="K995" s="8" t="s">
        <v>3207</v>
      </c>
      <c r="L995" s="7" t="str">
        <f aca="false">IF(OR(J995="",K995=""),"",IF(J995=K995,"Breach","OK"))</f>
        <v>OK</v>
      </c>
      <c r="M995" s="24" t="n">
        <v>1</v>
      </c>
      <c r="N995" s="50" t="n">
        <v>46249</v>
      </c>
      <c r="O995" s="8" t="s">
        <v>546</v>
      </c>
      <c r="P995" s="24" t="n">
        <v>25</v>
      </c>
      <c r="Q995" s="31" t="n">
        <f aca="false">IF(I995="N/A","",IFERROR(INDEX('Residual Config'!$B$35:$B$42,MATCH(H995,'Residual Config'!$A$35:$A$42,0)),""))</f>
        <v>25</v>
      </c>
      <c r="R995" s="24" t="n">
        <v>0</v>
      </c>
      <c r="S995" s="8" t="s">
        <v>516</v>
      </c>
      <c r="T995" s="31" t="n">
        <f aca="false">IF(S995="","",MATCH(S995,'Residual Config'!$L$9:$L$12,0))</f>
        <v>1</v>
      </c>
      <c r="U995" s="8" t="s">
        <v>3211</v>
      </c>
      <c r="V995" s="24" t="n">
        <v>5</v>
      </c>
      <c r="W995" s="33" t="s">
        <v>533</v>
      </c>
      <c r="X995" s="8" t="s">
        <v>754</v>
      </c>
      <c r="Y995" s="51" t="n">
        <f aca="false">IF(N995="","",EDATE(N995,IF(G995="N",INDEX('Residual Config'!$B$31:$D$31,1,MATCH(D995,'Residual Config'!$B$27:$D$27,0)),INDEX('Residual Config'!$B$28:$D$30,IF(T995=1,1,IF(T995=4,3,2)),MATCH(D995,'Residual Config'!$B$27:$D$27,0)))))</f>
        <v>46614</v>
      </c>
      <c r="Z995" s="7" t="str">
        <f aca="false">IF(I995="N/A","N/A",IF(N995="","Not tested",IF(W995="Rejected","Evidence rejected",IF(W995&lt;&gt;"Accepted","Evidence pending",IF(Y995&lt;'Residual Config'!$C$4,"Overdue","Current")))))</f>
        <v>Current</v>
      </c>
      <c r="AA995" s="34" t="n">
        <f aca="false">IF(I995="N/A","",IF(Z995&lt;&gt;"Current",4,IF(MAX(M995,T995)=0,4,MAX(M995,T995))))</f>
        <v>1</v>
      </c>
      <c r="AB995" s="7" t="str">
        <f aca="false">IF(AA995="","N/A",IF(Z995&lt;&gt;"Current","Not tested / overdue",INDEX('Residual Config'!$B$11:$B$14,AA995)))</f>
        <v>Effective</v>
      </c>
      <c r="AC995" s="36" t="n">
        <f aca="false">IF(AA995="","",INDEX('Residual Config'!$D$11:$D$14,AA995))</f>
        <v>0.6</v>
      </c>
      <c r="AD995" s="7" t="str">
        <f aca="false">IF(OR(I995="N/A",P995="",Q995=""),"",IF(P995&gt;=Q995,"Yes","No"))</f>
        <v>Yes</v>
      </c>
      <c r="AE995" s="8"/>
    </row>
    <row r="996" customFormat="false" ht="15" hidden="false" customHeight="false" outlineLevel="0" collapsed="false">
      <c r="A996" s="12" t="s">
        <v>3212</v>
      </c>
      <c r="B996" s="26" t="str">
        <f aca="false">Entities!$A$28</f>
        <v>DE</v>
      </c>
      <c r="C996" s="12" t="str">
        <f aca="false">INDEX(Entities!$B$5:$B$34,MATCH(B996,Entities!$A$5:$A$34,0))</f>
        <v>Arab Bank – Germany</v>
      </c>
      <c r="D996" s="7" t="str">
        <f aca="false">INDEX(Entities!$F$5:$F$34,MATCH(B996,Entities!$A$5:$A$34,0))</f>
        <v>Tier 3</v>
      </c>
      <c r="E996" s="26" t="str">
        <f aca="false">'Control Library'!$A$7</f>
        <v>CTL-KYC-03</v>
      </c>
      <c r="F996" s="12" t="str">
        <f aca="false">INDEX('Control Library'!$B$5:$B$47,MATCH(E996,'Control Library'!$A$5:$A$47,0))</f>
        <v>Ultimate beneficial owner identification and verification</v>
      </c>
      <c r="G996" s="7" t="str">
        <f aca="false">INDEX('Control Library'!$F$5:$F$47,MATCH(E996,'Control Library'!$A$5:$A$47,0))</f>
        <v>Y</v>
      </c>
      <c r="H996" s="12" t="str">
        <f aca="false">INDEX('Control Library'!$E$5:$E$47,MATCH(E996,'Control Library'!$A$5:$A$47,0))</f>
        <v>Event-driven</v>
      </c>
      <c r="I996" s="7" t="str">
        <f aca="false">IF(INDEX('Control Library'!$I$5:$I$47,MATCH(E996,'Control Library'!$A$5:$A$47,0))="All","Y",IF(INDEX('Control Library'!$I$5:$I$47,MATCH(E996,'Control Library'!$A$5:$A$47,0))="Banks only",IF(COUNTIF('Residual Config'!$L$28:$L$30,INDEX(Entities!$E$5:$E$34,MATCH(B996,Entities!$A$5:$A$34,0)))&gt;0,"N/A","Y"),IF(INDEX(Entities!$G$5:$G$34,MATCH(B996,Entities!$A$5:$A$34,0))="Y","Y","N/A")))</f>
        <v>Y</v>
      </c>
      <c r="J996" s="8" t="s">
        <v>3206</v>
      </c>
      <c r="K996" s="8" t="s">
        <v>3207</v>
      </c>
      <c r="L996" s="7" t="str">
        <f aca="false">IF(OR(J996="",K996=""),"",IF(J996=K996,"Breach","OK"))</f>
        <v>OK</v>
      </c>
      <c r="M996" s="24" t="n">
        <v>2</v>
      </c>
      <c r="N996" s="50" t="n">
        <v>46184</v>
      </c>
      <c r="O996" s="8" t="s">
        <v>545</v>
      </c>
      <c r="P996" s="24" t="n">
        <v>25</v>
      </c>
      <c r="Q996" s="31" t="n">
        <f aca="false">IF(I996="N/A","",IFERROR(INDEX('Residual Config'!$B$35:$B$42,MATCH(H996,'Residual Config'!$A$35:$A$42,0)),""))</f>
        <v>25</v>
      </c>
      <c r="R996" s="24" t="n">
        <v>0</v>
      </c>
      <c r="S996" s="8" t="s">
        <v>516</v>
      </c>
      <c r="T996" s="31" t="n">
        <f aca="false">IF(S996="","",MATCH(S996,'Residual Config'!$L$9:$L$12,0))</f>
        <v>1</v>
      </c>
      <c r="U996" s="8" t="s">
        <v>3213</v>
      </c>
      <c r="V996" s="24" t="n">
        <v>3</v>
      </c>
      <c r="W996" s="33" t="s">
        <v>533</v>
      </c>
      <c r="X996" s="8" t="s">
        <v>760</v>
      </c>
      <c r="Y996" s="51" t="n">
        <f aca="false">IF(N996="","",EDATE(N996,IF(G996="N",INDEX('Residual Config'!$B$31:$D$31,1,MATCH(D996,'Residual Config'!$B$27:$D$27,0)),INDEX('Residual Config'!$B$28:$D$30,IF(T996=1,1,IF(T996=4,3,2)),MATCH(D996,'Residual Config'!$B$27:$D$27,0)))))</f>
        <v>46549</v>
      </c>
      <c r="Z996" s="7" t="str">
        <f aca="false">IF(I996="N/A","N/A",IF(N996="","Not tested",IF(W996="Rejected","Evidence rejected",IF(W996&lt;&gt;"Accepted","Evidence pending",IF(Y996&lt;'Residual Config'!$C$4,"Overdue","Current")))))</f>
        <v>Current</v>
      </c>
      <c r="AA996" s="34" t="n">
        <f aca="false">IF(I996="N/A","",IF(Z996&lt;&gt;"Current",4,IF(MAX(M996,T996)=0,4,MAX(M996,T996))))</f>
        <v>2</v>
      </c>
      <c r="AB996" s="7" t="str">
        <f aca="false">IF(AA996="","N/A",IF(Z996&lt;&gt;"Current","Not tested / overdue",INDEX('Residual Config'!$B$11:$B$14,AA996)))</f>
        <v>Largely effective</v>
      </c>
      <c r="AC996" s="36" t="n">
        <f aca="false">IF(AA996="","",INDEX('Residual Config'!$D$11:$D$14,AA996))</f>
        <v>0.4</v>
      </c>
      <c r="AD996" s="7" t="str">
        <f aca="false">IF(OR(I996="N/A",P996="",Q996=""),"",IF(P996&gt;=Q996,"Yes","No"))</f>
        <v>Yes</v>
      </c>
      <c r="AE996" s="8"/>
    </row>
    <row r="997" customFormat="false" ht="15" hidden="false" customHeight="false" outlineLevel="0" collapsed="false">
      <c r="A997" s="12" t="s">
        <v>3214</v>
      </c>
      <c r="B997" s="26" t="str">
        <f aca="false">Entities!$A$28</f>
        <v>DE</v>
      </c>
      <c r="C997" s="12" t="str">
        <f aca="false">INDEX(Entities!$B$5:$B$34,MATCH(B997,Entities!$A$5:$A$34,0))</f>
        <v>Arab Bank – Germany</v>
      </c>
      <c r="D997" s="7" t="str">
        <f aca="false">INDEX(Entities!$F$5:$F$34,MATCH(B997,Entities!$A$5:$A$34,0))</f>
        <v>Tier 3</v>
      </c>
      <c r="E997" s="26" t="str">
        <f aca="false">'Control Library'!$A$8</f>
        <v>CTL-KYC-04</v>
      </c>
      <c r="F997" s="12" t="str">
        <f aca="false">INDEX('Control Library'!$B$5:$B$47,MATCH(E997,'Control Library'!$A$5:$A$47,0))</f>
        <v>Periodic KYC review by customer risk rating</v>
      </c>
      <c r="G997" s="7" t="str">
        <f aca="false">INDEX('Control Library'!$F$5:$F$47,MATCH(E997,'Control Library'!$A$5:$A$47,0))</f>
        <v>Y</v>
      </c>
      <c r="H997" s="12" t="str">
        <f aca="false">INDEX('Control Library'!$E$5:$E$47,MATCH(E997,'Control Library'!$A$5:$A$47,0))</f>
        <v>Monthly</v>
      </c>
      <c r="I997" s="7" t="str">
        <f aca="false">IF(INDEX('Control Library'!$I$5:$I$47,MATCH(E997,'Control Library'!$A$5:$A$47,0))="All","Y",IF(INDEX('Control Library'!$I$5:$I$47,MATCH(E997,'Control Library'!$A$5:$A$47,0))="Banks only",IF(COUNTIF('Residual Config'!$L$28:$L$30,INDEX(Entities!$E$5:$E$34,MATCH(B997,Entities!$A$5:$A$34,0)))&gt;0,"N/A","Y"),IF(INDEX(Entities!$G$5:$G$34,MATCH(B997,Entities!$A$5:$A$34,0))="Y","Y","N/A")))</f>
        <v>Y</v>
      </c>
      <c r="J997" s="8" t="s">
        <v>3206</v>
      </c>
      <c r="K997" s="8" t="s">
        <v>3207</v>
      </c>
      <c r="L997" s="7" t="str">
        <f aca="false">IF(OR(J997="",K997=""),"",IF(J997=K997,"Breach","OK"))</f>
        <v>OK</v>
      </c>
      <c r="M997" s="24" t="n">
        <v>1</v>
      </c>
      <c r="N997" s="50" t="n">
        <v>46139</v>
      </c>
      <c r="O997" s="8" t="s">
        <v>546</v>
      </c>
      <c r="P997" s="24" t="n">
        <v>3</v>
      </c>
      <c r="Q997" s="31" t="n">
        <f aca="false">IF(I997="N/A","",IFERROR(INDEX('Residual Config'!$B$35:$B$42,MATCH(H997,'Residual Config'!$A$35:$A$42,0)),""))</f>
        <v>3</v>
      </c>
      <c r="R997" s="24" t="n">
        <v>0</v>
      </c>
      <c r="S997" s="8" t="s">
        <v>516</v>
      </c>
      <c r="T997" s="31" t="n">
        <f aca="false">IF(S997="","",MATCH(S997,'Residual Config'!$L$9:$L$12,0))</f>
        <v>1</v>
      </c>
      <c r="U997" s="8" t="s">
        <v>3215</v>
      </c>
      <c r="V997" s="24" t="n">
        <v>6</v>
      </c>
      <c r="W997" s="33" t="s">
        <v>533</v>
      </c>
      <c r="X997" s="8" t="s">
        <v>760</v>
      </c>
      <c r="Y997" s="51" t="n">
        <f aca="false">IF(N997="","",EDATE(N997,IF(G997="N",INDEX('Residual Config'!$B$31:$D$31,1,MATCH(D997,'Residual Config'!$B$27:$D$27,0)),INDEX('Residual Config'!$B$28:$D$30,IF(T997=1,1,IF(T997=4,3,2)),MATCH(D997,'Residual Config'!$B$27:$D$27,0)))))</f>
        <v>46504</v>
      </c>
      <c r="Z997" s="7" t="str">
        <f aca="false">IF(I997="N/A","N/A",IF(N997="","Not tested",IF(W997="Rejected","Evidence rejected",IF(W997&lt;&gt;"Accepted","Evidence pending",IF(Y997&lt;'Residual Config'!$C$4,"Overdue","Current")))))</f>
        <v>Current</v>
      </c>
      <c r="AA997" s="34" t="n">
        <f aca="false">IF(I997="N/A","",IF(Z997&lt;&gt;"Current",4,IF(MAX(M997,T997)=0,4,MAX(M997,T997))))</f>
        <v>1</v>
      </c>
      <c r="AB997" s="7" t="str">
        <f aca="false">IF(AA997="","N/A",IF(Z997&lt;&gt;"Current","Not tested / overdue",INDEX('Residual Config'!$B$11:$B$14,AA997)))</f>
        <v>Effective</v>
      </c>
      <c r="AC997" s="36" t="n">
        <f aca="false">IF(AA997="","",INDEX('Residual Config'!$D$11:$D$14,AA997))</f>
        <v>0.6</v>
      </c>
      <c r="AD997" s="7" t="str">
        <f aca="false">IF(OR(I997="N/A",P997="",Q997=""),"",IF(P997&gt;=Q997,"Yes","No"))</f>
        <v>Yes</v>
      </c>
      <c r="AE997" s="8"/>
    </row>
    <row r="998" customFormat="false" ht="15" hidden="false" customHeight="false" outlineLevel="0" collapsed="false">
      <c r="A998" s="12" t="s">
        <v>3216</v>
      </c>
      <c r="B998" s="26" t="str">
        <f aca="false">Entities!$A$28</f>
        <v>DE</v>
      </c>
      <c r="C998" s="12" t="str">
        <f aca="false">INDEX(Entities!$B$5:$B$34,MATCH(B998,Entities!$A$5:$A$34,0))</f>
        <v>Arab Bank – Germany</v>
      </c>
      <c r="D998" s="7" t="str">
        <f aca="false">INDEX(Entities!$F$5:$F$34,MATCH(B998,Entities!$A$5:$A$34,0))</f>
        <v>Tier 3</v>
      </c>
      <c r="E998" s="26" t="str">
        <f aca="false">'Control Library'!$A$9</f>
        <v>CTL-CRR-01</v>
      </c>
      <c r="F998" s="12" t="str">
        <f aca="false">INDEX('Control Library'!$B$5:$B$47,MATCH(E998,'Control Library'!$A$5:$A$47,0))</f>
        <v>Customer risk rating model and annual validation</v>
      </c>
      <c r="G998" s="7" t="str">
        <f aca="false">INDEX('Control Library'!$F$5:$F$47,MATCH(E998,'Control Library'!$A$5:$A$47,0))</f>
        <v>N</v>
      </c>
      <c r="H998" s="12" t="str">
        <f aca="false">INDEX('Control Library'!$E$5:$E$47,MATCH(E998,'Control Library'!$A$5:$A$47,0))</f>
        <v>Annual</v>
      </c>
      <c r="I998" s="7" t="str">
        <f aca="false">IF(INDEX('Control Library'!$I$5:$I$47,MATCH(E998,'Control Library'!$A$5:$A$47,0))="All","Y",IF(INDEX('Control Library'!$I$5:$I$47,MATCH(E998,'Control Library'!$A$5:$A$47,0))="Banks only",IF(COUNTIF('Residual Config'!$L$28:$L$30,INDEX(Entities!$E$5:$E$34,MATCH(B998,Entities!$A$5:$A$34,0)))&gt;0,"N/A","Y"),IF(INDEX(Entities!$G$5:$G$34,MATCH(B998,Entities!$A$5:$A$34,0))="Y","Y","N/A")))</f>
        <v>Y</v>
      </c>
      <c r="J998" s="8" t="s">
        <v>3210</v>
      </c>
      <c r="K998" s="8" t="s">
        <v>3207</v>
      </c>
      <c r="L998" s="7" t="str">
        <f aca="false">IF(OR(J998="",K998=""),"",IF(J998=K998,"Breach","OK"))</f>
        <v>OK</v>
      </c>
      <c r="M998" s="24" t="n">
        <v>1</v>
      </c>
      <c r="N998" s="50" t="n">
        <v>46107</v>
      </c>
      <c r="O998" s="8" t="s">
        <v>547</v>
      </c>
      <c r="P998" s="24" t="n">
        <v>1</v>
      </c>
      <c r="Q998" s="31" t="n">
        <f aca="false">IF(I998="N/A","",IFERROR(INDEX('Residual Config'!$B$35:$B$42,MATCH(H998,'Residual Config'!$A$35:$A$42,0)),""))</f>
        <v>1</v>
      </c>
      <c r="R998" s="24" t="n">
        <v>0</v>
      </c>
      <c r="S998" s="8" t="s">
        <v>516</v>
      </c>
      <c r="T998" s="31" t="n">
        <f aca="false">IF(S998="","",MATCH(S998,'Residual Config'!$L$9:$L$12,0))</f>
        <v>1</v>
      </c>
      <c r="U998" s="8" t="s">
        <v>3217</v>
      </c>
      <c r="V998" s="24" t="n">
        <v>5</v>
      </c>
      <c r="W998" s="33" t="s">
        <v>533</v>
      </c>
      <c r="X998" s="8" t="s">
        <v>760</v>
      </c>
      <c r="Y998" s="51" t="n">
        <f aca="false">IF(N998="","",EDATE(N998,IF(G998="N",INDEX('Residual Config'!$B$31:$D$31,1,MATCH(D998,'Residual Config'!$B$27:$D$27,0)),INDEX('Residual Config'!$B$28:$D$30,IF(T998=1,1,IF(T998=4,3,2)),MATCH(D998,'Residual Config'!$B$27:$D$27,0)))))</f>
        <v>46838</v>
      </c>
      <c r="Z998" s="7" t="str">
        <f aca="false">IF(I998="N/A","N/A",IF(N998="","Not tested",IF(W998="Rejected","Evidence rejected",IF(W998&lt;&gt;"Accepted","Evidence pending",IF(Y998&lt;'Residual Config'!$C$4,"Overdue","Current")))))</f>
        <v>Current</v>
      </c>
      <c r="AA998" s="34" t="n">
        <f aca="false">IF(I998="N/A","",IF(Z998&lt;&gt;"Current",4,IF(MAX(M998,T998)=0,4,MAX(M998,T998))))</f>
        <v>1</v>
      </c>
      <c r="AB998" s="7" t="str">
        <f aca="false">IF(AA998="","N/A",IF(Z998&lt;&gt;"Current","Not tested / overdue",INDEX('Residual Config'!$B$11:$B$14,AA998)))</f>
        <v>Effective</v>
      </c>
      <c r="AC998" s="36" t="n">
        <f aca="false">IF(AA998="","",INDEX('Residual Config'!$D$11:$D$14,AA998))</f>
        <v>0.6</v>
      </c>
      <c r="AD998" s="7" t="str">
        <f aca="false">IF(OR(I998="N/A",P998="",Q998=""),"",IF(P998&gt;=Q998,"Yes","No"))</f>
        <v>Yes</v>
      </c>
      <c r="AE998" s="8"/>
    </row>
    <row r="999" customFormat="false" ht="15" hidden="false" customHeight="false" outlineLevel="0" collapsed="false">
      <c r="A999" s="12" t="s">
        <v>3218</v>
      </c>
      <c r="B999" s="26" t="str">
        <f aca="false">Entities!$A$28</f>
        <v>DE</v>
      </c>
      <c r="C999" s="12" t="str">
        <f aca="false">INDEX(Entities!$B$5:$B$34,MATCH(B999,Entities!$A$5:$A$34,0))</f>
        <v>Arab Bank – Germany</v>
      </c>
      <c r="D999" s="7" t="str">
        <f aca="false">INDEX(Entities!$F$5:$F$34,MATCH(B999,Entities!$A$5:$A$34,0))</f>
        <v>Tier 3</v>
      </c>
      <c r="E999" s="26" t="str">
        <f aca="false">'Control Library'!$A$10</f>
        <v>CTL-TM-01</v>
      </c>
      <c r="F999" s="12" t="str">
        <f aca="false">INDEX('Control Library'!$B$5:$B$47,MATCH(E999,'Control Library'!$A$5:$A$47,0))</f>
        <v>Automated transaction monitoring scenarios and annual tuning</v>
      </c>
      <c r="G999" s="7" t="str">
        <f aca="false">INDEX('Control Library'!$F$5:$F$47,MATCH(E999,'Control Library'!$A$5:$A$47,0))</f>
        <v>Y</v>
      </c>
      <c r="H999" s="12" t="str">
        <f aca="false">INDEX('Control Library'!$E$5:$E$47,MATCH(E999,'Control Library'!$A$5:$A$47,0))</f>
        <v>Continuous</v>
      </c>
      <c r="I999" s="7" t="str">
        <f aca="false">IF(INDEX('Control Library'!$I$5:$I$47,MATCH(E999,'Control Library'!$A$5:$A$47,0))="All","Y",IF(INDEX('Control Library'!$I$5:$I$47,MATCH(E999,'Control Library'!$A$5:$A$47,0))="Banks only",IF(COUNTIF('Residual Config'!$L$28:$L$30,INDEX(Entities!$E$5:$E$34,MATCH(B999,Entities!$A$5:$A$34,0)))&gt;0,"N/A","Y"),IF(INDEX(Entities!$G$5:$G$34,MATCH(B999,Entities!$A$5:$A$34,0))="Y","Y","N/A")))</f>
        <v>Y</v>
      </c>
      <c r="J999" s="8" t="s">
        <v>3219</v>
      </c>
      <c r="K999" s="8" t="s">
        <v>3207</v>
      </c>
      <c r="L999" s="7" t="str">
        <f aca="false">IF(OR(J999="",K999=""),"",IF(J999=K999,"Breach","OK"))</f>
        <v>OK</v>
      </c>
      <c r="M999" s="24" t="n">
        <v>1</v>
      </c>
      <c r="N999" s="50" t="n">
        <v>46111</v>
      </c>
      <c r="O999" s="8" t="s">
        <v>546</v>
      </c>
      <c r="P999" s="24" t="n">
        <v>1</v>
      </c>
      <c r="Q999" s="31" t="n">
        <f aca="false">IF(I999="N/A","",IFERROR(INDEX('Residual Config'!$B$35:$B$42,MATCH(H999,'Residual Config'!$A$35:$A$42,0)),""))</f>
        <v>1</v>
      </c>
      <c r="R999" s="24" t="n">
        <v>0</v>
      </c>
      <c r="S999" s="8" t="s">
        <v>516</v>
      </c>
      <c r="T999" s="31" t="n">
        <f aca="false">IF(S999="","",MATCH(S999,'Residual Config'!$L$9:$L$12,0))</f>
        <v>1</v>
      </c>
      <c r="U999" s="8" t="s">
        <v>3220</v>
      </c>
      <c r="V999" s="24" t="n">
        <v>1</v>
      </c>
      <c r="W999" s="33" t="s">
        <v>533</v>
      </c>
      <c r="X999" s="8" t="s">
        <v>760</v>
      </c>
      <c r="Y999" s="51" t="n">
        <f aca="false">IF(N999="","",EDATE(N999,IF(G999="N",INDEX('Residual Config'!$B$31:$D$31,1,MATCH(D999,'Residual Config'!$B$27:$D$27,0)),INDEX('Residual Config'!$B$28:$D$30,IF(T999=1,1,IF(T999=4,3,2)),MATCH(D999,'Residual Config'!$B$27:$D$27,0)))))</f>
        <v>46476</v>
      </c>
      <c r="Z999" s="7" t="str">
        <f aca="false">IF(I999="N/A","N/A",IF(N999="","Not tested",IF(W999="Rejected","Evidence rejected",IF(W999&lt;&gt;"Accepted","Evidence pending",IF(Y999&lt;'Residual Config'!$C$4,"Overdue","Current")))))</f>
        <v>Current</v>
      </c>
      <c r="AA999" s="34" t="n">
        <f aca="false">IF(I999="N/A","",IF(Z999&lt;&gt;"Current",4,IF(MAX(M999,T999)=0,4,MAX(M999,T999))))</f>
        <v>1</v>
      </c>
      <c r="AB999" s="7" t="str">
        <f aca="false">IF(AA999="","N/A",IF(Z999&lt;&gt;"Current","Not tested / overdue",INDEX('Residual Config'!$B$11:$B$14,AA999)))</f>
        <v>Effective</v>
      </c>
      <c r="AC999" s="36" t="n">
        <f aca="false">IF(AA999="","",INDEX('Residual Config'!$D$11:$D$14,AA999))</f>
        <v>0.6</v>
      </c>
      <c r="AD999" s="7" t="str">
        <f aca="false">IF(OR(I999="N/A",P999="",Q999=""),"",IF(P999&gt;=Q999,"Yes","No"))</f>
        <v>Yes</v>
      </c>
      <c r="AE999" s="8"/>
    </row>
    <row r="1000" customFormat="false" ht="15" hidden="false" customHeight="false" outlineLevel="0" collapsed="false">
      <c r="A1000" s="12" t="s">
        <v>3221</v>
      </c>
      <c r="B1000" s="26" t="str">
        <f aca="false">Entities!$A$28</f>
        <v>DE</v>
      </c>
      <c r="C1000" s="12" t="str">
        <f aca="false">INDEX(Entities!$B$5:$B$34,MATCH(B1000,Entities!$A$5:$A$34,0))</f>
        <v>Arab Bank – Germany</v>
      </c>
      <c r="D1000" s="7" t="str">
        <f aca="false">INDEX(Entities!$F$5:$F$34,MATCH(B1000,Entities!$A$5:$A$34,0))</f>
        <v>Tier 3</v>
      </c>
      <c r="E1000" s="26" t="str">
        <f aca="false">'Control Library'!$A$11</f>
        <v>CTL-TM-02</v>
      </c>
      <c r="F1000" s="12" t="str">
        <f aca="false">INDEX('Control Library'!$B$5:$B$47,MATCH(E1000,'Control Library'!$A$5:$A$47,0))</f>
        <v>Alert investigation and quality assurance within SLA</v>
      </c>
      <c r="G1000" s="7" t="str">
        <f aca="false">INDEX('Control Library'!$F$5:$F$47,MATCH(E1000,'Control Library'!$A$5:$A$47,0))</f>
        <v>Y</v>
      </c>
      <c r="H1000" s="12" t="str">
        <f aca="false">INDEX('Control Library'!$E$5:$E$47,MATCH(E1000,'Control Library'!$A$5:$A$47,0))</f>
        <v>Daily</v>
      </c>
      <c r="I1000" s="7" t="str">
        <f aca="false">IF(INDEX('Control Library'!$I$5:$I$47,MATCH(E1000,'Control Library'!$A$5:$A$47,0))="All","Y",IF(INDEX('Control Library'!$I$5:$I$47,MATCH(E1000,'Control Library'!$A$5:$A$47,0))="Banks only",IF(COUNTIF('Residual Config'!$L$28:$L$30,INDEX(Entities!$E$5:$E$34,MATCH(B1000,Entities!$A$5:$A$34,0)))&gt;0,"N/A","Y"),IF(INDEX(Entities!$G$5:$G$34,MATCH(B1000,Entities!$A$5:$A$34,0))="Y","Y","N/A")))</f>
        <v>Y</v>
      </c>
      <c r="J1000" s="8" t="s">
        <v>3219</v>
      </c>
      <c r="K1000" s="8" t="s">
        <v>3207</v>
      </c>
      <c r="L1000" s="7" t="str">
        <f aca="false">IF(OR(J1000="",K1000=""),"",IF(J1000=K1000,"Breach","OK"))</f>
        <v>OK</v>
      </c>
      <c r="M1000" s="24" t="n">
        <v>2</v>
      </c>
      <c r="N1000" s="50" t="n">
        <v>46260</v>
      </c>
      <c r="O1000" s="8" t="s">
        <v>545</v>
      </c>
      <c r="P1000" s="24" t="n">
        <v>25</v>
      </c>
      <c r="Q1000" s="31" t="n">
        <f aca="false">IF(I1000="N/A","",IFERROR(INDEX('Residual Config'!$B$35:$B$42,MATCH(H1000,'Residual Config'!$A$35:$A$42,0)),""))</f>
        <v>25</v>
      </c>
      <c r="R1000" s="24" t="n">
        <v>1</v>
      </c>
      <c r="S1000" s="8" t="s">
        <v>521</v>
      </c>
      <c r="T1000" s="31" t="n">
        <f aca="false">IF(S1000="","",MATCH(S1000,'Residual Config'!$L$9:$L$12,0))</f>
        <v>2</v>
      </c>
      <c r="U1000" s="8" t="s">
        <v>3222</v>
      </c>
      <c r="V1000" s="24" t="n">
        <v>3</v>
      </c>
      <c r="W1000" s="33" t="s">
        <v>533</v>
      </c>
      <c r="X1000" s="8" t="s">
        <v>760</v>
      </c>
      <c r="Y1000" s="51" t="n">
        <f aca="false">IF(N1000="","",EDATE(N1000,IF(G1000="N",INDEX('Residual Config'!$B$31:$D$31,1,MATCH(D1000,'Residual Config'!$B$27:$D$27,0)),INDEX('Residual Config'!$B$28:$D$30,IF(T1000=1,1,IF(T1000=4,3,2)),MATCH(D1000,'Residual Config'!$B$27:$D$27,0)))))</f>
        <v>46444</v>
      </c>
      <c r="Z1000" s="7" t="str">
        <f aca="false">IF(I1000="N/A","N/A",IF(N1000="","Not tested",IF(W1000="Rejected","Evidence rejected",IF(W1000&lt;&gt;"Accepted","Evidence pending",IF(Y1000&lt;'Residual Config'!$C$4,"Overdue","Current")))))</f>
        <v>Current</v>
      </c>
      <c r="AA1000" s="34" t="n">
        <f aca="false">IF(I1000="N/A","",IF(Z1000&lt;&gt;"Current",4,IF(MAX(M1000,T1000)=0,4,MAX(M1000,T1000))))</f>
        <v>2</v>
      </c>
      <c r="AB1000" s="7" t="str">
        <f aca="false">IF(AA1000="","N/A",IF(Z1000&lt;&gt;"Current","Not tested / overdue",INDEX('Residual Config'!$B$11:$B$14,AA1000)))</f>
        <v>Largely effective</v>
      </c>
      <c r="AC1000" s="36" t="n">
        <f aca="false">IF(AA1000="","",INDEX('Residual Config'!$D$11:$D$14,AA1000))</f>
        <v>0.4</v>
      </c>
      <c r="AD1000" s="7" t="str">
        <f aca="false">IF(OR(I1000="N/A",P1000="",Q1000=""),"",IF(P1000&gt;=Q1000,"Yes","No"))</f>
        <v>Yes</v>
      </c>
      <c r="AE1000" s="8"/>
    </row>
    <row r="1001" customFormat="false" ht="15" hidden="false" customHeight="false" outlineLevel="0" collapsed="false">
      <c r="A1001" s="12" t="s">
        <v>3223</v>
      </c>
      <c r="B1001" s="26" t="str">
        <f aca="false">Entities!$A$28</f>
        <v>DE</v>
      </c>
      <c r="C1001" s="12" t="str">
        <f aca="false">INDEX(Entities!$B$5:$B$34,MATCH(B1001,Entities!$A$5:$A$34,0))</f>
        <v>Arab Bank – Germany</v>
      </c>
      <c r="D1001" s="7" t="str">
        <f aca="false">INDEX(Entities!$F$5:$F$34,MATCH(B1001,Entities!$A$5:$A$34,0))</f>
        <v>Tier 3</v>
      </c>
      <c r="E1001" s="26" t="str">
        <f aca="false">'Control Library'!$A$12</f>
        <v>CTL-STR-01</v>
      </c>
      <c r="F1001" s="12" t="str">
        <f aca="false">INDEX('Control Library'!$B$5:$B$47,MATCH(E1001,'Control Library'!$A$5:$A$47,0))</f>
        <v>STR decision and filing within regulatory deadline</v>
      </c>
      <c r="G1001" s="7" t="str">
        <f aca="false">INDEX('Control Library'!$F$5:$F$47,MATCH(E1001,'Control Library'!$A$5:$A$47,0))</f>
        <v>Y</v>
      </c>
      <c r="H1001" s="12" t="str">
        <f aca="false">INDEX('Control Library'!$E$5:$E$47,MATCH(E1001,'Control Library'!$A$5:$A$47,0))</f>
        <v>Event-driven</v>
      </c>
      <c r="I1001" s="7" t="str">
        <f aca="false">IF(INDEX('Control Library'!$I$5:$I$47,MATCH(E1001,'Control Library'!$A$5:$A$47,0))="All","Y",IF(INDEX('Control Library'!$I$5:$I$47,MATCH(E1001,'Control Library'!$A$5:$A$47,0))="Banks only",IF(COUNTIF('Residual Config'!$L$28:$L$30,INDEX(Entities!$E$5:$E$34,MATCH(B1001,Entities!$A$5:$A$34,0)))&gt;0,"N/A","Y"),IF(INDEX(Entities!$G$5:$G$34,MATCH(B1001,Entities!$A$5:$A$34,0))="Y","Y","N/A")))</f>
        <v>Y</v>
      </c>
      <c r="J1001" s="8" t="s">
        <v>3219</v>
      </c>
      <c r="K1001" s="8" t="s">
        <v>3207</v>
      </c>
      <c r="L1001" s="7" t="str">
        <f aca="false">IF(OR(J1001="",K1001=""),"",IF(J1001=K1001,"Breach","OK"))</f>
        <v>OK</v>
      </c>
      <c r="M1001" s="24" t="n">
        <v>1</v>
      </c>
      <c r="N1001" s="50" t="n">
        <v>46194</v>
      </c>
      <c r="O1001" s="8" t="s">
        <v>545</v>
      </c>
      <c r="P1001" s="24" t="n">
        <v>35</v>
      </c>
      <c r="Q1001" s="31" t="n">
        <f aca="false">IF(I1001="N/A","",IFERROR(INDEX('Residual Config'!$B$35:$B$42,MATCH(H1001,'Residual Config'!$A$35:$A$42,0)),""))</f>
        <v>25</v>
      </c>
      <c r="R1001" s="24" t="n">
        <v>0</v>
      </c>
      <c r="S1001" s="8" t="s">
        <v>516</v>
      </c>
      <c r="T1001" s="31" t="n">
        <f aca="false">IF(S1001="","",MATCH(S1001,'Residual Config'!$L$9:$L$12,0))</f>
        <v>1</v>
      </c>
      <c r="U1001" s="8" t="s">
        <v>3224</v>
      </c>
      <c r="V1001" s="24" t="n">
        <v>2</v>
      </c>
      <c r="W1001" s="33" t="s">
        <v>533</v>
      </c>
      <c r="X1001" s="8" t="s">
        <v>760</v>
      </c>
      <c r="Y1001" s="51" t="n">
        <f aca="false">IF(N1001="","",EDATE(N1001,IF(G1001="N",INDEX('Residual Config'!$B$31:$D$31,1,MATCH(D1001,'Residual Config'!$B$27:$D$27,0)),INDEX('Residual Config'!$B$28:$D$30,IF(T1001=1,1,IF(T1001=4,3,2)),MATCH(D1001,'Residual Config'!$B$27:$D$27,0)))))</f>
        <v>46559</v>
      </c>
      <c r="Z1001" s="7" t="str">
        <f aca="false">IF(I1001="N/A","N/A",IF(N1001="","Not tested",IF(W1001="Rejected","Evidence rejected",IF(W1001&lt;&gt;"Accepted","Evidence pending",IF(Y1001&lt;'Residual Config'!$C$4,"Overdue","Current")))))</f>
        <v>Current</v>
      </c>
      <c r="AA1001" s="34" t="n">
        <f aca="false">IF(I1001="N/A","",IF(Z1001&lt;&gt;"Current",4,IF(MAX(M1001,T1001)=0,4,MAX(M1001,T1001))))</f>
        <v>1</v>
      </c>
      <c r="AB1001" s="7" t="str">
        <f aca="false">IF(AA1001="","N/A",IF(Z1001&lt;&gt;"Current","Not tested / overdue",INDEX('Residual Config'!$B$11:$B$14,AA1001)))</f>
        <v>Effective</v>
      </c>
      <c r="AC1001" s="36" t="n">
        <f aca="false">IF(AA1001="","",INDEX('Residual Config'!$D$11:$D$14,AA1001))</f>
        <v>0.6</v>
      </c>
      <c r="AD1001" s="7" t="str">
        <f aca="false">IF(OR(I1001="N/A",P1001="",Q1001=""),"",IF(P1001&gt;=Q1001,"Yes","No"))</f>
        <v>Yes</v>
      </c>
      <c r="AE1001" s="8"/>
    </row>
    <row r="1002" customFormat="false" ht="15" hidden="false" customHeight="false" outlineLevel="0" collapsed="false">
      <c r="A1002" s="12" t="s">
        <v>3225</v>
      </c>
      <c r="B1002" s="26" t="str">
        <f aca="false">Entities!$A$28</f>
        <v>DE</v>
      </c>
      <c r="C1002" s="12" t="str">
        <f aca="false">INDEX(Entities!$B$5:$B$34,MATCH(B1002,Entities!$A$5:$A$34,0))</f>
        <v>Arab Bank – Germany</v>
      </c>
      <c r="D1002" s="7" t="str">
        <f aca="false">INDEX(Entities!$F$5:$F$34,MATCH(B1002,Entities!$A$5:$A$34,0))</f>
        <v>Tier 3</v>
      </c>
      <c r="E1002" s="26" t="str">
        <f aca="false">'Control Library'!$A$13</f>
        <v>CTL-SAN-01</v>
      </c>
      <c r="F1002" s="12" t="str">
        <f aca="false">INDEX('Control Library'!$B$5:$B$47,MATCH(E1002,'Control Library'!$A$5:$A$47,0))</f>
        <v>Real-time payment and transaction sanctions screening</v>
      </c>
      <c r="G1002" s="7" t="str">
        <f aca="false">INDEX('Control Library'!$F$5:$F$47,MATCH(E1002,'Control Library'!$A$5:$A$47,0))</f>
        <v>Y</v>
      </c>
      <c r="H1002" s="12" t="str">
        <f aca="false">INDEX('Control Library'!$E$5:$E$47,MATCH(E1002,'Control Library'!$A$5:$A$47,0))</f>
        <v>Continuous</v>
      </c>
      <c r="I1002" s="7" t="str">
        <f aca="false">IF(INDEX('Control Library'!$I$5:$I$47,MATCH(E1002,'Control Library'!$A$5:$A$47,0))="All","Y",IF(INDEX('Control Library'!$I$5:$I$47,MATCH(E1002,'Control Library'!$A$5:$A$47,0))="Banks only",IF(COUNTIF('Residual Config'!$L$28:$L$30,INDEX(Entities!$E$5:$E$34,MATCH(B1002,Entities!$A$5:$A$34,0)))&gt;0,"N/A","Y"),IF(INDEX(Entities!$G$5:$G$34,MATCH(B1002,Entities!$A$5:$A$34,0))="Y","Y","N/A")))</f>
        <v>Y</v>
      </c>
      <c r="J1002" s="8" t="s">
        <v>3226</v>
      </c>
      <c r="K1002" s="8" t="s">
        <v>3207</v>
      </c>
      <c r="L1002" s="7" t="str">
        <f aca="false">IF(OR(J1002="",K1002=""),"",IF(J1002=K1002,"Breach","OK"))</f>
        <v>OK</v>
      </c>
      <c r="M1002" s="24" t="n">
        <v>2</v>
      </c>
      <c r="N1002" s="50" t="n">
        <v>46081</v>
      </c>
      <c r="O1002" s="8" t="s">
        <v>546</v>
      </c>
      <c r="P1002" s="24" t="n">
        <v>1</v>
      </c>
      <c r="Q1002" s="31" t="n">
        <f aca="false">IF(I1002="N/A","",IFERROR(INDEX('Residual Config'!$B$35:$B$42,MATCH(H1002,'Residual Config'!$A$35:$A$42,0)),""))</f>
        <v>1</v>
      </c>
      <c r="R1002" s="24" t="n">
        <v>0</v>
      </c>
      <c r="S1002" s="8" t="s">
        <v>516</v>
      </c>
      <c r="T1002" s="31" t="n">
        <f aca="false">IF(S1002="","",MATCH(S1002,'Residual Config'!$L$9:$L$12,0))</f>
        <v>1</v>
      </c>
      <c r="U1002" s="8" t="s">
        <v>3227</v>
      </c>
      <c r="V1002" s="24" t="n">
        <v>6</v>
      </c>
      <c r="W1002" s="33" t="s">
        <v>533</v>
      </c>
      <c r="X1002" s="8" t="s">
        <v>760</v>
      </c>
      <c r="Y1002" s="51" t="n">
        <f aca="false">IF(N1002="","",EDATE(N1002,IF(G1002="N",INDEX('Residual Config'!$B$31:$D$31,1,MATCH(D1002,'Residual Config'!$B$27:$D$27,0)),INDEX('Residual Config'!$B$28:$D$30,IF(T1002=1,1,IF(T1002=4,3,2)),MATCH(D1002,'Residual Config'!$B$27:$D$27,0)))))</f>
        <v>46446</v>
      </c>
      <c r="Z1002" s="7" t="str">
        <f aca="false">IF(I1002="N/A","N/A",IF(N1002="","Not tested",IF(W1002="Rejected","Evidence rejected",IF(W1002&lt;&gt;"Accepted","Evidence pending",IF(Y1002&lt;'Residual Config'!$C$4,"Overdue","Current")))))</f>
        <v>Current</v>
      </c>
      <c r="AA1002" s="34" t="n">
        <f aca="false">IF(I1002="N/A","",IF(Z1002&lt;&gt;"Current",4,IF(MAX(M1002,T1002)=0,4,MAX(M1002,T1002))))</f>
        <v>2</v>
      </c>
      <c r="AB1002" s="7" t="str">
        <f aca="false">IF(AA1002="","N/A",IF(Z1002&lt;&gt;"Current","Not tested / overdue",INDEX('Residual Config'!$B$11:$B$14,AA1002)))</f>
        <v>Largely effective</v>
      </c>
      <c r="AC1002" s="36" t="n">
        <f aca="false">IF(AA1002="","",INDEX('Residual Config'!$D$11:$D$14,AA1002))</f>
        <v>0.4</v>
      </c>
      <c r="AD1002" s="7" t="str">
        <f aca="false">IF(OR(I1002="N/A",P1002="",Q1002=""),"",IF(P1002&gt;=Q1002,"Yes","No"))</f>
        <v>Yes</v>
      </c>
      <c r="AE1002" s="8"/>
    </row>
    <row r="1003" customFormat="false" ht="15" hidden="false" customHeight="false" outlineLevel="0" collapsed="false">
      <c r="A1003" s="12" t="s">
        <v>3228</v>
      </c>
      <c r="B1003" s="26" t="str">
        <f aca="false">Entities!$A$28</f>
        <v>DE</v>
      </c>
      <c r="C1003" s="12" t="str">
        <f aca="false">INDEX(Entities!$B$5:$B$34,MATCH(B1003,Entities!$A$5:$A$34,0))</f>
        <v>Arab Bank – Germany</v>
      </c>
      <c r="D1003" s="7" t="str">
        <f aca="false">INDEX(Entities!$F$5:$F$34,MATCH(B1003,Entities!$A$5:$A$34,0))</f>
        <v>Tier 3</v>
      </c>
      <c r="E1003" s="26" t="str">
        <f aca="false">'Control Library'!$A$14</f>
        <v>CTL-SAN-02</v>
      </c>
      <c r="F1003" s="12" t="str">
        <f aca="false">INDEX('Control Library'!$B$5:$B$47,MATCH(E1003,'Control Library'!$A$5:$A$47,0))</f>
        <v>Customer and counterparty screening at onboarding and on list change</v>
      </c>
      <c r="G1003" s="7" t="str">
        <f aca="false">INDEX('Control Library'!$F$5:$F$47,MATCH(E1003,'Control Library'!$A$5:$A$47,0))</f>
        <v>Y</v>
      </c>
      <c r="H1003" s="12" t="str">
        <f aca="false">INDEX('Control Library'!$E$5:$E$47,MATCH(E1003,'Control Library'!$A$5:$A$47,0))</f>
        <v>Continuous</v>
      </c>
      <c r="I1003" s="7" t="str">
        <f aca="false">IF(INDEX('Control Library'!$I$5:$I$47,MATCH(E1003,'Control Library'!$A$5:$A$47,0))="All","Y",IF(INDEX('Control Library'!$I$5:$I$47,MATCH(E1003,'Control Library'!$A$5:$A$47,0))="Banks only",IF(COUNTIF('Residual Config'!$L$28:$L$30,INDEX(Entities!$E$5:$E$34,MATCH(B1003,Entities!$A$5:$A$34,0)))&gt;0,"N/A","Y"),IF(INDEX(Entities!$G$5:$G$34,MATCH(B1003,Entities!$A$5:$A$34,0))="Y","Y","N/A")))</f>
        <v>Y</v>
      </c>
      <c r="J1003" s="8" t="s">
        <v>3226</v>
      </c>
      <c r="K1003" s="8" t="s">
        <v>3207</v>
      </c>
      <c r="L1003" s="7" t="str">
        <f aca="false">IF(OR(J1003="",K1003=""),"",IF(J1003=K1003,"Breach","OK"))</f>
        <v>OK</v>
      </c>
      <c r="M1003" s="24" t="n">
        <v>1</v>
      </c>
      <c r="N1003" s="50" t="n">
        <v>46228</v>
      </c>
      <c r="O1003" s="8" t="s">
        <v>546</v>
      </c>
      <c r="P1003" s="24" t="n">
        <v>1</v>
      </c>
      <c r="Q1003" s="31" t="n">
        <f aca="false">IF(I1003="N/A","",IFERROR(INDEX('Residual Config'!$B$35:$B$42,MATCH(H1003,'Residual Config'!$A$35:$A$42,0)),""))</f>
        <v>1</v>
      </c>
      <c r="R1003" s="24" t="n">
        <v>1</v>
      </c>
      <c r="S1003" s="8" t="s">
        <v>521</v>
      </c>
      <c r="T1003" s="31" t="n">
        <f aca="false">IF(S1003="","",MATCH(S1003,'Residual Config'!$L$9:$L$12,0))</f>
        <v>2</v>
      </c>
      <c r="U1003" s="8" t="s">
        <v>3229</v>
      </c>
      <c r="V1003" s="24" t="n">
        <v>1</v>
      </c>
      <c r="W1003" s="33" t="s">
        <v>533</v>
      </c>
      <c r="X1003" s="8" t="s">
        <v>754</v>
      </c>
      <c r="Y1003" s="51" t="n">
        <f aca="false">IF(N1003="","",EDATE(N1003,IF(G1003="N",INDEX('Residual Config'!$B$31:$D$31,1,MATCH(D1003,'Residual Config'!$B$27:$D$27,0)),INDEX('Residual Config'!$B$28:$D$30,IF(T1003=1,1,IF(T1003=4,3,2)),MATCH(D1003,'Residual Config'!$B$27:$D$27,0)))))</f>
        <v>46412</v>
      </c>
      <c r="Z1003" s="7" t="str">
        <f aca="false">IF(I1003="N/A","N/A",IF(N1003="","Not tested",IF(W1003="Rejected","Evidence rejected",IF(W1003&lt;&gt;"Accepted","Evidence pending",IF(Y1003&lt;'Residual Config'!$C$4,"Overdue","Current")))))</f>
        <v>Current</v>
      </c>
      <c r="AA1003" s="34" t="n">
        <f aca="false">IF(I1003="N/A","",IF(Z1003&lt;&gt;"Current",4,IF(MAX(M1003,T1003)=0,4,MAX(M1003,T1003))))</f>
        <v>2</v>
      </c>
      <c r="AB1003" s="7" t="str">
        <f aca="false">IF(AA1003="","N/A",IF(Z1003&lt;&gt;"Current","Not tested / overdue",INDEX('Residual Config'!$B$11:$B$14,AA1003)))</f>
        <v>Largely effective</v>
      </c>
      <c r="AC1003" s="36" t="n">
        <f aca="false">IF(AA1003="","",INDEX('Residual Config'!$D$11:$D$14,AA1003))</f>
        <v>0.4</v>
      </c>
      <c r="AD1003" s="7" t="str">
        <f aca="false">IF(OR(I1003="N/A",P1003="",Q1003=""),"",IF(P1003&gt;=Q1003,"Yes","No"))</f>
        <v>Yes</v>
      </c>
      <c r="AE1003" s="8"/>
    </row>
    <row r="1004" customFormat="false" ht="15" hidden="false" customHeight="false" outlineLevel="0" collapsed="false">
      <c r="A1004" s="12" t="s">
        <v>3230</v>
      </c>
      <c r="B1004" s="26" t="str">
        <f aca="false">Entities!$A$28</f>
        <v>DE</v>
      </c>
      <c r="C1004" s="12" t="str">
        <f aca="false">INDEX(Entities!$B$5:$B$34,MATCH(B1004,Entities!$A$5:$A$34,0))</f>
        <v>Arab Bank – Germany</v>
      </c>
      <c r="D1004" s="7" t="str">
        <f aca="false">INDEX(Entities!$F$5:$F$34,MATCH(B1004,Entities!$A$5:$A$34,0))</f>
        <v>Tier 3</v>
      </c>
      <c r="E1004" s="26" t="str">
        <f aca="false">'Control Library'!$A$15</f>
        <v>CTL-SAN-03</v>
      </c>
      <c r="F1004" s="12" t="str">
        <f aca="false">INDEX('Control Library'!$B$5:$B$47,MATCH(E1004,'Control Library'!$A$5:$A$47,0))</f>
        <v>Sanctions list updates applied within 24 hours</v>
      </c>
      <c r="G1004" s="7" t="str">
        <f aca="false">INDEX('Control Library'!$F$5:$F$47,MATCH(E1004,'Control Library'!$A$5:$A$47,0))</f>
        <v>N</v>
      </c>
      <c r="H1004" s="12" t="str">
        <f aca="false">INDEX('Control Library'!$E$5:$E$47,MATCH(E1004,'Control Library'!$A$5:$A$47,0))</f>
        <v>Daily</v>
      </c>
      <c r="I1004" s="7" t="str">
        <f aca="false">IF(INDEX('Control Library'!$I$5:$I$47,MATCH(E1004,'Control Library'!$A$5:$A$47,0))="All","Y",IF(INDEX('Control Library'!$I$5:$I$47,MATCH(E1004,'Control Library'!$A$5:$A$47,0))="Banks only",IF(COUNTIF('Residual Config'!$L$28:$L$30,INDEX(Entities!$E$5:$E$34,MATCH(B1004,Entities!$A$5:$A$34,0)))&gt;0,"N/A","Y"),IF(INDEX(Entities!$G$5:$G$34,MATCH(B1004,Entities!$A$5:$A$34,0))="Y","Y","N/A")))</f>
        <v>Y</v>
      </c>
      <c r="J1004" s="8" t="s">
        <v>3231</v>
      </c>
      <c r="K1004" s="8" t="s">
        <v>3207</v>
      </c>
      <c r="L1004" s="7" t="str">
        <f aca="false">IF(OR(J1004="",K1004=""),"",IF(J1004=K1004,"Breach","OK"))</f>
        <v>OK</v>
      </c>
      <c r="M1004" s="24" t="n">
        <v>2</v>
      </c>
      <c r="N1004" s="50" t="n">
        <v>46140</v>
      </c>
      <c r="O1004" s="8" t="s">
        <v>545</v>
      </c>
      <c r="P1004" s="24" t="n">
        <v>25</v>
      </c>
      <c r="Q1004" s="31" t="n">
        <f aca="false">IF(I1004="N/A","",IFERROR(INDEX('Residual Config'!$B$35:$B$42,MATCH(H1004,'Residual Config'!$A$35:$A$42,0)),""))</f>
        <v>25</v>
      </c>
      <c r="R1004" s="24" t="n">
        <v>0</v>
      </c>
      <c r="S1004" s="8" t="s">
        <v>516</v>
      </c>
      <c r="T1004" s="31" t="n">
        <f aca="false">IF(S1004="","",MATCH(S1004,'Residual Config'!$L$9:$L$12,0))</f>
        <v>1</v>
      </c>
      <c r="U1004" s="8" t="s">
        <v>3232</v>
      </c>
      <c r="V1004" s="24" t="n">
        <v>6</v>
      </c>
      <c r="W1004" s="33" t="s">
        <v>533</v>
      </c>
      <c r="X1004" s="8" t="s">
        <v>760</v>
      </c>
      <c r="Y1004" s="51" t="n">
        <f aca="false">IF(N1004="","",EDATE(N1004,IF(G1004="N",INDEX('Residual Config'!$B$31:$D$31,1,MATCH(D1004,'Residual Config'!$B$27:$D$27,0)),INDEX('Residual Config'!$B$28:$D$30,IF(T1004=1,1,IF(T1004=4,3,2)),MATCH(D1004,'Residual Config'!$B$27:$D$27,0)))))</f>
        <v>46871</v>
      </c>
      <c r="Z1004" s="7" t="str">
        <f aca="false">IF(I1004="N/A","N/A",IF(N1004="","Not tested",IF(W1004="Rejected","Evidence rejected",IF(W1004&lt;&gt;"Accepted","Evidence pending",IF(Y1004&lt;'Residual Config'!$C$4,"Overdue","Current")))))</f>
        <v>Current</v>
      </c>
      <c r="AA1004" s="34" t="n">
        <f aca="false">IF(I1004="N/A","",IF(Z1004&lt;&gt;"Current",4,IF(MAX(M1004,T1004)=0,4,MAX(M1004,T1004))))</f>
        <v>2</v>
      </c>
      <c r="AB1004" s="7" t="str">
        <f aca="false">IF(AA1004="","N/A",IF(Z1004&lt;&gt;"Current","Not tested / overdue",INDEX('Residual Config'!$B$11:$B$14,AA1004)))</f>
        <v>Largely effective</v>
      </c>
      <c r="AC1004" s="36" t="n">
        <f aca="false">IF(AA1004="","",INDEX('Residual Config'!$D$11:$D$14,AA1004))</f>
        <v>0.4</v>
      </c>
      <c r="AD1004" s="7" t="str">
        <f aca="false">IF(OR(I1004="N/A",P1004="",Q1004=""),"",IF(P1004&gt;=Q1004,"Yes","No"))</f>
        <v>Yes</v>
      </c>
      <c r="AE1004" s="8"/>
    </row>
    <row r="1005" customFormat="false" ht="15" hidden="false" customHeight="false" outlineLevel="0" collapsed="false">
      <c r="A1005" s="12" t="s">
        <v>3233</v>
      </c>
      <c r="B1005" s="26" t="str">
        <f aca="false">Entities!$A$28</f>
        <v>DE</v>
      </c>
      <c r="C1005" s="12" t="str">
        <f aca="false">INDEX(Entities!$B$5:$B$34,MATCH(B1005,Entities!$A$5:$A$34,0))</f>
        <v>Arab Bank – Germany</v>
      </c>
      <c r="D1005" s="7" t="str">
        <f aca="false">INDEX(Entities!$F$5:$F$34,MATCH(B1005,Entities!$A$5:$A$34,0))</f>
        <v>Tier 3</v>
      </c>
      <c r="E1005" s="26" t="str">
        <f aca="false">'Control Library'!$A$16</f>
        <v>CTL-TF-01</v>
      </c>
      <c r="F1005" s="12" t="str">
        <f aca="false">INDEX('Control Library'!$B$5:$B$47,MATCH(E1005,'Control Library'!$A$5:$A$47,0))</f>
        <v>NPO and charity enhanced due diligence</v>
      </c>
      <c r="G1005" s="7" t="str">
        <f aca="false">INDEX('Control Library'!$F$5:$F$47,MATCH(E1005,'Control Library'!$A$5:$A$47,0))</f>
        <v>N</v>
      </c>
      <c r="H1005" s="12" t="str">
        <f aca="false">INDEX('Control Library'!$E$5:$E$47,MATCH(E1005,'Control Library'!$A$5:$A$47,0))</f>
        <v>Event-driven</v>
      </c>
      <c r="I1005" s="7" t="str">
        <f aca="false">IF(INDEX('Control Library'!$I$5:$I$47,MATCH(E1005,'Control Library'!$A$5:$A$47,0))="All","Y",IF(INDEX('Control Library'!$I$5:$I$47,MATCH(E1005,'Control Library'!$A$5:$A$47,0))="Banks only",IF(COUNTIF('Residual Config'!$L$28:$L$30,INDEX(Entities!$E$5:$E$34,MATCH(B1005,Entities!$A$5:$A$34,0)))&gt;0,"N/A","Y"),IF(INDEX(Entities!$G$5:$G$34,MATCH(B1005,Entities!$A$5:$A$34,0))="Y","Y","N/A")))</f>
        <v>Y</v>
      </c>
      <c r="J1005" s="8" t="s">
        <v>3234</v>
      </c>
      <c r="K1005" s="8" t="s">
        <v>3207</v>
      </c>
      <c r="L1005" s="7" t="str">
        <f aca="false">IF(OR(J1005="",K1005=""),"",IF(J1005=K1005,"Breach","OK"))</f>
        <v>OK</v>
      </c>
      <c r="M1005" s="24" t="n">
        <v>2</v>
      </c>
      <c r="N1005" s="50" t="n">
        <v>45847</v>
      </c>
      <c r="O1005" s="8" t="s">
        <v>545</v>
      </c>
      <c r="P1005" s="24" t="n">
        <v>35</v>
      </c>
      <c r="Q1005" s="31" t="n">
        <f aca="false">IF(I1005="N/A","",IFERROR(INDEX('Residual Config'!$B$35:$B$42,MATCH(H1005,'Residual Config'!$A$35:$A$42,0)),""))</f>
        <v>25</v>
      </c>
      <c r="R1005" s="24" t="n">
        <v>0</v>
      </c>
      <c r="S1005" s="8" t="s">
        <v>516</v>
      </c>
      <c r="T1005" s="31" t="n">
        <f aca="false">IF(S1005="","",MATCH(S1005,'Residual Config'!$L$9:$L$12,0))</f>
        <v>1</v>
      </c>
      <c r="U1005" s="8" t="s">
        <v>3235</v>
      </c>
      <c r="V1005" s="24" t="n">
        <v>4</v>
      </c>
      <c r="W1005" s="33" t="s">
        <v>533</v>
      </c>
      <c r="X1005" s="8" t="s">
        <v>760</v>
      </c>
      <c r="Y1005" s="51" t="n">
        <f aca="false">IF(N1005="","",EDATE(N1005,IF(G1005="N",INDEX('Residual Config'!$B$31:$D$31,1,MATCH(D1005,'Residual Config'!$B$27:$D$27,0)),INDEX('Residual Config'!$B$28:$D$30,IF(T1005=1,1,IF(T1005=4,3,2)),MATCH(D1005,'Residual Config'!$B$27:$D$27,0)))))</f>
        <v>46577</v>
      </c>
      <c r="Z1005" s="7" t="str">
        <f aca="false">IF(I1005="N/A","N/A",IF(N1005="","Not tested",IF(W1005="Rejected","Evidence rejected",IF(W1005&lt;&gt;"Accepted","Evidence pending",IF(Y1005&lt;'Residual Config'!$C$4,"Overdue","Current")))))</f>
        <v>Current</v>
      </c>
      <c r="AA1005" s="34" t="n">
        <f aca="false">IF(I1005="N/A","",IF(Z1005&lt;&gt;"Current",4,IF(MAX(M1005,T1005)=0,4,MAX(M1005,T1005))))</f>
        <v>2</v>
      </c>
      <c r="AB1005" s="7" t="str">
        <f aca="false">IF(AA1005="","N/A",IF(Z1005&lt;&gt;"Current","Not tested / overdue",INDEX('Residual Config'!$B$11:$B$14,AA1005)))</f>
        <v>Largely effective</v>
      </c>
      <c r="AC1005" s="36" t="n">
        <f aca="false">IF(AA1005="","",INDEX('Residual Config'!$D$11:$D$14,AA1005))</f>
        <v>0.4</v>
      </c>
      <c r="AD1005" s="7" t="str">
        <f aca="false">IF(OR(I1005="N/A",P1005="",Q1005=""),"",IF(P1005&gt;=Q1005,"Yes","No"))</f>
        <v>Yes</v>
      </c>
      <c r="AE1005" s="8"/>
    </row>
    <row r="1006" customFormat="false" ht="15" hidden="false" customHeight="false" outlineLevel="0" collapsed="false">
      <c r="A1006" s="12" t="s">
        <v>3236</v>
      </c>
      <c r="B1006" s="26" t="str">
        <f aca="false">Entities!$A$28</f>
        <v>DE</v>
      </c>
      <c r="C1006" s="12" t="str">
        <f aca="false">INDEX(Entities!$B$5:$B$34,MATCH(B1006,Entities!$A$5:$A$34,0))</f>
        <v>Arab Bank – Germany</v>
      </c>
      <c r="D1006" s="7" t="str">
        <f aca="false">INDEX(Entities!$F$5:$F$34,MATCH(B1006,Entities!$A$5:$A$34,0))</f>
        <v>Tier 3</v>
      </c>
      <c r="E1006" s="26" t="str">
        <f aca="false">'Control Library'!$A$17</f>
        <v>CTL-TBML-01</v>
      </c>
      <c r="F1006" s="12" t="str">
        <f aca="false">INDEX('Control Library'!$B$5:$B$47,MATCH(E1006,'Control Library'!$A$5:$A$47,0))</f>
        <v>Trade-based ML red-flag review and pricing checks</v>
      </c>
      <c r="G1006" s="7" t="str">
        <f aca="false">INDEX('Control Library'!$F$5:$F$47,MATCH(E1006,'Control Library'!$A$5:$A$47,0))</f>
        <v>Y</v>
      </c>
      <c r="H1006" s="12" t="str">
        <f aca="false">INDEX('Control Library'!$E$5:$E$47,MATCH(E1006,'Control Library'!$A$5:$A$47,0))</f>
        <v>Event-driven</v>
      </c>
      <c r="I1006" s="7" t="str">
        <f aca="false">IF(INDEX('Control Library'!$I$5:$I$47,MATCH(E1006,'Control Library'!$A$5:$A$47,0))="All","Y",IF(INDEX('Control Library'!$I$5:$I$47,MATCH(E1006,'Control Library'!$A$5:$A$47,0))="Banks only",IF(COUNTIF('Residual Config'!$L$28:$L$30,INDEX(Entities!$E$5:$E$34,MATCH(B1006,Entities!$A$5:$A$34,0)))&gt;0,"N/A","Y"),IF(INDEX(Entities!$G$5:$G$34,MATCH(B1006,Entities!$A$5:$A$34,0))="Y","Y","N/A")))</f>
        <v>Y</v>
      </c>
      <c r="J1006" s="8" t="s">
        <v>3237</v>
      </c>
      <c r="K1006" s="8" t="s">
        <v>3207</v>
      </c>
      <c r="L1006" s="7" t="str">
        <f aca="false">IF(OR(J1006="",K1006=""),"",IF(J1006=K1006,"Breach","OK"))</f>
        <v>OK</v>
      </c>
      <c r="M1006" s="24" t="n">
        <v>1</v>
      </c>
      <c r="N1006" s="50" t="n">
        <v>46237</v>
      </c>
      <c r="O1006" s="8" t="s">
        <v>545</v>
      </c>
      <c r="P1006" s="24" t="n">
        <v>25</v>
      </c>
      <c r="Q1006" s="31" t="n">
        <f aca="false">IF(I1006="N/A","",IFERROR(INDEX('Residual Config'!$B$35:$B$42,MATCH(H1006,'Residual Config'!$A$35:$A$42,0)),""))</f>
        <v>25</v>
      </c>
      <c r="R1006" s="24" t="n">
        <v>0</v>
      </c>
      <c r="S1006" s="8" t="s">
        <v>516</v>
      </c>
      <c r="T1006" s="31" t="n">
        <f aca="false">IF(S1006="","",MATCH(S1006,'Residual Config'!$L$9:$L$12,0))</f>
        <v>1</v>
      </c>
      <c r="U1006" s="8" t="s">
        <v>3238</v>
      </c>
      <c r="V1006" s="24" t="n">
        <v>3</v>
      </c>
      <c r="W1006" s="33" t="s">
        <v>533</v>
      </c>
      <c r="X1006" s="8" t="s">
        <v>754</v>
      </c>
      <c r="Y1006" s="51" t="n">
        <f aca="false">IF(N1006="","",EDATE(N1006,IF(G1006="N",INDEX('Residual Config'!$B$31:$D$31,1,MATCH(D1006,'Residual Config'!$B$27:$D$27,0)),INDEX('Residual Config'!$B$28:$D$30,IF(T1006=1,1,IF(T1006=4,3,2)),MATCH(D1006,'Residual Config'!$B$27:$D$27,0)))))</f>
        <v>46602</v>
      </c>
      <c r="Z1006" s="7" t="str">
        <f aca="false">IF(I1006="N/A","N/A",IF(N1006="","Not tested",IF(W1006="Rejected","Evidence rejected",IF(W1006&lt;&gt;"Accepted","Evidence pending",IF(Y1006&lt;'Residual Config'!$C$4,"Overdue","Current")))))</f>
        <v>Current</v>
      </c>
      <c r="AA1006" s="34" t="n">
        <f aca="false">IF(I1006="N/A","",IF(Z1006&lt;&gt;"Current",4,IF(MAX(M1006,T1006)=0,4,MAX(M1006,T1006))))</f>
        <v>1</v>
      </c>
      <c r="AB1006" s="7" t="str">
        <f aca="false">IF(AA1006="","N/A",IF(Z1006&lt;&gt;"Current","Not tested / overdue",INDEX('Residual Config'!$B$11:$B$14,AA1006)))</f>
        <v>Effective</v>
      </c>
      <c r="AC1006" s="36" t="n">
        <f aca="false">IF(AA1006="","",INDEX('Residual Config'!$D$11:$D$14,AA1006))</f>
        <v>0.6</v>
      </c>
      <c r="AD1006" s="7" t="str">
        <f aca="false">IF(OR(I1006="N/A",P1006="",Q1006=""),"",IF(P1006&gt;=Q1006,"Yes","No"))</f>
        <v>Yes</v>
      </c>
      <c r="AE1006" s="8"/>
    </row>
    <row r="1007" customFormat="false" ht="15" hidden="false" customHeight="false" outlineLevel="0" collapsed="false">
      <c r="A1007" s="12" t="s">
        <v>3239</v>
      </c>
      <c r="B1007" s="26" t="str">
        <f aca="false">Entities!$A$28</f>
        <v>DE</v>
      </c>
      <c r="C1007" s="12" t="str">
        <f aca="false">INDEX(Entities!$B$5:$B$34,MATCH(B1007,Entities!$A$5:$A$34,0))</f>
        <v>Arab Bank – Germany</v>
      </c>
      <c r="D1007" s="7" t="str">
        <f aca="false">INDEX(Entities!$F$5:$F$34,MATCH(B1007,Entities!$A$5:$A$34,0))</f>
        <v>Tier 3</v>
      </c>
      <c r="E1007" s="26" t="str">
        <f aca="false">'Control Library'!$A$18</f>
        <v>CTL-PF-01</v>
      </c>
      <c r="F1007" s="12" t="str">
        <f aca="false">INDEX('Control Library'!$B$5:$B$47,MATCH(E1007,'Control Library'!$A$5:$A$47,0))</f>
        <v>Dual-use goods, vessel and port screening</v>
      </c>
      <c r="G1007" s="7" t="str">
        <f aca="false">INDEX('Control Library'!$F$5:$F$47,MATCH(E1007,'Control Library'!$A$5:$A$47,0))</f>
        <v>Y</v>
      </c>
      <c r="H1007" s="12" t="str">
        <f aca="false">INDEX('Control Library'!$E$5:$E$47,MATCH(E1007,'Control Library'!$A$5:$A$47,0))</f>
        <v>Event-driven</v>
      </c>
      <c r="I1007" s="7" t="str">
        <f aca="false">IF(INDEX('Control Library'!$I$5:$I$47,MATCH(E1007,'Control Library'!$A$5:$A$47,0))="All","Y",IF(INDEX('Control Library'!$I$5:$I$47,MATCH(E1007,'Control Library'!$A$5:$A$47,0))="Banks only",IF(COUNTIF('Residual Config'!$L$28:$L$30,INDEX(Entities!$E$5:$E$34,MATCH(B1007,Entities!$A$5:$A$34,0)))&gt;0,"N/A","Y"),IF(INDEX(Entities!$G$5:$G$34,MATCH(B1007,Entities!$A$5:$A$34,0))="Y","Y","N/A")))</f>
        <v>Y</v>
      </c>
      <c r="J1007" s="8" t="s">
        <v>3237</v>
      </c>
      <c r="K1007" s="8" t="s">
        <v>3207</v>
      </c>
      <c r="L1007" s="7" t="str">
        <f aca="false">IF(OR(J1007="",K1007=""),"",IF(J1007=K1007,"Breach","OK"))</f>
        <v>OK</v>
      </c>
      <c r="M1007" s="24" t="n">
        <v>1</v>
      </c>
      <c r="N1007" s="50" t="n">
        <v>46113</v>
      </c>
      <c r="O1007" s="8" t="s">
        <v>545</v>
      </c>
      <c r="P1007" s="24" t="n">
        <v>25</v>
      </c>
      <c r="Q1007" s="31" t="n">
        <f aca="false">IF(I1007="N/A","",IFERROR(INDEX('Residual Config'!$B$35:$B$42,MATCH(H1007,'Residual Config'!$A$35:$A$42,0)),""))</f>
        <v>25</v>
      </c>
      <c r="R1007" s="24" t="n">
        <v>0</v>
      </c>
      <c r="S1007" s="8" t="s">
        <v>516</v>
      </c>
      <c r="T1007" s="31" t="n">
        <f aca="false">IF(S1007="","",MATCH(S1007,'Residual Config'!$L$9:$L$12,0))</f>
        <v>1</v>
      </c>
      <c r="U1007" s="8" t="s">
        <v>3240</v>
      </c>
      <c r="V1007" s="24" t="n">
        <v>2</v>
      </c>
      <c r="W1007" s="33" t="s">
        <v>533</v>
      </c>
      <c r="X1007" s="8" t="s">
        <v>760</v>
      </c>
      <c r="Y1007" s="51" t="n">
        <f aca="false">IF(N1007="","",EDATE(N1007,IF(G1007="N",INDEX('Residual Config'!$B$31:$D$31,1,MATCH(D1007,'Residual Config'!$B$27:$D$27,0)),INDEX('Residual Config'!$B$28:$D$30,IF(T1007=1,1,IF(T1007=4,3,2)),MATCH(D1007,'Residual Config'!$B$27:$D$27,0)))))</f>
        <v>46478</v>
      </c>
      <c r="Z1007" s="7" t="str">
        <f aca="false">IF(I1007="N/A","N/A",IF(N1007="","Not tested",IF(W1007="Rejected","Evidence rejected",IF(W1007&lt;&gt;"Accepted","Evidence pending",IF(Y1007&lt;'Residual Config'!$C$4,"Overdue","Current")))))</f>
        <v>Current</v>
      </c>
      <c r="AA1007" s="34" t="n">
        <f aca="false">IF(I1007="N/A","",IF(Z1007&lt;&gt;"Current",4,IF(MAX(M1007,T1007)=0,4,MAX(M1007,T1007))))</f>
        <v>1</v>
      </c>
      <c r="AB1007" s="7" t="str">
        <f aca="false">IF(AA1007="","N/A",IF(Z1007&lt;&gt;"Current","Not tested / overdue",INDEX('Residual Config'!$B$11:$B$14,AA1007)))</f>
        <v>Effective</v>
      </c>
      <c r="AC1007" s="36" t="n">
        <f aca="false">IF(AA1007="","",INDEX('Residual Config'!$D$11:$D$14,AA1007))</f>
        <v>0.6</v>
      </c>
      <c r="AD1007" s="7" t="str">
        <f aca="false">IF(OR(I1007="N/A",P1007="",Q1007=""),"",IF(P1007&gt;=Q1007,"Yes","No"))</f>
        <v>Yes</v>
      </c>
      <c r="AE1007" s="8"/>
    </row>
    <row r="1008" customFormat="false" ht="15" hidden="false" customHeight="false" outlineLevel="0" collapsed="false">
      <c r="A1008" s="12" t="s">
        <v>3241</v>
      </c>
      <c r="B1008" s="26" t="str">
        <f aca="false">Entities!$A$28</f>
        <v>DE</v>
      </c>
      <c r="C1008" s="12" t="str">
        <f aca="false">INDEX(Entities!$B$5:$B$34,MATCH(B1008,Entities!$A$5:$A$34,0))</f>
        <v>Arab Bank – Germany</v>
      </c>
      <c r="D1008" s="7" t="str">
        <f aca="false">INDEX(Entities!$F$5:$F$34,MATCH(B1008,Entities!$A$5:$A$34,0))</f>
        <v>Tier 3</v>
      </c>
      <c r="E1008" s="26" t="str">
        <f aca="false">'Control Library'!$A$19</f>
        <v>CTL-CB-01</v>
      </c>
      <c r="F1008" s="12" t="str">
        <f aca="false">INDEX('Control Library'!$B$5:$B$47,MATCH(E1008,'Control Library'!$A$5:$A$47,0))</f>
        <v>Correspondent bank due diligence (CBDDQ) and nesting detection</v>
      </c>
      <c r="G1008" s="7" t="str">
        <f aca="false">INDEX('Control Library'!$F$5:$F$47,MATCH(E1008,'Control Library'!$A$5:$A$47,0))</f>
        <v>Y</v>
      </c>
      <c r="H1008" s="12" t="str">
        <f aca="false">INDEX('Control Library'!$E$5:$E$47,MATCH(E1008,'Control Library'!$A$5:$A$47,0))</f>
        <v>Annual</v>
      </c>
      <c r="I1008" s="7" t="str">
        <f aca="false">IF(INDEX('Control Library'!$I$5:$I$47,MATCH(E1008,'Control Library'!$A$5:$A$47,0))="All","Y",IF(INDEX('Control Library'!$I$5:$I$47,MATCH(E1008,'Control Library'!$A$5:$A$47,0))="Banks only",IF(COUNTIF('Residual Config'!$L$28:$L$30,INDEX(Entities!$E$5:$E$34,MATCH(B1008,Entities!$A$5:$A$34,0)))&gt;0,"N/A","Y"),IF(INDEX(Entities!$G$5:$G$34,MATCH(B1008,Entities!$A$5:$A$34,0))="Y","Y","N/A")))</f>
        <v>Y</v>
      </c>
      <c r="J1008" s="8" t="s">
        <v>3242</v>
      </c>
      <c r="K1008" s="8" t="s">
        <v>3207</v>
      </c>
      <c r="L1008" s="7" t="str">
        <f aca="false">IF(OR(J1008="",K1008=""),"",IF(J1008=K1008,"Breach","OK"))</f>
        <v>OK</v>
      </c>
      <c r="M1008" s="24" t="n">
        <v>2</v>
      </c>
      <c r="N1008" s="50" t="n">
        <v>46109</v>
      </c>
      <c r="O1008" s="8" t="s">
        <v>545</v>
      </c>
      <c r="P1008" s="24" t="n">
        <v>1</v>
      </c>
      <c r="Q1008" s="31" t="n">
        <f aca="false">IF(I1008="N/A","",IFERROR(INDEX('Residual Config'!$B$35:$B$42,MATCH(H1008,'Residual Config'!$A$35:$A$42,0)),""))</f>
        <v>1</v>
      </c>
      <c r="R1008" s="24" t="n">
        <v>0</v>
      </c>
      <c r="S1008" s="8" t="s">
        <v>516</v>
      </c>
      <c r="T1008" s="31" t="n">
        <f aca="false">IF(S1008="","",MATCH(S1008,'Residual Config'!$L$9:$L$12,0))</f>
        <v>1</v>
      </c>
      <c r="U1008" s="8" t="s">
        <v>3243</v>
      </c>
      <c r="V1008" s="24" t="n">
        <v>5</v>
      </c>
      <c r="W1008" s="33" t="s">
        <v>533</v>
      </c>
      <c r="X1008" s="8" t="s">
        <v>760</v>
      </c>
      <c r="Y1008" s="51" t="n">
        <f aca="false">IF(N1008="","",EDATE(N1008,IF(G1008="N",INDEX('Residual Config'!$B$31:$D$31,1,MATCH(D1008,'Residual Config'!$B$27:$D$27,0)),INDEX('Residual Config'!$B$28:$D$30,IF(T1008=1,1,IF(T1008=4,3,2)),MATCH(D1008,'Residual Config'!$B$27:$D$27,0)))))</f>
        <v>46474</v>
      </c>
      <c r="Z1008" s="7" t="str">
        <f aca="false">IF(I1008="N/A","N/A",IF(N1008="","Not tested",IF(W1008="Rejected","Evidence rejected",IF(W1008&lt;&gt;"Accepted","Evidence pending",IF(Y1008&lt;'Residual Config'!$C$4,"Overdue","Current")))))</f>
        <v>Current</v>
      </c>
      <c r="AA1008" s="34" t="n">
        <f aca="false">IF(I1008="N/A","",IF(Z1008&lt;&gt;"Current",4,IF(MAX(M1008,T1008)=0,4,MAX(M1008,T1008))))</f>
        <v>2</v>
      </c>
      <c r="AB1008" s="7" t="str">
        <f aca="false">IF(AA1008="","N/A",IF(Z1008&lt;&gt;"Current","Not tested / overdue",INDEX('Residual Config'!$B$11:$B$14,AA1008)))</f>
        <v>Largely effective</v>
      </c>
      <c r="AC1008" s="36" t="n">
        <f aca="false">IF(AA1008="","",INDEX('Residual Config'!$D$11:$D$14,AA1008))</f>
        <v>0.4</v>
      </c>
      <c r="AD1008" s="7" t="str">
        <f aca="false">IF(OR(I1008="N/A",P1008="",Q1008=""),"",IF(P1008&gt;=Q1008,"Yes","No"))</f>
        <v>Yes</v>
      </c>
      <c r="AE1008" s="8"/>
    </row>
    <row r="1009" customFormat="false" ht="15" hidden="false" customHeight="false" outlineLevel="0" collapsed="false">
      <c r="A1009" s="12" t="s">
        <v>3244</v>
      </c>
      <c r="B1009" s="26" t="str">
        <f aca="false">Entities!$A$28</f>
        <v>DE</v>
      </c>
      <c r="C1009" s="12" t="str">
        <f aca="false">INDEX(Entities!$B$5:$B$34,MATCH(B1009,Entities!$A$5:$A$34,0))</f>
        <v>Arab Bank – Germany</v>
      </c>
      <c r="D1009" s="7" t="str">
        <f aca="false">INDEX(Entities!$F$5:$F$34,MATCH(B1009,Entities!$A$5:$A$34,0))</f>
        <v>Tier 3</v>
      </c>
      <c r="E1009" s="26" t="str">
        <f aca="false">'Control Library'!$A$20</f>
        <v>CTL-PAY-01</v>
      </c>
      <c r="F1009" s="12" t="str">
        <f aca="false">INDEX('Control Library'!$B$5:$B$47,MATCH(E1009,'Control Library'!$A$5:$A$47,0))</f>
        <v>Payment transparency checks (FATF R.16)</v>
      </c>
      <c r="G1009" s="7" t="str">
        <f aca="false">INDEX('Control Library'!$F$5:$F$47,MATCH(E1009,'Control Library'!$A$5:$A$47,0))</f>
        <v>N</v>
      </c>
      <c r="H1009" s="12" t="str">
        <f aca="false">INDEX('Control Library'!$E$5:$E$47,MATCH(E1009,'Control Library'!$A$5:$A$47,0))</f>
        <v>Continuous</v>
      </c>
      <c r="I1009" s="7" t="str">
        <f aca="false">IF(INDEX('Control Library'!$I$5:$I$47,MATCH(E1009,'Control Library'!$A$5:$A$47,0))="All","Y",IF(INDEX('Control Library'!$I$5:$I$47,MATCH(E1009,'Control Library'!$A$5:$A$47,0))="Banks only",IF(COUNTIF('Residual Config'!$L$28:$L$30,INDEX(Entities!$E$5:$E$34,MATCH(B1009,Entities!$A$5:$A$34,0)))&gt;0,"N/A","Y"),IF(INDEX(Entities!$G$5:$G$34,MATCH(B1009,Entities!$A$5:$A$34,0))="Y","Y","N/A")))</f>
        <v>Y</v>
      </c>
      <c r="J1009" s="8" t="s">
        <v>3245</v>
      </c>
      <c r="K1009" s="8" t="s">
        <v>3207</v>
      </c>
      <c r="L1009" s="7" t="str">
        <f aca="false">IF(OR(J1009="",K1009=""),"",IF(J1009=K1009,"Breach","OK"))</f>
        <v>OK</v>
      </c>
      <c r="M1009" s="24" t="n">
        <v>1</v>
      </c>
      <c r="N1009" s="50" t="n">
        <v>45711</v>
      </c>
      <c r="O1009" s="8" t="s">
        <v>546</v>
      </c>
      <c r="P1009" s="24" t="n">
        <v>1</v>
      </c>
      <c r="Q1009" s="31" t="n">
        <f aca="false">IF(I1009="N/A","",IFERROR(INDEX('Residual Config'!$B$35:$B$42,MATCH(H1009,'Residual Config'!$A$35:$A$42,0)),""))</f>
        <v>1</v>
      </c>
      <c r="R1009" s="24" t="n">
        <v>0</v>
      </c>
      <c r="S1009" s="8" t="s">
        <v>516</v>
      </c>
      <c r="T1009" s="31" t="n">
        <f aca="false">IF(S1009="","",MATCH(S1009,'Residual Config'!$L$9:$L$12,0))</f>
        <v>1</v>
      </c>
      <c r="U1009" s="8" t="s">
        <v>3246</v>
      </c>
      <c r="V1009" s="24" t="n">
        <v>4</v>
      </c>
      <c r="W1009" s="33" t="s">
        <v>533</v>
      </c>
      <c r="X1009" s="8" t="s">
        <v>760</v>
      </c>
      <c r="Y1009" s="51" t="n">
        <f aca="false">IF(N1009="","",EDATE(N1009,IF(G1009="N",INDEX('Residual Config'!$B$31:$D$31,1,MATCH(D1009,'Residual Config'!$B$27:$D$27,0)),INDEX('Residual Config'!$B$28:$D$30,IF(T1009=1,1,IF(T1009=4,3,2)),MATCH(D1009,'Residual Config'!$B$27:$D$27,0)))))</f>
        <v>46441</v>
      </c>
      <c r="Z1009" s="7" t="str">
        <f aca="false">IF(I1009="N/A","N/A",IF(N1009="","Not tested",IF(W1009="Rejected","Evidence rejected",IF(W1009&lt;&gt;"Accepted","Evidence pending",IF(Y1009&lt;'Residual Config'!$C$4,"Overdue","Current")))))</f>
        <v>Current</v>
      </c>
      <c r="AA1009" s="34" t="n">
        <f aca="false">IF(I1009="N/A","",IF(Z1009&lt;&gt;"Current",4,IF(MAX(M1009,T1009)=0,4,MAX(M1009,T1009))))</f>
        <v>1</v>
      </c>
      <c r="AB1009" s="7" t="str">
        <f aca="false">IF(AA1009="","N/A",IF(Z1009&lt;&gt;"Current","Not tested / overdue",INDEX('Residual Config'!$B$11:$B$14,AA1009)))</f>
        <v>Effective</v>
      </c>
      <c r="AC1009" s="36" t="n">
        <f aca="false">IF(AA1009="","",INDEX('Residual Config'!$D$11:$D$14,AA1009))</f>
        <v>0.6</v>
      </c>
      <c r="AD1009" s="7" t="str">
        <f aca="false">IF(OR(I1009="N/A",P1009="",Q1009=""),"",IF(P1009&gt;=Q1009,"Yes","No"))</f>
        <v>Yes</v>
      </c>
      <c r="AE1009" s="8"/>
    </row>
    <row r="1010" customFormat="false" ht="15" hidden="false" customHeight="false" outlineLevel="0" collapsed="false">
      <c r="A1010" s="12" t="s">
        <v>3247</v>
      </c>
      <c r="B1010" s="26" t="str">
        <f aca="false">Entities!$A$28</f>
        <v>DE</v>
      </c>
      <c r="C1010" s="12" t="str">
        <f aca="false">INDEX(Entities!$B$5:$B$34,MATCH(B1010,Entities!$A$5:$A$34,0))</f>
        <v>Arab Bank – Germany</v>
      </c>
      <c r="D1010" s="7" t="str">
        <f aca="false">INDEX(Entities!$F$5:$F$34,MATCH(B1010,Entities!$A$5:$A$34,0))</f>
        <v>Tier 3</v>
      </c>
      <c r="E1010" s="26" t="str">
        <f aca="false">'Control Library'!$A$21</f>
        <v>CTL-ABC-01</v>
      </c>
      <c r="F1010" s="12" t="str">
        <f aca="false">INDEX('Control Library'!$B$5:$B$47,MATCH(E1010,'Control Library'!$A$5:$A$47,0))</f>
        <v>Third-party and intermediary anti-bribery due diligence</v>
      </c>
      <c r="G1010" s="7" t="str">
        <f aca="false">INDEX('Control Library'!$F$5:$F$47,MATCH(E1010,'Control Library'!$A$5:$A$47,0))</f>
        <v>Y</v>
      </c>
      <c r="H1010" s="12" t="str">
        <f aca="false">INDEX('Control Library'!$E$5:$E$47,MATCH(E1010,'Control Library'!$A$5:$A$47,0))</f>
        <v>Event-driven</v>
      </c>
      <c r="I1010" s="7" t="str">
        <f aca="false">IF(INDEX('Control Library'!$I$5:$I$47,MATCH(E1010,'Control Library'!$A$5:$A$47,0))="All","Y",IF(INDEX('Control Library'!$I$5:$I$47,MATCH(E1010,'Control Library'!$A$5:$A$47,0))="Banks only",IF(COUNTIF('Residual Config'!$L$28:$L$30,INDEX(Entities!$E$5:$E$34,MATCH(B1010,Entities!$A$5:$A$34,0)))&gt;0,"N/A","Y"),IF(INDEX(Entities!$G$5:$G$34,MATCH(B1010,Entities!$A$5:$A$34,0))="Y","Y","N/A")))</f>
        <v>Y</v>
      </c>
      <c r="J1010" s="8" t="s">
        <v>3248</v>
      </c>
      <c r="K1010" s="8" t="s">
        <v>3207</v>
      </c>
      <c r="L1010" s="7" t="str">
        <f aca="false">IF(OR(J1010="",K1010=""),"",IF(J1010=K1010,"Breach","OK"))</f>
        <v>OK</v>
      </c>
      <c r="M1010" s="24" t="n">
        <v>1</v>
      </c>
      <c r="N1010" s="50" t="n">
        <v>46006</v>
      </c>
      <c r="O1010" s="8" t="s">
        <v>545</v>
      </c>
      <c r="P1010" s="24" t="n">
        <v>35</v>
      </c>
      <c r="Q1010" s="31" t="n">
        <f aca="false">IF(I1010="N/A","",IFERROR(INDEX('Residual Config'!$B$35:$B$42,MATCH(H1010,'Residual Config'!$A$35:$A$42,0)),""))</f>
        <v>25</v>
      </c>
      <c r="R1010" s="24" t="n">
        <v>0</v>
      </c>
      <c r="S1010" s="8" t="s">
        <v>516</v>
      </c>
      <c r="T1010" s="31" t="n">
        <f aca="false">IF(S1010="","",MATCH(S1010,'Residual Config'!$L$9:$L$12,0))</f>
        <v>1</v>
      </c>
      <c r="U1010" s="8" t="s">
        <v>3249</v>
      </c>
      <c r="V1010" s="24" t="n">
        <v>2</v>
      </c>
      <c r="W1010" s="33" t="s">
        <v>533</v>
      </c>
      <c r="X1010" s="8" t="s">
        <v>760</v>
      </c>
      <c r="Y1010" s="51" t="n">
        <f aca="false">IF(N1010="","",EDATE(N1010,IF(G1010="N",INDEX('Residual Config'!$B$31:$D$31,1,MATCH(D1010,'Residual Config'!$B$27:$D$27,0)),INDEX('Residual Config'!$B$28:$D$30,IF(T1010=1,1,IF(T1010=4,3,2)),MATCH(D1010,'Residual Config'!$B$27:$D$27,0)))))</f>
        <v>46371</v>
      </c>
      <c r="Z1010" s="7" t="str">
        <f aca="false">IF(I1010="N/A","N/A",IF(N1010="","Not tested",IF(W1010="Rejected","Evidence rejected",IF(W1010&lt;&gt;"Accepted","Evidence pending",IF(Y1010&lt;'Residual Config'!$C$4,"Overdue","Current")))))</f>
        <v>Current</v>
      </c>
      <c r="AA1010" s="34" t="n">
        <f aca="false">IF(I1010="N/A","",IF(Z1010&lt;&gt;"Current",4,IF(MAX(M1010,T1010)=0,4,MAX(M1010,T1010))))</f>
        <v>1</v>
      </c>
      <c r="AB1010" s="7" t="str">
        <f aca="false">IF(AA1010="","N/A",IF(Z1010&lt;&gt;"Current","Not tested / overdue",INDEX('Residual Config'!$B$11:$B$14,AA1010)))</f>
        <v>Effective</v>
      </c>
      <c r="AC1010" s="36" t="n">
        <f aca="false">IF(AA1010="","",INDEX('Residual Config'!$D$11:$D$14,AA1010))</f>
        <v>0.6</v>
      </c>
      <c r="AD1010" s="7" t="str">
        <f aca="false">IF(OR(I1010="N/A",P1010="",Q1010=""),"",IF(P1010&gt;=Q1010,"Yes","No"))</f>
        <v>Yes</v>
      </c>
      <c r="AE1010" s="8"/>
    </row>
    <row r="1011" customFormat="false" ht="15" hidden="false" customHeight="false" outlineLevel="0" collapsed="false">
      <c r="A1011" s="12" t="s">
        <v>3250</v>
      </c>
      <c r="B1011" s="26" t="str">
        <f aca="false">Entities!$A$28</f>
        <v>DE</v>
      </c>
      <c r="C1011" s="12" t="str">
        <f aca="false">INDEX(Entities!$B$5:$B$34,MATCH(B1011,Entities!$A$5:$A$34,0))</f>
        <v>Arab Bank – Germany</v>
      </c>
      <c r="D1011" s="7" t="str">
        <f aca="false">INDEX(Entities!$F$5:$F$34,MATCH(B1011,Entities!$A$5:$A$34,0))</f>
        <v>Tier 3</v>
      </c>
      <c r="E1011" s="26" t="str">
        <f aca="false">'Control Library'!$A$22</f>
        <v>CTL-ABC-02</v>
      </c>
      <c r="F1011" s="12" t="str">
        <f aca="false">INDEX('Control Library'!$B$5:$B$47,MATCH(E1011,'Control Library'!$A$5:$A$47,0))</f>
        <v>Gifts, hospitality and donations register with pre-approval</v>
      </c>
      <c r="G1011" s="7" t="str">
        <f aca="false">INDEX('Control Library'!$F$5:$F$47,MATCH(E1011,'Control Library'!$A$5:$A$47,0))</f>
        <v>N</v>
      </c>
      <c r="H1011" s="12" t="str">
        <f aca="false">INDEX('Control Library'!$E$5:$E$47,MATCH(E1011,'Control Library'!$A$5:$A$47,0))</f>
        <v>Event-driven</v>
      </c>
      <c r="I1011" s="7" t="str">
        <f aca="false">IF(INDEX('Control Library'!$I$5:$I$47,MATCH(E1011,'Control Library'!$A$5:$A$47,0))="All","Y",IF(INDEX('Control Library'!$I$5:$I$47,MATCH(E1011,'Control Library'!$A$5:$A$47,0))="Banks only",IF(COUNTIF('Residual Config'!$L$28:$L$30,INDEX(Entities!$E$5:$E$34,MATCH(B1011,Entities!$A$5:$A$34,0)))&gt;0,"N/A","Y"),IF(INDEX(Entities!$G$5:$G$34,MATCH(B1011,Entities!$A$5:$A$34,0))="Y","Y","N/A")))</f>
        <v>Y</v>
      </c>
      <c r="J1011" s="8" t="s">
        <v>3210</v>
      </c>
      <c r="K1011" s="8" t="s">
        <v>3207</v>
      </c>
      <c r="L1011" s="7" t="str">
        <f aca="false">IF(OR(J1011="",K1011=""),"",IF(J1011=K1011,"Breach","OK"))</f>
        <v>OK</v>
      </c>
      <c r="M1011" s="24" t="n">
        <v>1</v>
      </c>
      <c r="N1011" s="50" t="n">
        <v>46110</v>
      </c>
      <c r="O1011" s="8" t="s">
        <v>545</v>
      </c>
      <c r="P1011" s="24" t="n">
        <v>25</v>
      </c>
      <c r="Q1011" s="31" t="n">
        <f aca="false">IF(I1011="N/A","",IFERROR(INDEX('Residual Config'!$B$35:$B$42,MATCH(H1011,'Residual Config'!$A$35:$A$42,0)),""))</f>
        <v>25</v>
      </c>
      <c r="R1011" s="24" t="n">
        <v>1</v>
      </c>
      <c r="S1011" s="8" t="s">
        <v>521</v>
      </c>
      <c r="T1011" s="31" t="n">
        <f aca="false">IF(S1011="","",MATCH(S1011,'Residual Config'!$L$9:$L$12,0))</f>
        <v>2</v>
      </c>
      <c r="U1011" s="8" t="s">
        <v>3251</v>
      </c>
      <c r="V1011" s="24" t="n">
        <v>1</v>
      </c>
      <c r="W1011" s="33" t="s">
        <v>533</v>
      </c>
      <c r="X1011" s="8" t="s">
        <v>760</v>
      </c>
      <c r="Y1011" s="51" t="n">
        <f aca="false">IF(N1011="","",EDATE(N1011,IF(G1011="N",INDEX('Residual Config'!$B$31:$D$31,1,MATCH(D1011,'Residual Config'!$B$27:$D$27,0)),INDEX('Residual Config'!$B$28:$D$30,IF(T1011=1,1,IF(T1011=4,3,2)),MATCH(D1011,'Residual Config'!$B$27:$D$27,0)))))</f>
        <v>46841</v>
      </c>
      <c r="Z1011" s="7" t="str">
        <f aca="false">IF(I1011="N/A","N/A",IF(N1011="","Not tested",IF(W1011="Rejected","Evidence rejected",IF(W1011&lt;&gt;"Accepted","Evidence pending",IF(Y1011&lt;'Residual Config'!$C$4,"Overdue","Current")))))</f>
        <v>Current</v>
      </c>
      <c r="AA1011" s="34" t="n">
        <f aca="false">IF(I1011="N/A","",IF(Z1011&lt;&gt;"Current",4,IF(MAX(M1011,T1011)=0,4,MAX(M1011,T1011))))</f>
        <v>2</v>
      </c>
      <c r="AB1011" s="7" t="str">
        <f aca="false">IF(AA1011="","N/A",IF(Z1011&lt;&gt;"Current","Not tested / overdue",INDEX('Residual Config'!$B$11:$B$14,AA1011)))</f>
        <v>Largely effective</v>
      </c>
      <c r="AC1011" s="36" t="n">
        <f aca="false">IF(AA1011="","",INDEX('Residual Config'!$D$11:$D$14,AA1011))</f>
        <v>0.4</v>
      </c>
      <c r="AD1011" s="7" t="str">
        <f aca="false">IF(OR(I1011="N/A",P1011="",Q1011=""),"",IF(P1011&gt;=Q1011,"Yes","No"))</f>
        <v>Yes</v>
      </c>
      <c r="AE1011" s="8"/>
    </row>
    <row r="1012" customFormat="false" ht="15" hidden="false" customHeight="false" outlineLevel="0" collapsed="false">
      <c r="A1012" s="12" t="s">
        <v>3252</v>
      </c>
      <c r="B1012" s="26" t="str">
        <f aca="false">Entities!$A$28</f>
        <v>DE</v>
      </c>
      <c r="C1012" s="12" t="str">
        <f aca="false">INDEX(Entities!$B$5:$B$34,MATCH(B1012,Entities!$A$5:$A$34,0))</f>
        <v>Arab Bank – Germany</v>
      </c>
      <c r="D1012" s="7" t="str">
        <f aca="false">INDEX(Entities!$F$5:$F$34,MATCH(B1012,Entities!$A$5:$A$34,0))</f>
        <v>Tier 3</v>
      </c>
      <c r="E1012" s="26" t="str">
        <f aca="false">'Control Library'!$A$23</f>
        <v>CTL-FRD-01</v>
      </c>
      <c r="F1012" s="12" t="str">
        <f aca="false">INDEX('Control Library'!$B$5:$B$47,MATCH(E1012,'Control Library'!$A$5:$A$47,0))</f>
        <v>Real-time fraud monitoring for cards and digital channels</v>
      </c>
      <c r="G1012" s="7" t="str">
        <f aca="false">INDEX('Control Library'!$F$5:$F$47,MATCH(E1012,'Control Library'!$A$5:$A$47,0))</f>
        <v>Y</v>
      </c>
      <c r="H1012" s="12" t="str">
        <f aca="false">INDEX('Control Library'!$E$5:$E$47,MATCH(E1012,'Control Library'!$A$5:$A$47,0))</f>
        <v>Continuous</v>
      </c>
      <c r="I1012" s="7" t="str">
        <f aca="false">IF(INDEX('Control Library'!$I$5:$I$47,MATCH(E1012,'Control Library'!$A$5:$A$47,0))="All","Y",IF(INDEX('Control Library'!$I$5:$I$47,MATCH(E1012,'Control Library'!$A$5:$A$47,0))="Banks only",IF(COUNTIF('Residual Config'!$L$28:$L$30,INDEX(Entities!$E$5:$E$34,MATCH(B1012,Entities!$A$5:$A$34,0)))&gt;0,"N/A","Y"),IF(INDEX(Entities!$G$5:$G$34,MATCH(B1012,Entities!$A$5:$A$34,0))="Y","Y","N/A")))</f>
        <v>Y</v>
      </c>
      <c r="J1012" s="8" t="s">
        <v>3253</v>
      </c>
      <c r="K1012" s="8" t="s">
        <v>3207</v>
      </c>
      <c r="L1012" s="7" t="str">
        <f aca="false">IF(OR(J1012="",K1012=""),"",IF(J1012=K1012,"Breach","OK"))</f>
        <v>OK</v>
      </c>
      <c r="M1012" s="24" t="n">
        <v>1</v>
      </c>
      <c r="N1012" s="50" t="n">
        <v>46154</v>
      </c>
      <c r="O1012" s="8" t="s">
        <v>546</v>
      </c>
      <c r="P1012" s="24" t="n">
        <v>1</v>
      </c>
      <c r="Q1012" s="31" t="n">
        <f aca="false">IF(I1012="N/A","",IFERROR(INDEX('Residual Config'!$B$35:$B$42,MATCH(H1012,'Residual Config'!$A$35:$A$42,0)),""))</f>
        <v>1</v>
      </c>
      <c r="R1012" s="24" t="n">
        <v>1</v>
      </c>
      <c r="S1012" s="8" t="s">
        <v>521</v>
      </c>
      <c r="T1012" s="31" t="n">
        <f aca="false">IF(S1012="","",MATCH(S1012,'Residual Config'!$L$9:$L$12,0))</f>
        <v>2</v>
      </c>
      <c r="U1012" s="8" t="s">
        <v>3254</v>
      </c>
      <c r="V1012" s="24" t="n">
        <v>6</v>
      </c>
      <c r="W1012" s="33" t="s">
        <v>533</v>
      </c>
      <c r="X1012" s="8" t="s">
        <v>754</v>
      </c>
      <c r="Y1012" s="51" t="n">
        <f aca="false">IF(N1012="","",EDATE(N1012,IF(G1012="N",INDEX('Residual Config'!$B$31:$D$31,1,MATCH(D1012,'Residual Config'!$B$27:$D$27,0)),INDEX('Residual Config'!$B$28:$D$30,IF(T1012=1,1,IF(T1012=4,3,2)),MATCH(D1012,'Residual Config'!$B$27:$D$27,0)))))</f>
        <v>46338</v>
      </c>
      <c r="Z1012" s="7" t="str">
        <f aca="false">IF(I1012="N/A","N/A",IF(N1012="","Not tested",IF(W1012="Rejected","Evidence rejected",IF(W1012&lt;&gt;"Accepted","Evidence pending",IF(Y1012&lt;'Residual Config'!$C$4,"Overdue","Current")))))</f>
        <v>Current</v>
      </c>
      <c r="AA1012" s="34" t="n">
        <f aca="false">IF(I1012="N/A","",IF(Z1012&lt;&gt;"Current",4,IF(MAX(M1012,T1012)=0,4,MAX(M1012,T1012))))</f>
        <v>2</v>
      </c>
      <c r="AB1012" s="7" t="str">
        <f aca="false">IF(AA1012="","N/A",IF(Z1012&lt;&gt;"Current","Not tested / overdue",INDEX('Residual Config'!$B$11:$B$14,AA1012)))</f>
        <v>Largely effective</v>
      </c>
      <c r="AC1012" s="36" t="n">
        <f aca="false">IF(AA1012="","",INDEX('Residual Config'!$D$11:$D$14,AA1012))</f>
        <v>0.4</v>
      </c>
      <c r="AD1012" s="7" t="str">
        <f aca="false">IF(OR(I1012="N/A",P1012="",Q1012=""),"",IF(P1012&gt;=Q1012,"Yes","No"))</f>
        <v>Yes</v>
      </c>
      <c r="AE1012" s="8"/>
    </row>
    <row r="1013" customFormat="false" ht="15" hidden="false" customHeight="false" outlineLevel="0" collapsed="false">
      <c r="A1013" s="12" t="s">
        <v>3255</v>
      </c>
      <c r="B1013" s="26" t="str">
        <f aca="false">Entities!$A$28</f>
        <v>DE</v>
      </c>
      <c r="C1013" s="12" t="str">
        <f aca="false">INDEX(Entities!$B$5:$B$34,MATCH(B1013,Entities!$A$5:$A$34,0))</f>
        <v>Arab Bank – Germany</v>
      </c>
      <c r="D1013" s="7" t="str">
        <f aca="false">INDEX(Entities!$F$5:$F$34,MATCH(B1013,Entities!$A$5:$A$34,0))</f>
        <v>Tier 3</v>
      </c>
      <c r="E1013" s="26" t="str">
        <f aca="false">'Control Library'!$A$24</f>
        <v>CTL-FRD-02</v>
      </c>
      <c r="F1013" s="12" t="str">
        <f aca="false">INDEX('Control Library'!$B$5:$B$47,MATCH(E1013,'Control Library'!$A$5:$A$47,0))</f>
        <v>Maker-checker and dual control on payments and static data</v>
      </c>
      <c r="G1013" s="7" t="str">
        <f aca="false">INDEX('Control Library'!$F$5:$F$47,MATCH(E1013,'Control Library'!$A$5:$A$47,0))</f>
        <v>Y</v>
      </c>
      <c r="H1013" s="12" t="str">
        <f aca="false">INDEX('Control Library'!$E$5:$E$47,MATCH(E1013,'Control Library'!$A$5:$A$47,0))</f>
        <v>Daily</v>
      </c>
      <c r="I1013" s="7" t="str">
        <f aca="false">IF(INDEX('Control Library'!$I$5:$I$47,MATCH(E1013,'Control Library'!$A$5:$A$47,0))="All","Y",IF(INDEX('Control Library'!$I$5:$I$47,MATCH(E1013,'Control Library'!$A$5:$A$47,0))="Banks only",IF(COUNTIF('Residual Config'!$L$28:$L$30,INDEX(Entities!$E$5:$E$34,MATCH(B1013,Entities!$A$5:$A$34,0)))&gt;0,"N/A","Y"),IF(INDEX(Entities!$G$5:$G$34,MATCH(B1013,Entities!$A$5:$A$34,0))="Y","Y","N/A")))</f>
        <v>Y</v>
      </c>
      <c r="J1013" s="8" t="s">
        <v>3206</v>
      </c>
      <c r="K1013" s="8" t="s">
        <v>3207</v>
      </c>
      <c r="L1013" s="7" t="str">
        <f aca="false">IF(OR(J1013="",K1013=""),"",IF(J1013=K1013,"Breach","OK"))</f>
        <v>OK</v>
      </c>
      <c r="M1013" s="24" t="n">
        <v>1</v>
      </c>
      <c r="N1013" s="50" t="n">
        <v>46134</v>
      </c>
      <c r="O1013" s="8" t="s">
        <v>546</v>
      </c>
      <c r="P1013" s="24" t="n">
        <v>35</v>
      </c>
      <c r="Q1013" s="31" t="n">
        <f aca="false">IF(I1013="N/A","",IFERROR(INDEX('Residual Config'!$B$35:$B$42,MATCH(H1013,'Residual Config'!$A$35:$A$42,0)),""))</f>
        <v>25</v>
      </c>
      <c r="R1013" s="24" t="n">
        <v>1</v>
      </c>
      <c r="S1013" s="8" t="s">
        <v>521</v>
      </c>
      <c r="T1013" s="31" t="n">
        <f aca="false">IF(S1013="","",MATCH(S1013,'Residual Config'!$L$9:$L$12,0))</f>
        <v>2</v>
      </c>
      <c r="U1013" s="8" t="s">
        <v>3256</v>
      </c>
      <c r="V1013" s="24" t="n">
        <v>4</v>
      </c>
      <c r="W1013" s="33" t="s">
        <v>533</v>
      </c>
      <c r="X1013" s="8" t="s">
        <v>760</v>
      </c>
      <c r="Y1013" s="51" t="n">
        <f aca="false">IF(N1013="","",EDATE(N1013,IF(G1013="N",INDEX('Residual Config'!$B$31:$D$31,1,MATCH(D1013,'Residual Config'!$B$27:$D$27,0)),INDEX('Residual Config'!$B$28:$D$30,IF(T1013=1,1,IF(T1013=4,3,2)),MATCH(D1013,'Residual Config'!$B$27:$D$27,0)))))</f>
        <v>46317</v>
      </c>
      <c r="Z1013" s="7" t="str">
        <f aca="false">IF(I1013="N/A","N/A",IF(N1013="","Not tested",IF(W1013="Rejected","Evidence rejected",IF(W1013&lt;&gt;"Accepted","Evidence pending",IF(Y1013&lt;'Residual Config'!$C$4,"Overdue","Current")))))</f>
        <v>Current</v>
      </c>
      <c r="AA1013" s="34" t="n">
        <f aca="false">IF(I1013="N/A","",IF(Z1013&lt;&gt;"Current",4,IF(MAX(M1013,T1013)=0,4,MAX(M1013,T1013))))</f>
        <v>2</v>
      </c>
      <c r="AB1013" s="7" t="str">
        <f aca="false">IF(AA1013="","N/A",IF(Z1013&lt;&gt;"Current","Not tested / overdue",INDEX('Residual Config'!$B$11:$B$14,AA1013)))</f>
        <v>Largely effective</v>
      </c>
      <c r="AC1013" s="36" t="n">
        <f aca="false">IF(AA1013="","",INDEX('Residual Config'!$D$11:$D$14,AA1013))</f>
        <v>0.4</v>
      </c>
      <c r="AD1013" s="7" t="str">
        <f aca="false">IF(OR(I1013="N/A",P1013="",Q1013=""),"",IF(P1013&gt;=Q1013,"Yes","No"))</f>
        <v>Yes</v>
      </c>
      <c r="AE1013" s="8"/>
    </row>
    <row r="1014" customFormat="false" ht="15" hidden="false" customHeight="false" outlineLevel="0" collapsed="false">
      <c r="A1014" s="12" t="s">
        <v>3257</v>
      </c>
      <c r="B1014" s="26" t="str">
        <f aca="false">Entities!$A$28</f>
        <v>DE</v>
      </c>
      <c r="C1014" s="12" t="str">
        <f aca="false">INDEX(Entities!$B$5:$B$34,MATCH(B1014,Entities!$A$5:$A$34,0))</f>
        <v>Arab Bank – Germany</v>
      </c>
      <c r="D1014" s="7" t="str">
        <f aca="false">INDEX(Entities!$F$5:$F$34,MATCH(B1014,Entities!$A$5:$A$34,0))</f>
        <v>Tier 3</v>
      </c>
      <c r="E1014" s="26" t="str">
        <f aca="false">'Control Library'!$A$25</f>
        <v>CTL-FRD-03</v>
      </c>
      <c r="F1014" s="12" t="str">
        <f aca="false">INDEX('Control Library'!$B$5:$B$47,MATCH(E1014,'Control Library'!$A$5:$A$47,0))</f>
        <v>Mandatory consecutive leave and rotation for sensitive roles</v>
      </c>
      <c r="G1014" s="7" t="str">
        <f aca="false">INDEX('Control Library'!$F$5:$F$47,MATCH(E1014,'Control Library'!$A$5:$A$47,0))</f>
        <v>N</v>
      </c>
      <c r="H1014" s="12" t="str">
        <f aca="false">INDEX('Control Library'!$E$5:$E$47,MATCH(E1014,'Control Library'!$A$5:$A$47,0))</f>
        <v>Annual</v>
      </c>
      <c r="I1014" s="7" t="str">
        <f aca="false">IF(INDEX('Control Library'!$I$5:$I$47,MATCH(E1014,'Control Library'!$A$5:$A$47,0))="All","Y",IF(INDEX('Control Library'!$I$5:$I$47,MATCH(E1014,'Control Library'!$A$5:$A$47,0))="Banks only",IF(COUNTIF('Residual Config'!$L$28:$L$30,INDEX(Entities!$E$5:$E$34,MATCH(B1014,Entities!$A$5:$A$34,0)))&gt;0,"N/A","Y"),IF(INDEX(Entities!$G$5:$G$34,MATCH(B1014,Entities!$A$5:$A$34,0))="Y","Y","N/A")))</f>
        <v>Y</v>
      </c>
      <c r="J1014" s="8" t="s">
        <v>3258</v>
      </c>
      <c r="K1014" s="8" t="s">
        <v>3207</v>
      </c>
      <c r="L1014" s="7" t="str">
        <f aca="false">IF(OR(J1014="",K1014=""),"",IF(J1014=K1014,"Breach","OK"))</f>
        <v>OK</v>
      </c>
      <c r="M1014" s="24" t="n">
        <v>1</v>
      </c>
      <c r="N1014" s="50" t="n">
        <v>45918</v>
      </c>
      <c r="O1014" s="8" t="s">
        <v>546</v>
      </c>
      <c r="P1014" s="24" t="n">
        <v>1</v>
      </c>
      <c r="Q1014" s="31" t="n">
        <f aca="false">IF(I1014="N/A","",IFERROR(INDEX('Residual Config'!$B$35:$B$42,MATCH(H1014,'Residual Config'!$A$35:$A$42,0)),""))</f>
        <v>1</v>
      </c>
      <c r="R1014" s="24" t="n">
        <v>1</v>
      </c>
      <c r="S1014" s="8" t="s">
        <v>521</v>
      </c>
      <c r="T1014" s="31" t="n">
        <f aca="false">IF(S1014="","",MATCH(S1014,'Residual Config'!$L$9:$L$12,0))</f>
        <v>2</v>
      </c>
      <c r="U1014" s="8" t="s">
        <v>3259</v>
      </c>
      <c r="V1014" s="24" t="n">
        <v>6</v>
      </c>
      <c r="W1014" s="33" t="s">
        <v>533</v>
      </c>
      <c r="X1014" s="8" t="s">
        <v>754</v>
      </c>
      <c r="Y1014" s="51" t="n">
        <f aca="false">IF(N1014="","",EDATE(N1014,IF(G1014="N",INDEX('Residual Config'!$B$31:$D$31,1,MATCH(D1014,'Residual Config'!$B$27:$D$27,0)),INDEX('Residual Config'!$B$28:$D$30,IF(T1014=1,1,IF(T1014=4,3,2)),MATCH(D1014,'Residual Config'!$B$27:$D$27,0)))))</f>
        <v>46648</v>
      </c>
      <c r="Z1014" s="7" t="str">
        <f aca="false">IF(I1014="N/A","N/A",IF(N1014="","Not tested",IF(W1014="Rejected","Evidence rejected",IF(W1014&lt;&gt;"Accepted","Evidence pending",IF(Y1014&lt;'Residual Config'!$C$4,"Overdue","Current")))))</f>
        <v>Current</v>
      </c>
      <c r="AA1014" s="34" t="n">
        <f aca="false">IF(I1014="N/A","",IF(Z1014&lt;&gt;"Current",4,IF(MAX(M1014,T1014)=0,4,MAX(M1014,T1014))))</f>
        <v>2</v>
      </c>
      <c r="AB1014" s="7" t="str">
        <f aca="false">IF(AA1014="","N/A",IF(Z1014&lt;&gt;"Current","Not tested / overdue",INDEX('Residual Config'!$B$11:$B$14,AA1014)))</f>
        <v>Largely effective</v>
      </c>
      <c r="AC1014" s="36" t="n">
        <f aca="false">IF(AA1014="","",INDEX('Residual Config'!$D$11:$D$14,AA1014))</f>
        <v>0.4</v>
      </c>
      <c r="AD1014" s="7" t="str">
        <f aca="false">IF(OR(I1014="N/A",P1014="",Q1014=""),"",IF(P1014&gt;=Q1014,"Yes","No"))</f>
        <v>Yes</v>
      </c>
      <c r="AE1014" s="8"/>
    </row>
    <row r="1015" customFormat="false" ht="15" hidden="false" customHeight="false" outlineLevel="0" collapsed="false">
      <c r="A1015" s="12" t="s">
        <v>3260</v>
      </c>
      <c r="B1015" s="26" t="str">
        <f aca="false">Entities!$A$28</f>
        <v>DE</v>
      </c>
      <c r="C1015" s="12" t="str">
        <f aca="false">INDEX(Entities!$B$5:$B$34,MATCH(B1015,Entities!$A$5:$A$34,0))</f>
        <v>Arab Bank – Germany</v>
      </c>
      <c r="D1015" s="7" t="str">
        <f aca="false">INDEX(Entities!$F$5:$F$34,MATCH(B1015,Entities!$A$5:$A$34,0))</f>
        <v>Tier 3</v>
      </c>
      <c r="E1015" s="26" t="str">
        <f aca="false">'Control Library'!$A$26</f>
        <v>CTL-TAX-01</v>
      </c>
      <c r="F1015" s="12" t="str">
        <f aca="false">INDEX('Control Library'!$B$5:$B$47,MATCH(E1015,'Control Library'!$A$5:$A$47,0))</f>
        <v>FATCA/CRS self-certification and classification</v>
      </c>
      <c r="G1015" s="7" t="str">
        <f aca="false">INDEX('Control Library'!$F$5:$F$47,MATCH(E1015,'Control Library'!$A$5:$A$47,0))</f>
        <v>Y</v>
      </c>
      <c r="H1015" s="12" t="str">
        <f aca="false">INDEX('Control Library'!$E$5:$E$47,MATCH(E1015,'Control Library'!$A$5:$A$47,0))</f>
        <v>Event-driven</v>
      </c>
      <c r="I1015" s="7" t="str">
        <f aca="false">IF(INDEX('Control Library'!$I$5:$I$47,MATCH(E1015,'Control Library'!$A$5:$A$47,0))="All","Y",IF(INDEX('Control Library'!$I$5:$I$47,MATCH(E1015,'Control Library'!$A$5:$A$47,0))="Banks only",IF(COUNTIF('Residual Config'!$L$28:$L$30,INDEX(Entities!$E$5:$E$34,MATCH(B1015,Entities!$A$5:$A$34,0)))&gt;0,"N/A","Y"),IF(INDEX(Entities!$G$5:$G$34,MATCH(B1015,Entities!$A$5:$A$34,0))="Y","Y","N/A")))</f>
        <v>Y</v>
      </c>
      <c r="J1015" s="8" t="s">
        <v>3206</v>
      </c>
      <c r="K1015" s="8" t="s">
        <v>3207</v>
      </c>
      <c r="L1015" s="7" t="str">
        <f aca="false">IF(OR(J1015="",K1015=""),"",IF(J1015=K1015,"Breach","OK"))</f>
        <v>OK</v>
      </c>
      <c r="M1015" s="24" t="n">
        <v>1</v>
      </c>
      <c r="N1015" s="50" t="n">
        <v>46196</v>
      </c>
      <c r="O1015" s="8" t="s">
        <v>545</v>
      </c>
      <c r="P1015" s="24" t="n">
        <v>25</v>
      </c>
      <c r="Q1015" s="31" t="n">
        <f aca="false">IF(I1015="N/A","",IFERROR(INDEX('Residual Config'!$B$35:$B$42,MATCH(H1015,'Residual Config'!$A$35:$A$42,0)),""))</f>
        <v>25</v>
      </c>
      <c r="R1015" s="24" t="n">
        <v>1</v>
      </c>
      <c r="S1015" s="8" t="s">
        <v>521</v>
      </c>
      <c r="T1015" s="31" t="n">
        <f aca="false">IF(S1015="","",MATCH(S1015,'Residual Config'!$L$9:$L$12,0))</f>
        <v>2</v>
      </c>
      <c r="U1015" s="8" t="s">
        <v>3261</v>
      </c>
      <c r="V1015" s="24" t="n">
        <v>2</v>
      </c>
      <c r="W1015" s="33" t="s">
        <v>533</v>
      </c>
      <c r="X1015" s="8" t="s">
        <v>760</v>
      </c>
      <c r="Y1015" s="51" t="n">
        <f aca="false">IF(N1015="","",EDATE(N1015,IF(G1015="N",INDEX('Residual Config'!$B$31:$D$31,1,MATCH(D1015,'Residual Config'!$B$27:$D$27,0)),INDEX('Residual Config'!$B$28:$D$30,IF(T1015=1,1,IF(T1015=4,3,2)),MATCH(D1015,'Residual Config'!$B$27:$D$27,0)))))</f>
        <v>46379</v>
      </c>
      <c r="Z1015" s="7" t="str">
        <f aca="false">IF(I1015="N/A","N/A",IF(N1015="","Not tested",IF(W1015="Rejected","Evidence rejected",IF(W1015&lt;&gt;"Accepted","Evidence pending",IF(Y1015&lt;'Residual Config'!$C$4,"Overdue","Current")))))</f>
        <v>Current</v>
      </c>
      <c r="AA1015" s="34" t="n">
        <f aca="false">IF(I1015="N/A","",IF(Z1015&lt;&gt;"Current",4,IF(MAX(M1015,T1015)=0,4,MAX(M1015,T1015))))</f>
        <v>2</v>
      </c>
      <c r="AB1015" s="7" t="str">
        <f aca="false">IF(AA1015="","N/A",IF(Z1015&lt;&gt;"Current","Not tested / overdue",INDEX('Residual Config'!$B$11:$B$14,AA1015)))</f>
        <v>Largely effective</v>
      </c>
      <c r="AC1015" s="36" t="n">
        <f aca="false">IF(AA1015="","",INDEX('Residual Config'!$D$11:$D$14,AA1015))</f>
        <v>0.4</v>
      </c>
      <c r="AD1015" s="7" t="str">
        <f aca="false">IF(OR(I1015="N/A",P1015="",Q1015=""),"",IF(P1015&gt;=Q1015,"Yes","No"))</f>
        <v>Yes</v>
      </c>
      <c r="AE1015" s="8"/>
    </row>
    <row r="1016" customFormat="false" ht="15" hidden="false" customHeight="false" outlineLevel="0" collapsed="false">
      <c r="A1016" s="12" t="s">
        <v>3262</v>
      </c>
      <c r="B1016" s="26" t="str">
        <f aca="false">Entities!$A$28</f>
        <v>DE</v>
      </c>
      <c r="C1016" s="12" t="str">
        <f aca="false">INDEX(Entities!$B$5:$B$34,MATCH(B1016,Entities!$A$5:$A$34,0))</f>
        <v>Arab Bank – Germany</v>
      </c>
      <c r="D1016" s="7" t="str">
        <f aca="false">INDEX(Entities!$F$5:$F$34,MATCH(B1016,Entities!$A$5:$A$34,0))</f>
        <v>Tier 3</v>
      </c>
      <c r="E1016" s="26" t="str">
        <f aca="false">'Control Library'!$A$27</f>
        <v>CTL-TAX-02</v>
      </c>
      <c r="F1016" s="12" t="str">
        <f aca="false">INDEX('Control Library'!$B$5:$B$47,MATCH(E1016,'Control Library'!$A$5:$A$47,0))</f>
        <v>FATCA/CRS reporting reconciliation and timely filing</v>
      </c>
      <c r="G1016" s="7" t="str">
        <f aca="false">INDEX('Control Library'!$F$5:$F$47,MATCH(E1016,'Control Library'!$A$5:$A$47,0))</f>
        <v>N</v>
      </c>
      <c r="H1016" s="12" t="str">
        <f aca="false">INDEX('Control Library'!$E$5:$E$47,MATCH(E1016,'Control Library'!$A$5:$A$47,0))</f>
        <v>Annual</v>
      </c>
      <c r="I1016" s="7" t="str">
        <f aca="false">IF(INDEX('Control Library'!$I$5:$I$47,MATCH(E1016,'Control Library'!$A$5:$A$47,0))="All","Y",IF(INDEX('Control Library'!$I$5:$I$47,MATCH(E1016,'Control Library'!$A$5:$A$47,0))="Banks only",IF(COUNTIF('Residual Config'!$L$28:$L$30,INDEX(Entities!$E$5:$E$34,MATCH(B1016,Entities!$A$5:$A$34,0)))&gt;0,"N/A","Y"),IF(INDEX(Entities!$G$5:$G$34,MATCH(B1016,Entities!$A$5:$A$34,0))="Y","Y","N/A")))</f>
        <v>Y</v>
      </c>
      <c r="J1016" s="8" t="s">
        <v>3263</v>
      </c>
      <c r="K1016" s="8" t="s">
        <v>3207</v>
      </c>
      <c r="L1016" s="7" t="str">
        <f aca="false">IF(OR(J1016="",K1016=""),"",IF(J1016=K1016,"Breach","OK"))</f>
        <v>OK</v>
      </c>
      <c r="M1016" s="24" t="n">
        <v>1</v>
      </c>
      <c r="N1016" s="50" t="n">
        <v>45942</v>
      </c>
      <c r="O1016" s="8" t="s">
        <v>545</v>
      </c>
      <c r="P1016" s="24" t="n">
        <v>1</v>
      </c>
      <c r="Q1016" s="31" t="n">
        <f aca="false">IF(I1016="N/A","",IFERROR(INDEX('Residual Config'!$B$35:$B$42,MATCH(H1016,'Residual Config'!$A$35:$A$42,0)),""))</f>
        <v>1</v>
      </c>
      <c r="R1016" s="24" t="n">
        <v>0</v>
      </c>
      <c r="S1016" s="8" t="s">
        <v>516</v>
      </c>
      <c r="T1016" s="31" t="n">
        <f aca="false">IF(S1016="","",MATCH(S1016,'Residual Config'!$L$9:$L$12,0))</f>
        <v>1</v>
      </c>
      <c r="U1016" s="8" t="s">
        <v>3264</v>
      </c>
      <c r="V1016" s="24" t="n">
        <v>3</v>
      </c>
      <c r="W1016" s="33" t="s">
        <v>533</v>
      </c>
      <c r="X1016" s="8" t="s">
        <v>760</v>
      </c>
      <c r="Y1016" s="51" t="n">
        <f aca="false">IF(N1016="","",EDATE(N1016,IF(G1016="N",INDEX('Residual Config'!$B$31:$D$31,1,MATCH(D1016,'Residual Config'!$B$27:$D$27,0)),INDEX('Residual Config'!$B$28:$D$30,IF(T1016=1,1,IF(T1016=4,3,2)),MATCH(D1016,'Residual Config'!$B$27:$D$27,0)))))</f>
        <v>46672</v>
      </c>
      <c r="Z1016" s="7" t="str">
        <f aca="false">IF(I1016="N/A","N/A",IF(N1016="","Not tested",IF(W1016="Rejected","Evidence rejected",IF(W1016&lt;&gt;"Accepted","Evidence pending",IF(Y1016&lt;'Residual Config'!$C$4,"Overdue","Current")))))</f>
        <v>Current</v>
      </c>
      <c r="AA1016" s="34" t="n">
        <f aca="false">IF(I1016="N/A","",IF(Z1016&lt;&gt;"Current",4,IF(MAX(M1016,T1016)=0,4,MAX(M1016,T1016))))</f>
        <v>1</v>
      </c>
      <c r="AB1016" s="7" t="str">
        <f aca="false">IF(AA1016="","N/A",IF(Z1016&lt;&gt;"Current","Not tested / overdue",INDEX('Residual Config'!$B$11:$B$14,AA1016)))</f>
        <v>Effective</v>
      </c>
      <c r="AC1016" s="36" t="n">
        <f aca="false">IF(AA1016="","",INDEX('Residual Config'!$D$11:$D$14,AA1016))</f>
        <v>0.6</v>
      </c>
      <c r="AD1016" s="7" t="str">
        <f aca="false">IF(OR(I1016="N/A",P1016="",Q1016=""),"",IF(P1016&gt;=Q1016,"Yes","No"))</f>
        <v>Yes</v>
      </c>
      <c r="AE1016" s="8"/>
    </row>
    <row r="1017" customFormat="false" ht="15" hidden="false" customHeight="false" outlineLevel="0" collapsed="false">
      <c r="A1017" s="12" t="s">
        <v>3265</v>
      </c>
      <c r="B1017" s="26" t="str">
        <f aca="false">Entities!$A$28</f>
        <v>DE</v>
      </c>
      <c r="C1017" s="12" t="str">
        <f aca="false">INDEX(Entities!$B$5:$B$34,MATCH(B1017,Entities!$A$5:$A$34,0))</f>
        <v>Arab Bank – Germany</v>
      </c>
      <c r="D1017" s="7" t="str">
        <f aca="false">INDEX(Entities!$F$5:$F$34,MATCH(B1017,Entities!$A$5:$A$34,0))</f>
        <v>Tier 3</v>
      </c>
      <c r="E1017" s="26" t="str">
        <f aca="false">'Control Library'!$A$28</f>
        <v>CTL-TRN-01</v>
      </c>
      <c r="F1017" s="12" t="str">
        <f aca="false">INDEX('Control Library'!$B$5:$B$47,MATCH(E1017,'Control Library'!$A$5:$A$47,0))</f>
        <v>Annual AML, sanctions and anti-bribery training</v>
      </c>
      <c r="G1017" s="7" t="str">
        <f aca="false">INDEX('Control Library'!$F$5:$F$47,MATCH(E1017,'Control Library'!$A$5:$A$47,0))</f>
        <v>N</v>
      </c>
      <c r="H1017" s="12" t="str">
        <f aca="false">INDEX('Control Library'!$E$5:$E$47,MATCH(E1017,'Control Library'!$A$5:$A$47,0))</f>
        <v>Annual</v>
      </c>
      <c r="I1017" s="7" t="str">
        <f aca="false">IF(INDEX('Control Library'!$I$5:$I$47,MATCH(E1017,'Control Library'!$A$5:$A$47,0))="All","Y",IF(INDEX('Control Library'!$I$5:$I$47,MATCH(E1017,'Control Library'!$A$5:$A$47,0))="Banks only",IF(COUNTIF('Residual Config'!$L$28:$L$30,INDEX(Entities!$E$5:$E$34,MATCH(B1017,Entities!$A$5:$A$34,0)))&gt;0,"N/A","Y"),IF(INDEX(Entities!$G$5:$G$34,MATCH(B1017,Entities!$A$5:$A$34,0))="Y","Y","N/A")))</f>
        <v>Y</v>
      </c>
      <c r="J1017" s="8" t="s">
        <v>3210</v>
      </c>
      <c r="K1017" s="8" t="s">
        <v>3207</v>
      </c>
      <c r="L1017" s="7" t="str">
        <f aca="false">IF(OR(J1017="",K1017=""),"",IF(J1017=K1017,"Breach","OK"))</f>
        <v>OK</v>
      </c>
      <c r="M1017" s="24" t="n">
        <v>1</v>
      </c>
      <c r="N1017" s="50" t="n">
        <v>45620</v>
      </c>
      <c r="O1017" s="8" t="s">
        <v>545</v>
      </c>
      <c r="P1017" s="24" t="n">
        <v>1</v>
      </c>
      <c r="Q1017" s="31" t="n">
        <f aca="false">IF(I1017="N/A","",IFERROR(INDEX('Residual Config'!$B$35:$B$42,MATCH(H1017,'Residual Config'!$A$35:$A$42,0)),""))</f>
        <v>1</v>
      </c>
      <c r="R1017" s="24" t="n">
        <v>0</v>
      </c>
      <c r="S1017" s="8" t="s">
        <v>516</v>
      </c>
      <c r="T1017" s="31" t="n">
        <f aca="false">IF(S1017="","",MATCH(S1017,'Residual Config'!$L$9:$L$12,0))</f>
        <v>1</v>
      </c>
      <c r="U1017" s="8" t="s">
        <v>3266</v>
      </c>
      <c r="V1017" s="24" t="n">
        <v>3</v>
      </c>
      <c r="W1017" s="33" t="s">
        <v>533</v>
      </c>
      <c r="X1017" s="8" t="s">
        <v>760</v>
      </c>
      <c r="Y1017" s="51" t="n">
        <f aca="false">IF(N1017="","",EDATE(N1017,IF(G1017="N",INDEX('Residual Config'!$B$31:$D$31,1,MATCH(D1017,'Residual Config'!$B$27:$D$27,0)),INDEX('Residual Config'!$B$28:$D$30,IF(T1017=1,1,IF(T1017=4,3,2)),MATCH(D1017,'Residual Config'!$B$27:$D$27,0)))))</f>
        <v>46350</v>
      </c>
      <c r="Z1017" s="7" t="str">
        <f aca="false">IF(I1017="N/A","N/A",IF(N1017="","Not tested",IF(W1017="Rejected","Evidence rejected",IF(W1017&lt;&gt;"Accepted","Evidence pending",IF(Y1017&lt;'Residual Config'!$C$4,"Overdue","Current")))))</f>
        <v>Current</v>
      </c>
      <c r="AA1017" s="34" t="n">
        <f aca="false">IF(I1017="N/A","",IF(Z1017&lt;&gt;"Current",4,IF(MAX(M1017,T1017)=0,4,MAX(M1017,T1017))))</f>
        <v>1</v>
      </c>
      <c r="AB1017" s="7" t="str">
        <f aca="false">IF(AA1017="","N/A",IF(Z1017&lt;&gt;"Current","Not tested / overdue",INDEX('Residual Config'!$B$11:$B$14,AA1017)))</f>
        <v>Effective</v>
      </c>
      <c r="AC1017" s="36" t="n">
        <f aca="false">IF(AA1017="","",INDEX('Residual Config'!$D$11:$D$14,AA1017))</f>
        <v>0.6</v>
      </c>
      <c r="AD1017" s="7" t="str">
        <f aca="false">IF(OR(I1017="N/A",P1017="",Q1017=""),"",IF(P1017&gt;=Q1017,"Yes","No"))</f>
        <v>Yes</v>
      </c>
      <c r="AE1017" s="8"/>
    </row>
    <row r="1018" customFormat="false" ht="15" hidden="false" customHeight="false" outlineLevel="0" collapsed="false">
      <c r="A1018" s="12" t="s">
        <v>3267</v>
      </c>
      <c r="B1018" s="26" t="str">
        <f aca="false">Entities!$A$28</f>
        <v>DE</v>
      </c>
      <c r="C1018" s="12" t="str">
        <f aca="false">INDEX(Entities!$B$5:$B$34,MATCH(B1018,Entities!$A$5:$A$34,0))</f>
        <v>Arab Bank – Germany</v>
      </c>
      <c r="D1018" s="7" t="str">
        <f aca="false">INDEX(Entities!$F$5:$F$34,MATCH(B1018,Entities!$A$5:$A$34,0))</f>
        <v>Tier 3</v>
      </c>
      <c r="E1018" s="26" t="str">
        <f aca="false">'Control Library'!$A$29</f>
        <v>CTL-REG-01</v>
      </c>
      <c r="F1018" s="12" t="str">
        <f aca="false">INDEX('Control Library'!$B$5:$B$47,MATCH(E1018,'Control Library'!$A$5:$A$47,0))</f>
        <v>Regulatory change management and obligations register</v>
      </c>
      <c r="G1018" s="7" t="str">
        <f aca="false">INDEX('Control Library'!$F$5:$F$47,MATCH(E1018,'Control Library'!$A$5:$A$47,0))</f>
        <v>Y</v>
      </c>
      <c r="H1018" s="12" t="str">
        <f aca="false">INDEX('Control Library'!$E$5:$E$47,MATCH(E1018,'Control Library'!$A$5:$A$47,0))</f>
        <v>Monthly</v>
      </c>
      <c r="I1018" s="7" t="str">
        <f aca="false">IF(INDEX('Control Library'!$I$5:$I$47,MATCH(E1018,'Control Library'!$A$5:$A$47,0))="All","Y",IF(INDEX('Control Library'!$I$5:$I$47,MATCH(E1018,'Control Library'!$A$5:$A$47,0))="Banks only",IF(COUNTIF('Residual Config'!$L$28:$L$30,INDEX(Entities!$E$5:$E$34,MATCH(B1018,Entities!$A$5:$A$34,0)))&gt;0,"N/A","Y"),IF(INDEX(Entities!$G$5:$G$34,MATCH(B1018,Entities!$A$5:$A$34,0))="Y","Y","N/A")))</f>
        <v>Y</v>
      </c>
      <c r="J1018" s="8" t="s">
        <v>3210</v>
      </c>
      <c r="K1018" s="8" t="s">
        <v>3207</v>
      </c>
      <c r="L1018" s="7" t="str">
        <f aca="false">IF(OR(J1018="",K1018=""),"",IF(J1018=K1018,"Breach","OK"))</f>
        <v>OK</v>
      </c>
      <c r="M1018" s="24" t="n">
        <v>2</v>
      </c>
      <c r="N1018" s="50" t="n">
        <v>46156</v>
      </c>
      <c r="O1018" s="8" t="s">
        <v>545</v>
      </c>
      <c r="P1018" s="24" t="n">
        <v>3</v>
      </c>
      <c r="Q1018" s="31" t="n">
        <f aca="false">IF(I1018="N/A","",IFERROR(INDEX('Residual Config'!$B$35:$B$42,MATCH(H1018,'Residual Config'!$A$35:$A$42,0)),""))</f>
        <v>3</v>
      </c>
      <c r="R1018" s="24" t="n">
        <v>1</v>
      </c>
      <c r="S1018" s="8" t="s">
        <v>521</v>
      </c>
      <c r="T1018" s="31" t="n">
        <f aca="false">IF(S1018="","",MATCH(S1018,'Residual Config'!$L$9:$L$12,0))</f>
        <v>2</v>
      </c>
      <c r="U1018" s="8" t="s">
        <v>3268</v>
      </c>
      <c r="V1018" s="24" t="n">
        <v>2</v>
      </c>
      <c r="W1018" s="33" t="s">
        <v>533</v>
      </c>
      <c r="X1018" s="8" t="s">
        <v>754</v>
      </c>
      <c r="Y1018" s="51" t="n">
        <f aca="false">IF(N1018="","",EDATE(N1018,IF(G1018="N",INDEX('Residual Config'!$B$31:$D$31,1,MATCH(D1018,'Residual Config'!$B$27:$D$27,0)),INDEX('Residual Config'!$B$28:$D$30,IF(T1018=1,1,IF(T1018=4,3,2)),MATCH(D1018,'Residual Config'!$B$27:$D$27,0)))))</f>
        <v>46340</v>
      </c>
      <c r="Z1018" s="7" t="str">
        <f aca="false">IF(I1018="N/A","N/A",IF(N1018="","Not tested",IF(W1018="Rejected","Evidence rejected",IF(W1018&lt;&gt;"Accepted","Evidence pending",IF(Y1018&lt;'Residual Config'!$C$4,"Overdue","Current")))))</f>
        <v>Current</v>
      </c>
      <c r="AA1018" s="34" t="n">
        <f aca="false">IF(I1018="N/A","",IF(Z1018&lt;&gt;"Current",4,IF(MAX(M1018,T1018)=0,4,MAX(M1018,T1018))))</f>
        <v>2</v>
      </c>
      <c r="AB1018" s="7" t="str">
        <f aca="false">IF(AA1018="","N/A",IF(Z1018&lt;&gt;"Current","Not tested / overdue",INDEX('Residual Config'!$B$11:$B$14,AA1018)))</f>
        <v>Largely effective</v>
      </c>
      <c r="AC1018" s="36" t="n">
        <f aca="false">IF(AA1018="","",INDEX('Residual Config'!$D$11:$D$14,AA1018))</f>
        <v>0.4</v>
      </c>
      <c r="AD1018" s="7" t="str">
        <f aca="false">IF(OR(I1018="N/A",P1018="",Q1018=""),"",IF(P1018&gt;=Q1018,"Yes","No"))</f>
        <v>Yes</v>
      </c>
      <c r="AE1018" s="8"/>
    </row>
    <row r="1019" customFormat="false" ht="15" hidden="false" customHeight="false" outlineLevel="0" collapsed="false">
      <c r="A1019" s="12" t="s">
        <v>3269</v>
      </c>
      <c r="B1019" s="26" t="str">
        <f aca="false">Entities!$A$28</f>
        <v>DE</v>
      </c>
      <c r="C1019" s="12" t="str">
        <f aca="false">INDEX(Entities!$B$5:$B$34,MATCH(B1019,Entities!$A$5:$A$34,0))</f>
        <v>Arab Bank – Germany</v>
      </c>
      <c r="D1019" s="7" t="str">
        <f aca="false">INDEX(Entities!$F$5:$F$34,MATCH(B1019,Entities!$A$5:$A$34,0))</f>
        <v>Tier 3</v>
      </c>
      <c r="E1019" s="26" t="str">
        <f aca="false">'Control Library'!$A$30</f>
        <v>CTL-REG-02</v>
      </c>
      <c r="F1019" s="12" t="str">
        <f aca="false">INDEX('Control Library'!$B$5:$B$47,MATCH(E1019,'Control Library'!$A$5:$A$47,0))</f>
        <v>Regulatory return review and senior sign-off</v>
      </c>
      <c r="G1019" s="7" t="str">
        <f aca="false">INDEX('Control Library'!$F$5:$F$47,MATCH(E1019,'Control Library'!$A$5:$A$47,0))</f>
        <v>Y</v>
      </c>
      <c r="H1019" s="12" t="str">
        <f aca="false">INDEX('Control Library'!$E$5:$E$47,MATCH(E1019,'Control Library'!$A$5:$A$47,0))</f>
        <v>Monthly</v>
      </c>
      <c r="I1019" s="7" t="str">
        <f aca="false">IF(INDEX('Control Library'!$I$5:$I$47,MATCH(E1019,'Control Library'!$A$5:$A$47,0))="All","Y",IF(INDEX('Control Library'!$I$5:$I$47,MATCH(E1019,'Control Library'!$A$5:$A$47,0))="Banks only",IF(COUNTIF('Residual Config'!$L$28:$L$30,INDEX(Entities!$E$5:$E$34,MATCH(B1019,Entities!$A$5:$A$34,0)))&gt;0,"N/A","Y"),IF(INDEX(Entities!$G$5:$G$34,MATCH(B1019,Entities!$A$5:$A$34,0))="Y","Y","N/A")))</f>
        <v>Y</v>
      </c>
      <c r="J1019" s="8" t="s">
        <v>3263</v>
      </c>
      <c r="K1019" s="8" t="s">
        <v>3207</v>
      </c>
      <c r="L1019" s="7" t="str">
        <f aca="false">IF(OR(J1019="",K1019=""),"",IF(J1019=K1019,"Breach","OK"))</f>
        <v>OK</v>
      </c>
      <c r="M1019" s="24" t="n">
        <v>1</v>
      </c>
      <c r="N1019" s="50" t="n">
        <v>46181</v>
      </c>
      <c r="O1019" s="8" t="s">
        <v>545</v>
      </c>
      <c r="P1019" s="24" t="n">
        <v>3</v>
      </c>
      <c r="Q1019" s="31" t="n">
        <f aca="false">IF(I1019="N/A","",IFERROR(INDEX('Residual Config'!$B$35:$B$42,MATCH(H1019,'Residual Config'!$A$35:$A$42,0)),""))</f>
        <v>3</v>
      </c>
      <c r="R1019" s="24" t="n">
        <v>0</v>
      </c>
      <c r="S1019" s="8" t="s">
        <v>516</v>
      </c>
      <c r="T1019" s="31" t="n">
        <f aca="false">IF(S1019="","",MATCH(S1019,'Residual Config'!$L$9:$L$12,0))</f>
        <v>1</v>
      </c>
      <c r="U1019" s="8" t="s">
        <v>3270</v>
      </c>
      <c r="V1019" s="24" t="n">
        <v>2</v>
      </c>
      <c r="W1019" s="33" t="s">
        <v>533</v>
      </c>
      <c r="X1019" s="8" t="s">
        <v>760</v>
      </c>
      <c r="Y1019" s="51" t="n">
        <f aca="false">IF(N1019="","",EDATE(N1019,IF(G1019="N",INDEX('Residual Config'!$B$31:$D$31,1,MATCH(D1019,'Residual Config'!$B$27:$D$27,0)),INDEX('Residual Config'!$B$28:$D$30,IF(T1019=1,1,IF(T1019=4,3,2)),MATCH(D1019,'Residual Config'!$B$27:$D$27,0)))))</f>
        <v>46546</v>
      </c>
      <c r="Z1019" s="7" t="str">
        <f aca="false">IF(I1019="N/A","N/A",IF(N1019="","Not tested",IF(W1019="Rejected","Evidence rejected",IF(W1019&lt;&gt;"Accepted","Evidence pending",IF(Y1019&lt;'Residual Config'!$C$4,"Overdue","Current")))))</f>
        <v>Current</v>
      </c>
      <c r="AA1019" s="34" t="n">
        <f aca="false">IF(I1019="N/A","",IF(Z1019&lt;&gt;"Current",4,IF(MAX(M1019,T1019)=0,4,MAX(M1019,T1019))))</f>
        <v>1</v>
      </c>
      <c r="AB1019" s="7" t="str">
        <f aca="false">IF(AA1019="","N/A",IF(Z1019&lt;&gt;"Current","Not tested / overdue",INDEX('Residual Config'!$B$11:$B$14,AA1019)))</f>
        <v>Effective</v>
      </c>
      <c r="AC1019" s="36" t="n">
        <f aca="false">IF(AA1019="","",INDEX('Residual Config'!$D$11:$D$14,AA1019))</f>
        <v>0.6</v>
      </c>
      <c r="AD1019" s="7" t="str">
        <f aca="false">IF(OR(I1019="N/A",P1019="",Q1019=""),"",IF(P1019&gt;=Q1019,"Yes","No"))</f>
        <v>Yes</v>
      </c>
      <c r="AE1019" s="8"/>
    </row>
    <row r="1020" customFormat="false" ht="15" hidden="false" customHeight="false" outlineLevel="0" collapsed="false">
      <c r="A1020" s="12" t="s">
        <v>3271</v>
      </c>
      <c r="B1020" s="26" t="str">
        <f aca="false">Entities!$A$28</f>
        <v>DE</v>
      </c>
      <c r="C1020" s="12" t="str">
        <f aca="false">INDEX(Entities!$B$5:$B$34,MATCH(B1020,Entities!$A$5:$A$34,0))</f>
        <v>Arab Bank – Germany</v>
      </c>
      <c r="D1020" s="7" t="str">
        <f aca="false">INDEX(Entities!$F$5:$F$34,MATCH(B1020,Entities!$A$5:$A$34,0))</f>
        <v>Tier 3</v>
      </c>
      <c r="E1020" s="26" t="str">
        <f aca="false">'Control Library'!$A$31</f>
        <v>CTL-CON-01</v>
      </c>
      <c r="F1020" s="12" t="str">
        <f aca="false">INDEX('Control Library'!$B$5:$B$47,MATCH(E1020,'Control Library'!$A$5:$A$47,0))</f>
        <v>New product approval and suitability assessment</v>
      </c>
      <c r="G1020" s="7" t="str">
        <f aca="false">INDEX('Control Library'!$F$5:$F$47,MATCH(E1020,'Control Library'!$A$5:$A$47,0))</f>
        <v>Y</v>
      </c>
      <c r="H1020" s="12" t="str">
        <f aca="false">INDEX('Control Library'!$E$5:$E$47,MATCH(E1020,'Control Library'!$A$5:$A$47,0))</f>
        <v>Event-driven</v>
      </c>
      <c r="I1020" s="7" t="str">
        <f aca="false">IF(INDEX('Control Library'!$I$5:$I$47,MATCH(E1020,'Control Library'!$A$5:$A$47,0))="All","Y",IF(INDEX('Control Library'!$I$5:$I$47,MATCH(E1020,'Control Library'!$A$5:$A$47,0))="Banks only",IF(COUNTIF('Residual Config'!$L$28:$L$30,INDEX(Entities!$E$5:$E$34,MATCH(B1020,Entities!$A$5:$A$34,0)))&gt;0,"N/A","Y"),IF(INDEX(Entities!$G$5:$G$34,MATCH(B1020,Entities!$A$5:$A$34,0))="Y","Y","N/A")))</f>
        <v>Y</v>
      </c>
      <c r="J1020" s="8" t="s">
        <v>3210</v>
      </c>
      <c r="K1020" s="8" t="s">
        <v>3207</v>
      </c>
      <c r="L1020" s="7" t="str">
        <f aca="false">IF(OR(J1020="",K1020=""),"",IF(J1020=K1020,"Breach","OK"))</f>
        <v>OK</v>
      </c>
      <c r="M1020" s="24" t="n">
        <v>2</v>
      </c>
      <c r="N1020" s="50" t="n">
        <v>46201</v>
      </c>
      <c r="O1020" s="8" t="s">
        <v>546</v>
      </c>
      <c r="P1020" s="24" t="n">
        <v>25</v>
      </c>
      <c r="Q1020" s="31" t="n">
        <f aca="false">IF(I1020="N/A","",IFERROR(INDEX('Residual Config'!$B$35:$B$42,MATCH(H1020,'Residual Config'!$A$35:$A$42,0)),""))</f>
        <v>25</v>
      </c>
      <c r="R1020" s="24" t="n">
        <v>0</v>
      </c>
      <c r="S1020" s="8" t="s">
        <v>516</v>
      </c>
      <c r="T1020" s="31" t="n">
        <f aca="false">IF(S1020="","",MATCH(S1020,'Residual Config'!$L$9:$L$12,0))</f>
        <v>1</v>
      </c>
      <c r="U1020" s="8" t="s">
        <v>3272</v>
      </c>
      <c r="V1020" s="24" t="n">
        <v>4</v>
      </c>
      <c r="W1020" s="33" t="s">
        <v>533</v>
      </c>
      <c r="X1020" s="8" t="s">
        <v>754</v>
      </c>
      <c r="Y1020" s="51" t="n">
        <f aca="false">IF(N1020="","",EDATE(N1020,IF(G1020="N",INDEX('Residual Config'!$B$31:$D$31,1,MATCH(D1020,'Residual Config'!$B$27:$D$27,0)),INDEX('Residual Config'!$B$28:$D$30,IF(T1020=1,1,IF(T1020=4,3,2)),MATCH(D1020,'Residual Config'!$B$27:$D$27,0)))))</f>
        <v>46566</v>
      </c>
      <c r="Z1020" s="7" t="str">
        <f aca="false">IF(I1020="N/A","N/A",IF(N1020="","Not tested",IF(W1020="Rejected","Evidence rejected",IF(W1020&lt;&gt;"Accepted","Evidence pending",IF(Y1020&lt;'Residual Config'!$C$4,"Overdue","Current")))))</f>
        <v>Current</v>
      </c>
      <c r="AA1020" s="34" t="n">
        <f aca="false">IF(I1020="N/A","",IF(Z1020&lt;&gt;"Current",4,IF(MAX(M1020,T1020)=0,4,MAX(M1020,T1020))))</f>
        <v>2</v>
      </c>
      <c r="AB1020" s="7" t="str">
        <f aca="false">IF(AA1020="","N/A",IF(Z1020&lt;&gt;"Current","Not tested / overdue",INDEX('Residual Config'!$B$11:$B$14,AA1020)))</f>
        <v>Largely effective</v>
      </c>
      <c r="AC1020" s="36" t="n">
        <f aca="false">IF(AA1020="","",INDEX('Residual Config'!$D$11:$D$14,AA1020))</f>
        <v>0.4</v>
      </c>
      <c r="AD1020" s="7" t="str">
        <f aca="false">IF(OR(I1020="N/A",P1020="",Q1020=""),"",IF(P1020&gt;=Q1020,"Yes","No"))</f>
        <v>Yes</v>
      </c>
      <c r="AE1020" s="8"/>
    </row>
    <row r="1021" customFormat="false" ht="15" hidden="false" customHeight="false" outlineLevel="0" collapsed="false">
      <c r="A1021" s="12" t="s">
        <v>3273</v>
      </c>
      <c r="B1021" s="26" t="str">
        <f aca="false">Entities!$A$28</f>
        <v>DE</v>
      </c>
      <c r="C1021" s="12" t="str">
        <f aca="false">INDEX(Entities!$B$5:$B$34,MATCH(B1021,Entities!$A$5:$A$34,0))</f>
        <v>Arab Bank – Germany</v>
      </c>
      <c r="D1021" s="7" t="str">
        <f aca="false">INDEX(Entities!$F$5:$F$34,MATCH(B1021,Entities!$A$5:$A$34,0))</f>
        <v>Tier 3</v>
      </c>
      <c r="E1021" s="26" t="str">
        <f aca="false">'Control Library'!$A$32</f>
        <v>CTL-CON-02</v>
      </c>
      <c r="F1021" s="12" t="str">
        <f aca="false">INDEX('Control Library'!$B$5:$B$47,MATCH(E1021,'Control Library'!$A$5:$A$47,0))</f>
        <v>Complaints handling and root-cause analysis</v>
      </c>
      <c r="G1021" s="7" t="str">
        <f aca="false">INDEX('Control Library'!$F$5:$F$47,MATCH(E1021,'Control Library'!$A$5:$A$47,0))</f>
        <v>N</v>
      </c>
      <c r="H1021" s="12" t="str">
        <f aca="false">INDEX('Control Library'!$E$5:$E$47,MATCH(E1021,'Control Library'!$A$5:$A$47,0))</f>
        <v>Monthly</v>
      </c>
      <c r="I1021" s="7" t="str">
        <f aca="false">IF(INDEX('Control Library'!$I$5:$I$47,MATCH(E1021,'Control Library'!$A$5:$A$47,0))="All","Y",IF(INDEX('Control Library'!$I$5:$I$47,MATCH(E1021,'Control Library'!$A$5:$A$47,0))="Banks only",IF(COUNTIF('Residual Config'!$L$28:$L$30,INDEX(Entities!$E$5:$E$34,MATCH(B1021,Entities!$A$5:$A$34,0)))&gt;0,"N/A","Y"),IF(INDEX(Entities!$G$5:$G$34,MATCH(B1021,Entities!$A$5:$A$34,0))="Y","Y","N/A")))</f>
        <v>Y</v>
      </c>
      <c r="J1021" s="8" t="s">
        <v>3274</v>
      </c>
      <c r="K1021" s="8" t="s">
        <v>3207</v>
      </c>
      <c r="L1021" s="7" t="str">
        <f aca="false">IF(OR(J1021="",K1021=""),"",IF(J1021=K1021,"Breach","OK"))</f>
        <v>OK</v>
      </c>
      <c r="M1021" s="24" t="n">
        <v>1</v>
      </c>
      <c r="N1021" s="50" t="n">
        <v>46076</v>
      </c>
      <c r="O1021" s="8" t="s">
        <v>546</v>
      </c>
      <c r="P1021" s="24" t="n">
        <v>3</v>
      </c>
      <c r="Q1021" s="31" t="n">
        <f aca="false">IF(I1021="N/A","",IFERROR(INDEX('Residual Config'!$B$35:$B$42,MATCH(H1021,'Residual Config'!$A$35:$A$42,0)),""))</f>
        <v>3</v>
      </c>
      <c r="R1021" s="24" t="n">
        <v>0</v>
      </c>
      <c r="S1021" s="8" t="s">
        <v>516</v>
      </c>
      <c r="T1021" s="31" t="n">
        <f aca="false">IF(S1021="","",MATCH(S1021,'Residual Config'!$L$9:$L$12,0))</f>
        <v>1</v>
      </c>
      <c r="U1021" s="8" t="s">
        <v>3275</v>
      </c>
      <c r="V1021" s="24" t="n">
        <v>3</v>
      </c>
      <c r="W1021" s="33" t="s">
        <v>533</v>
      </c>
      <c r="X1021" s="8" t="s">
        <v>760</v>
      </c>
      <c r="Y1021" s="51" t="n">
        <f aca="false">IF(N1021="","",EDATE(N1021,IF(G1021="N",INDEX('Residual Config'!$B$31:$D$31,1,MATCH(D1021,'Residual Config'!$B$27:$D$27,0)),INDEX('Residual Config'!$B$28:$D$30,IF(T1021=1,1,IF(T1021=4,3,2)),MATCH(D1021,'Residual Config'!$B$27:$D$27,0)))))</f>
        <v>46806</v>
      </c>
      <c r="Z1021" s="7" t="str">
        <f aca="false">IF(I1021="N/A","N/A",IF(N1021="","Not tested",IF(W1021="Rejected","Evidence rejected",IF(W1021&lt;&gt;"Accepted","Evidence pending",IF(Y1021&lt;'Residual Config'!$C$4,"Overdue","Current")))))</f>
        <v>Current</v>
      </c>
      <c r="AA1021" s="34" t="n">
        <f aca="false">IF(I1021="N/A","",IF(Z1021&lt;&gt;"Current",4,IF(MAX(M1021,T1021)=0,4,MAX(M1021,T1021))))</f>
        <v>1</v>
      </c>
      <c r="AB1021" s="7" t="str">
        <f aca="false">IF(AA1021="","N/A",IF(Z1021&lt;&gt;"Current","Not tested / overdue",INDEX('Residual Config'!$B$11:$B$14,AA1021)))</f>
        <v>Effective</v>
      </c>
      <c r="AC1021" s="36" t="n">
        <f aca="false">IF(AA1021="","",INDEX('Residual Config'!$D$11:$D$14,AA1021))</f>
        <v>0.6</v>
      </c>
      <c r="AD1021" s="7" t="str">
        <f aca="false">IF(OR(I1021="N/A",P1021="",Q1021=""),"",IF(P1021&gt;=Q1021,"Yes","No"))</f>
        <v>Yes</v>
      </c>
      <c r="AE1021" s="8"/>
    </row>
    <row r="1022" customFormat="false" ht="15" hidden="false" customHeight="false" outlineLevel="0" collapsed="false">
      <c r="A1022" s="12" t="s">
        <v>3276</v>
      </c>
      <c r="B1022" s="26" t="str">
        <f aca="false">Entities!$A$28</f>
        <v>DE</v>
      </c>
      <c r="C1022" s="12" t="str">
        <f aca="false">INDEX(Entities!$B$5:$B$34,MATCH(B1022,Entities!$A$5:$A$34,0))</f>
        <v>Arab Bank – Germany</v>
      </c>
      <c r="D1022" s="7" t="str">
        <f aca="false">INDEX(Entities!$F$5:$F$34,MATCH(B1022,Entities!$A$5:$A$34,0))</f>
        <v>Tier 3</v>
      </c>
      <c r="E1022" s="26" t="str">
        <f aca="false">'Control Library'!$A$33</f>
        <v>CTL-DP-01</v>
      </c>
      <c r="F1022" s="12" t="str">
        <f aca="false">INDEX('Control Library'!$B$5:$B$47,MATCH(E1022,'Control Library'!$A$5:$A$47,0))</f>
        <v>Data protection impact assessments and processing records</v>
      </c>
      <c r="G1022" s="7" t="str">
        <f aca="false">INDEX('Control Library'!$F$5:$F$47,MATCH(E1022,'Control Library'!$A$5:$A$47,0))</f>
        <v>Y</v>
      </c>
      <c r="H1022" s="12" t="str">
        <f aca="false">INDEX('Control Library'!$E$5:$E$47,MATCH(E1022,'Control Library'!$A$5:$A$47,0))</f>
        <v>Event-driven</v>
      </c>
      <c r="I1022" s="7" t="str">
        <f aca="false">IF(INDEX('Control Library'!$I$5:$I$47,MATCH(E1022,'Control Library'!$A$5:$A$47,0))="All","Y",IF(INDEX('Control Library'!$I$5:$I$47,MATCH(E1022,'Control Library'!$A$5:$A$47,0))="Banks only",IF(COUNTIF('Residual Config'!$L$28:$L$30,INDEX(Entities!$E$5:$E$34,MATCH(B1022,Entities!$A$5:$A$34,0)))&gt;0,"N/A","Y"),IF(INDEX(Entities!$G$5:$G$34,MATCH(B1022,Entities!$A$5:$A$34,0))="Y","Y","N/A")))</f>
        <v>Y</v>
      </c>
      <c r="J1022" s="8" t="s">
        <v>3277</v>
      </c>
      <c r="K1022" s="8" t="s">
        <v>3207</v>
      </c>
      <c r="L1022" s="7" t="str">
        <f aca="false">IF(OR(J1022="",K1022=""),"",IF(J1022=K1022,"Breach","OK"))</f>
        <v>OK</v>
      </c>
      <c r="M1022" s="24" t="n">
        <v>1</v>
      </c>
      <c r="N1022" s="50" t="n">
        <v>46191</v>
      </c>
      <c r="O1022" s="8" t="s">
        <v>546</v>
      </c>
      <c r="P1022" s="24" t="n">
        <v>25</v>
      </c>
      <c r="Q1022" s="31" t="n">
        <f aca="false">IF(I1022="N/A","",IFERROR(INDEX('Residual Config'!$B$35:$B$42,MATCH(H1022,'Residual Config'!$A$35:$A$42,0)),""))</f>
        <v>25</v>
      </c>
      <c r="R1022" s="24" t="n">
        <v>0</v>
      </c>
      <c r="S1022" s="8" t="s">
        <v>516</v>
      </c>
      <c r="T1022" s="31" t="n">
        <f aca="false">IF(S1022="","",MATCH(S1022,'Residual Config'!$L$9:$L$12,0))</f>
        <v>1</v>
      </c>
      <c r="U1022" s="8" t="s">
        <v>3278</v>
      </c>
      <c r="V1022" s="24" t="n">
        <v>1</v>
      </c>
      <c r="W1022" s="33" t="s">
        <v>533</v>
      </c>
      <c r="X1022" s="8" t="s">
        <v>754</v>
      </c>
      <c r="Y1022" s="51" t="n">
        <f aca="false">IF(N1022="","",EDATE(N1022,IF(G1022="N",INDEX('Residual Config'!$B$31:$D$31,1,MATCH(D1022,'Residual Config'!$B$27:$D$27,0)),INDEX('Residual Config'!$B$28:$D$30,IF(T1022=1,1,IF(T1022=4,3,2)),MATCH(D1022,'Residual Config'!$B$27:$D$27,0)))))</f>
        <v>46556</v>
      </c>
      <c r="Z1022" s="7" t="str">
        <f aca="false">IF(I1022="N/A","N/A",IF(N1022="","Not tested",IF(W1022="Rejected","Evidence rejected",IF(W1022&lt;&gt;"Accepted","Evidence pending",IF(Y1022&lt;'Residual Config'!$C$4,"Overdue","Current")))))</f>
        <v>Current</v>
      </c>
      <c r="AA1022" s="34" t="n">
        <f aca="false">IF(I1022="N/A","",IF(Z1022&lt;&gt;"Current",4,IF(MAX(M1022,T1022)=0,4,MAX(M1022,T1022))))</f>
        <v>1</v>
      </c>
      <c r="AB1022" s="7" t="str">
        <f aca="false">IF(AA1022="","N/A",IF(Z1022&lt;&gt;"Current","Not tested / overdue",INDEX('Residual Config'!$B$11:$B$14,AA1022)))</f>
        <v>Effective</v>
      </c>
      <c r="AC1022" s="36" t="n">
        <f aca="false">IF(AA1022="","",INDEX('Residual Config'!$D$11:$D$14,AA1022))</f>
        <v>0.6</v>
      </c>
      <c r="AD1022" s="7" t="str">
        <f aca="false">IF(OR(I1022="N/A",P1022="",Q1022=""),"",IF(P1022&gt;=Q1022,"Yes","No"))</f>
        <v>Yes</v>
      </c>
      <c r="AE1022" s="8"/>
    </row>
    <row r="1023" customFormat="false" ht="15" hidden="false" customHeight="false" outlineLevel="0" collapsed="false">
      <c r="A1023" s="12" t="s">
        <v>3279</v>
      </c>
      <c r="B1023" s="26" t="str">
        <f aca="false">Entities!$A$28</f>
        <v>DE</v>
      </c>
      <c r="C1023" s="12" t="str">
        <f aca="false">INDEX(Entities!$B$5:$B$34,MATCH(B1023,Entities!$A$5:$A$34,0))</f>
        <v>Arab Bank – Germany</v>
      </c>
      <c r="D1023" s="7" t="str">
        <f aca="false">INDEX(Entities!$F$5:$F$34,MATCH(B1023,Entities!$A$5:$A$34,0))</f>
        <v>Tier 3</v>
      </c>
      <c r="E1023" s="26" t="str">
        <f aca="false">'Control Library'!$A$34</f>
        <v>CTL-DP-02</v>
      </c>
      <c r="F1023" s="12" t="str">
        <f aca="false">INDEX('Control Library'!$B$5:$B$47,MATCH(E1023,'Control Library'!$A$5:$A$47,0))</f>
        <v>Data loss prevention and quarterly access recertification</v>
      </c>
      <c r="G1023" s="7" t="str">
        <f aca="false">INDEX('Control Library'!$F$5:$F$47,MATCH(E1023,'Control Library'!$A$5:$A$47,0))</f>
        <v>Y</v>
      </c>
      <c r="H1023" s="12" t="str">
        <f aca="false">INDEX('Control Library'!$E$5:$E$47,MATCH(E1023,'Control Library'!$A$5:$A$47,0))</f>
        <v>Quarterly</v>
      </c>
      <c r="I1023" s="7" t="str">
        <f aca="false">IF(INDEX('Control Library'!$I$5:$I$47,MATCH(E1023,'Control Library'!$A$5:$A$47,0))="All","Y",IF(INDEX('Control Library'!$I$5:$I$47,MATCH(E1023,'Control Library'!$A$5:$A$47,0))="Banks only",IF(COUNTIF('Residual Config'!$L$28:$L$30,INDEX(Entities!$E$5:$E$34,MATCH(B1023,Entities!$A$5:$A$34,0)))&gt;0,"N/A","Y"),IF(INDEX(Entities!$G$5:$G$34,MATCH(B1023,Entities!$A$5:$A$34,0))="Y","Y","N/A")))</f>
        <v>Y</v>
      </c>
      <c r="J1023" s="8" t="s">
        <v>3280</v>
      </c>
      <c r="K1023" s="8" t="s">
        <v>3207</v>
      </c>
      <c r="L1023" s="7" t="str">
        <f aca="false">IF(OR(J1023="",K1023=""),"",IF(J1023=K1023,"Breach","OK"))</f>
        <v>OK</v>
      </c>
      <c r="M1023" s="24" t="n">
        <v>1</v>
      </c>
      <c r="N1023" s="50" t="n">
        <v>45962</v>
      </c>
      <c r="O1023" s="8" t="s">
        <v>546</v>
      </c>
      <c r="P1023" s="24" t="n">
        <v>2</v>
      </c>
      <c r="Q1023" s="31" t="n">
        <f aca="false">IF(I1023="N/A","",IFERROR(INDEX('Residual Config'!$B$35:$B$42,MATCH(H1023,'Residual Config'!$A$35:$A$42,0)),""))</f>
        <v>2</v>
      </c>
      <c r="R1023" s="24" t="n">
        <v>0</v>
      </c>
      <c r="S1023" s="8" t="s">
        <v>516</v>
      </c>
      <c r="T1023" s="31" t="n">
        <f aca="false">IF(S1023="","",MATCH(S1023,'Residual Config'!$L$9:$L$12,0))</f>
        <v>1</v>
      </c>
      <c r="U1023" s="8" t="s">
        <v>3281</v>
      </c>
      <c r="V1023" s="24" t="n">
        <v>6</v>
      </c>
      <c r="W1023" s="33" t="s">
        <v>533</v>
      </c>
      <c r="X1023" s="8" t="s">
        <v>760</v>
      </c>
      <c r="Y1023" s="51" t="n">
        <f aca="false">IF(N1023="","",EDATE(N1023,IF(G1023="N",INDEX('Residual Config'!$B$31:$D$31,1,MATCH(D1023,'Residual Config'!$B$27:$D$27,0)),INDEX('Residual Config'!$B$28:$D$30,IF(T1023=1,1,IF(T1023=4,3,2)),MATCH(D1023,'Residual Config'!$B$27:$D$27,0)))))</f>
        <v>46327</v>
      </c>
      <c r="Z1023" s="7" t="str">
        <f aca="false">IF(I1023="N/A","N/A",IF(N1023="","Not tested",IF(W1023="Rejected","Evidence rejected",IF(W1023&lt;&gt;"Accepted","Evidence pending",IF(Y1023&lt;'Residual Config'!$C$4,"Overdue","Current")))))</f>
        <v>Current</v>
      </c>
      <c r="AA1023" s="34" t="n">
        <f aca="false">IF(I1023="N/A","",IF(Z1023&lt;&gt;"Current",4,IF(MAX(M1023,T1023)=0,4,MAX(M1023,T1023))))</f>
        <v>1</v>
      </c>
      <c r="AB1023" s="7" t="str">
        <f aca="false">IF(AA1023="","N/A",IF(Z1023&lt;&gt;"Current","Not tested / overdue",INDEX('Residual Config'!$B$11:$B$14,AA1023)))</f>
        <v>Effective</v>
      </c>
      <c r="AC1023" s="36" t="n">
        <f aca="false">IF(AA1023="","",INDEX('Residual Config'!$D$11:$D$14,AA1023))</f>
        <v>0.6</v>
      </c>
      <c r="AD1023" s="7" t="str">
        <f aca="false">IF(OR(I1023="N/A",P1023="",Q1023=""),"",IF(P1023&gt;=Q1023,"Yes","No"))</f>
        <v>Yes</v>
      </c>
      <c r="AE1023" s="8"/>
    </row>
    <row r="1024" customFormat="false" ht="15" hidden="false" customHeight="false" outlineLevel="0" collapsed="false">
      <c r="A1024" s="12" t="s">
        <v>3282</v>
      </c>
      <c r="B1024" s="26" t="str">
        <f aca="false">Entities!$A$28</f>
        <v>DE</v>
      </c>
      <c r="C1024" s="12" t="str">
        <f aca="false">INDEX(Entities!$B$5:$B$34,MATCH(B1024,Entities!$A$5:$A$34,0))</f>
        <v>Arab Bank – Germany</v>
      </c>
      <c r="D1024" s="7" t="str">
        <f aca="false">INDEX(Entities!$F$5:$F$34,MATCH(B1024,Entities!$A$5:$A$34,0))</f>
        <v>Tier 3</v>
      </c>
      <c r="E1024" s="26" t="str">
        <f aca="false">'Control Library'!$A$35</f>
        <v>CTL-SH-01</v>
      </c>
      <c r="F1024" s="12" t="str">
        <f aca="false">INDEX('Control Library'!$B$5:$B$47,MATCH(E1024,'Control Library'!$A$5:$A$47,0))</f>
        <v>Shariah review of products and income purification</v>
      </c>
      <c r="G1024" s="7" t="str">
        <f aca="false">INDEX('Control Library'!$F$5:$F$47,MATCH(E1024,'Control Library'!$A$5:$A$47,0))</f>
        <v>Y</v>
      </c>
      <c r="H1024" s="12" t="str">
        <f aca="false">INDEX('Control Library'!$E$5:$E$47,MATCH(E1024,'Control Library'!$A$5:$A$47,0))</f>
        <v>Quarterly</v>
      </c>
      <c r="I1024" s="7" t="str">
        <f aca="false">IF(INDEX('Control Library'!$I$5:$I$47,MATCH(E1024,'Control Library'!$A$5:$A$47,0))="All","Y",IF(INDEX('Control Library'!$I$5:$I$47,MATCH(E1024,'Control Library'!$A$5:$A$47,0))="Banks only",IF(COUNTIF('Residual Config'!$L$28:$L$30,INDEX(Entities!$E$5:$E$34,MATCH(B1024,Entities!$A$5:$A$34,0)))&gt;0,"N/A","Y"),IF(INDEX(Entities!$G$5:$G$34,MATCH(B1024,Entities!$A$5:$A$34,0))="Y","Y","N/A")))</f>
        <v>N/A</v>
      </c>
      <c r="J1024" s="8"/>
      <c r="K1024" s="8"/>
      <c r="L1024" s="7" t="str">
        <f aca="false">IF(OR(J1024="",K1024=""),"",IF(J1024=K1024,"Breach","OK"))</f>
        <v/>
      </c>
      <c r="M1024" s="24"/>
      <c r="N1024" s="50"/>
      <c r="O1024" s="8"/>
      <c r="P1024" s="24"/>
      <c r="Q1024" s="31" t="str">
        <f aca="false">IF(I1024="N/A","",IFERROR(INDEX('Residual Config'!$B$35:$B$42,MATCH(H1024,'Residual Config'!$A$35:$A$42,0)),""))</f>
        <v/>
      </c>
      <c r="R1024" s="24"/>
      <c r="S1024" s="8"/>
      <c r="T1024" s="31" t="str">
        <f aca="false">IF(S1024="","",MATCH(S1024,'Residual Config'!$L$9:$L$12,0))</f>
        <v/>
      </c>
      <c r="U1024" s="8"/>
      <c r="V1024" s="24"/>
      <c r="W1024" s="33"/>
      <c r="X1024" s="8"/>
      <c r="Y1024" s="51" t="str">
        <f aca="false">IF(N1024="","",EDATE(N1024,IF(G1024="N",INDEX('Residual Config'!$B$31:$D$31,1,MATCH(D1024,'Residual Config'!$B$27:$D$27,0)),INDEX('Residual Config'!$B$28:$D$30,IF(T1024=1,1,IF(T1024=4,3,2)),MATCH(D1024,'Residual Config'!$B$27:$D$27,0)))))</f>
        <v/>
      </c>
      <c r="Z1024" s="7" t="str">
        <f aca="false">IF(I1024="N/A","N/A",IF(N1024="","Not tested",IF(W1024="Rejected","Evidence rejected",IF(W1024&lt;&gt;"Accepted","Evidence pending",IF(Y1024&lt;'Residual Config'!$C$4,"Overdue","Current")))))</f>
        <v>N/A</v>
      </c>
      <c r="AA1024" s="34" t="str">
        <f aca="false">IF(I1024="N/A","",IF(Z1024&lt;&gt;"Current",4,IF(MAX(M1024,T1024)=0,4,MAX(M1024,T1024))))</f>
        <v/>
      </c>
      <c r="AB1024" s="7" t="str">
        <f aca="false">IF(AA1024="","N/A",IF(Z1024&lt;&gt;"Current","Not tested / overdue",INDEX('Residual Config'!$B$11:$B$14,AA1024)))</f>
        <v>N/A</v>
      </c>
      <c r="AC1024" s="36" t="str">
        <f aca="false">IF(AA1024="","",INDEX('Residual Config'!$D$11:$D$14,AA1024))</f>
        <v/>
      </c>
      <c r="AD1024" s="7" t="str">
        <f aca="false">IF(OR(I1024="N/A",P1024="",Q1024=""),"",IF(P1024&gt;=Q1024,"Yes","No"))</f>
        <v/>
      </c>
      <c r="AE1024" s="8"/>
    </row>
    <row r="1025" customFormat="false" ht="15" hidden="false" customHeight="false" outlineLevel="0" collapsed="false">
      <c r="A1025" s="12" t="s">
        <v>3283</v>
      </c>
      <c r="B1025" s="26" t="str">
        <f aca="false">Entities!$A$28</f>
        <v>DE</v>
      </c>
      <c r="C1025" s="12" t="str">
        <f aca="false">INDEX(Entities!$B$5:$B$34,MATCH(B1025,Entities!$A$5:$A$34,0))</f>
        <v>Arab Bank – Germany</v>
      </c>
      <c r="D1025" s="7" t="str">
        <f aca="false">INDEX(Entities!$F$5:$F$34,MATCH(B1025,Entities!$A$5:$A$34,0))</f>
        <v>Tier 3</v>
      </c>
      <c r="E1025" s="26" t="str">
        <f aca="false">'Control Library'!$A$36</f>
        <v>CTL-CR-01</v>
      </c>
      <c r="F1025" s="12" t="str">
        <f aca="false">INDEX('Control Library'!$B$5:$B$47,MATCH(E1025,'Control Library'!$A$5:$A$47,0))</f>
        <v>Credit approval authorities and committee review</v>
      </c>
      <c r="G1025" s="7" t="str">
        <f aca="false">INDEX('Control Library'!$F$5:$F$47,MATCH(E1025,'Control Library'!$A$5:$A$47,0))</f>
        <v>Y</v>
      </c>
      <c r="H1025" s="12" t="str">
        <f aca="false">INDEX('Control Library'!$E$5:$E$47,MATCH(E1025,'Control Library'!$A$5:$A$47,0))</f>
        <v>Event-driven</v>
      </c>
      <c r="I1025" s="7" t="str">
        <f aca="false">IF(INDEX('Control Library'!$I$5:$I$47,MATCH(E1025,'Control Library'!$A$5:$A$47,0))="All","Y",IF(INDEX('Control Library'!$I$5:$I$47,MATCH(E1025,'Control Library'!$A$5:$A$47,0))="Banks only",IF(COUNTIF('Residual Config'!$L$28:$L$30,INDEX(Entities!$E$5:$E$34,MATCH(B1025,Entities!$A$5:$A$34,0)))&gt;0,"N/A","Y"),IF(INDEX(Entities!$G$5:$G$34,MATCH(B1025,Entities!$A$5:$A$34,0))="Y","Y","N/A")))</f>
        <v>Y</v>
      </c>
      <c r="J1025" s="8" t="s">
        <v>3284</v>
      </c>
      <c r="K1025" s="8" t="s">
        <v>3207</v>
      </c>
      <c r="L1025" s="7" t="str">
        <f aca="false">IF(OR(J1025="",K1025=""),"",IF(J1025=K1025,"Breach","OK"))</f>
        <v>OK</v>
      </c>
      <c r="M1025" s="24" t="n">
        <v>2</v>
      </c>
      <c r="N1025" s="50" t="n">
        <v>46238</v>
      </c>
      <c r="O1025" s="8" t="s">
        <v>546</v>
      </c>
      <c r="P1025" s="24" t="n">
        <v>30</v>
      </c>
      <c r="Q1025" s="31" t="n">
        <f aca="false">IF(I1025="N/A","",IFERROR(INDEX('Residual Config'!$B$35:$B$42,MATCH(H1025,'Residual Config'!$A$35:$A$42,0)),""))</f>
        <v>25</v>
      </c>
      <c r="R1025" s="24" t="n">
        <v>0</v>
      </c>
      <c r="S1025" s="8" t="s">
        <v>516</v>
      </c>
      <c r="T1025" s="31" t="n">
        <f aca="false">IF(S1025="","",MATCH(S1025,'Residual Config'!$L$9:$L$12,0))</f>
        <v>1</v>
      </c>
      <c r="U1025" s="8" t="s">
        <v>3285</v>
      </c>
      <c r="V1025" s="24" t="n">
        <v>4</v>
      </c>
      <c r="W1025" s="33" t="s">
        <v>533</v>
      </c>
      <c r="X1025" s="8" t="s">
        <v>754</v>
      </c>
      <c r="Y1025" s="51" t="n">
        <f aca="false">IF(N1025="","",EDATE(N1025,IF(G1025="N",INDEX('Residual Config'!$B$31:$D$31,1,MATCH(D1025,'Residual Config'!$B$27:$D$27,0)),INDEX('Residual Config'!$B$28:$D$30,IF(T1025=1,1,IF(T1025=4,3,2)),MATCH(D1025,'Residual Config'!$B$27:$D$27,0)))))</f>
        <v>46603</v>
      </c>
      <c r="Z1025" s="7" t="str">
        <f aca="false">IF(I1025="N/A","N/A",IF(N1025="","Not tested",IF(W1025="Rejected","Evidence rejected",IF(W1025&lt;&gt;"Accepted","Evidence pending",IF(Y1025&lt;'Residual Config'!$C$4,"Overdue","Current")))))</f>
        <v>Current</v>
      </c>
      <c r="AA1025" s="34" t="n">
        <f aca="false">IF(I1025="N/A","",IF(Z1025&lt;&gt;"Current",4,IF(MAX(M1025,T1025)=0,4,MAX(M1025,T1025))))</f>
        <v>2</v>
      </c>
      <c r="AB1025" s="7" t="str">
        <f aca="false">IF(AA1025="","N/A",IF(Z1025&lt;&gt;"Current","Not tested / overdue",INDEX('Residual Config'!$B$11:$B$14,AA1025)))</f>
        <v>Largely effective</v>
      </c>
      <c r="AC1025" s="36" t="n">
        <f aca="false">IF(AA1025="","",INDEX('Residual Config'!$D$11:$D$14,AA1025))</f>
        <v>0.4</v>
      </c>
      <c r="AD1025" s="7" t="str">
        <f aca="false">IF(OR(I1025="N/A",P1025="",Q1025=""),"",IF(P1025&gt;=Q1025,"Yes","No"))</f>
        <v>Yes</v>
      </c>
      <c r="AE1025" s="8"/>
    </row>
    <row r="1026" customFormat="false" ht="15" hidden="false" customHeight="false" outlineLevel="0" collapsed="false">
      <c r="A1026" s="12" t="s">
        <v>3286</v>
      </c>
      <c r="B1026" s="26" t="str">
        <f aca="false">Entities!$A$28</f>
        <v>DE</v>
      </c>
      <c r="C1026" s="12" t="str">
        <f aca="false">INDEX(Entities!$B$5:$B$34,MATCH(B1026,Entities!$A$5:$A$34,0))</f>
        <v>Arab Bank – Germany</v>
      </c>
      <c r="D1026" s="7" t="str">
        <f aca="false">INDEX(Entities!$F$5:$F$34,MATCH(B1026,Entities!$A$5:$A$34,0))</f>
        <v>Tier 3</v>
      </c>
      <c r="E1026" s="26" t="str">
        <f aca="false">'Control Library'!$A$37</f>
        <v>CTL-CR-02</v>
      </c>
      <c r="F1026" s="12" t="str">
        <f aca="false">INDEX('Control Library'!$B$5:$B$47,MATCH(E1026,'Control Library'!$A$5:$A$47,0))</f>
        <v>Collateral valuation and exposure limit monitoring</v>
      </c>
      <c r="G1026" s="7" t="str">
        <f aca="false">INDEX('Control Library'!$F$5:$F$47,MATCH(E1026,'Control Library'!$A$5:$A$47,0))</f>
        <v>N</v>
      </c>
      <c r="H1026" s="12" t="str">
        <f aca="false">INDEX('Control Library'!$E$5:$E$47,MATCH(E1026,'Control Library'!$A$5:$A$47,0))</f>
        <v>Monthly</v>
      </c>
      <c r="I1026" s="7" t="str">
        <f aca="false">IF(INDEX('Control Library'!$I$5:$I$47,MATCH(E1026,'Control Library'!$A$5:$A$47,0))="All","Y",IF(INDEX('Control Library'!$I$5:$I$47,MATCH(E1026,'Control Library'!$A$5:$A$47,0))="Banks only",IF(COUNTIF('Residual Config'!$L$28:$L$30,INDEX(Entities!$E$5:$E$34,MATCH(B1026,Entities!$A$5:$A$34,0)))&gt;0,"N/A","Y"),IF(INDEX(Entities!$G$5:$G$34,MATCH(B1026,Entities!$A$5:$A$34,0))="Y","Y","N/A")))</f>
        <v>Y</v>
      </c>
      <c r="J1026" s="8" t="s">
        <v>3287</v>
      </c>
      <c r="K1026" s="8" t="s">
        <v>3207</v>
      </c>
      <c r="L1026" s="7" t="str">
        <f aca="false">IF(OR(J1026="",K1026=""),"",IF(J1026=K1026,"Breach","OK"))</f>
        <v>OK</v>
      </c>
      <c r="M1026" s="24" t="n">
        <v>1</v>
      </c>
      <c r="N1026" s="50" t="n">
        <v>46017</v>
      </c>
      <c r="O1026" s="8" t="s">
        <v>546</v>
      </c>
      <c r="P1026" s="24" t="n">
        <v>3</v>
      </c>
      <c r="Q1026" s="31" t="n">
        <f aca="false">IF(I1026="N/A","",IFERROR(INDEX('Residual Config'!$B$35:$B$42,MATCH(H1026,'Residual Config'!$A$35:$A$42,0)),""))</f>
        <v>3</v>
      </c>
      <c r="R1026" s="24" t="n">
        <v>1</v>
      </c>
      <c r="S1026" s="8" t="s">
        <v>521</v>
      </c>
      <c r="T1026" s="31" t="n">
        <f aca="false">IF(S1026="","",MATCH(S1026,'Residual Config'!$L$9:$L$12,0))</f>
        <v>2</v>
      </c>
      <c r="U1026" s="8" t="s">
        <v>3288</v>
      </c>
      <c r="V1026" s="24" t="n">
        <v>6</v>
      </c>
      <c r="W1026" s="33" t="s">
        <v>533</v>
      </c>
      <c r="X1026" s="8" t="s">
        <v>760</v>
      </c>
      <c r="Y1026" s="51" t="n">
        <f aca="false">IF(N1026="","",EDATE(N1026,IF(G1026="N",INDEX('Residual Config'!$B$31:$D$31,1,MATCH(D1026,'Residual Config'!$B$27:$D$27,0)),INDEX('Residual Config'!$B$28:$D$30,IF(T1026=1,1,IF(T1026=4,3,2)),MATCH(D1026,'Residual Config'!$B$27:$D$27,0)))))</f>
        <v>46747</v>
      </c>
      <c r="Z1026" s="7" t="str">
        <f aca="false">IF(I1026="N/A","N/A",IF(N1026="","Not tested",IF(W1026="Rejected","Evidence rejected",IF(W1026&lt;&gt;"Accepted","Evidence pending",IF(Y1026&lt;'Residual Config'!$C$4,"Overdue","Current")))))</f>
        <v>Current</v>
      </c>
      <c r="AA1026" s="34" t="n">
        <f aca="false">IF(I1026="N/A","",IF(Z1026&lt;&gt;"Current",4,IF(MAX(M1026,T1026)=0,4,MAX(M1026,T1026))))</f>
        <v>2</v>
      </c>
      <c r="AB1026" s="7" t="str">
        <f aca="false">IF(AA1026="","N/A",IF(Z1026&lt;&gt;"Current","Not tested / overdue",INDEX('Residual Config'!$B$11:$B$14,AA1026)))</f>
        <v>Largely effective</v>
      </c>
      <c r="AC1026" s="36" t="n">
        <f aca="false">IF(AA1026="","",INDEX('Residual Config'!$D$11:$D$14,AA1026))</f>
        <v>0.4</v>
      </c>
      <c r="AD1026" s="7" t="str">
        <f aca="false">IF(OR(I1026="N/A",P1026="",Q1026=""),"",IF(P1026&gt;=Q1026,"Yes","No"))</f>
        <v>Yes</v>
      </c>
      <c r="AE1026" s="8"/>
    </row>
    <row r="1027" customFormat="false" ht="15" hidden="false" customHeight="false" outlineLevel="0" collapsed="false">
      <c r="A1027" s="12" t="s">
        <v>3289</v>
      </c>
      <c r="B1027" s="26" t="str">
        <f aca="false">Entities!$A$28</f>
        <v>DE</v>
      </c>
      <c r="C1027" s="12" t="str">
        <f aca="false">INDEX(Entities!$B$5:$B$34,MATCH(B1027,Entities!$A$5:$A$34,0))</f>
        <v>Arab Bank – Germany</v>
      </c>
      <c r="D1027" s="7" t="str">
        <f aca="false">INDEX(Entities!$F$5:$F$34,MATCH(B1027,Entities!$A$5:$A$34,0))</f>
        <v>Tier 3</v>
      </c>
      <c r="E1027" s="26" t="str">
        <f aca="false">'Control Library'!$A$38</f>
        <v>CTL-MR-01</v>
      </c>
      <c r="F1027" s="12" t="str">
        <f aca="false">INDEX('Control Library'!$B$5:$B$47,MATCH(E1027,'Control Library'!$A$5:$A$47,0))</f>
        <v>Market risk limits and daily VaR monitoring</v>
      </c>
      <c r="G1027" s="7" t="str">
        <f aca="false">INDEX('Control Library'!$F$5:$F$47,MATCH(E1027,'Control Library'!$A$5:$A$47,0))</f>
        <v>Y</v>
      </c>
      <c r="H1027" s="12" t="str">
        <f aca="false">INDEX('Control Library'!$E$5:$E$47,MATCH(E1027,'Control Library'!$A$5:$A$47,0))</f>
        <v>Daily</v>
      </c>
      <c r="I1027" s="7" t="str">
        <f aca="false">IF(INDEX('Control Library'!$I$5:$I$47,MATCH(E1027,'Control Library'!$A$5:$A$47,0))="All","Y",IF(INDEX('Control Library'!$I$5:$I$47,MATCH(E1027,'Control Library'!$A$5:$A$47,0))="Banks only",IF(COUNTIF('Residual Config'!$L$28:$L$30,INDEX(Entities!$E$5:$E$34,MATCH(B1027,Entities!$A$5:$A$34,0)))&gt;0,"N/A","Y"),IF(INDEX(Entities!$G$5:$G$34,MATCH(B1027,Entities!$A$5:$A$34,0))="Y","Y","N/A")))</f>
        <v>Y</v>
      </c>
      <c r="J1027" s="8" t="s">
        <v>3287</v>
      </c>
      <c r="K1027" s="8" t="s">
        <v>3207</v>
      </c>
      <c r="L1027" s="7" t="str">
        <f aca="false">IF(OR(J1027="",K1027=""),"",IF(J1027=K1027,"Breach","OK"))</f>
        <v>OK</v>
      </c>
      <c r="M1027" s="24" t="n">
        <v>1</v>
      </c>
      <c r="N1027" s="50" t="n">
        <v>46250</v>
      </c>
      <c r="O1027" s="8" t="s">
        <v>547</v>
      </c>
      <c r="P1027" s="24" t="n">
        <v>25</v>
      </c>
      <c r="Q1027" s="31" t="n">
        <f aca="false">IF(I1027="N/A","",IFERROR(INDEX('Residual Config'!$B$35:$B$42,MATCH(H1027,'Residual Config'!$A$35:$A$42,0)),""))</f>
        <v>25</v>
      </c>
      <c r="R1027" s="24" t="n">
        <v>1</v>
      </c>
      <c r="S1027" s="8" t="s">
        <v>521</v>
      </c>
      <c r="T1027" s="31" t="n">
        <f aca="false">IF(S1027="","",MATCH(S1027,'Residual Config'!$L$9:$L$12,0))</f>
        <v>2</v>
      </c>
      <c r="U1027" s="8" t="s">
        <v>3290</v>
      </c>
      <c r="V1027" s="24" t="n">
        <v>1</v>
      </c>
      <c r="W1027" s="33" t="s">
        <v>533</v>
      </c>
      <c r="X1027" s="8" t="s">
        <v>754</v>
      </c>
      <c r="Y1027" s="51" t="n">
        <f aca="false">IF(N1027="","",EDATE(N1027,IF(G1027="N",INDEX('Residual Config'!$B$31:$D$31,1,MATCH(D1027,'Residual Config'!$B$27:$D$27,0)),INDEX('Residual Config'!$B$28:$D$30,IF(T1027=1,1,IF(T1027=4,3,2)),MATCH(D1027,'Residual Config'!$B$27:$D$27,0)))))</f>
        <v>46434</v>
      </c>
      <c r="Z1027" s="7" t="str">
        <f aca="false">IF(I1027="N/A","N/A",IF(N1027="","Not tested",IF(W1027="Rejected","Evidence rejected",IF(W1027&lt;&gt;"Accepted","Evidence pending",IF(Y1027&lt;'Residual Config'!$C$4,"Overdue","Current")))))</f>
        <v>Current</v>
      </c>
      <c r="AA1027" s="34" t="n">
        <f aca="false">IF(I1027="N/A","",IF(Z1027&lt;&gt;"Current",4,IF(MAX(M1027,T1027)=0,4,MAX(M1027,T1027))))</f>
        <v>2</v>
      </c>
      <c r="AB1027" s="7" t="str">
        <f aca="false">IF(AA1027="","N/A",IF(Z1027&lt;&gt;"Current","Not tested / overdue",INDEX('Residual Config'!$B$11:$B$14,AA1027)))</f>
        <v>Largely effective</v>
      </c>
      <c r="AC1027" s="36" t="n">
        <f aca="false">IF(AA1027="","",INDEX('Residual Config'!$D$11:$D$14,AA1027))</f>
        <v>0.4</v>
      </c>
      <c r="AD1027" s="7" t="str">
        <f aca="false">IF(OR(I1027="N/A",P1027="",Q1027=""),"",IF(P1027&gt;=Q1027,"Yes","No"))</f>
        <v>Yes</v>
      </c>
      <c r="AE1027" s="8"/>
    </row>
    <row r="1028" customFormat="false" ht="15" hidden="false" customHeight="false" outlineLevel="0" collapsed="false">
      <c r="A1028" s="12" t="s">
        <v>3291</v>
      </c>
      <c r="B1028" s="26" t="str">
        <f aca="false">Entities!$A$28</f>
        <v>DE</v>
      </c>
      <c r="C1028" s="12" t="str">
        <f aca="false">INDEX(Entities!$B$5:$B$34,MATCH(B1028,Entities!$A$5:$A$34,0))</f>
        <v>Arab Bank – Germany</v>
      </c>
      <c r="D1028" s="7" t="str">
        <f aca="false">INDEX(Entities!$F$5:$F$34,MATCH(B1028,Entities!$A$5:$A$34,0))</f>
        <v>Tier 3</v>
      </c>
      <c r="E1028" s="26" t="str">
        <f aca="false">'Control Library'!$A$39</f>
        <v>CTL-LQ-01</v>
      </c>
      <c r="F1028" s="12" t="str">
        <f aca="false">INDEX('Control Library'!$B$5:$B$47,MATCH(E1028,'Control Library'!$A$5:$A$47,0))</f>
        <v>Liquidity buffers, LCR/NSFR monitoring and contingency funding plan</v>
      </c>
      <c r="G1028" s="7" t="str">
        <f aca="false">INDEX('Control Library'!$F$5:$F$47,MATCH(E1028,'Control Library'!$A$5:$A$47,0))</f>
        <v>Y</v>
      </c>
      <c r="H1028" s="12" t="str">
        <f aca="false">INDEX('Control Library'!$E$5:$E$47,MATCH(E1028,'Control Library'!$A$5:$A$47,0))</f>
        <v>Daily</v>
      </c>
      <c r="I1028" s="7" t="str">
        <f aca="false">IF(INDEX('Control Library'!$I$5:$I$47,MATCH(E1028,'Control Library'!$A$5:$A$47,0))="All","Y",IF(INDEX('Control Library'!$I$5:$I$47,MATCH(E1028,'Control Library'!$A$5:$A$47,0))="Banks only",IF(COUNTIF('Residual Config'!$L$28:$L$30,INDEX(Entities!$E$5:$E$34,MATCH(B1028,Entities!$A$5:$A$34,0)))&gt;0,"N/A","Y"),IF(INDEX(Entities!$G$5:$G$34,MATCH(B1028,Entities!$A$5:$A$34,0))="Y","Y","N/A")))</f>
        <v>Y</v>
      </c>
      <c r="J1028" s="8" t="s">
        <v>3292</v>
      </c>
      <c r="K1028" s="8" t="s">
        <v>3207</v>
      </c>
      <c r="L1028" s="7" t="str">
        <f aca="false">IF(OR(J1028="",K1028=""),"",IF(J1028=K1028,"Breach","OK"))</f>
        <v>OK</v>
      </c>
      <c r="M1028" s="24" t="n">
        <v>1</v>
      </c>
      <c r="N1028" s="50" t="n">
        <v>46195</v>
      </c>
      <c r="O1028" s="8" t="s">
        <v>546</v>
      </c>
      <c r="P1028" s="24" t="n">
        <v>30</v>
      </c>
      <c r="Q1028" s="31" t="n">
        <f aca="false">IF(I1028="N/A","",IFERROR(INDEX('Residual Config'!$B$35:$B$42,MATCH(H1028,'Residual Config'!$A$35:$A$42,0)),""))</f>
        <v>25</v>
      </c>
      <c r="R1028" s="24" t="n">
        <v>0</v>
      </c>
      <c r="S1028" s="8" t="s">
        <v>516</v>
      </c>
      <c r="T1028" s="31" t="n">
        <f aca="false">IF(S1028="","",MATCH(S1028,'Residual Config'!$L$9:$L$12,0))</f>
        <v>1</v>
      </c>
      <c r="U1028" s="8" t="s">
        <v>3293</v>
      </c>
      <c r="V1028" s="24" t="n">
        <v>4</v>
      </c>
      <c r="W1028" s="33" t="s">
        <v>533</v>
      </c>
      <c r="X1028" s="8" t="s">
        <v>760</v>
      </c>
      <c r="Y1028" s="51" t="n">
        <f aca="false">IF(N1028="","",EDATE(N1028,IF(G1028="N",INDEX('Residual Config'!$B$31:$D$31,1,MATCH(D1028,'Residual Config'!$B$27:$D$27,0)),INDEX('Residual Config'!$B$28:$D$30,IF(T1028=1,1,IF(T1028=4,3,2)),MATCH(D1028,'Residual Config'!$B$27:$D$27,0)))))</f>
        <v>46560</v>
      </c>
      <c r="Z1028" s="7" t="str">
        <f aca="false">IF(I1028="N/A","N/A",IF(N1028="","Not tested",IF(W1028="Rejected","Evidence rejected",IF(W1028&lt;&gt;"Accepted","Evidence pending",IF(Y1028&lt;'Residual Config'!$C$4,"Overdue","Current")))))</f>
        <v>Current</v>
      </c>
      <c r="AA1028" s="34" t="n">
        <f aca="false">IF(I1028="N/A","",IF(Z1028&lt;&gt;"Current",4,IF(MAX(M1028,T1028)=0,4,MAX(M1028,T1028))))</f>
        <v>1</v>
      </c>
      <c r="AB1028" s="7" t="str">
        <f aca="false">IF(AA1028="","N/A",IF(Z1028&lt;&gt;"Current","Not tested / overdue",INDEX('Residual Config'!$B$11:$B$14,AA1028)))</f>
        <v>Effective</v>
      </c>
      <c r="AC1028" s="36" t="n">
        <f aca="false">IF(AA1028="","",INDEX('Residual Config'!$D$11:$D$14,AA1028))</f>
        <v>0.6</v>
      </c>
      <c r="AD1028" s="7" t="str">
        <f aca="false">IF(OR(I1028="N/A",P1028="",Q1028=""),"",IF(P1028&gt;=Q1028,"Yes","No"))</f>
        <v>Yes</v>
      </c>
      <c r="AE1028" s="8"/>
    </row>
    <row r="1029" customFormat="false" ht="15" hidden="false" customHeight="false" outlineLevel="0" collapsed="false">
      <c r="A1029" s="12" t="s">
        <v>3294</v>
      </c>
      <c r="B1029" s="26" t="str">
        <f aca="false">Entities!$A$28</f>
        <v>DE</v>
      </c>
      <c r="C1029" s="12" t="str">
        <f aca="false">INDEX(Entities!$B$5:$B$34,MATCH(B1029,Entities!$A$5:$A$34,0))</f>
        <v>Arab Bank – Germany</v>
      </c>
      <c r="D1029" s="7" t="str">
        <f aca="false">INDEX(Entities!$F$5:$F$34,MATCH(B1029,Entities!$A$5:$A$34,0))</f>
        <v>Tier 3</v>
      </c>
      <c r="E1029" s="26" t="str">
        <f aca="false">'Control Library'!$A$40</f>
        <v>CTL-OR-01</v>
      </c>
      <c r="F1029" s="12" t="str">
        <f aca="false">INDEX('Control Library'!$B$5:$B$47,MATCH(E1029,'Control Library'!$A$5:$A$47,0))</f>
        <v>Business continuity plans and annual testing</v>
      </c>
      <c r="G1029" s="7" t="str">
        <f aca="false">INDEX('Control Library'!$F$5:$F$47,MATCH(E1029,'Control Library'!$A$5:$A$47,0))</f>
        <v>Y</v>
      </c>
      <c r="H1029" s="12" t="str">
        <f aca="false">INDEX('Control Library'!$E$5:$E$47,MATCH(E1029,'Control Library'!$A$5:$A$47,0))</f>
        <v>Annual</v>
      </c>
      <c r="I1029" s="7" t="str">
        <f aca="false">IF(INDEX('Control Library'!$I$5:$I$47,MATCH(E1029,'Control Library'!$A$5:$A$47,0))="All","Y",IF(INDEX('Control Library'!$I$5:$I$47,MATCH(E1029,'Control Library'!$A$5:$A$47,0))="Banks only",IF(COUNTIF('Residual Config'!$L$28:$L$30,INDEX(Entities!$E$5:$E$34,MATCH(B1029,Entities!$A$5:$A$34,0)))&gt;0,"N/A","Y"),IF(INDEX(Entities!$G$5:$G$34,MATCH(B1029,Entities!$A$5:$A$34,0))="Y","Y","N/A")))</f>
        <v>Y</v>
      </c>
      <c r="J1029" s="8" t="s">
        <v>3295</v>
      </c>
      <c r="K1029" s="8" t="s">
        <v>3207</v>
      </c>
      <c r="L1029" s="7" t="str">
        <f aca="false">IF(OR(J1029="",K1029=""),"",IF(J1029=K1029,"Breach","OK"))</f>
        <v>OK</v>
      </c>
      <c r="M1029" s="24" t="n">
        <v>1</v>
      </c>
      <c r="N1029" s="50" t="n">
        <v>46044</v>
      </c>
      <c r="O1029" s="8" t="s">
        <v>545</v>
      </c>
      <c r="P1029" s="24" t="n">
        <v>1</v>
      </c>
      <c r="Q1029" s="31" t="n">
        <f aca="false">IF(I1029="N/A","",IFERROR(INDEX('Residual Config'!$B$35:$B$42,MATCH(H1029,'Residual Config'!$A$35:$A$42,0)),""))</f>
        <v>1</v>
      </c>
      <c r="R1029" s="24" t="n">
        <v>0</v>
      </c>
      <c r="S1029" s="8" t="s">
        <v>516</v>
      </c>
      <c r="T1029" s="31" t="n">
        <f aca="false">IF(S1029="","",MATCH(S1029,'Residual Config'!$L$9:$L$12,0))</f>
        <v>1</v>
      </c>
      <c r="U1029" s="8" t="s">
        <v>3296</v>
      </c>
      <c r="V1029" s="24" t="n">
        <v>2</v>
      </c>
      <c r="W1029" s="33" t="s">
        <v>533</v>
      </c>
      <c r="X1029" s="8" t="s">
        <v>760</v>
      </c>
      <c r="Y1029" s="51" t="n">
        <f aca="false">IF(N1029="","",EDATE(N1029,IF(G1029="N",INDEX('Residual Config'!$B$31:$D$31,1,MATCH(D1029,'Residual Config'!$B$27:$D$27,0)),INDEX('Residual Config'!$B$28:$D$30,IF(T1029=1,1,IF(T1029=4,3,2)),MATCH(D1029,'Residual Config'!$B$27:$D$27,0)))))</f>
        <v>46409</v>
      </c>
      <c r="Z1029" s="7" t="str">
        <f aca="false">IF(I1029="N/A","N/A",IF(N1029="","Not tested",IF(W1029="Rejected","Evidence rejected",IF(W1029&lt;&gt;"Accepted","Evidence pending",IF(Y1029&lt;'Residual Config'!$C$4,"Overdue","Current")))))</f>
        <v>Current</v>
      </c>
      <c r="AA1029" s="34" t="n">
        <f aca="false">IF(I1029="N/A","",IF(Z1029&lt;&gt;"Current",4,IF(MAX(M1029,T1029)=0,4,MAX(M1029,T1029))))</f>
        <v>1</v>
      </c>
      <c r="AB1029" s="7" t="str">
        <f aca="false">IF(AA1029="","N/A",IF(Z1029&lt;&gt;"Current","Not tested / overdue",INDEX('Residual Config'!$B$11:$B$14,AA1029)))</f>
        <v>Effective</v>
      </c>
      <c r="AC1029" s="36" t="n">
        <f aca="false">IF(AA1029="","",INDEX('Residual Config'!$D$11:$D$14,AA1029))</f>
        <v>0.6</v>
      </c>
      <c r="AD1029" s="7" t="str">
        <f aca="false">IF(OR(I1029="N/A",P1029="",Q1029=""),"",IF(P1029&gt;=Q1029,"Yes","No"))</f>
        <v>Yes</v>
      </c>
      <c r="AE1029" s="8"/>
    </row>
    <row r="1030" customFormat="false" ht="15" hidden="false" customHeight="false" outlineLevel="0" collapsed="false">
      <c r="A1030" s="12" t="s">
        <v>3297</v>
      </c>
      <c r="B1030" s="26" t="str">
        <f aca="false">Entities!$A$28</f>
        <v>DE</v>
      </c>
      <c r="C1030" s="12" t="str">
        <f aca="false">INDEX(Entities!$B$5:$B$34,MATCH(B1030,Entities!$A$5:$A$34,0))</f>
        <v>Arab Bank – Germany</v>
      </c>
      <c r="D1030" s="7" t="str">
        <f aca="false">INDEX(Entities!$F$5:$F$34,MATCH(B1030,Entities!$A$5:$A$34,0))</f>
        <v>Tier 3</v>
      </c>
      <c r="E1030" s="26" t="str">
        <f aca="false">'Control Library'!$A$41</f>
        <v>CTL-OR-02</v>
      </c>
      <c r="F1030" s="12" t="str">
        <f aca="false">INDEX('Control Library'!$B$5:$B$47,MATCH(E1030,'Control Library'!$A$5:$A$47,0))</f>
        <v>Operational loss event capture and RCSA</v>
      </c>
      <c r="G1030" s="7" t="str">
        <f aca="false">INDEX('Control Library'!$F$5:$F$47,MATCH(E1030,'Control Library'!$A$5:$A$47,0))</f>
        <v>N</v>
      </c>
      <c r="H1030" s="12" t="str">
        <f aca="false">INDEX('Control Library'!$E$5:$E$47,MATCH(E1030,'Control Library'!$A$5:$A$47,0))</f>
        <v>Quarterly</v>
      </c>
      <c r="I1030" s="7" t="str">
        <f aca="false">IF(INDEX('Control Library'!$I$5:$I$47,MATCH(E1030,'Control Library'!$A$5:$A$47,0))="All","Y",IF(INDEX('Control Library'!$I$5:$I$47,MATCH(E1030,'Control Library'!$A$5:$A$47,0))="Banks only",IF(COUNTIF('Residual Config'!$L$28:$L$30,INDEX(Entities!$E$5:$E$34,MATCH(B1030,Entities!$A$5:$A$34,0)))&gt;0,"N/A","Y"),IF(INDEX(Entities!$G$5:$G$34,MATCH(B1030,Entities!$A$5:$A$34,0))="Y","Y","N/A")))</f>
        <v>Y</v>
      </c>
      <c r="J1030" s="8" t="s">
        <v>3287</v>
      </c>
      <c r="K1030" s="8" t="s">
        <v>3207</v>
      </c>
      <c r="L1030" s="7" t="str">
        <f aca="false">IF(OR(J1030="",K1030=""),"",IF(J1030=K1030,"Breach","OK"))</f>
        <v>OK</v>
      </c>
      <c r="M1030" s="24" t="n">
        <v>1</v>
      </c>
      <c r="N1030" s="50" t="n">
        <v>46111</v>
      </c>
      <c r="O1030" s="8" t="s">
        <v>546</v>
      </c>
      <c r="P1030" s="24" t="n">
        <v>2</v>
      </c>
      <c r="Q1030" s="31" t="n">
        <f aca="false">IF(I1030="N/A","",IFERROR(INDEX('Residual Config'!$B$35:$B$42,MATCH(H1030,'Residual Config'!$A$35:$A$42,0)),""))</f>
        <v>2</v>
      </c>
      <c r="R1030" s="24" t="n">
        <v>0</v>
      </c>
      <c r="S1030" s="8" t="s">
        <v>516</v>
      </c>
      <c r="T1030" s="31" t="n">
        <f aca="false">IF(S1030="","",MATCH(S1030,'Residual Config'!$L$9:$L$12,0))</f>
        <v>1</v>
      </c>
      <c r="U1030" s="8" t="s">
        <v>3298</v>
      </c>
      <c r="V1030" s="24" t="n">
        <v>6</v>
      </c>
      <c r="W1030" s="33" t="s">
        <v>533</v>
      </c>
      <c r="X1030" s="8" t="s">
        <v>754</v>
      </c>
      <c r="Y1030" s="51" t="n">
        <f aca="false">IF(N1030="","",EDATE(N1030,IF(G1030="N",INDEX('Residual Config'!$B$31:$D$31,1,MATCH(D1030,'Residual Config'!$B$27:$D$27,0)),INDEX('Residual Config'!$B$28:$D$30,IF(T1030=1,1,IF(T1030=4,3,2)),MATCH(D1030,'Residual Config'!$B$27:$D$27,0)))))</f>
        <v>46842</v>
      </c>
      <c r="Z1030" s="7" t="str">
        <f aca="false">IF(I1030="N/A","N/A",IF(N1030="","Not tested",IF(W1030="Rejected","Evidence rejected",IF(W1030&lt;&gt;"Accepted","Evidence pending",IF(Y1030&lt;'Residual Config'!$C$4,"Overdue","Current")))))</f>
        <v>Current</v>
      </c>
      <c r="AA1030" s="34" t="n">
        <f aca="false">IF(I1030="N/A","",IF(Z1030&lt;&gt;"Current",4,IF(MAX(M1030,T1030)=0,4,MAX(M1030,T1030))))</f>
        <v>1</v>
      </c>
      <c r="AB1030" s="7" t="str">
        <f aca="false">IF(AA1030="","N/A",IF(Z1030&lt;&gt;"Current","Not tested / overdue",INDEX('Residual Config'!$B$11:$B$14,AA1030)))</f>
        <v>Effective</v>
      </c>
      <c r="AC1030" s="36" t="n">
        <f aca="false">IF(AA1030="","",INDEX('Residual Config'!$D$11:$D$14,AA1030))</f>
        <v>0.6</v>
      </c>
      <c r="AD1030" s="7" t="str">
        <f aca="false">IF(OR(I1030="N/A",P1030="",Q1030=""),"",IF(P1030&gt;=Q1030,"Yes","No"))</f>
        <v>Yes</v>
      </c>
      <c r="AE1030" s="8"/>
    </row>
    <row r="1031" customFormat="false" ht="15" hidden="false" customHeight="false" outlineLevel="0" collapsed="false">
      <c r="A1031" s="12" t="s">
        <v>3299</v>
      </c>
      <c r="B1031" s="26" t="str">
        <f aca="false">Entities!$A$28</f>
        <v>DE</v>
      </c>
      <c r="C1031" s="12" t="str">
        <f aca="false">INDEX(Entities!$B$5:$B$34,MATCH(B1031,Entities!$A$5:$A$34,0))</f>
        <v>Arab Bank – Germany</v>
      </c>
      <c r="D1031" s="7" t="str">
        <f aca="false">INDEX(Entities!$F$5:$F$34,MATCH(B1031,Entities!$A$5:$A$34,0))</f>
        <v>Tier 3</v>
      </c>
      <c r="E1031" s="26" t="str">
        <f aca="false">'Control Library'!$A$42</f>
        <v>CTL-CY-01</v>
      </c>
      <c r="F1031" s="12" t="str">
        <f aca="false">INDEX('Control Library'!$B$5:$B$47,MATCH(E1031,'Control Library'!$A$5:$A$47,0))</f>
        <v>Vulnerability and patch management</v>
      </c>
      <c r="G1031" s="7" t="str">
        <f aca="false">INDEX('Control Library'!$F$5:$F$47,MATCH(E1031,'Control Library'!$A$5:$A$47,0))</f>
        <v>Y</v>
      </c>
      <c r="H1031" s="12" t="str">
        <f aca="false">INDEX('Control Library'!$E$5:$E$47,MATCH(E1031,'Control Library'!$A$5:$A$47,0))</f>
        <v>Monthly</v>
      </c>
      <c r="I1031" s="7" t="str">
        <f aca="false">IF(INDEX('Control Library'!$I$5:$I$47,MATCH(E1031,'Control Library'!$A$5:$A$47,0))="All","Y",IF(INDEX('Control Library'!$I$5:$I$47,MATCH(E1031,'Control Library'!$A$5:$A$47,0))="Banks only",IF(COUNTIF('Residual Config'!$L$28:$L$30,INDEX(Entities!$E$5:$E$34,MATCH(B1031,Entities!$A$5:$A$34,0)))&gt;0,"N/A","Y"),IF(INDEX(Entities!$G$5:$G$34,MATCH(B1031,Entities!$A$5:$A$34,0))="Y","Y","N/A")))</f>
        <v>Y</v>
      </c>
      <c r="J1031" s="8" t="s">
        <v>3231</v>
      </c>
      <c r="K1031" s="8" t="s">
        <v>3207</v>
      </c>
      <c r="L1031" s="7" t="str">
        <f aca="false">IF(OR(J1031="",K1031=""),"",IF(J1031=K1031,"Breach","OK"))</f>
        <v>OK</v>
      </c>
      <c r="M1031" s="24" t="n">
        <v>1</v>
      </c>
      <c r="N1031" s="50" t="n">
        <v>46217</v>
      </c>
      <c r="O1031" s="8" t="s">
        <v>545</v>
      </c>
      <c r="P1031" s="24" t="n">
        <v>3</v>
      </c>
      <c r="Q1031" s="31" t="n">
        <f aca="false">IF(I1031="N/A","",IFERROR(INDEX('Residual Config'!$B$35:$B$42,MATCH(H1031,'Residual Config'!$A$35:$A$42,0)),""))</f>
        <v>3</v>
      </c>
      <c r="R1031" s="24" t="n">
        <v>0</v>
      </c>
      <c r="S1031" s="8" t="s">
        <v>516</v>
      </c>
      <c r="T1031" s="31" t="n">
        <f aca="false">IF(S1031="","",MATCH(S1031,'Residual Config'!$L$9:$L$12,0))</f>
        <v>1</v>
      </c>
      <c r="U1031" s="8" t="s">
        <v>3300</v>
      </c>
      <c r="V1031" s="24" t="n">
        <v>5</v>
      </c>
      <c r="W1031" s="33" t="s">
        <v>533</v>
      </c>
      <c r="X1031" s="8" t="s">
        <v>760</v>
      </c>
      <c r="Y1031" s="51" t="n">
        <f aca="false">IF(N1031="","",EDATE(N1031,IF(G1031="N",INDEX('Residual Config'!$B$31:$D$31,1,MATCH(D1031,'Residual Config'!$B$27:$D$27,0)),INDEX('Residual Config'!$B$28:$D$30,IF(T1031=1,1,IF(T1031=4,3,2)),MATCH(D1031,'Residual Config'!$B$27:$D$27,0)))))</f>
        <v>46582</v>
      </c>
      <c r="Z1031" s="7" t="str">
        <f aca="false">IF(I1031="N/A","N/A",IF(N1031="","Not tested",IF(W1031="Rejected","Evidence rejected",IF(W1031&lt;&gt;"Accepted","Evidence pending",IF(Y1031&lt;'Residual Config'!$C$4,"Overdue","Current")))))</f>
        <v>Current</v>
      </c>
      <c r="AA1031" s="34" t="n">
        <f aca="false">IF(I1031="N/A","",IF(Z1031&lt;&gt;"Current",4,IF(MAX(M1031,T1031)=0,4,MAX(M1031,T1031))))</f>
        <v>1</v>
      </c>
      <c r="AB1031" s="7" t="str">
        <f aca="false">IF(AA1031="","N/A",IF(Z1031&lt;&gt;"Current","Not tested / overdue",INDEX('Residual Config'!$B$11:$B$14,AA1031)))</f>
        <v>Effective</v>
      </c>
      <c r="AC1031" s="36" t="n">
        <f aca="false">IF(AA1031="","",INDEX('Residual Config'!$D$11:$D$14,AA1031))</f>
        <v>0.6</v>
      </c>
      <c r="AD1031" s="7" t="str">
        <f aca="false">IF(OR(I1031="N/A",P1031="",Q1031=""),"",IF(P1031&gt;=Q1031,"Yes","No"))</f>
        <v>Yes</v>
      </c>
      <c r="AE1031" s="8"/>
    </row>
    <row r="1032" customFormat="false" ht="15" hidden="false" customHeight="false" outlineLevel="0" collapsed="false">
      <c r="A1032" s="12" t="s">
        <v>3301</v>
      </c>
      <c r="B1032" s="26" t="str">
        <f aca="false">Entities!$A$28</f>
        <v>DE</v>
      </c>
      <c r="C1032" s="12" t="str">
        <f aca="false">INDEX(Entities!$B$5:$B$34,MATCH(B1032,Entities!$A$5:$A$34,0))</f>
        <v>Arab Bank – Germany</v>
      </c>
      <c r="D1032" s="7" t="str">
        <f aca="false">INDEX(Entities!$F$5:$F$34,MATCH(B1032,Entities!$A$5:$A$34,0))</f>
        <v>Tier 3</v>
      </c>
      <c r="E1032" s="26" t="str">
        <f aca="false">'Control Library'!$A$43</f>
        <v>CTL-CY-02</v>
      </c>
      <c r="F1032" s="12" t="str">
        <f aca="false">INDEX('Control Library'!$B$5:$B$47,MATCH(E1032,'Control Library'!$A$5:$A$47,0))</f>
        <v>Privileged access management and SOC monitoring</v>
      </c>
      <c r="G1032" s="7" t="str">
        <f aca="false">INDEX('Control Library'!$F$5:$F$47,MATCH(E1032,'Control Library'!$A$5:$A$47,0))</f>
        <v>Y</v>
      </c>
      <c r="H1032" s="12" t="str">
        <f aca="false">INDEX('Control Library'!$E$5:$E$47,MATCH(E1032,'Control Library'!$A$5:$A$47,0))</f>
        <v>Continuous</v>
      </c>
      <c r="I1032" s="7" t="str">
        <f aca="false">IF(INDEX('Control Library'!$I$5:$I$47,MATCH(E1032,'Control Library'!$A$5:$A$47,0))="All","Y",IF(INDEX('Control Library'!$I$5:$I$47,MATCH(E1032,'Control Library'!$A$5:$A$47,0))="Banks only",IF(COUNTIF('Residual Config'!$L$28:$L$30,INDEX(Entities!$E$5:$E$34,MATCH(B1032,Entities!$A$5:$A$34,0)))&gt;0,"N/A","Y"),IF(INDEX(Entities!$G$5:$G$34,MATCH(B1032,Entities!$A$5:$A$34,0))="Y","Y","N/A")))</f>
        <v>Y</v>
      </c>
      <c r="J1032" s="8" t="s">
        <v>3280</v>
      </c>
      <c r="K1032" s="8" t="s">
        <v>3207</v>
      </c>
      <c r="L1032" s="7" t="str">
        <f aca="false">IF(OR(J1032="",K1032=""),"",IF(J1032=K1032,"Breach","OK"))</f>
        <v>OK</v>
      </c>
      <c r="M1032" s="24" t="n">
        <v>1</v>
      </c>
      <c r="N1032" s="50" t="n">
        <v>46104</v>
      </c>
      <c r="O1032" s="8" t="s">
        <v>547</v>
      </c>
      <c r="P1032" s="24" t="n">
        <v>1</v>
      </c>
      <c r="Q1032" s="31" t="n">
        <f aca="false">IF(I1032="N/A","",IFERROR(INDEX('Residual Config'!$B$35:$B$42,MATCH(H1032,'Residual Config'!$A$35:$A$42,0)),""))</f>
        <v>1</v>
      </c>
      <c r="R1032" s="24" t="n">
        <v>0</v>
      </c>
      <c r="S1032" s="8" t="s">
        <v>516</v>
      </c>
      <c r="T1032" s="31" t="n">
        <f aca="false">IF(S1032="","",MATCH(S1032,'Residual Config'!$L$9:$L$12,0))</f>
        <v>1</v>
      </c>
      <c r="U1032" s="8" t="s">
        <v>3302</v>
      </c>
      <c r="V1032" s="24" t="n">
        <v>3</v>
      </c>
      <c r="W1032" s="33" t="s">
        <v>533</v>
      </c>
      <c r="X1032" s="8" t="s">
        <v>760</v>
      </c>
      <c r="Y1032" s="51" t="n">
        <f aca="false">IF(N1032="","",EDATE(N1032,IF(G1032="N",INDEX('Residual Config'!$B$31:$D$31,1,MATCH(D1032,'Residual Config'!$B$27:$D$27,0)),INDEX('Residual Config'!$B$28:$D$30,IF(T1032=1,1,IF(T1032=4,3,2)),MATCH(D1032,'Residual Config'!$B$27:$D$27,0)))))</f>
        <v>46469</v>
      </c>
      <c r="Z1032" s="7" t="str">
        <f aca="false">IF(I1032="N/A","N/A",IF(N1032="","Not tested",IF(W1032="Rejected","Evidence rejected",IF(W1032&lt;&gt;"Accepted","Evidence pending",IF(Y1032&lt;'Residual Config'!$C$4,"Overdue","Current")))))</f>
        <v>Current</v>
      </c>
      <c r="AA1032" s="34" t="n">
        <f aca="false">IF(I1032="N/A","",IF(Z1032&lt;&gt;"Current",4,IF(MAX(M1032,T1032)=0,4,MAX(M1032,T1032))))</f>
        <v>1</v>
      </c>
      <c r="AB1032" s="7" t="str">
        <f aca="false">IF(AA1032="","N/A",IF(Z1032&lt;&gt;"Current","Not tested / overdue",INDEX('Residual Config'!$B$11:$B$14,AA1032)))</f>
        <v>Effective</v>
      </c>
      <c r="AC1032" s="36" t="n">
        <f aca="false">IF(AA1032="","",INDEX('Residual Config'!$D$11:$D$14,AA1032))</f>
        <v>0.6</v>
      </c>
      <c r="AD1032" s="7" t="str">
        <f aca="false">IF(OR(I1032="N/A",P1032="",Q1032=""),"",IF(P1032&gt;=Q1032,"Yes","No"))</f>
        <v>Yes</v>
      </c>
      <c r="AE1032" s="8"/>
    </row>
    <row r="1033" customFormat="false" ht="15" hidden="false" customHeight="false" outlineLevel="0" collapsed="false">
      <c r="A1033" s="12" t="s">
        <v>3303</v>
      </c>
      <c r="B1033" s="26" t="str">
        <f aca="false">Entities!$A$28</f>
        <v>DE</v>
      </c>
      <c r="C1033" s="12" t="str">
        <f aca="false">INDEX(Entities!$B$5:$B$34,MATCH(B1033,Entities!$A$5:$A$34,0))</f>
        <v>Arab Bank – Germany</v>
      </c>
      <c r="D1033" s="7" t="str">
        <f aca="false">INDEX(Entities!$F$5:$F$34,MATCH(B1033,Entities!$A$5:$A$34,0))</f>
        <v>Tier 3</v>
      </c>
      <c r="E1033" s="26" t="str">
        <f aca="false">'Control Library'!$A$44</f>
        <v>CTL-TP-01</v>
      </c>
      <c r="F1033" s="12" t="str">
        <f aca="false">INDEX('Control Library'!$B$5:$B$47,MATCH(E1033,'Control Library'!$A$5:$A$47,0))</f>
        <v>Critical vendor due diligence and tested exit plans</v>
      </c>
      <c r="G1033" s="7" t="str">
        <f aca="false">INDEX('Control Library'!$F$5:$F$47,MATCH(E1033,'Control Library'!$A$5:$A$47,0))</f>
        <v>Y</v>
      </c>
      <c r="H1033" s="12" t="str">
        <f aca="false">INDEX('Control Library'!$E$5:$E$47,MATCH(E1033,'Control Library'!$A$5:$A$47,0))</f>
        <v>Annual</v>
      </c>
      <c r="I1033" s="7" t="str">
        <f aca="false">IF(INDEX('Control Library'!$I$5:$I$47,MATCH(E1033,'Control Library'!$A$5:$A$47,0))="All","Y",IF(INDEX('Control Library'!$I$5:$I$47,MATCH(E1033,'Control Library'!$A$5:$A$47,0))="Banks only",IF(COUNTIF('Residual Config'!$L$28:$L$30,INDEX(Entities!$E$5:$E$34,MATCH(B1033,Entities!$A$5:$A$34,0)))&gt;0,"N/A","Y"),IF(INDEX(Entities!$G$5:$G$34,MATCH(B1033,Entities!$A$5:$A$34,0))="Y","Y","N/A")))</f>
        <v>Y</v>
      </c>
      <c r="J1033" s="8" t="s">
        <v>3248</v>
      </c>
      <c r="K1033" s="8" t="s">
        <v>3207</v>
      </c>
      <c r="L1033" s="7" t="str">
        <f aca="false">IF(OR(J1033="",K1033=""),"",IF(J1033=K1033,"Breach","OK"))</f>
        <v>OK</v>
      </c>
      <c r="M1033" s="24" t="n">
        <v>1</v>
      </c>
      <c r="N1033" s="50" t="n">
        <v>46186</v>
      </c>
      <c r="O1033" s="8" t="s">
        <v>546</v>
      </c>
      <c r="P1033" s="24" t="n">
        <v>1</v>
      </c>
      <c r="Q1033" s="31" t="n">
        <f aca="false">IF(I1033="N/A","",IFERROR(INDEX('Residual Config'!$B$35:$B$42,MATCH(H1033,'Residual Config'!$A$35:$A$42,0)),""))</f>
        <v>1</v>
      </c>
      <c r="R1033" s="24" t="n">
        <v>0</v>
      </c>
      <c r="S1033" s="8" t="s">
        <v>516</v>
      </c>
      <c r="T1033" s="31" t="n">
        <f aca="false">IF(S1033="","",MATCH(S1033,'Residual Config'!$L$9:$L$12,0))</f>
        <v>1</v>
      </c>
      <c r="U1033" s="8" t="s">
        <v>3304</v>
      </c>
      <c r="V1033" s="24" t="n">
        <v>5</v>
      </c>
      <c r="W1033" s="33" t="s">
        <v>533</v>
      </c>
      <c r="X1033" s="8" t="s">
        <v>760</v>
      </c>
      <c r="Y1033" s="51" t="n">
        <f aca="false">IF(N1033="","",EDATE(N1033,IF(G1033="N",INDEX('Residual Config'!$B$31:$D$31,1,MATCH(D1033,'Residual Config'!$B$27:$D$27,0)),INDEX('Residual Config'!$B$28:$D$30,IF(T1033=1,1,IF(T1033=4,3,2)),MATCH(D1033,'Residual Config'!$B$27:$D$27,0)))))</f>
        <v>46551</v>
      </c>
      <c r="Z1033" s="7" t="str">
        <f aca="false">IF(I1033="N/A","N/A",IF(N1033="","Not tested",IF(W1033="Rejected","Evidence rejected",IF(W1033&lt;&gt;"Accepted","Evidence pending",IF(Y1033&lt;'Residual Config'!$C$4,"Overdue","Current")))))</f>
        <v>Current</v>
      </c>
      <c r="AA1033" s="34" t="n">
        <f aca="false">IF(I1033="N/A","",IF(Z1033&lt;&gt;"Current",4,IF(MAX(M1033,T1033)=0,4,MAX(M1033,T1033))))</f>
        <v>1</v>
      </c>
      <c r="AB1033" s="7" t="str">
        <f aca="false">IF(AA1033="","N/A",IF(Z1033&lt;&gt;"Current","Not tested / overdue",INDEX('Residual Config'!$B$11:$B$14,AA1033)))</f>
        <v>Effective</v>
      </c>
      <c r="AC1033" s="36" t="n">
        <f aca="false">IF(AA1033="","",INDEX('Residual Config'!$D$11:$D$14,AA1033))</f>
        <v>0.6</v>
      </c>
      <c r="AD1033" s="7" t="str">
        <f aca="false">IF(OR(I1033="N/A",P1033="",Q1033=""),"",IF(P1033&gt;=Q1033,"Yes","No"))</f>
        <v>Yes</v>
      </c>
      <c r="AE1033" s="8"/>
    </row>
    <row r="1034" customFormat="false" ht="15" hidden="false" customHeight="false" outlineLevel="0" collapsed="false">
      <c r="A1034" s="12" t="s">
        <v>3305</v>
      </c>
      <c r="B1034" s="26" t="str">
        <f aca="false">Entities!$A$28</f>
        <v>DE</v>
      </c>
      <c r="C1034" s="12" t="str">
        <f aca="false">INDEX(Entities!$B$5:$B$34,MATCH(B1034,Entities!$A$5:$A$34,0))</f>
        <v>Arab Bank – Germany</v>
      </c>
      <c r="D1034" s="7" t="str">
        <f aca="false">INDEX(Entities!$F$5:$F$34,MATCH(B1034,Entities!$A$5:$A$34,0))</f>
        <v>Tier 3</v>
      </c>
      <c r="E1034" s="26" t="str">
        <f aca="false">'Control Library'!$A$45</f>
        <v>CTL-LG-01</v>
      </c>
      <c r="F1034" s="12" t="str">
        <f aca="false">INDEX('Control Library'!$B$5:$B$47,MATCH(E1034,'Control Library'!$A$5:$A$47,0))</f>
        <v>Legal review of contracts and litigation register</v>
      </c>
      <c r="G1034" s="7" t="str">
        <f aca="false">INDEX('Control Library'!$F$5:$F$47,MATCH(E1034,'Control Library'!$A$5:$A$47,0))</f>
        <v>Y</v>
      </c>
      <c r="H1034" s="12" t="str">
        <f aca="false">INDEX('Control Library'!$E$5:$E$47,MATCH(E1034,'Control Library'!$A$5:$A$47,0))</f>
        <v>Event-driven</v>
      </c>
      <c r="I1034" s="7" t="str">
        <f aca="false">IF(INDEX('Control Library'!$I$5:$I$47,MATCH(E1034,'Control Library'!$A$5:$A$47,0))="All","Y",IF(INDEX('Control Library'!$I$5:$I$47,MATCH(E1034,'Control Library'!$A$5:$A$47,0))="Banks only",IF(COUNTIF('Residual Config'!$L$28:$L$30,INDEX(Entities!$E$5:$E$34,MATCH(B1034,Entities!$A$5:$A$34,0)))&gt;0,"N/A","Y"),IF(INDEX(Entities!$G$5:$G$34,MATCH(B1034,Entities!$A$5:$A$34,0))="Y","Y","N/A")))</f>
        <v>Y</v>
      </c>
      <c r="J1034" s="8" t="s">
        <v>3306</v>
      </c>
      <c r="K1034" s="8" t="s">
        <v>3207</v>
      </c>
      <c r="L1034" s="7" t="str">
        <f aca="false">IF(OR(J1034="",K1034=""),"",IF(J1034=K1034,"Breach","OK"))</f>
        <v>OK</v>
      </c>
      <c r="M1034" s="24" t="n">
        <v>1</v>
      </c>
      <c r="N1034" s="50" t="n">
        <v>46139</v>
      </c>
      <c r="O1034" s="8" t="s">
        <v>546</v>
      </c>
      <c r="P1034" s="24" t="n">
        <v>25</v>
      </c>
      <c r="Q1034" s="31" t="n">
        <f aca="false">IF(I1034="N/A","",IFERROR(INDEX('Residual Config'!$B$35:$B$42,MATCH(H1034,'Residual Config'!$A$35:$A$42,0)),""))</f>
        <v>25</v>
      </c>
      <c r="R1034" s="24" t="n">
        <v>0</v>
      </c>
      <c r="S1034" s="8" t="s">
        <v>516</v>
      </c>
      <c r="T1034" s="31" t="n">
        <f aca="false">IF(S1034="","",MATCH(S1034,'Residual Config'!$L$9:$L$12,0))</f>
        <v>1</v>
      </c>
      <c r="U1034" s="8" t="s">
        <v>3307</v>
      </c>
      <c r="V1034" s="24" t="n">
        <v>4</v>
      </c>
      <c r="W1034" s="33" t="s">
        <v>533</v>
      </c>
      <c r="X1034" s="8" t="s">
        <v>754</v>
      </c>
      <c r="Y1034" s="51" t="n">
        <f aca="false">IF(N1034="","",EDATE(N1034,IF(G1034="N",INDEX('Residual Config'!$B$31:$D$31,1,MATCH(D1034,'Residual Config'!$B$27:$D$27,0)),INDEX('Residual Config'!$B$28:$D$30,IF(T1034=1,1,IF(T1034=4,3,2)),MATCH(D1034,'Residual Config'!$B$27:$D$27,0)))))</f>
        <v>46504</v>
      </c>
      <c r="Z1034" s="7" t="str">
        <f aca="false">IF(I1034="N/A","N/A",IF(N1034="","Not tested",IF(W1034="Rejected","Evidence rejected",IF(W1034&lt;&gt;"Accepted","Evidence pending",IF(Y1034&lt;'Residual Config'!$C$4,"Overdue","Current")))))</f>
        <v>Current</v>
      </c>
      <c r="AA1034" s="34" t="n">
        <f aca="false">IF(I1034="N/A","",IF(Z1034&lt;&gt;"Current",4,IF(MAX(M1034,T1034)=0,4,MAX(M1034,T1034))))</f>
        <v>1</v>
      </c>
      <c r="AB1034" s="7" t="str">
        <f aca="false">IF(AA1034="","N/A",IF(Z1034&lt;&gt;"Current","Not tested / overdue",INDEX('Residual Config'!$B$11:$B$14,AA1034)))</f>
        <v>Effective</v>
      </c>
      <c r="AC1034" s="36" t="n">
        <f aca="false">IF(AA1034="","",INDEX('Residual Config'!$D$11:$D$14,AA1034))</f>
        <v>0.6</v>
      </c>
      <c r="AD1034" s="7" t="str">
        <f aca="false">IF(OR(I1034="N/A",P1034="",Q1034=""),"",IF(P1034&gt;=Q1034,"Yes","No"))</f>
        <v>Yes</v>
      </c>
      <c r="AE1034" s="8"/>
    </row>
    <row r="1035" customFormat="false" ht="15" hidden="false" customHeight="false" outlineLevel="0" collapsed="false">
      <c r="A1035" s="12" t="s">
        <v>3308</v>
      </c>
      <c r="B1035" s="26" t="str">
        <f aca="false">Entities!$A$28</f>
        <v>DE</v>
      </c>
      <c r="C1035" s="12" t="str">
        <f aca="false">INDEX(Entities!$B$5:$B$34,MATCH(B1035,Entities!$A$5:$A$34,0))</f>
        <v>Arab Bank – Germany</v>
      </c>
      <c r="D1035" s="7" t="str">
        <f aca="false">INDEX(Entities!$F$5:$F$34,MATCH(B1035,Entities!$A$5:$A$34,0))</f>
        <v>Tier 3</v>
      </c>
      <c r="E1035" s="26" t="str">
        <f aca="false">'Control Library'!$A$46</f>
        <v>CTL-RP-01</v>
      </c>
      <c r="F1035" s="12" t="str">
        <f aca="false">INDEX('Control Library'!$B$5:$B$47,MATCH(E1035,'Control Library'!$A$5:$A$47,0))</f>
        <v>Media monitoring and reputational-risk escalation</v>
      </c>
      <c r="G1035" s="7" t="str">
        <f aca="false">INDEX('Control Library'!$F$5:$F$47,MATCH(E1035,'Control Library'!$A$5:$A$47,0))</f>
        <v>Y</v>
      </c>
      <c r="H1035" s="12" t="str">
        <f aca="false">INDEX('Control Library'!$E$5:$E$47,MATCH(E1035,'Control Library'!$A$5:$A$47,0))</f>
        <v>Daily</v>
      </c>
      <c r="I1035" s="7" t="str">
        <f aca="false">IF(INDEX('Control Library'!$I$5:$I$47,MATCH(E1035,'Control Library'!$A$5:$A$47,0))="All","Y",IF(INDEX('Control Library'!$I$5:$I$47,MATCH(E1035,'Control Library'!$A$5:$A$47,0))="Banks only",IF(COUNTIF('Residual Config'!$L$28:$L$30,INDEX(Entities!$E$5:$E$34,MATCH(B1035,Entities!$A$5:$A$34,0)))&gt;0,"N/A","Y"),IF(INDEX(Entities!$G$5:$G$34,MATCH(B1035,Entities!$A$5:$A$34,0))="Y","Y","N/A")))</f>
        <v>Y</v>
      </c>
      <c r="J1035" s="8" t="s">
        <v>3309</v>
      </c>
      <c r="K1035" s="8" t="s">
        <v>3207</v>
      </c>
      <c r="L1035" s="7" t="str">
        <f aca="false">IF(OR(J1035="",K1035=""),"",IF(J1035=K1035,"Breach","OK"))</f>
        <v>OK</v>
      </c>
      <c r="M1035" s="24" t="n">
        <v>1</v>
      </c>
      <c r="N1035" s="50" t="n">
        <v>46171</v>
      </c>
      <c r="O1035" s="8" t="s">
        <v>545</v>
      </c>
      <c r="P1035" s="24" t="n">
        <v>25</v>
      </c>
      <c r="Q1035" s="31" t="n">
        <f aca="false">IF(I1035="N/A","",IFERROR(INDEX('Residual Config'!$B$35:$B$42,MATCH(H1035,'Residual Config'!$A$35:$A$42,0)),""))</f>
        <v>25</v>
      </c>
      <c r="R1035" s="24" t="n">
        <v>0</v>
      </c>
      <c r="S1035" s="8" t="s">
        <v>516</v>
      </c>
      <c r="T1035" s="31" t="n">
        <f aca="false">IF(S1035="","",MATCH(S1035,'Residual Config'!$L$9:$L$12,0))</f>
        <v>1</v>
      </c>
      <c r="U1035" s="8" t="s">
        <v>3310</v>
      </c>
      <c r="V1035" s="24" t="n">
        <v>1</v>
      </c>
      <c r="W1035" s="33" t="s">
        <v>533</v>
      </c>
      <c r="X1035" s="8" t="s">
        <v>754</v>
      </c>
      <c r="Y1035" s="51" t="n">
        <f aca="false">IF(N1035="","",EDATE(N1035,IF(G1035="N",INDEX('Residual Config'!$B$31:$D$31,1,MATCH(D1035,'Residual Config'!$B$27:$D$27,0)),INDEX('Residual Config'!$B$28:$D$30,IF(T1035=1,1,IF(T1035=4,3,2)),MATCH(D1035,'Residual Config'!$B$27:$D$27,0)))))</f>
        <v>46536</v>
      </c>
      <c r="Z1035" s="7" t="str">
        <f aca="false">IF(I1035="N/A","N/A",IF(N1035="","Not tested",IF(W1035="Rejected","Evidence rejected",IF(W1035&lt;&gt;"Accepted","Evidence pending",IF(Y1035&lt;'Residual Config'!$C$4,"Overdue","Current")))))</f>
        <v>Current</v>
      </c>
      <c r="AA1035" s="34" t="n">
        <f aca="false">IF(I1035="N/A","",IF(Z1035&lt;&gt;"Current",4,IF(MAX(M1035,T1035)=0,4,MAX(M1035,T1035))))</f>
        <v>1</v>
      </c>
      <c r="AB1035" s="7" t="str">
        <f aca="false">IF(AA1035="","N/A",IF(Z1035&lt;&gt;"Current","Not tested / overdue",INDEX('Residual Config'!$B$11:$B$14,AA1035)))</f>
        <v>Effective</v>
      </c>
      <c r="AC1035" s="36" t="n">
        <f aca="false">IF(AA1035="","",INDEX('Residual Config'!$D$11:$D$14,AA1035))</f>
        <v>0.6</v>
      </c>
      <c r="AD1035" s="7" t="str">
        <f aca="false">IF(OR(I1035="N/A",P1035="",Q1035=""),"",IF(P1035&gt;=Q1035,"Yes","No"))</f>
        <v>Yes</v>
      </c>
      <c r="AE1035" s="8"/>
    </row>
    <row r="1036" customFormat="false" ht="15" hidden="false" customHeight="false" outlineLevel="0" collapsed="false">
      <c r="A1036" s="12" t="s">
        <v>3311</v>
      </c>
      <c r="B1036" s="26" t="str">
        <f aca="false">Entities!$A$28</f>
        <v>DE</v>
      </c>
      <c r="C1036" s="12" t="str">
        <f aca="false">INDEX(Entities!$B$5:$B$34,MATCH(B1036,Entities!$A$5:$A$34,0))</f>
        <v>Arab Bank – Germany</v>
      </c>
      <c r="D1036" s="7" t="str">
        <f aca="false">INDEX(Entities!$F$5:$F$34,MATCH(B1036,Entities!$A$5:$A$34,0))</f>
        <v>Tier 3</v>
      </c>
      <c r="E1036" s="26" t="str">
        <f aca="false">'Control Library'!$A$47</f>
        <v>CTL-ST-01</v>
      </c>
      <c r="F1036" s="12" t="str">
        <f aca="false">INDEX('Control Library'!$B$5:$B$47,MATCH(E1036,'Control Library'!$A$5:$A$47,0))</f>
        <v>Strategy execution monitoring and E&amp;S screening of lending</v>
      </c>
      <c r="G1036" s="7" t="str">
        <f aca="false">INDEX('Control Library'!$F$5:$F$47,MATCH(E1036,'Control Library'!$A$5:$A$47,0))</f>
        <v>Y</v>
      </c>
      <c r="H1036" s="12" t="str">
        <f aca="false">INDEX('Control Library'!$E$5:$E$47,MATCH(E1036,'Control Library'!$A$5:$A$47,0))</f>
        <v>Quarterly</v>
      </c>
      <c r="I1036" s="7" t="str">
        <f aca="false">IF(INDEX('Control Library'!$I$5:$I$47,MATCH(E1036,'Control Library'!$A$5:$A$47,0))="All","Y",IF(INDEX('Control Library'!$I$5:$I$47,MATCH(E1036,'Control Library'!$A$5:$A$47,0))="Banks only",IF(COUNTIF('Residual Config'!$L$28:$L$30,INDEX(Entities!$E$5:$E$34,MATCH(B1036,Entities!$A$5:$A$34,0)))&gt;0,"N/A","Y"),IF(INDEX(Entities!$G$5:$G$34,MATCH(B1036,Entities!$A$5:$A$34,0))="Y","Y","N/A")))</f>
        <v>Y</v>
      </c>
      <c r="J1036" s="8" t="s">
        <v>3312</v>
      </c>
      <c r="K1036" s="8" t="s">
        <v>3207</v>
      </c>
      <c r="L1036" s="7" t="str">
        <f aca="false">IF(OR(J1036="",K1036=""),"",IF(J1036=K1036,"Breach","OK"))</f>
        <v>OK</v>
      </c>
      <c r="M1036" s="24" t="n">
        <v>1</v>
      </c>
      <c r="N1036" s="50" t="n">
        <v>46179</v>
      </c>
      <c r="O1036" s="8" t="s">
        <v>545</v>
      </c>
      <c r="P1036" s="24" t="n">
        <v>2</v>
      </c>
      <c r="Q1036" s="31" t="n">
        <f aca="false">IF(I1036="N/A","",IFERROR(INDEX('Residual Config'!$B$35:$B$42,MATCH(H1036,'Residual Config'!$A$35:$A$42,0)),""))</f>
        <v>2</v>
      </c>
      <c r="R1036" s="24" t="n">
        <v>0</v>
      </c>
      <c r="S1036" s="8" t="s">
        <v>516</v>
      </c>
      <c r="T1036" s="31" t="n">
        <f aca="false">IF(S1036="","",MATCH(S1036,'Residual Config'!$L$9:$L$12,0))</f>
        <v>1</v>
      </c>
      <c r="U1036" s="8" t="s">
        <v>3313</v>
      </c>
      <c r="V1036" s="24" t="n">
        <v>6</v>
      </c>
      <c r="W1036" s="33" t="s">
        <v>533</v>
      </c>
      <c r="X1036" s="8" t="s">
        <v>760</v>
      </c>
      <c r="Y1036" s="51" t="n">
        <f aca="false">IF(N1036="","",EDATE(N1036,IF(G1036="N",INDEX('Residual Config'!$B$31:$D$31,1,MATCH(D1036,'Residual Config'!$B$27:$D$27,0)),INDEX('Residual Config'!$B$28:$D$30,IF(T1036=1,1,IF(T1036=4,3,2)),MATCH(D1036,'Residual Config'!$B$27:$D$27,0)))))</f>
        <v>46544</v>
      </c>
      <c r="Z1036" s="7" t="str">
        <f aca="false">IF(I1036="N/A","N/A",IF(N1036="","Not tested",IF(W1036="Rejected","Evidence rejected",IF(W1036&lt;&gt;"Accepted","Evidence pending",IF(Y1036&lt;'Residual Config'!$C$4,"Overdue","Current")))))</f>
        <v>Current</v>
      </c>
      <c r="AA1036" s="34" t="n">
        <f aca="false">IF(I1036="N/A","",IF(Z1036&lt;&gt;"Current",4,IF(MAX(M1036,T1036)=0,4,MAX(M1036,T1036))))</f>
        <v>1</v>
      </c>
      <c r="AB1036" s="7" t="str">
        <f aca="false">IF(AA1036="","N/A",IF(Z1036&lt;&gt;"Current","Not tested / overdue",INDEX('Residual Config'!$B$11:$B$14,AA1036)))</f>
        <v>Effective</v>
      </c>
      <c r="AC1036" s="36" t="n">
        <f aca="false">IF(AA1036="","",INDEX('Residual Config'!$D$11:$D$14,AA1036))</f>
        <v>0.6</v>
      </c>
      <c r="AD1036" s="7" t="str">
        <f aca="false">IF(OR(I1036="N/A",P1036="",Q1036=""),"",IF(P1036&gt;=Q1036,"Yes","No"))</f>
        <v>Yes</v>
      </c>
      <c r="AE1036" s="8"/>
    </row>
    <row r="1037" customFormat="false" ht="15" hidden="false" customHeight="false" outlineLevel="0" collapsed="false">
      <c r="A1037" s="12" t="s">
        <v>3314</v>
      </c>
      <c r="B1037" s="26" t="str">
        <f aca="false">Entities!$A$29</f>
        <v>IT</v>
      </c>
      <c r="C1037" s="12" t="str">
        <f aca="false">INDEX(Entities!$B$5:$B$34,MATCH(B1037,Entities!$A$5:$A$34,0))</f>
        <v>Arab Bank – Italy</v>
      </c>
      <c r="D1037" s="7" t="str">
        <f aca="false">INDEX(Entities!$F$5:$F$34,MATCH(B1037,Entities!$A$5:$A$34,0))</f>
        <v>Tier 3</v>
      </c>
      <c r="E1037" s="26" t="str">
        <f aca="false">'Control Library'!$A$5</f>
        <v>CTL-KYC-01</v>
      </c>
      <c r="F1037" s="12" t="str">
        <f aca="false">INDEX('Control Library'!$B$5:$B$47,MATCH(E1037,'Control Library'!$A$5:$A$47,0))</f>
        <v>Customer due diligence and ID verification at onboarding</v>
      </c>
      <c r="G1037" s="7" t="str">
        <f aca="false">INDEX('Control Library'!$F$5:$F$47,MATCH(E1037,'Control Library'!$A$5:$A$47,0))</f>
        <v>Y</v>
      </c>
      <c r="H1037" s="12" t="str">
        <f aca="false">INDEX('Control Library'!$E$5:$E$47,MATCH(E1037,'Control Library'!$A$5:$A$47,0))</f>
        <v>Event-driven</v>
      </c>
      <c r="I1037" s="7" t="str">
        <f aca="false">IF(INDEX('Control Library'!$I$5:$I$47,MATCH(E1037,'Control Library'!$A$5:$A$47,0))="All","Y",IF(INDEX('Control Library'!$I$5:$I$47,MATCH(E1037,'Control Library'!$A$5:$A$47,0))="Banks only",IF(COUNTIF('Residual Config'!$L$28:$L$30,INDEX(Entities!$E$5:$E$34,MATCH(B1037,Entities!$A$5:$A$34,0)))&gt;0,"N/A","Y"),IF(INDEX(Entities!$G$5:$G$34,MATCH(B1037,Entities!$A$5:$A$34,0))="Y","Y","N/A")))</f>
        <v>Y</v>
      </c>
      <c r="J1037" s="8" t="s">
        <v>3315</v>
      </c>
      <c r="K1037" s="8" t="s">
        <v>3316</v>
      </c>
      <c r="L1037" s="7" t="str">
        <f aca="false">IF(OR(J1037="",K1037=""),"",IF(J1037=K1037,"Breach","OK"))</f>
        <v>OK</v>
      </c>
      <c r="M1037" s="24" t="n">
        <v>1</v>
      </c>
      <c r="N1037" s="50" t="n">
        <v>46138</v>
      </c>
      <c r="O1037" s="8" t="s">
        <v>546</v>
      </c>
      <c r="P1037" s="24" t="n">
        <v>35</v>
      </c>
      <c r="Q1037" s="31" t="n">
        <f aca="false">IF(I1037="N/A","",IFERROR(INDEX('Residual Config'!$B$35:$B$42,MATCH(H1037,'Residual Config'!$A$35:$A$42,0)),""))</f>
        <v>25</v>
      </c>
      <c r="R1037" s="24" t="n">
        <v>1</v>
      </c>
      <c r="S1037" s="8" t="s">
        <v>521</v>
      </c>
      <c r="T1037" s="31" t="n">
        <f aca="false">IF(S1037="","",MATCH(S1037,'Residual Config'!$L$9:$L$12,0))</f>
        <v>2</v>
      </c>
      <c r="U1037" s="8" t="s">
        <v>3317</v>
      </c>
      <c r="V1037" s="24" t="n">
        <v>1</v>
      </c>
      <c r="W1037" s="33" t="s">
        <v>533</v>
      </c>
      <c r="X1037" s="8" t="s">
        <v>760</v>
      </c>
      <c r="Y1037" s="51" t="n">
        <f aca="false">IF(N1037="","",EDATE(N1037,IF(G1037="N",INDEX('Residual Config'!$B$31:$D$31,1,MATCH(D1037,'Residual Config'!$B$27:$D$27,0)),INDEX('Residual Config'!$B$28:$D$30,IF(T1037=1,1,IF(T1037=4,3,2)),MATCH(D1037,'Residual Config'!$B$27:$D$27,0)))))</f>
        <v>46321</v>
      </c>
      <c r="Z1037" s="7" t="str">
        <f aca="false">IF(I1037="N/A","N/A",IF(N1037="","Not tested",IF(W1037="Rejected","Evidence rejected",IF(W1037&lt;&gt;"Accepted","Evidence pending",IF(Y1037&lt;'Residual Config'!$C$4,"Overdue","Current")))))</f>
        <v>Current</v>
      </c>
      <c r="AA1037" s="34" t="n">
        <f aca="false">IF(I1037="N/A","",IF(Z1037&lt;&gt;"Current",4,IF(MAX(M1037,T1037)=0,4,MAX(M1037,T1037))))</f>
        <v>2</v>
      </c>
      <c r="AB1037" s="7" t="str">
        <f aca="false">IF(AA1037="","N/A",IF(Z1037&lt;&gt;"Current","Not tested / overdue",INDEX('Residual Config'!$B$11:$B$14,AA1037)))</f>
        <v>Largely effective</v>
      </c>
      <c r="AC1037" s="36" t="n">
        <f aca="false">IF(AA1037="","",INDEX('Residual Config'!$D$11:$D$14,AA1037))</f>
        <v>0.4</v>
      </c>
      <c r="AD1037" s="7" t="str">
        <f aca="false">IF(OR(I1037="N/A",P1037="",Q1037=""),"",IF(P1037&gt;=Q1037,"Yes","No"))</f>
        <v>Yes</v>
      </c>
      <c r="AE1037" s="8"/>
    </row>
    <row r="1038" customFormat="false" ht="15" hidden="false" customHeight="false" outlineLevel="0" collapsed="false">
      <c r="A1038" s="12" t="s">
        <v>3318</v>
      </c>
      <c r="B1038" s="26" t="str">
        <f aca="false">Entities!$A$29</f>
        <v>IT</v>
      </c>
      <c r="C1038" s="12" t="str">
        <f aca="false">INDEX(Entities!$B$5:$B$34,MATCH(B1038,Entities!$A$5:$A$34,0))</f>
        <v>Arab Bank – Italy</v>
      </c>
      <c r="D1038" s="7" t="str">
        <f aca="false">INDEX(Entities!$F$5:$F$34,MATCH(B1038,Entities!$A$5:$A$34,0))</f>
        <v>Tier 3</v>
      </c>
      <c r="E1038" s="26" t="str">
        <f aca="false">'Control Library'!$A$6</f>
        <v>CTL-KYC-02</v>
      </c>
      <c r="F1038" s="12" t="str">
        <f aca="false">INDEX('Control Library'!$B$5:$B$47,MATCH(E1038,'Control Library'!$A$5:$A$47,0))</f>
        <v>Enhanced due diligence for high-risk customers and PEPs, senior approval</v>
      </c>
      <c r="G1038" s="7" t="str">
        <f aca="false">INDEX('Control Library'!$F$5:$F$47,MATCH(E1038,'Control Library'!$A$5:$A$47,0))</f>
        <v>Y</v>
      </c>
      <c r="H1038" s="12" t="str">
        <f aca="false">INDEX('Control Library'!$E$5:$E$47,MATCH(E1038,'Control Library'!$A$5:$A$47,0))</f>
        <v>Event-driven</v>
      </c>
      <c r="I1038" s="7" t="str">
        <f aca="false">IF(INDEX('Control Library'!$I$5:$I$47,MATCH(E1038,'Control Library'!$A$5:$A$47,0))="All","Y",IF(INDEX('Control Library'!$I$5:$I$47,MATCH(E1038,'Control Library'!$A$5:$A$47,0))="Banks only",IF(COUNTIF('Residual Config'!$L$28:$L$30,INDEX(Entities!$E$5:$E$34,MATCH(B1038,Entities!$A$5:$A$34,0)))&gt;0,"N/A","Y"),IF(INDEX(Entities!$G$5:$G$34,MATCH(B1038,Entities!$A$5:$A$34,0))="Y","Y","N/A")))</f>
        <v>Y</v>
      </c>
      <c r="J1038" s="8" t="s">
        <v>3319</v>
      </c>
      <c r="K1038" s="8" t="s">
        <v>3316</v>
      </c>
      <c r="L1038" s="7" t="str">
        <f aca="false">IF(OR(J1038="",K1038=""),"",IF(J1038=K1038,"Breach","OK"))</f>
        <v>OK</v>
      </c>
      <c r="M1038" s="24" t="n">
        <v>1</v>
      </c>
      <c r="N1038" s="50" t="n">
        <v>46242</v>
      </c>
      <c r="O1038" s="8" t="s">
        <v>545</v>
      </c>
      <c r="P1038" s="24" t="n">
        <v>25</v>
      </c>
      <c r="Q1038" s="31" t="n">
        <f aca="false">IF(I1038="N/A","",IFERROR(INDEX('Residual Config'!$B$35:$B$42,MATCH(H1038,'Residual Config'!$A$35:$A$42,0)),""))</f>
        <v>25</v>
      </c>
      <c r="R1038" s="24" t="n">
        <v>0</v>
      </c>
      <c r="S1038" s="8" t="s">
        <v>516</v>
      </c>
      <c r="T1038" s="31" t="n">
        <f aca="false">IF(S1038="","",MATCH(S1038,'Residual Config'!$L$9:$L$12,0))</f>
        <v>1</v>
      </c>
      <c r="U1038" s="8" t="s">
        <v>3320</v>
      </c>
      <c r="V1038" s="24" t="n">
        <v>3</v>
      </c>
      <c r="W1038" s="33" t="s">
        <v>533</v>
      </c>
      <c r="X1038" s="8" t="s">
        <v>760</v>
      </c>
      <c r="Y1038" s="51" t="n">
        <f aca="false">IF(N1038="","",EDATE(N1038,IF(G1038="N",INDEX('Residual Config'!$B$31:$D$31,1,MATCH(D1038,'Residual Config'!$B$27:$D$27,0)),INDEX('Residual Config'!$B$28:$D$30,IF(T1038=1,1,IF(T1038=4,3,2)),MATCH(D1038,'Residual Config'!$B$27:$D$27,0)))))</f>
        <v>46607</v>
      </c>
      <c r="Z1038" s="7" t="str">
        <f aca="false">IF(I1038="N/A","N/A",IF(N1038="","Not tested",IF(W1038="Rejected","Evidence rejected",IF(W1038&lt;&gt;"Accepted","Evidence pending",IF(Y1038&lt;'Residual Config'!$C$4,"Overdue","Current")))))</f>
        <v>Current</v>
      </c>
      <c r="AA1038" s="34" t="n">
        <f aca="false">IF(I1038="N/A","",IF(Z1038&lt;&gt;"Current",4,IF(MAX(M1038,T1038)=0,4,MAX(M1038,T1038))))</f>
        <v>1</v>
      </c>
      <c r="AB1038" s="7" t="str">
        <f aca="false">IF(AA1038="","N/A",IF(Z1038&lt;&gt;"Current","Not tested / overdue",INDEX('Residual Config'!$B$11:$B$14,AA1038)))</f>
        <v>Effective</v>
      </c>
      <c r="AC1038" s="36" t="n">
        <f aca="false">IF(AA1038="","",INDEX('Residual Config'!$D$11:$D$14,AA1038))</f>
        <v>0.6</v>
      </c>
      <c r="AD1038" s="7" t="str">
        <f aca="false">IF(OR(I1038="N/A",P1038="",Q1038=""),"",IF(P1038&gt;=Q1038,"Yes","No"))</f>
        <v>Yes</v>
      </c>
      <c r="AE1038" s="8"/>
    </row>
    <row r="1039" customFormat="false" ht="15" hidden="false" customHeight="false" outlineLevel="0" collapsed="false">
      <c r="A1039" s="12" t="s">
        <v>3321</v>
      </c>
      <c r="B1039" s="26" t="str">
        <f aca="false">Entities!$A$29</f>
        <v>IT</v>
      </c>
      <c r="C1039" s="12" t="str">
        <f aca="false">INDEX(Entities!$B$5:$B$34,MATCH(B1039,Entities!$A$5:$A$34,0))</f>
        <v>Arab Bank – Italy</v>
      </c>
      <c r="D1039" s="7" t="str">
        <f aca="false">INDEX(Entities!$F$5:$F$34,MATCH(B1039,Entities!$A$5:$A$34,0))</f>
        <v>Tier 3</v>
      </c>
      <c r="E1039" s="26" t="str">
        <f aca="false">'Control Library'!$A$7</f>
        <v>CTL-KYC-03</v>
      </c>
      <c r="F1039" s="12" t="str">
        <f aca="false">INDEX('Control Library'!$B$5:$B$47,MATCH(E1039,'Control Library'!$A$5:$A$47,0))</f>
        <v>Ultimate beneficial owner identification and verification</v>
      </c>
      <c r="G1039" s="7" t="str">
        <f aca="false">INDEX('Control Library'!$F$5:$F$47,MATCH(E1039,'Control Library'!$A$5:$A$47,0))</f>
        <v>Y</v>
      </c>
      <c r="H1039" s="12" t="str">
        <f aca="false">INDEX('Control Library'!$E$5:$E$47,MATCH(E1039,'Control Library'!$A$5:$A$47,0))</f>
        <v>Event-driven</v>
      </c>
      <c r="I1039" s="7" t="str">
        <f aca="false">IF(INDEX('Control Library'!$I$5:$I$47,MATCH(E1039,'Control Library'!$A$5:$A$47,0))="All","Y",IF(INDEX('Control Library'!$I$5:$I$47,MATCH(E1039,'Control Library'!$A$5:$A$47,0))="Banks only",IF(COUNTIF('Residual Config'!$L$28:$L$30,INDEX(Entities!$E$5:$E$34,MATCH(B1039,Entities!$A$5:$A$34,0)))&gt;0,"N/A","Y"),IF(INDEX(Entities!$G$5:$G$34,MATCH(B1039,Entities!$A$5:$A$34,0))="Y","Y","N/A")))</f>
        <v>Y</v>
      </c>
      <c r="J1039" s="8" t="s">
        <v>3315</v>
      </c>
      <c r="K1039" s="8" t="s">
        <v>3316</v>
      </c>
      <c r="L1039" s="7" t="str">
        <f aca="false">IF(OR(J1039="",K1039=""),"",IF(J1039=K1039,"Breach","OK"))</f>
        <v>OK</v>
      </c>
      <c r="M1039" s="24" t="n">
        <v>1</v>
      </c>
      <c r="N1039" s="50" t="n">
        <v>46251</v>
      </c>
      <c r="O1039" s="8" t="s">
        <v>545</v>
      </c>
      <c r="P1039" s="24" t="n">
        <v>25</v>
      </c>
      <c r="Q1039" s="31" t="n">
        <f aca="false">IF(I1039="N/A","",IFERROR(INDEX('Residual Config'!$B$35:$B$42,MATCH(H1039,'Residual Config'!$A$35:$A$42,0)),""))</f>
        <v>25</v>
      </c>
      <c r="R1039" s="24" t="n">
        <v>2</v>
      </c>
      <c r="S1039" s="8" t="s">
        <v>524</v>
      </c>
      <c r="T1039" s="31" t="n">
        <f aca="false">IF(S1039="","",MATCH(S1039,'Residual Config'!$L$9:$L$12,0))</f>
        <v>3</v>
      </c>
      <c r="U1039" s="8" t="s">
        <v>3322</v>
      </c>
      <c r="V1039" s="24" t="n">
        <v>3</v>
      </c>
      <c r="W1039" s="33" t="s">
        <v>533</v>
      </c>
      <c r="X1039" s="8" t="s">
        <v>760</v>
      </c>
      <c r="Y1039" s="51" t="n">
        <f aca="false">IF(N1039="","",EDATE(N1039,IF(G1039="N",INDEX('Residual Config'!$B$31:$D$31,1,MATCH(D1039,'Residual Config'!$B$27:$D$27,0)),INDEX('Residual Config'!$B$28:$D$30,IF(T1039=1,1,IF(T1039=4,3,2)),MATCH(D1039,'Residual Config'!$B$27:$D$27,0)))))</f>
        <v>46435</v>
      </c>
      <c r="Z1039" s="7" t="str">
        <f aca="false">IF(I1039="N/A","N/A",IF(N1039="","Not tested",IF(W1039="Rejected","Evidence rejected",IF(W1039&lt;&gt;"Accepted","Evidence pending",IF(Y1039&lt;'Residual Config'!$C$4,"Overdue","Current")))))</f>
        <v>Current</v>
      </c>
      <c r="AA1039" s="34" t="n">
        <f aca="false">IF(I1039="N/A","",IF(Z1039&lt;&gt;"Current",4,IF(MAX(M1039,T1039)=0,4,MAX(M1039,T1039))))</f>
        <v>3</v>
      </c>
      <c r="AB1039" s="7" t="str">
        <f aca="false">IF(AA1039="","N/A",IF(Z1039&lt;&gt;"Current","Not tested / overdue",INDEX('Residual Config'!$B$11:$B$14,AA1039)))</f>
        <v>Partially effective</v>
      </c>
      <c r="AC1039" s="36" t="n">
        <f aca="false">IF(AA1039="","",INDEX('Residual Config'!$D$11:$D$14,AA1039))</f>
        <v>0.2</v>
      </c>
      <c r="AD1039" s="7" t="str">
        <f aca="false">IF(OR(I1039="N/A",P1039="",Q1039=""),"",IF(P1039&gt;=Q1039,"Yes","No"))</f>
        <v>Yes</v>
      </c>
      <c r="AE1039" s="8"/>
    </row>
    <row r="1040" customFormat="false" ht="15" hidden="false" customHeight="false" outlineLevel="0" collapsed="false">
      <c r="A1040" s="12" t="s">
        <v>3323</v>
      </c>
      <c r="B1040" s="26" t="str">
        <f aca="false">Entities!$A$29</f>
        <v>IT</v>
      </c>
      <c r="C1040" s="12" t="str">
        <f aca="false">INDEX(Entities!$B$5:$B$34,MATCH(B1040,Entities!$A$5:$A$34,0))</f>
        <v>Arab Bank – Italy</v>
      </c>
      <c r="D1040" s="7" t="str">
        <f aca="false">INDEX(Entities!$F$5:$F$34,MATCH(B1040,Entities!$A$5:$A$34,0))</f>
        <v>Tier 3</v>
      </c>
      <c r="E1040" s="26" t="str">
        <f aca="false">'Control Library'!$A$8</f>
        <v>CTL-KYC-04</v>
      </c>
      <c r="F1040" s="12" t="str">
        <f aca="false">INDEX('Control Library'!$B$5:$B$47,MATCH(E1040,'Control Library'!$A$5:$A$47,0))</f>
        <v>Periodic KYC review by customer risk rating</v>
      </c>
      <c r="G1040" s="7" t="str">
        <f aca="false">INDEX('Control Library'!$F$5:$F$47,MATCH(E1040,'Control Library'!$A$5:$A$47,0))</f>
        <v>Y</v>
      </c>
      <c r="H1040" s="12" t="str">
        <f aca="false">INDEX('Control Library'!$E$5:$E$47,MATCH(E1040,'Control Library'!$A$5:$A$47,0))</f>
        <v>Monthly</v>
      </c>
      <c r="I1040" s="7" t="str">
        <f aca="false">IF(INDEX('Control Library'!$I$5:$I$47,MATCH(E1040,'Control Library'!$A$5:$A$47,0))="All","Y",IF(INDEX('Control Library'!$I$5:$I$47,MATCH(E1040,'Control Library'!$A$5:$A$47,0))="Banks only",IF(COUNTIF('Residual Config'!$L$28:$L$30,INDEX(Entities!$E$5:$E$34,MATCH(B1040,Entities!$A$5:$A$34,0)))&gt;0,"N/A","Y"),IF(INDEX(Entities!$G$5:$G$34,MATCH(B1040,Entities!$A$5:$A$34,0))="Y","Y","N/A")))</f>
        <v>Y</v>
      </c>
      <c r="J1040" s="8" t="s">
        <v>3315</v>
      </c>
      <c r="K1040" s="8" t="s">
        <v>3316</v>
      </c>
      <c r="L1040" s="7" t="str">
        <f aca="false">IF(OR(J1040="",K1040=""),"",IF(J1040=K1040,"Breach","OK"))</f>
        <v>OK</v>
      </c>
      <c r="M1040" s="24" t="n">
        <v>1</v>
      </c>
      <c r="N1040" s="50" t="n">
        <v>46132</v>
      </c>
      <c r="O1040" s="8" t="s">
        <v>545</v>
      </c>
      <c r="P1040" s="24" t="n">
        <v>3</v>
      </c>
      <c r="Q1040" s="31" t="n">
        <f aca="false">IF(I1040="N/A","",IFERROR(INDEX('Residual Config'!$B$35:$B$42,MATCH(H1040,'Residual Config'!$A$35:$A$42,0)),""))</f>
        <v>3</v>
      </c>
      <c r="R1040" s="24" t="n">
        <v>1</v>
      </c>
      <c r="S1040" s="8" t="s">
        <v>521</v>
      </c>
      <c r="T1040" s="31" t="n">
        <f aca="false">IF(S1040="","",MATCH(S1040,'Residual Config'!$L$9:$L$12,0))</f>
        <v>2</v>
      </c>
      <c r="U1040" s="8" t="s">
        <v>3324</v>
      </c>
      <c r="V1040" s="24" t="n">
        <v>4</v>
      </c>
      <c r="W1040" s="33" t="s">
        <v>533</v>
      </c>
      <c r="X1040" s="8" t="s">
        <v>754</v>
      </c>
      <c r="Y1040" s="51" t="n">
        <f aca="false">IF(N1040="","",EDATE(N1040,IF(G1040="N",INDEX('Residual Config'!$B$31:$D$31,1,MATCH(D1040,'Residual Config'!$B$27:$D$27,0)),INDEX('Residual Config'!$B$28:$D$30,IF(T1040=1,1,IF(T1040=4,3,2)),MATCH(D1040,'Residual Config'!$B$27:$D$27,0)))))</f>
        <v>46315</v>
      </c>
      <c r="Z1040" s="7" t="str">
        <f aca="false">IF(I1040="N/A","N/A",IF(N1040="","Not tested",IF(W1040="Rejected","Evidence rejected",IF(W1040&lt;&gt;"Accepted","Evidence pending",IF(Y1040&lt;'Residual Config'!$C$4,"Overdue","Current")))))</f>
        <v>Current</v>
      </c>
      <c r="AA1040" s="34" t="n">
        <f aca="false">IF(I1040="N/A","",IF(Z1040&lt;&gt;"Current",4,IF(MAX(M1040,T1040)=0,4,MAX(M1040,T1040))))</f>
        <v>2</v>
      </c>
      <c r="AB1040" s="7" t="str">
        <f aca="false">IF(AA1040="","N/A",IF(Z1040&lt;&gt;"Current","Not tested / overdue",INDEX('Residual Config'!$B$11:$B$14,AA1040)))</f>
        <v>Largely effective</v>
      </c>
      <c r="AC1040" s="36" t="n">
        <f aca="false">IF(AA1040="","",INDEX('Residual Config'!$D$11:$D$14,AA1040))</f>
        <v>0.4</v>
      </c>
      <c r="AD1040" s="7" t="str">
        <f aca="false">IF(OR(I1040="N/A",P1040="",Q1040=""),"",IF(P1040&gt;=Q1040,"Yes","No"))</f>
        <v>Yes</v>
      </c>
      <c r="AE1040" s="8"/>
    </row>
    <row r="1041" customFormat="false" ht="15" hidden="false" customHeight="false" outlineLevel="0" collapsed="false">
      <c r="A1041" s="12" t="s">
        <v>3325</v>
      </c>
      <c r="B1041" s="26" t="str">
        <f aca="false">Entities!$A$29</f>
        <v>IT</v>
      </c>
      <c r="C1041" s="12" t="str">
        <f aca="false">INDEX(Entities!$B$5:$B$34,MATCH(B1041,Entities!$A$5:$A$34,0))</f>
        <v>Arab Bank – Italy</v>
      </c>
      <c r="D1041" s="7" t="str">
        <f aca="false">INDEX(Entities!$F$5:$F$34,MATCH(B1041,Entities!$A$5:$A$34,0))</f>
        <v>Tier 3</v>
      </c>
      <c r="E1041" s="26" t="str">
        <f aca="false">'Control Library'!$A$9</f>
        <v>CTL-CRR-01</v>
      </c>
      <c r="F1041" s="12" t="str">
        <f aca="false">INDEX('Control Library'!$B$5:$B$47,MATCH(E1041,'Control Library'!$A$5:$A$47,0))</f>
        <v>Customer risk rating model and annual validation</v>
      </c>
      <c r="G1041" s="7" t="str">
        <f aca="false">INDEX('Control Library'!$F$5:$F$47,MATCH(E1041,'Control Library'!$A$5:$A$47,0))</f>
        <v>N</v>
      </c>
      <c r="H1041" s="12" t="str">
        <f aca="false">INDEX('Control Library'!$E$5:$E$47,MATCH(E1041,'Control Library'!$A$5:$A$47,0))</f>
        <v>Annual</v>
      </c>
      <c r="I1041" s="7" t="str">
        <f aca="false">IF(INDEX('Control Library'!$I$5:$I$47,MATCH(E1041,'Control Library'!$A$5:$A$47,0))="All","Y",IF(INDEX('Control Library'!$I$5:$I$47,MATCH(E1041,'Control Library'!$A$5:$A$47,0))="Banks only",IF(COUNTIF('Residual Config'!$L$28:$L$30,INDEX(Entities!$E$5:$E$34,MATCH(B1041,Entities!$A$5:$A$34,0)))&gt;0,"N/A","Y"),IF(INDEX(Entities!$G$5:$G$34,MATCH(B1041,Entities!$A$5:$A$34,0))="Y","Y","N/A")))</f>
        <v>Y</v>
      </c>
      <c r="J1041" s="8" t="s">
        <v>3319</v>
      </c>
      <c r="K1041" s="8" t="s">
        <v>3316</v>
      </c>
      <c r="L1041" s="7" t="str">
        <f aca="false">IF(OR(J1041="",K1041=""),"",IF(J1041=K1041,"Breach","OK"))</f>
        <v>OK</v>
      </c>
      <c r="M1041" s="24" t="n">
        <v>1</v>
      </c>
      <c r="N1041" s="50" t="n">
        <v>45475</v>
      </c>
      <c r="O1041" s="8" t="s">
        <v>546</v>
      </c>
      <c r="P1041" s="24" t="n">
        <v>1</v>
      </c>
      <c r="Q1041" s="31" t="n">
        <f aca="false">IF(I1041="N/A","",IFERROR(INDEX('Residual Config'!$B$35:$B$42,MATCH(H1041,'Residual Config'!$A$35:$A$42,0)),""))</f>
        <v>1</v>
      </c>
      <c r="R1041" s="24" t="n">
        <v>0</v>
      </c>
      <c r="S1041" s="8" t="s">
        <v>516</v>
      </c>
      <c r="T1041" s="31" t="n">
        <f aca="false">IF(S1041="","",MATCH(S1041,'Residual Config'!$L$9:$L$12,0))</f>
        <v>1</v>
      </c>
      <c r="U1041" s="8" t="s">
        <v>3326</v>
      </c>
      <c r="V1041" s="24" t="n">
        <v>3</v>
      </c>
      <c r="W1041" s="33" t="s">
        <v>533</v>
      </c>
      <c r="X1041" s="8" t="s">
        <v>754</v>
      </c>
      <c r="Y1041" s="51" t="n">
        <f aca="false">IF(N1041="","",EDATE(N1041,IF(G1041="N",INDEX('Residual Config'!$B$31:$D$31,1,MATCH(D1041,'Residual Config'!$B$27:$D$27,0)),INDEX('Residual Config'!$B$28:$D$30,IF(T1041=1,1,IF(T1041=4,3,2)),MATCH(D1041,'Residual Config'!$B$27:$D$27,0)))))</f>
        <v>46205</v>
      </c>
      <c r="Z1041" s="7" t="str">
        <f aca="false">IF(I1041="N/A","N/A",IF(N1041="","Not tested",IF(W1041="Rejected","Evidence rejected",IF(W1041&lt;&gt;"Accepted","Evidence pending",IF(Y1041&lt;'Residual Config'!$C$4,"Overdue","Current")))))</f>
        <v>Overdue</v>
      </c>
      <c r="AA1041" s="34" t="n">
        <f aca="false">IF(I1041="N/A","",IF(Z1041&lt;&gt;"Current",4,IF(MAX(M1041,T1041)=0,4,MAX(M1041,T1041))))</f>
        <v>4</v>
      </c>
      <c r="AB1041" s="7" t="str">
        <f aca="false">IF(AA1041="","N/A",IF(Z1041&lt;&gt;"Current","Not tested / overdue",INDEX('Residual Config'!$B$11:$B$14,AA1041)))</f>
        <v>Not tested / overdue</v>
      </c>
      <c r="AC1041" s="36" t="n">
        <f aca="false">IF(AA1041="","",INDEX('Residual Config'!$D$11:$D$14,AA1041))</f>
        <v>0</v>
      </c>
      <c r="AD1041" s="7" t="str">
        <f aca="false">IF(OR(I1041="N/A",P1041="",Q1041=""),"",IF(P1041&gt;=Q1041,"Yes","No"))</f>
        <v>Yes</v>
      </c>
      <c r="AE1041" s="8"/>
    </row>
    <row r="1042" customFormat="false" ht="15" hidden="false" customHeight="false" outlineLevel="0" collapsed="false">
      <c r="A1042" s="12" t="s">
        <v>3327</v>
      </c>
      <c r="B1042" s="26" t="str">
        <f aca="false">Entities!$A$29</f>
        <v>IT</v>
      </c>
      <c r="C1042" s="12" t="str">
        <f aca="false">INDEX(Entities!$B$5:$B$34,MATCH(B1042,Entities!$A$5:$A$34,0))</f>
        <v>Arab Bank – Italy</v>
      </c>
      <c r="D1042" s="7" t="str">
        <f aca="false">INDEX(Entities!$F$5:$F$34,MATCH(B1042,Entities!$A$5:$A$34,0))</f>
        <v>Tier 3</v>
      </c>
      <c r="E1042" s="26" t="str">
        <f aca="false">'Control Library'!$A$10</f>
        <v>CTL-TM-01</v>
      </c>
      <c r="F1042" s="12" t="str">
        <f aca="false">INDEX('Control Library'!$B$5:$B$47,MATCH(E1042,'Control Library'!$A$5:$A$47,0))</f>
        <v>Automated transaction monitoring scenarios and annual tuning</v>
      </c>
      <c r="G1042" s="7" t="str">
        <f aca="false">INDEX('Control Library'!$F$5:$F$47,MATCH(E1042,'Control Library'!$A$5:$A$47,0))</f>
        <v>Y</v>
      </c>
      <c r="H1042" s="12" t="str">
        <f aca="false">INDEX('Control Library'!$E$5:$E$47,MATCH(E1042,'Control Library'!$A$5:$A$47,0))</f>
        <v>Continuous</v>
      </c>
      <c r="I1042" s="7" t="str">
        <f aca="false">IF(INDEX('Control Library'!$I$5:$I$47,MATCH(E1042,'Control Library'!$A$5:$A$47,0))="All","Y",IF(INDEX('Control Library'!$I$5:$I$47,MATCH(E1042,'Control Library'!$A$5:$A$47,0))="Banks only",IF(COUNTIF('Residual Config'!$L$28:$L$30,INDEX(Entities!$E$5:$E$34,MATCH(B1042,Entities!$A$5:$A$34,0)))&gt;0,"N/A","Y"),IF(INDEX(Entities!$G$5:$G$34,MATCH(B1042,Entities!$A$5:$A$34,0))="Y","Y","N/A")))</f>
        <v>Y</v>
      </c>
      <c r="J1042" s="8" t="s">
        <v>3328</v>
      </c>
      <c r="K1042" s="8" t="s">
        <v>3316</v>
      </c>
      <c r="L1042" s="7" t="str">
        <f aca="false">IF(OR(J1042="",K1042=""),"",IF(J1042=K1042,"Breach","OK"))</f>
        <v>OK</v>
      </c>
      <c r="M1042" s="24" t="n">
        <v>2</v>
      </c>
      <c r="N1042" s="50" t="n">
        <v>46215</v>
      </c>
      <c r="O1042" s="8" t="s">
        <v>546</v>
      </c>
      <c r="P1042" s="24" t="n">
        <v>1</v>
      </c>
      <c r="Q1042" s="31" t="n">
        <f aca="false">IF(I1042="N/A","",IFERROR(INDEX('Residual Config'!$B$35:$B$42,MATCH(H1042,'Residual Config'!$A$35:$A$42,0)),""))</f>
        <v>1</v>
      </c>
      <c r="R1042" s="24" t="n">
        <v>0</v>
      </c>
      <c r="S1042" s="8" t="s">
        <v>516</v>
      </c>
      <c r="T1042" s="31" t="n">
        <f aca="false">IF(S1042="","",MATCH(S1042,'Residual Config'!$L$9:$L$12,0))</f>
        <v>1</v>
      </c>
      <c r="U1042" s="8" t="s">
        <v>3329</v>
      </c>
      <c r="V1042" s="24" t="n">
        <v>4</v>
      </c>
      <c r="W1042" s="33" t="s">
        <v>533</v>
      </c>
      <c r="X1042" s="8" t="s">
        <v>760</v>
      </c>
      <c r="Y1042" s="51" t="n">
        <f aca="false">IF(N1042="","",EDATE(N1042,IF(G1042="N",INDEX('Residual Config'!$B$31:$D$31,1,MATCH(D1042,'Residual Config'!$B$27:$D$27,0)),INDEX('Residual Config'!$B$28:$D$30,IF(T1042=1,1,IF(T1042=4,3,2)),MATCH(D1042,'Residual Config'!$B$27:$D$27,0)))))</f>
        <v>46580</v>
      </c>
      <c r="Z1042" s="7" t="str">
        <f aca="false">IF(I1042="N/A","N/A",IF(N1042="","Not tested",IF(W1042="Rejected","Evidence rejected",IF(W1042&lt;&gt;"Accepted","Evidence pending",IF(Y1042&lt;'Residual Config'!$C$4,"Overdue","Current")))))</f>
        <v>Current</v>
      </c>
      <c r="AA1042" s="34" t="n">
        <f aca="false">IF(I1042="N/A","",IF(Z1042&lt;&gt;"Current",4,IF(MAX(M1042,T1042)=0,4,MAX(M1042,T1042))))</f>
        <v>2</v>
      </c>
      <c r="AB1042" s="7" t="str">
        <f aca="false">IF(AA1042="","N/A",IF(Z1042&lt;&gt;"Current","Not tested / overdue",INDEX('Residual Config'!$B$11:$B$14,AA1042)))</f>
        <v>Largely effective</v>
      </c>
      <c r="AC1042" s="36" t="n">
        <f aca="false">IF(AA1042="","",INDEX('Residual Config'!$D$11:$D$14,AA1042))</f>
        <v>0.4</v>
      </c>
      <c r="AD1042" s="7" t="str">
        <f aca="false">IF(OR(I1042="N/A",P1042="",Q1042=""),"",IF(P1042&gt;=Q1042,"Yes","No"))</f>
        <v>Yes</v>
      </c>
      <c r="AE1042" s="8"/>
    </row>
    <row r="1043" customFormat="false" ht="15" hidden="false" customHeight="false" outlineLevel="0" collapsed="false">
      <c r="A1043" s="12" t="s">
        <v>3330</v>
      </c>
      <c r="B1043" s="26" t="str">
        <f aca="false">Entities!$A$29</f>
        <v>IT</v>
      </c>
      <c r="C1043" s="12" t="str">
        <f aca="false">INDEX(Entities!$B$5:$B$34,MATCH(B1043,Entities!$A$5:$A$34,0))</f>
        <v>Arab Bank – Italy</v>
      </c>
      <c r="D1043" s="7" t="str">
        <f aca="false">INDEX(Entities!$F$5:$F$34,MATCH(B1043,Entities!$A$5:$A$34,0))</f>
        <v>Tier 3</v>
      </c>
      <c r="E1043" s="26" t="str">
        <f aca="false">'Control Library'!$A$11</f>
        <v>CTL-TM-02</v>
      </c>
      <c r="F1043" s="12" t="str">
        <f aca="false">INDEX('Control Library'!$B$5:$B$47,MATCH(E1043,'Control Library'!$A$5:$A$47,0))</f>
        <v>Alert investigation and quality assurance within SLA</v>
      </c>
      <c r="G1043" s="7" t="str">
        <f aca="false">INDEX('Control Library'!$F$5:$F$47,MATCH(E1043,'Control Library'!$A$5:$A$47,0))</f>
        <v>Y</v>
      </c>
      <c r="H1043" s="12" t="str">
        <f aca="false">INDEX('Control Library'!$E$5:$E$47,MATCH(E1043,'Control Library'!$A$5:$A$47,0))</f>
        <v>Daily</v>
      </c>
      <c r="I1043" s="7" t="str">
        <f aca="false">IF(INDEX('Control Library'!$I$5:$I$47,MATCH(E1043,'Control Library'!$A$5:$A$47,0))="All","Y",IF(INDEX('Control Library'!$I$5:$I$47,MATCH(E1043,'Control Library'!$A$5:$A$47,0))="Banks only",IF(COUNTIF('Residual Config'!$L$28:$L$30,INDEX(Entities!$E$5:$E$34,MATCH(B1043,Entities!$A$5:$A$34,0)))&gt;0,"N/A","Y"),IF(INDEX(Entities!$G$5:$G$34,MATCH(B1043,Entities!$A$5:$A$34,0))="Y","Y","N/A")))</f>
        <v>Y</v>
      </c>
      <c r="J1043" s="8" t="s">
        <v>3328</v>
      </c>
      <c r="K1043" s="8" t="s">
        <v>3316</v>
      </c>
      <c r="L1043" s="7" t="str">
        <f aca="false">IF(OR(J1043="",K1043=""),"",IF(J1043=K1043,"Breach","OK"))</f>
        <v>OK</v>
      </c>
      <c r="M1043" s="24" t="n">
        <v>1</v>
      </c>
      <c r="N1043" s="50" t="n">
        <v>46280</v>
      </c>
      <c r="O1043" s="8" t="s">
        <v>545</v>
      </c>
      <c r="P1043" s="24" t="n">
        <v>30</v>
      </c>
      <c r="Q1043" s="31" t="n">
        <f aca="false">IF(I1043="N/A","",IFERROR(INDEX('Residual Config'!$B$35:$B$42,MATCH(H1043,'Residual Config'!$A$35:$A$42,0)),""))</f>
        <v>25</v>
      </c>
      <c r="R1043" s="24" t="n">
        <v>0</v>
      </c>
      <c r="S1043" s="8" t="s">
        <v>516</v>
      </c>
      <c r="T1043" s="31" t="n">
        <f aca="false">IF(S1043="","",MATCH(S1043,'Residual Config'!$L$9:$L$12,0))</f>
        <v>1</v>
      </c>
      <c r="U1043" s="8" t="s">
        <v>3331</v>
      </c>
      <c r="V1043" s="24" t="n">
        <v>5</v>
      </c>
      <c r="W1043" s="33" t="s">
        <v>533</v>
      </c>
      <c r="X1043" s="8" t="s">
        <v>760</v>
      </c>
      <c r="Y1043" s="51" t="n">
        <f aca="false">IF(N1043="","",EDATE(N1043,IF(G1043="N",INDEX('Residual Config'!$B$31:$D$31,1,MATCH(D1043,'Residual Config'!$B$27:$D$27,0)),INDEX('Residual Config'!$B$28:$D$30,IF(T1043=1,1,IF(T1043=4,3,2)),MATCH(D1043,'Residual Config'!$B$27:$D$27,0)))))</f>
        <v>46645</v>
      </c>
      <c r="Z1043" s="7" t="str">
        <f aca="false">IF(I1043="N/A","N/A",IF(N1043="","Not tested",IF(W1043="Rejected","Evidence rejected",IF(W1043&lt;&gt;"Accepted","Evidence pending",IF(Y1043&lt;'Residual Config'!$C$4,"Overdue","Current")))))</f>
        <v>Current</v>
      </c>
      <c r="AA1043" s="34" t="n">
        <f aca="false">IF(I1043="N/A","",IF(Z1043&lt;&gt;"Current",4,IF(MAX(M1043,T1043)=0,4,MAX(M1043,T1043))))</f>
        <v>1</v>
      </c>
      <c r="AB1043" s="7" t="str">
        <f aca="false">IF(AA1043="","N/A",IF(Z1043&lt;&gt;"Current","Not tested / overdue",INDEX('Residual Config'!$B$11:$B$14,AA1043)))</f>
        <v>Effective</v>
      </c>
      <c r="AC1043" s="36" t="n">
        <f aca="false">IF(AA1043="","",INDEX('Residual Config'!$D$11:$D$14,AA1043))</f>
        <v>0.6</v>
      </c>
      <c r="AD1043" s="7" t="str">
        <f aca="false">IF(OR(I1043="N/A",P1043="",Q1043=""),"",IF(P1043&gt;=Q1043,"Yes","No"))</f>
        <v>Yes</v>
      </c>
      <c r="AE1043" s="8"/>
    </row>
    <row r="1044" customFormat="false" ht="15" hidden="false" customHeight="false" outlineLevel="0" collapsed="false">
      <c r="A1044" s="12" t="s">
        <v>3332</v>
      </c>
      <c r="B1044" s="26" t="str">
        <f aca="false">Entities!$A$29</f>
        <v>IT</v>
      </c>
      <c r="C1044" s="12" t="str">
        <f aca="false">INDEX(Entities!$B$5:$B$34,MATCH(B1044,Entities!$A$5:$A$34,0))</f>
        <v>Arab Bank – Italy</v>
      </c>
      <c r="D1044" s="7" t="str">
        <f aca="false">INDEX(Entities!$F$5:$F$34,MATCH(B1044,Entities!$A$5:$A$34,0))</f>
        <v>Tier 3</v>
      </c>
      <c r="E1044" s="26" t="str">
        <f aca="false">'Control Library'!$A$12</f>
        <v>CTL-STR-01</v>
      </c>
      <c r="F1044" s="12" t="str">
        <f aca="false">INDEX('Control Library'!$B$5:$B$47,MATCH(E1044,'Control Library'!$A$5:$A$47,0))</f>
        <v>STR decision and filing within regulatory deadline</v>
      </c>
      <c r="G1044" s="7" t="str">
        <f aca="false">INDEX('Control Library'!$F$5:$F$47,MATCH(E1044,'Control Library'!$A$5:$A$47,0))</f>
        <v>Y</v>
      </c>
      <c r="H1044" s="12" t="str">
        <f aca="false">INDEX('Control Library'!$E$5:$E$47,MATCH(E1044,'Control Library'!$A$5:$A$47,0))</f>
        <v>Event-driven</v>
      </c>
      <c r="I1044" s="7" t="str">
        <f aca="false">IF(INDEX('Control Library'!$I$5:$I$47,MATCH(E1044,'Control Library'!$A$5:$A$47,0))="All","Y",IF(INDEX('Control Library'!$I$5:$I$47,MATCH(E1044,'Control Library'!$A$5:$A$47,0))="Banks only",IF(COUNTIF('Residual Config'!$L$28:$L$30,INDEX(Entities!$E$5:$E$34,MATCH(B1044,Entities!$A$5:$A$34,0)))&gt;0,"N/A","Y"),IF(INDEX(Entities!$G$5:$G$34,MATCH(B1044,Entities!$A$5:$A$34,0))="Y","Y","N/A")))</f>
        <v>Y</v>
      </c>
      <c r="J1044" s="8" t="s">
        <v>3328</v>
      </c>
      <c r="K1044" s="8" t="s">
        <v>3316</v>
      </c>
      <c r="L1044" s="7" t="str">
        <f aca="false">IF(OR(J1044="",K1044=""),"",IF(J1044=K1044,"Breach","OK"))</f>
        <v>OK</v>
      </c>
      <c r="M1044" s="24" t="n">
        <v>1</v>
      </c>
      <c r="N1044" s="50" t="n">
        <v>46141</v>
      </c>
      <c r="O1044" s="8" t="s">
        <v>545</v>
      </c>
      <c r="P1044" s="24" t="n">
        <v>35</v>
      </c>
      <c r="Q1044" s="31" t="n">
        <f aca="false">IF(I1044="N/A","",IFERROR(INDEX('Residual Config'!$B$35:$B$42,MATCH(H1044,'Residual Config'!$A$35:$A$42,0)),""))</f>
        <v>25</v>
      </c>
      <c r="R1044" s="24" t="n">
        <v>1</v>
      </c>
      <c r="S1044" s="8" t="s">
        <v>521</v>
      </c>
      <c r="T1044" s="31" t="n">
        <f aca="false">IF(S1044="","",MATCH(S1044,'Residual Config'!$L$9:$L$12,0))</f>
        <v>2</v>
      </c>
      <c r="U1044" s="8" t="s">
        <v>3333</v>
      </c>
      <c r="V1044" s="24" t="n">
        <v>6</v>
      </c>
      <c r="W1044" s="33" t="s">
        <v>533</v>
      </c>
      <c r="X1044" s="8" t="s">
        <v>754</v>
      </c>
      <c r="Y1044" s="51" t="n">
        <f aca="false">IF(N1044="","",EDATE(N1044,IF(G1044="N",INDEX('Residual Config'!$B$31:$D$31,1,MATCH(D1044,'Residual Config'!$B$27:$D$27,0)),INDEX('Residual Config'!$B$28:$D$30,IF(T1044=1,1,IF(T1044=4,3,2)),MATCH(D1044,'Residual Config'!$B$27:$D$27,0)))))</f>
        <v>46324</v>
      </c>
      <c r="Z1044" s="7" t="str">
        <f aca="false">IF(I1044="N/A","N/A",IF(N1044="","Not tested",IF(W1044="Rejected","Evidence rejected",IF(W1044&lt;&gt;"Accepted","Evidence pending",IF(Y1044&lt;'Residual Config'!$C$4,"Overdue","Current")))))</f>
        <v>Current</v>
      </c>
      <c r="AA1044" s="34" t="n">
        <f aca="false">IF(I1044="N/A","",IF(Z1044&lt;&gt;"Current",4,IF(MAX(M1044,T1044)=0,4,MAX(M1044,T1044))))</f>
        <v>2</v>
      </c>
      <c r="AB1044" s="7" t="str">
        <f aca="false">IF(AA1044="","N/A",IF(Z1044&lt;&gt;"Current","Not tested / overdue",INDEX('Residual Config'!$B$11:$B$14,AA1044)))</f>
        <v>Largely effective</v>
      </c>
      <c r="AC1044" s="36" t="n">
        <f aca="false">IF(AA1044="","",INDEX('Residual Config'!$D$11:$D$14,AA1044))</f>
        <v>0.4</v>
      </c>
      <c r="AD1044" s="7" t="str">
        <f aca="false">IF(OR(I1044="N/A",P1044="",Q1044=""),"",IF(P1044&gt;=Q1044,"Yes","No"))</f>
        <v>Yes</v>
      </c>
      <c r="AE1044" s="8"/>
    </row>
    <row r="1045" customFormat="false" ht="15" hidden="false" customHeight="false" outlineLevel="0" collapsed="false">
      <c r="A1045" s="12" t="s">
        <v>3334</v>
      </c>
      <c r="B1045" s="26" t="str">
        <f aca="false">Entities!$A$29</f>
        <v>IT</v>
      </c>
      <c r="C1045" s="12" t="str">
        <f aca="false">INDEX(Entities!$B$5:$B$34,MATCH(B1045,Entities!$A$5:$A$34,0))</f>
        <v>Arab Bank – Italy</v>
      </c>
      <c r="D1045" s="7" t="str">
        <f aca="false">INDEX(Entities!$F$5:$F$34,MATCH(B1045,Entities!$A$5:$A$34,0))</f>
        <v>Tier 3</v>
      </c>
      <c r="E1045" s="26" t="str">
        <f aca="false">'Control Library'!$A$13</f>
        <v>CTL-SAN-01</v>
      </c>
      <c r="F1045" s="12" t="str">
        <f aca="false">INDEX('Control Library'!$B$5:$B$47,MATCH(E1045,'Control Library'!$A$5:$A$47,0))</f>
        <v>Real-time payment and transaction sanctions screening</v>
      </c>
      <c r="G1045" s="7" t="str">
        <f aca="false">INDEX('Control Library'!$F$5:$F$47,MATCH(E1045,'Control Library'!$A$5:$A$47,0))</f>
        <v>Y</v>
      </c>
      <c r="H1045" s="12" t="str">
        <f aca="false">INDEX('Control Library'!$E$5:$E$47,MATCH(E1045,'Control Library'!$A$5:$A$47,0))</f>
        <v>Continuous</v>
      </c>
      <c r="I1045" s="7" t="str">
        <f aca="false">IF(INDEX('Control Library'!$I$5:$I$47,MATCH(E1045,'Control Library'!$A$5:$A$47,0))="All","Y",IF(INDEX('Control Library'!$I$5:$I$47,MATCH(E1045,'Control Library'!$A$5:$A$47,0))="Banks only",IF(COUNTIF('Residual Config'!$L$28:$L$30,INDEX(Entities!$E$5:$E$34,MATCH(B1045,Entities!$A$5:$A$34,0)))&gt;0,"N/A","Y"),IF(INDEX(Entities!$G$5:$G$34,MATCH(B1045,Entities!$A$5:$A$34,0))="Y","Y","N/A")))</f>
        <v>Y</v>
      </c>
      <c r="J1045" s="8" t="s">
        <v>3335</v>
      </c>
      <c r="K1045" s="8" t="s">
        <v>3316</v>
      </c>
      <c r="L1045" s="7" t="str">
        <f aca="false">IF(OR(J1045="",K1045=""),"",IF(J1045=K1045,"Breach","OK"))</f>
        <v>OK</v>
      </c>
      <c r="M1045" s="24" t="n">
        <v>1</v>
      </c>
      <c r="N1045" s="50" t="n">
        <v>46052</v>
      </c>
      <c r="O1045" s="8" t="s">
        <v>547</v>
      </c>
      <c r="P1045" s="24" t="n">
        <v>1</v>
      </c>
      <c r="Q1045" s="31" t="n">
        <f aca="false">IF(I1045="N/A","",IFERROR(INDEX('Residual Config'!$B$35:$B$42,MATCH(H1045,'Residual Config'!$A$35:$A$42,0)),""))</f>
        <v>1</v>
      </c>
      <c r="R1045" s="24" t="n">
        <v>0</v>
      </c>
      <c r="S1045" s="8" t="s">
        <v>516</v>
      </c>
      <c r="T1045" s="31" t="n">
        <f aca="false">IF(S1045="","",MATCH(S1045,'Residual Config'!$L$9:$L$12,0))</f>
        <v>1</v>
      </c>
      <c r="U1045" s="8" t="s">
        <v>3336</v>
      </c>
      <c r="V1045" s="24" t="n">
        <v>1</v>
      </c>
      <c r="W1045" s="33" t="s">
        <v>533</v>
      </c>
      <c r="X1045" s="8" t="s">
        <v>754</v>
      </c>
      <c r="Y1045" s="51" t="n">
        <f aca="false">IF(N1045="","",EDATE(N1045,IF(G1045="N",INDEX('Residual Config'!$B$31:$D$31,1,MATCH(D1045,'Residual Config'!$B$27:$D$27,0)),INDEX('Residual Config'!$B$28:$D$30,IF(T1045=1,1,IF(T1045=4,3,2)),MATCH(D1045,'Residual Config'!$B$27:$D$27,0)))))</f>
        <v>46417</v>
      </c>
      <c r="Z1045" s="7" t="str">
        <f aca="false">IF(I1045="N/A","N/A",IF(N1045="","Not tested",IF(W1045="Rejected","Evidence rejected",IF(W1045&lt;&gt;"Accepted","Evidence pending",IF(Y1045&lt;'Residual Config'!$C$4,"Overdue","Current")))))</f>
        <v>Current</v>
      </c>
      <c r="AA1045" s="34" t="n">
        <f aca="false">IF(I1045="N/A","",IF(Z1045&lt;&gt;"Current",4,IF(MAX(M1045,T1045)=0,4,MAX(M1045,T1045))))</f>
        <v>1</v>
      </c>
      <c r="AB1045" s="7" t="str">
        <f aca="false">IF(AA1045="","N/A",IF(Z1045&lt;&gt;"Current","Not tested / overdue",INDEX('Residual Config'!$B$11:$B$14,AA1045)))</f>
        <v>Effective</v>
      </c>
      <c r="AC1045" s="36" t="n">
        <f aca="false">IF(AA1045="","",INDEX('Residual Config'!$D$11:$D$14,AA1045))</f>
        <v>0.6</v>
      </c>
      <c r="AD1045" s="7" t="str">
        <f aca="false">IF(OR(I1045="N/A",P1045="",Q1045=""),"",IF(P1045&gt;=Q1045,"Yes","No"))</f>
        <v>Yes</v>
      </c>
      <c r="AE1045" s="8"/>
    </row>
    <row r="1046" customFormat="false" ht="15" hidden="false" customHeight="false" outlineLevel="0" collapsed="false">
      <c r="A1046" s="12" t="s">
        <v>3337</v>
      </c>
      <c r="B1046" s="26" t="str">
        <f aca="false">Entities!$A$29</f>
        <v>IT</v>
      </c>
      <c r="C1046" s="12" t="str">
        <f aca="false">INDEX(Entities!$B$5:$B$34,MATCH(B1046,Entities!$A$5:$A$34,0))</f>
        <v>Arab Bank – Italy</v>
      </c>
      <c r="D1046" s="7" t="str">
        <f aca="false">INDEX(Entities!$F$5:$F$34,MATCH(B1046,Entities!$A$5:$A$34,0))</f>
        <v>Tier 3</v>
      </c>
      <c r="E1046" s="26" t="str">
        <f aca="false">'Control Library'!$A$14</f>
        <v>CTL-SAN-02</v>
      </c>
      <c r="F1046" s="12" t="str">
        <f aca="false">INDEX('Control Library'!$B$5:$B$47,MATCH(E1046,'Control Library'!$A$5:$A$47,0))</f>
        <v>Customer and counterparty screening at onboarding and on list change</v>
      </c>
      <c r="G1046" s="7" t="str">
        <f aca="false">INDEX('Control Library'!$F$5:$F$47,MATCH(E1046,'Control Library'!$A$5:$A$47,0))</f>
        <v>Y</v>
      </c>
      <c r="H1046" s="12" t="str">
        <f aca="false">INDEX('Control Library'!$E$5:$E$47,MATCH(E1046,'Control Library'!$A$5:$A$47,0))</f>
        <v>Continuous</v>
      </c>
      <c r="I1046" s="7" t="str">
        <f aca="false">IF(INDEX('Control Library'!$I$5:$I$47,MATCH(E1046,'Control Library'!$A$5:$A$47,0))="All","Y",IF(INDEX('Control Library'!$I$5:$I$47,MATCH(E1046,'Control Library'!$A$5:$A$47,0))="Banks only",IF(COUNTIF('Residual Config'!$L$28:$L$30,INDEX(Entities!$E$5:$E$34,MATCH(B1046,Entities!$A$5:$A$34,0)))&gt;0,"N/A","Y"),IF(INDEX(Entities!$G$5:$G$34,MATCH(B1046,Entities!$A$5:$A$34,0))="Y","Y","N/A")))</f>
        <v>Y</v>
      </c>
      <c r="J1046" s="8" t="s">
        <v>3335</v>
      </c>
      <c r="K1046" s="8" t="s">
        <v>3316</v>
      </c>
      <c r="L1046" s="7" t="str">
        <f aca="false">IF(OR(J1046="",K1046=""),"",IF(J1046=K1046,"Breach","OK"))</f>
        <v>OK</v>
      </c>
      <c r="M1046" s="24" t="n">
        <v>1</v>
      </c>
      <c r="N1046" s="50" t="n">
        <v>46252</v>
      </c>
      <c r="O1046" s="8" t="s">
        <v>546</v>
      </c>
      <c r="P1046" s="24" t="n">
        <v>1</v>
      </c>
      <c r="Q1046" s="31" t="n">
        <f aca="false">IF(I1046="N/A","",IFERROR(INDEX('Residual Config'!$B$35:$B$42,MATCH(H1046,'Residual Config'!$A$35:$A$42,0)),""))</f>
        <v>1</v>
      </c>
      <c r="R1046" s="24" t="n">
        <v>0</v>
      </c>
      <c r="S1046" s="8" t="s">
        <v>516</v>
      </c>
      <c r="T1046" s="31" t="n">
        <f aca="false">IF(S1046="","",MATCH(S1046,'Residual Config'!$L$9:$L$12,0))</f>
        <v>1</v>
      </c>
      <c r="U1046" s="8" t="s">
        <v>3338</v>
      </c>
      <c r="V1046" s="24" t="n">
        <v>5</v>
      </c>
      <c r="W1046" s="33" t="s">
        <v>533</v>
      </c>
      <c r="X1046" s="8" t="s">
        <v>754</v>
      </c>
      <c r="Y1046" s="51" t="n">
        <f aca="false">IF(N1046="","",EDATE(N1046,IF(G1046="N",INDEX('Residual Config'!$B$31:$D$31,1,MATCH(D1046,'Residual Config'!$B$27:$D$27,0)),INDEX('Residual Config'!$B$28:$D$30,IF(T1046=1,1,IF(T1046=4,3,2)),MATCH(D1046,'Residual Config'!$B$27:$D$27,0)))))</f>
        <v>46617</v>
      </c>
      <c r="Z1046" s="7" t="str">
        <f aca="false">IF(I1046="N/A","N/A",IF(N1046="","Not tested",IF(W1046="Rejected","Evidence rejected",IF(W1046&lt;&gt;"Accepted","Evidence pending",IF(Y1046&lt;'Residual Config'!$C$4,"Overdue","Current")))))</f>
        <v>Current</v>
      </c>
      <c r="AA1046" s="34" t="n">
        <f aca="false">IF(I1046="N/A","",IF(Z1046&lt;&gt;"Current",4,IF(MAX(M1046,T1046)=0,4,MAX(M1046,T1046))))</f>
        <v>1</v>
      </c>
      <c r="AB1046" s="7" t="str">
        <f aca="false">IF(AA1046="","N/A",IF(Z1046&lt;&gt;"Current","Not tested / overdue",INDEX('Residual Config'!$B$11:$B$14,AA1046)))</f>
        <v>Effective</v>
      </c>
      <c r="AC1046" s="36" t="n">
        <f aca="false">IF(AA1046="","",INDEX('Residual Config'!$D$11:$D$14,AA1046))</f>
        <v>0.6</v>
      </c>
      <c r="AD1046" s="7" t="str">
        <f aca="false">IF(OR(I1046="N/A",P1046="",Q1046=""),"",IF(P1046&gt;=Q1046,"Yes","No"))</f>
        <v>Yes</v>
      </c>
      <c r="AE1046" s="8"/>
    </row>
    <row r="1047" customFormat="false" ht="15" hidden="false" customHeight="false" outlineLevel="0" collapsed="false">
      <c r="A1047" s="12" t="s">
        <v>3339</v>
      </c>
      <c r="B1047" s="26" t="str">
        <f aca="false">Entities!$A$29</f>
        <v>IT</v>
      </c>
      <c r="C1047" s="12" t="str">
        <f aca="false">INDEX(Entities!$B$5:$B$34,MATCH(B1047,Entities!$A$5:$A$34,0))</f>
        <v>Arab Bank – Italy</v>
      </c>
      <c r="D1047" s="7" t="str">
        <f aca="false">INDEX(Entities!$F$5:$F$34,MATCH(B1047,Entities!$A$5:$A$34,0))</f>
        <v>Tier 3</v>
      </c>
      <c r="E1047" s="26" t="str">
        <f aca="false">'Control Library'!$A$15</f>
        <v>CTL-SAN-03</v>
      </c>
      <c r="F1047" s="12" t="str">
        <f aca="false">INDEX('Control Library'!$B$5:$B$47,MATCH(E1047,'Control Library'!$A$5:$A$47,0))</f>
        <v>Sanctions list updates applied within 24 hours</v>
      </c>
      <c r="G1047" s="7" t="str">
        <f aca="false">INDEX('Control Library'!$F$5:$F$47,MATCH(E1047,'Control Library'!$A$5:$A$47,0))</f>
        <v>N</v>
      </c>
      <c r="H1047" s="12" t="str">
        <f aca="false">INDEX('Control Library'!$E$5:$E$47,MATCH(E1047,'Control Library'!$A$5:$A$47,0))</f>
        <v>Daily</v>
      </c>
      <c r="I1047" s="7" t="str">
        <f aca="false">IF(INDEX('Control Library'!$I$5:$I$47,MATCH(E1047,'Control Library'!$A$5:$A$47,0))="All","Y",IF(INDEX('Control Library'!$I$5:$I$47,MATCH(E1047,'Control Library'!$A$5:$A$47,0))="Banks only",IF(COUNTIF('Residual Config'!$L$28:$L$30,INDEX(Entities!$E$5:$E$34,MATCH(B1047,Entities!$A$5:$A$34,0)))&gt;0,"N/A","Y"),IF(INDEX(Entities!$G$5:$G$34,MATCH(B1047,Entities!$A$5:$A$34,0))="Y","Y","N/A")))</f>
        <v>Y</v>
      </c>
      <c r="J1047" s="8" t="s">
        <v>3340</v>
      </c>
      <c r="K1047" s="8" t="s">
        <v>3316</v>
      </c>
      <c r="L1047" s="7" t="str">
        <f aca="false">IF(OR(J1047="",K1047=""),"",IF(J1047=K1047,"Breach","OK"))</f>
        <v>OK</v>
      </c>
      <c r="M1047" s="24" t="n">
        <v>1</v>
      </c>
      <c r="N1047" s="50" t="n">
        <v>45535</v>
      </c>
      <c r="O1047" s="8" t="s">
        <v>545</v>
      </c>
      <c r="P1047" s="24" t="n">
        <v>25</v>
      </c>
      <c r="Q1047" s="31" t="n">
        <f aca="false">IF(I1047="N/A","",IFERROR(INDEX('Residual Config'!$B$35:$B$42,MATCH(H1047,'Residual Config'!$A$35:$A$42,0)),""))</f>
        <v>25</v>
      </c>
      <c r="R1047" s="24" t="n">
        <v>0</v>
      </c>
      <c r="S1047" s="8" t="s">
        <v>516</v>
      </c>
      <c r="T1047" s="31" t="n">
        <f aca="false">IF(S1047="","",MATCH(S1047,'Residual Config'!$L$9:$L$12,0))</f>
        <v>1</v>
      </c>
      <c r="U1047" s="8" t="s">
        <v>3341</v>
      </c>
      <c r="V1047" s="24" t="n">
        <v>6</v>
      </c>
      <c r="W1047" s="33" t="s">
        <v>533</v>
      </c>
      <c r="X1047" s="8" t="s">
        <v>760</v>
      </c>
      <c r="Y1047" s="51" t="n">
        <f aca="false">IF(N1047="","",EDATE(N1047,IF(G1047="N",INDEX('Residual Config'!$B$31:$D$31,1,MATCH(D1047,'Residual Config'!$B$27:$D$27,0)),INDEX('Residual Config'!$B$28:$D$30,IF(T1047=1,1,IF(T1047=4,3,2)),MATCH(D1047,'Residual Config'!$B$27:$D$27,0)))))</f>
        <v>46265</v>
      </c>
      <c r="Z1047" s="7" t="str">
        <f aca="false">IF(I1047="N/A","N/A",IF(N1047="","Not tested",IF(W1047="Rejected","Evidence rejected",IF(W1047&lt;&gt;"Accepted","Evidence pending",IF(Y1047&lt;'Residual Config'!$C$4,"Overdue","Current")))))</f>
        <v>Overdue</v>
      </c>
      <c r="AA1047" s="34" t="n">
        <f aca="false">IF(I1047="N/A","",IF(Z1047&lt;&gt;"Current",4,IF(MAX(M1047,T1047)=0,4,MAX(M1047,T1047))))</f>
        <v>4</v>
      </c>
      <c r="AB1047" s="7" t="str">
        <f aca="false">IF(AA1047="","N/A",IF(Z1047&lt;&gt;"Current","Not tested / overdue",INDEX('Residual Config'!$B$11:$B$14,AA1047)))</f>
        <v>Not tested / overdue</v>
      </c>
      <c r="AC1047" s="36" t="n">
        <f aca="false">IF(AA1047="","",INDEX('Residual Config'!$D$11:$D$14,AA1047))</f>
        <v>0</v>
      </c>
      <c r="AD1047" s="7" t="str">
        <f aca="false">IF(OR(I1047="N/A",P1047="",Q1047=""),"",IF(P1047&gt;=Q1047,"Yes","No"))</f>
        <v>Yes</v>
      </c>
      <c r="AE1047" s="8"/>
    </row>
    <row r="1048" customFormat="false" ht="15" hidden="false" customHeight="false" outlineLevel="0" collapsed="false">
      <c r="A1048" s="12" t="s">
        <v>3342</v>
      </c>
      <c r="B1048" s="26" t="str">
        <f aca="false">Entities!$A$29</f>
        <v>IT</v>
      </c>
      <c r="C1048" s="12" t="str">
        <f aca="false">INDEX(Entities!$B$5:$B$34,MATCH(B1048,Entities!$A$5:$A$34,0))</f>
        <v>Arab Bank – Italy</v>
      </c>
      <c r="D1048" s="7" t="str">
        <f aca="false">INDEX(Entities!$F$5:$F$34,MATCH(B1048,Entities!$A$5:$A$34,0))</f>
        <v>Tier 3</v>
      </c>
      <c r="E1048" s="26" t="str">
        <f aca="false">'Control Library'!$A$16</f>
        <v>CTL-TF-01</v>
      </c>
      <c r="F1048" s="12" t="str">
        <f aca="false">INDEX('Control Library'!$B$5:$B$47,MATCH(E1048,'Control Library'!$A$5:$A$47,0))</f>
        <v>NPO and charity enhanced due diligence</v>
      </c>
      <c r="G1048" s="7" t="str">
        <f aca="false">INDEX('Control Library'!$F$5:$F$47,MATCH(E1048,'Control Library'!$A$5:$A$47,0))</f>
        <v>N</v>
      </c>
      <c r="H1048" s="12" t="str">
        <f aca="false">INDEX('Control Library'!$E$5:$E$47,MATCH(E1048,'Control Library'!$A$5:$A$47,0))</f>
        <v>Event-driven</v>
      </c>
      <c r="I1048" s="7" t="str">
        <f aca="false">IF(INDEX('Control Library'!$I$5:$I$47,MATCH(E1048,'Control Library'!$A$5:$A$47,0))="All","Y",IF(INDEX('Control Library'!$I$5:$I$47,MATCH(E1048,'Control Library'!$A$5:$A$47,0))="Banks only",IF(COUNTIF('Residual Config'!$L$28:$L$30,INDEX(Entities!$E$5:$E$34,MATCH(B1048,Entities!$A$5:$A$34,0)))&gt;0,"N/A","Y"),IF(INDEX(Entities!$G$5:$G$34,MATCH(B1048,Entities!$A$5:$A$34,0))="Y","Y","N/A")))</f>
        <v>Y</v>
      </c>
      <c r="J1048" s="8" t="s">
        <v>3343</v>
      </c>
      <c r="K1048" s="8" t="s">
        <v>3316</v>
      </c>
      <c r="L1048" s="7" t="str">
        <f aca="false">IF(OR(J1048="",K1048=""),"",IF(J1048=K1048,"Breach","OK"))</f>
        <v>OK</v>
      </c>
      <c r="M1048" s="24" t="n">
        <v>1</v>
      </c>
      <c r="N1048" s="50" t="n">
        <v>46251</v>
      </c>
      <c r="O1048" s="8" t="s">
        <v>545</v>
      </c>
      <c r="P1048" s="24" t="n">
        <v>25</v>
      </c>
      <c r="Q1048" s="31" t="n">
        <f aca="false">IF(I1048="N/A","",IFERROR(INDEX('Residual Config'!$B$35:$B$42,MATCH(H1048,'Residual Config'!$A$35:$A$42,0)),""))</f>
        <v>25</v>
      </c>
      <c r="R1048" s="24" t="n">
        <v>0</v>
      </c>
      <c r="S1048" s="8" t="s">
        <v>516</v>
      </c>
      <c r="T1048" s="31" t="n">
        <f aca="false">IF(S1048="","",MATCH(S1048,'Residual Config'!$L$9:$L$12,0))</f>
        <v>1</v>
      </c>
      <c r="U1048" s="8" t="s">
        <v>3344</v>
      </c>
      <c r="V1048" s="24" t="n">
        <v>3</v>
      </c>
      <c r="W1048" s="33" t="s">
        <v>533</v>
      </c>
      <c r="X1048" s="8" t="s">
        <v>760</v>
      </c>
      <c r="Y1048" s="51" t="n">
        <f aca="false">IF(N1048="","",EDATE(N1048,IF(G1048="N",INDEX('Residual Config'!$B$31:$D$31,1,MATCH(D1048,'Residual Config'!$B$27:$D$27,0)),INDEX('Residual Config'!$B$28:$D$30,IF(T1048=1,1,IF(T1048=4,3,2)),MATCH(D1048,'Residual Config'!$B$27:$D$27,0)))))</f>
        <v>46982</v>
      </c>
      <c r="Z1048" s="7" t="str">
        <f aca="false">IF(I1048="N/A","N/A",IF(N1048="","Not tested",IF(W1048="Rejected","Evidence rejected",IF(W1048&lt;&gt;"Accepted","Evidence pending",IF(Y1048&lt;'Residual Config'!$C$4,"Overdue","Current")))))</f>
        <v>Current</v>
      </c>
      <c r="AA1048" s="34" t="n">
        <f aca="false">IF(I1048="N/A","",IF(Z1048&lt;&gt;"Current",4,IF(MAX(M1048,T1048)=0,4,MAX(M1048,T1048))))</f>
        <v>1</v>
      </c>
      <c r="AB1048" s="7" t="str">
        <f aca="false">IF(AA1048="","N/A",IF(Z1048&lt;&gt;"Current","Not tested / overdue",INDEX('Residual Config'!$B$11:$B$14,AA1048)))</f>
        <v>Effective</v>
      </c>
      <c r="AC1048" s="36" t="n">
        <f aca="false">IF(AA1048="","",INDEX('Residual Config'!$D$11:$D$14,AA1048))</f>
        <v>0.6</v>
      </c>
      <c r="AD1048" s="7" t="str">
        <f aca="false">IF(OR(I1048="N/A",P1048="",Q1048=""),"",IF(P1048&gt;=Q1048,"Yes","No"))</f>
        <v>Yes</v>
      </c>
      <c r="AE1048" s="8"/>
    </row>
    <row r="1049" customFormat="false" ht="15" hidden="false" customHeight="false" outlineLevel="0" collapsed="false">
      <c r="A1049" s="12" t="s">
        <v>3345</v>
      </c>
      <c r="B1049" s="26" t="str">
        <f aca="false">Entities!$A$29</f>
        <v>IT</v>
      </c>
      <c r="C1049" s="12" t="str">
        <f aca="false">INDEX(Entities!$B$5:$B$34,MATCH(B1049,Entities!$A$5:$A$34,0))</f>
        <v>Arab Bank – Italy</v>
      </c>
      <c r="D1049" s="7" t="str">
        <f aca="false">INDEX(Entities!$F$5:$F$34,MATCH(B1049,Entities!$A$5:$A$34,0))</f>
        <v>Tier 3</v>
      </c>
      <c r="E1049" s="26" t="str">
        <f aca="false">'Control Library'!$A$17</f>
        <v>CTL-TBML-01</v>
      </c>
      <c r="F1049" s="12" t="str">
        <f aca="false">INDEX('Control Library'!$B$5:$B$47,MATCH(E1049,'Control Library'!$A$5:$A$47,0))</f>
        <v>Trade-based ML red-flag review and pricing checks</v>
      </c>
      <c r="G1049" s="7" t="str">
        <f aca="false">INDEX('Control Library'!$F$5:$F$47,MATCH(E1049,'Control Library'!$A$5:$A$47,0))</f>
        <v>Y</v>
      </c>
      <c r="H1049" s="12" t="str">
        <f aca="false">INDEX('Control Library'!$E$5:$E$47,MATCH(E1049,'Control Library'!$A$5:$A$47,0))</f>
        <v>Event-driven</v>
      </c>
      <c r="I1049" s="7" t="str">
        <f aca="false">IF(INDEX('Control Library'!$I$5:$I$47,MATCH(E1049,'Control Library'!$A$5:$A$47,0))="All","Y",IF(INDEX('Control Library'!$I$5:$I$47,MATCH(E1049,'Control Library'!$A$5:$A$47,0))="Banks only",IF(COUNTIF('Residual Config'!$L$28:$L$30,INDEX(Entities!$E$5:$E$34,MATCH(B1049,Entities!$A$5:$A$34,0)))&gt;0,"N/A","Y"),IF(INDEX(Entities!$G$5:$G$34,MATCH(B1049,Entities!$A$5:$A$34,0))="Y","Y","N/A")))</f>
        <v>Y</v>
      </c>
      <c r="J1049" s="8" t="s">
        <v>3346</v>
      </c>
      <c r="K1049" s="8" t="s">
        <v>3316</v>
      </c>
      <c r="L1049" s="7" t="str">
        <f aca="false">IF(OR(J1049="",K1049=""),"",IF(J1049=K1049,"Breach","OK"))</f>
        <v>OK</v>
      </c>
      <c r="M1049" s="24" t="n">
        <v>1</v>
      </c>
      <c r="N1049" s="50" t="n">
        <v>46281</v>
      </c>
      <c r="O1049" s="8" t="s">
        <v>545</v>
      </c>
      <c r="P1049" s="24" t="n">
        <v>35</v>
      </c>
      <c r="Q1049" s="31" t="n">
        <f aca="false">IF(I1049="N/A","",IFERROR(INDEX('Residual Config'!$B$35:$B$42,MATCH(H1049,'Residual Config'!$A$35:$A$42,0)),""))</f>
        <v>25</v>
      </c>
      <c r="R1049" s="24" t="n">
        <v>0</v>
      </c>
      <c r="S1049" s="8" t="s">
        <v>516</v>
      </c>
      <c r="T1049" s="31" t="n">
        <f aca="false">IF(S1049="","",MATCH(S1049,'Residual Config'!$L$9:$L$12,0))</f>
        <v>1</v>
      </c>
      <c r="U1049" s="8" t="s">
        <v>3347</v>
      </c>
      <c r="V1049" s="24" t="n">
        <v>6</v>
      </c>
      <c r="W1049" s="33" t="s">
        <v>533</v>
      </c>
      <c r="X1049" s="8" t="s">
        <v>760</v>
      </c>
      <c r="Y1049" s="51" t="n">
        <f aca="false">IF(N1049="","",EDATE(N1049,IF(G1049="N",INDEX('Residual Config'!$B$31:$D$31,1,MATCH(D1049,'Residual Config'!$B$27:$D$27,0)),INDEX('Residual Config'!$B$28:$D$30,IF(T1049=1,1,IF(T1049=4,3,2)),MATCH(D1049,'Residual Config'!$B$27:$D$27,0)))))</f>
        <v>46646</v>
      </c>
      <c r="Z1049" s="7" t="str">
        <f aca="false">IF(I1049="N/A","N/A",IF(N1049="","Not tested",IF(W1049="Rejected","Evidence rejected",IF(W1049&lt;&gt;"Accepted","Evidence pending",IF(Y1049&lt;'Residual Config'!$C$4,"Overdue","Current")))))</f>
        <v>Current</v>
      </c>
      <c r="AA1049" s="34" t="n">
        <f aca="false">IF(I1049="N/A","",IF(Z1049&lt;&gt;"Current",4,IF(MAX(M1049,T1049)=0,4,MAX(M1049,T1049))))</f>
        <v>1</v>
      </c>
      <c r="AB1049" s="7" t="str">
        <f aca="false">IF(AA1049="","N/A",IF(Z1049&lt;&gt;"Current","Not tested / overdue",INDEX('Residual Config'!$B$11:$B$14,AA1049)))</f>
        <v>Effective</v>
      </c>
      <c r="AC1049" s="36" t="n">
        <f aca="false">IF(AA1049="","",INDEX('Residual Config'!$D$11:$D$14,AA1049))</f>
        <v>0.6</v>
      </c>
      <c r="AD1049" s="7" t="str">
        <f aca="false">IF(OR(I1049="N/A",P1049="",Q1049=""),"",IF(P1049&gt;=Q1049,"Yes","No"))</f>
        <v>Yes</v>
      </c>
      <c r="AE1049" s="8"/>
    </row>
    <row r="1050" customFormat="false" ht="15" hidden="false" customHeight="false" outlineLevel="0" collapsed="false">
      <c r="A1050" s="12" t="s">
        <v>3348</v>
      </c>
      <c r="B1050" s="26" t="str">
        <f aca="false">Entities!$A$29</f>
        <v>IT</v>
      </c>
      <c r="C1050" s="12" t="str">
        <f aca="false">INDEX(Entities!$B$5:$B$34,MATCH(B1050,Entities!$A$5:$A$34,0))</f>
        <v>Arab Bank – Italy</v>
      </c>
      <c r="D1050" s="7" t="str">
        <f aca="false">INDEX(Entities!$F$5:$F$34,MATCH(B1050,Entities!$A$5:$A$34,0))</f>
        <v>Tier 3</v>
      </c>
      <c r="E1050" s="26" t="str">
        <f aca="false">'Control Library'!$A$18</f>
        <v>CTL-PF-01</v>
      </c>
      <c r="F1050" s="12" t="str">
        <f aca="false">INDEX('Control Library'!$B$5:$B$47,MATCH(E1050,'Control Library'!$A$5:$A$47,0))</f>
        <v>Dual-use goods, vessel and port screening</v>
      </c>
      <c r="G1050" s="7" t="str">
        <f aca="false">INDEX('Control Library'!$F$5:$F$47,MATCH(E1050,'Control Library'!$A$5:$A$47,0))</f>
        <v>Y</v>
      </c>
      <c r="H1050" s="12" t="str">
        <f aca="false">INDEX('Control Library'!$E$5:$E$47,MATCH(E1050,'Control Library'!$A$5:$A$47,0))</f>
        <v>Event-driven</v>
      </c>
      <c r="I1050" s="7" t="str">
        <f aca="false">IF(INDEX('Control Library'!$I$5:$I$47,MATCH(E1050,'Control Library'!$A$5:$A$47,0))="All","Y",IF(INDEX('Control Library'!$I$5:$I$47,MATCH(E1050,'Control Library'!$A$5:$A$47,0))="Banks only",IF(COUNTIF('Residual Config'!$L$28:$L$30,INDEX(Entities!$E$5:$E$34,MATCH(B1050,Entities!$A$5:$A$34,0)))&gt;0,"N/A","Y"),IF(INDEX(Entities!$G$5:$G$34,MATCH(B1050,Entities!$A$5:$A$34,0))="Y","Y","N/A")))</f>
        <v>Y</v>
      </c>
      <c r="J1050" s="8" t="s">
        <v>3346</v>
      </c>
      <c r="K1050" s="8" t="s">
        <v>3316</v>
      </c>
      <c r="L1050" s="7" t="str">
        <f aca="false">IF(OR(J1050="",K1050=""),"",IF(J1050=K1050,"Breach","OK"))</f>
        <v>OK</v>
      </c>
      <c r="M1050" s="24" t="n">
        <v>1</v>
      </c>
      <c r="N1050" s="50" t="n">
        <v>46067</v>
      </c>
      <c r="O1050" s="8" t="s">
        <v>545</v>
      </c>
      <c r="P1050" s="24" t="n">
        <v>35</v>
      </c>
      <c r="Q1050" s="31" t="n">
        <f aca="false">IF(I1050="N/A","",IFERROR(INDEX('Residual Config'!$B$35:$B$42,MATCH(H1050,'Residual Config'!$A$35:$A$42,0)),""))</f>
        <v>25</v>
      </c>
      <c r="R1050" s="24" t="n">
        <v>0</v>
      </c>
      <c r="S1050" s="8" t="s">
        <v>516</v>
      </c>
      <c r="T1050" s="31" t="n">
        <f aca="false">IF(S1050="","",MATCH(S1050,'Residual Config'!$L$9:$L$12,0))</f>
        <v>1</v>
      </c>
      <c r="U1050" s="8" t="s">
        <v>3349</v>
      </c>
      <c r="V1050" s="24" t="n">
        <v>1</v>
      </c>
      <c r="W1050" s="33" t="s">
        <v>533</v>
      </c>
      <c r="X1050" s="8" t="s">
        <v>754</v>
      </c>
      <c r="Y1050" s="51" t="n">
        <f aca="false">IF(N1050="","",EDATE(N1050,IF(G1050="N",INDEX('Residual Config'!$B$31:$D$31,1,MATCH(D1050,'Residual Config'!$B$27:$D$27,0)),INDEX('Residual Config'!$B$28:$D$30,IF(T1050=1,1,IF(T1050=4,3,2)),MATCH(D1050,'Residual Config'!$B$27:$D$27,0)))))</f>
        <v>46432</v>
      </c>
      <c r="Z1050" s="7" t="str">
        <f aca="false">IF(I1050="N/A","N/A",IF(N1050="","Not tested",IF(W1050="Rejected","Evidence rejected",IF(W1050&lt;&gt;"Accepted","Evidence pending",IF(Y1050&lt;'Residual Config'!$C$4,"Overdue","Current")))))</f>
        <v>Current</v>
      </c>
      <c r="AA1050" s="34" t="n">
        <f aca="false">IF(I1050="N/A","",IF(Z1050&lt;&gt;"Current",4,IF(MAX(M1050,T1050)=0,4,MAX(M1050,T1050))))</f>
        <v>1</v>
      </c>
      <c r="AB1050" s="7" t="str">
        <f aca="false">IF(AA1050="","N/A",IF(Z1050&lt;&gt;"Current","Not tested / overdue",INDEX('Residual Config'!$B$11:$B$14,AA1050)))</f>
        <v>Effective</v>
      </c>
      <c r="AC1050" s="36" t="n">
        <f aca="false">IF(AA1050="","",INDEX('Residual Config'!$D$11:$D$14,AA1050))</f>
        <v>0.6</v>
      </c>
      <c r="AD1050" s="7" t="str">
        <f aca="false">IF(OR(I1050="N/A",P1050="",Q1050=""),"",IF(P1050&gt;=Q1050,"Yes","No"))</f>
        <v>Yes</v>
      </c>
      <c r="AE1050" s="8"/>
    </row>
    <row r="1051" customFormat="false" ht="15" hidden="false" customHeight="false" outlineLevel="0" collapsed="false">
      <c r="A1051" s="12" t="s">
        <v>3350</v>
      </c>
      <c r="B1051" s="26" t="str">
        <f aca="false">Entities!$A$29</f>
        <v>IT</v>
      </c>
      <c r="C1051" s="12" t="str">
        <f aca="false">INDEX(Entities!$B$5:$B$34,MATCH(B1051,Entities!$A$5:$A$34,0))</f>
        <v>Arab Bank – Italy</v>
      </c>
      <c r="D1051" s="7" t="str">
        <f aca="false">INDEX(Entities!$F$5:$F$34,MATCH(B1051,Entities!$A$5:$A$34,0))</f>
        <v>Tier 3</v>
      </c>
      <c r="E1051" s="26" t="str">
        <f aca="false">'Control Library'!$A$19</f>
        <v>CTL-CB-01</v>
      </c>
      <c r="F1051" s="12" t="str">
        <f aca="false">INDEX('Control Library'!$B$5:$B$47,MATCH(E1051,'Control Library'!$A$5:$A$47,0))</f>
        <v>Correspondent bank due diligence (CBDDQ) and nesting detection</v>
      </c>
      <c r="G1051" s="7" t="str">
        <f aca="false">INDEX('Control Library'!$F$5:$F$47,MATCH(E1051,'Control Library'!$A$5:$A$47,0))</f>
        <v>Y</v>
      </c>
      <c r="H1051" s="12" t="str">
        <f aca="false">INDEX('Control Library'!$E$5:$E$47,MATCH(E1051,'Control Library'!$A$5:$A$47,0))</f>
        <v>Annual</v>
      </c>
      <c r="I1051" s="7" t="str">
        <f aca="false">IF(INDEX('Control Library'!$I$5:$I$47,MATCH(E1051,'Control Library'!$A$5:$A$47,0))="All","Y",IF(INDEX('Control Library'!$I$5:$I$47,MATCH(E1051,'Control Library'!$A$5:$A$47,0))="Banks only",IF(COUNTIF('Residual Config'!$L$28:$L$30,INDEX(Entities!$E$5:$E$34,MATCH(B1051,Entities!$A$5:$A$34,0)))&gt;0,"N/A","Y"),IF(INDEX(Entities!$G$5:$G$34,MATCH(B1051,Entities!$A$5:$A$34,0))="Y","Y","N/A")))</f>
        <v>Y</v>
      </c>
      <c r="J1051" s="8" t="s">
        <v>3351</v>
      </c>
      <c r="K1051" s="8" t="s">
        <v>3316</v>
      </c>
      <c r="L1051" s="7" t="str">
        <f aca="false">IF(OR(J1051="",K1051=""),"",IF(J1051=K1051,"Breach","OK"))</f>
        <v>OK</v>
      </c>
      <c r="M1051" s="24" t="n">
        <v>2</v>
      </c>
      <c r="N1051" s="50" t="n">
        <v>46252</v>
      </c>
      <c r="O1051" s="8" t="s">
        <v>545</v>
      </c>
      <c r="P1051" s="24" t="n">
        <v>1</v>
      </c>
      <c r="Q1051" s="31" t="n">
        <f aca="false">IF(I1051="N/A","",IFERROR(INDEX('Residual Config'!$B$35:$B$42,MATCH(H1051,'Residual Config'!$A$35:$A$42,0)),""))</f>
        <v>1</v>
      </c>
      <c r="R1051" s="24" t="n">
        <v>1</v>
      </c>
      <c r="S1051" s="8" t="s">
        <v>521</v>
      </c>
      <c r="T1051" s="31" t="n">
        <f aca="false">IF(S1051="","",MATCH(S1051,'Residual Config'!$L$9:$L$12,0))</f>
        <v>2</v>
      </c>
      <c r="U1051" s="8" t="s">
        <v>3352</v>
      </c>
      <c r="V1051" s="24" t="n">
        <v>2</v>
      </c>
      <c r="W1051" s="33" t="s">
        <v>533</v>
      </c>
      <c r="X1051" s="8" t="s">
        <v>754</v>
      </c>
      <c r="Y1051" s="51" t="n">
        <f aca="false">IF(N1051="","",EDATE(N1051,IF(G1051="N",INDEX('Residual Config'!$B$31:$D$31,1,MATCH(D1051,'Residual Config'!$B$27:$D$27,0)),INDEX('Residual Config'!$B$28:$D$30,IF(T1051=1,1,IF(T1051=4,3,2)),MATCH(D1051,'Residual Config'!$B$27:$D$27,0)))))</f>
        <v>46436</v>
      </c>
      <c r="Z1051" s="7" t="str">
        <f aca="false">IF(I1051="N/A","N/A",IF(N1051="","Not tested",IF(W1051="Rejected","Evidence rejected",IF(W1051&lt;&gt;"Accepted","Evidence pending",IF(Y1051&lt;'Residual Config'!$C$4,"Overdue","Current")))))</f>
        <v>Current</v>
      </c>
      <c r="AA1051" s="34" t="n">
        <f aca="false">IF(I1051="N/A","",IF(Z1051&lt;&gt;"Current",4,IF(MAX(M1051,T1051)=0,4,MAX(M1051,T1051))))</f>
        <v>2</v>
      </c>
      <c r="AB1051" s="7" t="str">
        <f aca="false">IF(AA1051="","N/A",IF(Z1051&lt;&gt;"Current","Not tested / overdue",INDEX('Residual Config'!$B$11:$B$14,AA1051)))</f>
        <v>Largely effective</v>
      </c>
      <c r="AC1051" s="36" t="n">
        <f aca="false">IF(AA1051="","",INDEX('Residual Config'!$D$11:$D$14,AA1051))</f>
        <v>0.4</v>
      </c>
      <c r="AD1051" s="7" t="str">
        <f aca="false">IF(OR(I1051="N/A",P1051="",Q1051=""),"",IF(P1051&gt;=Q1051,"Yes","No"))</f>
        <v>Yes</v>
      </c>
      <c r="AE1051" s="8"/>
    </row>
    <row r="1052" customFormat="false" ht="15" hidden="false" customHeight="false" outlineLevel="0" collapsed="false">
      <c r="A1052" s="12" t="s">
        <v>3353</v>
      </c>
      <c r="B1052" s="26" t="str">
        <f aca="false">Entities!$A$29</f>
        <v>IT</v>
      </c>
      <c r="C1052" s="12" t="str">
        <f aca="false">INDEX(Entities!$B$5:$B$34,MATCH(B1052,Entities!$A$5:$A$34,0))</f>
        <v>Arab Bank – Italy</v>
      </c>
      <c r="D1052" s="7" t="str">
        <f aca="false">INDEX(Entities!$F$5:$F$34,MATCH(B1052,Entities!$A$5:$A$34,0))</f>
        <v>Tier 3</v>
      </c>
      <c r="E1052" s="26" t="str">
        <f aca="false">'Control Library'!$A$20</f>
        <v>CTL-PAY-01</v>
      </c>
      <c r="F1052" s="12" t="str">
        <f aca="false">INDEX('Control Library'!$B$5:$B$47,MATCH(E1052,'Control Library'!$A$5:$A$47,0))</f>
        <v>Payment transparency checks (FATF R.16)</v>
      </c>
      <c r="G1052" s="7" t="str">
        <f aca="false">INDEX('Control Library'!$F$5:$F$47,MATCH(E1052,'Control Library'!$A$5:$A$47,0))</f>
        <v>N</v>
      </c>
      <c r="H1052" s="12" t="str">
        <f aca="false">INDEX('Control Library'!$E$5:$E$47,MATCH(E1052,'Control Library'!$A$5:$A$47,0))</f>
        <v>Continuous</v>
      </c>
      <c r="I1052" s="7" t="str">
        <f aca="false">IF(INDEX('Control Library'!$I$5:$I$47,MATCH(E1052,'Control Library'!$A$5:$A$47,0))="All","Y",IF(INDEX('Control Library'!$I$5:$I$47,MATCH(E1052,'Control Library'!$A$5:$A$47,0))="Banks only",IF(COUNTIF('Residual Config'!$L$28:$L$30,INDEX(Entities!$E$5:$E$34,MATCH(B1052,Entities!$A$5:$A$34,0)))&gt;0,"N/A","Y"),IF(INDEX(Entities!$G$5:$G$34,MATCH(B1052,Entities!$A$5:$A$34,0))="Y","Y","N/A")))</f>
        <v>Y</v>
      </c>
      <c r="J1052" s="8" t="s">
        <v>3354</v>
      </c>
      <c r="K1052" s="8" t="s">
        <v>3316</v>
      </c>
      <c r="L1052" s="7" t="str">
        <f aca="false">IF(OR(J1052="",K1052=""),"",IF(J1052=K1052,"Breach","OK"))</f>
        <v>OK</v>
      </c>
      <c r="M1052" s="24" t="n">
        <v>1</v>
      </c>
      <c r="N1052" s="50" t="n">
        <v>45956</v>
      </c>
      <c r="O1052" s="8" t="s">
        <v>546</v>
      </c>
      <c r="P1052" s="24" t="n">
        <v>1</v>
      </c>
      <c r="Q1052" s="31" t="n">
        <f aca="false">IF(I1052="N/A","",IFERROR(INDEX('Residual Config'!$B$35:$B$42,MATCH(H1052,'Residual Config'!$A$35:$A$42,0)),""))</f>
        <v>1</v>
      </c>
      <c r="R1052" s="24" t="n">
        <v>0</v>
      </c>
      <c r="S1052" s="8" t="s">
        <v>516</v>
      </c>
      <c r="T1052" s="31" t="n">
        <f aca="false">IF(S1052="","",MATCH(S1052,'Residual Config'!$L$9:$L$12,0))</f>
        <v>1</v>
      </c>
      <c r="U1052" s="8" t="s">
        <v>3355</v>
      </c>
      <c r="V1052" s="24" t="n">
        <v>6</v>
      </c>
      <c r="W1052" s="33" t="s">
        <v>533</v>
      </c>
      <c r="X1052" s="8" t="s">
        <v>760</v>
      </c>
      <c r="Y1052" s="51" t="n">
        <f aca="false">IF(N1052="","",EDATE(N1052,IF(G1052="N",INDEX('Residual Config'!$B$31:$D$31,1,MATCH(D1052,'Residual Config'!$B$27:$D$27,0)),INDEX('Residual Config'!$B$28:$D$30,IF(T1052=1,1,IF(T1052=4,3,2)),MATCH(D1052,'Residual Config'!$B$27:$D$27,0)))))</f>
        <v>46686</v>
      </c>
      <c r="Z1052" s="7" t="str">
        <f aca="false">IF(I1052="N/A","N/A",IF(N1052="","Not tested",IF(W1052="Rejected","Evidence rejected",IF(W1052&lt;&gt;"Accepted","Evidence pending",IF(Y1052&lt;'Residual Config'!$C$4,"Overdue","Current")))))</f>
        <v>Current</v>
      </c>
      <c r="AA1052" s="34" t="n">
        <f aca="false">IF(I1052="N/A","",IF(Z1052&lt;&gt;"Current",4,IF(MAX(M1052,T1052)=0,4,MAX(M1052,T1052))))</f>
        <v>1</v>
      </c>
      <c r="AB1052" s="7" t="str">
        <f aca="false">IF(AA1052="","N/A",IF(Z1052&lt;&gt;"Current","Not tested / overdue",INDEX('Residual Config'!$B$11:$B$14,AA1052)))</f>
        <v>Effective</v>
      </c>
      <c r="AC1052" s="36" t="n">
        <f aca="false">IF(AA1052="","",INDEX('Residual Config'!$D$11:$D$14,AA1052))</f>
        <v>0.6</v>
      </c>
      <c r="AD1052" s="7" t="str">
        <f aca="false">IF(OR(I1052="N/A",P1052="",Q1052=""),"",IF(P1052&gt;=Q1052,"Yes","No"))</f>
        <v>Yes</v>
      </c>
      <c r="AE1052" s="8"/>
    </row>
    <row r="1053" customFormat="false" ht="15" hidden="false" customHeight="false" outlineLevel="0" collapsed="false">
      <c r="A1053" s="12" t="s">
        <v>3356</v>
      </c>
      <c r="B1053" s="26" t="str">
        <f aca="false">Entities!$A$29</f>
        <v>IT</v>
      </c>
      <c r="C1053" s="12" t="str">
        <f aca="false">INDEX(Entities!$B$5:$B$34,MATCH(B1053,Entities!$A$5:$A$34,0))</f>
        <v>Arab Bank – Italy</v>
      </c>
      <c r="D1053" s="7" t="str">
        <f aca="false">INDEX(Entities!$F$5:$F$34,MATCH(B1053,Entities!$A$5:$A$34,0))</f>
        <v>Tier 3</v>
      </c>
      <c r="E1053" s="26" t="str">
        <f aca="false">'Control Library'!$A$21</f>
        <v>CTL-ABC-01</v>
      </c>
      <c r="F1053" s="12" t="str">
        <f aca="false">INDEX('Control Library'!$B$5:$B$47,MATCH(E1053,'Control Library'!$A$5:$A$47,0))</f>
        <v>Third-party and intermediary anti-bribery due diligence</v>
      </c>
      <c r="G1053" s="7" t="str">
        <f aca="false">INDEX('Control Library'!$F$5:$F$47,MATCH(E1053,'Control Library'!$A$5:$A$47,0))</f>
        <v>Y</v>
      </c>
      <c r="H1053" s="12" t="str">
        <f aca="false">INDEX('Control Library'!$E$5:$E$47,MATCH(E1053,'Control Library'!$A$5:$A$47,0))</f>
        <v>Event-driven</v>
      </c>
      <c r="I1053" s="7" t="str">
        <f aca="false">IF(INDEX('Control Library'!$I$5:$I$47,MATCH(E1053,'Control Library'!$A$5:$A$47,0))="All","Y",IF(INDEX('Control Library'!$I$5:$I$47,MATCH(E1053,'Control Library'!$A$5:$A$47,0))="Banks only",IF(COUNTIF('Residual Config'!$L$28:$L$30,INDEX(Entities!$E$5:$E$34,MATCH(B1053,Entities!$A$5:$A$34,0)))&gt;0,"N/A","Y"),IF(INDEX(Entities!$G$5:$G$34,MATCH(B1053,Entities!$A$5:$A$34,0))="Y","Y","N/A")))</f>
        <v>Y</v>
      </c>
      <c r="J1053" s="8" t="s">
        <v>3357</v>
      </c>
      <c r="K1053" s="8" t="s">
        <v>3316</v>
      </c>
      <c r="L1053" s="7" t="str">
        <f aca="false">IF(OR(J1053="",K1053=""),"",IF(J1053=K1053,"Breach","OK"))</f>
        <v>OK</v>
      </c>
      <c r="M1053" s="24" t="n">
        <v>1</v>
      </c>
      <c r="N1053" s="50" t="n">
        <v>45839</v>
      </c>
      <c r="O1053" s="8" t="s">
        <v>545</v>
      </c>
      <c r="P1053" s="24" t="n">
        <v>35</v>
      </c>
      <c r="Q1053" s="31" t="n">
        <f aca="false">IF(I1053="N/A","",IFERROR(INDEX('Residual Config'!$B$35:$B$42,MATCH(H1053,'Residual Config'!$A$35:$A$42,0)),""))</f>
        <v>25</v>
      </c>
      <c r="R1053" s="24" t="n">
        <v>0</v>
      </c>
      <c r="S1053" s="8" t="s">
        <v>516</v>
      </c>
      <c r="T1053" s="31" t="n">
        <f aca="false">IF(S1053="","",MATCH(S1053,'Residual Config'!$L$9:$L$12,0))</f>
        <v>1</v>
      </c>
      <c r="U1053" s="8" t="s">
        <v>3358</v>
      </c>
      <c r="V1053" s="24" t="n">
        <v>5</v>
      </c>
      <c r="W1053" s="33" t="s">
        <v>533</v>
      </c>
      <c r="X1053" s="8" t="s">
        <v>760</v>
      </c>
      <c r="Y1053" s="51" t="n">
        <f aca="false">IF(N1053="","",EDATE(N1053,IF(G1053="N",INDEX('Residual Config'!$B$31:$D$31,1,MATCH(D1053,'Residual Config'!$B$27:$D$27,0)),INDEX('Residual Config'!$B$28:$D$30,IF(T1053=1,1,IF(T1053=4,3,2)),MATCH(D1053,'Residual Config'!$B$27:$D$27,0)))))</f>
        <v>46204</v>
      </c>
      <c r="Z1053" s="7" t="str">
        <f aca="false">IF(I1053="N/A","N/A",IF(N1053="","Not tested",IF(W1053="Rejected","Evidence rejected",IF(W1053&lt;&gt;"Accepted","Evidence pending",IF(Y1053&lt;'Residual Config'!$C$4,"Overdue","Current")))))</f>
        <v>Overdue</v>
      </c>
      <c r="AA1053" s="34" t="n">
        <f aca="false">IF(I1053="N/A","",IF(Z1053&lt;&gt;"Current",4,IF(MAX(M1053,T1053)=0,4,MAX(M1053,T1053))))</f>
        <v>4</v>
      </c>
      <c r="AB1053" s="7" t="str">
        <f aca="false">IF(AA1053="","N/A",IF(Z1053&lt;&gt;"Current","Not tested / overdue",INDEX('Residual Config'!$B$11:$B$14,AA1053)))</f>
        <v>Not tested / overdue</v>
      </c>
      <c r="AC1053" s="36" t="n">
        <f aca="false">IF(AA1053="","",INDEX('Residual Config'!$D$11:$D$14,AA1053))</f>
        <v>0</v>
      </c>
      <c r="AD1053" s="7" t="str">
        <f aca="false">IF(OR(I1053="N/A",P1053="",Q1053=""),"",IF(P1053&gt;=Q1053,"Yes","No"))</f>
        <v>Yes</v>
      </c>
      <c r="AE1053" s="8"/>
    </row>
    <row r="1054" customFormat="false" ht="15" hidden="false" customHeight="false" outlineLevel="0" collapsed="false">
      <c r="A1054" s="12" t="s">
        <v>3359</v>
      </c>
      <c r="B1054" s="26" t="str">
        <f aca="false">Entities!$A$29</f>
        <v>IT</v>
      </c>
      <c r="C1054" s="12" t="str">
        <f aca="false">INDEX(Entities!$B$5:$B$34,MATCH(B1054,Entities!$A$5:$A$34,0))</f>
        <v>Arab Bank – Italy</v>
      </c>
      <c r="D1054" s="7" t="str">
        <f aca="false">INDEX(Entities!$F$5:$F$34,MATCH(B1054,Entities!$A$5:$A$34,0))</f>
        <v>Tier 3</v>
      </c>
      <c r="E1054" s="26" t="str">
        <f aca="false">'Control Library'!$A$22</f>
        <v>CTL-ABC-02</v>
      </c>
      <c r="F1054" s="12" t="str">
        <f aca="false">INDEX('Control Library'!$B$5:$B$47,MATCH(E1054,'Control Library'!$A$5:$A$47,0))</f>
        <v>Gifts, hospitality and donations register with pre-approval</v>
      </c>
      <c r="G1054" s="7" t="str">
        <f aca="false">INDEX('Control Library'!$F$5:$F$47,MATCH(E1054,'Control Library'!$A$5:$A$47,0))</f>
        <v>N</v>
      </c>
      <c r="H1054" s="12" t="str">
        <f aca="false">INDEX('Control Library'!$E$5:$E$47,MATCH(E1054,'Control Library'!$A$5:$A$47,0))</f>
        <v>Event-driven</v>
      </c>
      <c r="I1054" s="7" t="str">
        <f aca="false">IF(INDEX('Control Library'!$I$5:$I$47,MATCH(E1054,'Control Library'!$A$5:$A$47,0))="All","Y",IF(INDEX('Control Library'!$I$5:$I$47,MATCH(E1054,'Control Library'!$A$5:$A$47,0))="Banks only",IF(COUNTIF('Residual Config'!$L$28:$L$30,INDEX(Entities!$E$5:$E$34,MATCH(B1054,Entities!$A$5:$A$34,0)))&gt;0,"N/A","Y"),IF(INDEX(Entities!$G$5:$G$34,MATCH(B1054,Entities!$A$5:$A$34,0))="Y","Y","N/A")))</f>
        <v>Y</v>
      </c>
      <c r="J1054" s="8" t="s">
        <v>3319</v>
      </c>
      <c r="K1054" s="8" t="s">
        <v>3316</v>
      </c>
      <c r="L1054" s="7" t="str">
        <f aca="false">IF(OR(J1054="",K1054=""),"",IF(J1054=K1054,"Breach","OK"))</f>
        <v>OK</v>
      </c>
      <c r="M1054" s="24" t="n">
        <v>2</v>
      </c>
      <c r="N1054" s="50" t="n">
        <v>46136</v>
      </c>
      <c r="O1054" s="8" t="s">
        <v>546</v>
      </c>
      <c r="P1054" s="24" t="n">
        <v>25</v>
      </c>
      <c r="Q1054" s="31" t="n">
        <f aca="false">IF(I1054="N/A","",IFERROR(INDEX('Residual Config'!$B$35:$B$42,MATCH(H1054,'Residual Config'!$A$35:$A$42,0)),""))</f>
        <v>25</v>
      </c>
      <c r="R1054" s="24" t="n">
        <v>1</v>
      </c>
      <c r="S1054" s="8" t="s">
        <v>521</v>
      </c>
      <c r="T1054" s="31" t="n">
        <f aca="false">IF(S1054="","",MATCH(S1054,'Residual Config'!$L$9:$L$12,0))</f>
        <v>2</v>
      </c>
      <c r="U1054" s="8" t="s">
        <v>3360</v>
      </c>
      <c r="V1054" s="24" t="n">
        <v>2</v>
      </c>
      <c r="W1054" s="33" t="s">
        <v>533</v>
      </c>
      <c r="X1054" s="8" t="s">
        <v>760</v>
      </c>
      <c r="Y1054" s="51" t="n">
        <f aca="false">IF(N1054="","",EDATE(N1054,IF(G1054="N",INDEX('Residual Config'!$B$31:$D$31,1,MATCH(D1054,'Residual Config'!$B$27:$D$27,0)),INDEX('Residual Config'!$B$28:$D$30,IF(T1054=1,1,IF(T1054=4,3,2)),MATCH(D1054,'Residual Config'!$B$27:$D$27,0)))))</f>
        <v>46867</v>
      </c>
      <c r="Z1054" s="7" t="str">
        <f aca="false">IF(I1054="N/A","N/A",IF(N1054="","Not tested",IF(W1054="Rejected","Evidence rejected",IF(W1054&lt;&gt;"Accepted","Evidence pending",IF(Y1054&lt;'Residual Config'!$C$4,"Overdue","Current")))))</f>
        <v>Current</v>
      </c>
      <c r="AA1054" s="34" t="n">
        <f aca="false">IF(I1054="N/A","",IF(Z1054&lt;&gt;"Current",4,IF(MAX(M1054,T1054)=0,4,MAX(M1054,T1054))))</f>
        <v>2</v>
      </c>
      <c r="AB1054" s="7" t="str">
        <f aca="false">IF(AA1054="","N/A",IF(Z1054&lt;&gt;"Current","Not tested / overdue",INDEX('Residual Config'!$B$11:$B$14,AA1054)))</f>
        <v>Largely effective</v>
      </c>
      <c r="AC1054" s="36" t="n">
        <f aca="false">IF(AA1054="","",INDEX('Residual Config'!$D$11:$D$14,AA1054))</f>
        <v>0.4</v>
      </c>
      <c r="AD1054" s="7" t="str">
        <f aca="false">IF(OR(I1054="N/A",P1054="",Q1054=""),"",IF(P1054&gt;=Q1054,"Yes","No"))</f>
        <v>Yes</v>
      </c>
      <c r="AE1054" s="8"/>
    </row>
    <row r="1055" customFormat="false" ht="15" hidden="false" customHeight="false" outlineLevel="0" collapsed="false">
      <c r="A1055" s="12" t="s">
        <v>3361</v>
      </c>
      <c r="B1055" s="26" t="str">
        <f aca="false">Entities!$A$29</f>
        <v>IT</v>
      </c>
      <c r="C1055" s="12" t="str">
        <f aca="false">INDEX(Entities!$B$5:$B$34,MATCH(B1055,Entities!$A$5:$A$34,0))</f>
        <v>Arab Bank – Italy</v>
      </c>
      <c r="D1055" s="7" t="str">
        <f aca="false">INDEX(Entities!$F$5:$F$34,MATCH(B1055,Entities!$A$5:$A$34,0))</f>
        <v>Tier 3</v>
      </c>
      <c r="E1055" s="26" t="str">
        <f aca="false">'Control Library'!$A$23</f>
        <v>CTL-FRD-01</v>
      </c>
      <c r="F1055" s="12" t="str">
        <f aca="false">INDEX('Control Library'!$B$5:$B$47,MATCH(E1055,'Control Library'!$A$5:$A$47,0))</f>
        <v>Real-time fraud monitoring for cards and digital channels</v>
      </c>
      <c r="G1055" s="7" t="str">
        <f aca="false">INDEX('Control Library'!$F$5:$F$47,MATCH(E1055,'Control Library'!$A$5:$A$47,0))</f>
        <v>Y</v>
      </c>
      <c r="H1055" s="12" t="str">
        <f aca="false">INDEX('Control Library'!$E$5:$E$47,MATCH(E1055,'Control Library'!$A$5:$A$47,0))</f>
        <v>Continuous</v>
      </c>
      <c r="I1055" s="7" t="str">
        <f aca="false">IF(INDEX('Control Library'!$I$5:$I$47,MATCH(E1055,'Control Library'!$A$5:$A$47,0))="All","Y",IF(INDEX('Control Library'!$I$5:$I$47,MATCH(E1055,'Control Library'!$A$5:$A$47,0))="Banks only",IF(COUNTIF('Residual Config'!$L$28:$L$30,INDEX(Entities!$E$5:$E$34,MATCH(B1055,Entities!$A$5:$A$34,0)))&gt;0,"N/A","Y"),IF(INDEX(Entities!$G$5:$G$34,MATCH(B1055,Entities!$A$5:$A$34,0))="Y","Y","N/A")))</f>
        <v>Y</v>
      </c>
      <c r="J1055" s="8" t="s">
        <v>3362</v>
      </c>
      <c r="K1055" s="8" t="s">
        <v>3316</v>
      </c>
      <c r="L1055" s="7" t="str">
        <f aca="false">IF(OR(J1055="",K1055=""),"",IF(J1055=K1055,"Breach","OK"))</f>
        <v>OK</v>
      </c>
      <c r="M1055" s="24" t="n">
        <v>1</v>
      </c>
      <c r="N1055" s="50" t="n">
        <v>46022</v>
      </c>
      <c r="O1055" s="8" t="s">
        <v>547</v>
      </c>
      <c r="P1055" s="24" t="n">
        <v>1</v>
      </c>
      <c r="Q1055" s="31" t="n">
        <f aca="false">IF(I1055="N/A","",IFERROR(INDEX('Residual Config'!$B$35:$B$42,MATCH(H1055,'Residual Config'!$A$35:$A$42,0)),""))</f>
        <v>1</v>
      </c>
      <c r="R1055" s="24" t="n">
        <v>0</v>
      </c>
      <c r="S1055" s="8" t="s">
        <v>516</v>
      </c>
      <c r="T1055" s="31" t="n">
        <f aca="false">IF(S1055="","",MATCH(S1055,'Residual Config'!$L$9:$L$12,0))</f>
        <v>1</v>
      </c>
      <c r="U1055" s="8" t="s">
        <v>3363</v>
      </c>
      <c r="V1055" s="24" t="n">
        <v>1</v>
      </c>
      <c r="W1055" s="33" t="s">
        <v>533</v>
      </c>
      <c r="X1055" s="8" t="s">
        <v>754</v>
      </c>
      <c r="Y1055" s="51" t="n">
        <f aca="false">IF(N1055="","",EDATE(N1055,IF(G1055="N",INDEX('Residual Config'!$B$31:$D$31,1,MATCH(D1055,'Residual Config'!$B$27:$D$27,0)),INDEX('Residual Config'!$B$28:$D$30,IF(T1055=1,1,IF(T1055=4,3,2)),MATCH(D1055,'Residual Config'!$B$27:$D$27,0)))))</f>
        <v>46387</v>
      </c>
      <c r="Z1055" s="7" t="str">
        <f aca="false">IF(I1055="N/A","N/A",IF(N1055="","Not tested",IF(W1055="Rejected","Evidence rejected",IF(W1055&lt;&gt;"Accepted","Evidence pending",IF(Y1055&lt;'Residual Config'!$C$4,"Overdue","Current")))))</f>
        <v>Current</v>
      </c>
      <c r="AA1055" s="34" t="n">
        <f aca="false">IF(I1055="N/A","",IF(Z1055&lt;&gt;"Current",4,IF(MAX(M1055,T1055)=0,4,MAX(M1055,T1055))))</f>
        <v>1</v>
      </c>
      <c r="AB1055" s="7" t="str">
        <f aca="false">IF(AA1055="","N/A",IF(Z1055&lt;&gt;"Current","Not tested / overdue",INDEX('Residual Config'!$B$11:$B$14,AA1055)))</f>
        <v>Effective</v>
      </c>
      <c r="AC1055" s="36" t="n">
        <f aca="false">IF(AA1055="","",INDEX('Residual Config'!$D$11:$D$14,AA1055))</f>
        <v>0.6</v>
      </c>
      <c r="AD1055" s="7" t="str">
        <f aca="false">IF(OR(I1055="N/A",P1055="",Q1055=""),"",IF(P1055&gt;=Q1055,"Yes","No"))</f>
        <v>Yes</v>
      </c>
      <c r="AE1055" s="8"/>
    </row>
    <row r="1056" customFormat="false" ht="15" hidden="false" customHeight="false" outlineLevel="0" collapsed="false">
      <c r="A1056" s="12" t="s">
        <v>3364</v>
      </c>
      <c r="B1056" s="26" t="str">
        <f aca="false">Entities!$A$29</f>
        <v>IT</v>
      </c>
      <c r="C1056" s="12" t="str">
        <f aca="false">INDEX(Entities!$B$5:$B$34,MATCH(B1056,Entities!$A$5:$A$34,0))</f>
        <v>Arab Bank – Italy</v>
      </c>
      <c r="D1056" s="7" t="str">
        <f aca="false">INDEX(Entities!$F$5:$F$34,MATCH(B1056,Entities!$A$5:$A$34,0))</f>
        <v>Tier 3</v>
      </c>
      <c r="E1056" s="26" t="str">
        <f aca="false">'Control Library'!$A$24</f>
        <v>CTL-FRD-02</v>
      </c>
      <c r="F1056" s="12" t="str">
        <f aca="false">INDEX('Control Library'!$B$5:$B$47,MATCH(E1056,'Control Library'!$A$5:$A$47,0))</f>
        <v>Maker-checker and dual control on payments and static data</v>
      </c>
      <c r="G1056" s="7" t="str">
        <f aca="false">INDEX('Control Library'!$F$5:$F$47,MATCH(E1056,'Control Library'!$A$5:$A$47,0))</f>
        <v>Y</v>
      </c>
      <c r="H1056" s="12" t="str">
        <f aca="false">INDEX('Control Library'!$E$5:$E$47,MATCH(E1056,'Control Library'!$A$5:$A$47,0))</f>
        <v>Daily</v>
      </c>
      <c r="I1056" s="7" t="str">
        <f aca="false">IF(INDEX('Control Library'!$I$5:$I$47,MATCH(E1056,'Control Library'!$A$5:$A$47,0))="All","Y",IF(INDEX('Control Library'!$I$5:$I$47,MATCH(E1056,'Control Library'!$A$5:$A$47,0))="Banks only",IF(COUNTIF('Residual Config'!$L$28:$L$30,INDEX(Entities!$E$5:$E$34,MATCH(B1056,Entities!$A$5:$A$34,0)))&gt;0,"N/A","Y"),IF(INDEX(Entities!$G$5:$G$34,MATCH(B1056,Entities!$A$5:$A$34,0))="Y","Y","N/A")))</f>
        <v>Y</v>
      </c>
      <c r="J1056" s="8" t="s">
        <v>3315</v>
      </c>
      <c r="K1056" s="8" t="s">
        <v>3316</v>
      </c>
      <c r="L1056" s="7" t="str">
        <f aca="false">IF(OR(J1056="",K1056=""),"",IF(J1056=K1056,"Breach","OK"))</f>
        <v>OK</v>
      </c>
      <c r="M1056" s="24" t="n">
        <v>1</v>
      </c>
      <c r="N1056" s="50" t="n">
        <v>46049</v>
      </c>
      <c r="O1056" s="8" t="s">
        <v>545</v>
      </c>
      <c r="P1056" s="24" t="n">
        <v>30</v>
      </c>
      <c r="Q1056" s="31" t="n">
        <f aca="false">IF(I1056="N/A","",IFERROR(INDEX('Residual Config'!$B$35:$B$42,MATCH(H1056,'Residual Config'!$A$35:$A$42,0)),""))</f>
        <v>25</v>
      </c>
      <c r="R1056" s="24" t="n">
        <v>0</v>
      </c>
      <c r="S1056" s="8" t="s">
        <v>516</v>
      </c>
      <c r="T1056" s="31" t="n">
        <f aca="false">IF(S1056="","",MATCH(S1056,'Residual Config'!$L$9:$L$12,0))</f>
        <v>1</v>
      </c>
      <c r="U1056" s="8" t="s">
        <v>3365</v>
      </c>
      <c r="V1056" s="24" t="n">
        <v>2</v>
      </c>
      <c r="W1056" s="33" t="s">
        <v>533</v>
      </c>
      <c r="X1056" s="8" t="s">
        <v>760</v>
      </c>
      <c r="Y1056" s="51" t="n">
        <f aca="false">IF(N1056="","",EDATE(N1056,IF(G1056="N",INDEX('Residual Config'!$B$31:$D$31,1,MATCH(D1056,'Residual Config'!$B$27:$D$27,0)),INDEX('Residual Config'!$B$28:$D$30,IF(T1056=1,1,IF(T1056=4,3,2)),MATCH(D1056,'Residual Config'!$B$27:$D$27,0)))))</f>
        <v>46414</v>
      </c>
      <c r="Z1056" s="7" t="str">
        <f aca="false">IF(I1056="N/A","N/A",IF(N1056="","Not tested",IF(W1056="Rejected","Evidence rejected",IF(W1056&lt;&gt;"Accepted","Evidence pending",IF(Y1056&lt;'Residual Config'!$C$4,"Overdue","Current")))))</f>
        <v>Current</v>
      </c>
      <c r="AA1056" s="34" t="n">
        <f aca="false">IF(I1056="N/A","",IF(Z1056&lt;&gt;"Current",4,IF(MAX(M1056,T1056)=0,4,MAX(M1056,T1056))))</f>
        <v>1</v>
      </c>
      <c r="AB1056" s="7" t="str">
        <f aca="false">IF(AA1056="","N/A",IF(Z1056&lt;&gt;"Current","Not tested / overdue",INDEX('Residual Config'!$B$11:$B$14,AA1056)))</f>
        <v>Effective</v>
      </c>
      <c r="AC1056" s="36" t="n">
        <f aca="false">IF(AA1056="","",INDEX('Residual Config'!$D$11:$D$14,AA1056))</f>
        <v>0.6</v>
      </c>
      <c r="AD1056" s="7" t="str">
        <f aca="false">IF(OR(I1056="N/A",P1056="",Q1056=""),"",IF(P1056&gt;=Q1056,"Yes","No"))</f>
        <v>Yes</v>
      </c>
      <c r="AE1056" s="8"/>
    </row>
    <row r="1057" customFormat="false" ht="15" hidden="false" customHeight="false" outlineLevel="0" collapsed="false">
      <c r="A1057" s="12" t="s">
        <v>3366</v>
      </c>
      <c r="B1057" s="26" t="str">
        <f aca="false">Entities!$A$29</f>
        <v>IT</v>
      </c>
      <c r="C1057" s="12" t="str">
        <f aca="false">INDEX(Entities!$B$5:$B$34,MATCH(B1057,Entities!$A$5:$A$34,0))</f>
        <v>Arab Bank – Italy</v>
      </c>
      <c r="D1057" s="7" t="str">
        <f aca="false">INDEX(Entities!$F$5:$F$34,MATCH(B1057,Entities!$A$5:$A$34,0))</f>
        <v>Tier 3</v>
      </c>
      <c r="E1057" s="26" t="str">
        <f aca="false">'Control Library'!$A$25</f>
        <v>CTL-FRD-03</v>
      </c>
      <c r="F1057" s="12" t="str">
        <f aca="false">INDEX('Control Library'!$B$5:$B$47,MATCH(E1057,'Control Library'!$A$5:$A$47,0))</f>
        <v>Mandatory consecutive leave and rotation for sensitive roles</v>
      </c>
      <c r="G1057" s="7" t="str">
        <f aca="false">INDEX('Control Library'!$F$5:$F$47,MATCH(E1057,'Control Library'!$A$5:$A$47,0))</f>
        <v>N</v>
      </c>
      <c r="H1057" s="12" t="str">
        <f aca="false">INDEX('Control Library'!$E$5:$E$47,MATCH(E1057,'Control Library'!$A$5:$A$47,0))</f>
        <v>Annual</v>
      </c>
      <c r="I1057" s="7" t="str">
        <f aca="false">IF(INDEX('Control Library'!$I$5:$I$47,MATCH(E1057,'Control Library'!$A$5:$A$47,0))="All","Y",IF(INDEX('Control Library'!$I$5:$I$47,MATCH(E1057,'Control Library'!$A$5:$A$47,0))="Banks only",IF(COUNTIF('Residual Config'!$L$28:$L$30,INDEX(Entities!$E$5:$E$34,MATCH(B1057,Entities!$A$5:$A$34,0)))&gt;0,"N/A","Y"),IF(INDEX(Entities!$G$5:$G$34,MATCH(B1057,Entities!$A$5:$A$34,0))="Y","Y","N/A")))</f>
        <v>Y</v>
      </c>
      <c r="J1057" s="8" t="s">
        <v>3367</v>
      </c>
      <c r="K1057" s="8" t="s">
        <v>3316</v>
      </c>
      <c r="L1057" s="7" t="str">
        <f aca="false">IF(OR(J1057="",K1057=""),"",IF(J1057=K1057,"Breach","OK"))</f>
        <v>OK</v>
      </c>
      <c r="M1057" s="24" t="n">
        <v>1</v>
      </c>
      <c r="N1057" s="50" t="n">
        <v>46077</v>
      </c>
      <c r="O1057" s="8" t="s">
        <v>546</v>
      </c>
      <c r="P1057" s="24" t="n">
        <v>1</v>
      </c>
      <c r="Q1057" s="31" t="n">
        <f aca="false">IF(I1057="N/A","",IFERROR(INDEX('Residual Config'!$B$35:$B$42,MATCH(H1057,'Residual Config'!$A$35:$A$42,0)),""))</f>
        <v>1</v>
      </c>
      <c r="R1057" s="24" t="n">
        <v>0</v>
      </c>
      <c r="S1057" s="8" t="s">
        <v>516</v>
      </c>
      <c r="T1057" s="31" t="n">
        <f aca="false">IF(S1057="","",MATCH(S1057,'Residual Config'!$L$9:$L$12,0))</f>
        <v>1</v>
      </c>
      <c r="U1057" s="8" t="s">
        <v>3368</v>
      </c>
      <c r="V1057" s="24" t="n">
        <v>5</v>
      </c>
      <c r="W1057" s="33" t="s">
        <v>533</v>
      </c>
      <c r="X1057" s="8" t="s">
        <v>754</v>
      </c>
      <c r="Y1057" s="51" t="n">
        <f aca="false">IF(N1057="","",EDATE(N1057,IF(G1057="N",INDEX('Residual Config'!$B$31:$D$31,1,MATCH(D1057,'Residual Config'!$B$27:$D$27,0)),INDEX('Residual Config'!$B$28:$D$30,IF(T1057=1,1,IF(T1057=4,3,2)),MATCH(D1057,'Residual Config'!$B$27:$D$27,0)))))</f>
        <v>46807</v>
      </c>
      <c r="Z1057" s="7" t="str">
        <f aca="false">IF(I1057="N/A","N/A",IF(N1057="","Not tested",IF(W1057="Rejected","Evidence rejected",IF(W1057&lt;&gt;"Accepted","Evidence pending",IF(Y1057&lt;'Residual Config'!$C$4,"Overdue","Current")))))</f>
        <v>Current</v>
      </c>
      <c r="AA1057" s="34" t="n">
        <f aca="false">IF(I1057="N/A","",IF(Z1057&lt;&gt;"Current",4,IF(MAX(M1057,T1057)=0,4,MAX(M1057,T1057))))</f>
        <v>1</v>
      </c>
      <c r="AB1057" s="7" t="str">
        <f aca="false">IF(AA1057="","N/A",IF(Z1057&lt;&gt;"Current","Not tested / overdue",INDEX('Residual Config'!$B$11:$B$14,AA1057)))</f>
        <v>Effective</v>
      </c>
      <c r="AC1057" s="36" t="n">
        <f aca="false">IF(AA1057="","",INDEX('Residual Config'!$D$11:$D$14,AA1057))</f>
        <v>0.6</v>
      </c>
      <c r="AD1057" s="7" t="str">
        <f aca="false">IF(OR(I1057="N/A",P1057="",Q1057=""),"",IF(P1057&gt;=Q1057,"Yes","No"))</f>
        <v>Yes</v>
      </c>
      <c r="AE1057" s="8"/>
    </row>
    <row r="1058" customFormat="false" ht="15" hidden="false" customHeight="false" outlineLevel="0" collapsed="false">
      <c r="A1058" s="12" t="s">
        <v>3369</v>
      </c>
      <c r="B1058" s="26" t="str">
        <f aca="false">Entities!$A$29</f>
        <v>IT</v>
      </c>
      <c r="C1058" s="12" t="str">
        <f aca="false">INDEX(Entities!$B$5:$B$34,MATCH(B1058,Entities!$A$5:$A$34,0))</f>
        <v>Arab Bank – Italy</v>
      </c>
      <c r="D1058" s="7" t="str">
        <f aca="false">INDEX(Entities!$F$5:$F$34,MATCH(B1058,Entities!$A$5:$A$34,0))</f>
        <v>Tier 3</v>
      </c>
      <c r="E1058" s="26" t="str">
        <f aca="false">'Control Library'!$A$26</f>
        <v>CTL-TAX-01</v>
      </c>
      <c r="F1058" s="12" t="str">
        <f aca="false">INDEX('Control Library'!$B$5:$B$47,MATCH(E1058,'Control Library'!$A$5:$A$47,0))</f>
        <v>FATCA/CRS self-certification and classification</v>
      </c>
      <c r="G1058" s="7" t="str">
        <f aca="false">INDEX('Control Library'!$F$5:$F$47,MATCH(E1058,'Control Library'!$A$5:$A$47,0))</f>
        <v>Y</v>
      </c>
      <c r="H1058" s="12" t="str">
        <f aca="false">INDEX('Control Library'!$E$5:$E$47,MATCH(E1058,'Control Library'!$A$5:$A$47,0))</f>
        <v>Event-driven</v>
      </c>
      <c r="I1058" s="7" t="str">
        <f aca="false">IF(INDEX('Control Library'!$I$5:$I$47,MATCH(E1058,'Control Library'!$A$5:$A$47,0))="All","Y",IF(INDEX('Control Library'!$I$5:$I$47,MATCH(E1058,'Control Library'!$A$5:$A$47,0))="Banks only",IF(COUNTIF('Residual Config'!$L$28:$L$30,INDEX(Entities!$E$5:$E$34,MATCH(B1058,Entities!$A$5:$A$34,0)))&gt;0,"N/A","Y"),IF(INDEX(Entities!$G$5:$G$34,MATCH(B1058,Entities!$A$5:$A$34,0))="Y","Y","N/A")))</f>
        <v>Y</v>
      </c>
      <c r="J1058" s="8" t="s">
        <v>3315</v>
      </c>
      <c r="K1058" s="8" t="s">
        <v>3316</v>
      </c>
      <c r="L1058" s="7" t="str">
        <f aca="false">IF(OR(J1058="",K1058=""),"",IF(J1058=K1058,"Breach","OK"))</f>
        <v>OK</v>
      </c>
      <c r="M1058" s="24" t="n">
        <v>1</v>
      </c>
      <c r="N1058" s="50" t="n">
        <v>46216</v>
      </c>
      <c r="O1058" s="8" t="s">
        <v>545</v>
      </c>
      <c r="P1058" s="24" t="n">
        <v>25</v>
      </c>
      <c r="Q1058" s="31" t="n">
        <f aca="false">IF(I1058="N/A","",IFERROR(INDEX('Residual Config'!$B$35:$B$42,MATCH(H1058,'Residual Config'!$A$35:$A$42,0)),""))</f>
        <v>25</v>
      </c>
      <c r="R1058" s="24" t="n">
        <v>0</v>
      </c>
      <c r="S1058" s="8" t="s">
        <v>516</v>
      </c>
      <c r="T1058" s="31" t="n">
        <f aca="false">IF(S1058="","",MATCH(S1058,'Residual Config'!$L$9:$L$12,0))</f>
        <v>1</v>
      </c>
      <c r="U1058" s="8" t="s">
        <v>3370</v>
      </c>
      <c r="V1058" s="24" t="n">
        <v>6</v>
      </c>
      <c r="W1058" s="33" t="s">
        <v>536</v>
      </c>
      <c r="X1058" s="8"/>
      <c r="Y1058" s="51" t="n">
        <f aca="false">IF(N1058="","",EDATE(N1058,IF(G1058="N",INDEX('Residual Config'!$B$31:$D$31,1,MATCH(D1058,'Residual Config'!$B$27:$D$27,0)),INDEX('Residual Config'!$B$28:$D$30,IF(T1058=1,1,IF(T1058=4,3,2)),MATCH(D1058,'Residual Config'!$B$27:$D$27,0)))))</f>
        <v>46581</v>
      </c>
      <c r="Z1058" s="7" t="str">
        <f aca="false">IF(I1058="N/A","N/A",IF(N1058="","Not tested",IF(W1058="Rejected","Evidence rejected",IF(W1058&lt;&gt;"Accepted","Evidence pending",IF(Y1058&lt;'Residual Config'!$C$4,"Overdue","Current")))))</f>
        <v>Evidence pending</v>
      </c>
      <c r="AA1058" s="34" t="n">
        <f aca="false">IF(I1058="N/A","",IF(Z1058&lt;&gt;"Current",4,IF(MAX(M1058,T1058)=0,4,MAX(M1058,T1058))))</f>
        <v>4</v>
      </c>
      <c r="AB1058" s="7" t="str">
        <f aca="false">IF(AA1058="","N/A",IF(Z1058&lt;&gt;"Current","Not tested / overdue",INDEX('Residual Config'!$B$11:$B$14,AA1058)))</f>
        <v>Not tested / overdue</v>
      </c>
      <c r="AC1058" s="36" t="n">
        <f aca="false">IF(AA1058="","",INDEX('Residual Config'!$D$11:$D$14,AA1058))</f>
        <v>0</v>
      </c>
      <c r="AD1058" s="7" t="str">
        <f aca="false">IF(OR(I1058="N/A",P1058="",Q1058=""),"",IF(P1058&gt;=Q1058,"Yes","No"))</f>
        <v>Yes</v>
      </c>
      <c r="AE1058" s="8"/>
    </row>
    <row r="1059" customFormat="false" ht="15" hidden="false" customHeight="false" outlineLevel="0" collapsed="false">
      <c r="A1059" s="12" t="s">
        <v>3371</v>
      </c>
      <c r="B1059" s="26" t="str">
        <f aca="false">Entities!$A$29</f>
        <v>IT</v>
      </c>
      <c r="C1059" s="12" t="str">
        <f aca="false">INDEX(Entities!$B$5:$B$34,MATCH(B1059,Entities!$A$5:$A$34,0))</f>
        <v>Arab Bank – Italy</v>
      </c>
      <c r="D1059" s="7" t="str">
        <f aca="false">INDEX(Entities!$F$5:$F$34,MATCH(B1059,Entities!$A$5:$A$34,0))</f>
        <v>Tier 3</v>
      </c>
      <c r="E1059" s="26" t="str">
        <f aca="false">'Control Library'!$A$27</f>
        <v>CTL-TAX-02</v>
      </c>
      <c r="F1059" s="12" t="str">
        <f aca="false">INDEX('Control Library'!$B$5:$B$47,MATCH(E1059,'Control Library'!$A$5:$A$47,0))</f>
        <v>FATCA/CRS reporting reconciliation and timely filing</v>
      </c>
      <c r="G1059" s="7" t="str">
        <f aca="false">INDEX('Control Library'!$F$5:$F$47,MATCH(E1059,'Control Library'!$A$5:$A$47,0))</f>
        <v>N</v>
      </c>
      <c r="H1059" s="12" t="str">
        <f aca="false">INDEX('Control Library'!$E$5:$E$47,MATCH(E1059,'Control Library'!$A$5:$A$47,0))</f>
        <v>Annual</v>
      </c>
      <c r="I1059" s="7" t="str">
        <f aca="false">IF(INDEX('Control Library'!$I$5:$I$47,MATCH(E1059,'Control Library'!$A$5:$A$47,0))="All","Y",IF(INDEX('Control Library'!$I$5:$I$47,MATCH(E1059,'Control Library'!$A$5:$A$47,0))="Banks only",IF(COUNTIF('Residual Config'!$L$28:$L$30,INDEX(Entities!$E$5:$E$34,MATCH(B1059,Entities!$A$5:$A$34,0)))&gt;0,"N/A","Y"),IF(INDEX(Entities!$G$5:$G$34,MATCH(B1059,Entities!$A$5:$A$34,0))="Y","Y","N/A")))</f>
        <v>Y</v>
      </c>
      <c r="J1059" s="8" t="s">
        <v>3372</v>
      </c>
      <c r="K1059" s="8" t="s">
        <v>3316</v>
      </c>
      <c r="L1059" s="7" t="str">
        <f aca="false">IF(OR(J1059="",K1059=""),"",IF(J1059=K1059,"Breach","OK"))</f>
        <v>OK</v>
      </c>
      <c r="M1059" s="24" t="n">
        <v>1</v>
      </c>
      <c r="N1059" s="50" t="n">
        <v>46093</v>
      </c>
      <c r="O1059" s="8" t="s">
        <v>545</v>
      </c>
      <c r="P1059" s="24" t="n">
        <v>1</v>
      </c>
      <c r="Q1059" s="31" t="n">
        <f aca="false">IF(I1059="N/A","",IFERROR(INDEX('Residual Config'!$B$35:$B$42,MATCH(H1059,'Residual Config'!$A$35:$A$42,0)),""))</f>
        <v>1</v>
      </c>
      <c r="R1059" s="24" t="n">
        <v>1</v>
      </c>
      <c r="S1059" s="8" t="s">
        <v>521</v>
      </c>
      <c r="T1059" s="31" t="n">
        <f aca="false">IF(S1059="","",MATCH(S1059,'Residual Config'!$L$9:$L$12,0))</f>
        <v>2</v>
      </c>
      <c r="U1059" s="8" t="s">
        <v>3373</v>
      </c>
      <c r="V1059" s="24" t="n">
        <v>5</v>
      </c>
      <c r="W1059" s="33" t="s">
        <v>533</v>
      </c>
      <c r="X1059" s="8" t="s">
        <v>760</v>
      </c>
      <c r="Y1059" s="51" t="n">
        <f aca="false">IF(N1059="","",EDATE(N1059,IF(G1059="N",INDEX('Residual Config'!$B$31:$D$31,1,MATCH(D1059,'Residual Config'!$B$27:$D$27,0)),INDEX('Residual Config'!$B$28:$D$30,IF(T1059=1,1,IF(T1059=4,3,2)),MATCH(D1059,'Residual Config'!$B$27:$D$27,0)))))</f>
        <v>46824</v>
      </c>
      <c r="Z1059" s="7" t="str">
        <f aca="false">IF(I1059="N/A","N/A",IF(N1059="","Not tested",IF(W1059="Rejected","Evidence rejected",IF(W1059&lt;&gt;"Accepted","Evidence pending",IF(Y1059&lt;'Residual Config'!$C$4,"Overdue","Current")))))</f>
        <v>Current</v>
      </c>
      <c r="AA1059" s="34" t="n">
        <f aca="false">IF(I1059="N/A","",IF(Z1059&lt;&gt;"Current",4,IF(MAX(M1059,T1059)=0,4,MAX(M1059,T1059))))</f>
        <v>2</v>
      </c>
      <c r="AB1059" s="7" t="str">
        <f aca="false">IF(AA1059="","N/A",IF(Z1059&lt;&gt;"Current","Not tested / overdue",INDEX('Residual Config'!$B$11:$B$14,AA1059)))</f>
        <v>Largely effective</v>
      </c>
      <c r="AC1059" s="36" t="n">
        <f aca="false">IF(AA1059="","",INDEX('Residual Config'!$D$11:$D$14,AA1059))</f>
        <v>0.4</v>
      </c>
      <c r="AD1059" s="7" t="str">
        <f aca="false">IF(OR(I1059="N/A",P1059="",Q1059=""),"",IF(P1059&gt;=Q1059,"Yes","No"))</f>
        <v>Yes</v>
      </c>
      <c r="AE1059" s="8"/>
    </row>
    <row r="1060" customFormat="false" ht="15" hidden="false" customHeight="false" outlineLevel="0" collapsed="false">
      <c r="A1060" s="12" t="s">
        <v>3374</v>
      </c>
      <c r="B1060" s="26" t="str">
        <f aca="false">Entities!$A$29</f>
        <v>IT</v>
      </c>
      <c r="C1060" s="12" t="str">
        <f aca="false">INDEX(Entities!$B$5:$B$34,MATCH(B1060,Entities!$A$5:$A$34,0))</f>
        <v>Arab Bank – Italy</v>
      </c>
      <c r="D1060" s="7" t="str">
        <f aca="false">INDEX(Entities!$F$5:$F$34,MATCH(B1060,Entities!$A$5:$A$34,0))</f>
        <v>Tier 3</v>
      </c>
      <c r="E1060" s="26" t="str">
        <f aca="false">'Control Library'!$A$28</f>
        <v>CTL-TRN-01</v>
      </c>
      <c r="F1060" s="12" t="str">
        <f aca="false">INDEX('Control Library'!$B$5:$B$47,MATCH(E1060,'Control Library'!$A$5:$A$47,0))</f>
        <v>Annual AML, sanctions and anti-bribery training</v>
      </c>
      <c r="G1060" s="7" t="str">
        <f aca="false">INDEX('Control Library'!$F$5:$F$47,MATCH(E1060,'Control Library'!$A$5:$A$47,0))</f>
        <v>N</v>
      </c>
      <c r="H1060" s="12" t="str">
        <f aca="false">INDEX('Control Library'!$E$5:$E$47,MATCH(E1060,'Control Library'!$A$5:$A$47,0))</f>
        <v>Annual</v>
      </c>
      <c r="I1060" s="7" t="str">
        <f aca="false">IF(INDEX('Control Library'!$I$5:$I$47,MATCH(E1060,'Control Library'!$A$5:$A$47,0))="All","Y",IF(INDEX('Control Library'!$I$5:$I$47,MATCH(E1060,'Control Library'!$A$5:$A$47,0))="Banks only",IF(COUNTIF('Residual Config'!$L$28:$L$30,INDEX(Entities!$E$5:$E$34,MATCH(B1060,Entities!$A$5:$A$34,0)))&gt;0,"N/A","Y"),IF(INDEX(Entities!$G$5:$G$34,MATCH(B1060,Entities!$A$5:$A$34,0))="Y","Y","N/A")))</f>
        <v>Y</v>
      </c>
      <c r="J1060" s="8" t="s">
        <v>3319</v>
      </c>
      <c r="K1060" s="8" t="s">
        <v>3316</v>
      </c>
      <c r="L1060" s="7" t="str">
        <f aca="false">IF(OR(J1060="",K1060=""),"",IF(J1060=K1060,"Breach","OK"))</f>
        <v>OK</v>
      </c>
      <c r="M1060" s="24" t="n">
        <v>1</v>
      </c>
      <c r="N1060" s="50" t="n">
        <v>45666</v>
      </c>
      <c r="O1060" s="8" t="s">
        <v>546</v>
      </c>
      <c r="P1060" s="24" t="n">
        <v>1</v>
      </c>
      <c r="Q1060" s="31" t="n">
        <f aca="false">IF(I1060="N/A","",IFERROR(INDEX('Residual Config'!$B$35:$B$42,MATCH(H1060,'Residual Config'!$A$35:$A$42,0)),""))</f>
        <v>1</v>
      </c>
      <c r="R1060" s="24" t="n">
        <v>0</v>
      </c>
      <c r="S1060" s="8" t="s">
        <v>516</v>
      </c>
      <c r="T1060" s="31" t="n">
        <f aca="false">IF(S1060="","",MATCH(S1060,'Residual Config'!$L$9:$L$12,0))</f>
        <v>1</v>
      </c>
      <c r="U1060" s="8" t="s">
        <v>3375</v>
      </c>
      <c r="V1060" s="24" t="n">
        <v>6</v>
      </c>
      <c r="W1060" s="33" t="s">
        <v>533</v>
      </c>
      <c r="X1060" s="8" t="s">
        <v>760</v>
      </c>
      <c r="Y1060" s="51" t="n">
        <f aca="false">IF(N1060="","",EDATE(N1060,IF(G1060="N",INDEX('Residual Config'!$B$31:$D$31,1,MATCH(D1060,'Residual Config'!$B$27:$D$27,0)),INDEX('Residual Config'!$B$28:$D$30,IF(T1060=1,1,IF(T1060=4,3,2)),MATCH(D1060,'Residual Config'!$B$27:$D$27,0)))))</f>
        <v>46396</v>
      </c>
      <c r="Z1060" s="7" t="str">
        <f aca="false">IF(I1060="N/A","N/A",IF(N1060="","Not tested",IF(W1060="Rejected","Evidence rejected",IF(W1060&lt;&gt;"Accepted","Evidence pending",IF(Y1060&lt;'Residual Config'!$C$4,"Overdue","Current")))))</f>
        <v>Current</v>
      </c>
      <c r="AA1060" s="34" t="n">
        <f aca="false">IF(I1060="N/A","",IF(Z1060&lt;&gt;"Current",4,IF(MAX(M1060,T1060)=0,4,MAX(M1060,T1060))))</f>
        <v>1</v>
      </c>
      <c r="AB1060" s="7" t="str">
        <f aca="false">IF(AA1060="","N/A",IF(Z1060&lt;&gt;"Current","Not tested / overdue",INDEX('Residual Config'!$B$11:$B$14,AA1060)))</f>
        <v>Effective</v>
      </c>
      <c r="AC1060" s="36" t="n">
        <f aca="false">IF(AA1060="","",INDEX('Residual Config'!$D$11:$D$14,AA1060))</f>
        <v>0.6</v>
      </c>
      <c r="AD1060" s="7" t="str">
        <f aca="false">IF(OR(I1060="N/A",P1060="",Q1060=""),"",IF(P1060&gt;=Q1060,"Yes","No"))</f>
        <v>Yes</v>
      </c>
      <c r="AE1060" s="8"/>
    </row>
    <row r="1061" customFormat="false" ht="15" hidden="false" customHeight="false" outlineLevel="0" collapsed="false">
      <c r="A1061" s="12" t="s">
        <v>3376</v>
      </c>
      <c r="B1061" s="26" t="str">
        <f aca="false">Entities!$A$29</f>
        <v>IT</v>
      </c>
      <c r="C1061" s="12" t="str">
        <f aca="false">INDEX(Entities!$B$5:$B$34,MATCH(B1061,Entities!$A$5:$A$34,0))</f>
        <v>Arab Bank – Italy</v>
      </c>
      <c r="D1061" s="7" t="str">
        <f aca="false">INDEX(Entities!$F$5:$F$34,MATCH(B1061,Entities!$A$5:$A$34,0))</f>
        <v>Tier 3</v>
      </c>
      <c r="E1061" s="26" t="str">
        <f aca="false">'Control Library'!$A$29</f>
        <v>CTL-REG-01</v>
      </c>
      <c r="F1061" s="12" t="str">
        <f aca="false">INDEX('Control Library'!$B$5:$B$47,MATCH(E1061,'Control Library'!$A$5:$A$47,0))</f>
        <v>Regulatory change management and obligations register</v>
      </c>
      <c r="G1061" s="7" t="str">
        <f aca="false">INDEX('Control Library'!$F$5:$F$47,MATCH(E1061,'Control Library'!$A$5:$A$47,0))</f>
        <v>Y</v>
      </c>
      <c r="H1061" s="12" t="str">
        <f aca="false">INDEX('Control Library'!$E$5:$E$47,MATCH(E1061,'Control Library'!$A$5:$A$47,0))</f>
        <v>Monthly</v>
      </c>
      <c r="I1061" s="7" t="str">
        <f aca="false">IF(INDEX('Control Library'!$I$5:$I$47,MATCH(E1061,'Control Library'!$A$5:$A$47,0))="All","Y",IF(INDEX('Control Library'!$I$5:$I$47,MATCH(E1061,'Control Library'!$A$5:$A$47,0))="Banks only",IF(COUNTIF('Residual Config'!$L$28:$L$30,INDEX(Entities!$E$5:$E$34,MATCH(B1061,Entities!$A$5:$A$34,0)))&gt;0,"N/A","Y"),IF(INDEX(Entities!$G$5:$G$34,MATCH(B1061,Entities!$A$5:$A$34,0))="Y","Y","N/A")))</f>
        <v>Y</v>
      </c>
      <c r="J1061" s="8" t="s">
        <v>3319</v>
      </c>
      <c r="K1061" s="8" t="s">
        <v>3316</v>
      </c>
      <c r="L1061" s="7" t="str">
        <f aca="false">IF(OR(J1061="",K1061=""),"",IF(J1061=K1061,"Breach","OK"))</f>
        <v>OK</v>
      </c>
      <c r="M1061" s="24" t="n">
        <v>1</v>
      </c>
      <c r="N1061" s="50" t="n">
        <v>46213</v>
      </c>
      <c r="O1061" s="8" t="s">
        <v>545</v>
      </c>
      <c r="P1061" s="24" t="n">
        <v>3</v>
      </c>
      <c r="Q1061" s="31" t="n">
        <f aca="false">IF(I1061="N/A","",IFERROR(INDEX('Residual Config'!$B$35:$B$42,MATCH(H1061,'Residual Config'!$A$35:$A$42,0)),""))</f>
        <v>3</v>
      </c>
      <c r="R1061" s="24" t="n">
        <v>0</v>
      </c>
      <c r="S1061" s="8" t="s">
        <v>516</v>
      </c>
      <c r="T1061" s="31" t="n">
        <f aca="false">IF(S1061="","",MATCH(S1061,'Residual Config'!$L$9:$L$12,0))</f>
        <v>1</v>
      </c>
      <c r="U1061" s="8" t="s">
        <v>3377</v>
      </c>
      <c r="V1061" s="24" t="n">
        <v>4</v>
      </c>
      <c r="W1061" s="33" t="s">
        <v>536</v>
      </c>
      <c r="X1061" s="8"/>
      <c r="Y1061" s="51" t="n">
        <f aca="false">IF(N1061="","",EDATE(N1061,IF(G1061="N",INDEX('Residual Config'!$B$31:$D$31,1,MATCH(D1061,'Residual Config'!$B$27:$D$27,0)),INDEX('Residual Config'!$B$28:$D$30,IF(T1061=1,1,IF(T1061=4,3,2)),MATCH(D1061,'Residual Config'!$B$27:$D$27,0)))))</f>
        <v>46578</v>
      </c>
      <c r="Z1061" s="7" t="str">
        <f aca="false">IF(I1061="N/A","N/A",IF(N1061="","Not tested",IF(W1061="Rejected","Evidence rejected",IF(W1061&lt;&gt;"Accepted","Evidence pending",IF(Y1061&lt;'Residual Config'!$C$4,"Overdue","Current")))))</f>
        <v>Evidence pending</v>
      </c>
      <c r="AA1061" s="34" t="n">
        <f aca="false">IF(I1061="N/A","",IF(Z1061&lt;&gt;"Current",4,IF(MAX(M1061,T1061)=0,4,MAX(M1061,T1061))))</f>
        <v>4</v>
      </c>
      <c r="AB1061" s="7" t="str">
        <f aca="false">IF(AA1061="","N/A",IF(Z1061&lt;&gt;"Current","Not tested / overdue",INDEX('Residual Config'!$B$11:$B$14,AA1061)))</f>
        <v>Not tested / overdue</v>
      </c>
      <c r="AC1061" s="36" t="n">
        <f aca="false">IF(AA1061="","",INDEX('Residual Config'!$D$11:$D$14,AA1061))</f>
        <v>0</v>
      </c>
      <c r="AD1061" s="7" t="str">
        <f aca="false">IF(OR(I1061="N/A",P1061="",Q1061=""),"",IF(P1061&gt;=Q1061,"Yes","No"))</f>
        <v>Yes</v>
      </c>
      <c r="AE1061" s="8"/>
    </row>
    <row r="1062" customFormat="false" ht="15" hidden="false" customHeight="false" outlineLevel="0" collapsed="false">
      <c r="A1062" s="12" t="s">
        <v>3378</v>
      </c>
      <c r="B1062" s="26" t="str">
        <f aca="false">Entities!$A$29</f>
        <v>IT</v>
      </c>
      <c r="C1062" s="12" t="str">
        <f aca="false">INDEX(Entities!$B$5:$B$34,MATCH(B1062,Entities!$A$5:$A$34,0))</f>
        <v>Arab Bank – Italy</v>
      </c>
      <c r="D1062" s="7" t="str">
        <f aca="false">INDEX(Entities!$F$5:$F$34,MATCH(B1062,Entities!$A$5:$A$34,0))</f>
        <v>Tier 3</v>
      </c>
      <c r="E1062" s="26" t="str">
        <f aca="false">'Control Library'!$A$30</f>
        <v>CTL-REG-02</v>
      </c>
      <c r="F1062" s="12" t="str">
        <f aca="false">INDEX('Control Library'!$B$5:$B$47,MATCH(E1062,'Control Library'!$A$5:$A$47,0))</f>
        <v>Regulatory return review and senior sign-off</v>
      </c>
      <c r="G1062" s="7" t="str">
        <f aca="false">INDEX('Control Library'!$F$5:$F$47,MATCH(E1062,'Control Library'!$A$5:$A$47,0))</f>
        <v>Y</v>
      </c>
      <c r="H1062" s="12" t="str">
        <f aca="false">INDEX('Control Library'!$E$5:$E$47,MATCH(E1062,'Control Library'!$A$5:$A$47,0))</f>
        <v>Monthly</v>
      </c>
      <c r="I1062" s="7" t="str">
        <f aca="false">IF(INDEX('Control Library'!$I$5:$I$47,MATCH(E1062,'Control Library'!$A$5:$A$47,0))="All","Y",IF(INDEX('Control Library'!$I$5:$I$47,MATCH(E1062,'Control Library'!$A$5:$A$47,0))="Banks only",IF(COUNTIF('Residual Config'!$L$28:$L$30,INDEX(Entities!$E$5:$E$34,MATCH(B1062,Entities!$A$5:$A$34,0)))&gt;0,"N/A","Y"),IF(INDEX(Entities!$G$5:$G$34,MATCH(B1062,Entities!$A$5:$A$34,0))="Y","Y","N/A")))</f>
        <v>Y</v>
      </c>
      <c r="J1062" s="8" t="s">
        <v>3372</v>
      </c>
      <c r="K1062" s="8" t="s">
        <v>3316</v>
      </c>
      <c r="L1062" s="7" t="str">
        <f aca="false">IF(OR(J1062="",K1062=""),"",IF(J1062=K1062,"Breach","OK"))</f>
        <v>OK</v>
      </c>
      <c r="M1062" s="24" t="n">
        <v>1</v>
      </c>
      <c r="N1062" s="50" t="n">
        <v>46030</v>
      </c>
      <c r="O1062" s="8" t="s">
        <v>545</v>
      </c>
      <c r="P1062" s="24" t="n">
        <v>3</v>
      </c>
      <c r="Q1062" s="31" t="n">
        <f aca="false">IF(I1062="N/A","",IFERROR(INDEX('Residual Config'!$B$35:$B$42,MATCH(H1062,'Residual Config'!$A$35:$A$42,0)),""))</f>
        <v>3</v>
      </c>
      <c r="R1062" s="24" t="n">
        <v>0</v>
      </c>
      <c r="S1062" s="8" t="s">
        <v>516</v>
      </c>
      <c r="T1062" s="31" t="n">
        <f aca="false">IF(S1062="","",MATCH(S1062,'Residual Config'!$L$9:$L$12,0))</f>
        <v>1</v>
      </c>
      <c r="U1062" s="8" t="s">
        <v>3379</v>
      </c>
      <c r="V1062" s="24" t="n">
        <v>6</v>
      </c>
      <c r="W1062" s="33" t="s">
        <v>533</v>
      </c>
      <c r="X1062" s="8" t="s">
        <v>760</v>
      </c>
      <c r="Y1062" s="51" t="n">
        <f aca="false">IF(N1062="","",EDATE(N1062,IF(G1062="N",INDEX('Residual Config'!$B$31:$D$31,1,MATCH(D1062,'Residual Config'!$B$27:$D$27,0)),INDEX('Residual Config'!$B$28:$D$30,IF(T1062=1,1,IF(T1062=4,3,2)),MATCH(D1062,'Residual Config'!$B$27:$D$27,0)))))</f>
        <v>46395</v>
      </c>
      <c r="Z1062" s="7" t="str">
        <f aca="false">IF(I1062="N/A","N/A",IF(N1062="","Not tested",IF(W1062="Rejected","Evidence rejected",IF(W1062&lt;&gt;"Accepted","Evidence pending",IF(Y1062&lt;'Residual Config'!$C$4,"Overdue","Current")))))</f>
        <v>Current</v>
      </c>
      <c r="AA1062" s="34" t="n">
        <f aca="false">IF(I1062="N/A","",IF(Z1062&lt;&gt;"Current",4,IF(MAX(M1062,T1062)=0,4,MAX(M1062,T1062))))</f>
        <v>1</v>
      </c>
      <c r="AB1062" s="7" t="str">
        <f aca="false">IF(AA1062="","N/A",IF(Z1062&lt;&gt;"Current","Not tested / overdue",INDEX('Residual Config'!$B$11:$B$14,AA1062)))</f>
        <v>Effective</v>
      </c>
      <c r="AC1062" s="36" t="n">
        <f aca="false">IF(AA1062="","",INDEX('Residual Config'!$D$11:$D$14,AA1062))</f>
        <v>0.6</v>
      </c>
      <c r="AD1062" s="7" t="str">
        <f aca="false">IF(OR(I1062="N/A",P1062="",Q1062=""),"",IF(P1062&gt;=Q1062,"Yes","No"))</f>
        <v>Yes</v>
      </c>
      <c r="AE1062" s="8"/>
    </row>
    <row r="1063" customFormat="false" ht="15" hidden="false" customHeight="false" outlineLevel="0" collapsed="false">
      <c r="A1063" s="12" t="s">
        <v>3380</v>
      </c>
      <c r="B1063" s="26" t="str">
        <f aca="false">Entities!$A$29</f>
        <v>IT</v>
      </c>
      <c r="C1063" s="12" t="str">
        <f aca="false">INDEX(Entities!$B$5:$B$34,MATCH(B1063,Entities!$A$5:$A$34,0))</f>
        <v>Arab Bank – Italy</v>
      </c>
      <c r="D1063" s="7" t="str">
        <f aca="false">INDEX(Entities!$F$5:$F$34,MATCH(B1063,Entities!$A$5:$A$34,0))</f>
        <v>Tier 3</v>
      </c>
      <c r="E1063" s="26" t="str">
        <f aca="false">'Control Library'!$A$31</f>
        <v>CTL-CON-01</v>
      </c>
      <c r="F1063" s="12" t="str">
        <f aca="false">INDEX('Control Library'!$B$5:$B$47,MATCH(E1063,'Control Library'!$A$5:$A$47,0))</f>
        <v>New product approval and suitability assessment</v>
      </c>
      <c r="G1063" s="7" t="str">
        <f aca="false">INDEX('Control Library'!$F$5:$F$47,MATCH(E1063,'Control Library'!$A$5:$A$47,0))</f>
        <v>Y</v>
      </c>
      <c r="H1063" s="12" t="str">
        <f aca="false">INDEX('Control Library'!$E$5:$E$47,MATCH(E1063,'Control Library'!$A$5:$A$47,0))</f>
        <v>Event-driven</v>
      </c>
      <c r="I1063" s="7" t="str">
        <f aca="false">IF(INDEX('Control Library'!$I$5:$I$47,MATCH(E1063,'Control Library'!$A$5:$A$47,0))="All","Y",IF(INDEX('Control Library'!$I$5:$I$47,MATCH(E1063,'Control Library'!$A$5:$A$47,0))="Banks only",IF(COUNTIF('Residual Config'!$L$28:$L$30,INDEX(Entities!$E$5:$E$34,MATCH(B1063,Entities!$A$5:$A$34,0)))&gt;0,"N/A","Y"),IF(INDEX(Entities!$G$5:$G$34,MATCH(B1063,Entities!$A$5:$A$34,0))="Y","Y","N/A")))</f>
        <v>Y</v>
      </c>
      <c r="J1063" s="8" t="s">
        <v>3319</v>
      </c>
      <c r="K1063" s="8" t="s">
        <v>3316</v>
      </c>
      <c r="L1063" s="7" t="str">
        <f aca="false">IF(OR(J1063="",K1063=""),"",IF(J1063=K1063,"Breach","OK"))</f>
        <v>OK</v>
      </c>
      <c r="M1063" s="24" t="n">
        <v>1</v>
      </c>
      <c r="N1063" s="50" t="n">
        <v>46013</v>
      </c>
      <c r="O1063" s="8" t="s">
        <v>546</v>
      </c>
      <c r="P1063" s="24" t="n">
        <v>35</v>
      </c>
      <c r="Q1063" s="31" t="n">
        <f aca="false">IF(I1063="N/A","",IFERROR(INDEX('Residual Config'!$B$35:$B$42,MATCH(H1063,'Residual Config'!$A$35:$A$42,0)),""))</f>
        <v>25</v>
      </c>
      <c r="R1063" s="24" t="n">
        <v>0</v>
      </c>
      <c r="S1063" s="8" t="s">
        <v>516</v>
      </c>
      <c r="T1063" s="31" t="n">
        <f aca="false">IF(S1063="","",MATCH(S1063,'Residual Config'!$L$9:$L$12,0))</f>
        <v>1</v>
      </c>
      <c r="U1063" s="8" t="s">
        <v>3381</v>
      </c>
      <c r="V1063" s="24" t="n">
        <v>2</v>
      </c>
      <c r="W1063" s="33" t="s">
        <v>533</v>
      </c>
      <c r="X1063" s="8" t="s">
        <v>760</v>
      </c>
      <c r="Y1063" s="51" t="n">
        <f aca="false">IF(N1063="","",EDATE(N1063,IF(G1063="N",INDEX('Residual Config'!$B$31:$D$31,1,MATCH(D1063,'Residual Config'!$B$27:$D$27,0)),INDEX('Residual Config'!$B$28:$D$30,IF(T1063=1,1,IF(T1063=4,3,2)),MATCH(D1063,'Residual Config'!$B$27:$D$27,0)))))</f>
        <v>46378</v>
      </c>
      <c r="Z1063" s="7" t="str">
        <f aca="false">IF(I1063="N/A","N/A",IF(N1063="","Not tested",IF(W1063="Rejected","Evidence rejected",IF(W1063&lt;&gt;"Accepted","Evidence pending",IF(Y1063&lt;'Residual Config'!$C$4,"Overdue","Current")))))</f>
        <v>Current</v>
      </c>
      <c r="AA1063" s="34" t="n">
        <f aca="false">IF(I1063="N/A","",IF(Z1063&lt;&gt;"Current",4,IF(MAX(M1063,T1063)=0,4,MAX(M1063,T1063))))</f>
        <v>1</v>
      </c>
      <c r="AB1063" s="7" t="str">
        <f aca="false">IF(AA1063="","N/A",IF(Z1063&lt;&gt;"Current","Not tested / overdue",INDEX('Residual Config'!$B$11:$B$14,AA1063)))</f>
        <v>Effective</v>
      </c>
      <c r="AC1063" s="36" t="n">
        <f aca="false">IF(AA1063="","",INDEX('Residual Config'!$D$11:$D$14,AA1063))</f>
        <v>0.6</v>
      </c>
      <c r="AD1063" s="7" t="str">
        <f aca="false">IF(OR(I1063="N/A",P1063="",Q1063=""),"",IF(P1063&gt;=Q1063,"Yes","No"))</f>
        <v>Yes</v>
      </c>
      <c r="AE1063" s="8"/>
    </row>
    <row r="1064" customFormat="false" ht="15" hidden="false" customHeight="false" outlineLevel="0" collapsed="false">
      <c r="A1064" s="12" t="s">
        <v>3382</v>
      </c>
      <c r="B1064" s="26" t="str">
        <f aca="false">Entities!$A$29</f>
        <v>IT</v>
      </c>
      <c r="C1064" s="12" t="str">
        <f aca="false">INDEX(Entities!$B$5:$B$34,MATCH(B1064,Entities!$A$5:$A$34,0))</f>
        <v>Arab Bank – Italy</v>
      </c>
      <c r="D1064" s="7" t="str">
        <f aca="false">INDEX(Entities!$F$5:$F$34,MATCH(B1064,Entities!$A$5:$A$34,0))</f>
        <v>Tier 3</v>
      </c>
      <c r="E1064" s="26" t="str">
        <f aca="false">'Control Library'!$A$32</f>
        <v>CTL-CON-02</v>
      </c>
      <c r="F1064" s="12" t="str">
        <f aca="false">INDEX('Control Library'!$B$5:$B$47,MATCH(E1064,'Control Library'!$A$5:$A$47,0))</f>
        <v>Complaints handling and root-cause analysis</v>
      </c>
      <c r="G1064" s="7" t="str">
        <f aca="false">INDEX('Control Library'!$F$5:$F$47,MATCH(E1064,'Control Library'!$A$5:$A$47,0))</f>
        <v>N</v>
      </c>
      <c r="H1064" s="12" t="str">
        <f aca="false">INDEX('Control Library'!$E$5:$E$47,MATCH(E1064,'Control Library'!$A$5:$A$47,0))</f>
        <v>Monthly</v>
      </c>
      <c r="I1064" s="7" t="str">
        <f aca="false">IF(INDEX('Control Library'!$I$5:$I$47,MATCH(E1064,'Control Library'!$A$5:$A$47,0))="All","Y",IF(INDEX('Control Library'!$I$5:$I$47,MATCH(E1064,'Control Library'!$A$5:$A$47,0))="Banks only",IF(COUNTIF('Residual Config'!$L$28:$L$30,INDEX(Entities!$E$5:$E$34,MATCH(B1064,Entities!$A$5:$A$34,0)))&gt;0,"N/A","Y"),IF(INDEX(Entities!$G$5:$G$34,MATCH(B1064,Entities!$A$5:$A$34,0))="Y","Y","N/A")))</f>
        <v>Y</v>
      </c>
      <c r="J1064" s="8" t="s">
        <v>3383</v>
      </c>
      <c r="K1064" s="8" t="s">
        <v>3316</v>
      </c>
      <c r="L1064" s="7" t="str">
        <f aca="false">IF(OR(J1064="",K1064=""),"",IF(J1064=K1064,"Breach","OK"))</f>
        <v>OK</v>
      </c>
      <c r="M1064" s="24" t="n">
        <v>1</v>
      </c>
      <c r="N1064" s="50" t="n">
        <v>45768</v>
      </c>
      <c r="O1064" s="8" t="s">
        <v>546</v>
      </c>
      <c r="P1064" s="24" t="n">
        <v>3</v>
      </c>
      <c r="Q1064" s="31" t="n">
        <f aca="false">IF(I1064="N/A","",IFERROR(INDEX('Residual Config'!$B$35:$B$42,MATCH(H1064,'Residual Config'!$A$35:$A$42,0)),""))</f>
        <v>3</v>
      </c>
      <c r="R1064" s="24" t="n">
        <v>0</v>
      </c>
      <c r="S1064" s="8" t="s">
        <v>516</v>
      </c>
      <c r="T1064" s="31" t="n">
        <f aca="false">IF(S1064="","",MATCH(S1064,'Residual Config'!$L$9:$L$12,0))</f>
        <v>1</v>
      </c>
      <c r="U1064" s="8" t="s">
        <v>3384</v>
      </c>
      <c r="V1064" s="24" t="n">
        <v>6</v>
      </c>
      <c r="W1064" s="33" t="s">
        <v>533</v>
      </c>
      <c r="X1064" s="8" t="s">
        <v>760</v>
      </c>
      <c r="Y1064" s="51" t="n">
        <f aca="false">IF(N1064="","",EDATE(N1064,IF(G1064="N",INDEX('Residual Config'!$B$31:$D$31,1,MATCH(D1064,'Residual Config'!$B$27:$D$27,0)),INDEX('Residual Config'!$B$28:$D$30,IF(T1064=1,1,IF(T1064=4,3,2)),MATCH(D1064,'Residual Config'!$B$27:$D$27,0)))))</f>
        <v>46498</v>
      </c>
      <c r="Z1064" s="7" t="str">
        <f aca="false">IF(I1064="N/A","N/A",IF(N1064="","Not tested",IF(W1064="Rejected","Evidence rejected",IF(W1064&lt;&gt;"Accepted","Evidence pending",IF(Y1064&lt;'Residual Config'!$C$4,"Overdue","Current")))))</f>
        <v>Current</v>
      </c>
      <c r="AA1064" s="34" t="n">
        <f aca="false">IF(I1064="N/A","",IF(Z1064&lt;&gt;"Current",4,IF(MAX(M1064,T1064)=0,4,MAX(M1064,T1064))))</f>
        <v>1</v>
      </c>
      <c r="AB1064" s="7" t="str">
        <f aca="false">IF(AA1064="","N/A",IF(Z1064&lt;&gt;"Current","Not tested / overdue",INDEX('Residual Config'!$B$11:$B$14,AA1064)))</f>
        <v>Effective</v>
      </c>
      <c r="AC1064" s="36" t="n">
        <f aca="false">IF(AA1064="","",INDEX('Residual Config'!$D$11:$D$14,AA1064))</f>
        <v>0.6</v>
      </c>
      <c r="AD1064" s="7" t="str">
        <f aca="false">IF(OR(I1064="N/A",P1064="",Q1064=""),"",IF(P1064&gt;=Q1064,"Yes","No"))</f>
        <v>Yes</v>
      </c>
      <c r="AE1064" s="8"/>
    </row>
    <row r="1065" customFormat="false" ht="15" hidden="false" customHeight="false" outlineLevel="0" collapsed="false">
      <c r="A1065" s="12" t="s">
        <v>3385</v>
      </c>
      <c r="B1065" s="26" t="str">
        <f aca="false">Entities!$A$29</f>
        <v>IT</v>
      </c>
      <c r="C1065" s="12" t="str">
        <f aca="false">INDEX(Entities!$B$5:$B$34,MATCH(B1065,Entities!$A$5:$A$34,0))</f>
        <v>Arab Bank – Italy</v>
      </c>
      <c r="D1065" s="7" t="str">
        <f aca="false">INDEX(Entities!$F$5:$F$34,MATCH(B1065,Entities!$A$5:$A$34,0))</f>
        <v>Tier 3</v>
      </c>
      <c r="E1065" s="26" t="str">
        <f aca="false">'Control Library'!$A$33</f>
        <v>CTL-DP-01</v>
      </c>
      <c r="F1065" s="12" t="str">
        <f aca="false">INDEX('Control Library'!$B$5:$B$47,MATCH(E1065,'Control Library'!$A$5:$A$47,0))</f>
        <v>Data protection impact assessments and processing records</v>
      </c>
      <c r="G1065" s="7" t="str">
        <f aca="false">INDEX('Control Library'!$F$5:$F$47,MATCH(E1065,'Control Library'!$A$5:$A$47,0))</f>
        <v>Y</v>
      </c>
      <c r="H1065" s="12" t="str">
        <f aca="false">INDEX('Control Library'!$E$5:$E$47,MATCH(E1065,'Control Library'!$A$5:$A$47,0))</f>
        <v>Event-driven</v>
      </c>
      <c r="I1065" s="7" t="str">
        <f aca="false">IF(INDEX('Control Library'!$I$5:$I$47,MATCH(E1065,'Control Library'!$A$5:$A$47,0))="All","Y",IF(INDEX('Control Library'!$I$5:$I$47,MATCH(E1065,'Control Library'!$A$5:$A$47,0))="Banks only",IF(COUNTIF('Residual Config'!$L$28:$L$30,INDEX(Entities!$E$5:$E$34,MATCH(B1065,Entities!$A$5:$A$34,0)))&gt;0,"N/A","Y"),IF(INDEX(Entities!$G$5:$G$34,MATCH(B1065,Entities!$A$5:$A$34,0))="Y","Y","N/A")))</f>
        <v>Y</v>
      </c>
      <c r="J1065" s="8" t="s">
        <v>3386</v>
      </c>
      <c r="K1065" s="8" t="s">
        <v>3316</v>
      </c>
      <c r="L1065" s="7" t="str">
        <f aca="false">IF(OR(J1065="",K1065=""),"",IF(J1065=K1065,"Breach","OK"))</f>
        <v>OK</v>
      </c>
      <c r="M1065" s="24" t="n">
        <v>2</v>
      </c>
      <c r="N1065" s="50" t="n">
        <v>46092</v>
      </c>
      <c r="O1065" s="8" t="s">
        <v>545</v>
      </c>
      <c r="P1065" s="24" t="n">
        <v>30</v>
      </c>
      <c r="Q1065" s="31" t="n">
        <f aca="false">IF(I1065="N/A","",IFERROR(INDEX('Residual Config'!$B$35:$B$42,MATCH(H1065,'Residual Config'!$A$35:$A$42,0)),""))</f>
        <v>25</v>
      </c>
      <c r="R1065" s="24" t="n">
        <v>0</v>
      </c>
      <c r="S1065" s="8" t="s">
        <v>516</v>
      </c>
      <c r="T1065" s="31" t="n">
        <f aca="false">IF(S1065="","",MATCH(S1065,'Residual Config'!$L$9:$L$12,0))</f>
        <v>1</v>
      </c>
      <c r="U1065" s="8" t="s">
        <v>3387</v>
      </c>
      <c r="V1065" s="24" t="n">
        <v>1</v>
      </c>
      <c r="W1065" s="33" t="s">
        <v>533</v>
      </c>
      <c r="X1065" s="8" t="s">
        <v>760</v>
      </c>
      <c r="Y1065" s="51" t="n">
        <f aca="false">IF(N1065="","",EDATE(N1065,IF(G1065="N",INDEX('Residual Config'!$B$31:$D$31,1,MATCH(D1065,'Residual Config'!$B$27:$D$27,0)),INDEX('Residual Config'!$B$28:$D$30,IF(T1065=1,1,IF(T1065=4,3,2)),MATCH(D1065,'Residual Config'!$B$27:$D$27,0)))))</f>
        <v>46457</v>
      </c>
      <c r="Z1065" s="7" t="str">
        <f aca="false">IF(I1065="N/A","N/A",IF(N1065="","Not tested",IF(W1065="Rejected","Evidence rejected",IF(W1065&lt;&gt;"Accepted","Evidence pending",IF(Y1065&lt;'Residual Config'!$C$4,"Overdue","Current")))))</f>
        <v>Current</v>
      </c>
      <c r="AA1065" s="34" t="n">
        <f aca="false">IF(I1065="N/A","",IF(Z1065&lt;&gt;"Current",4,IF(MAX(M1065,T1065)=0,4,MAX(M1065,T1065))))</f>
        <v>2</v>
      </c>
      <c r="AB1065" s="7" t="str">
        <f aca="false">IF(AA1065="","N/A",IF(Z1065&lt;&gt;"Current","Not tested / overdue",INDEX('Residual Config'!$B$11:$B$14,AA1065)))</f>
        <v>Largely effective</v>
      </c>
      <c r="AC1065" s="36" t="n">
        <f aca="false">IF(AA1065="","",INDEX('Residual Config'!$D$11:$D$14,AA1065))</f>
        <v>0.4</v>
      </c>
      <c r="AD1065" s="7" t="str">
        <f aca="false">IF(OR(I1065="N/A",P1065="",Q1065=""),"",IF(P1065&gt;=Q1065,"Yes","No"))</f>
        <v>Yes</v>
      </c>
      <c r="AE1065" s="8"/>
    </row>
    <row r="1066" customFormat="false" ht="15" hidden="false" customHeight="false" outlineLevel="0" collapsed="false">
      <c r="A1066" s="12" t="s">
        <v>3388</v>
      </c>
      <c r="B1066" s="26" t="str">
        <f aca="false">Entities!$A$29</f>
        <v>IT</v>
      </c>
      <c r="C1066" s="12" t="str">
        <f aca="false">INDEX(Entities!$B$5:$B$34,MATCH(B1066,Entities!$A$5:$A$34,0))</f>
        <v>Arab Bank – Italy</v>
      </c>
      <c r="D1066" s="7" t="str">
        <f aca="false">INDEX(Entities!$F$5:$F$34,MATCH(B1066,Entities!$A$5:$A$34,0))</f>
        <v>Tier 3</v>
      </c>
      <c r="E1066" s="26" t="str">
        <f aca="false">'Control Library'!$A$34</f>
        <v>CTL-DP-02</v>
      </c>
      <c r="F1066" s="12" t="str">
        <f aca="false">INDEX('Control Library'!$B$5:$B$47,MATCH(E1066,'Control Library'!$A$5:$A$47,0))</f>
        <v>Data loss prevention and quarterly access recertification</v>
      </c>
      <c r="G1066" s="7" t="str">
        <f aca="false">INDEX('Control Library'!$F$5:$F$47,MATCH(E1066,'Control Library'!$A$5:$A$47,0))</f>
        <v>Y</v>
      </c>
      <c r="H1066" s="12" t="str">
        <f aca="false">INDEX('Control Library'!$E$5:$E$47,MATCH(E1066,'Control Library'!$A$5:$A$47,0))</f>
        <v>Quarterly</v>
      </c>
      <c r="I1066" s="7" t="str">
        <f aca="false">IF(INDEX('Control Library'!$I$5:$I$47,MATCH(E1066,'Control Library'!$A$5:$A$47,0))="All","Y",IF(INDEX('Control Library'!$I$5:$I$47,MATCH(E1066,'Control Library'!$A$5:$A$47,0))="Banks only",IF(COUNTIF('Residual Config'!$L$28:$L$30,INDEX(Entities!$E$5:$E$34,MATCH(B1066,Entities!$A$5:$A$34,0)))&gt;0,"N/A","Y"),IF(INDEX(Entities!$G$5:$G$34,MATCH(B1066,Entities!$A$5:$A$34,0))="Y","Y","N/A")))</f>
        <v>Y</v>
      </c>
      <c r="J1066" s="8" t="s">
        <v>3389</v>
      </c>
      <c r="K1066" s="8" t="s">
        <v>3316</v>
      </c>
      <c r="L1066" s="7" t="str">
        <f aca="false">IF(OR(J1066="",K1066=""),"",IF(J1066=K1066,"Breach","OK"))</f>
        <v>OK</v>
      </c>
      <c r="M1066" s="24" t="n">
        <v>1</v>
      </c>
      <c r="N1066" s="50" t="n">
        <v>46065</v>
      </c>
      <c r="O1066" s="8" t="s">
        <v>545</v>
      </c>
      <c r="P1066" s="24" t="n">
        <v>2</v>
      </c>
      <c r="Q1066" s="31" t="n">
        <f aca="false">IF(I1066="N/A","",IFERROR(INDEX('Residual Config'!$B$35:$B$42,MATCH(H1066,'Residual Config'!$A$35:$A$42,0)),""))</f>
        <v>2</v>
      </c>
      <c r="R1066" s="24" t="n">
        <v>0</v>
      </c>
      <c r="S1066" s="8" t="s">
        <v>516</v>
      </c>
      <c r="T1066" s="31" t="n">
        <f aca="false">IF(S1066="","",MATCH(S1066,'Residual Config'!$L$9:$L$12,0))</f>
        <v>1</v>
      </c>
      <c r="U1066" s="8" t="s">
        <v>3390</v>
      </c>
      <c r="V1066" s="24" t="n">
        <v>2</v>
      </c>
      <c r="W1066" s="33" t="s">
        <v>536</v>
      </c>
      <c r="X1066" s="8"/>
      <c r="Y1066" s="51" t="n">
        <f aca="false">IF(N1066="","",EDATE(N1066,IF(G1066="N",INDEX('Residual Config'!$B$31:$D$31,1,MATCH(D1066,'Residual Config'!$B$27:$D$27,0)),INDEX('Residual Config'!$B$28:$D$30,IF(T1066=1,1,IF(T1066=4,3,2)),MATCH(D1066,'Residual Config'!$B$27:$D$27,0)))))</f>
        <v>46430</v>
      </c>
      <c r="Z1066" s="7" t="str">
        <f aca="false">IF(I1066="N/A","N/A",IF(N1066="","Not tested",IF(W1066="Rejected","Evidence rejected",IF(W1066&lt;&gt;"Accepted","Evidence pending",IF(Y1066&lt;'Residual Config'!$C$4,"Overdue","Current")))))</f>
        <v>Evidence pending</v>
      </c>
      <c r="AA1066" s="34" t="n">
        <f aca="false">IF(I1066="N/A","",IF(Z1066&lt;&gt;"Current",4,IF(MAX(M1066,T1066)=0,4,MAX(M1066,T1066))))</f>
        <v>4</v>
      </c>
      <c r="AB1066" s="7" t="str">
        <f aca="false">IF(AA1066="","N/A",IF(Z1066&lt;&gt;"Current","Not tested / overdue",INDEX('Residual Config'!$B$11:$B$14,AA1066)))</f>
        <v>Not tested / overdue</v>
      </c>
      <c r="AC1066" s="36" t="n">
        <f aca="false">IF(AA1066="","",INDEX('Residual Config'!$D$11:$D$14,AA1066))</f>
        <v>0</v>
      </c>
      <c r="AD1066" s="7" t="str">
        <f aca="false">IF(OR(I1066="N/A",P1066="",Q1066=""),"",IF(P1066&gt;=Q1066,"Yes","No"))</f>
        <v>Yes</v>
      </c>
      <c r="AE1066" s="8"/>
    </row>
    <row r="1067" customFormat="false" ht="15" hidden="false" customHeight="false" outlineLevel="0" collapsed="false">
      <c r="A1067" s="12" t="s">
        <v>3391</v>
      </c>
      <c r="B1067" s="26" t="str">
        <f aca="false">Entities!$A$29</f>
        <v>IT</v>
      </c>
      <c r="C1067" s="12" t="str">
        <f aca="false">INDEX(Entities!$B$5:$B$34,MATCH(B1067,Entities!$A$5:$A$34,0))</f>
        <v>Arab Bank – Italy</v>
      </c>
      <c r="D1067" s="7" t="str">
        <f aca="false">INDEX(Entities!$F$5:$F$34,MATCH(B1067,Entities!$A$5:$A$34,0))</f>
        <v>Tier 3</v>
      </c>
      <c r="E1067" s="26" t="str">
        <f aca="false">'Control Library'!$A$35</f>
        <v>CTL-SH-01</v>
      </c>
      <c r="F1067" s="12" t="str">
        <f aca="false">INDEX('Control Library'!$B$5:$B$47,MATCH(E1067,'Control Library'!$A$5:$A$47,0))</f>
        <v>Shariah review of products and income purification</v>
      </c>
      <c r="G1067" s="7" t="str">
        <f aca="false">INDEX('Control Library'!$F$5:$F$47,MATCH(E1067,'Control Library'!$A$5:$A$47,0))</f>
        <v>Y</v>
      </c>
      <c r="H1067" s="12" t="str">
        <f aca="false">INDEX('Control Library'!$E$5:$E$47,MATCH(E1067,'Control Library'!$A$5:$A$47,0))</f>
        <v>Quarterly</v>
      </c>
      <c r="I1067" s="7" t="str">
        <f aca="false">IF(INDEX('Control Library'!$I$5:$I$47,MATCH(E1067,'Control Library'!$A$5:$A$47,0))="All","Y",IF(INDEX('Control Library'!$I$5:$I$47,MATCH(E1067,'Control Library'!$A$5:$A$47,0))="Banks only",IF(COUNTIF('Residual Config'!$L$28:$L$30,INDEX(Entities!$E$5:$E$34,MATCH(B1067,Entities!$A$5:$A$34,0)))&gt;0,"N/A","Y"),IF(INDEX(Entities!$G$5:$G$34,MATCH(B1067,Entities!$A$5:$A$34,0))="Y","Y","N/A")))</f>
        <v>N/A</v>
      </c>
      <c r="J1067" s="8"/>
      <c r="K1067" s="8"/>
      <c r="L1067" s="7" t="str">
        <f aca="false">IF(OR(J1067="",K1067=""),"",IF(J1067=K1067,"Breach","OK"))</f>
        <v/>
      </c>
      <c r="M1067" s="24"/>
      <c r="N1067" s="50"/>
      <c r="O1067" s="8"/>
      <c r="P1067" s="24"/>
      <c r="Q1067" s="31" t="str">
        <f aca="false">IF(I1067="N/A","",IFERROR(INDEX('Residual Config'!$B$35:$B$42,MATCH(H1067,'Residual Config'!$A$35:$A$42,0)),""))</f>
        <v/>
      </c>
      <c r="R1067" s="24"/>
      <c r="S1067" s="8"/>
      <c r="T1067" s="31" t="str">
        <f aca="false">IF(S1067="","",MATCH(S1067,'Residual Config'!$L$9:$L$12,0))</f>
        <v/>
      </c>
      <c r="U1067" s="8"/>
      <c r="V1067" s="24"/>
      <c r="W1067" s="33"/>
      <c r="X1067" s="8"/>
      <c r="Y1067" s="51" t="str">
        <f aca="false">IF(N1067="","",EDATE(N1067,IF(G1067="N",INDEX('Residual Config'!$B$31:$D$31,1,MATCH(D1067,'Residual Config'!$B$27:$D$27,0)),INDEX('Residual Config'!$B$28:$D$30,IF(T1067=1,1,IF(T1067=4,3,2)),MATCH(D1067,'Residual Config'!$B$27:$D$27,0)))))</f>
        <v/>
      </c>
      <c r="Z1067" s="7" t="str">
        <f aca="false">IF(I1067="N/A","N/A",IF(N1067="","Not tested",IF(W1067="Rejected","Evidence rejected",IF(W1067&lt;&gt;"Accepted","Evidence pending",IF(Y1067&lt;'Residual Config'!$C$4,"Overdue","Current")))))</f>
        <v>N/A</v>
      </c>
      <c r="AA1067" s="34" t="str">
        <f aca="false">IF(I1067="N/A","",IF(Z1067&lt;&gt;"Current",4,IF(MAX(M1067,T1067)=0,4,MAX(M1067,T1067))))</f>
        <v/>
      </c>
      <c r="AB1067" s="7" t="str">
        <f aca="false">IF(AA1067="","N/A",IF(Z1067&lt;&gt;"Current","Not tested / overdue",INDEX('Residual Config'!$B$11:$B$14,AA1067)))</f>
        <v>N/A</v>
      </c>
      <c r="AC1067" s="36" t="str">
        <f aca="false">IF(AA1067="","",INDEX('Residual Config'!$D$11:$D$14,AA1067))</f>
        <v/>
      </c>
      <c r="AD1067" s="7" t="str">
        <f aca="false">IF(OR(I1067="N/A",P1067="",Q1067=""),"",IF(P1067&gt;=Q1067,"Yes","No"))</f>
        <v/>
      </c>
      <c r="AE1067" s="8"/>
    </row>
    <row r="1068" customFormat="false" ht="15" hidden="false" customHeight="false" outlineLevel="0" collapsed="false">
      <c r="A1068" s="12" t="s">
        <v>3392</v>
      </c>
      <c r="B1068" s="26" t="str">
        <f aca="false">Entities!$A$29</f>
        <v>IT</v>
      </c>
      <c r="C1068" s="12" t="str">
        <f aca="false">INDEX(Entities!$B$5:$B$34,MATCH(B1068,Entities!$A$5:$A$34,0))</f>
        <v>Arab Bank – Italy</v>
      </c>
      <c r="D1068" s="7" t="str">
        <f aca="false">INDEX(Entities!$F$5:$F$34,MATCH(B1068,Entities!$A$5:$A$34,0))</f>
        <v>Tier 3</v>
      </c>
      <c r="E1068" s="26" t="str">
        <f aca="false">'Control Library'!$A$36</f>
        <v>CTL-CR-01</v>
      </c>
      <c r="F1068" s="12" t="str">
        <f aca="false">INDEX('Control Library'!$B$5:$B$47,MATCH(E1068,'Control Library'!$A$5:$A$47,0))</f>
        <v>Credit approval authorities and committee review</v>
      </c>
      <c r="G1068" s="7" t="str">
        <f aca="false">INDEX('Control Library'!$F$5:$F$47,MATCH(E1068,'Control Library'!$A$5:$A$47,0))</f>
        <v>Y</v>
      </c>
      <c r="H1068" s="12" t="str">
        <f aca="false">INDEX('Control Library'!$E$5:$E$47,MATCH(E1068,'Control Library'!$A$5:$A$47,0))</f>
        <v>Event-driven</v>
      </c>
      <c r="I1068" s="7" t="str">
        <f aca="false">IF(INDEX('Control Library'!$I$5:$I$47,MATCH(E1068,'Control Library'!$A$5:$A$47,0))="All","Y",IF(INDEX('Control Library'!$I$5:$I$47,MATCH(E1068,'Control Library'!$A$5:$A$47,0))="Banks only",IF(COUNTIF('Residual Config'!$L$28:$L$30,INDEX(Entities!$E$5:$E$34,MATCH(B1068,Entities!$A$5:$A$34,0)))&gt;0,"N/A","Y"),IF(INDEX(Entities!$G$5:$G$34,MATCH(B1068,Entities!$A$5:$A$34,0))="Y","Y","N/A")))</f>
        <v>Y</v>
      </c>
      <c r="J1068" s="8" t="s">
        <v>3393</v>
      </c>
      <c r="K1068" s="8" t="s">
        <v>3316</v>
      </c>
      <c r="L1068" s="7" t="str">
        <f aca="false">IF(OR(J1068="",K1068=""),"",IF(J1068=K1068,"Breach","OK"))</f>
        <v>OK</v>
      </c>
      <c r="M1068" s="24" t="n">
        <v>2</v>
      </c>
      <c r="N1068" s="50" t="n">
        <v>46179</v>
      </c>
      <c r="O1068" s="8" t="s">
        <v>545</v>
      </c>
      <c r="P1068" s="24" t="n">
        <v>35</v>
      </c>
      <c r="Q1068" s="31" t="n">
        <f aca="false">IF(I1068="N/A","",IFERROR(INDEX('Residual Config'!$B$35:$B$42,MATCH(H1068,'Residual Config'!$A$35:$A$42,0)),""))</f>
        <v>25</v>
      </c>
      <c r="R1068" s="24" t="n">
        <v>0</v>
      </c>
      <c r="S1068" s="8" t="s">
        <v>516</v>
      </c>
      <c r="T1068" s="31" t="n">
        <f aca="false">IF(S1068="","",MATCH(S1068,'Residual Config'!$L$9:$L$12,0))</f>
        <v>1</v>
      </c>
      <c r="U1068" s="8" t="s">
        <v>3394</v>
      </c>
      <c r="V1068" s="24" t="n">
        <v>4</v>
      </c>
      <c r="W1068" s="33" t="s">
        <v>533</v>
      </c>
      <c r="X1068" s="8" t="s">
        <v>760</v>
      </c>
      <c r="Y1068" s="51" t="n">
        <f aca="false">IF(N1068="","",EDATE(N1068,IF(G1068="N",INDEX('Residual Config'!$B$31:$D$31,1,MATCH(D1068,'Residual Config'!$B$27:$D$27,0)),INDEX('Residual Config'!$B$28:$D$30,IF(T1068=1,1,IF(T1068=4,3,2)),MATCH(D1068,'Residual Config'!$B$27:$D$27,0)))))</f>
        <v>46544</v>
      </c>
      <c r="Z1068" s="7" t="str">
        <f aca="false">IF(I1068="N/A","N/A",IF(N1068="","Not tested",IF(W1068="Rejected","Evidence rejected",IF(W1068&lt;&gt;"Accepted","Evidence pending",IF(Y1068&lt;'Residual Config'!$C$4,"Overdue","Current")))))</f>
        <v>Current</v>
      </c>
      <c r="AA1068" s="34" t="n">
        <f aca="false">IF(I1068="N/A","",IF(Z1068&lt;&gt;"Current",4,IF(MAX(M1068,T1068)=0,4,MAX(M1068,T1068))))</f>
        <v>2</v>
      </c>
      <c r="AB1068" s="7" t="str">
        <f aca="false">IF(AA1068="","N/A",IF(Z1068&lt;&gt;"Current","Not tested / overdue",INDEX('Residual Config'!$B$11:$B$14,AA1068)))</f>
        <v>Largely effective</v>
      </c>
      <c r="AC1068" s="36" t="n">
        <f aca="false">IF(AA1068="","",INDEX('Residual Config'!$D$11:$D$14,AA1068))</f>
        <v>0.4</v>
      </c>
      <c r="AD1068" s="7" t="str">
        <f aca="false">IF(OR(I1068="N/A",P1068="",Q1068=""),"",IF(P1068&gt;=Q1068,"Yes","No"))</f>
        <v>Yes</v>
      </c>
      <c r="AE1068" s="8"/>
    </row>
    <row r="1069" customFormat="false" ht="15" hidden="false" customHeight="false" outlineLevel="0" collapsed="false">
      <c r="A1069" s="12" t="s">
        <v>3395</v>
      </c>
      <c r="B1069" s="26" t="str">
        <f aca="false">Entities!$A$29</f>
        <v>IT</v>
      </c>
      <c r="C1069" s="12" t="str">
        <f aca="false">INDEX(Entities!$B$5:$B$34,MATCH(B1069,Entities!$A$5:$A$34,0))</f>
        <v>Arab Bank – Italy</v>
      </c>
      <c r="D1069" s="7" t="str">
        <f aca="false">INDEX(Entities!$F$5:$F$34,MATCH(B1069,Entities!$A$5:$A$34,0))</f>
        <v>Tier 3</v>
      </c>
      <c r="E1069" s="26" t="str">
        <f aca="false">'Control Library'!$A$37</f>
        <v>CTL-CR-02</v>
      </c>
      <c r="F1069" s="12" t="str">
        <f aca="false">INDEX('Control Library'!$B$5:$B$47,MATCH(E1069,'Control Library'!$A$5:$A$47,0))</f>
        <v>Collateral valuation and exposure limit monitoring</v>
      </c>
      <c r="G1069" s="7" t="str">
        <f aca="false">INDEX('Control Library'!$F$5:$F$47,MATCH(E1069,'Control Library'!$A$5:$A$47,0))</f>
        <v>N</v>
      </c>
      <c r="H1069" s="12" t="str">
        <f aca="false">INDEX('Control Library'!$E$5:$E$47,MATCH(E1069,'Control Library'!$A$5:$A$47,0))</f>
        <v>Monthly</v>
      </c>
      <c r="I1069" s="7" t="str">
        <f aca="false">IF(INDEX('Control Library'!$I$5:$I$47,MATCH(E1069,'Control Library'!$A$5:$A$47,0))="All","Y",IF(INDEX('Control Library'!$I$5:$I$47,MATCH(E1069,'Control Library'!$A$5:$A$47,0))="Banks only",IF(COUNTIF('Residual Config'!$L$28:$L$30,INDEX(Entities!$E$5:$E$34,MATCH(B1069,Entities!$A$5:$A$34,0)))&gt;0,"N/A","Y"),IF(INDEX(Entities!$G$5:$G$34,MATCH(B1069,Entities!$A$5:$A$34,0))="Y","Y","N/A")))</f>
        <v>Y</v>
      </c>
      <c r="J1069" s="8" t="s">
        <v>3396</v>
      </c>
      <c r="K1069" s="8" t="s">
        <v>3316</v>
      </c>
      <c r="L1069" s="7" t="str">
        <f aca="false">IF(OR(J1069="",K1069=""),"",IF(J1069=K1069,"Breach","OK"))</f>
        <v>OK</v>
      </c>
      <c r="M1069" s="24" t="n">
        <v>2</v>
      </c>
      <c r="N1069" s="50" t="n">
        <v>46113</v>
      </c>
      <c r="O1069" s="8" t="s">
        <v>545</v>
      </c>
      <c r="P1069" s="24" t="n">
        <v>3</v>
      </c>
      <c r="Q1069" s="31" t="n">
        <f aca="false">IF(I1069="N/A","",IFERROR(INDEX('Residual Config'!$B$35:$B$42,MATCH(H1069,'Residual Config'!$A$35:$A$42,0)),""))</f>
        <v>3</v>
      </c>
      <c r="R1069" s="24" t="n">
        <v>0</v>
      </c>
      <c r="S1069" s="8" t="s">
        <v>516</v>
      </c>
      <c r="T1069" s="31" t="n">
        <f aca="false">IF(S1069="","",MATCH(S1069,'Residual Config'!$L$9:$L$12,0))</f>
        <v>1</v>
      </c>
      <c r="U1069" s="8" t="s">
        <v>3397</v>
      </c>
      <c r="V1069" s="24" t="n">
        <v>2</v>
      </c>
      <c r="W1069" s="33" t="s">
        <v>533</v>
      </c>
      <c r="X1069" s="8" t="s">
        <v>760</v>
      </c>
      <c r="Y1069" s="51" t="n">
        <f aca="false">IF(N1069="","",EDATE(N1069,IF(G1069="N",INDEX('Residual Config'!$B$31:$D$31,1,MATCH(D1069,'Residual Config'!$B$27:$D$27,0)),INDEX('Residual Config'!$B$28:$D$30,IF(T1069=1,1,IF(T1069=4,3,2)),MATCH(D1069,'Residual Config'!$B$27:$D$27,0)))))</f>
        <v>46844</v>
      </c>
      <c r="Z1069" s="7" t="str">
        <f aca="false">IF(I1069="N/A","N/A",IF(N1069="","Not tested",IF(W1069="Rejected","Evidence rejected",IF(W1069&lt;&gt;"Accepted","Evidence pending",IF(Y1069&lt;'Residual Config'!$C$4,"Overdue","Current")))))</f>
        <v>Current</v>
      </c>
      <c r="AA1069" s="34" t="n">
        <f aca="false">IF(I1069="N/A","",IF(Z1069&lt;&gt;"Current",4,IF(MAX(M1069,T1069)=0,4,MAX(M1069,T1069))))</f>
        <v>2</v>
      </c>
      <c r="AB1069" s="7" t="str">
        <f aca="false">IF(AA1069="","N/A",IF(Z1069&lt;&gt;"Current","Not tested / overdue",INDEX('Residual Config'!$B$11:$B$14,AA1069)))</f>
        <v>Largely effective</v>
      </c>
      <c r="AC1069" s="36" t="n">
        <f aca="false">IF(AA1069="","",INDEX('Residual Config'!$D$11:$D$14,AA1069))</f>
        <v>0.4</v>
      </c>
      <c r="AD1069" s="7" t="str">
        <f aca="false">IF(OR(I1069="N/A",P1069="",Q1069=""),"",IF(P1069&gt;=Q1069,"Yes","No"))</f>
        <v>Yes</v>
      </c>
      <c r="AE1069" s="8"/>
    </row>
    <row r="1070" customFormat="false" ht="15" hidden="false" customHeight="false" outlineLevel="0" collapsed="false">
      <c r="A1070" s="12" t="s">
        <v>3398</v>
      </c>
      <c r="B1070" s="26" t="str">
        <f aca="false">Entities!$A$29</f>
        <v>IT</v>
      </c>
      <c r="C1070" s="12" t="str">
        <f aca="false">INDEX(Entities!$B$5:$B$34,MATCH(B1070,Entities!$A$5:$A$34,0))</f>
        <v>Arab Bank – Italy</v>
      </c>
      <c r="D1070" s="7" t="str">
        <f aca="false">INDEX(Entities!$F$5:$F$34,MATCH(B1070,Entities!$A$5:$A$34,0))</f>
        <v>Tier 3</v>
      </c>
      <c r="E1070" s="26" t="str">
        <f aca="false">'Control Library'!$A$38</f>
        <v>CTL-MR-01</v>
      </c>
      <c r="F1070" s="12" t="str">
        <f aca="false">INDEX('Control Library'!$B$5:$B$47,MATCH(E1070,'Control Library'!$A$5:$A$47,0))</f>
        <v>Market risk limits and daily VaR monitoring</v>
      </c>
      <c r="G1070" s="7" t="str">
        <f aca="false">INDEX('Control Library'!$F$5:$F$47,MATCH(E1070,'Control Library'!$A$5:$A$47,0))</f>
        <v>Y</v>
      </c>
      <c r="H1070" s="12" t="str">
        <f aca="false">INDEX('Control Library'!$E$5:$E$47,MATCH(E1070,'Control Library'!$A$5:$A$47,0))</f>
        <v>Daily</v>
      </c>
      <c r="I1070" s="7" t="str">
        <f aca="false">IF(INDEX('Control Library'!$I$5:$I$47,MATCH(E1070,'Control Library'!$A$5:$A$47,0))="All","Y",IF(INDEX('Control Library'!$I$5:$I$47,MATCH(E1070,'Control Library'!$A$5:$A$47,0))="Banks only",IF(COUNTIF('Residual Config'!$L$28:$L$30,INDEX(Entities!$E$5:$E$34,MATCH(B1070,Entities!$A$5:$A$34,0)))&gt;0,"N/A","Y"),IF(INDEX(Entities!$G$5:$G$34,MATCH(B1070,Entities!$A$5:$A$34,0))="Y","Y","N/A")))</f>
        <v>Y</v>
      </c>
      <c r="J1070" s="8" t="s">
        <v>3396</v>
      </c>
      <c r="K1070" s="8" t="s">
        <v>3316</v>
      </c>
      <c r="L1070" s="7" t="str">
        <f aca="false">IF(OR(J1070="",K1070=""),"",IF(J1070=K1070,"Breach","OK"))</f>
        <v>OK</v>
      </c>
      <c r="M1070" s="24" t="n">
        <v>1</v>
      </c>
      <c r="N1070" s="50" t="n">
        <v>46285</v>
      </c>
      <c r="O1070" s="8" t="s">
        <v>546</v>
      </c>
      <c r="P1070" s="24" t="n">
        <v>30</v>
      </c>
      <c r="Q1070" s="31" t="n">
        <f aca="false">IF(I1070="N/A","",IFERROR(INDEX('Residual Config'!$B$35:$B$42,MATCH(H1070,'Residual Config'!$A$35:$A$42,0)),""))</f>
        <v>25</v>
      </c>
      <c r="R1070" s="24" t="n">
        <v>1</v>
      </c>
      <c r="S1070" s="8" t="s">
        <v>521</v>
      </c>
      <c r="T1070" s="31" t="n">
        <f aca="false">IF(S1070="","",MATCH(S1070,'Residual Config'!$L$9:$L$12,0))</f>
        <v>2</v>
      </c>
      <c r="U1070" s="8" t="s">
        <v>3399</v>
      </c>
      <c r="V1070" s="24" t="n">
        <v>4</v>
      </c>
      <c r="W1070" s="33" t="s">
        <v>533</v>
      </c>
      <c r="X1070" s="8" t="s">
        <v>754</v>
      </c>
      <c r="Y1070" s="51" t="n">
        <f aca="false">IF(N1070="","",EDATE(N1070,IF(G1070="N",INDEX('Residual Config'!$B$31:$D$31,1,MATCH(D1070,'Residual Config'!$B$27:$D$27,0)),INDEX('Residual Config'!$B$28:$D$30,IF(T1070=1,1,IF(T1070=4,3,2)),MATCH(D1070,'Residual Config'!$B$27:$D$27,0)))))</f>
        <v>46466</v>
      </c>
      <c r="Z1070" s="7" t="str">
        <f aca="false">IF(I1070="N/A","N/A",IF(N1070="","Not tested",IF(W1070="Rejected","Evidence rejected",IF(W1070&lt;&gt;"Accepted","Evidence pending",IF(Y1070&lt;'Residual Config'!$C$4,"Overdue","Current")))))</f>
        <v>Current</v>
      </c>
      <c r="AA1070" s="34" t="n">
        <f aca="false">IF(I1070="N/A","",IF(Z1070&lt;&gt;"Current",4,IF(MAX(M1070,T1070)=0,4,MAX(M1070,T1070))))</f>
        <v>2</v>
      </c>
      <c r="AB1070" s="7" t="str">
        <f aca="false">IF(AA1070="","N/A",IF(Z1070&lt;&gt;"Current","Not tested / overdue",INDEX('Residual Config'!$B$11:$B$14,AA1070)))</f>
        <v>Largely effective</v>
      </c>
      <c r="AC1070" s="36" t="n">
        <f aca="false">IF(AA1070="","",INDEX('Residual Config'!$D$11:$D$14,AA1070))</f>
        <v>0.4</v>
      </c>
      <c r="AD1070" s="7" t="str">
        <f aca="false">IF(OR(I1070="N/A",P1070="",Q1070=""),"",IF(P1070&gt;=Q1070,"Yes","No"))</f>
        <v>Yes</v>
      </c>
      <c r="AE1070" s="8"/>
    </row>
    <row r="1071" customFormat="false" ht="15" hidden="false" customHeight="false" outlineLevel="0" collapsed="false">
      <c r="A1071" s="12" t="s">
        <v>3400</v>
      </c>
      <c r="B1071" s="26" t="str">
        <f aca="false">Entities!$A$29</f>
        <v>IT</v>
      </c>
      <c r="C1071" s="12" t="str">
        <f aca="false">INDEX(Entities!$B$5:$B$34,MATCH(B1071,Entities!$A$5:$A$34,0))</f>
        <v>Arab Bank – Italy</v>
      </c>
      <c r="D1071" s="7" t="str">
        <f aca="false">INDEX(Entities!$F$5:$F$34,MATCH(B1071,Entities!$A$5:$A$34,0))</f>
        <v>Tier 3</v>
      </c>
      <c r="E1071" s="26" t="str">
        <f aca="false">'Control Library'!$A$39</f>
        <v>CTL-LQ-01</v>
      </c>
      <c r="F1071" s="12" t="str">
        <f aca="false">INDEX('Control Library'!$B$5:$B$47,MATCH(E1071,'Control Library'!$A$5:$A$47,0))</f>
        <v>Liquidity buffers, LCR/NSFR monitoring and contingency funding plan</v>
      </c>
      <c r="G1071" s="7" t="str">
        <f aca="false">INDEX('Control Library'!$F$5:$F$47,MATCH(E1071,'Control Library'!$A$5:$A$47,0))</f>
        <v>Y</v>
      </c>
      <c r="H1071" s="12" t="str">
        <f aca="false">INDEX('Control Library'!$E$5:$E$47,MATCH(E1071,'Control Library'!$A$5:$A$47,0))</f>
        <v>Daily</v>
      </c>
      <c r="I1071" s="7" t="str">
        <f aca="false">IF(INDEX('Control Library'!$I$5:$I$47,MATCH(E1071,'Control Library'!$A$5:$A$47,0))="All","Y",IF(INDEX('Control Library'!$I$5:$I$47,MATCH(E1071,'Control Library'!$A$5:$A$47,0))="Banks only",IF(COUNTIF('Residual Config'!$L$28:$L$30,INDEX(Entities!$E$5:$E$34,MATCH(B1071,Entities!$A$5:$A$34,0)))&gt;0,"N/A","Y"),IF(INDEX(Entities!$G$5:$G$34,MATCH(B1071,Entities!$A$5:$A$34,0))="Y","Y","N/A")))</f>
        <v>Y</v>
      </c>
      <c r="J1071" s="8" t="s">
        <v>3401</v>
      </c>
      <c r="K1071" s="8" t="s">
        <v>3316</v>
      </c>
      <c r="L1071" s="7" t="str">
        <f aca="false">IF(OR(J1071="",K1071=""),"",IF(J1071=K1071,"Breach","OK"))</f>
        <v>OK</v>
      </c>
      <c r="M1071" s="24" t="n">
        <v>2</v>
      </c>
      <c r="N1071" s="50" t="n">
        <v>46220</v>
      </c>
      <c r="O1071" s="8" t="s">
        <v>546</v>
      </c>
      <c r="P1071" s="24" t="n">
        <v>25</v>
      </c>
      <c r="Q1071" s="31" t="n">
        <f aca="false">IF(I1071="N/A","",IFERROR(INDEX('Residual Config'!$B$35:$B$42,MATCH(H1071,'Residual Config'!$A$35:$A$42,0)),""))</f>
        <v>25</v>
      </c>
      <c r="R1071" s="24" t="n">
        <v>0</v>
      </c>
      <c r="S1071" s="8" t="s">
        <v>516</v>
      </c>
      <c r="T1071" s="31" t="n">
        <f aca="false">IF(S1071="","",MATCH(S1071,'Residual Config'!$L$9:$L$12,0))</f>
        <v>1</v>
      </c>
      <c r="U1071" s="8" t="s">
        <v>3402</v>
      </c>
      <c r="V1071" s="24" t="n">
        <v>2</v>
      </c>
      <c r="W1071" s="33" t="s">
        <v>533</v>
      </c>
      <c r="X1071" s="8" t="s">
        <v>754</v>
      </c>
      <c r="Y1071" s="51" t="n">
        <f aca="false">IF(N1071="","",EDATE(N1071,IF(G1071="N",INDEX('Residual Config'!$B$31:$D$31,1,MATCH(D1071,'Residual Config'!$B$27:$D$27,0)),INDEX('Residual Config'!$B$28:$D$30,IF(T1071=1,1,IF(T1071=4,3,2)),MATCH(D1071,'Residual Config'!$B$27:$D$27,0)))))</f>
        <v>46585</v>
      </c>
      <c r="Z1071" s="7" t="str">
        <f aca="false">IF(I1071="N/A","N/A",IF(N1071="","Not tested",IF(W1071="Rejected","Evidence rejected",IF(W1071&lt;&gt;"Accepted","Evidence pending",IF(Y1071&lt;'Residual Config'!$C$4,"Overdue","Current")))))</f>
        <v>Current</v>
      </c>
      <c r="AA1071" s="34" t="n">
        <f aca="false">IF(I1071="N/A","",IF(Z1071&lt;&gt;"Current",4,IF(MAX(M1071,T1071)=0,4,MAX(M1071,T1071))))</f>
        <v>2</v>
      </c>
      <c r="AB1071" s="7" t="str">
        <f aca="false">IF(AA1071="","N/A",IF(Z1071&lt;&gt;"Current","Not tested / overdue",INDEX('Residual Config'!$B$11:$B$14,AA1071)))</f>
        <v>Largely effective</v>
      </c>
      <c r="AC1071" s="36" t="n">
        <f aca="false">IF(AA1071="","",INDEX('Residual Config'!$D$11:$D$14,AA1071))</f>
        <v>0.4</v>
      </c>
      <c r="AD1071" s="7" t="str">
        <f aca="false">IF(OR(I1071="N/A",P1071="",Q1071=""),"",IF(P1071&gt;=Q1071,"Yes","No"))</f>
        <v>Yes</v>
      </c>
      <c r="AE1071" s="8"/>
    </row>
    <row r="1072" customFormat="false" ht="15" hidden="false" customHeight="false" outlineLevel="0" collapsed="false">
      <c r="A1072" s="12" t="s">
        <v>3403</v>
      </c>
      <c r="B1072" s="26" t="str">
        <f aca="false">Entities!$A$29</f>
        <v>IT</v>
      </c>
      <c r="C1072" s="12" t="str">
        <f aca="false">INDEX(Entities!$B$5:$B$34,MATCH(B1072,Entities!$A$5:$A$34,0))</f>
        <v>Arab Bank – Italy</v>
      </c>
      <c r="D1072" s="7" t="str">
        <f aca="false">INDEX(Entities!$F$5:$F$34,MATCH(B1072,Entities!$A$5:$A$34,0))</f>
        <v>Tier 3</v>
      </c>
      <c r="E1072" s="26" t="str">
        <f aca="false">'Control Library'!$A$40</f>
        <v>CTL-OR-01</v>
      </c>
      <c r="F1072" s="12" t="str">
        <f aca="false">INDEX('Control Library'!$B$5:$B$47,MATCH(E1072,'Control Library'!$A$5:$A$47,0))</f>
        <v>Business continuity plans and annual testing</v>
      </c>
      <c r="G1072" s="7" t="str">
        <f aca="false">INDEX('Control Library'!$F$5:$F$47,MATCH(E1072,'Control Library'!$A$5:$A$47,0))</f>
        <v>Y</v>
      </c>
      <c r="H1072" s="12" t="str">
        <f aca="false">INDEX('Control Library'!$E$5:$E$47,MATCH(E1072,'Control Library'!$A$5:$A$47,0))</f>
        <v>Annual</v>
      </c>
      <c r="I1072" s="7" t="str">
        <f aca="false">IF(INDEX('Control Library'!$I$5:$I$47,MATCH(E1072,'Control Library'!$A$5:$A$47,0))="All","Y",IF(INDEX('Control Library'!$I$5:$I$47,MATCH(E1072,'Control Library'!$A$5:$A$47,0))="Banks only",IF(COUNTIF('Residual Config'!$L$28:$L$30,INDEX(Entities!$E$5:$E$34,MATCH(B1072,Entities!$A$5:$A$34,0)))&gt;0,"N/A","Y"),IF(INDEX(Entities!$G$5:$G$34,MATCH(B1072,Entities!$A$5:$A$34,0))="Y","Y","N/A")))</f>
        <v>Y</v>
      </c>
      <c r="J1072" s="8" t="s">
        <v>3404</v>
      </c>
      <c r="K1072" s="8" t="s">
        <v>3316</v>
      </c>
      <c r="L1072" s="7" t="str">
        <f aca="false">IF(OR(J1072="",K1072=""),"",IF(J1072=K1072,"Breach","OK"))</f>
        <v>OK</v>
      </c>
      <c r="M1072" s="24" t="n">
        <v>1</v>
      </c>
      <c r="N1072" s="50" t="n">
        <v>46203</v>
      </c>
      <c r="O1072" s="8" t="s">
        <v>545</v>
      </c>
      <c r="P1072" s="24" t="n">
        <v>1</v>
      </c>
      <c r="Q1072" s="31" t="n">
        <f aca="false">IF(I1072="N/A","",IFERROR(INDEX('Residual Config'!$B$35:$B$42,MATCH(H1072,'Residual Config'!$A$35:$A$42,0)),""))</f>
        <v>1</v>
      </c>
      <c r="R1072" s="24" t="n">
        <v>0</v>
      </c>
      <c r="S1072" s="8" t="s">
        <v>516</v>
      </c>
      <c r="T1072" s="31" t="n">
        <f aca="false">IF(S1072="","",MATCH(S1072,'Residual Config'!$L$9:$L$12,0))</f>
        <v>1</v>
      </c>
      <c r="U1072" s="8" t="s">
        <v>3405</v>
      </c>
      <c r="V1072" s="24" t="n">
        <v>1</v>
      </c>
      <c r="W1072" s="33" t="s">
        <v>533</v>
      </c>
      <c r="X1072" s="8" t="s">
        <v>754</v>
      </c>
      <c r="Y1072" s="51" t="n">
        <f aca="false">IF(N1072="","",EDATE(N1072,IF(G1072="N",INDEX('Residual Config'!$B$31:$D$31,1,MATCH(D1072,'Residual Config'!$B$27:$D$27,0)),INDEX('Residual Config'!$B$28:$D$30,IF(T1072=1,1,IF(T1072=4,3,2)),MATCH(D1072,'Residual Config'!$B$27:$D$27,0)))))</f>
        <v>46568</v>
      </c>
      <c r="Z1072" s="7" t="str">
        <f aca="false">IF(I1072="N/A","N/A",IF(N1072="","Not tested",IF(W1072="Rejected","Evidence rejected",IF(W1072&lt;&gt;"Accepted","Evidence pending",IF(Y1072&lt;'Residual Config'!$C$4,"Overdue","Current")))))</f>
        <v>Current</v>
      </c>
      <c r="AA1072" s="34" t="n">
        <f aca="false">IF(I1072="N/A","",IF(Z1072&lt;&gt;"Current",4,IF(MAX(M1072,T1072)=0,4,MAX(M1072,T1072))))</f>
        <v>1</v>
      </c>
      <c r="AB1072" s="7" t="str">
        <f aca="false">IF(AA1072="","N/A",IF(Z1072&lt;&gt;"Current","Not tested / overdue",INDEX('Residual Config'!$B$11:$B$14,AA1072)))</f>
        <v>Effective</v>
      </c>
      <c r="AC1072" s="36" t="n">
        <f aca="false">IF(AA1072="","",INDEX('Residual Config'!$D$11:$D$14,AA1072))</f>
        <v>0.6</v>
      </c>
      <c r="AD1072" s="7" t="str">
        <f aca="false">IF(OR(I1072="N/A",P1072="",Q1072=""),"",IF(P1072&gt;=Q1072,"Yes","No"))</f>
        <v>Yes</v>
      </c>
      <c r="AE1072" s="8"/>
    </row>
    <row r="1073" customFormat="false" ht="15" hidden="false" customHeight="false" outlineLevel="0" collapsed="false">
      <c r="A1073" s="12" t="s">
        <v>3406</v>
      </c>
      <c r="B1073" s="26" t="str">
        <f aca="false">Entities!$A$29</f>
        <v>IT</v>
      </c>
      <c r="C1073" s="12" t="str">
        <f aca="false">INDEX(Entities!$B$5:$B$34,MATCH(B1073,Entities!$A$5:$A$34,0))</f>
        <v>Arab Bank – Italy</v>
      </c>
      <c r="D1073" s="7" t="str">
        <f aca="false">INDEX(Entities!$F$5:$F$34,MATCH(B1073,Entities!$A$5:$A$34,0))</f>
        <v>Tier 3</v>
      </c>
      <c r="E1073" s="26" t="str">
        <f aca="false">'Control Library'!$A$41</f>
        <v>CTL-OR-02</v>
      </c>
      <c r="F1073" s="12" t="str">
        <f aca="false">INDEX('Control Library'!$B$5:$B$47,MATCH(E1073,'Control Library'!$A$5:$A$47,0))</f>
        <v>Operational loss event capture and RCSA</v>
      </c>
      <c r="G1073" s="7" t="str">
        <f aca="false">INDEX('Control Library'!$F$5:$F$47,MATCH(E1073,'Control Library'!$A$5:$A$47,0))</f>
        <v>N</v>
      </c>
      <c r="H1073" s="12" t="str">
        <f aca="false">INDEX('Control Library'!$E$5:$E$47,MATCH(E1073,'Control Library'!$A$5:$A$47,0))</f>
        <v>Quarterly</v>
      </c>
      <c r="I1073" s="7" t="str">
        <f aca="false">IF(INDEX('Control Library'!$I$5:$I$47,MATCH(E1073,'Control Library'!$A$5:$A$47,0))="All","Y",IF(INDEX('Control Library'!$I$5:$I$47,MATCH(E1073,'Control Library'!$A$5:$A$47,0))="Banks only",IF(COUNTIF('Residual Config'!$L$28:$L$30,INDEX(Entities!$E$5:$E$34,MATCH(B1073,Entities!$A$5:$A$34,0)))&gt;0,"N/A","Y"),IF(INDEX(Entities!$G$5:$G$34,MATCH(B1073,Entities!$A$5:$A$34,0))="Y","Y","N/A")))</f>
        <v>Y</v>
      </c>
      <c r="J1073" s="8" t="s">
        <v>3396</v>
      </c>
      <c r="K1073" s="8" t="s">
        <v>3316</v>
      </c>
      <c r="L1073" s="7" t="str">
        <f aca="false">IF(OR(J1073="",K1073=""),"",IF(J1073=K1073,"Breach","OK"))</f>
        <v>OK</v>
      </c>
      <c r="M1073" s="24" t="n">
        <v>1</v>
      </c>
      <c r="N1073" s="50" t="n">
        <v>45475</v>
      </c>
      <c r="O1073" s="8" t="s">
        <v>546</v>
      </c>
      <c r="P1073" s="24" t="n">
        <v>2</v>
      </c>
      <c r="Q1073" s="31" t="n">
        <f aca="false">IF(I1073="N/A","",IFERROR(INDEX('Residual Config'!$B$35:$B$42,MATCH(H1073,'Residual Config'!$A$35:$A$42,0)),""))</f>
        <v>2</v>
      </c>
      <c r="R1073" s="24" t="n">
        <v>1</v>
      </c>
      <c r="S1073" s="8" t="s">
        <v>521</v>
      </c>
      <c r="T1073" s="31" t="n">
        <f aca="false">IF(S1073="","",MATCH(S1073,'Residual Config'!$L$9:$L$12,0))</f>
        <v>2</v>
      </c>
      <c r="U1073" s="8" t="s">
        <v>3407</v>
      </c>
      <c r="V1073" s="24" t="n">
        <v>4</v>
      </c>
      <c r="W1073" s="33" t="s">
        <v>533</v>
      </c>
      <c r="X1073" s="8" t="s">
        <v>754</v>
      </c>
      <c r="Y1073" s="51" t="n">
        <f aca="false">IF(N1073="","",EDATE(N1073,IF(G1073="N",INDEX('Residual Config'!$B$31:$D$31,1,MATCH(D1073,'Residual Config'!$B$27:$D$27,0)),INDEX('Residual Config'!$B$28:$D$30,IF(T1073=1,1,IF(T1073=4,3,2)),MATCH(D1073,'Residual Config'!$B$27:$D$27,0)))))</f>
        <v>46205</v>
      </c>
      <c r="Z1073" s="7" t="str">
        <f aca="false">IF(I1073="N/A","N/A",IF(N1073="","Not tested",IF(W1073="Rejected","Evidence rejected",IF(W1073&lt;&gt;"Accepted","Evidence pending",IF(Y1073&lt;'Residual Config'!$C$4,"Overdue","Current")))))</f>
        <v>Overdue</v>
      </c>
      <c r="AA1073" s="34" t="n">
        <f aca="false">IF(I1073="N/A","",IF(Z1073&lt;&gt;"Current",4,IF(MAX(M1073,T1073)=0,4,MAX(M1073,T1073))))</f>
        <v>4</v>
      </c>
      <c r="AB1073" s="7" t="str">
        <f aca="false">IF(AA1073="","N/A",IF(Z1073&lt;&gt;"Current","Not tested / overdue",INDEX('Residual Config'!$B$11:$B$14,AA1073)))</f>
        <v>Not tested / overdue</v>
      </c>
      <c r="AC1073" s="36" t="n">
        <f aca="false">IF(AA1073="","",INDEX('Residual Config'!$D$11:$D$14,AA1073))</f>
        <v>0</v>
      </c>
      <c r="AD1073" s="7" t="str">
        <f aca="false">IF(OR(I1073="N/A",P1073="",Q1073=""),"",IF(P1073&gt;=Q1073,"Yes","No"))</f>
        <v>Yes</v>
      </c>
      <c r="AE1073" s="8"/>
    </row>
    <row r="1074" customFormat="false" ht="15" hidden="false" customHeight="false" outlineLevel="0" collapsed="false">
      <c r="A1074" s="12" t="s">
        <v>3408</v>
      </c>
      <c r="B1074" s="26" t="str">
        <f aca="false">Entities!$A$29</f>
        <v>IT</v>
      </c>
      <c r="C1074" s="12" t="str">
        <f aca="false">INDEX(Entities!$B$5:$B$34,MATCH(B1074,Entities!$A$5:$A$34,0))</f>
        <v>Arab Bank – Italy</v>
      </c>
      <c r="D1074" s="7" t="str">
        <f aca="false">INDEX(Entities!$F$5:$F$34,MATCH(B1074,Entities!$A$5:$A$34,0))</f>
        <v>Tier 3</v>
      </c>
      <c r="E1074" s="26" t="str">
        <f aca="false">'Control Library'!$A$42</f>
        <v>CTL-CY-01</v>
      </c>
      <c r="F1074" s="12" t="str">
        <f aca="false">INDEX('Control Library'!$B$5:$B$47,MATCH(E1074,'Control Library'!$A$5:$A$47,0))</f>
        <v>Vulnerability and patch management</v>
      </c>
      <c r="G1074" s="7" t="str">
        <f aca="false">INDEX('Control Library'!$F$5:$F$47,MATCH(E1074,'Control Library'!$A$5:$A$47,0))</f>
        <v>Y</v>
      </c>
      <c r="H1074" s="12" t="str">
        <f aca="false">INDEX('Control Library'!$E$5:$E$47,MATCH(E1074,'Control Library'!$A$5:$A$47,0))</f>
        <v>Monthly</v>
      </c>
      <c r="I1074" s="7" t="str">
        <f aca="false">IF(INDEX('Control Library'!$I$5:$I$47,MATCH(E1074,'Control Library'!$A$5:$A$47,0))="All","Y",IF(INDEX('Control Library'!$I$5:$I$47,MATCH(E1074,'Control Library'!$A$5:$A$47,0))="Banks only",IF(COUNTIF('Residual Config'!$L$28:$L$30,INDEX(Entities!$E$5:$E$34,MATCH(B1074,Entities!$A$5:$A$34,0)))&gt;0,"N/A","Y"),IF(INDEX(Entities!$G$5:$G$34,MATCH(B1074,Entities!$A$5:$A$34,0))="Y","Y","N/A")))</f>
        <v>Y</v>
      </c>
      <c r="J1074" s="8" t="s">
        <v>3340</v>
      </c>
      <c r="K1074" s="8" t="s">
        <v>3316</v>
      </c>
      <c r="L1074" s="7" t="str">
        <f aca="false">IF(OR(J1074="",K1074=""),"",IF(J1074=K1074,"Breach","OK"))</f>
        <v>OK</v>
      </c>
      <c r="M1074" s="24" t="n">
        <v>1</v>
      </c>
      <c r="N1074" s="50" t="n">
        <v>46212</v>
      </c>
      <c r="O1074" s="8" t="s">
        <v>545</v>
      </c>
      <c r="P1074" s="24" t="n">
        <v>3</v>
      </c>
      <c r="Q1074" s="31" t="n">
        <f aca="false">IF(I1074="N/A","",IFERROR(INDEX('Residual Config'!$B$35:$B$42,MATCH(H1074,'Residual Config'!$A$35:$A$42,0)),""))</f>
        <v>3</v>
      </c>
      <c r="R1074" s="24" t="n">
        <v>0</v>
      </c>
      <c r="S1074" s="8" t="s">
        <v>516</v>
      </c>
      <c r="T1074" s="31" t="n">
        <f aca="false">IF(S1074="","",MATCH(S1074,'Residual Config'!$L$9:$L$12,0))</f>
        <v>1</v>
      </c>
      <c r="U1074" s="8" t="s">
        <v>3409</v>
      </c>
      <c r="V1074" s="24" t="n">
        <v>4</v>
      </c>
      <c r="W1074" s="33" t="s">
        <v>533</v>
      </c>
      <c r="X1074" s="8" t="s">
        <v>754</v>
      </c>
      <c r="Y1074" s="51" t="n">
        <f aca="false">IF(N1074="","",EDATE(N1074,IF(G1074="N",INDEX('Residual Config'!$B$31:$D$31,1,MATCH(D1074,'Residual Config'!$B$27:$D$27,0)),INDEX('Residual Config'!$B$28:$D$30,IF(T1074=1,1,IF(T1074=4,3,2)),MATCH(D1074,'Residual Config'!$B$27:$D$27,0)))))</f>
        <v>46577</v>
      </c>
      <c r="Z1074" s="7" t="str">
        <f aca="false">IF(I1074="N/A","N/A",IF(N1074="","Not tested",IF(W1074="Rejected","Evidence rejected",IF(W1074&lt;&gt;"Accepted","Evidence pending",IF(Y1074&lt;'Residual Config'!$C$4,"Overdue","Current")))))</f>
        <v>Current</v>
      </c>
      <c r="AA1074" s="34" t="n">
        <f aca="false">IF(I1074="N/A","",IF(Z1074&lt;&gt;"Current",4,IF(MAX(M1074,T1074)=0,4,MAX(M1074,T1074))))</f>
        <v>1</v>
      </c>
      <c r="AB1074" s="7" t="str">
        <f aca="false">IF(AA1074="","N/A",IF(Z1074&lt;&gt;"Current","Not tested / overdue",INDEX('Residual Config'!$B$11:$B$14,AA1074)))</f>
        <v>Effective</v>
      </c>
      <c r="AC1074" s="36" t="n">
        <f aca="false">IF(AA1074="","",INDEX('Residual Config'!$D$11:$D$14,AA1074))</f>
        <v>0.6</v>
      </c>
      <c r="AD1074" s="7" t="str">
        <f aca="false">IF(OR(I1074="N/A",P1074="",Q1074=""),"",IF(P1074&gt;=Q1074,"Yes","No"))</f>
        <v>Yes</v>
      </c>
      <c r="AE1074" s="8"/>
    </row>
    <row r="1075" customFormat="false" ht="15" hidden="false" customHeight="false" outlineLevel="0" collapsed="false">
      <c r="A1075" s="12" t="s">
        <v>3410</v>
      </c>
      <c r="B1075" s="26" t="str">
        <f aca="false">Entities!$A$29</f>
        <v>IT</v>
      </c>
      <c r="C1075" s="12" t="str">
        <f aca="false">INDEX(Entities!$B$5:$B$34,MATCH(B1075,Entities!$A$5:$A$34,0))</f>
        <v>Arab Bank – Italy</v>
      </c>
      <c r="D1075" s="7" t="str">
        <f aca="false">INDEX(Entities!$F$5:$F$34,MATCH(B1075,Entities!$A$5:$A$34,0))</f>
        <v>Tier 3</v>
      </c>
      <c r="E1075" s="26" t="str">
        <f aca="false">'Control Library'!$A$43</f>
        <v>CTL-CY-02</v>
      </c>
      <c r="F1075" s="12" t="str">
        <f aca="false">INDEX('Control Library'!$B$5:$B$47,MATCH(E1075,'Control Library'!$A$5:$A$47,0))</f>
        <v>Privileged access management and SOC monitoring</v>
      </c>
      <c r="G1075" s="7" t="str">
        <f aca="false">INDEX('Control Library'!$F$5:$F$47,MATCH(E1075,'Control Library'!$A$5:$A$47,0))</f>
        <v>Y</v>
      </c>
      <c r="H1075" s="12" t="str">
        <f aca="false">INDEX('Control Library'!$E$5:$E$47,MATCH(E1075,'Control Library'!$A$5:$A$47,0))</f>
        <v>Continuous</v>
      </c>
      <c r="I1075" s="7" t="str">
        <f aca="false">IF(INDEX('Control Library'!$I$5:$I$47,MATCH(E1075,'Control Library'!$A$5:$A$47,0))="All","Y",IF(INDEX('Control Library'!$I$5:$I$47,MATCH(E1075,'Control Library'!$A$5:$A$47,0))="Banks only",IF(COUNTIF('Residual Config'!$L$28:$L$30,INDEX(Entities!$E$5:$E$34,MATCH(B1075,Entities!$A$5:$A$34,0)))&gt;0,"N/A","Y"),IF(INDEX(Entities!$G$5:$G$34,MATCH(B1075,Entities!$A$5:$A$34,0))="Y","Y","N/A")))</f>
        <v>Y</v>
      </c>
      <c r="J1075" s="8" t="s">
        <v>3389</v>
      </c>
      <c r="K1075" s="8" t="s">
        <v>3316</v>
      </c>
      <c r="L1075" s="7" t="str">
        <f aca="false">IF(OR(J1075="",K1075=""),"",IF(J1075=K1075,"Breach","OK"))</f>
        <v>OK</v>
      </c>
      <c r="M1075" s="24" t="n">
        <v>1</v>
      </c>
      <c r="N1075" s="50" t="n">
        <v>46040</v>
      </c>
      <c r="O1075" s="8" t="s">
        <v>546</v>
      </c>
      <c r="P1075" s="24" t="n">
        <v>1</v>
      </c>
      <c r="Q1075" s="31" t="n">
        <f aca="false">IF(I1075="N/A","",IFERROR(INDEX('Residual Config'!$B$35:$B$42,MATCH(H1075,'Residual Config'!$A$35:$A$42,0)),""))</f>
        <v>1</v>
      </c>
      <c r="R1075" s="24" t="n">
        <v>0</v>
      </c>
      <c r="S1075" s="8" t="s">
        <v>516</v>
      </c>
      <c r="T1075" s="31" t="n">
        <f aca="false">IF(S1075="","",MATCH(S1075,'Residual Config'!$L$9:$L$12,0))</f>
        <v>1</v>
      </c>
      <c r="U1075" s="8" t="s">
        <v>3411</v>
      </c>
      <c r="V1075" s="24" t="n">
        <v>6</v>
      </c>
      <c r="W1075" s="33" t="s">
        <v>533</v>
      </c>
      <c r="X1075" s="8" t="s">
        <v>754</v>
      </c>
      <c r="Y1075" s="51" t="n">
        <f aca="false">IF(N1075="","",EDATE(N1075,IF(G1075="N",INDEX('Residual Config'!$B$31:$D$31,1,MATCH(D1075,'Residual Config'!$B$27:$D$27,0)),INDEX('Residual Config'!$B$28:$D$30,IF(T1075=1,1,IF(T1075=4,3,2)),MATCH(D1075,'Residual Config'!$B$27:$D$27,0)))))</f>
        <v>46405</v>
      </c>
      <c r="Z1075" s="7" t="str">
        <f aca="false">IF(I1075="N/A","N/A",IF(N1075="","Not tested",IF(W1075="Rejected","Evidence rejected",IF(W1075&lt;&gt;"Accepted","Evidence pending",IF(Y1075&lt;'Residual Config'!$C$4,"Overdue","Current")))))</f>
        <v>Current</v>
      </c>
      <c r="AA1075" s="34" t="n">
        <f aca="false">IF(I1075="N/A","",IF(Z1075&lt;&gt;"Current",4,IF(MAX(M1075,T1075)=0,4,MAX(M1075,T1075))))</f>
        <v>1</v>
      </c>
      <c r="AB1075" s="7" t="str">
        <f aca="false">IF(AA1075="","N/A",IF(Z1075&lt;&gt;"Current","Not tested / overdue",INDEX('Residual Config'!$B$11:$B$14,AA1075)))</f>
        <v>Effective</v>
      </c>
      <c r="AC1075" s="36" t="n">
        <f aca="false">IF(AA1075="","",INDEX('Residual Config'!$D$11:$D$14,AA1075))</f>
        <v>0.6</v>
      </c>
      <c r="AD1075" s="7" t="str">
        <f aca="false">IF(OR(I1075="N/A",P1075="",Q1075=""),"",IF(P1075&gt;=Q1075,"Yes","No"))</f>
        <v>Yes</v>
      </c>
      <c r="AE1075" s="8"/>
    </row>
    <row r="1076" customFormat="false" ht="15" hidden="false" customHeight="false" outlineLevel="0" collapsed="false">
      <c r="A1076" s="12" t="s">
        <v>3412</v>
      </c>
      <c r="B1076" s="26" t="str">
        <f aca="false">Entities!$A$29</f>
        <v>IT</v>
      </c>
      <c r="C1076" s="12" t="str">
        <f aca="false">INDEX(Entities!$B$5:$B$34,MATCH(B1076,Entities!$A$5:$A$34,0))</f>
        <v>Arab Bank – Italy</v>
      </c>
      <c r="D1076" s="7" t="str">
        <f aca="false">INDEX(Entities!$F$5:$F$34,MATCH(B1076,Entities!$A$5:$A$34,0))</f>
        <v>Tier 3</v>
      </c>
      <c r="E1076" s="26" t="str">
        <f aca="false">'Control Library'!$A$44</f>
        <v>CTL-TP-01</v>
      </c>
      <c r="F1076" s="12" t="str">
        <f aca="false">INDEX('Control Library'!$B$5:$B$47,MATCH(E1076,'Control Library'!$A$5:$A$47,0))</f>
        <v>Critical vendor due diligence and tested exit plans</v>
      </c>
      <c r="G1076" s="7" t="str">
        <f aca="false">INDEX('Control Library'!$F$5:$F$47,MATCH(E1076,'Control Library'!$A$5:$A$47,0))</f>
        <v>Y</v>
      </c>
      <c r="H1076" s="12" t="str">
        <f aca="false">INDEX('Control Library'!$E$5:$E$47,MATCH(E1076,'Control Library'!$A$5:$A$47,0))</f>
        <v>Annual</v>
      </c>
      <c r="I1076" s="7" t="str">
        <f aca="false">IF(INDEX('Control Library'!$I$5:$I$47,MATCH(E1076,'Control Library'!$A$5:$A$47,0))="All","Y",IF(INDEX('Control Library'!$I$5:$I$47,MATCH(E1076,'Control Library'!$A$5:$A$47,0))="Banks only",IF(COUNTIF('Residual Config'!$L$28:$L$30,INDEX(Entities!$E$5:$E$34,MATCH(B1076,Entities!$A$5:$A$34,0)))&gt;0,"N/A","Y"),IF(INDEX(Entities!$G$5:$G$34,MATCH(B1076,Entities!$A$5:$A$34,0))="Y","Y","N/A")))</f>
        <v>Y</v>
      </c>
      <c r="J1076" s="8" t="s">
        <v>3357</v>
      </c>
      <c r="K1076" s="8" t="s">
        <v>3316</v>
      </c>
      <c r="L1076" s="7" t="str">
        <f aca="false">IF(OR(J1076="",K1076=""),"",IF(J1076=K1076,"Breach","OK"))</f>
        <v>OK</v>
      </c>
      <c r="M1076" s="24" t="n">
        <v>2</v>
      </c>
      <c r="N1076" s="50" t="n">
        <v>46257</v>
      </c>
      <c r="O1076" s="8" t="s">
        <v>546</v>
      </c>
      <c r="P1076" s="24" t="n">
        <v>1</v>
      </c>
      <c r="Q1076" s="31" t="n">
        <f aca="false">IF(I1076="N/A","",IFERROR(INDEX('Residual Config'!$B$35:$B$42,MATCH(H1076,'Residual Config'!$A$35:$A$42,0)),""))</f>
        <v>1</v>
      </c>
      <c r="R1076" s="24" t="n">
        <v>1</v>
      </c>
      <c r="S1076" s="8" t="s">
        <v>521</v>
      </c>
      <c r="T1076" s="31" t="n">
        <f aca="false">IF(S1076="","",MATCH(S1076,'Residual Config'!$L$9:$L$12,0))</f>
        <v>2</v>
      </c>
      <c r="U1076" s="8" t="s">
        <v>3413</v>
      </c>
      <c r="V1076" s="24" t="n">
        <v>6</v>
      </c>
      <c r="W1076" s="33" t="s">
        <v>533</v>
      </c>
      <c r="X1076" s="8" t="s">
        <v>760</v>
      </c>
      <c r="Y1076" s="51" t="n">
        <f aca="false">IF(N1076="","",EDATE(N1076,IF(G1076="N",INDEX('Residual Config'!$B$31:$D$31,1,MATCH(D1076,'Residual Config'!$B$27:$D$27,0)),INDEX('Residual Config'!$B$28:$D$30,IF(T1076=1,1,IF(T1076=4,3,2)),MATCH(D1076,'Residual Config'!$B$27:$D$27,0)))))</f>
        <v>46441</v>
      </c>
      <c r="Z1076" s="7" t="str">
        <f aca="false">IF(I1076="N/A","N/A",IF(N1076="","Not tested",IF(W1076="Rejected","Evidence rejected",IF(W1076&lt;&gt;"Accepted","Evidence pending",IF(Y1076&lt;'Residual Config'!$C$4,"Overdue","Current")))))</f>
        <v>Current</v>
      </c>
      <c r="AA1076" s="34" t="n">
        <f aca="false">IF(I1076="N/A","",IF(Z1076&lt;&gt;"Current",4,IF(MAX(M1076,T1076)=0,4,MAX(M1076,T1076))))</f>
        <v>2</v>
      </c>
      <c r="AB1076" s="7" t="str">
        <f aca="false">IF(AA1076="","N/A",IF(Z1076&lt;&gt;"Current","Not tested / overdue",INDEX('Residual Config'!$B$11:$B$14,AA1076)))</f>
        <v>Largely effective</v>
      </c>
      <c r="AC1076" s="36" t="n">
        <f aca="false">IF(AA1076="","",INDEX('Residual Config'!$D$11:$D$14,AA1076))</f>
        <v>0.4</v>
      </c>
      <c r="AD1076" s="7" t="str">
        <f aca="false">IF(OR(I1076="N/A",P1076="",Q1076=""),"",IF(P1076&gt;=Q1076,"Yes","No"))</f>
        <v>Yes</v>
      </c>
      <c r="AE1076" s="8"/>
    </row>
    <row r="1077" customFormat="false" ht="15" hidden="false" customHeight="false" outlineLevel="0" collapsed="false">
      <c r="A1077" s="12" t="s">
        <v>3414</v>
      </c>
      <c r="B1077" s="26" t="str">
        <f aca="false">Entities!$A$29</f>
        <v>IT</v>
      </c>
      <c r="C1077" s="12" t="str">
        <f aca="false">INDEX(Entities!$B$5:$B$34,MATCH(B1077,Entities!$A$5:$A$34,0))</f>
        <v>Arab Bank – Italy</v>
      </c>
      <c r="D1077" s="7" t="str">
        <f aca="false">INDEX(Entities!$F$5:$F$34,MATCH(B1077,Entities!$A$5:$A$34,0))</f>
        <v>Tier 3</v>
      </c>
      <c r="E1077" s="26" t="str">
        <f aca="false">'Control Library'!$A$45</f>
        <v>CTL-LG-01</v>
      </c>
      <c r="F1077" s="12" t="str">
        <f aca="false">INDEX('Control Library'!$B$5:$B$47,MATCH(E1077,'Control Library'!$A$5:$A$47,0))</f>
        <v>Legal review of contracts and litigation register</v>
      </c>
      <c r="G1077" s="7" t="str">
        <f aca="false">INDEX('Control Library'!$F$5:$F$47,MATCH(E1077,'Control Library'!$A$5:$A$47,0))</f>
        <v>Y</v>
      </c>
      <c r="H1077" s="12" t="str">
        <f aca="false">INDEX('Control Library'!$E$5:$E$47,MATCH(E1077,'Control Library'!$A$5:$A$47,0))</f>
        <v>Event-driven</v>
      </c>
      <c r="I1077" s="7" t="str">
        <f aca="false">IF(INDEX('Control Library'!$I$5:$I$47,MATCH(E1077,'Control Library'!$A$5:$A$47,0))="All","Y",IF(INDEX('Control Library'!$I$5:$I$47,MATCH(E1077,'Control Library'!$A$5:$A$47,0))="Banks only",IF(COUNTIF('Residual Config'!$L$28:$L$30,INDEX(Entities!$E$5:$E$34,MATCH(B1077,Entities!$A$5:$A$34,0)))&gt;0,"N/A","Y"),IF(INDEX(Entities!$G$5:$G$34,MATCH(B1077,Entities!$A$5:$A$34,0))="Y","Y","N/A")))</f>
        <v>Y</v>
      </c>
      <c r="J1077" s="8" t="s">
        <v>3415</v>
      </c>
      <c r="K1077" s="8" t="s">
        <v>3316</v>
      </c>
      <c r="L1077" s="7" t="str">
        <f aca="false">IF(OR(J1077="",K1077=""),"",IF(J1077=K1077,"Breach","OK"))</f>
        <v>OK</v>
      </c>
      <c r="M1077" s="24" t="n">
        <v>1</v>
      </c>
      <c r="N1077" s="50" t="n">
        <v>46246</v>
      </c>
      <c r="O1077" s="8" t="s">
        <v>546</v>
      </c>
      <c r="P1077" s="24" t="n">
        <v>25</v>
      </c>
      <c r="Q1077" s="31" t="n">
        <f aca="false">IF(I1077="N/A","",IFERROR(INDEX('Residual Config'!$B$35:$B$42,MATCH(H1077,'Residual Config'!$A$35:$A$42,0)),""))</f>
        <v>25</v>
      </c>
      <c r="R1077" s="24" t="n">
        <v>1</v>
      </c>
      <c r="S1077" s="8" t="s">
        <v>521</v>
      </c>
      <c r="T1077" s="31" t="n">
        <f aca="false">IF(S1077="","",MATCH(S1077,'Residual Config'!$L$9:$L$12,0))</f>
        <v>2</v>
      </c>
      <c r="U1077" s="8" t="s">
        <v>3416</v>
      </c>
      <c r="V1077" s="24" t="n">
        <v>2</v>
      </c>
      <c r="W1077" s="33" t="s">
        <v>533</v>
      </c>
      <c r="X1077" s="8" t="s">
        <v>760</v>
      </c>
      <c r="Y1077" s="51" t="n">
        <f aca="false">IF(N1077="","",EDATE(N1077,IF(G1077="N",INDEX('Residual Config'!$B$31:$D$31,1,MATCH(D1077,'Residual Config'!$B$27:$D$27,0)),INDEX('Residual Config'!$B$28:$D$30,IF(T1077=1,1,IF(T1077=4,3,2)),MATCH(D1077,'Residual Config'!$B$27:$D$27,0)))))</f>
        <v>46430</v>
      </c>
      <c r="Z1077" s="7" t="str">
        <f aca="false">IF(I1077="N/A","N/A",IF(N1077="","Not tested",IF(W1077="Rejected","Evidence rejected",IF(W1077&lt;&gt;"Accepted","Evidence pending",IF(Y1077&lt;'Residual Config'!$C$4,"Overdue","Current")))))</f>
        <v>Current</v>
      </c>
      <c r="AA1077" s="34" t="n">
        <f aca="false">IF(I1077="N/A","",IF(Z1077&lt;&gt;"Current",4,IF(MAX(M1077,T1077)=0,4,MAX(M1077,T1077))))</f>
        <v>2</v>
      </c>
      <c r="AB1077" s="7" t="str">
        <f aca="false">IF(AA1077="","N/A",IF(Z1077&lt;&gt;"Current","Not tested / overdue",INDEX('Residual Config'!$B$11:$B$14,AA1077)))</f>
        <v>Largely effective</v>
      </c>
      <c r="AC1077" s="36" t="n">
        <f aca="false">IF(AA1077="","",INDEX('Residual Config'!$D$11:$D$14,AA1077))</f>
        <v>0.4</v>
      </c>
      <c r="AD1077" s="7" t="str">
        <f aca="false">IF(OR(I1077="N/A",P1077="",Q1077=""),"",IF(P1077&gt;=Q1077,"Yes","No"))</f>
        <v>Yes</v>
      </c>
      <c r="AE1077" s="8"/>
    </row>
    <row r="1078" customFormat="false" ht="15" hidden="false" customHeight="false" outlineLevel="0" collapsed="false">
      <c r="A1078" s="12" t="s">
        <v>3417</v>
      </c>
      <c r="B1078" s="26" t="str">
        <f aca="false">Entities!$A$29</f>
        <v>IT</v>
      </c>
      <c r="C1078" s="12" t="str">
        <f aca="false">INDEX(Entities!$B$5:$B$34,MATCH(B1078,Entities!$A$5:$A$34,0))</f>
        <v>Arab Bank – Italy</v>
      </c>
      <c r="D1078" s="7" t="str">
        <f aca="false">INDEX(Entities!$F$5:$F$34,MATCH(B1078,Entities!$A$5:$A$34,0))</f>
        <v>Tier 3</v>
      </c>
      <c r="E1078" s="26" t="str">
        <f aca="false">'Control Library'!$A$46</f>
        <v>CTL-RP-01</v>
      </c>
      <c r="F1078" s="12" t="str">
        <f aca="false">INDEX('Control Library'!$B$5:$B$47,MATCH(E1078,'Control Library'!$A$5:$A$47,0))</f>
        <v>Media monitoring and reputational-risk escalation</v>
      </c>
      <c r="G1078" s="7" t="str">
        <f aca="false">INDEX('Control Library'!$F$5:$F$47,MATCH(E1078,'Control Library'!$A$5:$A$47,0))</f>
        <v>Y</v>
      </c>
      <c r="H1078" s="12" t="str">
        <f aca="false">INDEX('Control Library'!$E$5:$E$47,MATCH(E1078,'Control Library'!$A$5:$A$47,0))</f>
        <v>Daily</v>
      </c>
      <c r="I1078" s="7" t="str">
        <f aca="false">IF(INDEX('Control Library'!$I$5:$I$47,MATCH(E1078,'Control Library'!$A$5:$A$47,0))="All","Y",IF(INDEX('Control Library'!$I$5:$I$47,MATCH(E1078,'Control Library'!$A$5:$A$47,0))="Banks only",IF(COUNTIF('Residual Config'!$L$28:$L$30,INDEX(Entities!$E$5:$E$34,MATCH(B1078,Entities!$A$5:$A$34,0)))&gt;0,"N/A","Y"),IF(INDEX(Entities!$G$5:$G$34,MATCH(B1078,Entities!$A$5:$A$34,0))="Y","Y","N/A")))</f>
        <v>Y</v>
      </c>
      <c r="J1078" s="8" t="s">
        <v>3418</v>
      </c>
      <c r="K1078" s="8" t="s">
        <v>3316</v>
      </c>
      <c r="L1078" s="7" t="str">
        <f aca="false">IF(OR(J1078="",K1078=""),"",IF(J1078=K1078,"Breach","OK"))</f>
        <v>OK</v>
      </c>
      <c r="M1078" s="24" t="n">
        <v>2</v>
      </c>
      <c r="N1078" s="50" t="n">
        <v>46181</v>
      </c>
      <c r="O1078" s="8" t="s">
        <v>545</v>
      </c>
      <c r="P1078" s="24" t="n">
        <v>30</v>
      </c>
      <c r="Q1078" s="31" t="n">
        <f aca="false">IF(I1078="N/A","",IFERROR(INDEX('Residual Config'!$B$35:$B$42,MATCH(H1078,'Residual Config'!$A$35:$A$42,0)),""))</f>
        <v>25</v>
      </c>
      <c r="R1078" s="24" t="n">
        <v>0</v>
      </c>
      <c r="S1078" s="8" t="s">
        <v>516</v>
      </c>
      <c r="T1078" s="31" t="n">
        <f aca="false">IF(S1078="","",MATCH(S1078,'Residual Config'!$L$9:$L$12,0))</f>
        <v>1</v>
      </c>
      <c r="U1078" s="8" t="s">
        <v>3419</v>
      </c>
      <c r="V1078" s="24" t="n">
        <v>3</v>
      </c>
      <c r="W1078" s="33" t="s">
        <v>533</v>
      </c>
      <c r="X1078" s="8" t="s">
        <v>760</v>
      </c>
      <c r="Y1078" s="51" t="n">
        <f aca="false">IF(N1078="","",EDATE(N1078,IF(G1078="N",INDEX('Residual Config'!$B$31:$D$31,1,MATCH(D1078,'Residual Config'!$B$27:$D$27,0)),INDEX('Residual Config'!$B$28:$D$30,IF(T1078=1,1,IF(T1078=4,3,2)),MATCH(D1078,'Residual Config'!$B$27:$D$27,0)))))</f>
        <v>46546</v>
      </c>
      <c r="Z1078" s="7" t="str">
        <f aca="false">IF(I1078="N/A","N/A",IF(N1078="","Not tested",IF(W1078="Rejected","Evidence rejected",IF(W1078&lt;&gt;"Accepted","Evidence pending",IF(Y1078&lt;'Residual Config'!$C$4,"Overdue","Current")))))</f>
        <v>Current</v>
      </c>
      <c r="AA1078" s="34" t="n">
        <f aca="false">IF(I1078="N/A","",IF(Z1078&lt;&gt;"Current",4,IF(MAX(M1078,T1078)=0,4,MAX(M1078,T1078))))</f>
        <v>2</v>
      </c>
      <c r="AB1078" s="7" t="str">
        <f aca="false">IF(AA1078="","N/A",IF(Z1078&lt;&gt;"Current","Not tested / overdue",INDEX('Residual Config'!$B$11:$B$14,AA1078)))</f>
        <v>Largely effective</v>
      </c>
      <c r="AC1078" s="36" t="n">
        <f aca="false">IF(AA1078="","",INDEX('Residual Config'!$D$11:$D$14,AA1078))</f>
        <v>0.4</v>
      </c>
      <c r="AD1078" s="7" t="str">
        <f aca="false">IF(OR(I1078="N/A",P1078="",Q1078=""),"",IF(P1078&gt;=Q1078,"Yes","No"))</f>
        <v>Yes</v>
      </c>
      <c r="AE1078" s="8"/>
    </row>
    <row r="1079" customFormat="false" ht="15" hidden="false" customHeight="false" outlineLevel="0" collapsed="false">
      <c r="A1079" s="12" t="s">
        <v>3420</v>
      </c>
      <c r="B1079" s="26" t="str">
        <f aca="false">Entities!$A$29</f>
        <v>IT</v>
      </c>
      <c r="C1079" s="12" t="str">
        <f aca="false">INDEX(Entities!$B$5:$B$34,MATCH(B1079,Entities!$A$5:$A$34,0))</f>
        <v>Arab Bank – Italy</v>
      </c>
      <c r="D1079" s="7" t="str">
        <f aca="false">INDEX(Entities!$F$5:$F$34,MATCH(B1079,Entities!$A$5:$A$34,0))</f>
        <v>Tier 3</v>
      </c>
      <c r="E1079" s="26" t="str">
        <f aca="false">'Control Library'!$A$47</f>
        <v>CTL-ST-01</v>
      </c>
      <c r="F1079" s="12" t="str">
        <f aca="false">INDEX('Control Library'!$B$5:$B$47,MATCH(E1079,'Control Library'!$A$5:$A$47,0))</f>
        <v>Strategy execution monitoring and E&amp;S screening of lending</v>
      </c>
      <c r="G1079" s="7" t="str">
        <f aca="false">INDEX('Control Library'!$F$5:$F$47,MATCH(E1079,'Control Library'!$A$5:$A$47,0))</f>
        <v>Y</v>
      </c>
      <c r="H1079" s="12" t="str">
        <f aca="false">INDEX('Control Library'!$E$5:$E$47,MATCH(E1079,'Control Library'!$A$5:$A$47,0))</f>
        <v>Quarterly</v>
      </c>
      <c r="I1079" s="7" t="str">
        <f aca="false">IF(INDEX('Control Library'!$I$5:$I$47,MATCH(E1079,'Control Library'!$A$5:$A$47,0))="All","Y",IF(INDEX('Control Library'!$I$5:$I$47,MATCH(E1079,'Control Library'!$A$5:$A$47,0))="Banks only",IF(COUNTIF('Residual Config'!$L$28:$L$30,INDEX(Entities!$E$5:$E$34,MATCH(B1079,Entities!$A$5:$A$34,0)))&gt;0,"N/A","Y"),IF(INDEX(Entities!$G$5:$G$34,MATCH(B1079,Entities!$A$5:$A$34,0))="Y","Y","N/A")))</f>
        <v>Y</v>
      </c>
      <c r="J1079" s="8" t="s">
        <v>3421</v>
      </c>
      <c r="K1079" s="8" t="s">
        <v>3316</v>
      </c>
      <c r="L1079" s="7" t="str">
        <f aca="false">IF(OR(J1079="",K1079=""),"",IF(J1079=K1079,"Breach","OK"))</f>
        <v>OK</v>
      </c>
      <c r="M1079" s="24" t="n">
        <v>1</v>
      </c>
      <c r="N1079" s="50" t="n">
        <v>45997</v>
      </c>
      <c r="O1079" s="8" t="s">
        <v>545</v>
      </c>
      <c r="P1079" s="24" t="n">
        <v>2</v>
      </c>
      <c r="Q1079" s="31" t="n">
        <f aca="false">IF(I1079="N/A","",IFERROR(INDEX('Residual Config'!$B$35:$B$42,MATCH(H1079,'Residual Config'!$A$35:$A$42,0)),""))</f>
        <v>2</v>
      </c>
      <c r="R1079" s="24" t="n">
        <v>0</v>
      </c>
      <c r="S1079" s="8" t="s">
        <v>516</v>
      </c>
      <c r="T1079" s="31" t="n">
        <f aca="false">IF(S1079="","",MATCH(S1079,'Residual Config'!$L$9:$L$12,0))</f>
        <v>1</v>
      </c>
      <c r="U1079" s="8" t="s">
        <v>3422</v>
      </c>
      <c r="V1079" s="24" t="n">
        <v>1</v>
      </c>
      <c r="W1079" s="33" t="s">
        <v>533</v>
      </c>
      <c r="X1079" s="8" t="s">
        <v>754</v>
      </c>
      <c r="Y1079" s="51" t="n">
        <f aca="false">IF(N1079="","",EDATE(N1079,IF(G1079="N",INDEX('Residual Config'!$B$31:$D$31,1,MATCH(D1079,'Residual Config'!$B$27:$D$27,0)),INDEX('Residual Config'!$B$28:$D$30,IF(T1079=1,1,IF(T1079=4,3,2)),MATCH(D1079,'Residual Config'!$B$27:$D$27,0)))))</f>
        <v>46362</v>
      </c>
      <c r="Z1079" s="7" t="str">
        <f aca="false">IF(I1079="N/A","N/A",IF(N1079="","Not tested",IF(W1079="Rejected","Evidence rejected",IF(W1079&lt;&gt;"Accepted","Evidence pending",IF(Y1079&lt;'Residual Config'!$C$4,"Overdue","Current")))))</f>
        <v>Current</v>
      </c>
      <c r="AA1079" s="34" t="n">
        <f aca="false">IF(I1079="N/A","",IF(Z1079&lt;&gt;"Current",4,IF(MAX(M1079,T1079)=0,4,MAX(M1079,T1079))))</f>
        <v>1</v>
      </c>
      <c r="AB1079" s="7" t="str">
        <f aca="false">IF(AA1079="","N/A",IF(Z1079&lt;&gt;"Current","Not tested / overdue",INDEX('Residual Config'!$B$11:$B$14,AA1079)))</f>
        <v>Effective</v>
      </c>
      <c r="AC1079" s="36" t="n">
        <f aca="false">IF(AA1079="","",INDEX('Residual Config'!$D$11:$D$14,AA1079))</f>
        <v>0.6</v>
      </c>
      <c r="AD1079" s="7" t="str">
        <f aca="false">IF(OR(I1079="N/A",P1079="",Q1079=""),"",IF(P1079&gt;=Q1079,"Yes","No"))</f>
        <v>Yes</v>
      </c>
      <c r="AE1079" s="8"/>
    </row>
    <row r="1080" customFormat="false" ht="15" hidden="false" customHeight="false" outlineLevel="0" collapsed="false">
      <c r="A1080" s="12" t="s">
        <v>3423</v>
      </c>
      <c r="B1080" s="26" t="str">
        <f aca="false">Entities!$A$30</f>
        <v>CH</v>
      </c>
      <c r="C1080" s="12" t="str">
        <f aca="false">INDEX(Entities!$B$5:$B$34,MATCH(B1080,Entities!$A$5:$A$34,0))</f>
        <v>Arab Bank (Switzerland) – sister company</v>
      </c>
      <c r="D1080" s="7" t="str">
        <f aca="false">INDEX(Entities!$F$5:$F$34,MATCH(B1080,Entities!$A$5:$A$34,0))</f>
        <v>Tier 1</v>
      </c>
      <c r="E1080" s="26" t="str">
        <f aca="false">'Control Library'!$A$5</f>
        <v>CTL-KYC-01</v>
      </c>
      <c r="F1080" s="12" t="str">
        <f aca="false">INDEX('Control Library'!$B$5:$B$47,MATCH(E1080,'Control Library'!$A$5:$A$47,0))</f>
        <v>Customer due diligence and ID verification at onboarding</v>
      </c>
      <c r="G1080" s="7" t="str">
        <f aca="false">INDEX('Control Library'!$F$5:$F$47,MATCH(E1080,'Control Library'!$A$5:$A$47,0))</f>
        <v>Y</v>
      </c>
      <c r="H1080" s="12" t="str">
        <f aca="false">INDEX('Control Library'!$E$5:$E$47,MATCH(E1080,'Control Library'!$A$5:$A$47,0))</f>
        <v>Event-driven</v>
      </c>
      <c r="I1080" s="7" t="str">
        <f aca="false">IF(INDEX('Control Library'!$I$5:$I$47,MATCH(E1080,'Control Library'!$A$5:$A$47,0))="All","Y",IF(INDEX('Control Library'!$I$5:$I$47,MATCH(E1080,'Control Library'!$A$5:$A$47,0))="Banks only",IF(COUNTIF('Residual Config'!$L$28:$L$30,INDEX(Entities!$E$5:$E$34,MATCH(B1080,Entities!$A$5:$A$34,0)))&gt;0,"N/A","Y"),IF(INDEX(Entities!$G$5:$G$34,MATCH(B1080,Entities!$A$5:$A$34,0))="Y","Y","N/A")))</f>
        <v>Y</v>
      </c>
      <c r="J1080" s="8" t="s">
        <v>3424</v>
      </c>
      <c r="K1080" s="8" t="s">
        <v>752</v>
      </c>
      <c r="L1080" s="7" t="str">
        <f aca="false">IF(OR(J1080="",K1080=""),"",IF(J1080=K1080,"Breach","OK"))</f>
        <v>OK</v>
      </c>
      <c r="M1080" s="24" t="n">
        <v>1</v>
      </c>
      <c r="N1080" s="50" t="n">
        <v>46241</v>
      </c>
      <c r="O1080" s="8" t="s">
        <v>546</v>
      </c>
      <c r="P1080" s="24" t="n">
        <v>25</v>
      </c>
      <c r="Q1080" s="31" t="n">
        <f aca="false">IF(I1080="N/A","",IFERROR(INDEX('Residual Config'!$B$35:$B$42,MATCH(H1080,'Residual Config'!$A$35:$A$42,0)),""))</f>
        <v>25</v>
      </c>
      <c r="R1080" s="24" t="n">
        <v>0</v>
      </c>
      <c r="S1080" s="8" t="s">
        <v>516</v>
      </c>
      <c r="T1080" s="31" t="n">
        <f aca="false">IF(S1080="","",MATCH(S1080,'Residual Config'!$L$9:$L$12,0))</f>
        <v>1</v>
      </c>
      <c r="U1080" s="8" t="s">
        <v>3425</v>
      </c>
      <c r="V1080" s="24" t="n">
        <v>4</v>
      </c>
      <c r="W1080" s="33" t="s">
        <v>533</v>
      </c>
      <c r="X1080" s="8" t="s">
        <v>760</v>
      </c>
      <c r="Y1080" s="51" t="n">
        <f aca="false">IF(N1080="","",EDATE(N1080,IF(G1080="N",INDEX('Residual Config'!$B$31:$D$31,1,MATCH(D1080,'Residual Config'!$B$27:$D$27,0)),INDEX('Residual Config'!$B$28:$D$30,IF(T1080=1,1,IF(T1080=4,3,2)),MATCH(D1080,'Residual Config'!$B$27:$D$27,0)))))</f>
        <v>46425</v>
      </c>
      <c r="Z1080" s="7" t="str">
        <f aca="false">IF(I1080="N/A","N/A",IF(N1080="","Not tested",IF(W1080="Rejected","Evidence rejected",IF(W1080&lt;&gt;"Accepted","Evidence pending",IF(Y1080&lt;'Residual Config'!$C$4,"Overdue","Current")))))</f>
        <v>Current</v>
      </c>
      <c r="AA1080" s="34" t="n">
        <f aca="false">IF(I1080="N/A","",IF(Z1080&lt;&gt;"Current",4,IF(MAX(M1080,T1080)=0,4,MAX(M1080,T1080))))</f>
        <v>1</v>
      </c>
      <c r="AB1080" s="7" t="str">
        <f aca="false">IF(AA1080="","N/A",IF(Z1080&lt;&gt;"Current","Not tested / overdue",INDEX('Residual Config'!$B$11:$B$14,AA1080)))</f>
        <v>Effective</v>
      </c>
      <c r="AC1080" s="36" t="n">
        <f aca="false">IF(AA1080="","",INDEX('Residual Config'!$D$11:$D$14,AA1080))</f>
        <v>0.6</v>
      </c>
      <c r="AD1080" s="7" t="str">
        <f aca="false">IF(OR(I1080="N/A",P1080="",Q1080=""),"",IF(P1080&gt;=Q1080,"Yes","No"))</f>
        <v>Yes</v>
      </c>
      <c r="AE1080" s="8"/>
    </row>
    <row r="1081" customFormat="false" ht="15" hidden="false" customHeight="false" outlineLevel="0" collapsed="false">
      <c r="A1081" s="12" t="s">
        <v>3426</v>
      </c>
      <c r="B1081" s="26" t="str">
        <f aca="false">Entities!$A$30</f>
        <v>CH</v>
      </c>
      <c r="C1081" s="12" t="str">
        <f aca="false">INDEX(Entities!$B$5:$B$34,MATCH(B1081,Entities!$A$5:$A$34,0))</f>
        <v>Arab Bank (Switzerland) – sister company</v>
      </c>
      <c r="D1081" s="7" t="str">
        <f aca="false">INDEX(Entities!$F$5:$F$34,MATCH(B1081,Entities!$A$5:$A$34,0))</f>
        <v>Tier 1</v>
      </c>
      <c r="E1081" s="26" t="str">
        <f aca="false">'Control Library'!$A$6</f>
        <v>CTL-KYC-02</v>
      </c>
      <c r="F1081" s="12" t="str">
        <f aca="false">INDEX('Control Library'!$B$5:$B$47,MATCH(E1081,'Control Library'!$A$5:$A$47,0))</f>
        <v>Enhanced due diligence for high-risk customers and PEPs, senior approval</v>
      </c>
      <c r="G1081" s="7" t="str">
        <f aca="false">INDEX('Control Library'!$F$5:$F$47,MATCH(E1081,'Control Library'!$A$5:$A$47,0))</f>
        <v>Y</v>
      </c>
      <c r="H1081" s="12" t="str">
        <f aca="false">INDEX('Control Library'!$E$5:$E$47,MATCH(E1081,'Control Library'!$A$5:$A$47,0))</f>
        <v>Event-driven</v>
      </c>
      <c r="I1081" s="7" t="str">
        <f aca="false">IF(INDEX('Control Library'!$I$5:$I$47,MATCH(E1081,'Control Library'!$A$5:$A$47,0))="All","Y",IF(INDEX('Control Library'!$I$5:$I$47,MATCH(E1081,'Control Library'!$A$5:$A$47,0))="Banks only",IF(COUNTIF('Residual Config'!$L$28:$L$30,INDEX(Entities!$E$5:$E$34,MATCH(B1081,Entities!$A$5:$A$34,0)))&gt;0,"N/A","Y"),IF(INDEX(Entities!$G$5:$G$34,MATCH(B1081,Entities!$A$5:$A$34,0))="Y","Y","N/A")))</f>
        <v>Y</v>
      </c>
      <c r="J1081" s="8" t="s">
        <v>3427</v>
      </c>
      <c r="K1081" s="8" t="s">
        <v>752</v>
      </c>
      <c r="L1081" s="7" t="str">
        <f aca="false">IF(OR(J1081="",K1081=""),"",IF(J1081=K1081,"Breach","OK"))</f>
        <v>OK</v>
      </c>
      <c r="M1081" s="24" t="n">
        <v>2</v>
      </c>
      <c r="N1081" s="50" t="n">
        <v>46229</v>
      </c>
      <c r="O1081" s="8" t="s">
        <v>546</v>
      </c>
      <c r="P1081" s="24" t="n">
        <v>25</v>
      </c>
      <c r="Q1081" s="31" t="n">
        <f aca="false">IF(I1081="N/A","",IFERROR(INDEX('Residual Config'!$B$35:$B$42,MATCH(H1081,'Residual Config'!$A$35:$A$42,0)),""))</f>
        <v>25</v>
      </c>
      <c r="R1081" s="24" t="n">
        <v>1</v>
      </c>
      <c r="S1081" s="8" t="s">
        <v>521</v>
      </c>
      <c r="T1081" s="31" t="n">
        <f aca="false">IF(S1081="","",MATCH(S1081,'Residual Config'!$L$9:$L$12,0))</f>
        <v>2</v>
      </c>
      <c r="U1081" s="8" t="s">
        <v>3428</v>
      </c>
      <c r="V1081" s="24" t="n">
        <v>1</v>
      </c>
      <c r="W1081" s="33" t="s">
        <v>533</v>
      </c>
      <c r="X1081" s="8" t="s">
        <v>760</v>
      </c>
      <c r="Y1081" s="51" t="n">
        <f aca="false">IF(N1081="","",EDATE(N1081,IF(G1081="N",INDEX('Residual Config'!$B$31:$D$31,1,MATCH(D1081,'Residual Config'!$B$27:$D$27,0)),INDEX('Residual Config'!$B$28:$D$30,IF(T1081=1,1,IF(T1081=4,3,2)),MATCH(D1081,'Residual Config'!$B$27:$D$27,0)))))</f>
        <v>46321</v>
      </c>
      <c r="Z1081" s="7" t="str">
        <f aca="false">IF(I1081="N/A","N/A",IF(N1081="","Not tested",IF(W1081="Rejected","Evidence rejected",IF(W1081&lt;&gt;"Accepted","Evidence pending",IF(Y1081&lt;'Residual Config'!$C$4,"Overdue","Current")))))</f>
        <v>Current</v>
      </c>
      <c r="AA1081" s="34" t="n">
        <f aca="false">IF(I1081="N/A","",IF(Z1081&lt;&gt;"Current",4,IF(MAX(M1081,T1081)=0,4,MAX(M1081,T1081))))</f>
        <v>2</v>
      </c>
      <c r="AB1081" s="7" t="str">
        <f aca="false">IF(AA1081="","N/A",IF(Z1081&lt;&gt;"Current","Not tested / overdue",INDEX('Residual Config'!$B$11:$B$14,AA1081)))</f>
        <v>Largely effective</v>
      </c>
      <c r="AC1081" s="36" t="n">
        <f aca="false">IF(AA1081="","",INDEX('Residual Config'!$D$11:$D$14,AA1081))</f>
        <v>0.4</v>
      </c>
      <c r="AD1081" s="7" t="str">
        <f aca="false">IF(OR(I1081="N/A",P1081="",Q1081=""),"",IF(P1081&gt;=Q1081,"Yes","No"))</f>
        <v>Yes</v>
      </c>
      <c r="AE1081" s="8"/>
    </row>
    <row r="1082" customFormat="false" ht="15" hidden="false" customHeight="false" outlineLevel="0" collapsed="false">
      <c r="A1082" s="12" t="s">
        <v>3429</v>
      </c>
      <c r="B1082" s="26" t="str">
        <f aca="false">Entities!$A$30</f>
        <v>CH</v>
      </c>
      <c r="C1082" s="12" t="str">
        <f aca="false">INDEX(Entities!$B$5:$B$34,MATCH(B1082,Entities!$A$5:$A$34,0))</f>
        <v>Arab Bank (Switzerland) – sister company</v>
      </c>
      <c r="D1082" s="7" t="str">
        <f aca="false">INDEX(Entities!$F$5:$F$34,MATCH(B1082,Entities!$A$5:$A$34,0))</f>
        <v>Tier 1</v>
      </c>
      <c r="E1082" s="26" t="str">
        <f aca="false">'Control Library'!$A$7</f>
        <v>CTL-KYC-03</v>
      </c>
      <c r="F1082" s="12" t="str">
        <f aca="false">INDEX('Control Library'!$B$5:$B$47,MATCH(E1082,'Control Library'!$A$5:$A$47,0))</f>
        <v>Ultimate beneficial owner identification and verification</v>
      </c>
      <c r="G1082" s="7" t="str">
        <f aca="false">INDEX('Control Library'!$F$5:$F$47,MATCH(E1082,'Control Library'!$A$5:$A$47,0))</f>
        <v>Y</v>
      </c>
      <c r="H1082" s="12" t="str">
        <f aca="false">INDEX('Control Library'!$E$5:$E$47,MATCH(E1082,'Control Library'!$A$5:$A$47,0))</f>
        <v>Event-driven</v>
      </c>
      <c r="I1082" s="7" t="str">
        <f aca="false">IF(INDEX('Control Library'!$I$5:$I$47,MATCH(E1082,'Control Library'!$A$5:$A$47,0))="All","Y",IF(INDEX('Control Library'!$I$5:$I$47,MATCH(E1082,'Control Library'!$A$5:$A$47,0))="Banks only",IF(COUNTIF('Residual Config'!$L$28:$L$30,INDEX(Entities!$E$5:$E$34,MATCH(B1082,Entities!$A$5:$A$34,0)))&gt;0,"N/A","Y"),IF(INDEX(Entities!$G$5:$G$34,MATCH(B1082,Entities!$A$5:$A$34,0))="Y","Y","N/A")))</f>
        <v>Y</v>
      </c>
      <c r="J1082" s="8" t="s">
        <v>3424</v>
      </c>
      <c r="K1082" s="8" t="s">
        <v>752</v>
      </c>
      <c r="L1082" s="7" t="str">
        <f aca="false">IF(OR(J1082="",K1082=""),"",IF(J1082=K1082,"Breach","OK"))</f>
        <v>OK</v>
      </c>
      <c r="M1082" s="24" t="n">
        <v>1</v>
      </c>
      <c r="N1082" s="50" t="n">
        <v>46263</v>
      </c>
      <c r="O1082" s="8" t="s">
        <v>545</v>
      </c>
      <c r="P1082" s="24" t="n">
        <v>35</v>
      </c>
      <c r="Q1082" s="31" t="n">
        <f aca="false">IF(I1082="N/A","",IFERROR(INDEX('Residual Config'!$B$35:$B$42,MATCH(H1082,'Residual Config'!$A$35:$A$42,0)),""))</f>
        <v>25</v>
      </c>
      <c r="R1082" s="24" t="n">
        <v>0</v>
      </c>
      <c r="S1082" s="8" t="s">
        <v>516</v>
      </c>
      <c r="T1082" s="31" t="n">
        <f aca="false">IF(S1082="","",MATCH(S1082,'Residual Config'!$L$9:$L$12,0))</f>
        <v>1</v>
      </c>
      <c r="U1082" s="8" t="s">
        <v>3430</v>
      </c>
      <c r="V1082" s="24" t="n">
        <v>4</v>
      </c>
      <c r="W1082" s="33" t="s">
        <v>533</v>
      </c>
      <c r="X1082" s="8" t="s">
        <v>754</v>
      </c>
      <c r="Y1082" s="51" t="n">
        <f aca="false">IF(N1082="","",EDATE(N1082,IF(G1082="N",INDEX('Residual Config'!$B$31:$D$31,1,MATCH(D1082,'Residual Config'!$B$27:$D$27,0)),INDEX('Residual Config'!$B$28:$D$30,IF(T1082=1,1,IF(T1082=4,3,2)),MATCH(D1082,'Residual Config'!$B$27:$D$27,0)))))</f>
        <v>46446</v>
      </c>
      <c r="Z1082" s="7" t="str">
        <f aca="false">IF(I1082="N/A","N/A",IF(N1082="","Not tested",IF(W1082="Rejected","Evidence rejected",IF(W1082&lt;&gt;"Accepted","Evidence pending",IF(Y1082&lt;'Residual Config'!$C$4,"Overdue","Current")))))</f>
        <v>Current</v>
      </c>
      <c r="AA1082" s="34" t="n">
        <f aca="false">IF(I1082="N/A","",IF(Z1082&lt;&gt;"Current",4,IF(MAX(M1082,T1082)=0,4,MAX(M1082,T1082))))</f>
        <v>1</v>
      </c>
      <c r="AB1082" s="7" t="str">
        <f aca="false">IF(AA1082="","N/A",IF(Z1082&lt;&gt;"Current","Not tested / overdue",INDEX('Residual Config'!$B$11:$B$14,AA1082)))</f>
        <v>Effective</v>
      </c>
      <c r="AC1082" s="36" t="n">
        <f aca="false">IF(AA1082="","",INDEX('Residual Config'!$D$11:$D$14,AA1082))</f>
        <v>0.6</v>
      </c>
      <c r="AD1082" s="7" t="str">
        <f aca="false">IF(OR(I1082="N/A",P1082="",Q1082=""),"",IF(P1082&gt;=Q1082,"Yes","No"))</f>
        <v>Yes</v>
      </c>
      <c r="AE1082" s="8"/>
    </row>
    <row r="1083" customFormat="false" ht="15" hidden="false" customHeight="false" outlineLevel="0" collapsed="false">
      <c r="A1083" s="12" t="s">
        <v>3431</v>
      </c>
      <c r="B1083" s="26" t="str">
        <f aca="false">Entities!$A$30</f>
        <v>CH</v>
      </c>
      <c r="C1083" s="12" t="str">
        <f aca="false">INDEX(Entities!$B$5:$B$34,MATCH(B1083,Entities!$A$5:$A$34,0))</f>
        <v>Arab Bank (Switzerland) – sister company</v>
      </c>
      <c r="D1083" s="7" t="str">
        <f aca="false">INDEX(Entities!$F$5:$F$34,MATCH(B1083,Entities!$A$5:$A$34,0))</f>
        <v>Tier 1</v>
      </c>
      <c r="E1083" s="26" t="str">
        <f aca="false">'Control Library'!$A$8</f>
        <v>CTL-KYC-04</v>
      </c>
      <c r="F1083" s="12" t="str">
        <f aca="false">INDEX('Control Library'!$B$5:$B$47,MATCH(E1083,'Control Library'!$A$5:$A$47,0))</f>
        <v>Periodic KYC review by customer risk rating</v>
      </c>
      <c r="G1083" s="7" t="str">
        <f aca="false">INDEX('Control Library'!$F$5:$F$47,MATCH(E1083,'Control Library'!$A$5:$A$47,0))</f>
        <v>Y</v>
      </c>
      <c r="H1083" s="12" t="str">
        <f aca="false">INDEX('Control Library'!$E$5:$E$47,MATCH(E1083,'Control Library'!$A$5:$A$47,0))</f>
        <v>Monthly</v>
      </c>
      <c r="I1083" s="7" t="str">
        <f aca="false">IF(INDEX('Control Library'!$I$5:$I$47,MATCH(E1083,'Control Library'!$A$5:$A$47,0))="All","Y",IF(INDEX('Control Library'!$I$5:$I$47,MATCH(E1083,'Control Library'!$A$5:$A$47,0))="Banks only",IF(COUNTIF('Residual Config'!$L$28:$L$30,INDEX(Entities!$E$5:$E$34,MATCH(B1083,Entities!$A$5:$A$34,0)))&gt;0,"N/A","Y"),IF(INDEX(Entities!$G$5:$G$34,MATCH(B1083,Entities!$A$5:$A$34,0))="Y","Y","N/A")))</f>
        <v>Y</v>
      </c>
      <c r="J1083" s="8" t="s">
        <v>3424</v>
      </c>
      <c r="K1083" s="8" t="s">
        <v>752</v>
      </c>
      <c r="L1083" s="7" t="str">
        <f aca="false">IF(OR(J1083="",K1083=""),"",IF(J1083=K1083,"Breach","OK"))</f>
        <v>OK</v>
      </c>
      <c r="M1083" s="24" t="n">
        <v>2</v>
      </c>
      <c r="N1083" s="50" t="n">
        <v>46244</v>
      </c>
      <c r="O1083" s="8" t="s">
        <v>545</v>
      </c>
      <c r="P1083" s="24" t="n">
        <v>3</v>
      </c>
      <c r="Q1083" s="31" t="n">
        <f aca="false">IF(I1083="N/A","",IFERROR(INDEX('Residual Config'!$B$35:$B$42,MATCH(H1083,'Residual Config'!$A$35:$A$42,0)),""))</f>
        <v>3</v>
      </c>
      <c r="R1083" s="24" t="n">
        <v>1</v>
      </c>
      <c r="S1083" s="8" t="s">
        <v>521</v>
      </c>
      <c r="T1083" s="31" t="n">
        <f aca="false">IF(S1083="","",MATCH(S1083,'Residual Config'!$L$9:$L$12,0))</f>
        <v>2</v>
      </c>
      <c r="U1083" s="8" t="s">
        <v>3432</v>
      </c>
      <c r="V1083" s="24" t="n">
        <v>4</v>
      </c>
      <c r="W1083" s="33" t="s">
        <v>533</v>
      </c>
      <c r="X1083" s="8" t="s">
        <v>754</v>
      </c>
      <c r="Y1083" s="51" t="n">
        <f aca="false">IF(N1083="","",EDATE(N1083,IF(G1083="N",INDEX('Residual Config'!$B$31:$D$31,1,MATCH(D1083,'Residual Config'!$B$27:$D$27,0)),INDEX('Residual Config'!$B$28:$D$30,IF(T1083=1,1,IF(T1083=4,3,2)),MATCH(D1083,'Residual Config'!$B$27:$D$27,0)))))</f>
        <v>46336</v>
      </c>
      <c r="Z1083" s="7" t="str">
        <f aca="false">IF(I1083="N/A","N/A",IF(N1083="","Not tested",IF(W1083="Rejected","Evidence rejected",IF(W1083&lt;&gt;"Accepted","Evidence pending",IF(Y1083&lt;'Residual Config'!$C$4,"Overdue","Current")))))</f>
        <v>Current</v>
      </c>
      <c r="AA1083" s="34" t="n">
        <f aca="false">IF(I1083="N/A","",IF(Z1083&lt;&gt;"Current",4,IF(MAX(M1083,T1083)=0,4,MAX(M1083,T1083))))</f>
        <v>2</v>
      </c>
      <c r="AB1083" s="7" t="str">
        <f aca="false">IF(AA1083="","N/A",IF(Z1083&lt;&gt;"Current","Not tested / overdue",INDEX('Residual Config'!$B$11:$B$14,AA1083)))</f>
        <v>Largely effective</v>
      </c>
      <c r="AC1083" s="36" t="n">
        <f aca="false">IF(AA1083="","",INDEX('Residual Config'!$D$11:$D$14,AA1083))</f>
        <v>0.4</v>
      </c>
      <c r="AD1083" s="7" t="str">
        <f aca="false">IF(OR(I1083="N/A",P1083="",Q1083=""),"",IF(P1083&gt;=Q1083,"Yes","No"))</f>
        <v>Yes</v>
      </c>
      <c r="AE1083" s="8"/>
    </row>
    <row r="1084" customFormat="false" ht="15" hidden="false" customHeight="false" outlineLevel="0" collapsed="false">
      <c r="A1084" s="12" t="s">
        <v>3433</v>
      </c>
      <c r="B1084" s="26" t="str">
        <f aca="false">Entities!$A$30</f>
        <v>CH</v>
      </c>
      <c r="C1084" s="12" t="str">
        <f aca="false">INDEX(Entities!$B$5:$B$34,MATCH(B1084,Entities!$A$5:$A$34,0))</f>
        <v>Arab Bank (Switzerland) – sister company</v>
      </c>
      <c r="D1084" s="7" t="str">
        <f aca="false">INDEX(Entities!$F$5:$F$34,MATCH(B1084,Entities!$A$5:$A$34,0))</f>
        <v>Tier 1</v>
      </c>
      <c r="E1084" s="26" t="str">
        <f aca="false">'Control Library'!$A$9</f>
        <v>CTL-CRR-01</v>
      </c>
      <c r="F1084" s="12" t="str">
        <f aca="false">INDEX('Control Library'!$B$5:$B$47,MATCH(E1084,'Control Library'!$A$5:$A$47,0))</f>
        <v>Customer risk rating model and annual validation</v>
      </c>
      <c r="G1084" s="7" t="str">
        <f aca="false">INDEX('Control Library'!$F$5:$F$47,MATCH(E1084,'Control Library'!$A$5:$A$47,0))</f>
        <v>N</v>
      </c>
      <c r="H1084" s="12" t="str">
        <f aca="false">INDEX('Control Library'!$E$5:$E$47,MATCH(E1084,'Control Library'!$A$5:$A$47,0))</f>
        <v>Annual</v>
      </c>
      <c r="I1084" s="7" t="str">
        <f aca="false">IF(INDEX('Control Library'!$I$5:$I$47,MATCH(E1084,'Control Library'!$A$5:$A$47,0))="All","Y",IF(INDEX('Control Library'!$I$5:$I$47,MATCH(E1084,'Control Library'!$A$5:$A$47,0))="Banks only",IF(COUNTIF('Residual Config'!$L$28:$L$30,INDEX(Entities!$E$5:$E$34,MATCH(B1084,Entities!$A$5:$A$34,0)))&gt;0,"N/A","Y"),IF(INDEX(Entities!$G$5:$G$34,MATCH(B1084,Entities!$A$5:$A$34,0))="Y","Y","N/A")))</f>
        <v>Y</v>
      </c>
      <c r="J1084" s="8" t="s">
        <v>3427</v>
      </c>
      <c r="K1084" s="8" t="s">
        <v>3434</v>
      </c>
      <c r="L1084" s="7" t="str">
        <f aca="false">IF(OR(J1084="",K1084=""),"",IF(J1084=K1084,"Breach","OK"))</f>
        <v>OK</v>
      </c>
      <c r="M1084" s="24" t="n">
        <v>1</v>
      </c>
      <c r="N1084" s="50" t="n">
        <v>46084</v>
      </c>
      <c r="O1084" s="8" t="s">
        <v>547</v>
      </c>
      <c r="P1084" s="24" t="n">
        <v>1</v>
      </c>
      <c r="Q1084" s="31" t="n">
        <f aca="false">IF(I1084="N/A","",IFERROR(INDEX('Residual Config'!$B$35:$B$42,MATCH(H1084,'Residual Config'!$A$35:$A$42,0)),""))</f>
        <v>1</v>
      </c>
      <c r="R1084" s="24" t="n">
        <v>1</v>
      </c>
      <c r="S1084" s="8" t="s">
        <v>521</v>
      </c>
      <c r="T1084" s="31" t="n">
        <f aca="false">IF(S1084="","",MATCH(S1084,'Residual Config'!$L$9:$L$12,0))</f>
        <v>2</v>
      </c>
      <c r="U1084" s="8" t="s">
        <v>3435</v>
      </c>
      <c r="V1084" s="24" t="n">
        <v>4</v>
      </c>
      <c r="W1084" s="33" t="s">
        <v>533</v>
      </c>
      <c r="X1084" s="8" t="s">
        <v>760</v>
      </c>
      <c r="Y1084" s="51" t="n">
        <f aca="false">IF(N1084="","",EDATE(N1084,IF(G1084="N",INDEX('Residual Config'!$B$31:$D$31,1,MATCH(D1084,'Residual Config'!$B$27:$D$27,0)),INDEX('Residual Config'!$B$28:$D$30,IF(T1084=1,1,IF(T1084=4,3,2)),MATCH(D1084,'Residual Config'!$B$27:$D$27,0)))))</f>
        <v>46449</v>
      </c>
      <c r="Z1084" s="7" t="str">
        <f aca="false">IF(I1084="N/A","N/A",IF(N1084="","Not tested",IF(W1084="Rejected","Evidence rejected",IF(W1084&lt;&gt;"Accepted","Evidence pending",IF(Y1084&lt;'Residual Config'!$C$4,"Overdue","Current")))))</f>
        <v>Current</v>
      </c>
      <c r="AA1084" s="34" t="n">
        <f aca="false">IF(I1084="N/A","",IF(Z1084&lt;&gt;"Current",4,IF(MAX(M1084,T1084)=0,4,MAX(M1084,T1084))))</f>
        <v>2</v>
      </c>
      <c r="AB1084" s="7" t="str">
        <f aca="false">IF(AA1084="","N/A",IF(Z1084&lt;&gt;"Current","Not tested / overdue",INDEX('Residual Config'!$B$11:$B$14,AA1084)))</f>
        <v>Largely effective</v>
      </c>
      <c r="AC1084" s="36" t="n">
        <f aca="false">IF(AA1084="","",INDEX('Residual Config'!$D$11:$D$14,AA1084))</f>
        <v>0.4</v>
      </c>
      <c r="AD1084" s="7" t="str">
        <f aca="false">IF(OR(I1084="N/A",P1084="",Q1084=""),"",IF(P1084&gt;=Q1084,"Yes","No"))</f>
        <v>Yes</v>
      </c>
      <c r="AE1084" s="8"/>
    </row>
    <row r="1085" customFormat="false" ht="15" hidden="false" customHeight="false" outlineLevel="0" collapsed="false">
      <c r="A1085" s="12" t="s">
        <v>3436</v>
      </c>
      <c r="B1085" s="26" t="str">
        <f aca="false">Entities!$A$30</f>
        <v>CH</v>
      </c>
      <c r="C1085" s="12" t="str">
        <f aca="false">INDEX(Entities!$B$5:$B$34,MATCH(B1085,Entities!$A$5:$A$34,0))</f>
        <v>Arab Bank (Switzerland) – sister company</v>
      </c>
      <c r="D1085" s="7" t="str">
        <f aca="false">INDEX(Entities!$F$5:$F$34,MATCH(B1085,Entities!$A$5:$A$34,0))</f>
        <v>Tier 1</v>
      </c>
      <c r="E1085" s="26" t="str">
        <f aca="false">'Control Library'!$A$10</f>
        <v>CTL-TM-01</v>
      </c>
      <c r="F1085" s="12" t="str">
        <f aca="false">INDEX('Control Library'!$B$5:$B$47,MATCH(E1085,'Control Library'!$A$5:$A$47,0))</f>
        <v>Automated transaction monitoring scenarios and annual tuning</v>
      </c>
      <c r="G1085" s="7" t="str">
        <f aca="false">INDEX('Control Library'!$F$5:$F$47,MATCH(E1085,'Control Library'!$A$5:$A$47,0))</f>
        <v>Y</v>
      </c>
      <c r="H1085" s="12" t="str">
        <f aca="false">INDEX('Control Library'!$E$5:$E$47,MATCH(E1085,'Control Library'!$A$5:$A$47,0))</f>
        <v>Continuous</v>
      </c>
      <c r="I1085" s="7" t="str">
        <f aca="false">IF(INDEX('Control Library'!$I$5:$I$47,MATCH(E1085,'Control Library'!$A$5:$A$47,0))="All","Y",IF(INDEX('Control Library'!$I$5:$I$47,MATCH(E1085,'Control Library'!$A$5:$A$47,0))="Banks only",IF(COUNTIF('Residual Config'!$L$28:$L$30,INDEX(Entities!$E$5:$E$34,MATCH(B1085,Entities!$A$5:$A$34,0)))&gt;0,"N/A","Y"),IF(INDEX(Entities!$G$5:$G$34,MATCH(B1085,Entities!$A$5:$A$34,0))="Y","Y","N/A")))</f>
        <v>Y</v>
      </c>
      <c r="J1085" s="8" t="s">
        <v>3437</v>
      </c>
      <c r="K1085" s="8" t="s">
        <v>752</v>
      </c>
      <c r="L1085" s="7" t="str">
        <f aca="false">IF(OR(J1085="",K1085=""),"",IF(J1085=K1085,"Breach","OK"))</f>
        <v>OK</v>
      </c>
      <c r="M1085" s="24" t="n">
        <v>2</v>
      </c>
      <c r="N1085" s="50" t="n">
        <v>46245</v>
      </c>
      <c r="O1085" s="8" t="s">
        <v>547</v>
      </c>
      <c r="P1085" s="24" t="n">
        <v>1</v>
      </c>
      <c r="Q1085" s="31" t="n">
        <f aca="false">IF(I1085="N/A","",IFERROR(INDEX('Residual Config'!$B$35:$B$42,MATCH(H1085,'Residual Config'!$A$35:$A$42,0)),""))</f>
        <v>1</v>
      </c>
      <c r="R1085" s="24" t="n">
        <v>1</v>
      </c>
      <c r="S1085" s="8" t="s">
        <v>521</v>
      </c>
      <c r="T1085" s="31" t="n">
        <f aca="false">IF(S1085="","",MATCH(S1085,'Residual Config'!$L$9:$L$12,0))</f>
        <v>2</v>
      </c>
      <c r="U1085" s="8" t="s">
        <v>3438</v>
      </c>
      <c r="V1085" s="24" t="n">
        <v>6</v>
      </c>
      <c r="W1085" s="33" t="s">
        <v>533</v>
      </c>
      <c r="X1085" s="8" t="s">
        <v>760</v>
      </c>
      <c r="Y1085" s="51" t="n">
        <f aca="false">IF(N1085="","",EDATE(N1085,IF(G1085="N",INDEX('Residual Config'!$B$31:$D$31,1,MATCH(D1085,'Residual Config'!$B$27:$D$27,0)),INDEX('Residual Config'!$B$28:$D$30,IF(T1085=1,1,IF(T1085=4,3,2)),MATCH(D1085,'Residual Config'!$B$27:$D$27,0)))))</f>
        <v>46337</v>
      </c>
      <c r="Z1085" s="7" t="str">
        <f aca="false">IF(I1085="N/A","N/A",IF(N1085="","Not tested",IF(W1085="Rejected","Evidence rejected",IF(W1085&lt;&gt;"Accepted","Evidence pending",IF(Y1085&lt;'Residual Config'!$C$4,"Overdue","Current")))))</f>
        <v>Current</v>
      </c>
      <c r="AA1085" s="34" t="n">
        <f aca="false">IF(I1085="N/A","",IF(Z1085&lt;&gt;"Current",4,IF(MAX(M1085,T1085)=0,4,MAX(M1085,T1085))))</f>
        <v>2</v>
      </c>
      <c r="AB1085" s="7" t="str">
        <f aca="false">IF(AA1085="","N/A",IF(Z1085&lt;&gt;"Current","Not tested / overdue",INDEX('Residual Config'!$B$11:$B$14,AA1085)))</f>
        <v>Largely effective</v>
      </c>
      <c r="AC1085" s="36" t="n">
        <f aca="false">IF(AA1085="","",INDEX('Residual Config'!$D$11:$D$14,AA1085))</f>
        <v>0.4</v>
      </c>
      <c r="AD1085" s="7" t="str">
        <f aca="false">IF(OR(I1085="N/A",P1085="",Q1085=""),"",IF(P1085&gt;=Q1085,"Yes","No"))</f>
        <v>Yes</v>
      </c>
      <c r="AE1085" s="8"/>
    </row>
    <row r="1086" customFormat="false" ht="15" hidden="false" customHeight="false" outlineLevel="0" collapsed="false">
      <c r="A1086" s="12" t="s">
        <v>3439</v>
      </c>
      <c r="B1086" s="26" t="str">
        <f aca="false">Entities!$A$30</f>
        <v>CH</v>
      </c>
      <c r="C1086" s="12" t="str">
        <f aca="false">INDEX(Entities!$B$5:$B$34,MATCH(B1086,Entities!$A$5:$A$34,0))</f>
        <v>Arab Bank (Switzerland) – sister company</v>
      </c>
      <c r="D1086" s="7" t="str">
        <f aca="false">INDEX(Entities!$F$5:$F$34,MATCH(B1086,Entities!$A$5:$A$34,0))</f>
        <v>Tier 1</v>
      </c>
      <c r="E1086" s="26" t="str">
        <f aca="false">'Control Library'!$A$11</f>
        <v>CTL-TM-02</v>
      </c>
      <c r="F1086" s="12" t="str">
        <f aca="false">INDEX('Control Library'!$B$5:$B$47,MATCH(E1086,'Control Library'!$A$5:$A$47,0))</f>
        <v>Alert investigation and quality assurance within SLA</v>
      </c>
      <c r="G1086" s="7" t="str">
        <f aca="false">INDEX('Control Library'!$F$5:$F$47,MATCH(E1086,'Control Library'!$A$5:$A$47,0))</f>
        <v>Y</v>
      </c>
      <c r="H1086" s="12" t="str">
        <f aca="false">INDEX('Control Library'!$E$5:$E$47,MATCH(E1086,'Control Library'!$A$5:$A$47,0))</f>
        <v>Daily</v>
      </c>
      <c r="I1086" s="7" t="str">
        <f aca="false">IF(INDEX('Control Library'!$I$5:$I$47,MATCH(E1086,'Control Library'!$A$5:$A$47,0))="All","Y",IF(INDEX('Control Library'!$I$5:$I$47,MATCH(E1086,'Control Library'!$A$5:$A$47,0))="Banks only",IF(COUNTIF('Residual Config'!$L$28:$L$30,INDEX(Entities!$E$5:$E$34,MATCH(B1086,Entities!$A$5:$A$34,0)))&gt;0,"N/A","Y"),IF(INDEX(Entities!$G$5:$G$34,MATCH(B1086,Entities!$A$5:$A$34,0))="Y","Y","N/A")))</f>
        <v>Y</v>
      </c>
      <c r="J1086" s="8" t="s">
        <v>3437</v>
      </c>
      <c r="K1086" s="8" t="s">
        <v>752</v>
      </c>
      <c r="L1086" s="7" t="str">
        <f aca="false">IF(OR(J1086="",K1086=""),"",IF(J1086=K1086,"Breach","OK"))</f>
        <v>OK</v>
      </c>
      <c r="M1086" s="24" t="n">
        <v>1</v>
      </c>
      <c r="N1086" s="50" t="n">
        <v>46277</v>
      </c>
      <c r="O1086" s="8" t="s">
        <v>545</v>
      </c>
      <c r="P1086" s="24" t="n">
        <v>25</v>
      </c>
      <c r="Q1086" s="31" t="n">
        <f aca="false">IF(I1086="N/A","",IFERROR(INDEX('Residual Config'!$B$35:$B$42,MATCH(H1086,'Residual Config'!$A$35:$A$42,0)),""))</f>
        <v>25</v>
      </c>
      <c r="R1086" s="24" t="n">
        <v>1</v>
      </c>
      <c r="S1086" s="8" t="s">
        <v>521</v>
      </c>
      <c r="T1086" s="31" t="n">
        <f aca="false">IF(S1086="","",MATCH(S1086,'Residual Config'!$L$9:$L$12,0))</f>
        <v>2</v>
      </c>
      <c r="U1086" s="8" t="s">
        <v>3440</v>
      </c>
      <c r="V1086" s="24" t="n">
        <v>1</v>
      </c>
      <c r="W1086" s="33" t="s">
        <v>533</v>
      </c>
      <c r="X1086" s="8" t="s">
        <v>760</v>
      </c>
      <c r="Y1086" s="51" t="n">
        <f aca="false">IF(N1086="","",EDATE(N1086,IF(G1086="N",INDEX('Residual Config'!$B$31:$D$31,1,MATCH(D1086,'Residual Config'!$B$27:$D$27,0)),INDEX('Residual Config'!$B$28:$D$30,IF(T1086=1,1,IF(T1086=4,3,2)),MATCH(D1086,'Residual Config'!$B$27:$D$27,0)))))</f>
        <v>46368</v>
      </c>
      <c r="Z1086" s="7" t="str">
        <f aca="false">IF(I1086="N/A","N/A",IF(N1086="","Not tested",IF(W1086="Rejected","Evidence rejected",IF(W1086&lt;&gt;"Accepted","Evidence pending",IF(Y1086&lt;'Residual Config'!$C$4,"Overdue","Current")))))</f>
        <v>Current</v>
      </c>
      <c r="AA1086" s="34" t="n">
        <f aca="false">IF(I1086="N/A","",IF(Z1086&lt;&gt;"Current",4,IF(MAX(M1086,T1086)=0,4,MAX(M1086,T1086))))</f>
        <v>2</v>
      </c>
      <c r="AB1086" s="7" t="str">
        <f aca="false">IF(AA1086="","N/A",IF(Z1086&lt;&gt;"Current","Not tested / overdue",INDEX('Residual Config'!$B$11:$B$14,AA1086)))</f>
        <v>Largely effective</v>
      </c>
      <c r="AC1086" s="36" t="n">
        <f aca="false">IF(AA1086="","",INDEX('Residual Config'!$D$11:$D$14,AA1086))</f>
        <v>0.4</v>
      </c>
      <c r="AD1086" s="7" t="str">
        <f aca="false">IF(OR(I1086="N/A",P1086="",Q1086=""),"",IF(P1086&gt;=Q1086,"Yes","No"))</f>
        <v>Yes</v>
      </c>
      <c r="AE1086" s="8"/>
    </row>
    <row r="1087" customFormat="false" ht="15" hidden="false" customHeight="false" outlineLevel="0" collapsed="false">
      <c r="A1087" s="12" t="s">
        <v>3441</v>
      </c>
      <c r="B1087" s="26" t="str">
        <f aca="false">Entities!$A$30</f>
        <v>CH</v>
      </c>
      <c r="C1087" s="12" t="str">
        <f aca="false">INDEX(Entities!$B$5:$B$34,MATCH(B1087,Entities!$A$5:$A$34,0))</f>
        <v>Arab Bank (Switzerland) – sister company</v>
      </c>
      <c r="D1087" s="7" t="str">
        <f aca="false">INDEX(Entities!$F$5:$F$34,MATCH(B1087,Entities!$A$5:$A$34,0))</f>
        <v>Tier 1</v>
      </c>
      <c r="E1087" s="26" t="str">
        <f aca="false">'Control Library'!$A$12</f>
        <v>CTL-STR-01</v>
      </c>
      <c r="F1087" s="12" t="str">
        <f aca="false">INDEX('Control Library'!$B$5:$B$47,MATCH(E1087,'Control Library'!$A$5:$A$47,0))</f>
        <v>STR decision and filing within regulatory deadline</v>
      </c>
      <c r="G1087" s="7" t="str">
        <f aca="false">INDEX('Control Library'!$F$5:$F$47,MATCH(E1087,'Control Library'!$A$5:$A$47,0))</f>
        <v>Y</v>
      </c>
      <c r="H1087" s="12" t="str">
        <f aca="false">INDEX('Control Library'!$E$5:$E$47,MATCH(E1087,'Control Library'!$A$5:$A$47,0))</f>
        <v>Event-driven</v>
      </c>
      <c r="I1087" s="7" t="str">
        <f aca="false">IF(INDEX('Control Library'!$I$5:$I$47,MATCH(E1087,'Control Library'!$A$5:$A$47,0))="All","Y",IF(INDEX('Control Library'!$I$5:$I$47,MATCH(E1087,'Control Library'!$A$5:$A$47,0))="Banks only",IF(COUNTIF('Residual Config'!$L$28:$L$30,INDEX(Entities!$E$5:$E$34,MATCH(B1087,Entities!$A$5:$A$34,0)))&gt;0,"N/A","Y"),IF(INDEX(Entities!$G$5:$G$34,MATCH(B1087,Entities!$A$5:$A$34,0))="Y","Y","N/A")))</f>
        <v>Y</v>
      </c>
      <c r="J1087" s="8" t="s">
        <v>3437</v>
      </c>
      <c r="K1087" s="8" t="s">
        <v>752</v>
      </c>
      <c r="L1087" s="7" t="str">
        <f aca="false">IF(OR(J1087="",K1087=""),"",IF(J1087=K1087,"Breach","OK"))</f>
        <v>OK</v>
      </c>
      <c r="M1087" s="24" t="n">
        <v>2</v>
      </c>
      <c r="N1087" s="50" t="n">
        <v>46263</v>
      </c>
      <c r="O1087" s="8" t="s">
        <v>545</v>
      </c>
      <c r="P1087" s="24" t="n">
        <v>35</v>
      </c>
      <c r="Q1087" s="31" t="n">
        <f aca="false">IF(I1087="N/A","",IFERROR(INDEX('Residual Config'!$B$35:$B$42,MATCH(H1087,'Residual Config'!$A$35:$A$42,0)),""))</f>
        <v>25</v>
      </c>
      <c r="R1087" s="24" t="n">
        <v>0</v>
      </c>
      <c r="S1087" s="8" t="s">
        <v>516</v>
      </c>
      <c r="T1087" s="31" t="n">
        <f aca="false">IF(S1087="","",MATCH(S1087,'Residual Config'!$L$9:$L$12,0))</f>
        <v>1</v>
      </c>
      <c r="U1087" s="8" t="s">
        <v>3442</v>
      </c>
      <c r="V1087" s="24" t="n">
        <v>4</v>
      </c>
      <c r="W1087" s="33" t="s">
        <v>533</v>
      </c>
      <c r="X1087" s="8" t="s">
        <v>754</v>
      </c>
      <c r="Y1087" s="51" t="n">
        <f aca="false">IF(N1087="","",EDATE(N1087,IF(G1087="N",INDEX('Residual Config'!$B$31:$D$31,1,MATCH(D1087,'Residual Config'!$B$27:$D$27,0)),INDEX('Residual Config'!$B$28:$D$30,IF(T1087=1,1,IF(T1087=4,3,2)),MATCH(D1087,'Residual Config'!$B$27:$D$27,0)))))</f>
        <v>46446</v>
      </c>
      <c r="Z1087" s="7" t="str">
        <f aca="false">IF(I1087="N/A","N/A",IF(N1087="","Not tested",IF(W1087="Rejected","Evidence rejected",IF(W1087&lt;&gt;"Accepted","Evidence pending",IF(Y1087&lt;'Residual Config'!$C$4,"Overdue","Current")))))</f>
        <v>Current</v>
      </c>
      <c r="AA1087" s="34" t="n">
        <f aca="false">IF(I1087="N/A","",IF(Z1087&lt;&gt;"Current",4,IF(MAX(M1087,T1087)=0,4,MAX(M1087,T1087))))</f>
        <v>2</v>
      </c>
      <c r="AB1087" s="7" t="str">
        <f aca="false">IF(AA1087="","N/A",IF(Z1087&lt;&gt;"Current","Not tested / overdue",INDEX('Residual Config'!$B$11:$B$14,AA1087)))</f>
        <v>Largely effective</v>
      </c>
      <c r="AC1087" s="36" t="n">
        <f aca="false">IF(AA1087="","",INDEX('Residual Config'!$D$11:$D$14,AA1087))</f>
        <v>0.4</v>
      </c>
      <c r="AD1087" s="7" t="str">
        <f aca="false">IF(OR(I1087="N/A",P1087="",Q1087=""),"",IF(P1087&gt;=Q1087,"Yes","No"))</f>
        <v>Yes</v>
      </c>
      <c r="AE1087" s="8"/>
    </row>
    <row r="1088" customFormat="false" ht="15" hidden="false" customHeight="false" outlineLevel="0" collapsed="false">
      <c r="A1088" s="12" t="s">
        <v>3443</v>
      </c>
      <c r="B1088" s="26" t="str">
        <f aca="false">Entities!$A$30</f>
        <v>CH</v>
      </c>
      <c r="C1088" s="12" t="str">
        <f aca="false">INDEX(Entities!$B$5:$B$34,MATCH(B1088,Entities!$A$5:$A$34,0))</f>
        <v>Arab Bank (Switzerland) – sister company</v>
      </c>
      <c r="D1088" s="7" t="str">
        <f aca="false">INDEX(Entities!$F$5:$F$34,MATCH(B1088,Entities!$A$5:$A$34,0))</f>
        <v>Tier 1</v>
      </c>
      <c r="E1088" s="26" t="str">
        <f aca="false">'Control Library'!$A$13</f>
        <v>CTL-SAN-01</v>
      </c>
      <c r="F1088" s="12" t="str">
        <f aca="false">INDEX('Control Library'!$B$5:$B$47,MATCH(E1088,'Control Library'!$A$5:$A$47,0))</f>
        <v>Real-time payment and transaction sanctions screening</v>
      </c>
      <c r="G1088" s="7" t="str">
        <f aca="false">INDEX('Control Library'!$F$5:$F$47,MATCH(E1088,'Control Library'!$A$5:$A$47,0))</f>
        <v>Y</v>
      </c>
      <c r="H1088" s="12" t="str">
        <f aca="false">INDEX('Control Library'!$E$5:$E$47,MATCH(E1088,'Control Library'!$A$5:$A$47,0))</f>
        <v>Continuous</v>
      </c>
      <c r="I1088" s="7" t="str">
        <f aca="false">IF(INDEX('Control Library'!$I$5:$I$47,MATCH(E1088,'Control Library'!$A$5:$A$47,0))="All","Y",IF(INDEX('Control Library'!$I$5:$I$47,MATCH(E1088,'Control Library'!$A$5:$A$47,0))="Banks only",IF(COUNTIF('Residual Config'!$L$28:$L$30,INDEX(Entities!$E$5:$E$34,MATCH(B1088,Entities!$A$5:$A$34,0)))&gt;0,"N/A","Y"),IF(INDEX(Entities!$G$5:$G$34,MATCH(B1088,Entities!$A$5:$A$34,0))="Y","Y","N/A")))</f>
        <v>Y</v>
      </c>
      <c r="J1088" s="8" t="s">
        <v>3444</v>
      </c>
      <c r="K1088" s="8" t="s">
        <v>752</v>
      </c>
      <c r="L1088" s="7" t="str">
        <f aca="false">IF(OR(J1088="",K1088=""),"",IF(J1088=K1088,"Breach","OK"))</f>
        <v>OK</v>
      </c>
      <c r="M1088" s="24" t="n">
        <v>1</v>
      </c>
      <c r="N1088" s="50" t="n">
        <v>46282</v>
      </c>
      <c r="O1088" s="8" t="s">
        <v>547</v>
      </c>
      <c r="P1088" s="24" t="n">
        <v>1</v>
      </c>
      <c r="Q1088" s="31" t="n">
        <f aca="false">IF(I1088="N/A","",IFERROR(INDEX('Residual Config'!$B$35:$B$42,MATCH(H1088,'Residual Config'!$A$35:$A$42,0)),""))</f>
        <v>1</v>
      </c>
      <c r="R1088" s="24" t="n">
        <v>0</v>
      </c>
      <c r="S1088" s="8" t="s">
        <v>516</v>
      </c>
      <c r="T1088" s="31" t="n">
        <f aca="false">IF(S1088="","",MATCH(S1088,'Residual Config'!$L$9:$L$12,0))</f>
        <v>1</v>
      </c>
      <c r="U1088" s="8" t="s">
        <v>3445</v>
      </c>
      <c r="V1088" s="24" t="n">
        <v>1</v>
      </c>
      <c r="W1088" s="33" t="s">
        <v>533</v>
      </c>
      <c r="X1088" s="8" t="s">
        <v>760</v>
      </c>
      <c r="Y1088" s="51" t="n">
        <f aca="false">IF(N1088="","",EDATE(N1088,IF(G1088="N",INDEX('Residual Config'!$B$31:$D$31,1,MATCH(D1088,'Residual Config'!$B$27:$D$27,0)),INDEX('Residual Config'!$B$28:$D$30,IF(T1088=1,1,IF(T1088=4,3,2)),MATCH(D1088,'Residual Config'!$B$27:$D$27,0)))))</f>
        <v>46463</v>
      </c>
      <c r="Z1088" s="7" t="str">
        <f aca="false">IF(I1088="N/A","N/A",IF(N1088="","Not tested",IF(W1088="Rejected","Evidence rejected",IF(W1088&lt;&gt;"Accepted","Evidence pending",IF(Y1088&lt;'Residual Config'!$C$4,"Overdue","Current")))))</f>
        <v>Current</v>
      </c>
      <c r="AA1088" s="34" t="n">
        <f aca="false">IF(I1088="N/A","",IF(Z1088&lt;&gt;"Current",4,IF(MAX(M1088,T1088)=0,4,MAX(M1088,T1088))))</f>
        <v>1</v>
      </c>
      <c r="AB1088" s="7" t="str">
        <f aca="false">IF(AA1088="","N/A",IF(Z1088&lt;&gt;"Current","Not tested / overdue",INDEX('Residual Config'!$B$11:$B$14,AA1088)))</f>
        <v>Effective</v>
      </c>
      <c r="AC1088" s="36" t="n">
        <f aca="false">IF(AA1088="","",INDEX('Residual Config'!$D$11:$D$14,AA1088))</f>
        <v>0.6</v>
      </c>
      <c r="AD1088" s="7" t="str">
        <f aca="false">IF(OR(I1088="N/A",P1088="",Q1088=""),"",IF(P1088&gt;=Q1088,"Yes","No"))</f>
        <v>Yes</v>
      </c>
      <c r="AE1088" s="8"/>
    </row>
    <row r="1089" customFormat="false" ht="15" hidden="false" customHeight="false" outlineLevel="0" collapsed="false">
      <c r="A1089" s="12" t="s">
        <v>3446</v>
      </c>
      <c r="B1089" s="26" t="str">
        <f aca="false">Entities!$A$30</f>
        <v>CH</v>
      </c>
      <c r="C1089" s="12" t="str">
        <f aca="false">INDEX(Entities!$B$5:$B$34,MATCH(B1089,Entities!$A$5:$A$34,0))</f>
        <v>Arab Bank (Switzerland) – sister company</v>
      </c>
      <c r="D1089" s="7" t="str">
        <f aca="false">INDEX(Entities!$F$5:$F$34,MATCH(B1089,Entities!$A$5:$A$34,0))</f>
        <v>Tier 1</v>
      </c>
      <c r="E1089" s="26" t="str">
        <f aca="false">'Control Library'!$A$14</f>
        <v>CTL-SAN-02</v>
      </c>
      <c r="F1089" s="12" t="str">
        <f aca="false">INDEX('Control Library'!$B$5:$B$47,MATCH(E1089,'Control Library'!$A$5:$A$47,0))</f>
        <v>Customer and counterparty screening at onboarding and on list change</v>
      </c>
      <c r="G1089" s="7" t="str">
        <f aca="false">INDEX('Control Library'!$F$5:$F$47,MATCH(E1089,'Control Library'!$A$5:$A$47,0))</f>
        <v>Y</v>
      </c>
      <c r="H1089" s="12" t="str">
        <f aca="false">INDEX('Control Library'!$E$5:$E$47,MATCH(E1089,'Control Library'!$A$5:$A$47,0))</f>
        <v>Continuous</v>
      </c>
      <c r="I1089" s="7" t="str">
        <f aca="false">IF(INDEX('Control Library'!$I$5:$I$47,MATCH(E1089,'Control Library'!$A$5:$A$47,0))="All","Y",IF(INDEX('Control Library'!$I$5:$I$47,MATCH(E1089,'Control Library'!$A$5:$A$47,0))="Banks only",IF(COUNTIF('Residual Config'!$L$28:$L$30,INDEX(Entities!$E$5:$E$34,MATCH(B1089,Entities!$A$5:$A$34,0)))&gt;0,"N/A","Y"),IF(INDEX(Entities!$G$5:$G$34,MATCH(B1089,Entities!$A$5:$A$34,0))="Y","Y","N/A")))</f>
        <v>Y</v>
      </c>
      <c r="J1089" s="8" t="s">
        <v>3444</v>
      </c>
      <c r="K1089" s="8" t="s">
        <v>752</v>
      </c>
      <c r="L1089" s="7" t="str">
        <f aca="false">IF(OR(J1089="",K1089=""),"",IF(J1089=K1089,"Breach","OK"))</f>
        <v>OK</v>
      </c>
      <c r="M1089" s="24" t="n">
        <v>2</v>
      </c>
      <c r="N1089" s="50" t="n">
        <v>46253</v>
      </c>
      <c r="O1089" s="8" t="s">
        <v>547</v>
      </c>
      <c r="P1089" s="24" t="n">
        <v>1</v>
      </c>
      <c r="Q1089" s="31" t="n">
        <f aca="false">IF(I1089="N/A","",IFERROR(INDEX('Residual Config'!$B$35:$B$42,MATCH(H1089,'Residual Config'!$A$35:$A$42,0)),""))</f>
        <v>1</v>
      </c>
      <c r="R1089" s="24" t="n">
        <v>1</v>
      </c>
      <c r="S1089" s="8" t="s">
        <v>521</v>
      </c>
      <c r="T1089" s="31" t="n">
        <f aca="false">IF(S1089="","",MATCH(S1089,'Residual Config'!$L$9:$L$12,0))</f>
        <v>2</v>
      </c>
      <c r="U1089" s="8" t="s">
        <v>3447</v>
      </c>
      <c r="V1089" s="24" t="n">
        <v>4</v>
      </c>
      <c r="W1089" s="33" t="s">
        <v>536</v>
      </c>
      <c r="X1089" s="8"/>
      <c r="Y1089" s="51" t="n">
        <f aca="false">IF(N1089="","",EDATE(N1089,IF(G1089="N",INDEX('Residual Config'!$B$31:$D$31,1,MATCH(D1089,'Residual Config'!$B$27:$D$27,0)),INDEX('Residual Config'!$B$28:$D$30,IF(T1089=1,1,IF(T1089=4,3,2)),MATCH(D1089,'Residual Config'!$B$27:$D$27,0)))))</f>
        <v>46345</v>
      </c>
      <c r="Z1089" s="7" t="str">
        <f aca="false">IF(I1089="N/A","N/A",IF(N1089="","Not tested",IF(W1089="Rejected","Evidence rejected",IF(W1089&lt;&gt;"Accepted","Evidence pending",IF(Y1089&lt;'Residual Config'!$C$4,"Overdue","Current")))))</f>
        <v>Evidence pending</v>
      </c>
      <c r="AA1089" s="34" t="n">
        <f aca="false">IF(I1089="N/A","",IF(Z1089&lt;&gt;"Current",4,IF(MAX(M1089,T1089)=0,4,MAX(M1089,T1089))))</f>
        <v>4</v>
      </c>
      <c r="AB1089" s="7" t="str">
        <f aca="false">IF(AA1089="","N/A",IF(Z1089&lt;&gt;"Current","Not tested / overdue",INDEX('Residual Config'!$B$11:$B$14,AA1089)))</f>
        <v>Not tested / overdue</v>
      </c>
      <c r="AC1089" s="36" t="n">
        <f aca="false">IF(AA1089="","",INDEX('Residual Config'!$D$11:$D$14,AA1089))</f>
        <v>0</v>
      </c>
      <c r="AD1089" s="7" t="str">
        <f aca="false">IF(OR(I1089="N/A",P1089="",Q1089=""),"",IF(P1089&gt;=Q1089,"Yes","No"))</f>
        <v>Yes</v>
      </c>
      <c r="AE1089" s="8"/>
    </row>
    <row r="1090" customFormat="false" ht="15" hidden="false" customHeight="false" outlineLevel="0" collapsed="false">
      <c r="A1090" s="12" t="s">
        <v>3448</v>
      </c>
      <c r="B1090" s="26" t="str">
        <f aca="false">Entities!$A$30</f>
        <v>CH</v>
      </c>
      <c r="C1090" s="12" t="str">
        <f aca="false">INDEX(Entities!$B$5:$B$34,MATCH(B1090,Entities!$A$5:$A$34,0))</f>
        <v>Arab Bank (Switzerland) – sister company</v>
      </c>
      <c r="D1090" s="7" t="str">
        <f aca="false">INDEX(Entities!$F$5:$F$34,MATCH(B1090,Entities!$A$5:$A$34,0))</f>
        <v>Tier 1</v>
      </c>
      <c r="E1090" s="26" t="str">
        <f aca="false">'Control Library'!$A$15</f>
        <v>CTL-SAN-03</v>
      </c>
      <c r="F1090" s="12" t="str">
        <f aca="false">INDEX('Control Library'!$B$5:$B$47,MATCH(E1090,'Control Library'!$A$5:$A$47,0))</f>
        <v>Sanctions list updates applied within 24 hours</v>
      </c>
      <c r="G1090" s="7" t="str">
        <f aca="false">INDEX('Control Library'!$F$5:$F$47,MATCH(E1090,'Control Library'!$A$5:$A$47,0))</f>
        <v>N</v>
      </c>
      <c r="H1090" s="12" t="str">
        <f aca="false">INDEX('Control Library'!$E$5:$E$47,MATCH(E1090,'Control Library'!$A$5:$A$47,0))</f>
        <v>Daily</v>
      </c>
      <c r="I1090" s="7" t="str">
        <f aca="false">IF(INDEX('Control Library'!$I$5:$I$47,MATCH(E1090,'Control Library'!$A$5:$A$47,0))="All","Y",IF(INDEX('Control Library'!$I$5:$I$47,MATCH(E1090,'Control Library'!$A$5:$A$47,0))="Banks only",IF(COUNTIF('Residual Config'!$L$28:$L$30,INDEX(Entities!$E$5:$E$34,MATCH(B1090,Entities!$A$5:$A$34,0)))&gt;0,"N/A","Y"),IF(INDEX(Entities!$G$5:$G$34,MATCH(B1090,Entities!$A$5:$A$34,0))="Y","Y","N/A")))</f>
        <v>Y</v>
      </c>
      <c r="J1090" s="8" t="s">
        <v>3449</v>
      </c>
      <c r="K1090" s="8" t="s">
        <v>3434</v>
      </c>
      <c r="L1090" s="7" t="str">
        <f aca="false">IF(OR(J1090="",K1090=""),"",IF(J1090=K1090,"Breach","OK"))</f>
        <v>OK</v>
      </c>
      <c r="M1090" s="24" t="n">
        <v>2</v>
      </c>
      <c r="N1090" s="50" t="n">
        <v>46056</v>
      </c>
      <c r="O1090" s="8" t="s">
        <v>545</v>
      </c>
      <c r="P1090" s="24" t="n">
        <v>25</v>
      </c>
      <c r="Q1090" s="31" t="n">
        <f aca="false">IF(I1090="N/A","",IFERROR(INDEX('Residual Config'!$B$35:$B$42,MATCH(H1090,'Residual Config'!$A$35:$A$42,0)),""))</f>
        <v>25</v>
      </c>
      <c r="R1090" s="24" t="n">
        <v>0</v>
      </c>
      <c r="S1090" s="8" t="s">
        <v>516</v>
      </c>
      <c r="T1090" s="31" t="n">
        <f aca="false">IF(S1090="","",MATCH(S1090,'Residual Config'!$L$9:$L$12,0))</f>
        <v>1</v>
      </c>
      <c r="U1090" s="8" t="s">
        <v>3450</v>
      </c>
      <c r="V1090" s="24" t="n">
        <v>5</v>
      </c>
      <c r="W1090" s="33" t="s">
        <v>536</v>
      </c>
      <c r="X1090" s="8"/>
      <c r="Y1090" s="51" t="n">
        <f aca="false">IF(N1090="","",EDATE(N1090,IF(G1090="N",INDEX('Residual Config'!$B$31:$D$31,1,MATCH(D1090,'Residual Config'!$B$27:$D$27,0)),INDEX('Residual Config'!$B$28:$D$30,IF(T1090=1,1,IF(T1090=4,3,2)),MATCH(D1090,'Residual Config'!$B$27:$D$27,0)))))</f>
        <v>46421</v>
      </c>
      <c r="Z1090" s="7" t="str">
        <f aca="false">IF(I1090="N/A","N/A",IF(N1090="","Not tested",IF(W1090="Rejected","Evidence rejected",IF(W1090&lt;&gt;"Accepted","Evidence pending",IF(Y1090&lt;'Residual Config'!$C$4,"Overdue","Current")))))</f>
        <v>Evidence pending</v>
      </c>
      <c r="AA1090" s="34" t="n">
        <f aca="false">IF(I1090="N/A","",IF(Z1090&lt;&gt;"Current",4,IF(MAX(M1090,T1090)=0,4,MAX(M1090,T1090))))</f>
        <v>4</v>
      </c>
      <c r="AB1090" s="7" t="str">
        <f aca="false">IF(AA1090="","N/A",IF(Z1090&lt;&gt;"Current","Not tested / overdue",INDEX('Residual Config'!$B$11:$B$14,AA1090)))</f>
        <v>Not tested / overdue</v>
      </c>
      <c r="AC1090" s="36" t="n">
        <f aca="false">IF(AA1090="","",INDEX('Residual Config'!$D$11:$D$14,AA1090))</f>
        <v>0</v>
      </c>
      <c r="AD1090" s="7" t="str">
        <f aca="false">IF(OR(I1090="N/A",P1090="",Q1090=""),"",IF(P1090&gt;=Q1090,"Yes","No"))</f>
        <v>Yes</v>
      </c>
      <c r="AE1090" s="8"/>
    </row>
    <row r="1091" customFormat="false" ht="15" hidden="false" customHeight="false" outlineLevel="0" collapsed="false">
      <c r="A1091" s="12" t="s">
        <v>3451</v>
      </c>
      <c r="B1091" s="26" t="str">
        <f aca="false">Entities!$A$30</f>
        <v>CH</v>
      </c>
      <c r="C1091" s="12" t="str">
        <f aca="false">INDEX(Entities!$B$5:$B$34,MATCH(B1091,Entities!$A$5:$A$34,0))</f>
        <v>Arab Bank (Switzerland) – sister company</v>
      </c>
      <c r="D1091" s="7" t="str">
        <f aca="false">INDEX(Entities!$F$5:$F$34,MATCH(B1091,Entities!$A$5:$A$34,0))</f>
        <v>Tier 1</v>
      </c>
      <c r="E1091" s="26" t="str">
        <f aca="false">'Control Library'!$A$16</f>
        <v>CTL-TF-01</v>
      </c>
      <c r="F1091" s="12" t="str">
        <f aca="false">INDEX('Control Library'!$B$5:$B$47,MATCH(E1091,'Control Library'!$A$5:$A$47,0))</f>
        <v>NPO and charity enhanced due diligence</v>
      </c>
      <c r="G1091" s="7" t="str">
        <f aca="false">INDEX('Control Library'!$F$5:$F$47,MATCH(E1091,'Control Library'!$A$5:$A$47,0))</f>
        <v>N</v>
      </c>
      <c r="H1091" s="12" t="str">
        <f aca="false">INDEX('Control Library'!$E$5:$E$47,MATCH(E1091,'Control Library'!$A$5:$A$47,0))</f>
        <v>Event-driven</v>
      </c>
      <c r="I1091" s="7" t="str">
        <f aca="false">IF(INDEX('Control Library'!$I$5:$I$47,MATCH(E1091,'Control Library'!$A$5:$A$47,0))="All","Y",IF(INDEX('Control Library'!$I$5:$I$47,MATCH(E1091,'Control Library'!$A$5:$A$47,0))="Banks only",IF(COUNTIF('Residual Config'!$L$28:$L$30,INDEX(Entities!$E$5:$E$34,MATCH(B1091,Entities!$A$5:$A$34,0)))&gt;0,"N/A","Y"),IF(INDEX(Entities!$G$5:$G$34,MATCH(B1091,Entities!$A$5:$A$34,0))="Y","Y","N/A")))</f>
        <v>Y</v>
      </c>
      <c r="J1091" s="8" t="s">
        <v>3452</v>
      </c>
      <c r="K1091" s="8" t="s">
        <v>3434</v>
      </c>
      <c r="L1091" s="7" t="str">
        <f aca="false">IF(OR(J1091="",K1091=""),"",IF(J1091=K1091,"Breach","OK"))</f>
        <v>OK</v>
      </c>
      <c r="M1091" s="24" t="n">
        <v>1</v>
      </c>
      <c r="N1091" s="50" t="n">
        <v>46094</v>
      </c>
      <c r="O1091" s="8" t="s">
        <v>545</v>
      </c>
      <c r="P1091" s="24" t="n">
        <v>30</v>
      </c>
      <c r="Q1091" s="31" t="n">
        <f aca="false">IF(I1091="N/A","",IFERROR(INDEX('Residual Config'!$B$35:$B$42,MATCH(H1091,'Residual Config'!$A$35:$A$42,0)),""))</f>
        <v>25</v>
      </c>
      <c r="R1091" s="24" t="n">
        <v>0</v>
      </c>
      <c r="S1091" s="8" t="s">
        <v>516</v>
      </c>
      <c r="T1091" s="31" t="n">
        <f aca="false">IF(S1091="","",MATCH(S1091,'Residual Config'!$L$9:$L$12,0))</f>
        <v>1</v>
      </c>
      <c r="U1091" s="8" t="s">
        <v>3453</v>
      </c>
      <c r="V1091" s="24" t="n">
        <v>2</v>
      </c>
      <c r="W1091" s="33" t="s">
        <v>533</v>
      </c>
      <c r="X1091" s="8" t="s">
        <v>754</v>
      </c>
      <c r="Y1091" s="51" t="n">
        <f aca="false">IF(N1091="","",EDATE(N1091,IF(G1091="N",INDEX('Residual Config'!$B$31:$D$31,1,MATCH(D1091,'Residual Config'!$B$27:$D$27,0)),INDEX('Residual Config'!$B$28:$D$30,IF(T1091=1,1,IF(T1091=4,3,2)),MATCH(D1091,'Residual Config'!$B$27:$D$27,0)))))</f>
        <v>46459</v>
      </c>
      <c r="Z1091" s="7" t="str">
        <f aca="false">IF(I1091="N/A","N/A",IF(N1091="","Not tested",IF(W1091="Rejected","Evidence rejected",IF(W1091&lt;&gt;"Accepted","Evidence pending",IF(Y1091&lt;'Residual Config'!$C$4,"Overdue","Current")))))</f>
        <v>Current</v>
      </c>
      <c r="AA1091" s="34" t="n">
        <f aca="false">IF(I1091="N/A","",IF(Z1091&lt;&gt;"Current",4,IF(MAX(M1091,T1091)=0,4,MAX(M1091,T1091))))</f>
        <v>1</v>
      </c>
      <c r="AB1091" s="7" t="str">
        <f aca="false">IF(AA1091="","N/A",IF(Z1091&lt;&gt;"Current","Not tested / overdue",INDEX('Residual Config'!$B$11:$B$14,AA1091)))</f>
        <v>Effective</v>
      </c>
      <c r="AC1091" s="36" t="n">
        <f aca="false">IF(AA1091="","",INDEX('Residual Config'!$D$11:$D$14,AA1091))</f>
        <v>0.6</v>
      </c>
      <c r="AD1091" s="7" t="str">
        <f aca="false">IF(OR(I1091="N/A",P1091="",Q1091=""),"",IF(P1091&gt;=Q1091,"Yes","No"))</f>
        <v>Yes</v>
      </c>
      <c r="AE1091" s="8"/>
    </row>
    <row r="1092" customFormat="false" ht="15" hidden="false" customHeight="false" outlineLevel="0" collapsed="false">
      <c r="A1092" s="12" t="s">
        <v>3454</v>
      </c>
      <c r="B1092" s="26" t="str">
        <f aca="false">Entities!$A$30</f>
        <v>CH</v>
      </c>
      <c r="C1092" s="12" t="str">
        <f aca="false">INDEX(Entities!$B$5:$B$34,MATCH(B1092,Entities!$A$5:$A$34,0))</f>
        <v>Arab Bank (Switzerland) – sister company</v>
      </c>
      <c r="D1092" s="7" t="str">
        <f aca="false">INDEX(Entities!$F$5:$F$34,MATCH(B1092,Entities!$A$5:$A$34,0))</f>
        <v>Tier 1</v>
      </c>
      <c r="E1092" s="26" t="str">
        <f aca="false">'Control Library'!$A$17</f>
        <v>CTL-TBML-01</v>
      </c>
      <c r="F1092" s="12" t="str">
        <f aca="false">INDEX('Control Library'!$B$5:$B$47,MATCH(E1092,'Control Library'!$A$5:$A$47,0))</f>
        <v>Trade-based ML red-flag review and pricing checks</v>
      </c>
      <c r="G1092" s="7" t="str">
        <f aca="false">INDEX('Control Library'!$F$5:$F$47,MATCH(E1092,'Control Library'!$A$5:$A$47,0))</f>
        <v>Y</v>
      </c>
      <c r="H1092" s="12" t="str">
        <f aca="false">INDEX('Control Library'!$E$5:$E$47,MATCH(E1092,'Control Library'!$A$5:$A$47,0))</f>
        <v>Event-driven</v>
      </c>
      <c r="I1092" s="7" t="str">
        <f aca="false">IF(INDEX('Control Library'!$I$5:$I$47,MATCH(E1092,'Control Library'!$A$5:$A$47,0))="All","Y",IF(INDEX('Control Library'!$I$5:$I$47,MATCH(E1092,'Control Library'!$A$5:$A$47,0))="Banks only",IF(COUNTIF('Residual Config'!$L$28:$L$30,INDEX(Entities!$E$5:$E$34,MATCH(B1092,Entities!$A$5:$A$34,0)))&gt;0,"N/A","Y"),IF(INDEX(Entities!$G$5:$G$34,MATCH(B1092,Entities!$A$5:$A$34,0))="Y","Y","N/A")))</f>
        <v>Y</v>
      </c>
      <c r="J1092" s="8" t="s">
        <v>3455</v>
      </c>
      <c r="K1092" s="8" t="s">
        <v>752</v>
      </c>
      <c r="L1092" s="7" t="str">
        <f aca="false">IF(OR(J1092="",K1092=""),"",IF(J1092=K1092,"Breach","OK"))</f>
        <v>OK</v>
      </c>
      <c r="M1092" s="24" t="n">
        <v>1</v>
      </c>
      <c r="N1092" s="50" t="n">
        <v>46247</v>
      </c>
      <c r="O1092" s="8" t="s">
        <v>546</v>
      </c>
      <c r="P1092" s="24" t="n">
        <v>25</v>
      </c>
      <c r="Q1092" s="31" t="n">
        <f aca="false">IF(I1092="N/A","",IFERROR(INDEX('Residual Config'!$B$35:$B$42,MATCH(H1092,'Residual Config'!$A$35:$A$42,0)),""))</f>
        <v>25</v>
      </c>
      <c r="R1092" s="24" t="n">
        <v>0</v>
      </c>
      <c r="S1092" s="8" t="s">
        <v>516</v>
      </c>
      <c r="T1092" s="31" t="n">
        <f aca="false">IF(S1092="","",MATCH(S1092,'Residual Config'!$L$9:$L$12,0))</f>
        <v>1</v>
      </c>
      <c r="U1092" s="8" t="s">
        <v>3456</v>
      </c>
      <c r="V1092" s="24" t="n">
        <v>3</v>
      </c>
      <c r="W1092" s="33" t="s">
        <v>533</v>
      </c>
      <c r="X1092" s="8" t="s">
        <v>760</v>
      </c>
      <c r="Y1092" s="51" t="n">
        <f aca="false">IF(N1092="","",EDATE(N1092,IF(G1092="N",INDEX('Residual Config'!$B$31:$D$31,1,MATCH(D1092,'Residual Config'!$B$27:$D$27,0)),INDEX('Residual Config'!$B$28:$D$30,IF(T1092=1,1,IF(T1092=4,3,2)),MATCH(D1092,'Residual Config'!$B$27:$D$27,0)))))</f>
        <v>46431</v>
      </c>
      <c r="Z1092" s="7" t="str">
        <f aca="false">IF(I1092="N/A","N/A",IF(N1092="","Not tested",IF(W1092="Rejected","Evidence rejected",IF(W1092&lt;&gt;"Accepted","Evidence pending",IF(Y1092&lt;'Residual Config'!$C$4,"Overdue","Current")))))</f>
        <v>Current</v>
      </c>
      <c r="AA1092" s="34" t="n">
        <f aca="false">IF(I1092="N/A","",IF(Z1092&lt;&gt;"Current",4,IF(MAX(M1092,T1092)=0,4,MAX(M1092,T1092))))</f>
        <v>1</v>
      </c>
      <c r="AB1092" s="7" t="str">
        <f aca="false">IF(AA1092="","N/A",IF(Z1092&lt;&gt;"Current","Not tested / overdue",INDEX('Residual Config'!$B$11:$B$14,AA1092)))</f>
        <v>Effective</v>
      </c>
      <c r="AC1092" s="36" t="n">
        <f aca="false">IF(AA1092="","",INDEX('Residual Config'!$D$11:$D$14,AA1092))</f>
        <v>0.6</v>
      </c>
      <c r="AD1092" s="7" t="str">
        <f aca="false">IF(OR(I1092="N/A",P1092="",Q1092=""),"",IF(P1092&gt;=Q1092,"Yes","No"))</f>
        <v>Yes</v>
      </c>
      <c r="AE1092" s="8"/>
    </row>
    <row r="1093" customFormat="false" ht="15" hidden="false" customHeight="false" outlineLevel="0" collapsed="false">
      <c r="A1093" s="12" t="s">
        <v>3457</v>
      </c>
      <c r="B1093" s="26" t="str">
        <f aca="false">Entities!$A$30</f>
        <v>CH</v>
      </c>
      <c r="C1093" s="12" t="str">
        <f aca="false">INDEX(Entities!$B$5:$B$34,MATCH(B1093,Entities!$A$5:$A$34,0))</f>
        <v>Arab Bank (Switzerland) – sister company</v>
      </c>
      <c r="D1093" s="7" t="str">
        <f aca="false">INDEX(Entities!$F$5:$F$34,MATCH(B1093,Entities!$A$5:$A$34,0))</f>
        <v>Tier 1</v>
      </c>
      <c r="E1093" s="26" t="str">
        <f aca="false">'Control Library'!$A$18</f>
        <v>CTL-PF-01</v>
      </c>
      <c r="F1093" s="12" t="str">
        <f aca="false">INDEX('Control Library'!$B$5:$B$47,MATCH(E1093,'Control Library'!$A$5:$A$47,0))</f>
        <v>Dual-use goods, vessel and port screening</v>
      </c>
      <c r="G1093" s="7" t="str">
        <f aca="false">INDEX('Control Library'!$F$5:$F$47,MATCH(E1093,'Control Library'!$A$5:$A$47,0))</f>
        <v>Y</v>
      </c>
      <c r="H1093" s="12" t="str">
        <f aca="false">INDEX('Control Library'!$E$5:$E$47,MATCH(E1093,'Control Library'!$A$5:$A$47,0))</f>
        <v>Event-driven</v>
      </c>
      <c r="I1093" s="7" t="str">
        <f aca="false">IF(INDEX('Control Library'!$I$5:$I$47,MATCH(E1093,'Control Library'!$A$5:$A$47,0))="All","Y",IF(INDEX('Control Library'!$I$5:$I$47,MATCH(E1093,'Control Library'!$A$5:$A$47,0))="Banks only",IF(COUNTIF('Residual Config'!$L$28:$L$30,INDEX(Entities!$E$5:$E$34,MATCH(B1093,Entities!$A$5:$A$34,0)))&gt;0,"N/A","Y"),IF(INDEX(Entities!$G$5:$G$34,MATCH(B1093,Entities!$A$5:$A$34,0))="Y","Y","N/A")))</f>
        <v>Y</v>
      </c>
      <c r="J1093" s="8" t="s">
        <v>3455</v>
      </c>
      <c r="K1093" s="8" t="s">
        <v>752</v>
      </c>
      <c r="L1093" s="7" t="str">
        <f aca="false">IF(OR(J1093="",K1093=""),"",IF(J1093=K1093,"Breach","OK"))</f>
        <v>OK</v>
      </c>
      <c r="M1093" s="24" t="n">
        <v>2</v>
      </c>
      <c r="N1093" s="50" t="n">
        <v>46155</v>
      </c>
      <c r="O1093" s="8" t="s">
        <v>545</v>
      </c>
      <c r="P1093" s="24" t="n">
        <v>30</v>
      </c>
      <c r="Q1093" s="31" t="n">
        <f aca="false">IF(I1093="N/A","",IFERROR(INDEX('Residual Config'!$B$35:$B$42,MATCH(H1093,'Residual Config'!$A$35:$A$42,0)),""))</f>
        <v>25</v>
      </c>
      <c r="R1093" s="24" t="n">
        <v>0</v>
      </c>
      <c r="S1093" s="8" t="s">
        <v>516</v>
      </c>
      <c r="T1093" s="31" t="n">
        <f aca="false">IF(S1093="","",MATCH(S1093,'Residual Config'!$L$9:$L$12,0))</f>
        <v>1</v>
      </c>
      <c r="U1093" s="8" t="s">
        <v>3458</v>
      </c>
      <c r="V1093" s="24" t="n">
        <v>1</v>
      </c>
      <c r="W1093" s="33" t="s">
        <v>533</v>
      </c>
      <c r="X1093" s="8" t="s">
        <v>754</v>
      </c>
      <c r="Y1093" s="51" t="n">
        <f aca="false">IF(N1093="","",EDATE(N1093,IF(G1093="N",INDEX('Residual Config'!$B$31:$D$31,1,MATCH(D1093,'Residual Config'!$B$27:$D$27,0)),INDEX('Residual Config'!$B$28:$D$30,IF(T1093=1,1,IF(T1093=4,3,2)),MATCH(D1093,'Residual Config'!$B$27:$D$27,0)))))</f>
        <v>46339</v>
      </c>
      <c r="Z1093" s="7" t="str">
        <f aca="false">IF(I1093="N/A","N/A",IF(N1093="","Not tested",IF(W1093="Rejected","Evidence rejected",IF(W1093&lt;&gt;"Accepted","Evidence pending",IF(Y1093&lt;'Residual Config'!$C$4,"Overdue","Current")))))</f>
        <v>Current</v>
      </c>
      <c r="AA1093" s="34" t="n">
        <f aca="false">IF(I1093="N/A","",IF(Z1093&lt;&gt;"Current",4,IF(MAX(M1093,T1093)=0,4,MAX(M1093,T1093))))</f>
        <v>2</v>
      </c>
      <c r="AB1093" s="7" t="str">
        <f aca="false">IF(AA1093="","N/A",IF(Z1093&lt;&gt;"Current","Not tested / overdue",INDEX('Residual Config'!$B$11:$B$14,AA1093)))</f>
        <v>Largely effective</v>
      </c>
      <c r="AC1093" s="36" t="n">
        <f aca="false">IF(AA1093="","",INDEX('Residual Config'!$D$11:$D$14,AA1093))</f>
        <v>0.4</v>
      </c>
      <c r="AD1093" s="7" t="str">
        <f aca="false">IF(OR(I1093="N/A",P1093="",Q1093=""),"",IF(P1093&gt;=Q1093,"Yes","No"))</f>
        <v>Yes</v>
      </c>
      <c r="AE1093" s="8"/>
    </row>
    <row r="1094" customFormat="false" ht="15" hidden="false" customHeight="false" outlineLevel="0" collapsed="false">
      <c r="A1094" s="12" t="s">
        <v>3459</v>
      </c>
      <c r="B1094" s="26" t="str">
        <f aca="false">Entities!$A$30</f>
        <v>CH</v>
      </c>
      <c r="C1094" s="12" t="str">
        <f aca="false">INDEX(Entities!$B$5:$B$34,MATCH(B1094,Entities!$A$5:$A$34,0))</f>
        <v>Arab Bank (Switzerland) – sister company</v>
      </c>
      <c r="D1094" s="7" t="str">
        <f aca="false">INDEX(Entities!$F$5:$F$34,MATCH(B1094,Entities!$A$5:$A$34,0))</f>
        <v>Tier 1</v>
      </c>
      <c r="E1094" s="26" t="str">
        <f aca="false">'Control Library'!$A$19</f>
        <v>CTL-CB-01</v>
      </c>
      <c r="F1094" s="12" t="str">
        <f aca="false">INDEX('Control Library'!$B$5:$B$47,MATCH(E1094,'Control Library'!$A$5:$A$47,0))</f>
        <v>Correspondent bank due diligence (CBDDQ) and nesting detection</v>
      </c>
      <c r="G1094" s="7" t="str">
        <f aca="false">INDEX('Control Library'!$F$5:$F$47,MATCH(E1094,'Control Library'!$A$5:$A$47,0))</f>
        <v>Y</v>
      </c>
      <c r="H1094" s="12" t="str">
        <f aca="false">INDEX('Control Library'!$E$5:$E$47,MATCH(E1094,'Control Library'!$A$5:$A$47,0))</f>
        <v>Annual</v>
      </c>
      <c r="I1094" s="7" t="str">
        <f aca="false">IF(INDEX('Control Library'!$I$5:$I$47,MATCH(E1094,'Control Library'!$A$5:$A$47,0))="All","Y",IF(INDEX('Control Library'!$I$5:$I$47,MATCH(E1094,'Control Library'!$A$5:$A$47,0))="Banks only",IF(COUNTIF('Residual Config'!$L$28:$L$30,INDEX(Entities!$E$5:$E$34,MATCH(B1094,Entities!$A$5:$A$34,0)))&gt;0,"N/A","Y"),IF(INDEX(Entities!$G$5:$G$34,MATCH(B1094,Entities!$A$5:$A$34,0))="Y","Y","N/A")))</f>
        <v>Y</v>
      </c>
      <c r="J1094" s="8" t="s">
        <v>3460</v>
      </c>
      <c r="K1094" s="8" t="s">
        <v>752</v>
      </c>
      <c r="L1094" s="7" t="str">
        <f aca="false">IF(OR(J1094="",K1094=""),"",IF(J1094=K1094,"Breach","OK"))</f>
        <v>OK</v>
      </c>
      <c r="M1094" s="24" t="n">
        <v>2</v>
      </c>
      <c r="N1094" s="50" t="n">
        <v>46220</v>
      </c>
      <c r="O1094" s="8" t="s">
        <v>545</v>
      </c>
      <c r="P1094" s="24" t="n">
        <v>1</v>
      </c>
      <c r="Q1094" s="31" t="n">
        <f aca="false">IF(I1094="N/A","",IFERROR(INDEX('Residual Config'!$B$35:$B$42,MATCH(H1094,'Residual Config'!$A$35:$A$42,0)),""))</f>
        <v>1</v>
      </c>
      <c r="R1094" s="24" t="n">
        <v>0</v>
      </c>
      <c r="S1094" s="8" t="s">
        <v>516</v>
      </c>
      <c r="T1094" s="31" t="n">
        <f aca="false">IF(S1094="","",MATCH(S1094,'Residual Config'!$L$9:$L$12,0))</f>
        <v>1</v>
      </c>
      <c r="U1094" s="8" t="s">
        <v>3461</v>
      </c>
      <c r="V1094" s="24" t="n">
        <v>4</v>
      </c>
      <c r="W1094" s="33" t="s">
        <v>533</v>
      </c>
      <c r="X1094" s="8" t="s">
        <v>754</v>
      </c>
      <c r="Y1094" s="51" t="n">
        <f aca="false">IF(N1094="","",EDATE(N1094,IF(G1094="N",INDEX('Residual Config'!$B$31:$D$31,1,MATCH(D1094,'Residual Config'!$B$27:$D$27,0)),INDEX('Residual Config'!$B$28:$D$30,IF(T1094=1,1,IF(T1094=4,3,2)),MATCH(D1094,'Residual Config'!$B$27:$D$27,0)))))</f>
        <v>46404</v>
      </c>
      <c r="Z1094" s="7" t="str">
        <f aca="false">IF(I1094="N/A","N/A",IF(N1094="","Not tested",IF(W1094="Rejected","Evidence rejected",IF(W1094&lt;&gt;"Accepted","Evidence pending",IF(Y1094&lt;'Residual Config'!$C$4,"Overdue","Current")))))</f>
        <v>Current</v>
      </c>
      <c r="AA1094" s="34" t="n">
        <f aca="false">IF(I1094="N/A","",IF(Z1094&lt;&gt;"Current",4,IF(MAX(M1094,T1094)=0,4,MAX(M1094,T1094))))</f>
        <v>2</v>
      </c>
      <c r="AB1094" s="7" t="str">
        <f aca="false">IF(AA1094="","N/A",IF(Z1094&lt;&gt;"Current","Not tested / overdue",INDEX('Residual Config'!$B$11:$B$14,AA1094)))</f>
        <v>Largely effective</v>
      </c>
      <c r="AC1094" s="36" t="n">
        <f aca="false">IF(AA1094="","",INDEX('Residual Config'!$D$11:$D$14,AA1094))</f>
        <v>0.4</v>
      </c>
      <c r="AD1094" s="7" t="str">
        <f aca="false">IF(OR(I1094="N/A",P1094="",Q1094=""),"",IF(P1094&gt;=Q1094,"Yes","No"))</f>
        <v>Yes</v>
      </c>
      <c r="AE1094" s="8"/>
    </row>
    <row r="1095" customFormat="false" ht="15" hidden="false" customHeight="false" outlineLevel="0" collapsed="false">
      <c r="A1095" s="12" t="s">
        <v>3462</v>
      </c>
      <c r="B1095" s="26" t="str">
        <f aca="false">Entities!$A$30</f>
        <v>CH</v>
      </c>
      <c r="C1095" s="12" t="str">
        <f aca="false">INDEX(Entities!$B$5:$B$34,MATCH(B1095,Entities!$A$5:$A$34,0))</f>
        <v>Arab Bank (Switzerland) – sister company</v>
      </c>
      <c r="D1095" s="7" t="str">
        <f aca="false">INDEX(Entities!$F$5:$F$34,MATCH(B1095,Entities!$A$5:$A$34,0))</f>
        <v>Tier 1</v>
      </c>
      <c r="E1095" s="26" t="str">
        <f aca="false">'Control Library'!$A$20</f>
        <v>CTL-PAY-01</v>
      </c>
      <c r="F1095" s="12" t="str">
        <f aca="false">INDEX('Control Library'!$B$5:$B$47,MATCH(E1095,'Control Library'!$A$5:$A$47,0))</f>
        <v>Payment transparency checks (FATF R.16)</v>
      </c>
      <c r="G1095" s="7" t="str">
        <f aca="false">INDEX('Control Library'!$F$5:$F$47,MATCH(E1095,'Control Library'!$A$5:$A$47,0))</f>
        <v>N</v>
      </c>
      <c r="H1095" s="12" t="str">
        <f aca="false">INDEX('Control Library'!$E$5:$E$47,MATCH(E1095,'Control Library'!$A$5:$A$47,0))</f>
        <v>Continuous</v>
      </c>
      <c r="I1095" s="7" t="str">
        <f aca="false">IF(INDEX('Control Library'!$I$5:$I$47,MATCH(E1095,'Control Library'!$A$5:$A$47,0))="All","Y",IF(INDEX('Control Library'!$I$5:$I$47,MATCH(E1095,'Control Library'!$A$5:$A$47,0))="Banks only",IF(COUNTIF('Residual Config'!$L$28:$L$30,INDEX(Entities!$E$5:$E$34,MATCH(B1095,Entities!$A$5:$A$34,0)))&gt;0,"N/A","Y"),IF(INDEX(Entities!$G$5:$G$34,MATCH(B1095,Entities!$A$5:$A$34,0))="Y","Y","N/A")))</f>
        <v>Y</v>
      </c>
      <c r="J1095" s="8" t="s">
        <v>3463</v>
      </c>
      <c r="K1095" s="8" t="s">
        <v>3434</v>
      </c>
      <c r="L1095" s="7" t="str">
        <f aca="false">IF(OR(J1095="",K1095=""),"",IF(J1095=K1095,"Breach","OK"))</f>
        <v>OK</v>
      </c>
      <c r="M1095" s="24" t="n">
        <v>2</v>
      </c>
      <c r="N1095" s="50" t="n">
        <v>46185</v>
      </c>
      <c r="O1095" s="8" t="s">
        <v>547</v>
      </c>
      <c r="P1095" s="24" t="n">
        <v>1</v>
      </c>
      <c r="Q1095" s="31" t="n">
        <f aca="false">IF(I1095="N/A","",IFERROR(INDEX('Residual Config'!$B$35:$B$42,MATCH(H1095,'Residual Config'!$A$35:$A$42,0)),""))</f>
        <v>1</v>
      </c>
      <c r="R1095" s="24" t="n">
        <v>1</v>
      </c>
      <c r="S1095" s="8" t="s">
        <v>521</v>
      </c>
      <c r="T1095" s="31" t="n">
        <f aca="false">IF(S1095="","",MATCH(S1095,'Residual Config'!$L$9:$L$12,0))</f>
        <v>2</v>
      </c>
      <c r="U1095" s="8" t="s">
        <v>3464</v>
      </c>
      <c r="V1095" s="24" t="n">
        <v>2</v>
      </c>
      <c r="W1095" s="33" t="s">
        <v>533</v>
      </c>
      <c r="X1095" s="8" t="s">
        <v>760</v>
      </c>
      <c r="Y1095" s="51" t="n">
        <f aca="false">IF(N1095="","",EDATE(N1095,IF(G1095="N",INDEX('Residual Config'!$B$31:$D$31,1,MATCH(D1095,'Residual Config'!$B$27:$D$27,0)),INDEX('Residual Config'!$B$28:$D$30,IF(T1095=1,1,IF(T1095=4,3,2)),MATCH(D1095,'Residual Config'!$B$27:$D$27,0)))))</f>
        <v>46550</v>
      </c>
      <c r="Z1095" s="7" t="str">
        <f aca="false">IF(I1095="N/A","N/A",IF(N1095="","Not tested",IF(W1095="Rejected","Evidence rejected",IF(W1095&lt;&gt;"Accepted","Evidence pending",IF(Y1095&lt;'Residual Config'!$C$4,"Overdue","Current")))))</f>
        <v>Current</v>
      </c>
      <c r="AA1095" s="34" t="n">
        <f aca="false">IF(I1095="N/A","",IF(Z1095&lt;&gt;"Current",4,IF(MAX(M1095,T1095)=0,4,MAX(M1095,T1095))))</f>
        <v>2</v>
      </c>
      <c r="AB1095" s="7" t="str">
        <f aca="false">IF(AA1095="","N/A",IF(Z1095&lt;&gt;"Current","Not tested / overdue",INDEX('Residual Config'!$B$11:$B$14,AA1095)))</f>
        <v>Largely effective</v>
      </c>
      <c r="AC1095" s="36" t="n">
        <f aca="false">IF(AA1095="","",INDEX('Residual Config'!$D$11:$D$14,AA1095))</f>
        <v>0.4</v>
      </c>
      <c r="AD1095" s="7" t="str">
        <f aca="false">IF(OR(I1095="N/A",P1095="",Q1095=""),"",IF(P1095&gt;=Q1095,"Yes","No"))</f>
        <v>Yes</v>
      </c>
      <c r="AE1095" s="8"/>
    </row>
    <row r="1096" customFormat="false" ht="15" hidden="false" customHeight="false" outlineLevel="0" collapsed="false">
      <c r="A1096" s="12" t="s">
        <v>3465</v>
      </c>
      <c r="B1096" s="26" t="str">
        <f aca="false">Entities!$A$30</f>
        <v>CH</v>
      </c>
      <c r="C1096" s="12" t="str">
        <f aca="false">INDEX(Entities!$B$5:$B$34,MATCH(B1096,Entities!$A$5:$A$34,0))</f>
        <v>Arab Bank (Switzerland) – sister company</v>
      </c>
      <c r="D1096" s="7" t="str">
        <f aca="false">INDEX(Entities!$F$5:$F$34,MATCH(B1096,Entities!$A$5:$A$34,0))</f>
        <v>Tier 1</v>
      </c>
      <c r="E1096" s="26" t="str">
        <f aca="false">'Control Library'!$A$21</f>
        <v>CTL-ABC-01</v>
      </c>
      <c r="F1096" s="12" t="str">
        <f aca="false">INDEX('Control Library'!$B$5:$B$47,MATCH(E1096,'Control Library'!$A$5:$A$47,0))</f>
        <v>Third-party and intermediary anti-bribery due diligence</v>
      </c>
      <c r="G1096" s="7" t="str">
        <f aca="false">INDEX('Control Library'!$F$5:$F$47,MATCH(E1096,'Control Library'!$A$5:$A$47,0))</f>
        <v>Y</v>
      </c>
      <c r="H1096" s="12" t="str">
        <f aca="false">INDEX('Control Library'!$E$5:$E$47,MATCH(E1096,'Control Library'!$A$5:$A$47,0))</f>
        <v>Event-driven</v>
      </c>
      <c r="I1096" s="7" t="str">
        <f aca="false">IF(INDEX('Control Library'!$I$5:$I$47,MATCH(E1096,'Control Library'!$A$5:$A$47,0))="All","Y",IF(INDEX('Control Library'!$I$5:$I$47,MATCH(E1096,'Control Library'!$A$5:$A$47,0))="Banks only",IF(COUNTIF('Residual Config'!$L$28:$L$30,INDEX(Entities!$E$5:$E$34,MATCH(B1096,Entities!$A$5:$A$34,0)))&gt;0,"N/A","Y"),IF(INDEX(Entities!$G$5:$G$34,MATCH(B1096,Entities!$A$5:$A$34,0))="Y","Y","N/A")))</f>
        <v>Y</v>
      </c>
      <c r="J1096" s="8" t="s">
        <v>3466</v>
      </c>
      <c r="K1096" s="8" t="s">
        <v>752</v>
      </c>
      <c r="L1096" s="7" t="str">
        <f aca="false">IF(OR(J1096="",K1096=""),"",IF(J1096=K1096,"Breach","OK"))</f>
        <v>OK</v>
      </c>
      <c r="M1096" s="24" t="n">
        <v>2</v>
      </c>
      <c r="N1096" s="50" t="n">
        <v>46286</v>
      </c>
      <c r="O1096" s="8" t="s">
        <v>546</v>
      </c>
      <c r="P1096" s="24" t="n">
        <v>25</v>
      </c>
      <c r="Q1096" s="31" t="n">
        <f aca="false">IF(I1096="N/A","",IFERROR(INDEX('Residual Config'!$B$35:$B$42,MATCH(H1096,'Residual Config'!$A$35:$A$42,0)),""))</f>
        <v>25</v>
      </c>
      <c r="R1096" s="24" t="n">
        <v>1</v>
      </c>
      <c r="S1096" s="8" t="s">
        <v>521</v>
      </c>
      <c r="T1096" s="31" t="n">
        <f aca="false">IF(S1096="","",MATCH(S1096,'Residual Config'!$L$9:$L$12,0))</f>
        <v>2</v>
      </c>
      <c r="U1096" s="8" t="s">
        <v>3467</v>
      </c>
      <c r="V1096" s="24" t="n">
        <v>1</v>
      </c>
      <c r="W1096" s="33" t="s">
        <v>533</v>
      </c>
      <c r="X1096" s="8" t="s">
        <v>760</v>
      </c>
      <c r="Y1096" s="51" t="n">
        <f aca="false">IF(N1096="","",EDATE(N1096,IF(G1096="N",INDEX('Residual Config'!$B$31:$D$31,1,MATCH(D1096,'Residual Config'!$B$27:$D$27,0)),INDEX('Residual Config'!$B$28:$D$30,IF(T1096=1,1,IF(T1096=4,3,2)),MATCH(D1096,'Residual Config'!$B$27:$D$27,0)))))</f>
        <v>46377</v>
      </c>
      <c r="Z1096" s="7" t="str">
        <f aca="false">IF(I1096="N/A","N/A",IF(N1096="","Not tested",IF(W1096="Rejected","Evidence rejected",IF(W1096&lt;&gt;"Accepted","Evidence pending",IF(Y1096&lt;'Residual Config'!$C$4,"Overdue","Current")))))</f>
        <v>Current</v>
      </c>
      <c r="AA1096" s="34" t="n">
        <f aca="false">IF(I1096="N/A","",IF(Z1096&lt;&gt;"Current",4,IF(MAX(M1096,T1096)=0,4,MAX(M1096,T1096))))</f>
        <v>2</v>
      </c>
      <c r="AB1096" s="7" t="str">
        <f aca="false">IF(AA1096="","N/A",IF(Z1096&lt;&gt;"Current","Not tested / overdue",INDEX('Residual Config'!$B$11:$B$14,AA1096)))</f>
        <v>Largely effective</v>
      </c>
      <c r="AC1096" s="36" t="n">
        <f aca="false">IF(AA1096="","",INDEX('Residual Config'!$D$11:$D$14,AA1096))</f>
        <v>0.4</v>
      </c>
      <c r="AD1096" s="7" t="str">
        <f aca="false">IF(OR(I1096="N/A",P1096="",Q1096=""),"",IF(P1096&gt;=Q1096,"Yes","No"))</f>
        <v>Yes</v>
      </c>
      <c r="AE1096" s="8"/>
    </row>
    <row r="1097" customFormat="false" ht="15" hidden="false" customHeight="false" outlineLevel="0" collapsed="false">
      <c r="A1097" s="12" t="s">
        <v>3468</v>
      </c>
      <c r="B1097" s="26" t="str">
        <f aca="false">Entities!$A$30</f>
        <v>CH</v>
      </c>
      <c r="C1097" s="12" t="str">
        <f aca="false">INDEX(Entities!$B$5:$B$34,MATCH(B1097,Entities!$A$5:$A$34,0))</f>
        <v>Arab Bank (Switzerland) – sister company</v>
      </c>
      <c r="D1097" s="7" t="str">
        <f aca="false">INDEX(Entities!$F$5:$F$34,MATCH(B1097,Entities!$A$5:$A$34,0))</f>
        <v>Tier 1</v>
      </c>
      <c r="E1097" s="26" t="str">
        <f aca="false">'Control Library'!$A$22</f>
        <v>CTL-ABC-02</v>
      </c>
      <c r="F1097" s="12" t="str">
        <f aca="false">INDEX('Control Library'!$B$5:$B$47,MATCH(E1097,'Control Library'!$A$5:$A$47,0))</f>
        <v>Gifts, hospitality and donations register with pre-approval</v>
      </c>
      <c r="G1097" s="7" t="str">
        <f aca="false">INDEX('Control Library'!$F$5:$F$47,MATCH(E1097,'Control Library'!$A$5:$A$47,0))</f>
        <v>N</v>
      </c>
      <c r="H1097" s="12" t="str">
        <f aca="false">INDEX('Control Library'!$E$5:$E$47,MATCH(E1097,'Control Library'!$A$5:$A$47,0))</f>
        <v>Event-driven</v>
      </c>
      <c r="I1097" s="7" t="str">
        <f aca="false">IF(INDEX('Control Library'!$I$5:$I$47,MATCH(E1097,'Control Library'!$A$5:$A$47,0))="All","Y",IF(INDEX('Control Library'!$I$5:$I$47,MATCH(E1097,'Control Library'!$A$5:$A$47,0))="Banks only",IF(COUNTIF('Residual Config'!$L$28:$L$30,INDEX(Entities!$E$5:$E$34,MATCH(B1097,Entities!$A$5:$A$34,0)))&gt;0,"N/A","Y"),IF(INDEX(Entities!$G$5:$G$34,MATCH(B1097,Entities!$A$5:$A$34,0))="Y","Y","N/A")))</f>
        <v>Y</v>
      </c>
      <c r="J1097" s="8" t="s">
        <v>3427</v>
      </c>
      <c r="K1097" s="8" t="s">
        <v>3434</v>
      </c>
      <c r="L1097" s="7" t="str">
        <f aca="false">IF(OR(J1097="",K1097=""),"",IF(J1097=K1097,"Breach","OK"))</f>
        <v>OK</v>
      </c>
      <c r="M1097" s="24" t="n">
        <v>1</v>
      </c>
      <c r="N1097" s="50" t="n">
        <v>46155</v>
      </c>
      <c r="O1097" s="8" t="s">
        <v>545</v>
      </c>
      <c r="P1097" s="24" t="n">
        <v>25</v>
      </c>
      <c r="Q1097" s="31" t="n">
        <f aca="false">IF(I1097="N/A","",IFERROR(INDEX('Residual Config'!$B$35:$B$42,MATCH(H1097,'Residual Config'!$A$35:$A$42,0)),""))</f>
        <v>25</v>
      </c>
      <c r="R1097" s="24" t="n">
        <v>0</v>
      </c>
      <c r="S1097" s="8" t="s">
        <v>516</v>
      </c>
      <c r="T1097" s="31" t="n">
        <f aca="false">IF(S1097="","",MATCH(S1097,'Residual Config'!$L$9:$L$12,0))</f>
        <v>1</v>
      </c>
      <c r="U1097" s="8" t="s">
        <v>3469</v>
      </c>
      <c r="V1097" s="24" t="n">
        <v>3</v>
      </c>
      <c r="W1097" s="33" t="s">
        <v>533</v>
      </c>
      <c r="X1097" s="8" t="s">
        <v>760</v>
      </c>
      <c r="Y1097" s="51" t="n">
        <f aca="false">IF(N1097="","",EDATE(N1097,IF(G1097="N",INDEX('Residual Config'!$B$31:$D$31,1,MATCH(D1097,'Residual Config'!$B$27:$D$27,0)),INDEX('Residual Config'!$B$28:$D$30,IF(T1097=1,1,IF(T1097=4,3,2)),MATCH(D1097,'Residual Config'!$B$27:$D$27,0)))))</f>
        <v>46520</v>
      </c>
      <c r="Z1097" s="7" t="str">
        <f aca="false">IF(I1097="N/A","N/A",IF(N1097="","Not tested",IF(W1097="Rejected","Evidence rejected",IF(W1097&lt;&gt;"Accepted","Evidence pending",IF(Y1097&lt;'Residual Config'!$C$4,"Overdue","Current")))))</f>
        <v>Current</v>
      </c>
      <c r="AA1097" s="34" t="n">
        <f aca="false">IF(I1097="N/A","",IF(Z1097&lt;&gt;"Current",4,IF(MAX(M1097,T1097)=0,4,MAX(M1097,T1097))))</f>
        <v>1</v>
      </c>
      <c r="AB1097" s="7" t="str">
        <f aca="false">IF(AA1097="","N/A",IF(Z1097&lt;&gt;"Current","Not tested / overdue",INDEX('Residual Config'!$B$11:$B$14,AA1097)))</f>
        <v>Effective</v>
      </c>
      <c r="AC1097" s="36" t="n">
        <f aca="false">IF(AA1097="","",INDEX('Residual Config'!$D$11:$D$14,AA1097))</f>
        <v>0.6</v>
      </c>
      <c r="AD1097" s="7" t="str">
        <f aca="false">IF(OR(I1097="N/A",P1097="",Q1097=""),"",IF(P1097&gt;=Q1097,"Yes","No"))</f>
        <v>Yes</v>
      </c>
      <c r="AE1097" s="8"/>
    </row>
    <row r="1098" customFormat="false" ht="15" hidden="false" customHeight="false" outlineLevel="0" collapsed="false">
      <c r="A1098" s="12" t="s">
        <v>3470</v>
      </c>
      <c r="B1098" s="26" t="str">
        <f aca="false">Entities!$A$30</f>
        <v>CH</v>
      </c>
      <c r="C1098" s="12" t="str">
        <f aca="false">INDEX(Entities!$B$5:$B$34,MATCH(B1098,Entities!$A$5:$A$34,0))</f>
        <v>Arab Bank (Switzerland) – sister company</v>
      </c>
      <c r="D1098" s="7" t="str">
        <f aca="false">INDEX(Entities!$F$5:$F$34,MATCH(B1098,Entities!$A$5:$A$34,0))</f>
        <v>Tier 1</v>
      </c>
      <c r="E1098" s="26" t="str">
        <f aca="false">'Control Library'!$A$23</f>
        <v>CTL-FRD-01</v>
      </c>
      <c r="F1098" s="12" t="str">
        <f aca="false">INDEX('Control Library'!$B$5:$B$47,MATCH(E1098,'Control Library'!$A$5:$A$47,0))</f>
        <v>Real-time fraud monitoring for cards and digital channels</v>
      </c>
      <c r="G1098" s="7" t="str">
        <f aca="false">INDEX('Control Library'!$F$5:$F$47,MATCH(E1098,'Control Library'!$A$5:$A$47,0))</f>
        <v>Y</v>
      </c>
      <c r="H1098" s="12" t="str">
        <f aca="false">INDEX('Control Library'!$E$5:$E$47,MATCH(E1098,'Control Library'!$A$5:$A$47,0))</f>
        <v>Continuous</v>
      </c>
      <c r="I1098" s="7" t="str">
        <f aca="false">IF(INDEX('Control Library'!$I$5:$I$47,MATCH(E1098,'Control Library'!$A$5:$A$47,0))="All","Y",IF(INDEX('Control Library'!$I$5:$I$47,MATCH(E1098,'Control Library'!$A$5:$A$47,0))="Banks only",IF(COUNTIF('Residual Config'!$L$28:$L$30,INDEX(Entities!$E$5:$E$34,MATCH(B1098,Entities!$A$5:$A$34,0)))&gt;0,"N/A","Y"),IF(INDEX(Entities!$G$5:$G$34,MATCH(B1098,Entities!$A$5:$A$34,0))="Y","Y","N/A")))</f>
        <v>Y</v>
      </c>
      <c r="J1098" s="8" t="s">
        <v>3471</v>
      </c>
      <c r="K1098" s="8" t="s">
        <v>752</v>
      </c>
      <c r="L1098" s="7" t="str">
        <f aca="false">IF(OR(J1098="",K1098=""),"",IF(J1098=K1098,"Breach","OK"))</f>
        <v>OK</v>
      </c>
      <c r="M1098" s="24" t="n">
        <v>1</v>
      </c>
      <c r="N1098" s="50" t="n">
        <v>46156</v>
      </c>
      <c r="O1098" s="8" t="s">
        <v>547</v>
      </c>
      <c r="P1098" s="24" t="n">
        <v>1</v>
      </c>
      <c r="Q1098" s="31" t="n">
        <f aca="false">IF(I1098="N/A","",IFERROR(INDEX('Residual Config'!$B$35:$B$42,MATCH(H1098,'Residual Config'!$A$35:$A$42,0)),""))</f>
        <v>1</v>
      </c>
      <c r="R1098" s="24" t="n">
        <v>0</v>
      </c>
      <c r="S1098" s="8" t="s">
        <v>516</v>
      </c>
      <c r="T1098" s="31" t="n">
        <f aca="false">IF(S1098="","",MATCH(S1098,'Residual Config'!$L$9:$L$12,0))</f>
        <v>1</v>
      </c>
      <c r="U1098" s="8" t="s">
        <v>3472</v>
      </c>
      <c r="V1098" s="24" t="n">
        <v>3</v>
      </c>
      <c r="W1098" s="33" t="s">
        <v>533</v>
      </c>
      <c r="X1098" s="8" t="s">
        <v>760</v>
      </c>
      <c r="Y1098" s="51" t="n">
        <f aca="false">IF(N1098="","",EDATE(N1098,IF(G1098="N",INDEX('Residual Config'!$B$31:$D$31,1,MATCH(D1098,'Residual Config'!$B$27:$D$27,0)),INDEX('Residual Config'!$B$28:$D$30,IF(T1098=1,1,IF(T1098=4,3,2)),MATCH(D1098,'Residual Config'!$B$27:$D$27,0)))))</f>
        <v>46340</v>
      </c>
      <c r="Z1098" s="7" t="str">
        <f aca="false">IF(I1098="N/A","N/A",IF(N1098="","Not tested",IF(W1098="Rejected","Evidence rejected",IF(W1098&lt;&gt;"Accepted","Evidence pending",IF(Y1098&lt;'Residual Config'!$C$4,"Overdue","Current")))))</f>
        <v>Current</v>
      </c>
      <c r="AA1098" s="34" t="n">
        <f aca="false">IF(I1098="N/A","",IF(Z1098&lt;&gt;"Current",4,IF(MAX(M1098,T1098)=0,4,MAX(M1098,T1098))))</f>
        <v>1</v>
      </c>
      <c r="AB1098" s="7" t="str">
        <f aca="false">IF(AA1098="","N/A",IF(Z1098&lt;&gt;"Current","Not tested / overdue",INDEX('Residual Config'!$B$11:$B$14,AA1098)))</f>
        <v>Effective</v>
      </c>
      <c r="AC1098" s="36" t="n">
        <f aca="false">IF(AA1098="","",INDEX('Residual Config'!$D$11:$D$14,AA1098))</f>
        <v>0.6</v>
      </c>
      <c r="AD1098" s="7" t="str">
        <f aca="false">IF(OR(I1098="N/A",P1098="",Q1098=""),"",IF(P1098&gt;=Q1098,"Yes","No"))</f>
        <v>Yes</v>
      </c>
      <c r="AE1098" s="8"/>
    </row>
    <row r="1099" customFormat="false" ht="15" hidden="false" customHeight="false" outlineLevel="0" collapsed="false">
      <c r="A1099" s="12" t="s">
        <v>3473</v>
      </c>
      <c r="B1099" s="26" t="str">
        <f aca="false">Entities!$A$30</f>
        <v>CH</v>
      </c>
      <c r="C1099" s="12" t="str">
        <f aca="false">INDEX(Entities!$B$5:$B$34,MATCH(B1099,Entities!$A$5:$A$34,0))</f>
        <v>Arab Bank (Switzerland) – sister company</v>
      </c>
      <c r="D1099" s="7" t="str">
        <f aca="false">INDEX(Entities!$F$5:$F$34,MATCH(B1099,Entities!$A$5:$A$34,0))</f>
        <v>Tier 1</v>
      </c>
      <c r="E1099" s="26" t="str">
        <f aca="false">'Control Library'!$A$24</f>
        <v>CTL-FRD-02</v>
      </c>
      <c r="F1099" s="12" t="str">
        <f aca="false">INDEX('Control Library'!$B$5:$B$47,MATCH(E1099,'Control Library'!$A$5:$A$47,0))</f>
        <v>Maker-checker and dual control on payments and static data</v>
      </c>
      <c r="G1099" s="7" t="str">
        <f aca="false">INDEX('Control Library'!$F$5:$F$47,MATCH(E1099,'Control Library'!$A$5:$A$47,0))</f>
        <v>Y</v>
      </c>
      <c r="H1099" s="12" t="str">
        <f aca="false">INDEX('Control Library'!$E$5:$E$47,MATCH(E1099,'Control Library'!$A$5:$A$47,0))</f>
        <v>Daily</v>
      </c>
      <c r="I1099" s="7" t="str">
        <f aca="false">IF(INDEX('Control Library'!$I$5:$I$47,MATCH(E1099,'Control Library'!$A$5:$A$47,0))="All","Y",IF(INDEX('Control Library'!$I$5:$I$47,MATCH(E1099,'Control Library'!$A$5:$A$47,0))="Banks only",IF(COUNTIF('Residual Config'!$L$28:$L$30,INDEX(Entities!$E$5:$E$34,MATCH(B1099,Entities!$A$5:$A$34,0)))&gt;0,"N/A","Y"),IF(INDEX(Entities!$G$5:$G$34,MATCH(B1099,Entities!$A$5:$A$34,0))="Y","Y","N/A")))</f>
        <v>Y</v>
      </c>
      <c r="J1099" s="8" t="s">
        <v>3424</v>
      </c>
      <c r="K1099" s="8" t="s">
        <v>752</v>
      </c>
      <c r="L1099" s="7" t="str">
        <f aca="false">IF(OR(J1099="",K1099=""),"",IF(J1099=K1099,"Breach","OK"))</f>
        <v>OK</v>
      </c>
      <c r="M1099" s="24" t="n">
        <v>2</v>
      </c>
      <c r="N1099" s="50" t="n">
        <v>46254</v>
      </c>
      <c r="O1099" s="8" t="s">
        <v>545</v>
      </c>
      <c r="P1099" s="24" t="n">
        <v>25</v>
      </c>
      <c r="Q1099" s="31" t="n">
        <f aca="false">IF(I1099="N/A","",IFERROR(INDEX('Residual Config'!$B$35:$B$42,MATCH(H1099,'Residual Config'!$A$35:$A$42,0)),""))</f>
        <v>25</v>
      </c>
      <c r="R1099" s="24" t="n">
        <v>1</v>
      </c>
      <c r="S1099" s="8" t="s">
        <v>521</v>
      </c>
      <c r="T1099" s="31" t="n">
        <f aca="false">IF(S1099="","",MATCH(S1099,'Residual Config'!$L$9:$L$12,0))</f>
        <v>2</v>
      </c>
      <c r="U1099" s="8" t="s">
        <v>3474</v>
      </c>
      <c r="V1099" s="24" t="n">
        <v>5</v>
      </c>
      <c r="W1099" s="33" t="s">
        <v>533</v>
      </c>
      <c r="X1099" s="8" t="s">
        <v>754</v>
      </c>
      <c r="Y1099" s="51" t="n">
        <f aca="false">IF(N1099="","",EDATE(N1099,IF(G1099="N",INDEX('Residual Config'!$B$31:$D$31,1,MATCH(D1099,'Residual Config'!$B$27:$D$27,0)),INDEX('Residual Config'!$B$28:$D$30,IF(T1099=1,1,IF(T1099=4,3,2)),MATCH(D1099,'Residual Config'!$B$27:$D$27,0)))))</f>
        <v>46346</v>
      </c>
      <c r="Z1099" s="7" t="str">
        <f aca="false">IF(I1099="N/A","N/A",IF(N1099="","Not tested",IF(W1099="Rejected","Evidence rejected",IF(W1099&lt;&gt;"Accepted","Evidence pending",IF(Y1099&lt;'Residual Config'!$C$4,"Overdue","Current")))))</f>
        <v>Current</v>
      </c>
      <c r="AA1099" s="34" t="n">
        <f aca="false">IF(I1099="N/A","",IF(Z1099&lt;&gt;"Current",4,IF(MAX(M1099,T1099)=0,4,MAX(M1099,T1099))))</f>
        <v>2</v>
      </c>
      <c r="AB1099" s="7" t="str">
        <f aca="false">IF(AA1099="","N/A",IF(Z1099&lt;&gt;"Current","Not tested / overdue",INDEX('Residual Config'!$B$11:$B$14,AA1099)))</f>
        <v>Largely effective</v>
      </c>
      <c r="AC1099" s="36" t="n">
        <f aca="false">IF(AA1099="","",INDEX('Residual Config'!$D$11:$D$14,AA1099))</f>
        <v>0.4</v>
      </c>
      <c r="AD1099" s="7" t="str">
        <f aca="false">IF(OR(I1099="N/A",P1099="",Q1099=""),"",IF(P1099&gt;=Q1099,"Yes","No"))</f>
        <v>Yes</v>
      </c>
      <c r="AE1099" s="8"/>
    </row>
    <row r="1100" customFormat="false" ht="15" hidden="false" customHeight="false" outlineLevel="0" collapsed="false">
      <c r="A1100" s="12" t="s">
        <v>3475</v>
      </c>
      <c r="B1100" s="26" t="str">
        <f aca="false">Entities!$A$30</f>
        <v>CH</v>
      </c>
      <c r="C1100" s="12" t="str">
        <f aca="false">INDEX(Entities!$B$5:$B$34,MATCH(B1100,Entities!$A$5:$A$34,0))</f>
        <v>Arab Bank (Switzerland) – sister company</v>
      </c>
      <c r="D1100" s="7" t="str">
        <f aca="false">INDEX(Entities!$F$5:$F$34,MATCH(B1100,Entities!$A$5:$A$34,0))</f>
        <v>Tier 1</v>
      </c>
      <c r="E1100" s="26" t="str">
        <f aca="false">'Control Library'!$A$25</f>
        <v>CTL-FRD-03</v>
      </c>
      <c r="F1100" s="12" t="str">
        <f aca="false">INDEX('Control Library'!$B$5:$B$47,MATCH(E1100,'Control Library'!$A$5:$A$47,0))</f>
        <v>Mandatory consecutive leave and rotation for sensitive roles</v>
      </c>
      <c r="G1100" s="7" t="str">
        <f aca="false">INDEX('Control Library'!$F$5:$F$47,MATCH(E1100,'Control Library'!$A$5:$A$47,0))</f>
        <v>N</v>
      </c>
      <c r="H1100" s="12" t="str">
        <f aca="false">INDEX('Control Library'!$E$5:$E$47,MATCH(E1100,'Control Library'!$A$5:$A$47,0))</f>
        <v>Annual</v>
      </c>
      <c r="I1100" s="7" t="str">
        <f aca="false">IF(INDEX('Control Library'!$I$5:$I$47,MATCH(E1100,'Control Library'!$A$5:$A$47,0))="All","Y",IF(INDEX('Control Library'!$I$5:$I$47,MATCH(E1100,'Control Library'!$A$5:$A$47,0))="Banks only",IF(COUNTIF('Residual Config'!$L$28:$L$30,INDEX(Entities!$E$5:$E$34,MATCH(B1100,Entities!$A$5:$A$34,0)))&gt;0,"N/A","Y"),IF(INDEX(Entities!$G$5:$G$34,MATCH(B1100,Entities!$A$5:$A$34,0))="Y","Y","N/A")))</f>
        <v>Y</v>
      </c>
      <c r="J1100" s="8" t="s">
        <v>3476</v>
      </c>
      <c r="K1100" s="8" t="s">
        <v>3434</v>
      </c>
      <c r="L1100" s="7" t="str">
        <f aca="false">IF(OR(J1100="",K1100=""),"",IF(J1100=K1100,"Breach","OK"))</f>
        <v>OK</v>
      </c>
      <c r="M1100" s="24" t="n">
        <v>2</v>
      </c>
      <c r="N1100" s="50" t="n">
        <v>46121</v>
      </c>
      <c r="O1100" s="8" t="s">
        <v>546</v>
      </c>
      <c r="P1100" s="24" t="n">
        <v>1</v>
      </c>
      <c r="Q1100" s="31" t="n">
        <f aca="false">IF(I1100="N/A","",IFERROR(INDEX('Residual Config'!$B$35:$B$42,MATCH(H1100,'Residual Config'!$A$35:$A$42,0)),""))</f>
        <v>1</v>
      </c>
      <c r="R1100" s="24" t="n">
        <v>1</v>
      </c>
      <c r="S1100" s="8" t="s">
        <v>521</v>
      </c>
      <c r="T1100" s="31" t="n">
        <f aca="false">IF(S1100="","",MATCH(S1100,'Residual Config'!$L$9:$L$12,0))</f>
        <v>2</v>
      </c>
      <c r="U1100" s="8" t="s">
        <v>3477</v>
      </c>
      <c r="V1100" s="24" t="n">
        <v>3</v>
      </c>
      <c r="W1100" s="33" t="s">
        <v>533</v>
      </c>
      <c r="X1100" s="8" t="s">
        <v>754</v>
      </c>
      <c r="Y1100" s="51" t="n">
        <f aca="false">IF(N1100="","",EDATE(N1100,IF(G1100="N",INDEX('Residual Config'!$B$31:$D$31,1,MATCH(D1100,'Residual Config'!$B$27:$D$27,0)),INDEX('Residual Config'!$B$28:$D$30,IF(T1100=1,1,IF(T1100=4,3,2)),MATCH(D1100,'Residual Config'!$B$27:$D$27,0)))))</f>
        <v>46486</v>
      </c>
      <c r="Z1100" s="7" t="str">
        <f aca="false">IF(I1100="N/A","N/A",IF(N1100="","Not tested",IF(W1100="Rejected","Evidence rejected",IF(W1100&lt;&gt;"Accepted","Evidence pending",IF(Y1100&lt;'Residual Config'!$C$4,"Overdue","Current")))))</f>
        <v>Current</v>
      </c>
      <c r="AA1100" s="34" t="n">
        <f aca="false">IF(I1100="N/A","",IF(Z1100&lt;&gt;"Current",4,IF(MAX(M1100,T1100)=0,4,MAX(M1100,T1100))))</f>
        <v>2</v>
      </c>
      <c r="AB1100" s="7" t="str">
        <f aca="false">IF(AA1100="","N/A",IF(Z1100&lt;&gt;"Current","Not tested / overdue",INDEX('Residual Config'!$B$11:$B$14,AA1100)))</f>
        <v>Largely effective</v>
      </c>
      <c r="AC1100" s="36" t="n">
        <f aca="false">IF(AA1100="","",INDEX('Residual Config'!$D$11:$D$14,AA1100))</f>
        <v>0.4</v>
      </c>
      <c r="AD1100" s="7" t="str">
        <f aca="false">IF(OR(I1100="N/A",P1100="",Q1100=""),"",IF(P1100&gt;=Q1100,"Yes","No"))</f>
        <v>Yes</v>
      </c>
      <c r="AE1100" s="8"/>
    </row>
    <row r="1101" customFormat="false" ht="15" hidden="false" customHeight="false" outlineLevel="0" collapsed="false">
      <c r="A1101" s="12" t="s">
        <v>3478</v>
      </c>
      <c r="B1101" s="26" t="str">
        <f aca="false">Entities!$A$30</f>
        <v>CH</v>
      </c>
      <c r="C1101" s="12" t="str">
        <f aca="false">INDEX(Entities!$B$5:$B$34,MATCH(B1101,Entities!$A$5:$A$34,0))</f>
        <v>Arab Bank (Switzerland) – sister company</v>
      </c>
      <c r="D1101" s="7" t="str">
        <f aca="false">INDEX(Entities!$F$5:$F$34,MATCH(B1101,Entities!$A$5:$A$34,0))</f>
        <v>Tier 1</v>
      </c>
      <c r="E1101" s="26" t="str">
        <f aca="false">'Control Library'!$A$26</f>
        <v>CTL-TAX-01</v>
      </c>
      <c r="F1101" s="12" t="str">
        <f aca="false">INDEX('Control Library'!$B$5:$B$47,MATCH(E1101,'Control Library'!$A$5:$A$47,0))</f>
        <v>FATCA/CRS self-certification and classification</v>
      </c>
      <c r="G1101" s="7" t="str">
        <f aca="false">INDEX('Control Library'!$F$5:$F$47,MATCH(E1101,'Control Library'!$A$5:$A$47,0))</f>
        <v>Y</v>
      </c>
      <c r="H1101" s="12" t="str">
        <f aca="false">INDEX('Control Library'!$E$5:$E$47,MATCH(E1101,'Control Library'!$A$5:$A$47,0))</f>
        <v>Event-driven</v>
      </c>
      <c r="I1101" s="7" t="str">
        <f aca="false">IF(INDEX('Control Library'!$I$5:$I$47,MATCH(E1101,'Control Library'!$A$5:$A$47,0))="All","Y",IF(INDEX('Control Library'!$I$5:$I$47,MATCH(E1101,'Control Library'!$A$5:$A$47,0))="Banks only",IF(COUNTIF('Residual Config'!$L$28:$L$30,INDEX(Entities!$E$5:$E$34,MATCH(B1101,Entities!$A$5:$A$34,0)))&gt;0,"N/A","Y"),IF(INDEX(Entities!$G$5:$G$34,MATCH(B1101,Entities!$A$5:$A$34,0))="Y","Y","N/A")))</f>
        <v>Y</v>
      </c>
      <c r="J1101" s="8" t="s">
        <v>3424</v>
      </c>
      <c r="K1101" s="8" t="s">
        <v>752</v>
      </c>
      <c r="L1101" s="7" t="str">
        <f aca="false">IF(OR(J1101="",K1101=""),"",IF(J1101=K1101,"Breach","OK"))</f>
        <v>OK</v>
      </c>
      <c r="M1101" s="24" t="n">
        <v>1</v>
      </c>
      <c r="N1101" s="50" t="n">
        <v>46282</v>
      </c>
      <c r="O1101" s="8" t="s">
        <v>546</v>
      </c>
      <c r="P1101" s="24" t="n">
        <v>25</v>
      </c>
      <c r="Q1101" s="31" t="n">
        <f aca="false">IF(I1101="N/A","",IFERROR(INDEX('Residual Config'!$B$35:$B$42,MATCH(H1101,'Residual Config'!$A$35:$A$42,0)),""))</f>
        <v>25</v>
      </c>
      <c r="R1101" s="24" t="n">
        <v>1</v>
      </c>
      <c r="S1101" s="8" t="s">
        <v>521</v>
      </c>
      <c r="T1101" s="31" t="n">
        <f aca="false">IF(S1101="","",MATCH(S1101,'Residual Config'!$L$9:$L$12,0))</f>
        <v>2</v>
      </c>
      <c r="U1101" s="8" t="s">
        <v>3479</v>
      </c>
      <c r="V1101" s="24" t="n">
        <v>4</v>
      </c>
      <c r="W1101" s="33" t="s">
        <v>533</v>
      </c>
      <c r="X1101" s="8" t="s">
        <v>760</v>
      </c>
      <c r="Y1101" s="51" t="n">
        <f aca="false">IF(N1101="","",EDATE(N1101,IF(G1101="N",INDEX('Residual Config'!$B$31:$D$31,1,MATCH(D1101,'Residual Config'!$B$27:$D$27,0)),INDEX('Residual Config'!$B$28:$D$30,IF(T1101=1,1,IF(T1101=4,3,2)),MATCH(D1101,'Residual Config'!$B$27:$D$27,0)))))</f>
        <v>46373</v>
      </c>
      <c r="Z1101" s="7" t="str">
        <f aca="false">IF(I1101="N/A","N/A",IF(N1101="","Not tested",IF(W1101="Rejected","Evidence rejected",IF(W1101&lt;&gt;"Accepted","Evidence pending",IF(Y1101&lt;'Residual Config'!$C$4,"Overdue","Current")))))</f>
        <v>Current</v>
      </c>
      <c r="AA1101" s="34" t="n">
        <f aca="false">IF(I1101="N/A","",IF(Z1101&lt;&gt;"Current",4,IF(MAX(M1101,T1101)=0,4,MAX(M1101,T1101))))</f>
        <v>2</v>
      </c>
      <c r="AB1101" s="7" t="str">
        <f aca="false">IF(AA1101="","N/A",IF(Z1101&lt;&gt;"Current","Not tested / overdue",INDEX('Residual Config'!$B$11:$B$14,AA1101)))</f>
        <v>Largely effective</v>
      </c>
      <c r="AC1101" s="36" t="n">
        <f aca="false">IF(AA1101="","",INDEX('Residual Config'!$D$11:$D$14,AA1101))</f>
        <v>0.4</v>
      </c>
      <c r="AD1101" s="7" t="str">
        <f aca="false">IF(OR(I1101="N/A",P1101="",Q1101=""),"",IF(P1101&gt;=Q1101,"Yes","No"))</f>
        <v>Yes</v>
      </c>
      <c r="AE1101" s="8"/>
    </row>
    <row r="1102" customFormat="false" ht="15" hidden="false" customHeight="false" outlineLevel="0" collapsed="false">
      <c r="A1102" s="12" t="s">
        <v>3480</v>
      </c>
      <c r="B1102" s="26" t="str">
        <f aca="false">Entities!$A$30</f>
        <v>CH</v>
      </c>
      <c r="C1102" s="12" t="str">
        <f aca="false">INDEX(Entities!$B$5:$B$34,MATCH(B1102,Entities!$A$5:$A$34,0))</f>
        <v>Arab Bank (Switzerland) – sister company</v>
      </c>
      <c r="D1102" s="7" t="str">
        <f aca="false">INDEX(Entities!$F$5:$F$34,MATCH(B1102,Entities!$A$5:$A$34,0))</f>
        <v>Tier 1</v>
      </c>
      <c r="E1102" s="26" t="str">
        <f aca="false">'Control Library'!$A$27</f>
        <v>CTL-TAX-02</v>
      </c>
      <c r="F1102" s="12" t="str">
        <f aca="false">INDEX('Control Library'!$B$5:$B$47,MATCH(E1102,'Control Library'!$A$5:$A$47,0))</f>
        <v>FATCA/CRS reporting reconciliation and timely filing</v>
      </c>
      <c r="G1102" s="7" t="str">
        <f aca="false">INDEX('Control Library'!$F$5:$F$47,MATCH(E1102,'Control Library'!$A$5:$A$47,0))</f>
        <v>N</v>
      </c>
      <c r="H1102" s="12" t="str">
        <f aca="false">INDEX('Control Library'!$E$5:$E$47,MATCH(E1102,'Control Library'!$A$5:$A$47,0))</f>
        <v>Annual</v>
      </c>
      <c r="I1102" s="7" t="str">
        <f aca="false">IF(INDEX('Control Library'!$I$5:$I$47,MATCH(E1102,'Control Library'!$A$5:$A$47,0))="All","Y",IF(INDEX('Control Library'!$I$5:$I$47,MATCH(E1102,'Control Library'!$A$5:$A$47,0))="Banks only",IF(COUNTIF('Residual Config'!$L$28:$L$30,INDEX(Entities!$E$5:$E$34,MATCH(B1102,Entities!$A$5:$A$34,0)))&gt;0,"N/A","Y"),IF(INDEX(Entities!$G$5:$G$34,MATCH(B1102,Entities!$A$5:$A$34,0))="Y","Y","N/A")))</f>
        <v>Y</v>
      </c>
      <c r="J1102" s="8" t="s">
        <v>3481</v>
      </c>
      <c r="K1102" s="8" t="s">
        <v>3434</v>
      </c>
      <c r="L1102" s="7" t="str">
        <f aca="false">IF(OR(J1102="",K1102=""),"",IF(J1102=K1102,"Breach","OK"))</f>
        <v>OK</v>
      </c>
      <c r="M1102" s="24" t="n">
        <v>2</v>
      </c>
      <c r="N1102" s="50" t="n">
        <v>46155</v>
      </c>
      <c r="O1102" s="8" t="s">
        <v>545</v>
      </c>
      <c r="P1102" s="24" t="n">
        <v>1</v>
      </c>
      <c r="Q1102" s="31" t="n">
        <f aca="false">IF(I1102="N/A","",IFERROR(INDEX('Residual Config'!$B$35:$B$42,MATCH(H1102,'Residual Config'!$A$35:$A$42,0)),""))</f>
        <v>1</v>
      </c>
      <c r="R1102" s="24" t="n">
        <v>1</v>
      </c>
      <c r="S1102" s="8" t="s">
        <v>521</v>
      </c>
      <c r="T1102" s="31" t="n">
        <f aca="false">IF(S1102="","",MATCH(S1102,'Residual Config'!$L$9:$L$12,0))</f>
        <v>2</v>
      </c>
      <c r="U1102" s="8" t="s">
        <v>3482</v>
      </c>
      <c r="V1102" s="24" t="n">
        <v>1</v>
      </c>
      <c r="W1102" s="33" t="s">
        <v>533</v>
      </c>
      <c r="X1102" s="8" t="s">
        <v>760</v>
      </c>
      <c r="Y1102" s="51" t="n">
        <f aca="false">IF(N1102="","",EDATE(N1102,IF(G1102="N",INDEX('Residual Config'!$B$31:$D$31,1,MATCH(D1102,'Residual Config'!$B$27:$D$27,0)),INDEX('Residual Config'!$B$28:$D$30,IF(T1102=1,1,IF(T1102=4,3,2)),MATCH(D1102,'Residual Config'!$B$27:$D$27,0)))))</f>
        <v>46520</v>
      </c>
      <c r="Z1102" s="7" t="str">
        <f aca="false">IF(I1102="N/A","N/A",IF(N1102="","Not tested",IF(W1102="Rejected","Evidence rejected",IF(W1102&lt;&gt;"Accepted","Evidence pending",IF(Y1102&lt;'Residual Config'!$C$4,"Overdue","Current")))))</f>
        <v>Current</v>
      </c>
      <c r="AA1102" s="34" t="n">
        <f aca="false">IF(I1102="N/A","",IF(Z1102&lt;&gt;"Current",4,IF(MAX(M1102,T1102)=0,4,MAX(M1102,T1102))))</f>
        <v>2</v>
      </c>
      <c r="AB1102" s="7" t="str">
        <f aca="false">IF(AA1102="","N/A",IF(Z1102&lt;&gt;"Current","Not tested / overdue",INDEX('Residual Config'!$B$11:$B$14,AA1102)))</f>
        <v>Largely effective</v>
      </c>
      <c r="AC1102" s="36" t="n">
        <f aca="false">IF(AA1102="","",INDEX('Residual Config'!$D$11:$D$14,AA1102))</f>
        <v>0.4</v>
      </c>
      <c r="AD1102" s="7" t="str">
        <f aca="false">IF(OR(I1102="N/A",P1102="",Q1102=""),"",IF(P1102&gt;=Q1102,"Yes","No"))</f>
        <v>Yes</v>
      </c>
      <c r="AE1102" s="8"/>
    </row>
    <row r="1103" customFormat="false" ht="15" hidden="false" customHeight="false" outlineLevel="0" collapsed="false">
      <c r="A1103" s="12" t="s">
        <v>3483</v>
      </c>
      <c r="B1103" s="26" t="str">
        <f aca="false">Entities!$A$30</f>
        <v>CH</v>
      </c>
      <c r="C1103" s="12" t="str">
        <f aca="false">INDEX(Entities!$B$5:$B$34,MATCH(B1103,Entities!$A$5:$A$34,0))</f>
        <v>Arab Bank (Switzerland) – sister company</v>
      </c>
      <c r="D1103" s="7" t="str">
        <f aca="false">INDEX(Entities!$F$5:$F$34,MATCH(B1103,Entities!$A$5:$A$34,0))</f>
        <v>Tier 1</v>
      </c>
      <c r="E1103" s="26" t="str">
        <f aca="false">'Control Library'!$A$28</f>
        <v>CTL-TRN-01</v>
      </c>
      <c r="F1103" s="12" t="str">
        <f aca="false">INDEX('Control Library'!$B$5:$B$47,MATCH(E1103,'Control Library'!$A$5:$A$47,0))</f>
        <v>Annual AML, sanctions and anti-bribery training</v>
      </c>
      <c r="G1103" s="7" t="str">
        <f aca="false">INDEX('Control Library'!$F$5:$F$47,MATCH(E1103,'Control Library'!$A$5:$A$47,0))</f>
        <v>N</v>
      </c>
      <c r="H1103" s="12" t="str">
        <f aca="false">INDEX('Control Library'!$E$5:$E$47,MATCH(E1103,'Control Library'!$A$5:$A$47,0))</f>
        <v>Annual</v>
      </c>
      <c r="I1103" s="7" t="str">
        <f aca="false">IF(INDEX('Control Library'!$I$5:$I$47,MATCH(E1103,'Control Library'!$A$5:$A$47,0))="All","Y",IF(INDEX('Control Library'!$I$5:$I$47,MATCH(E1103,'Control Library'!$A$5:$A$47,0))="Banks only",IF(COUNTIF('Residual Config'!$L$28:$L$30,INDEX(Entities!$E$5:$E$34,MATCH(B1103,Entities!$A$5:$A$34,0)))&gt;0,"N/A","Y"),IF(INDEX(Entities!$G$5:$G$34,MATCH(B1103,Entities!$A$5:$A$34,0))="Y","Y","N/A")))</f>
        <v>Y</v>
      </c>
      <c r="J1103" s="8" t="s">
        <v>3427</v>
      </c>
      <c r="K1103" s="8" t="s">
        <v>3434</v>
      </c>
      <c r="L1103" s="7" t="str">
        <f aca="false">IF(OR(J1103="",K1103=""),"",IF(J1103=K1103,"Breach","OK"))</f>
        <v>OK</v>
      </c>
      <c r="M1103" s="24" t="n">
        <v>1</v>
      </c>
      <c r="N1103" s="50" t="n">
        <v>46044</v>
      </c>
      <c r="O1103" s="8" t="s">
        <v>545</v>
      </c>
      <c r="P1103" s="24" t="n">
        <v>1</v>
      </c>
      <c r="Q1103" s="31" t="n">
        <f aca="false">IF(I1103="N/A","",IFERROR(INDEX('Residual Config'!$B$35:$B$42,MATCH(H1103,'Residual Config'!$A$35:$A$42,0)),""))</f>
        <v>1</v>
      </c>
      <c r="R1103" s="24" t="n">
        <v>1</v>
      </c>
      <c r="S1103" s="8" t="s">
        <v>524</v>
      </c>
      <c r="T1103" s="31" t="n">
        <f aca="false">IF(S1103="","",MATCH(S1103,'Residual Config'!$L$9:$L$12,0))</f>
        <v>3</v>
      </c>
      <c r="U1103" s="8" t="s">
        <v>3484</v>
      </c>
      <c r="V1103" s="24" t="n">
        <v>3</v>
      </c>
      <c r="W1103" s="33" t="s">
        <v>533</v>
      </c>
      <c r="X1103" s="8" t="s">
        <v>760</v>
      </c>
      <c r="Y1103" s="51" t="n">
        <f aca="false">IF(N1103="","",EDATE(N1103,IF(G1103="N",INDEX('Residual Config'!$B$31:$D$31,1,MATCH(D1103,'Residual Config'!$B$27:$D$27,0)),INDEX('Residual Config'!$B$28:$D$30,IF(T1103=1,1,IF(T1103=4,3,2)),MATCH(D1103,'Residual Config'!$B$27:$D$27,0)))))</f>
        <v>46409</v>
      </c>
      <c r="Z1103" s="7" t="str">
        <f aca="false">IF(I1103="N/A","N/A",IF(N1103="","Not tested",IF(W1103="Rejected","Evidence rejected",IF(W1103&lt;&gt;"Accepted","Evidence pending",IF(Y1103&lt;'Residual Config'!$C$4,"Overdue","Current")))))</f>
        <v>Current</v>
      </c>
      <c r="AA1103" s="34" t="n">
        <f aca="false">IF(I1103="N/A","",IF(Z1103&lt;&gt;"Current",4,IF(MAX(M1103,T1103)=0,4,MAX(M1103,T1103))))</f>
        <v>3</v>
      </c>
      <c r="AB1103" s="7" t="str">
        <f aca="false">IF(AA1103="","N/A",IF(Z1103&lt;&gt;"Current","Not tested / overdue",INDEX('Residual Config'!$B$11:$B$14,AA1103)))</f>
        <v>Partially effective</v>
      </c>
      <c r="AC1103" s="36" t="n">
        <f aca="false">IF(AA1103="","",INDEX('Residual Config'!$D$11:$D$14,AA1103))</f>
        <v>0.2</v>
      </c>
      <c r="AD1103" s="7" t="str">
        <f aca="false">IF(OR(I1103="N/A",P1103="",Q1103=""),"",IF(P1103&gt;=Q1103,"Yes","No"))</f>
        <v>Yes</v>
      </c>
      <c r="AE1103" s="8"/>
    </row>
    <row r="1104" customFormat="false" ht="15" hidden="false" customHeight="false" outlineLevel="0" collapsed="false">
      <c r="A1104" s="12" t="s">
        <v>3485</v>
      </c>
      <c r="B1104" s="26" t="str">
        <f aca="false">Entities!$A$30</f>
        <v>CH</v>
      </c>
      <c r="C1104" s="12" t="str">
        <f aca="false">INDEX(Entities!$B$5:$B$34,MATCH(B1104,Entities!$A$5:$A$34,0))</f>
        <v>Arab Bank (Switzerland) – sister company</v>
      </c>
      <c r="D1104" s="7" t="str">
        <f aca="false">INDEX(Entities!$F$5:$F$34,MATCH(B1104,Entities!$A$5:$A$34,0))</f>
        <v>Tier 1</v>
      </c>
      <c r="E1104" s="26" t="str">
        <f aca="false">'Control Library'!$A$29</f>
        <v>CTL-REG-01</v>
      </c>
      <c r="F1104" s="12" t="str">
        <f aca="false">INDEX('Control Library'!$B$5:$B$47,MATCH(E1104,'Control Library'!$A$5:$A$47,0))</f>
        <v>Regulatory change management and obligations register</v>
      </c>
      <c r="G1104" s="7" t="str">
        <f aca="false">INDEX('Control Library'!$F$5:$F$47,MATCH(E1104,'Control Library'!$A$5:$A$47,0))</f>
        <v>Y</v>
      </c>
      <c r="H1104" s="12" t="str">
        <f aca="false">INDEX('Control Library'!$E$5:$E$47,MATCH(E1104,'Control Library'!$A$5:$A$47,0))</f>
        <v>Monthly</v>
      </c>
      <c r="I1104" s="7" t="str">
        <f aca="false">IF(INDEX('Control Library'!$I$5:$I$47,MATCH(E1104,'Control Library'!$A$5:$A$47,0))="All","Y",IF(INDEX('Control Library'!$I$5:$I$47,MATCH(E1104,'Control Library'!$A$5:$A$47,0))="Banks only",IF(COUNTIF('Residual Config'!$L$28:$L$30,INDEX(Entities!$E$5:$E$34,MATCH(B1104,Entities!$A$5:$A$34,0)))&gt;0,"N/A","Y"),IF(INDEX(Entities!$G$5:$G$34,MATCH(B1104,Entities!$A$5:$A$34,0))="Y","Y","N/A")))</f>
        <v>Y</v>
      </c>
      <c r="J1104" s="8" t="s">
        <v>3427</v>
      </c>
      <c r="K1104" s="8" t="s">
        <v>752</v>
      </c>
      <c r="L1104" s="7" t="str">
        <f aca="false">IF(OR(J1104="",K1104=""),"",IF(J1104=K1104,"Breach","OK"))</f>
        <v>OK</v>
      </c>
      <c r="M1104" s="24" t="n">
        <v>2</v>
      </c>
      <c r="N1104" s="50" t="n">
        <v>46242</v>
      </c>
      <c r="O1104" s="8" t="s">
        <v>546</v>
      </c>
      <c r="P1104" s="24" t="n">
        <v>3</v>
      </c>
      <c r="Q1104" s="31" t="n">
        <f aca="false">IF(I1104="N/A","",IFERROR(INDEX('Residual Config'!$B$35:$B$42,MATCH(H1104,'Residual Config'!$A$35:$A$42,0)),""))</f>
        <v>3</v>
      </c>
      <c r="R1104" s="24" t="n">
        <v>1</v>
      </c>
      <c r="S1104" s="8" t="s">
        <v>521</v>
      </c>
      <c r="T1104" s="31" t="n">
        <f aca="false">IF(S1104="","",MATCH(S1104,'Residual Config'!$L$9:$L$12,0))</f>
        <v>2</v>
      </c>
      <c r="U1104" s="8" t="s">
        <v>3486</v>
      </c>
      <c r="V1104" s="24" t="n">
        <v>2</v>
      </c>
      <c r="W1104" s="33" t="s">
        <v>533</v>
      </c>
      <c r="X1104" s="8" t="s">
        <v>760</v>
      </c>
      <c r="Y1104" s="51" t="n">
        <f aca="false">IF(N1104="","",EDATE(N1104,IF(G1104="N",INDEX('Residual Config'!$B$31:$D$31,1,MATCH(D1104,'Residual Config'!$B$27:$D$27,0)),INDEX('Residual Config'!$B$28:$D$30,IF(T1104=1,1,IF(T1104=4,3,2)),MATCH(D1104,'Residual Config'!$B$27:$D$27,0)))))</f>
        <v>46334</v>
      </c>
      <c r="Z1104" s="7" t="str">
        <f aca="false">IF(I1104="N/A","N/A",IF(N1104="","Not tested",IF(W1104="Rejected","Evidence rejected",IF(W1104&lt;&gt;"Accepted","Evidence pending",IF(Y1104&lt;'Residual Config'!$C$4,"Overdue","Current")))))</f>
        <v>Current</v>
      </c>
      <c r="AA1104" s="34" t="n">
        <f aca="false">IF(I1104="N/A","",IF(Z1104&lt;&gt;"Current",4,IF(MAX(M1104,T1104)=0,4,MAX(M1104,T1104))))</f>
        <v>2</v>
      </c>
      <c r="AB1104" s="7" t="str">
        <f aca="false">IF(AA1104="","N/A",IF(Z1104&lt;&gt;"Current","Not tested / overdue",INDEX('Residual Config'!$B$11:$B$14,AA1104)))</f>
        <v>Largely effective</v>
      </c>
      <c r="AC1104" s="36" t="n">
        <f aca="false">IF(AA1104="","",INDEX('Residual Config'!$D$11:$D$14,AA1104))</f>
        <v>0.4</v>
      </c>
      <c r="AD1104" s="7" t="str">
        <f aca="false">IF(OR(I1104="N/A",P1104="",Q1104=""),"",IF(P1104&gt;=Q1104,"Yes","No"))</f>
        <v>Yes</v>
      </c>
      <c r="AE1104" s="8"/>
    </row>
    <row r="1105" customFormat="false" ht="15" hidden="false" customHeight="false" outlineLevel="0" collapsed="false">
      <c r="A1105" s="12" t="s">
        <v>3487</v>
      </c>
      <c r="B1105" s="26" t="str">
        <f aca="false">Entities!$A$30</f>
        <v>CH</v>
      </c>
      <c r="C1105" s="12" t="str">
        <f aca="false">INDEX(Entities!$B$5:$B$34,MATCH(B1105,Entities!$A$5:$A$34,0))</f>
        <v>Arab Bank (Switzerland) – sister company</v>
      </c>
      <c r="D1105" s="7" t="str">
        <f aca="false">INDEX(Entities!$F$5:$F$34,MATCH(B1105,Entities!$A$5:$A$34,0))</f>
        <v>Tier 1</v>
      </c>
      <c r="E1105" s="26" t="str">
        <f aca="false">'Control Library'!$A$30</f>
        <v>CTL-REG-02</v>
      </c>
      <c r="F1105" s="12" t="str">
        <f aca="false">INDEX('Control Library'!$B$5:$B$47,MATCH(E1105,'Control Library'!$A$5:$A$47,0))</f>
        <v>Regulatory return review and senior sign-off</v>
      </c>
      <c r="G1105" s="7" t="str">
        <f aca="false">INDEX('Control Library'!$F$5:$F$47,MATCH(E1105,'Control Library'!$A$5:$A$47,0))</f>
        <v>Y</v>
      </c>
      <c r="H1105" s="12" t="str">
        <f aca="false">INDEX('Control Library'!$E$5:$E$47,MATCH(E1105,'Control Library'!$A$5:$A$47,0))</f>
        <v>Monthly</v>
      </c>
      <c r="I1105" s="7" t="str">
        <f aca="false">IF(INDEX('Control Library'!$I$5:$I$47,MATCH(E1105,'Control Library'!$A$5:$A$47,0))="All","Y",IF(INDEX('Control Library'!$I$5:$I$47,MATCH(E1105,'Control Library'!$A$5:$A$47,0))="Banks only",IF(COUNTIF('Residual Config'!$L$28:$L$30,INDEX(Entities!$E$5:$E$34,MATCH(B1105,Entities!$A$5:$A$34,0)))&gt;0,"N/A","Y"),IF(INDEX(Entities!$G$5:$G$34,MATCH(B1105,Entities!$A$5:$A$34,0))="Y","Y","N/A")))</f>
        <v>Y</v>
      </c>
      <c r="J1105" s="8" t="s">
        <v>3481</v>
      </c>
      <c r="K1105" s="8" t="s">
        <v>752</v>
      </c>
      <c r="L1105" s="7" t="str">
        <f aca="false">IF(OR(J1105="",K1105=""),"",IF(J1105=K1105,"Breach","OK"))</f>
        <v>OK</v>
      </c>
      <c r="M1105" s="24" t="n">
        <v>1</v>
      </c>
      <c r="N1105" s="50" t="n">
        <v>46201</v>
      </c>
      <c r="O1105" s="8" t="s">
        <v>545</v>
      </c>
      <c r="P1105" s="24" t="n">
        <v>3</v>
      </c>
      <c r="Q1105" s="31" t="n">
        <f aca="false">IF(I1105="N/A","",IFERROR(INDEX('Residual Config'!$B$35:$B$42,MATCH(H1105,'Residual Config'!$A$35:$A$42,0)),""))</f>
        <v>3</v>
      </c>
      <c r="R1105" s="24" t="n">
        <v>0</v>
      </c>
      <c r="S1105" s="8" t="s">
        <v>516</v>
      </c>
      <c r="T1105" s="31" t="n">
        <f aca="false">IF(S1105="","",MATCH(S1105,'Residual Config'!$L$9:$L$12,0))</f>
        <v>1</v>
      </c>
      <c r="U1105" s="8" t="s">
        <v>3488</v>
      </c>
      <c r="V1105" s="24" t="n">
        <v>1</v>
      </c>
      <c r="W1105" s="33" t="s">
        <v>533</v>
      </c>
      <c r="X1105" s="8" t="s">
        <v>760</v>
      </c>
      <c r="Y1105" s="51" t="n">
        <f aca="false">IF(N1105="","",EDATE(N1105,IF(G1105="N",INDEX('Residual Config'!$B$31:$D$31,1,MATCH(D1105,'Residual Config'!$B$27:$D$27,0)),INDEX('Residual Config'!$B$28:$D$30,IF(T1105=1,1,IF(T1105=4,3,2)),MATCH(D1105,'Residual Config'!$B$27:$D$27,0)))))</f>
        <v>46384</v>
      </c>
      <c r="Z1105" s="7" t="str">
        <f aca="false">IF(I1105="N/A","N/A",IF(N1105="","Not tested",IF(W1105="Rejected","Evidence rejected",IF(W1105&lt;&gt;"Accepted","Evidence pending",IF(Y1105&lt;'Residual Config'!$C$4,"Overdue","Current")))))</f>
        <v>Current</v>
      </c>
      <c r="AA1105" s="34" t="n">
        <f aca="false">IF(I1105="N/A","",IF(Z1105&lt;&gt;"Current",4,IF(MAX(M1105,T1105)=0,4,MAX(M1105,T1105))))</f>
        <v>1</v>
      </c>
      <c r="AB1105" s="7" t="str">
        <f aca="false">IF(AA1105="","N/A",IF(Z1105&lt;&gt;"Current","Not tested / overdue",INDEX('Residual Config'!$B$11:$B$14,AA1105)))</f>
        <v>Effective</v>
      </c>
      <c r="AC1105" s="36" t="n">
        <f aca="false">IF(AA1105="","",INDEX('Residual Config'!$D$11:$D$14,AA1105))</f>
        <v>0.6</v>
      </c>
      <c r="AD1105" s="7" t="str">
        <f aca="false">IF(OR(I1105="N/A",P1105="",Q1105=""),"",IF(P1105&gt;=Q1105,"Yes","No"))</f>
        <v>Yes</v>
      </c>
      <c r="AE1105" s="8"/>
    </row>
    <row r="1106" customFormat="false" ht="15" hidden="false" customHeight="false" outlineLevel="0" collapsed="false">
      <c r="A1106" s="12" t="s">
        <v>3489</v>
      </c>
      <c r="B1106" s="26" t="str">
        <f aca="false">Entities!$A$30</f>
        <v>CH</v>
      </c>
      <c r="C1106" s="12" t="str">
        <f aca="false">INDEX(Entities!$B$5:$B$34,MATCH(B1106,Entities!$A$5:$A$34,0))</f>
        <v>Arab Bank (Switzerland) – sister company</v>
      </c>
      <c r="D1106" s="7" t="str">
        <f aca="false">INDEX(Entities!$F$5:$F$34,MATCH(B1106,Entities!$A$5:$A$34,0))</f>
        <v>Tier 1</v>
      </c>
      <c r="E1106" s="26" t="str">
        <f aca="false">'Control Library'!$A$31</f>
        <v>CTL-CON-01</v>
      </c>
      <c r="F1106" s="12" t="str">
        <f aca="false">INDEX('Control Library'!$B$5:$B$47,MATCH(E1106,'Control Library'!$A$5:$A$47,0))</f>
        <v>New product approval and suitability assessment</v>
      </c>
      <c r="G1106" s="7" t="str">
        <f aca="false">INDEX('Control Library'!$F$5:$F$47,MATCH(E1106,'Control Library'!$A$5:$A$47,0))</f>
        <v>Y</v>
      </c>
      <c r="H1106" s="12" t="str">
        <f aca="false">INDEX('Control Library'!$E$5:$E$47,MATCH(E1106,'Control Library'!$A$5:$A$47,0))</f>
        <v>Event-driven</v>
      </c>
      <c r="I1106" s="7" t="str">
        <f aca="false">IF(INDEX('Control Library'!$I$5:$I$47,MATCH(E1106,'Control Library'!$A$5:$A$47,0))="All","Y",IF(INDEX('Control Library'!$I$5:$I$47,MATCH(E1106,'Control Library'!$A$5:$A$47,0))="Banks only",IF(COUNTIF('Residual Config'!$L$28:$L$30,INDEX(Entities!$E$5:$E$34,MATCH(B1106,Entities!$A$5:$A$34,0)))&gt;0,"N/A","Y"),IF(INDEX(Entities!$G$5:$G$34,MATCH(B1106,Entities!$A$5:$A$34,0))="Y","Y","N/A")))</f>
        <v>Y</v>
      </c>
      <c r="J1106" s="8" t="s">
        <v>3427</v>
      </c>
      <c r="K1106" s="8" t="s">
        <v>752</v>
      </c>
      <c r="L1106" s="7" t="str">
        <f aca="false">IF(OR(J1106="",K1106=""),"",IF(J1106=K1106,"Breach","OK"))</f>
        <v>OK</v>
      </c>
      <c r="M1106" s="24" t="n">
        <v>1</v>
      </c>
      <c r="N1106" s="50" t="n">
        <v>46175</v>
      </c>
      <c r="O1106" s="8" t="s">
        <v>545</v>
      </c>
      <c r="P1106" s="24" t="n">
        <v>30</v>
      </c>
      <c r="Q1106" s="31" t="n">
        <f aca="false">IF(I1106="N/A","",IFERROR(INDEX('Residual Config'!$B$35:$B$42,MATCH(H1106,'Residual Config'!$A$35:$A$42,0)),""))</f>
        <v>25</v>
      </c>
      <c r="R1106" s="24" t="n">
        <v>0</v>
      </c>
      <c r="S1106" s="8" t="s">
        <v>516</v>
      </c>
      <c r="T1106" s="31" t="n">
        <f aca="false">IF(S1106="","",MATCH(S1106,'Residual Config'!$L$9:$L$12,0))</f>
        <v>1</v>
      </c>
      <c r="U1106" s="8" t="s">
        <v>3490</v>
      </c>
      <c r="V1106" s="24" t="n">
        <v>2</v>
      </c>
      <c r="W1106" s="33" t="s">
        <v>533</v>
      </c>
      <c r="X1106" s="8" t="s">
        <v>760</v>
      </c>
      <c r="Y1106" s="51" t="n">
        <f aca="false">IF(N1106="","",EDATE(N1106,IF(G1106="N",INDEX('Residual Config'!$B$31:$D$31,1,MATCH(D1106,'Residual Config'!$B$27:$D$27,0)),INDEX('Residual Config'!$B$28:$D$30,IF(T1106=1,1,IF(T1106=4,3,2)),MATCH(D1106,'Residual Config'!$B$27:$D$27,0)))))</f>
        <v>46358</v>
      </c>
      <c r="Z1106" s="7" t="str">
        <f aca="false">IF(I1106="N/A","N/A",IF(N1106="","Not tested",IF(W1106="Rejected","Evidence rejected",IF(W1106&lt;&gt;"Accepted","Evidence pending",IF(Y1106&lt;'Residual Config'!$C$4,"Overdue","Current")))))</f>
        <v>Current</v>
      </c>
      <c r="AA1106" s="34" t="n">
        <f aca="false">IF(I1106="N/A","",IF(Z1106&lt;&gt;"Current",4,IF(MAX(M1106,T1106)=0,4,MAX(M1106,T1106))))</f>
        <v>1</v>
      </c>
      <c r="AB1106" s="7" t="str">
        <f aca="false">IF(AA1106="","N/A",IF(Z1106&lt;&gt;"Current","Not tested / overdue",INDEX('Residual Config'!$B$11:$B$14,AA1106)))</f>
        <v>Effective</v>
      </c>
      <c r="AC1106" s="36" t="n">
        <f aca="false">IF(AA1106="","",INDEX('Residual Config'!$D$11:$D$14,AA1106))</f>
        <v>0.6</v>
      </c>
      <c r="AD1106" s="7" t="str">
        <f aca="false">IF(OR(I1106="N/A",P1106="",Q1106=""),"",IF(P1106&gt;=Q1106,"Yes","No"))</f>
        <v>Yes</v>
      </c>
      <c r="AE1106" s="8"/>
    </row>
    <row r="1107" customFormat="false" ht="15" hidden="false" customHeight="false" outlineLevel="0" collapsed="false">
      <c r="A1107" s="12" t="s">
        <v>3491</v>
      </c>
      <c r="B1107" s="26" t="str">
        <f aca="false">Entities!$A$30</f>
        <v>CH</v>
      </c>
      <c r="C1107" s="12" t="str">
        <f aca="false">INDEX(Entities!$B$5:$B$34,MATCH(B1107,Entities!$A$5:$A$34,0))</f>
        <v>Arab Bank (Switzerland) – sister company</v>
      </c>
      <c r="D1107" s="7" t="str">
        <f aca="false">INDEX(Entities!$F$5:$F$34,MATCH(B1107,Entities!$A$5:$A$34,0))</f>
        <v>Tier 1</v>
      </c>
      <c r="E1107" s="26" t="str">
        <f aca="false">'Control Library'!$A$32</f>
        <v>CTL-CON-02</v>
      </c>
      <c r="F1107" s="12" t="str">
        <f aca="false">INDEX('Control Library'!$B$5:$B$47,MATCH(E1107,'Control Library'!$A$5:$A$47,0))</f>
        <v>Complaints handling and root-cause analysis</v>
      </c>
      <c r="G1107" s="7" t="str">
        <f aca="false">INDEX('Control Library'!$F$5:$F$47,MATCH(E1107,'Control Library'!$A$5:$A$47,0))</f>
        <v>N</v>
      </c>
      <c r="H1107" s="12" t="str">
        <f aca="false">INDEX('Control Library'!$E$5:$E$47,MATCH(E1107,'Control Library'!$A$5:$A$47,0))</f>
        <v>Monthly</v>
      </c>
      <c r="I1107" s="7" t="str">
        <f aca="false">IF(INDEX('Control Library'!$I$5:$I$47,MATCH(E1107,'Control Library'!$A$5:$A$47,0))="All","Y",IF(INDEX('Control Library'!$I$5:$I$47,MATCH(E1107,'Control Library'!$A$5:$A$47,0))="Banks only",IF(COUNTIF('Residual Config'!$L$28:$L$30,INDEX(Entities!$E$5:$E$34,MATCH(B1107,Entities!$A$5:$A$34,0)))&gt;0,"N/A","Y"),IF(INDEX(Entities!$G$5:$G$34,MATCH(B1107,Entities!$A$5:$A$34,0))="Y","Y","N/A")))</f>
        <v>Y</v>
      </c>
      <c r="J1107" s="8" t="s">
        <v>3492</v>
      </c>
      <c r="K1107" s="8" t="s">
        <v>3434</v>
      </c>
      <c r="L1107" s="7" t="str">
        <f aca="false">IF(OR(J1107="",K1107=""),"",IF(J1107=K1107,"Breach","OK"))</f>
        <v>OK</v>
      </c>
      <c r="M1107" s="24" t="n">
        <v>1</v>
      </c>
      <c r="N1107" s="50" t="n">
        <v>46280</v>
      </c>
      <c r="O1107" s="8" t="s">
        <v>545</v>
      </c>
      <c r="P1107" s="24" t="n">
        <v>3</v>
      </c>
      <c r="Q1107" s="31" t="n">
        <f aca="false">IF(I1107="N/A","",IFERROR(INDEX('Residual Config'!$B$35:$B$42,MATCH(H1107,'Residual Config'!$A$35:$A$42,0)),""))</f>
        <v>3</v>
      </c>
      <c r="R1107" s="24" t="n">
        <v>1</v>
      </c>
      <c r="S1107" s="8" t="s">
        <v>521</v>
      </c>
      <c r="T1107" s="31" t="n">
        <f aca="false">IF(S1107="","",MATCH(S1107,'Residual Config'!$L$9:$L$12,0))</f>
        <v>2</v>
      </c>
      <c r="U1107" s="8" t="s">
        <v>3493</v>
      </c>
      <c r="V1107" s="24" t="n">
        <v>5</v>
      </c>
      <c r="W1107" s="33" t="s">
        <v>533</v>
      </c>
      <c r="X1107" s="8" t="s">
        <v>754</v>
      </c>
      <c r="Y1107" s="51" t="n">
        <f aca="false">IF(N1107="","",EDATE(N1107,IF(G1107="N",INDEX('Residual Config'!$B$31:$D$31,1,MATCH(D1107,'Residual Config'!$B$27:$D$27,0)),INDEX('Residual Config'!$B$28:$D$30,IF(T1107=1,1,IF(T1107=4,3,2)),MATCH(D1107,'Residual Config'!$B$27:$D$27,0)))))</f>
        <v>46645</v>
      </c>
      <c r="Z1107" s="7" t="str">
        <f aca="false">IF(I1107="N/A","N/A",IF(N1107="","Not tested",IF(W1107="Rejected","Evidence rejected",IF(W1107&lt;&gt;"Accepted","Evidence pending",IF(Y1107&lt;'Residual Config'!$C$4,"Overdue","Current")))))</f>
        <v>Current</v>
      </c>
      <c r="AA1107" s="34" t="n">
        <f aca="false">IF(I1107="N/A","",IF(Z1107&lt;&gt;"Current",4,IF(MAX(M1107,T1107)=0,4,MAX(M1107,T1107))))</f>
        <v>2</v>
      </c>
      <c r="AB1107" s="7" t="str">
        <f aca="false">IF(AA1107="","N/A",IF(Z1107&lt;&gt;"Current","Not tested / overdue",INDEX('Residual Config'!$B$11:$B$14,AA1107)))</f>
        <v>Largely effective</v>
      </c>
      <c r="AC1107" s="36" t="n">
        <f aca="false">IF(AA1107="","",INDEX('Residual Config'!$D$11:$D$14,AA1107))</f>
        <v>0.4</v>
      </c>
      <c r="AD1107" s="7" t="str">
        <f aca="false">IF(OR(I1107="N/A",P1107="",Q1107=""),"",IF(P1107&gt;=Q1107,"Yes","No"))</f>
        <v>Yes</v>
      </c>
      <c r="AE1107" s="8"/>
    </row>
    <row r="1108" customFormat="false" ht="15" hidden="false" customHeight="false" outlineLevel="0" collapsed="false">
      <c r="A1108" s="12" t="s">
        <v>3494</v>
      </c>
      <c r="B1108" s="26" t="str">
        <f aca="false">Entities!$A$30</f>
        <v>CH</v>
      </c>
      <c r="C1108" s="12" t="str">
        <f aca="false">INDEX(Entities!$B$5:$B$34,MATCH(B1108,Entities!$A$5:$A$34,0))</f>
        <v>Arab Bank (Switzerland) – sister company</v>
      </c>
      <c r="D1108" s="7" t="str">
        <f aca="false">INDEX(Entities!$F$5:$F$34,MATCH(B1108,Entities!$A$5:$A$34,0))</f>
        <v>Tier 1</v>
      </c>
      <c r="E1108" s="26" t="str">
        <f aca="false">'Control Library'!$A$33</f>
        <v>CTL-DP-01</v>
      </c>
      <c r="F1108" s="12" t="str">
        <f aca="false">INDEX('Control Library'!$B$5:$B$47,MATCH(E1108,'Control Library'!$A$5:$A$47,0))</f>
        <v>Data protection impact assessments and processing records</v>
      </c>
      <c r="G1108" s="7" t="str">
        <f aca="false">INDEX('Control Library'!$F$5:$F$47,MATCH(E1108,'Control Library'!$A$5:$A$47,0))</f>
        <v>Y</v>
      </c>
      <c r="H1108" s="12" t="str">
        <f aca="false">INDEX('Control Library'!$E$5:$E$47,MATCH(E1108,'Control Library'!$A$5:$A$47,0))</f>
        <v>Event-driven</v>
      </c>
      <c r="I1108" s="7" t="str">
        <f aca="false">IF(INDEX('Control Library'!$I$5:$I$47,MATCH(E1108,'Control Library'!$A$5:$A$47,0))="All","Y",IF(INDEX('Control Library'!$I$5:$I$47,MATCH(E1108,'Control Library'!$A$5:$A$47,0))="Banks only",IF(COUNTIF('Residual Config'!$L$28:$L$30,INDEX(Entities!$E$5:$E$34,MATCH(B1108,Entities!$A$5:$A$34,0)))&gt;0,"N/A","Y"),IF(INDEX(Entities!$G$5:$G$34,MATCH(B1108,Entities!$A$5:$A$34,0))="Y","Y","N/A")))</f>
        <v>Y</v>
      </c>
      <c r="J1108" s="8" t="s">
        <v>3495</v>
      </c>
      <c r="K1108" s="8" t="s">
        <v>752</v>
      </c>
      <c r="L1108" s="7" t="str">
        <f aca="false">IF(OR(J1108="",K1108=""),"",IF(J1108=K1108,"Breach","OK"))</f>
        <v>OK</v>
      </c>
      <c r="M1108" s="24" t="n">
        <v>1</v>
      </c>
      <c r="N1108" s="50" t="n">
        <v>46204</v>
      </c>
      <c r="O1108" s="8" t="s">
        <v>545</v>
      </c>
      <c r="P1108" s="24" t="n">
        <v>25</v>
      </c>
      <c r="Q1108" s="31" t="n">
        <f aca="false">IF(I1108="N/A","",IFERROR(INDEX('Residual Config'!$B$35:$B$42,MATCH(H1108,'Residual Config'!$A$35:$A$42,0)),""))</f>
        <v>25</v>
      </c>
      <c r="R1108" s="24" t="n">
        <v>0</v>
      </c>
      <c r="S1108" s="8" t="s">
        <v>516</v>
      </c>
      <c r="T1108" s="31" t="n">
        <f aca="false">IF(S1108="","",MATCH(S1108,'Residual Config'!$L$9:$L$12,0))</f>
        <v>1</v>
      </c>
      <c r="U1108" s="8" t="s">
        <v>3496</v>
      </c>
      <c r="V1108" s="24" t="n">
        <v>1</v>
      </c>
      <c r="W1108" s="33" t="s">
        <v>533</v>
      </c>
      <c r="X1108" s="8" t="s">
        <v>754</v>
      </c>
      <c r="Y1108" s="51" t="n">
        <f aca="false">IF(N1108="","",EDATE(N1108,IF(G1108="N",INDEX('Residual Config'!$B$31:$D$31,1,MATCH(D1108,'Residual Config'!$B$27:$D$27,0)),INDEX('Residual Config'!$B$28:$D$30,IF(T1108=1,1,IF(T1108=4,3,2)),MATCH(D1108,'Residual Config'!$B$27:$D$27,0)))))</f>
        <v>46388</v>
      </c>
      <c r="Z1108" s="7" t="str">
        <f aca="false">IF(I1108="N/A","N/A",IF(N1108="","Not tested",IF(W1108="Rejected","Evidence rejected",IF(W1108&lt;&gt;"Accepted","Evidence pending",IF(Y1108&lt;'Residual Config'!$C$4,"Overdue","Current")))))</f>
        <v>Current</v>
      </c>
      <c r="AA1108" s="34" t="n">
        <f aca="false">IF(I1108="N/A","",IF(Z1108&lt;&gt;"Current",4,IF(MAX(M1108,T1108)=0,4,MAX(M1108,T1108))))</f>
        <v>1</v>
      </c>
      <c r="AB1108" s="7" t="str">
        <f aca="false">IF(AA1108="","N/A",IF(Z1108&lt;&gt;"Current","Not tested / overdue",INDEX('Residual Config'!$B$11:$B$14,AA1108)))</f>
        <v>Effective</v>
      </c>
      <c r="AC1108" s="36" t="n">
        <f aca="false">IF(AA1108="","",INDEX('Residual Config'!$D$11:$D$14,AA1108))</f>
        <v>0.6</v>
      </c>
      <c r="AD1108" s="7" t="str">
        <f aca="false">IF(OR(I1108="N/A",P1108="",Q1108=""),"",IF(P1108&gt;=Q1108,"Yes","No"))</f>
        <v>Yes</v>
      </c>
      <c r="AE1108" s="8"/>
    </row>
    <row r="1109" customFormat="false" ht="15" hidden="false" customHeight="false" outlineLevel="0" collapsed="false">
      <c r="A1109" s="12" t="s">
        <v>3497</v>
      </c>
      <c r="B1109" s="26" t="str">
        <f aca="false">Entities!$A$30</f>
        <v>CH</v>
      </c>
      <c r="C1109" s="12" t="str">
        <f aca="false">INDEX(Entities!$B$5:$B$34,MATCH(B1109,Entities!$A$5:$A$34,0))</f>
        <v>Arab Bank (Switzerland) – sister company</v>
      </c>
      <c r="D1109" s="7" t="str">
        <f aca="false">INDEX(Entities!$F$5:$F$34,MATCH(B1109,Entities!$A$5:$A$34,0))</f>
        <v>Tier 1</v>
      </c>
      <c r="E1109" s="26" t="str">
        <f aca="false">'Control Library'!$A$34</f>
        <v>CTL-DP-02</v>
      </c>
      <c r="F1109" s="12" t="str">
        <f aca="false">INDEX('Control Library'!$B$5:$B$47,MATCH(E1109,'Control Library'!$A$5:$A$47,0))</f>
        <v>Data loss prevention and quarterly access recertification</v>
      </c>
      <c r="G1109" s="7" t="str">
        <f aca="false">INDEX('Control Library'!$F$5:$F$47,MATCH(E1109,'Control Library'!$A$5:$A$47,0))</f>
        <v>Y</v>
      </c>
      <c r="H1109" s="12" t="str">
        <f aca="false">INDEX('Control Library'!$E$5:$E$47,MATCH(E1109,'Control Library'!$A$5:$A$47,0))</f>
        <v>Quarterly</v>
      </c>
      <c r="I1109" s="7" t="str">
        <f aca="false">IF(INDEX('Control Library'!$I$5:$I$47,MATCH(E1109,'Control Library'!$A$5:$A$47,0))="All","Y",IF(INDEX('Control Library'!$I$5:$I$47,MATCH(E1109,'Control Library'!$A$5:$A$47,0))="Banks only",IF(COUNTIF('Residual Config'!$L$28:$L$30,INDEX(Entities!$E$5:$E$34,MATCH(B1109,Entities!$A$5:$A$34,0)))&gt;0,"N/A","Y"),IF(INDEX(Entities!$G$5:$G$34,MATCH(B1109,Entities!$A$5:$A$34,0))="Y","Y","N/A")))</f>
        <v>Y</v>
      </c>
      <c r="J1109" s="8" t="s">
        <v>3498</v>
      </c>
      <c r="K1109" s="8" t="s">
        <v>752</v>
      </c>
      <c r="L1109" s="7" t="str">
        <f aca="false">IF(OR(J1109="",K1109=""),"",IF(J1109=K1109,"Breach","OK"))</f>
        <v>OK</v>
      </c>
      <c r="M1109" s="24" t="n">
        <v>2</v>
      </c>
      <c r="N1109" s="50" t="n">
        <v>46161</v>
      </c>
      <c r="O1109" s="8" t="s">
        <v>545</v>
      </c>
      <c r="P1109" s="24" t="n">
        <v>2</v>
      </c>
      <c r="Q1109" s="31" t="n">
        <f aca="false">IF(I1109="N/A","",IFERROR(INDEX('Residual Config'!$B$35:$B$42,MATCH(H1109,'Residual Config'!$A$35:$A$42,0)),""))</f>
        <v>2</v>
      </c>
      <c r="R1109" s="24" t="n">
        <v>0</v>
      </c>
      <c r="S1109" s="8" t="s">
        <v>516</v>
      </c>
      <c r="T1109" s="31" t="n">
        <f aca="false">IF(S1109="","",MATCH(S1109,'Residual Config'!$L$9:$L$12,0))</f>
        <v>1</v>
      </c>
      <c r="U1109" s="8" t="s">
        <v>3499</v>
      </c>
      <c r="V1109" s="24" t="n">
        <v>4</v>
      </c>
      <c r="W1109" s="33" t="s">
        <v>533</v>
      </c>
      <c r="X1109" s="8" t="s">
        <v>754</v>
      </c>
      <c r="Y1109" s="51" t="n">
        <f aca="false">IF(N1109="","",EDATE(N1109,IF(G1109="N",INDEX('Residual Config'!$B$31:$D$31,1,MATCH(D1109,'Residual Config'!$B$27:$D$27,0)),INDEX('Residual Config'!$B$28:$D$30,IF(T1109=1,1,IF(T1109=4,3,2)),MATCH(D1109,'Residual Config'!$B$27:$D$27,0)))))</f>
        <v>46345</v>
      </c>
      <c r="Z1109" s="7" t="str">
        <f aca="false">IF(I1109="N/A","N/A",IF(N1109="","Not tested",IF(W1109="Rejected","Evidence rejected",IF(W1109&lt;&gt;"Accepted","Evidence pending",IF(Y1109&lt;'Residual Config'!$C$4,"Overdue","Current")))))</f>
        <v>Current</v>
      </c>
      <c r="AA1109" s="34" t="n">
        <f aca="false">IF(I1109="N/A","",IF(Z1109&lt;&gt;"Current",4,IF(MAX(M1109,T1109)=0,4,MAX(M1109,T1109))))</f>
        <v>2</v>
      </c>
      <c r="AB1109" s="7" t="str">
        <f aca="false">IF(AA1109="","N/A",IF(Z1109&lt;&gt;"Current","Not tested / overdue",INDEX('Residual Config'!$B$11:$B$14,AA1109)))</f>
        <v>Largely effective</v>
      </c>
      <c r="AC1109" s="36" t="n">
        <f aca="false">IF(AA1109="","",INDEX('Residual Config'!$D$11:$D$14,AA1109))</f>
        <v>0.4</v>
      </c>
      <c r="AD1109" s="7" t="str">
        <f aca="false">IF(OR(I1109="N/A",P1109="",Q1109=""),"",IF(P1109&gt;=Q1109,"Yes","No"))</f>
        <v>Yes</v>
      </c>
      <c r="AE1109" s="8"/>
    </row>
    <row r="1110" customFormat="false" ht="15" hidden="false" customHeight="false" outlineLevel="0" collapsed="false">
      <c r="A1110" s="12" t="s">
        <v>3500</v>
      </c>
      <c r="B1110" s="26" t="str">
        <f aca="false">Entities!$A$30</f>
        <v>CH</v>
      </c>
      <c r="C1110" s="12" t="str">
        <f aca="false">INDEX(Entities!$B$5:$B$34,MATCH(B1110,Entities!$A$5:$A$34,0))</f>
        <v>Arab Bank (Switzerland) – sister company</v>
      </c>
      <c r="D1110" s="7" t="str">
        <f aca="false">INDEX(Entities!$F$5:$F$34,MATCH(B1110,Entities!$A$5:$A$34,0))</f>
        <v>Tier 1</v>
      </c>
      <c r="E1110" s="26" t="str">
        <f aca="false">'Control Library'!$A$35</f>
        <v>CTL-SH-01</v>
      </c>
      <c r="F1110" s="12" t="str">
        <f aca="false">INDEX('Control Library'!$B$5:$B$47,MATCH(E1110,'Control Library'!$A$5:$A$47,0))</f>
        <v>Shariah review of products and income purification</v>
      </c>
      <c r="G1110" s="7" t="str">
        <f aca="false">INDEX('Control Library'!$F$5:$F$47,MATCH(E1110,'Control Library'!$A$5:$A$47,0))</f>
        <v>Y</v>
      </c>
      <c r="H1110" s="12" t="str">
        <f aca="false">INDEX('Control Library'!$E$5:$E$47,MATCH(E1110,'Control Library'!$A$5:$A$47,0))</f>
        <v>Quarterly</v>
      </c>
      <c r="I1110" s="7" t="str">
        <f aca="false">IF(INDEX('Control Library'!$I$5:$I$47,MATCH(E1110,'Control Library'!$A$5:$A$47,0))="All","Y",IF(INDEX('Control Library'!$I$5:$I$47,MATCH(E1110,'Control Library'!$A$5:$A$47,0))="Banks only",IF(COUNTIF('Residual Config'!$L$28:$L$30,INDEX(Entities!$E$5:$E$34,MATCH(B1110,Entities!$A$5:$A$34,0)))&gt;0,"N/A","Y"),IF(INDEX(Entities!$G$5:$G$34,MATCH(B1110,Entities!$A$5:$A$34,0))="Y","Y","N/A")))</f>
        <v>N/A</v>
      </c>
      <c r="J1110" s="8"/>
      <c r="K1110" s="8"/>
      <c r="L1110" s="7" t="str">
        <f aca="false">IF(OR(J1110="",K1110=""),"",IF(J1110=K1110,"Breach","OK"))</f>
        <v/>
      </c>
      <c r="M1110" s="24"/>
      <c r="N1110" s="50"/>
      <c r="O1110" s="8"/>
      <c r="P1110" s="24"/>
      <c r="Q1110" s="31" t="str">
        <f aca="false">IF(I1110="N/A","",IFERROR(INDEX('Residual Config'!$B$35:$B$42,MATCH(H1110,'Residual Config'!$A$35:$A$42,0)),""))</f>
        <v/>
      </c>
      <c r="R1110" s="24"/>
      <c r="S1110" s="8"/>
      <c r="T1110" s="31" t="str">
        <f aca="false">IF(S1110="","",MATCH(S1110,'Residual Config'!$L$9:$L$12,0))</f>
        <v/>
      </c>
      <c r="U1110" s="8"/>
      <c r="V1110" s="24"/>
      <c r="W1110" s="33"/>
      <c r="X1110" s="8"/>
      <c r="Y1110" s="51" t="str">
        <f aca="false">IF(N1110="","",EDATE(N1110,IF(G1110="N",INDEX('Residual Config'!$B$31:$D$31,1,MATCH(D1110,'Residual Config'!$B$27:$D$27,0)),INDEX('Residual Config'!$B$28:$D$30,IF(T1110=1,1,IF(T1110=4,3,2)),MATCH(D1110,'Residual Config'!$B$27:$D$27,0)))))</f>
        <v/>
      </c>
      <c r="Z1110" s="7" t="str">
        <f aca="false">IF(I1110="N/A","N/A",IF(N1110="","Not tested",IF(W1110="Rejected","Evidence rejected",IF(W1110&lt;&gt;"Accepted","Evidence pending",IF(Y1110&lt;'Residual Config'!$C$4,"Overdue","Current")))))</f>
        <v>N/A</v>
      </c>
      <c r="AA1110" s="34" t="str">
        <f aca="false">IF(I1110="N/A","",IF(Z1110&lt;&gt;"Current",4,IF(MAX(M1110,T1110)=0,4,MAX(M1110,T1110))))</f>
        <v/>
      </c>
      <c r="AB1110" s="7" t="str">
        <f aca="false">IF(AA1110="","N/A",IF(Z1110&lt;&gt;"Current","Not tested / overdue",INDEX('Residual Config'!$B$11:$B$14,AA1110)))</f>
        <v>N/A</v>
      </c>
      <c r="AC1110" s="36" t="str">
        <f aca="false">IF(AA1110="","",INDEX('Residual Config'!$D$11:$D$14,AA1110))</f>
        <v/>
      </c>
      <c r="AD1110" s="7" t="str">
        <f aca="false">IF(OR(I1110="N/A",P1110="",Q1110=""),"",IF(P1110&gt;=Q1110,"Yes","No"))</f>
        <v/>
      </c>
      <c r="AE1110" s="8"/>
    </row>
    <row r="1111" customFormat="false" ht="15" hidden="false" customHeight="false" outlineLevel="0" collapsed="false">
      <c r="A1111" s="12" t="s">
        <v>3501</v>
      </c>
      <c r="B1111" s="26" t="str">
        <f aca="false">Entities!$A$30</f>
        <v>CH</v>
      </c>
      <c r="C1111" s="12" t="str">
        <f aca="false">INDEX(Entities!$B$5:$B$34,MATCH(B1111,Entities!$A$5:$A$34,0))</f>
        <v>Arab Bank (Switzerland) – sister company</v>
      </c>
      <c r="D1111" s="7" t="str">
        <f aca="false">INDEX(Entities!$F$5:$F$34,MATCH(B1111,Entities!$A$5:$A$34,0))</f>
        <v>Tier 1</v>
      </c>
      <c r="E1111" s="26" t="str">
        <f aca="false">'Control Library'!$A$36</f>
        <v>CTL-CR-01</v>
      </c>
      <c r="F1111" s="12" t="str">
        <f aca="false">INDEX('Control Library'!$B$5:$B$47,MATCH(E1111,'Control Library'!$A$5:$A$47,0))</f>
        <v>Credit approval authorities and committee review</v>
      </c>
      <c r="G1111" s="7" t="str">
        <f aca="false">INDEX('Control Library'!$F$5:$F$47,MATCH(E1111,'Control Library'!$A$5:$A$47,0))</f>
        <v>Y</v>
      </c>
      <c r="H1111" s="12" t="str">
        <f aca="false">INDEX('Control Library'!$E$5:$E$47,MATCH(E1111,'Control Library'!$A$5:$A$47,0))</f>
        <v>Event-driven</v>
      </c>
      <c r="I1111" s="7" t="str">
        <f aca="false">IF(INDEX('Control Library'!$I$5:$I$47,MATCH(E1111,'Control Library'!$A$5:$A$47,0))="All","Y",IF(INDEX('Control Library'!$I$5:$I$47,MATCH(E1111,'Control Library'!$A$5:$A$47,0))="Banks only",IF(COUNTIF('Residual Config'!$L$28:$L$30,INDEX(Entities!$E$5:$E$34,MATCH(B1111,Entities!$A$5:$A$34,0)))&gt;0,"N/A","Y"),IF(INDEX(Entities!$G$5:$G$34,MATCH(B1111,Entities!$A$5:$A$34,0))="Y","Y","N/A")))</f>
        <v>Y</v>
      </c>
      <c r="J1111" s="8" t="s">
        <v>3502</v>
      </c>
      <c r="K1111" s="8" t="s">
        <v>752</v>
      </c>
      <c r="L1111" s="7" t="str">
        <f aca="false">IF(OR(J1111="",K1111=""),"",IF(J1111=K1111,"Breach","OK"))</f>
        <v>OK</v>
      </c>
      <c r="M1111" s="24" t="n">
        <v>1</v>
      </c>
      <c r="N1111" s="50" t="n">
        <v>46221</v>
      </c>
      <c r="O1111" s="8" t="s">
        <v>545</v>
      </c>
      <c r="P1111" s="24" t="n">
        <v>30</v>
      </c>
      <c r="Q1111" s="31" t="n">
        <f aca="false">IF(I1111="N/A","",IFERROR(INDEX('Residual Config'!$B$35:$B$42,MATCH(H1111,'Residual Config'!$A$35:$A$42,0)),""))</f>
        <v>25</v>
      </c>
      <c r="R1111" s="24" t="n">
        <v>0</v>
      </c>
      <c r="S1111" s="8" t="s">
        <v>516</v>
      </c>
      <c r="T1111" s="31" t="n">
        <f aca="false">IF(S1111="","",MATCH(S1111,'Residual Config'!$L$9:$L$12,0))</f>
        <v>1</v>
      </c>
      <c r="U1111" s="8" t="s">
        <v>3503</v>
      </c>
      <c r="V1111" s="24" t="n">
        <v>1</v>
      </c>
      <c r="W1111" s="33" t="s">
        <v>533</v>
      </c>
      <c r="X1111" s="8" t="s">
        <v>760</v>
      </c>
      <c r="Y1111" s="51" t="n">
        <f aca="false">IF(N1111="","",EDATE(N1111,IF(G1111="N",INDEX('Residual Config'!$B$31:$D$31,1,MATCH(D1111,'Residual Config'!$B$27:$D$27,0)),INDEX('Residual Config'!$B$28:$D$30,IF(T1111=1,1,IF(T1111=4,3,2)),MATCH(D1111,'Residual Config'!$B$27:$D$27,0)))))</f>
        <v>46405</v>
      </c>
      <c r="Z1111" s="7" t="str">
        <f aca="false">IF(I1111="N/A","N/A",IF(N1111="","Not tested",IF(W1111="Rejected","Evidence rejected",IF(W1111&lt;&gt;"Accepted","Evidence pending",IF(Y1111&lt;'Residual Config'!$C$4,"Overdue","Current")))))</f>
        <v>Current</v>
      </c>
      <c r="AA1111" s="34" t="n">
        <f aca="false">IF(I1111="N/A","",IF(Z1111&lt;&gt;"Current",4,IF(MAX(M1111,T1111)=0,4,MAX(M1111,T1111))))</f>
        <v>1</v>
      </c>
      <c r="AB1111" s="7" t="str">
        <f aca="false">IF(AA1111="","N/A",IF(Z1111&lt;&gt;"Current","Not tested / overdue",INDEX('Residual Config'!$B$11:$B$14,AA1111)))</f>
        <v>Effective</v>
      </c>
      <c r="AC1111" s="36" t="n">
        <f aca="false">IF(AA1111="","",INDEX('Residual Config'!$D$11:$D$14,AA1111))</f>
        <v>0.6</v>
      </c>
      <c r="AD1111" s="7" t="str">
        <f aca="false">IF(OR(I1111="N/A",P1111="",Q1111=""),"",IF(P1111&gt;=Q1111,"Yes","No"))</f>
        <v>Yes</v>
      </c>
      <c r="AE1111" s="8"/>
    </row>
    <row r="1112" customFormat="false" ht="15" hidden="false" customHeight="false" outlineLevel="0" collapsed="false">
      <c r="A1112" s="12" t="s">
        <v>3504</v>
      </c>
      <c r="B1112" s="26" t="str">
        <f aca="false">Entities!$A$30</f>
        <v>CH</v>
      </c>
      <c r="C1112" s="12" t="str">
        <f aca="false">INDEX(Entities!$B$5:$B$34,MATCH(B1112,Entities!$A$5:$A$34,0))</f>
        <v>Arab Bank (Switzerland) – sister company</v>
      </c>
      <c r="D1112" s="7" t="str">
        <f aca="false">INDEX(Entities!$F$5:$F$34,MATCH(B1112,Entities!$A$5:$A$34,0))</f>
        <v>Tier 1</v>
      </c>
      <c r="E1112" s="26" t="str">
        <f aca="false">'Control Library'!$A$37</f>
        <v>CTL-CR-02</v>
      </c>
      <c r="F1112" s="12" t="str">
        <f aca="false">INDEX('Control Library'!$B$5:$B$47,MATCH(E1112,'Control Library'!$A$5:$A$47,0))</f>
        <v>Collateral valuation and exposure limit monitoring</v>
      </c>
      <c r="G1112" s="7" t="str">
        <f aca="false">INDEX('Control Library'!$F$5:$F$47,MATCH(E1112,'Control Library'!$A$5:$A$47,0))</f>
        <v>N</v>
      </c>
      <c r="H1112" s="12" t="str">
        <f aca="false">INDEX('Control Library'!$E$5:$E$47,MATCH(E1112,'Control Library'!$A$5:$A$47,0))</f>
        <v>Monthly</v>
      </c>
      <c r="I1112" s="7" t="str">
        <f aca="false">IF(INDEX('Control Library'!$I$5:$I$47,MATCH(E1112,'Control Library'!$A$5:$A$47,0))="All","Y",IF(INDEX('Control Library'!$I$5:$I$47,MATCH(E1112,'Control Library'!$A$5:$A$47,0))="Banks only",IF(COUNTIF('Residual Config'!$L$28:$L$30,INDEX(Entities!$E$5:$E$34,MATCH(B1112,Entities!$A$5:$A$34,0)))&gt;0,"N/A","Y"),IF(INDEX(Entities!$G$5:$G$34,MATCH(B1112,Entities!$A$5:$A$34,0))="Y","Y","N/A")))</f>
        <v>Y</v>
      </c>
      <c r="J1112" s="8" t="s">
        <v>3505</v>
      </c>
      <c r="K1112" s="8" t="s">
        <v>3434</v>
      </c>
      <c r="L1112" s="7" t="str">
        <f aca="false">IF(OR(J1112="",K1112=""),"",IF(J1112=K1112,"Breach","OK"))</f>
        <v>OK</v>
      </c>
      <c r="M1112" s="24" t="n">
        <v>1</v>
      </c>
      <c r="N1112" s="50" t="n">
        <v>46031</v>
      </c>
      <c r="O1112" s="8" t="s">
        <v>545</v>
      </c>
      <c r="P1112" s="24" t="n">
        <v>3</v>
      </c>
      <c r="Q1112" s="31" t="n">
        <f aca="false">IF(I1112="N/A","",IFERROR(INDEX('Residual Config'!$B$35:$B$42,MATCH(H1112,'Residual Config'!$A$35:$A$42,0)),""))</f>
        <v>3</v>
      </c>
      <c r="R1112" s="24" t="n">
        <v>0</v>
      </c>
      <c r="S1112" s="8" t="s">
        <v>516</v>
      </c>
      <c r="T1112" s="31" t="n">
        <f aca="false">IF(S1112="","",MATCH(S1112,'Residual Config'!$L$9:$L$12,0))</f>
        <v>1</v>
      </c>
      <c r="U1112" s="8" t="s">
        <v>3506</v>
      </c>
      <c r="V1112" s="24" t="n">
        <v>6</v>
      </c>
      <c r="W1112" s="33" t="s">
        <v>533</v>
      </c>
      <c r="X1112" s="8" t="s">
        <v>754</v>
      </c>
      <c r="Y1112" s="51" t="n">
        <f aca="false">IF(N1112="","",EDATE(N1112,IF(G1112="N",INDEX('Residual Config'!$B$31:$D$31,1,MATCH(D1112,'Residual Config'!$B$27:$D$27,0)),INDEX('Residual Config'!$B$28:$D$30,IF(T1112=1,1,IF(T1112=4,3,2)),MATCH(D1112,'Residual Config'!$B$27:$D$27,0)))))</f>
        <v>46396</v>
      </c>
      <c r="Z1112" s="7" t="str">
        <f aca="false">IF(I1112="N/A","N/A",IF(N1112="","Not tested",IF(W1112="Rejected","Evidence rejected",IF(W1112&lt;&gt;"Accepted","Evidence pending",IF(Y1112&lt;'Residual Config'!$C$4,"Overdue","Current")))))</f>
        <v>Current</v>
      </c>
      <c r="AA1112" s="34" t="n">
        <f aca="false">IF(I1112="N/A","",IF(Z1112&lt;&gt;"Current",4,IF(MAX(M1112,T1112)=0,4,MAX(M1112,T1112))))</f>
        <v>1</v>
      </c>
      <c r="AB1112" s="7" t="str">
        <f aca="false">IF(AA1112="","N/A",IF(Z1112&lt;&gt;"Current","Not tested / overdue",INDEX('Residual Config'!$B$11:$B$14,AA1112)))</f>
        <v>Effective</v>
      </c>
      <c r="AC1112" s="36" t="n">
        <f aca="false">IF(AA1112="","",INDEX('Residual Config'!$D$11:$D$14,AA1112))</f>
        <v>0.6</v>
      </c>
      <c r="AD1112" s="7" t="str">
        <f aca="false">IF(OR(I1112="N/A",P1112="",Q1112=""),"",IF(P1112&gt;=Q1112,"Yes","No"))</f>
        <v>Yes</v>
      </c>
      <c r="AE1112" s="8"/>
    </row>
    <row r="1113" customFormat="false" ht="15" hidden="false" customHeight="false" outlineLevel="0" collapsed="false">
      <c r="A1113" s="12" t="s">
        <v>3507</v>
      </c>
      <c r="B1113" s="26" t="str">
        <f aca="false">Entities!$A$30</f>
        <v>CH</v>
      </c>
      <c r="C1113" s="12" t="str">
        <f aca="false">INDEX(Entities!$B$5:$B$34,MATCH(B1113,Entities!$A$5:$A$34,0))</f>
        <v>Arab Bank (Switzerland) – sister company</v>
      </c>
      <c r="D1113" s="7" t="str">
        <f aca="false">INDEX(Entities!$F$5:$F$34,MATCH(B1113,Entities!$A$5:$A$34,0))</f>
        <v>Tier 1</v>
      </c>
      <c r="E1113" s="26" t="str">
        <f aca="false">'Control Library'!$A$38</f>
        <v>CTL-MR-01</v>
      </c>
      <c r="F1113" s="12" t="str">
        <f aca="false">INDEX('Control Library'!$B$5:$B$47,MATCH(E1113,'Control Library'!$A$5:$A$47,0))</f>
        <v>Market risk limits and daily VaR monitoring</v>
      </c>
      <c r="G1113" s="7" t="str">
        <f aca="false">INDEX('Control Library'!$F$5:$F$47,MATCH(E1113,'Control Library'!$A$5:$A$47,0))</f>
        <v>Y</v>
      </c>
      <c r="H1113" s="12" t="str">
        <f aca="false">INDEX('Control Library'!$E$5:$E$47,MATCH(E1113,'Control Library'!$A$5:$A$47,0))</f>
        <v>Daily</v>
      </c>
      <c r="I1113" s="7" t="str">
        <f aca="false">IF(INDEX('Control Library'!$I$5:$I$47,MATCH(E1113,'Control Library'!$A$5:$A$47,0))="All","Y",IF(INDEX('Control Library'!$I$5:$I$47,MATCH(E1113,'Control Library'!$A$5:$A$47,0))="Banks only",IF(COUNTIF('Residual Config'!$L$28:$L$30,INDEX(Entities!$E$5:$E$34,MATCH(B1113,Entities!$A$5:$A$34,0)))&gt;0,"N/A","Y"),IF(INDEX(Entities!$G$5:$G$34,MATCH(B1113,Entities!$A$5:$A$34,0))="Y","Y","N/A")))</f>
        <v>Y</v>
      </c>
      <c r="J1113" s="8" t="s">
        <v>3505</v>
      </c>
      <c r="K1113" s="8" t="s">
        <v>752</v>
      </c>
      <c r="L1113" s="7" t="str">
        <f aca="false">IF(OR(J1113="",K1113=""),"",IF(J1113=K1113,"Breach","OK"))</f>
        <v>OK</v>
      </c>
      <c r="M1113" s="24" t="n">
        <v>2</v>
      </c>
      <c r="N1113" s="50" t="n">
        <v>46236</v>
      </c>
      <c r="O1113" s="8" t="s">
        <v>546</v>
      </c>
      <c r="P1113" s="24" t="n">
        <v>25</v>
      </c>
      <c r="Q1113" s="31" t="n">
        <f aca="false">IF(I1113="N/A","",IFERROR(INDEX('Residual Config'!$B$35:$B$42,MATCH(H1113,'Residual Config'!$A$35:$A$42,0)),""))</f>
        <v>25</v>
      </c>
      <c r="R1113" s="24" t="n">
        <v>0</v>
      </c>
      <c r="S1113" s="8" t="s">
        <v>516</v>
      </c>
      <c r="T1113" s="31" t="n">
        <f aca="false">IF(S1113="","",MATCH(S1113,'Residual Config'!$L$9:$L$12,0))</f>
        <v>1</v>
      </c>
      <c r="U1113" s="8" t="s">
        <v>3508</v>
      </c>
      <c r="V1113" s="24" t="n">
        <v>1</v>
      </c>
      <c r="W1113" s="33" t="s">
        <v>533</v>
      </c>
      <c r="X1113" s="8" t="s">
        <v>754</v>
      </c>
      <c r="Y1113" s="51" t="n">
        <f aca="false">IF(N1113="","",EDATE(N1113,IF(G1113="N",INDEX('Residual Config'!$B$31:$D$31,1,MATCH(D1113,'Residual Config'!$B$27:$D$27,0)),INDEX('Residual Config'!$B$28:$D$30,IF(T1113=1,1,IF(T1113=4,3,2)),MATCH(D1113,'Residual Config'!$B$27:$D$27,0)))))</f>
        <v>46420</v>
      </c>
      <c r="Z1113" s="7" t="str">
        <f aca="false">IF(I1113="N/A","N/A",IF(N1113="","Not tested",IF(W1113="Rejected","Evidence rejected",IF(W1113&lt;&gt;"Accepted","Evidence pending",IF(Y1113&lt;'Residual Config'!$C$4,"Overdue","Current")))))</f>
        <v>Current</v>
      </c>
      <c r="AA1113" s="34" t="n">
        <f aca="false">IF(I1113="N/A","",IF(Z1113&lt;&gt;"Current",4,IF(MAX(M1113,T1113)=0,4,MAX(M1113,T1113))))</f>
        <v>2</v>
      </c>
      <c r="AB1113" s="7" t="str">
        <f aca="false">IF(AA1113="","N/A",IF(Z1113&lt;&gt;"Current","Not tested / overdue",INDEX('Residual Config'!$B$11:$B$14,AA1113)))</f>
        <v>Largely effective</v>
      </c>
      <c r="AC1113" s="36" t="n">
        <f aca="false">IF(AA1113="","",INDEX('Residual Config'!$D$11:$D$14,AA1113))</f>
        <v>0.4</v>
      </c>
      <c r="AD1113" s="7" t="str">
        <f aca="false">IF(OR(I1113="N/A",P1113="",Q1113=""),"",IF(P1113&gt;=Q1113,"Yes","No"))</f>
        <v>Yes</v>
      </c>
      <c r="AE1113" s="8"/>
    </row>
    <row r="1114" customFormat="false" ht="15" hidden="false" customHeight="false" outlineLevel="0" collapsed="false">
      <c r="A1114" s="12" t="s">
        <v>3509</v>
      </c>
      <c r="B1114" s="26" t="str">
        <f aca="false">Entities!$A$30</f>
        <v>CH</v>
      </c>
      <c r="C1114" s="12" t="str">
        <f aca="false">INDEX(Entities!$B$5:$B$34,MATCH(B1114,Entities!$A$5:$A$34,0))</f>
        <v>Arab Bank (Switzerland) – sister company</v>
      </c>
      <c r="D1114" s="7" t="str">
        <f aca="false">INDEX(Entities!$F$5:$F$34,MATCH(B1114,Entities!$A$5:$A$34,0))</f>
        <v>Tier 1</v>
      </c>
      <c r="E1114" s="26" t="str">
        <f aca="false">'Control Library'!$A$39</f>
        <v>CTL-LQ-01</v>
      </c>
      <c r="F1114" s="12" t="str">
        <f aca="false">INDEX('Control Library'!$B$5:$B$47,MATCH(E1114,'Control Library'!$A$5:$A$47,0))</f>
        <v>Liquidity buffers, LCR/NSFR monitoring and contingency funding plan</v>
      </c>
      <c r="G1114" s="7" t="str">
        <f aca="false">INDEX('Control Library'!$F$5:$F$47,MATCH(E1114,'Control Library'!$A$5:$A$47,0))</f>
        <v>Y</v>
      </c>
      <c r="H1114" s="12" t="str">
        <f aca="false">INDEX('Control Library'!$E$5:$E$47,MATCH(E1114,'Control Library'!$A$5:$A$47,0))</f>
        <v>Daily</v>
      </c>
      <c r="I1114" s="7" t="str">
        <f aca="false">IF(INDEX('Control Library'!$I$5:$I$47,MATCH(E1114,'Control Library'!$A$5:$A$47,0))="All","Y",IF(INDEX('Control Library'!$I$5:$I$47,MATCH(E1114,'Control Library'!$A$5:$A$47,0))="Banks only",IF(COUNTIF('Residual Config'!$L$28:$L$30,INDEX(Entities!$E$5:$E$34,MATCH(B1114,Entities!$A$5:$A$34,0)))&gt;0,"N/A","Y"),IF(INDEX(Entities!$G$5:$G$34,MATCH(B1114,Entities!$A$5:$A$34,0))="Y","Y","N/A")))</f>
        <v>Y</v>
      </c>
      <c r="J1114" s="8" t="s">
        <v>3510</v>
      </c>
      <c r="K1114" s="8" t="s">
        <v>752</v>
      </c>
      <c r="L1114" s="7" t="str">
        <f aca="false">IF(OR(J1114="",K1114=""),"",IF(J1114=K1114,"Breach","OK"))</f>
        <v>OK</v>
      </c>
      <c r="M1114" s="24" t="n">
        <v>1</v>
      </c>
      <c r="N1114" s="50" t="n">
        <v>46208</v>
      </c>
      <c r="O1114" s="8" t="s">
        <v>545</v>
      </c>
      <c r="P1114" s="24" t="n">
        <v>25</v>
      </c>
      <c r="Q1114" s="31" t="n">
        <f aca="false">IF(I1114="N/A","",IFERROR(INDEX('Residual Config'!$B$35:$B$42,MATCH(H1114,'Residual Config'!$A$35:$A$42,0)),""))</f>
        <v>25</v>
      </c>
      <c r="R1114" s="24" t="n">
        <v>0</v>
      </c>
      <c r="S1114" s="8" t="s">
        <v>516</v>
      </c>
      <c r="T1114" s="31" t="n">
        <f aca="false">IF(S1114="","",MATCH(S1114,'Residual Config'!$L$9:$L$12,0))</f>
        <v>1</v>
      </c>
      <c r="U1114" s="8" t="s">
        <v>3511</v>
      </c>
      <c r="V1114" s="24" t="n">
        <v>1</v>
      </c>
      <c r="W1114" s="33" t="s">
        <v>533</v>
      </c>
      <c r="X1114" s="8" t="s">
        <v>754</v>
      </c>
      <c r="Y1114" s="51" t="n">
        <f aca="false">IF(N1114="","",EDATE(N1114,IF(G1114="N",INDEX('Residual Config'!$B$31:$D$31,1,MATCH(D1114,'Residual Config'!$B$27:$D$27,0)),INDEX('Residual Config'!$B$28:$D$30,IF(T1114=1,1,IF(T1114=4,3,2)),MATCH(D1114,'Residual Config'!$B$27:$D$27,0)))))</f>
        <v>46392</v>
      </c>
      <c r="Z1114" s="7" t="str">
        <f aca="false">IF(I1114="N/A","N/A",IF(N1114="","Not tested",IF(W1114="Rejected","Evidence rejected",IF(W1114&lt;&gt;"Accepted","Evidence pending",IF(Y1114&lt;'Residual Config'!$C$4,"Overdue","Current")))))</f>
        <v>Current</v>
      </c>
      <c r="AA1114" s="34" t="n">
        <f aca="false">IF(I1114="N/A","",IF(Z1114&lt;&gt;"Current",4,IF(MAX(M1114,T1114)=0,4,MAX(M1114,T1114))))</f>
        <v>1</v>
      </c>
      <c r="AB1114" s="7" t="str">
        <f aca="false">IF(AA1114="","N/A",IF(Z1114&lt;&gt;"Current","Not tested / overdue",INDEX('Residual Config'!$B$11:$B$14,AA1114)))</f>
        <v>Effective</v>
      </c>
      <c r="AC1114" s="36" t="n">
        <f aca="false">IF(AA1114="","",INDEX('Residual Config'!$D$11:$D$14,AA1114))</f>
        <v>0.6</v>
      </c>
      <c r="AD1114" s="7" t="str">
        <f aca="false">IF(OR(I1114="N/A",P1114="",Q1114=""),"",IF(P1114&gt;=Q1114,"Yes","No"))</f>
        <v>Yes</v>
      </c>
      <c r="AE1114" s="8"/>
    </row>
    <row r="1115" customFormat="false" ht="15" hidden="false" customHeight="false" outlineLevel="0" collapsed="false">
      <c r="A1115" s="12" t="s">
        <v>3512</v>
      </c>
      <c r="B1115" s="26" t="str">
        <f aca="false">Entities!$A$30</f>
        <v>CH</v>
      </c>
      <c r="C1115" s="12" t="str">
        <f aca="false">INDEX(Entities!$B$5:$B$34,MATCH(B1115,Entities!$A$5:$A$34,0))</f>
        <v>Arab Bank (Switzerland) – sister company</v>
      </c>
      <c r="D1115" s="7" t="str">
        <f aca="false">INDEX(Entities!$F$5:$F$34,MATCH(B1115,Entities!$A$5:$A$34,0))</f>
        <v>Tier 1</v>
      </c>
      <c r="E1115" s="26" t="str">
        <f aca="false">'Control Library'!$A$40</f>
        <v>CTL-OR-01</v>
      </c>
      <c r="F1115" s="12" t="str">
        <f aca="false">INDEX('Control Library'!$B$5:$B$47,MATCH(E1115,'Control Library'!$A$5:$A$47,0))</f>
        <v>Business continuity plans and annual testing</v>
      </c>
      <c r="G1115" s="7" t="str">
        <f aca="false">INDEX('Control Library'!$F$5:$F$47,MATCH(E1115,'Control Library'!$A$5:$A$47,0))</f>
        <v>Y</v>
      </c>
      <c r="H1115" s="12" t="str">
        <f aca="false">INDEX('Control Library'!$E$5:$E$47,MATCH(E1115,'Control Library'!$A$5:$A$47,0))</f>
        <v>Annual</v>
      </c>
      <c r="I1115" s="7" t="str">
        <f aca="false">IF(INDEX('Control Library'!$I$5:$I$47,MATCH(E1115,'Control Library'!$A$5:$A$47,0))="All","Y",IF(INDEX('Control Library'!$I$5:$I$47,MATCH(E1115,'Control Library'!$A$5:$A$47,0))="Banks only",IF(COUNTIF('Residual Config'!$L$28:$L$30,INDEX(Entities!$E$5:$E$34,MATCH(B1115,Entities!$A$5:$A$34,0)))&gt;0,"N/A","Y"),IF(INDEX(Entities!$G$5:$G$34,MATCH(B1115,Entities!$A$5:$A$34,0))="Y","Y","N/A")))</f>
        <v>Y</v>
      </c>
      <c r="J1115" s="8" t="s">
        <v>3513</v>
      </c>
      <c r="K1115" s="8" t="s">
        <v>752</v>
      </c>
      <c r="L1115" s="7" t="str">
        <f aca="false">IF(OR(J1115="",K1115=""),"",IF(J1115=K1115,"Breach","OK"))</f>
        <v>OK</v>
      </c>
      <c r="M1115" s="24" t="n">
        <v>1</v>
      </c>
      <c r="N1115" s="50" t="n">
        <v>46247</v>
      </c>
      <c r="O1115" s="8" t="s">
        <v>545</v>
      </c>
      <c r="P1115" s="24" t="n">
        <v>1</v>
      </c>
      <c r="Q1115" s="31" t="n">
        <f aca="false">IF(I1115="N/A","",IFERROR(INDEX('Residual Config'!$B$35:$B$42,MATCH(H1115,'Residual Config'!$A$35:$A$42,0)),""))</f>
        <v>1</v>
      </c>
      <c r="R1115" s="24" t="n">
        <v>1</v>
      </c>
      <c r="S1115" s="8" t="s">
        <v>521</v>
      </c>
      <c r="T1115" s="31" t="n">
        <f aca="false">IF(S1115="","",MATCH(S1115,'Residual Config'!$L$9:$L$12,0))</f>
        <v>2</v>
      </c>
      <c r="U1115" s="8" t="s">
        <v>3514</v>
      </c>
      <c r="V1115" s="24" t="n">
        <v>5</v>
      </c>
      <c r="W1115" s="33" t="s">
        <v>533</v>
      </c>
      <c r="X1115" s="8" t="s">
        <v>754</v>
      </c>
      <c r="Y1115" s="51" t="n">
        <f aca="false">IF(N1115="","",EDATE(N1115,IF(G1115="N",INDEX('Residual Config'!$B$31:$D$31,1,MATCH(D1115,'Residual Config'!$B$27:$D$27,0)),INDEX('Residual Config'!$B$28:$D$30,IF(T1115=1,1,IF(T1115=4,3,2)),MATCH(D1115,'Residual Config'!$B$27:$D$27,0)))))</f>
        <v>46339</v>
      </c>
      <c r="Z1115" s="7" t="str">
        <f aca="false">IF(I1115="N/A","N/A",IF(N1115="","Not tested",IF(W1115="Rejected","Evidence rejected",IF(W1115&lt;&gt;"Accepted","Evidence pending",IF(Y1115&lt;'Residual Config'!$C$4,"Overdue","Current")))))</f>
        <v>Current</v>
      </c>
      <c r="AA1115" s="34" t="n">
        <f aca="false">IF(I1115="N/A","",IF(Z1115&lt;&gt;"Current",4,IF(MAX(M1115,T1115)=0,4,MAX(M1115,T1115))))</f>
        <v>2</v>
      </c>
      <c r="AB1115" s="7" t="str">
        <f aca="false">IF(AA1115="","N/A",IF(Z1115&lt;&gt;"Current","Not tested / overdue",INDEX('Residual Config'!$B$11:$B$14,AA1115)))</f>
        <v>Largely effective</v>
      </c>
      <c r="AC1115" s="36" t="n">
        <f aca="false">IF(AA1115="","",INDEX('Residual Config'!$D$11:$D$14,AA1115))</f>
        <v>0.4</v>
      </c>
      <c r="AD1115" s="7" t="str">
        <f aca="false">IF(OR(I1115="N/A",P1115="",Q1115=""),"",IF(P1115&gt;=Q1115,"Yes","No"))</f>
        <v>Yes</v>
      </c>
      <c r="AE1115" s="8"/>
    </row>
    <row r="1116" customFormat="false" ht="15" hidden="false" customHeight="false" outlineLevel="0" collapsed="false">
      <c r="A1116" s="12" t="s">
        <v>3515</v>
      </c>
      <c r="B1116" s="26" t="str">
        <f aca="false">Entities!$A$30</f>
        <v>CH</v>
      </c>
      <c r="C1116" s="12" t="str">
        <f aca="false">INDEX(Entities!$B$5:$B$34,MATCH(B1116,Entities!$A$5:$A$34,0))</f>
        <v>Arab Bank (Switzerland) – sister company</v>
      </c>
      <c r="D1116" s="7" t="str">
        <f aca="false">INDEX(Entities!$F$5:$F$34,MATCH(B1116,Entities!$A$5:$A$34,0))</f>
        <v>Tier 1</v>
      </c>
      <c r="E1116" s="26" t="str">
        <f aca="false">'Control Library'!$A$41</f>
        <v>CTL-OR-02</v>
      </c>
      <c r="F1116" s="12" t="str">
        <f aca="false">INDEX('Control Library'!$B$5:$B$47,MATCH(E1116,'Control Library'!$A$5:$A$47,0))</f>
        <v>Operational loss event capture and RCSA</v>
      </c>
      <c r="G1116" s="7" t="str">
        <f aca="false">INDEX('Control Library'!$F$5:$F$47,MATCH(E1116,'Control Library'!$A$5:$A$47,0))</f>
        <v>N</v>
      </c>
      <c r="H1116" s="12" t="str">
        <f aca="false">INDEX('Control Library'!$E$5:$E$47,MATCH(E1116,'Control Library'!$A$5:$A$47,0))</f>
        <v>Quarterly</v>
      </c>
      <c r="I1116" s="7" t="str">
        <f aca="false">IF(INDEX('Control Library'!$I$5:$I$47,MATCH(E1116,'Control Library'!$A$5:$A$47,0))="All","Y",IF(INDEX('Control Library'!$I$5:$I$47,MATCH(E1116,'Control Library'!$A$5:$A$47,0))="Banks only",IF(COUNTIF('Residual Config'!$L$28:$L$30,INDEX(Entities!$E$5:$E$34,MATCH(B1116,Entities!$A$5:$A$34,0)))&gt;0,"N/A","Y"),IF(INDEX(Entities!$G$5:$G$34,MATCH(B1116,Entities!$A$5:$A$34,0))="Y","Y","N/A")))</f>
        <v>Y</v>
      </c>
      <c r="J1116" s="8" t="s">
        <v>3505</v>
      </c>
      <c r="K1116" s="8" t="s">
        <v>3434</v>
      </c>
      <c r="L1116" s="7" t="str">
        <f aca="false">IF(OR(J1116="",K1116=""),"",IF(J1116=K1116,"Breach","OK"))</f>
        <v>OK</v>
      </c>
      <c r="M1116" s="24" t="n">
        <v>2</v>
      </c>
      <c r="N1116" s="50" t="n">
        <v>46173</v>
      </c>
      <c r="O1116" s="8" t="s">
        <v>545</v>
      </c>
      <c r="P1116" s="24" t="n">
        <v>2</v>
      </c>
      <c r="Q1116" s="31" t="n">
        <f aca="false">IF(I1116="N/A","",IFERROR(INDEX('Residual Config'!$B$35:$B$42,MATCH(H1116,'Residual Config'!$A$35:$A$42,0)),""))</f>
        <v>2</v>
      </c>
      <c r="R1116" s="24" t="n">
        <v>0</v>
      </c>
      <c r="S1116" s="8" t="s">
        <v>516</v>
      </c>
      <c r="T1116" s="31" t="n">
        <f aca="false">IF(S1116="","",MATCH(S1116,'Residual Config'!$L$9:$L$12,0))</f>
        <v>1</v>
      </c>
      <c r="U1116" s="8" t="s">
        <v>3516</v>
      </c>
      <c r="V1116" s="24" t="n">
        <v>2</v>
      </c>
      <c r="W1116" s="33" t="s">
        <v>533</v>
      </c>
      <c r="X1116" s="8" t="s">
        <v>754</v>
      </c>
      <c r="Y1116" s="51" t="n">
        <f aca="false">IF(N1116="","",EDATE(N1116,IF(G1116="N",INDEX('Residual Config'!$B$31:$D$31,1,MATCH(D1116,'Residual Config'!$B$27:$D$27,0)),INDEX('Residual Config'!$B$28:$D$30,IF(T1116=1,1,IF(T1116=4,3,2)),MATCH(D1116,'Residual Config'!$B$27:$D$27,0)))))</f>
        <v>46538</v>
      </c>
      <c r="Z1116" s="7" t="str">
        <f aca="false">IF(I1116="N/A","N/A",IF(N1116="","Not tested",IF(W1116="Rejected","Evidence rejected",IF(W1116&lt;&gt;"Accepted","Evidence pending",IF(Y1116&lt;'Residual Config'!$C$4,"Overdue","Current")))))</f>
        <v>Current</v>
      </c>
      <c r="AA1116" s="34" t="n">
        <f aca="false">IF(I1116="N/A","",IF(Z1116&lt;&gt;"Current",4,IF(MAX(M1116,T1116)=0,4,MAX(M1116,T1116))))</f>
        <v>2</v>
      </c>
      <c r="AB1116" s="7" t="str">
        <f aca="false">IF(AA1116="","N/A",IF(Z1116&lt;&gt;"Current","Not tested / overdue",INDEX('Residual Config'!$B$11:$B$14,AA1116)))</f>
        <v>Largely effective</v>
      </c>
      <c r="AC1116" s="36" t="n">
        <f aca="false">IF(AA1116="","",INDEX('Residual Config'!$D$11:$D$14,AA1116))</f>
        <v>0.4</v>
      </c>
      <c r="AD1116" s="7" t="str">
        <f aca="false">IF(OR(I1116="N/A",P1116="",Q1116=""),"",IF(P1116&gt;=Q1116,"Yes","No"))</f>
        <v>Yes</v>
      </c>
      <c r="AE1116" s="8"/>
    </row>
    <row r="1117" customFormat="false" ht="15" hidden="false" customHeight="false" outlineLevel="0" collapsed="false">
      <c r="A1117" s="12" t="s">
        <v>3517</v>
      </c>
      <c r="B1117" s="26" t="str">
        <f aca="false">Entities!$A$30</f>
        <v>CH</v>
      </c>
      <c r="C1117" s="12" t="str">
        <f aca="false">INDEX(Entities!$B$5:$B$34,MATCH(B1117,Entities!$A$5:$A$34,0))</f>
        <v>Arab Bank (Switzerland) – sister company</v>
      </c>
      <c r="D1117" s="7" t="str">
        <f aca="false">INDEX(Entities!$F$5:$F$34,MATCH(B1117,Entities!$A$5:$A$34,0))</f>
        <v>Tier 1</v>
      </c>
      <c r="E1117" s="26" t="str">
        <f aca="false">'Control Library'!$A$42</f>
        <v>CTL-CY-01</v>
      </c>
      <c r="F1117" s="12" t="str">
        <f aca="false">INDEX('Control Library'!$B$5:$B$47,MATCH(E1117,'Control Library'!$A$5:$A$47,0))</f>
        <v>Vulnerability and patch management</v>
      </c>
      <c r="G1117" s="7" t="str">
        <f aca="false">INDEX('Control Library'!$F$5:$F$47,MATCH(E1117,'Control Library'!$A$5:$A$47,0))</f>
        <v>Y</v>
      </c>
      <c r="H1117" s="12" t="str">
        <f aca="false">INDEX('Control Library'!$E$5:$E$47,MATCH(E1117,'Control Library'!$A$5:$A$47,0))</f>
        <v>Monthly</v>
      </c>
      <c r="I1117" s="7" t="str">
        <f aca="false">IF(INDEX('Control Library'!$I$5:$I$47,MATCH(E1117,'Control Library'!$A$5:$A$47,0))="All","Y",IF(INDEX('Control Library'!$I$5:$I$47,MATCH(E1117,'Control Library'!$A$5:$A$47,0))="Banks only",IF(COUNTIF('Residual Config'!$L$28:$L$30,INDEX(Entities!$E$5:$E$34,MATCH(B1117,Entities!$A$5:$A$34,0)))&gt;0,"N/A","Y"),IF(INDEX(Entities!$G$5:$G$34,MATCH(B1117,Entities!$A$5:$A$34,0))="Y","Y","N/A")))</f>
        <v>Y</v>
      </c>
      <c r="J1117" s="8" t="s">
        <v>3449</v>
      </c>
      <c r="K1117" s="8" t="s">
        <v>752</v>
      </c>
      <c r="L1117" s="7" t="str">
        <f aca="false">IF(OR(J1117="",K1117=""),"",IF(J1117=K1117,"Breach","OK"))</f>
        <v>OK</v>
      </c>
      <c r="M1117" s="24" t="n">
        <v>1</v>
      </c>
      <c r="N1117" s="50" t="n">
        <v>46180</v>
      </c>
      <c r="O1117" s="8" t="s">
        <v>546</v>
      </c>
      <c r="P1117" s="24" t="n">
        <v>3</v>
      </c>
      <c r="Q1117" s="31" t="n">
        <f aca="false">IF(I1117="N/A","",IFERROR(INDEX('Residual Config'!$B$35:$B$42,MATCH(H1117,'Residual Config'!$A$35:$A$42,0)),""))</f>
        <v>3</v>
      </c>
      <c r="R1117" s="24" t="n">
        <v>0</v>
      </c>
      <c r="S1117" s="8" t="s">
        <v>516</v>
      </c>
      <c r="T1117" s="31" t="n">
        <f aca="false">IF(S1117="","",MATCH(S1117,'Residual Config'!$L$9:$L$12,0))</f>
        <v>1</v>
      </c>
      <c r="U1117" s="8" t="s">
        <v>3518</v>
      </c>
      <c r="V1117" s="24" t="n">
        <v>3</v>
      </c>
      <c r="W1117" s="33" t="s">
        <v>533</v>
      </c>
      <c r="X1117" s="8" t="s">
        <v>760</v>
      </c>
      <c r="Y1117" s="51" t="n">
        <f aca="false">IF(N1117="","",EDATE(N1117,IF(G1117="N",INDEX('Residual Config'!$B$31:$D$31,1,MATCH(D1117,'Residual Config'!$B$27:$D$27,0)),INDEX('Residual Config'!$B$28:$D$30,IF(T1117=1,1,IF(T1117=4,3,2)),MATCH(D1117,'Residual Config'!$B$27:$D$27,0)))))</f>
        <v>46363</v>
      </c>
      <c r="Z1117" s="7" t="str">
        <f aca="false">IF(I1117="N/A","N/A",IF(N1117="","Not tested",IF(W1117="Rejected","Evidence rejected",IF(W1117&lt;&gt;"Accepted","Evidence pending",IF(Y1117&lt;'Residual Config'!$C$4,"Overdue","Current")))))</f>
        <v>Current</v>
      </c>
      <c r="AA1117" s="34" t="n">
        <f aca="false">IF(I1117="N/A","",IF(Z1117&lt;&gt;"Current",4,IF(MAX(M1117,T1117)=0,4,MAX(M1117,T1117))))</f>
        <v>1</v>
      </c>
      <c r="AB1117" s="7" t="str">
        <f aca="false">IF(AA1117="","N/A",IF(Z1117&lt;&gt;"Current","Not tested / overdue",INDEX('Residual Config'!$B$11:$B$14,AA1117)))</f>
        <v>Effective</v>
      </c>
      <c r="AC1117" s="36" t="n">
        <f aca="false">IF(AA1117="","",INDEX('Residual Config'!$D$11:$D$14,AA1117))</f>
        <v>0.6</v>
      </c>
      <c r="AD1117" s="7" t="str">
        <f aca="false">IF(OR(I1117="N/A",P1117="",Q1117=""),"",IF(P1117&gt;=Q1117,"Yes","No"))</f>
        <v>Yes</v>
      </c>
      <c r="AE1117" s="8"/>
    </row>
    <row r="1118" customFormat="false" ht="15" hidden="false" customHeight="false" outlineLevel="0" collapsed="false">
      <c r="A1118" s="12" t="s">
        <v>3519</v>
      </c>
      <c r="B1118" s="26" t="str">
        <f aca="false">Entities!$A$30</f>
        <v>CH</v>
      </c>
      <c r="C1118" s="12" t="str">
        <f aca="false">INDEX(Entities!$B$5:$B$34,MATCH(B1118,Entities!$A$5:$A$34,0))</f>
        <v>Arab Bank (Switzerland) – sister company</v>
      </c>
      <c r="D1118" s="7" t="str">
        <f aca="false">INDEX(Entities!$F$5:$F$34,MATCH(B1118,Entities!$A$5:$A$34,0))</f>
        <v>Tier 1</v>
      </c>
      <c r="E1118" s="26" t="str">
        <f aca="false">'Control Library'!$A$43</f>
        <v>CTL-CY-02</v>
      </c>
      <c r="F1118" s="12" t="str">
        <f aca="false">INDEX('Control Library'!$B$5:$B$47,MATCH(E1118,'Control Library'!$A$5:$A$47,0))</f>
        <v>Privileged access management and SOC monitoring</v>
      </c>
      <c r="G1118" s="7" t="str">
        <f aca="false">INDEX('Control Library'!$F$5:$F$47,MATCH(E1118,'Control Library'!$A$5:$A$47,0))</f>
        <v>Y</v>
      </c>
      <c r="H1118" s="12" t="str">
        <f aca="false">INDEX('Control Library'!$E$5:$E$47,MATCH(E1118,'Control Library'!$A$5:$A$47,0))</f>
        <v>Continuous</v>
      </c>
      <c r="I1118" s="7" t="str">
        <f aca="false">IF(INDEX('Control Library'!$I$5:$I$47,MATCH(E1118,'Control Library'!$A$5:$A$47,0))="All","Y",IF(INDEX('Control Library'!$I$5:$I$47,MATCH(E1118,'Control Library'!$A$5:$A$47,0))="Banks only",IF(COUNTIF('Residual Config'!$L$28:$L$30,INDEX(Entities!$E$5:$E$34,MATCH(B1118,Entities!$A$5:$A$34,0)))&gt;0,"N/A","Y"),IF(INDEX(Entities!$G$5:$G$34,MATCH(B1118,Entities!$A$5:$A$34,0))="Y","Y","N/A")))</f>
        <v>Y</v>
      </c>
      <c r="J1118" s="8" t="s">
        <v>3498</v>
      </c>
      <c r="K1118" s="8" t="s">
        <v>752</v>
      </c>
      <c r="L1118" s="7" t="str">
        <f aca="false">IF(OR(J1118="",K1118=""),"",IF(J1118=K1118,"Breach","OK"))</f>
        <v>OK</v>
      </c>
      <c r="M1118" s="24" t="n">
        <v>2</v>
      </c>
      <c r="N1118" s="50" t="n">
        <v>46150</v>
      </c>
      <c r="O1118" s="8" t="s">
        <v>547</v>
      </c>
      <c r="P1118" s="24" t="n">
        <v>1</v>
      </c>
      <c r="Q1118" s="31" t="n">
        <f aca="false">IF(I1118="N/A","",IFERROR(INDEX('Residual Config'!$B$35:$B$42,MATCH(H1118,'Residual Config'!$A$35:$A$42,0)),""))</f>
        <v>1</v>
      </c>
      <c r="R1118" s="24" t="n">
        <v>0</v>
      </c>
      <c r="S1118" s="8" t="s">
        <v>516</v>
      </c>
      <c r="T1118" s="31" t="n">
        <f aca="false">IF(S1118="","",MATCH(S1118,'Residual Config'!$L$9:$L$12,0))</f>
        <v>1</v>
      </c>
      <c r="U1118" s="8" t="s">
        <v>3520</v>
      </c>
      <c r="V1118" s="24" t="n">
        <v>2</v>
      </c>
      <c r="W1118" s="33" t="s">
        <v>533</v>
      </c>
      <c r="X1118" s="8" t="s">
        <v>760</v>
      </c>
      <c r="Y1118" s="51" t="n">
        <f aca="false">IF(N1118="","",EDATE(N1118,IF(G1118="N",INDEX('Residual Config'!$B$31:$D$31,1,MATCH(D1118,'Residual Config'!$B$27:$D$27,0)),INDEX('Residual Config'!$B$28:$D$30,IF(T1118=1,1,IF(T1118=4,3,2)),MATCH(D1118,'Residual Config'!$B$27:$D$27,0)))))</f>
        <v>46334</v>
      </c>
      <c r="Z1118" s="7" t="str">
        <f aca="false">IF(I1118="N/A","N/A",IF(N1118="","Not tested",IF(W1118="Rejected","Evidence rejected",IF(W1118&lt;&gt;"Accepted","Evidence pending",IF(Y1118&lt;'Residual Config'!$C$4,"Overdue","Current")))))</f>
        <v>Current</v>
      </c>
      <c r="AA1118" s="34" t="n">
        <f aca="false">IF(I1118="N/A","",IF(Z1118&lt;&gt;"Current",4,IF(MAX(M1118,T1118)=0,4,MAX(M1118,T1118))))</f>
        <v>2</v>
      </c>
      <c r="AB1118" s="7" t="str">
        <f aca="false">IF(AA1118="","N/A",IF(Z1118&lt;&gt;"Current","Not tested / overdue",INDEX('Residual Config'!$B$11:$B$14,AA1118)))</f>
        <v>Largely effective</v>
      </c>
      <c r="AC1118" s="36" t="n">
        <f aca="false">IF(AA1118="","",INDEX('Residual Config'!$D$11:$D$14,AA1118))</f>
        <v>0.4</v>
      </c>
      <c r="AD1118" s="7" t="str">
        <f aca="false">IF(OR(I1118="N/A",P1118="",Q1118=""),"",IF(P1118&gt;=Q1118,"Yes","No"))</f>
        <v>Yes</v>
      </c>
      <c r="AE1118" s="8"/>
    </row>
    <row r="1119" customFormat="false" ht="15" hidden="false" customHeight="false" outlineLevel="0" collapsed="false">
      <c r="A1119" s="12" t="s">
        <v>3521</v>
      </c>
      <c r="B1119" s="26" t="str">
        <f aca="false">Entities!$A$30</f>
        <v>CH</v>
      </c>
      <c r="C1119" s="12" t="str">
        <f aca="false">INDEX(Entities!$B$5:$B$34,MATCH(B1119,Entities!$A$5:$A$34,0))</f>
        <v>Arab Bank (Switzerland) – sister company</v>
      </c>
      <c r="D1119" s="7" t="str">
        <f aca="false">INDEX(Entities!$F$5:$F$34,MATCH(B1119,Entities!$A$5:$A$34,0))</f>
        <v>Tier 1</v>
      </c>
      <c r="E1119" s="26" t="str">
        <f aca="false">'Control Library'!$A$44</f>
        <v>CTL-TP-01</v>
      </c>
      <c r="F1119" s="12" t="str">
        <f aca="false">INDEX('Control Library'!$B$5:$B$47,MATCH(E1119,'Control Library'!$A$5:$A$47,0))</f>
        <v>Critical vendor due diligence and tested exit plans</v>
      </c>
      <c r="G1119" s="7" t="str">
        <f aca="false">INDEX('Control Library'!$F$5:$F$47,MATCH(E1119,'Control Library'!$A$5:$A$47,0))</f>
        <v>Y</v>
      </c>
      <c r="H1119" s="12" t="str">
        <f aca="false">INDEX('Control Library'!$E$5:$E$47,MATCH(E1119,'Control Library'!$A$5:$A$47,0))</f>
        <v>Annual</v>
      </c>
      <c r="I1119" s="7" t="str">
        <f aca="false">IF(INDEX('Control Library'!$I$5:$I$47,MATCH(E1119,'Control Library'!$A$5:$A$47,0))="All","Y",IF(INDEX('Control Library'!$I$5:$I$47,MATCH(E1119,'Control Library'!$A$5:$A$47,0))="Banks only",IF(COUNTIF('Residual Config'!$L$28:$L$30,INDEX(Entities!$E$5:$E$34,MATCH(B1119,Entities!$A$5:$A$34,0)))&gt;0,"N/A","Y"),IF(INDEX(Entities!$G$5:$G$34,MATCH(B1119,Entities!$A$5:$A$34,0))="Y","Y","N/A")))</f>
        <v>Y</v>
      </c>
      <c r="J1119" s="8" t="s">
        <v>3466</v>
      </c>
      <c r="K1119" s="8" t="s">
        <v>752</v>
      </c>
      <c r="L1119" s="7" t="str">
        <f aca="false">IF(OR(J1119="",K1119=""),"",IF(J1119=K1119,"Breach","OK"))</f>
        <v>OK</v>
      </c>
      <c r="M1119" s="24" t="n">
        <v>1</v>
      </c>
      <c r="N1119" s="50" t="n">
        <v>46156</v>
      </c>
      <c r="O1119" s="8" t="s">
        <v>546</v>
      </c>
      <c r="P1119" s="24" t="n">
        <v>1</v>
      </c>
      <c r="Q1119" s="31" t="n">
        <f aca="false">IF(I1119="N/A","",IFERROR(INDEX('Residual Config'!$B$35:$B$42,MATCH(H1119,'Residual Config'!$A$35:$A$42,0)),""))</f>
        <v>1</v>
      </c>
      <c r="R1119" s="24" t="n">
        <v>0</v>
      </c>
      <c r="S1119" s="8" t="s">
        <v>516</v>
      </c>
      <c r="T1119" s="31" t="n">
        <f aca="false">IF(S1119="","",MATCH(S1119,'Residual Config'!$L$9:$L$12,0))</f>
        <v>1</v>
      </c>
      <c r="U1119" s="8" t="s">
        <v>3522</v>
      </c>
      <c r="V1119" s="24" t="n">
        <v>2</v>
      </c>
      <c r="W1119" s="33" t="s">
        <v>533</v>
      </c>
      <c r="X1119" s="8" t="s">
        <v>754</v>
      </c>
      <c r="Y1119" s="51" t="n">
        <f aca="false">IF(N1119="","",EDATE(N1119,IF(G1119="N",INDEX('Residual Config'!$B$31:$D$31,1,MATCH(D1119,'Residual Config'!$B$27:$D$27,0)),INDEX('Residual Config'!$B$28:$D$30,IF(T1119=1,1,IF(T1119=4,3,2)),MATCH(D1119,'Residual Config'!$B$27:$D$27,0)))))</f>
        <v>46340</v>
      </c>
      <c r="Z1119" s="7" t="str">
        <f aca="false">IF(I1119="N/A","N/A",IF(N1119="","Not tested",IF(W1119="Rejected","Evidence rejected",IF(W1119&lt;&gt;"Accepted","Evidence pending",IF(Y1119&lt;'Residual Config'!$C$4,"Overdue","Current")))))</f>
        <v>Current</v>
      </c>
      <c r="AA1119" s="34" t="n">
        <f aca="false">IF(I1119="N/A","",IF(Z1119&lt;&gt;"Current",4,IF(MAX(M1119,T1119)=0,4,MAX(M1119,T1119))))</f>
        <v>1</v>
      </c>
      <c r="AB1119" s="7" t="str">
        <f aca="false">IF(AA1119="","N/A",IF(Z1119&lt;&gt;"Current","Not tested / overdue",INDEX('Residual Config'!$B$11:$B$14,AA1119)))</f>
        <v>Effective</v>
      </c>
      <c r="AC1119" s="36" t="n">
        <f aca="false">IF(AA1119="","",INDEX('Residual Config'!$D$11:$D$14,AA1119))</f>
        <v>0.6</v>
      </c>
      <c r="AD1119" s="7" t="str">
        <f aca="false">IF(OR(I1119="N/A",P1119="",Q1119=""),"",IF(P1119&gt;=Q1119,"Yes","No"))</f>
        <v>Yes</v>
      </c>
      <c r="AE1119" s="8"/>
    </row>
    <row r="1120" customFormat="false" ht="15" hidden="false" customHeight="false" outlineLevel="0" collapsed="false">
      <c r="A1120" s="12" t="s">
        <v>3523</v>
      </c>
      <c r="B1120" s="26" t="str">
        <f aca="false">Entities!$A$30</f>
        <v>CH</v>
      </c>
      <c r="C1120" s="12" t="str">
        <f aca="false">INDEX(Entities!$B$5:$B$34,MATCH(B1120,Entities!$A$5:$A$34,0))</f>
        <v>Arab Bank (Switzerland) – sister company</v>
      </c>
      <c r="D1120" s="7" t="str">
        <f aca="false">INDEX(Entities!$F$5:$F$34,MATCH(B1120,Entities!$A$5:$A$34,0))</f>
        <v>Tier 1</v>
      </c>
      <c r="E1120" s="26" t="str">
        <f aca="false">'Control Library'!$A$45</f>
        <v>CTL-LG-01</v>
      </c>
      <c r="F1120" s="12" t="str">
        <f aca="false">INDEX('Control Library'!$B$5:$B$47,MATCH(E1120,'Control Library'!$A$5:$A$47,0))</f>
        <v>Legal review of contracts and litigation register</v>
      </c>
      <c r="G1120" s="7" t="str">
        <f aca="false">INDEX('Control Library'!$F$5:$F$47,MATCH(E1120,'Control Library'!$A$5:$A$47,0))</f>
        <v>Y</v>
      </c>
      <c r="H1120" s="12" t="str">
        <f aca="false">INDEX('Control Library'!$E$5:$E$47,MATCH(E1120,'Control Library'!$A$5:$A$47,0))</f>
        <v>Event-driven</v>
      </c>
      <c r="I1120" s="7" t="str">
        <f aca="false">IF(INDEX('Control Library'!$I$5:$I$47,MATCH(E1120,'Control Library'!$A$5:$A$47,0))="All","Y",IF(INDEX('Control Library'!$I$5:$I$47,MATCH(E1120,'Control Library'!$A$5:$A$47,0))="Banks only",IF(COUNTIF('Residual Config'!$L$28:$L$30,INDEX(Entities!$E$5:$E$34,MATCH(B1120,Entities!$A$5:$A$34,0)))&gt;0,"N/A","Y"),IF(INDEX(Entities!$G$5:$G$34,MATCH(B1120,Entities!$A$5:$A$34,0))="Y","Y","N/A")))</f>
        <v>Y</v>
      </c>
      <c r="J1120" s="8" t="s">
        <v>3524</v>
      </c>
      <c r="K1120" s="8" t="s">
        <v>752</v>
      </c>
      <c r="L1120" s="7" t="str">
        <f aca="false">IF(OR(J1120="",K1120=""),"",IF(J1120=K1120,"Breach","OK"))</f>
        <v>OK</v>
      </c>
      <c r="M1120" s="24" t="n">
        <v>1</v>
      </c>
      <c r="N1120" s="50" t="n">
        <v>46262</v>
      </c>
      <c r="O1120" s="8" t="s">
        <v>545</v>
      </c>
      <c r="P1120" s="24" t="n">
        <v>35</v>
      </c>
      <c r="Q1120" s="31" t="n">
        <f aca="false">IF(I1120="N/A","",IFERROR(INDEX('Residual Config'!$B$35:$B$42,MATCH(H1120,'Residual Config'!$A$35:$A$42,0)),""))</f>
        <v>25</v>
      </c>
      <c r="R1120" s="24" t="n">
        <v>0</v>
      </c>
      <c r="S1120" s="8" t="s">
        <v>516</v>
      </c>
      <c r="T1120" s="31" t="n">
        <f aca="false">IF(S1120="","",MATCH(S1120,'Residual Config'!$L$9:$L$12,0))</f>
        <v>1</v>
      </c>
      <c r="U1120" s="8" t="s">
        <v>3525</v>
      </c>
      <c r="V1120" s="24" t="n">
        <v>1</v>
      </c>
      <c r="W1120" s="33" t="s">
        <v>533</v>
      </c>
      <c r="X1120" s="8" t="s">
        <v>760</v>
      </c>
      <c r="Y1120" s="51" t="n">
        <f aca="false">IF(N1120="","",EDATE(N1120,IF(G1120="N",INDEX('Residual Config'!$B$31:$D$31,1,MATCH(D1120,'Residual Config'!$B$27:$D$27,0)),INDEX('Residual Config'!$B$28:$D$30,IF(T1120=1,1,IF(T1120=4,3,2)),MATCH(D1120,'Residual Config'!$B$27:$D$27,0)))))</f>
        <v>46446</v>
      </c>
      <c r="Z1120" s="7" t="str">
        <f aca="false">IF(I1120="N/A","N/A",IF(N1120="","Not tested",IF(W1120="Rejected","Evidence rejected",IF(W1120&lt;&gt;"Accepted","Evidence pending",IF(Y1120&lt;'Residual Config'!$C$4,"Overdue","Current")))))</f>
        <v>Current</v>
      </c>
      <c r="AA1120" s="34" t="n">
        <f aca="false">IF(I1120="N/A","",IF(Z1120&lt;&gt;"Current",4,IF(MAX(M1120,T1120)=0,4,MAX(M1120,T1120))))</f>
        <v>1</v>
      </c>
      <c r="AB1120" s="7" t="str">
        <f aca="false">IF(AA1120="","N/A",IF(Z1120&lt;&gt;"Current","Not tested / overdue",INDEX('Residual Config'!$B$11:$B$14,AA1120)))</f>
        <v>Effective</v>
      </c>
      <c r="AC1120" s="36" t="n">
        <f aca="false">IF(AA1120="","",INDEX('Residual Config'!$D$11:$D$14,AA1120))</f>
        <v>0.6</v>
      </c>
      <c r="AD1120" s="7" t="str">
        <f aca="false">IF(OR(I1120="N/A",P1120="",Q1120=""),"",IF(P1120&gt;=Q1120,"Yes","No"))</f>
        <v>Yes</v>
      </c>
      <c r="AE1120" s="8"/>
    </row>
    <row r="1121" customFormat="false" ht="15" hidden="false" customHeight="false" outlineLevel="0" collapsed="false">
      <c r="A1121" s="12" t="s">
        <v>3526</v>
      </c>
      <c r="B1121" s="26" t="str">
        <f aca="false">Entities!$A$30</f>
        <v>CH</v>
      </c>
      <c r="C1121" s="12" t="str">
        <f aca="false">INDEX(Entities!$B$5:$B$34,MATCH(B1121,Entities!$A$5:$A$34,0))</f>
        <v>Arab Bank (Switzerland) – sister company</v>
      </c>
      <c r="D1121" s="7" t="str">
        <f aca="false">INDEX(Entities!$F$5:$F$34,MATCH(B1121,Entities!$A$5:$A$34,0))</f>
        <v>Tier 1</v>
      </c>
      <c r="E1121" s="26" t="str">
        <f aca="false">'Control Library'!$A$46</f>
        <v>CTL-RP-01</v>
      </c>
      <c r="F1121" s="12" t="str">
        <f aca="false">INDEX('Control Library'!$B$5:$B$47,MATCH(E1121,'Control Library'!$A$5:$A$47,0))</f>
        <v>Media monitoring and reputational-risk escalation</v>
      </c>
      <c r="G1121" s="7" t="str">
        <f aca="false">INDEX('Control Library'!$F$5:$F$47,MATCH(E1121,'Control Library'!$A$5:$A$47,0))</f>
        <v>Y</v>
      </c>
      <c r="H1121" s="12" t="str">
        <f aca="false">INDEX('Control Library'!$E$5:$E$47,MATCH(E1121,'Control Library'!$A$5:$A$47,0))</f>
        <v>Daily</v>
      </c>
      <c r="I1121" s="7" t="str">
        <f aca="false">IF(INDEX('Control Library'!$I$5:$I$47,MATCH(E1121,'Control Library'!$A$5:$A$47,0))="All","Y",IF(INDEX('Control Library'!$I$5:$I$47,MATCH(E1121,'Control Library'!$A$5:$A$47,0))="Banks only",IF(COUNTIF('Residual Config'!$L$28:$L$30,INDEX(Entities!$E$5:$E$34,MATCH(B1121,Entities!$A$5:$A$34,0)))&gt;0,"N/A","Y"),IF(INDEX(Entities!$G$5:$G$34,MATCH(B1121,Entities!$A$5:$A$34,0))="Y","Y","N/A")))</f>
        <v>Y</v>
      </c>
      <c r="J1121" s="8" t="s">
        <v>3527</v>
      </c>
      <c r="K1121" s="8" t="s">
        <v>752</v>
      </c>
      <c r="L1121" s="7" t="str">
        <f aca="false">IF(OR(J1121="",K1121=""),"",IF(J1121=K1121,"Breach","OK"))</f>
        <v>OK</v>
      </c>
      <c r="M1121" s="24" t="n">
        <v>2</v>
      </c>
      <c r="N1121" s="50" t="n">
        <v>46138</v>
      </c>
      <c r="O1121" s="8" t="s">
        <v>545</v>
      </c>
      <c r="P1121" s="24" t="n">
        <v>25</v>
      </c>
      <c r="Q1121" s="31" t="n">
        <f aca="false">IF(I1121="N/A","",IFERROR(INDEX('Residual Config'!$B$35:$B$42,MATCH(H1121,'Residual Config'!$A$35:$A$42,0)),""))</f>
        <v>25</v>
      </c>
      <c r="R1121" s="24" t="n">
        <v>0</v>
      </c>
      <c r="S1121" s="8" t="s">
        <v>516</v>
      </c>
      <c r="T1121" s="31" t="n">
        <f aca="false">IF(S1121="","",MATCH(S1121,'Residual Config'!$L$9:$L$12,0))</f>
        <v>1</v>
      </c>
      <c r="U1121" s="8" t="s">
        <v>3528</v>
      </c>
      <c r="V1121" s="24" t="n">
        <v>1</v>
      </c>
      <c r="W1121" s="33" t="s">
        <v>533</v>
      </c>
      <c r="X1121" s="8" t="s">
        <v>760</v>
      </c>
      <c r="Y1121" s="51" t="n">
        <f aca="false">IF(N1121="","",EDATE(N1121,IF(G1121="N",INDEX('Residual Config'!$B$31:$D$31,1,MATCH(D1121,'Residual Config'!$B$27:$D$27,0)),INDEX('Residual Config'!$B$28:$D$30,IF(T1121=1,1,IF(T1121=4,3,2)),MATCH(D1121,'Residual Config'!$B$27:$D$27,0)))))</f>
        <v>46321</v>
      </c>
      <c r="Z1121" s="7" t="str">
        <f aca="false">IF(I1121="N/A","N/A",IF(N1121="","Not tested",IF(W1121="Rejected","Evidence rejected",IF(W1121&lt;&gt;"Accepted","Evidence pending",IF(Y1121&lt;'Residual Config'!$C$4,"Overdue","Current")))))</f>
        <v>Current</v>
      </c>
      <c r="AA1121" s="34" t="n">
        <f aca="false">IF(I1121="N/A","",IF(Z1121&lt;&gt;"Current",4,IF(MAX(M1121,T1121)=0,4,MAX(M1121,T1121))))</f>
        <v>2</v>
      </c>
      <c r="AB1121" s="7" t="str">
        <f aca="false">IF(AA1121="","N/A",IF(Z1121&lt;&gt;"Current","Not tested / overdue",INDEX('Residual Config'!$B$11:$B$14,AA1121)))</f>
        <v>Largely effective</v>
      </c>
      <c r="AC1121" s="36" t="n">
        <f aca="false">IF(AA1121="","",INDEX('Residual Config'!$D$11:$D$14,AA1121))</f>
        <v>0.4</v>
      </c>
      <c r="AD1121" s="7" t="str">
        <f aca="false">IF(OR(I1121="N/A",P1121="",Q1121=""),"",IF(P1121&gt;=Q1121,"Yes","No"))</f>
        <v>Yes</v>
      </c>
      <c r="AE1121" s="8"/>
    </row>
    <row r="1122" customFormat="false" ht="15" hidden="false" customHeight="false" outlineLevel="0" collapsed="false">
      <c r="A1122" s="12" t="s">
        <v>3529</v>
      </c>
      <c r="B1122" s="26" t="str">
        <f aca="false">Entities!$A$30</f>
        <v>CH</v>
      </c>
      <c r="C1122" s="12" t="str">
        <f aca="false">INDEX(Entities!$B$5:$B$34,MATCH(B1122,Entities!$A$5:$A$34,0))</f>
        <v>Arab Bank (Switzerland) – sister company</v>
      </c>
      <c r="D1122" s="7" t="str">
        <f aca="false">INDEX(Entities!$F$5:$F$34,MATCH(B1122,Entities!$A$5:$A$34,0))</f>
        <v>Tier 1</v>
      </c>
      <c r="E1122" s="26" t="str">
        <f aca="false">'Control Library'!$A$47</f>
        <v>CTL-ST-01</v>
      </c>
      <c r="F1122" s="12" t="str">
        <f aca="false">INDEX('Control Library'!$B$5:$B$47,MATCH(E1122,'Control Library'!$A$5:$A$47,0))</f>
        <v>Strategy execution monitoring and E&amp;S screening of lending</v>
      </c>
      <c r="G1122" s="7" t="str">
        <f aca="false">INDEX('Control Library'!$F$5:$F$47,MATCH(E1122,'Control Library'!$A$5:$A$47,0))</f>
        <v>Y</v>
      </c>
      <c r="H1122" s="12" t="str">
        <f aca="false">INDEX('Control Library'!$E$5:$E$47,MATCH(E1122,'Control Library'!$A$5:$A$47,0))</f>
        <v>Quarterly</v>
      </c>
      <c r="I1122" s="7" t="str">
        <f aca="false">IF(INDEX('Control Library'!$I$5:$I$47,MATCH(E1122,'Control Library'!$A$5:$A$47,0))="All","Y",IF(INDEX('Control Library'!$I$5:$I$47,MATCH(E1122,'Control Library'!$A$5:$A$47,0))="Banks only",IF(COUNTIF('Residual Config'!$L$28:$L$30,INDEX(Entities!$E$5:$E$34,MATCH(B1122,Entities!$A$5:$A$34,0)))&gt;0,"N/A","Y"),IF(INDEX(Entities!$G$5:$G$34,MATCH(B1122,Entities!$A$5:$A$34,0))="Y","Y","N/A")))</f>
        <v>Y</v>
      </c>
      <c r="J1122" s="8" t="s">
        <v>3530</v>
      </c>
      <c r="K1122" s="8" t="s">
        <v>752</v>
      </c>
      <c r="L1122" s="7" t="str">
        <f aca="false">IF(OR(J1122="",K1122=""),"",IF(J1122=K1122,"Breach","OK"))</f>
        <v>OK</v>
      </c>
      <c r="M1122" s="24" t="n">
        <v>1</v>
      </c>
      <c r="N1122" s="50" t="n">
        <v>46225</v>
      </c>
      <c r="O1122" s="8" t="s">
        <v>545</v>
      </c>
      <c r="P1122" s="24" t="n">
        <v>2</v>
      </c>
      <c r="Q1122" s="31" t="n">
        <f aca="false">IF(I1122="N/A","",IFERROR(INDEX('Residual Config'!$B$35:$B$42,MATCH(H1122,'Residual Config'!$A$35:$A$42,0)),""))</f>
        <v>2</v>
      </c>
      <c r="R1122" s="24" t="n">
        <v>0</v>
      </c>
      <c r="S1122" s="8" t="s">
        <v>516</v>
      </c>
      <c r="T1122" s="31" t="n">
        <f aca="false">IF(S1122="","",MATCH(S1122,'Residual Config'!$L$9:$L$12,0))</f>
        <v>1</v>
      </c>
      <c r="U1122" s="8" t="s">
        <v>3531</v>
      </c>
      <c r="V1122" s="24" t="n">
        <v>4</v>
      </c>
      <c r="W1122" s="33" t="s">
        <v>533</v>
      </c>
      <c r="X1122" s="8" t="s">
        <v>754</v>
      </c>
      <c r="Y1122" s="51" t="n">
        <f aca="false">IF(N1122="","",EDATE(N1122,IF(G1122="N",INDEX('Residual Config'!$B$31:$D$31,1,MATCH(D1122,'Residual Config'!$B$27:$D$27,0)),INDEX('Residual Config'!$B$28:$D$30,IF(T1122=1,1,IF(T1122=4,3,2)),MATCH(D1122,'Residual Config'!$B$27:$D$27,0)))))</f>
        <v>46409</v>
      </c>
      <c r="Z1122" s="7" t="str">
        <f aca="false">IF(I1122="N/A","N/A",IF(N1122="","Not tested",IF(W1122="Rejected","Evidence rejected",IF(W1122&lt;&gt;"Accepted","Evidence pending",IF(Y1122&lt;'Residual Config'!$C$4,"Overdue","Current")))))</f>
        <v>Current</v>
      </c>
      <c r="AA1122" s="34" t="n">
        <f aca="false">IF(I1122="N/A","",IF(Z1122&lt;&gt;"Current",4,IF(MAX(M1122,T1122)=0,4,MAX(M1122,T1122))))</f>
        <v>1</v>
      </c>
      <c r="AB1122" s="7" t="str">
        <f aca="false">IF(AA1122="","N/A",IF(Z1122&lt;&gt;"Current","Not tested / overdue",INDEX('Residual Config'!$B$11:$B$14,AA1122)))</f>
        <v>Effective</v>
      </c>
      <c r="AC1122" s="36" t="n">
        <f aca="false">IF(AA1122="","",INDEX('Residual Config'!$D$11:$D$14,AA1122))</f>
        <v>0.6</v>
      </c>
      <c r="AD1122" s="7" t="str">
        <f aca="false">IF(OR(I1122="N/A",P1122="",Q1122=""),"",IF(P1122&gt;=Q1122,"Yes","No"))</f>
        <v>Yes</v>
      </c>
      <c r="AE1122" s="8"/>
    </row>
    <row r="1123" customFormat="false" ht="15" hidden="false" customHeight="false" outlineLevel="0" collapsed="false">
      <c r="A1123" s="12" t="s">
        <v>3532</v>
      </c>
      <c r="B1123" s="26" t="str">
        <f aca="false">Entities!$A$31</f>
        <v>SG</v>
      </c>
      <c r="C1123" s="12" t="str">
        <f aca="false">INDEX(Entities!$B$5:$B$34,MATCH(B1123,Entities!$A$5:$A$34,0))</f>
        <v>Arab Bank – Singapore</v>
      </c>
      <c r="D1123" s="7" t="str">
        <f aca="false">INDEX(Entities!$F$5:$F$34,MATCH(B1123,Entities!$A$5:$A$34,0))</f>
        <v>Tier 2</v>
      </c>
      <c r="E1123" s="26" t="str">
        <f aca="false">'Control Library'!$A$5</f>
        <v>CTL-KYC-01</v>
      </c>
      <c r="F1123" s="12" t="str">
        <f aca="false">INDEX('Control Library'!$B$5:$B$47,MATCH(E1123,'Control Library'!$A$5:$A$47,0))</f>
        <v>Customer due diligence and ID verification at onboarding</v>
      </c>
      <c r="G1123" s="7" t="str">
        <f aca="false">INDEX('Control Library'!$F$5:$F$47,MATCH(E1123,'Control Library'!$A$5:$A$47,0))</f>
        <v>Y</v>
      </c>
      <c r="H1123" s="12" t="str">
        <f aca="false">INDEX('Control Library'!$E$5:$E$47,MATCH(E1123,'Control Library'!$A$5:$A$47,0))</f>
        <v>Event-driven</v>
      </c>
      <c r="I1123" s="7" t="str">
        <f aca="false">IF(INDEX('Control Library'!$I$5:$I$47,MATCH(E1123,'Control Library'!$A$5:$A$47,0))="All","Y",IF(INDEX('Control Library'!$I$5:$I$47,MATCH(E1123,'Control Library'!$A$5:$A$47,0))="Banks only",IF(COUNTIF('Residual Config'!$L$28:$L$30,INDEX(Entities!$E$5:$E$34,MATCH(B1123,Entities!$A$5:$A$34,0)))&gt;0,"N/A","Y"),IF(INDEX(Entities!$G$5:$G$34,MATCH(B1123,Entities!$A$5:$A$34,0))="Y","Y","N/A")))</f>
        <v>Y</v>
      </c>
      <c r="J1123" s="8" t="s">
        <v>3533</v>
      </c>
      <c r="K1123" s="8" t="s">
        <v>3534</v>
      </c>
      <c r="L1123" s="7" t="str">
        <f aca="false">IF(OR(J1123="",K1123=""),"",IF(J1123=K1123,"Breach","OK"))</f>
        <v>OK</v>
      </c>
      <c r="M1123" s="24" t="n">
        <v>1</v>
      </c>
      <c r="N1123" s="50" t="n">
        <v>46155</v>
      </c>
      <c r="O1123" s="8" t="s">
        <v>545</v>
      </c>
      <c r="P1123" s="24" t="n">
        <v>35</v>
      </c>
      <c r="Q1123" s="31" t="n">
        <f aca="false">IF(I1123="N/A","",IFERROR(INDEX('Residual Config'!$B$35:$B$42,MATCH(H1123,'Residual Config'!$A$35:$A$42,0)),""))</f>
        <v>25</v>
      </c>
      <c r="R1123" s="24" t="n">
        <v>1</v>
      </c>
      <c r="S1123" s="8" t="s">
        <v>521</v>
      </c>
      <c r="T1123" s="31" t="n">
        <f aca="false">IF(S1123="","",MATCH(S1123,'Residual Config'!$L$9:$L$12,0))</f>
        <v>2</v>
      </c>
      <c r="U1123" s="8" t="s">
        <v>3535</v>
      </c>
      <c r="V1123" s="24" t="n">
        <v>2</v>
      </c>
      <c r="W1123" s="33" t="s">
        <v>533</v>
      </c>
      <c r="X1123" s="8" t="s">
        <v>754</v>
      </c>
      <c r="Y1123" s="51" t="n">
        <f aca="false">IF(N1123="","",EDATE(N1123,IF(G1123="N",INDEX('Residual Config'!$B$31:$D$31,1,MATCH(D1123,'Residual Config'!$B$27:$D$27,0)),INDEX('Residual Config'!$B$28:$D$30,IF(T1123=1,1,IF(T1123=4,3,2)),MATCH(D1123,'Residual Config'!$B$27:$D$27,0)))))</f>
        <v>46339</v>
      </c>
      <c r="Z1123" s="7" t="str">
        <f aca="false">IF(I1123="N/A","N/A",IF(N1123="","Not tested",IF(W1123="Rejected","Evidence rejected",IF(W1123&lt;&gt;"Accepted","Evidence pending",IF(Y1123&lt;'Residual Config'!$C$4,"Overdue","Current")))))</f>
        <v>Current</v>
      </c>
      <c r="AA1123" s="34" t="n">
        <f aca="false">IF(I1123="N/A","",IF(Z1123&lt;&gt;"Current",4,IF(MAX(M1123,T1123)=0,4,MAX(M1123,T1123))))</f>
        <v>2</v>
      </c>
      <c r="AB1123" s="7" t="str">
        <f aca="false">IF(AA1123="","N/A",IF(Z1123&lt;&gt;"Current","Not tested / overdue",INDEX('Residual Config'!$B$11:$B$14,AA1123)))</f>
        <v>Largely effective</v>
      </c>
      <c r="AC1123" s="36" t="n">
        <f aca="false">IF(AA1123="","",INDEX('Residual Config'!$D$11:$D$14,AA1123))</f>
        <v>0.4</v>
      </c>
      <c r="AD1123" s="7" t="str">
        <f aca="false">IF(OR(I1123="N/A",P1123="",Q1123=""),"",IF(P1123&gt;=Q1123,"Yes","No"))</f>
        <v>Yes</v>
      </c>
      <c r="AE1123" s="8"/>
    </row>
    <row r="1124" customFormat="false" ht="15" hidden="false" customHeight="false" outlineLevel="0" collapsed="false">
      <c r="A1124" s="12" t="s">
        <v>3536</v>
      </c>
      <c r="B1124" s="26" t="str">
        <f aca="false">Entities!$A$31</f>
        <v>SG</v>
      </c>
      <c r="C1124" s="12" t="str">
        <f aca="false">INDEX(Entities!$B$5:$B$34,MATCH(B1124,Entities!$A$5:$A$34,0))</f>
        <v>Arab Bank – Singapore</v>
      </c>
      <c r="D1124" s="7" t="str">
        <f aca="false">INDEX(Entities!$F$5:$F$34,MATCH(B1124,Entities!$A$5:$A$34,0))</f>
        <v>Tier 2</v>
      </c>
      <c r="E1124" s="26" t="str">
        <f aca="false">'Control Library'!$A$6</f>
        <v>CTL-KYC-02</v>
      </c>
      <c r="F1124" s="12" t="str">
        <f aca="false">INDEX('Control Library'!$B$5:$B$47,MATCH(E1124,'Control Library'!$A$5:$A$47,0))</f>
        <v>Enhanced due diligence for high-risk customers and PEPs, senior approval</v>
      </c>
      <c r="G1124" s="7" t="str">
        <f aca="false">INDEX('Control Library'!$F$5:$F$47,MATCH(E1124,'Control Library'!$A$5:$A$47,0))</f>
        <v>Y</v>
      </c>
      <c r="H1124" s="12" t="str">
        <f aca="false">INDEX('Control Library'!$E$5:$E$47,MATCH(E1124,'Control Library'!$A$5:$A$47,0))</f>
        <v>Event-driven</v>
      </c>
      <c r="I1124" s="7" t="str">
        <f aca="false">IF(INDEX('Control Library'!$I$5:$I$47,MATCH(E1124,'Control Library'!$A$5:$A$47,0))="All","Y",IF(INDEX('Control Library'!$I$5:$I$47,MATCH(E1124,'Control Library'!$A$5:$A$47,0))="Banks only",IF(COUNTIF('Residual Config'!$L$28:$L$30,INDEX(Entities!$E$5:$E$34,MATCH(B1124,Entities!$A$5:$A$34,0)))&gt;0,"N/A","Y"),IF(INDEX(Entities!$G$5:$G$34,MATCH(B1124,Entities!$A$5:$A$34,0))="Y","Y","N/A")))</f>
        <v>Y</v>
      </c>
      <c r="J1124" s="8" t="s">
        <v>3537</v>
      </c>
      <c r="K1124" s="8" t="s">
        <v>3534</v>
      </c>
      <c r="L1124" s="7" t="str">
        <f aca="false">IF(OR(J1124="",K1124=""),"",IF(J1124=K1124,"Breach","OK"))</f>
        <v>OK</v>
      </c>
      <c r="M1124" s="24" t="n">
        <v>1</v>
      </c>
      <c r="N1124" s="50" t="n">
        <v>46222</v>
      </c>
      <c r="O1124" s="8" t="s">
        <v>545</v>
      </c>
      <c r="P1124" s="24" t="n">
        <v>25</v>
      </c>
      <c r="Q1124" s="31" t="n">
        <f aca="false">IF(I1124="N/A","",IFERROR(INDEX('Residual Config'!$B$35:$B$42,MATCH(H1124,'Residual Config'!$A$35:$A$42,0)),""))</f>
        <v>25</v>
      </c>
      <c r="R1124" s="24" t="n">
        <v>1</v>
      </c>
      <c r="S1124" s="8" t="s">
        <v>521</v>
      </c>
      <c r="T1124" s="31" t="n">
        <f aca="false">IF(S1124="","",MATCH(S1124,'Residual Config'!$L$9:$L$12,0))</f>
        <v>2</v>
      </c>
      <c r="U1124" s="8" t="s">
        <v>3538</v>
      </c>
      <c r="V1124" s="24" t="n">
        <v>3</v>
      </c>
      <c r="W1124" s="33" t="s">
        <v>533</v>
      </c>
      <c r="X1124" s="8" t="s">
        <v>760</v>
      </c>
      <c r="Y1124" s="51" t="n">
        <f aca="false">IF(N1124="","",EDATE(N1124,IF(G1124="N",INDEX('Residual Config'!$B$31:$D$31,1,MATCH(D1124,'Residual Config'!$B$27:$D$27,0)),INDEX('Residual Config'!$B$28:$D$30,IF(T1124=1,1,IF(T1124=4,3,2)),MATCH(D1124,'Residual Config'!$B$27:$D$27,0)))))</f>
        <v>46406</v>
      </c>
      <c r="Z1124" s="7" t="str">
        <f aca="false">IF(I1124="N/A","N/A",IF(N1124="","Not tested",IF(W1124="Rejected","Evidence rejected",IF(W1124&lt;&gt;"Accepted","Evidence pending",IF(Y1124&lt;'Residual Config'!$C$4,"Overdue","Current")))))</f>
        <v>Current</v>
      </c>
      <c r="AA1124" s="34" t="n">
        <f aca="false">IF(I1124="N/A","",IF(Z1124&lt;&gt;"Current",4,IF(MAX(M1124,T1124)=0,4,MAX(M1124,T1124))))</f>
        <v>2</v>
      </c>
      <c r="AB1124" s="7" t="str">
        <f aca="false">IF(AA1124="","N/A",IF(Z1124&lt;&gt;"Current","Not tested / overdue",INDEX('Residual Config'!$B$11:$B$14,AA1124)))</f>
        <v>Largely effective</v>
      </c>
      <c r="AC1124" s="36" t="n">
        <f aca="false">IF(AA1124="","",INDEX('Residual Config'!$D$11:$D$14,AA1124))</f>
        <v>0.4</v>
      </c>
      <c r="AD1124" s="7" t="str">
        <f aca="false">IF(OR(I1124="N/A",P1124="",Q1124=""),"",IF(P1124&gt;=Q1124,"Yes","No"))</f>
        <v>Yes</v>
      </c>
      <c r="AE1124" s="8"/>
    </row>
    <row r="1125" customFormat="false" ht="15" hidden="false" customHeight="false" outlineLevel="0" collapsed="false">
      <c r="A1125" s="12" t="s">
        <v>3539</v>
      </c>
      <c r="B1125" s="26" t="str">
        <f aca="false">Entities!$A$31</f>
        <v>SG</v>
      </c>
      <c r="C1125" s="12" t="str">
        <f aca="false">INDEX(Entities!$B$5:$B$34,MATCH(B1125,Entities!$A$5:$A$34,0))</f>
        <v>Arab Bank – Singapore</v>
      </c>
      <c r="D1125" s="7" t="str">
        <f aca="false">INDEX(Entities!$F$5:$F$34,MATCH(B1125,Entities!$A$5:$A$34,0))</f>
        <v>Tier 2</v>
      </c>
      <c r="E1125" s="26" t="str">
        <f aca="false">'Control Library'!$A$7</f>
        <v>CTL-KYC-03</v>
      </c>
      <c r="F1125" s="12" t="str">
        <f aca="false">INDEX('Control Library'!$B$5:$B$47,MATCH(E1125,'Control Library'!$A$5:$A$47,0))</f>
        <v>Ultimate beneficial owner identification and verification</v>
      </c>
      <c r="G1125" s="7" t="str">
        <f aca="false">INDEX('Control Library'!$F$5:$F$47,MATCH(E1125,'Control Library'!$A$5:$A$47,0))</f>
        <v>Y</v>
      </c>
      <c r="H1125" s="12" t="str">
        <f aca="false">INDEX('Control Library'!$E$5:$E$47,MATCH(E1125,'Control Library'!$A$5:$A$47,0))</f>
        <v>Event-driven</v>
      </c>
      <c r="I1125" s="7" t="str">
        <f aca="false">IF(INDEX('Control Library'!$I$5:$I$47,MATCH(E1125,'Control Library'!$A$5:$A$47,0))="All","Y",IF(INDEX('Control Library'!$I$5:$I$47,MATCH(E1125,'Control Library'!$A$5:$A$47,0))="Banks only",IF(COUNTIF('Residual Config'!$L$28:$L$30,INDEX(Entities!$E$5:$E$34,MATCH(B1125,Entities!$A$5:$A$34,0)))&gt;0,"N/A","Y"),IF(INDEX(Entities!$G$5:$G$34,MATCH(B1125,Entities!$A$5:$A$34,0))="Y","Y","N/A")))</f>
        <v>Y</v>
      </c>
      <c r="J1125" s="8" t="s">
        <v>3533</v>
      </c>
      <c r="K1125" s="8" t="s">
        <v>3534</v>
      </c>
      <c r="L1125" s="7" t="str">
        <f aca="false">IF(OR(J1125="",K1125=""),"",IF(J1125=K1125,"Breach","OK"))</f>
        <v>OK</v>
      </c>
      <c r="M1125" s="24" t="n">
        <v>2</v>
      </c>
      <c r="N1125" s="50" t="n">
        <v>46021</v>
      </c>
      <c r="O1125" s="8" t="s">
        <v>546</v>
      </c>
      <c r="P1125" s="24" t="n">
        <v>35</v>
      </c>
      <c r="Q1125" s="31" t="n">
        <f aca="false">IF(I1125="N/A","",IFERROR(INDEX('Residual Config'!$B$35:$B$42,MATCH(H1125,'Residual Config'!$A$35:$A$42,0)),""))</f>
        <v>25</v>
      </c>
      <c r="R1125" s="24" t="n">
        <v>0</v>
      </c>
      <c r="S1125" s="8" t="s">
        <v>516</v>
      </c>
      <c r="T1125" s="31" t="n">
        <f aca="false">IF(S1125="","",MATCH(S1125,'Residual Config'!$L$9:$L$12,0))</f>
        <v>1</v>
      </c>
      <c r="U1125" s="8" t="s">
        <v>3540</v>
      </c>
      <c r="V1125" s="24" t="n">
        <v>1</v>
      </c>
      <c r="W1125" s="33" t="s">
        <v>533</v>
      </c>
      <c r="X1125" s="8" t="s">
        <v>760</v>
      </c>
      <c r="Y1125" s="51" t="n">
        <f aca="false">IF(N1125="","",EDATE(N1125,IF(G1125="N",INDEX('Residual Config'!$B$31:$D$31,1,MATCH(D1125,'Residual Config'!$B$27:$D$27,0)),INDEX('Residual Config'!$B$28:$D$30,IF(T1125=1,1,IF(T1125=4,3,2)),MATCH(D1125,'Residual Config'!$B$27:$D$27,0)))))</f>
        <v>46386</v>
      </c>
      <c r="Z1125" s="7" t="str">
        <f aca="false">IF(I1125="N/A","N/A",IF(N1125="","Not tested",IF(W1125="Rejected","Evidence rejected",IF(W1125&lt;&gt;"Accepted","Evidence pending",IF(Y1125&lt;'Residual Config'!$C$4,"Overdue","Current")))))</f>
        <v>Current</v>
      </c>
      <c r="AA1125" s="34" t="n">
        <f aca="false">IF(I1125="N/A","",IF(Z1125&lt;&gt;"Current",4,IF(MAX(M1125,T1125)=0,4,MAX(M1125,T1125))))</f>
        <v>2</v>
      </c>
      <c r="AB1125" s="7" t="str">
        <f aca="false">IF(AA1125="","N/A",IF(Z1125&lt;&gt;"Current","Not tested / overdue",INDEX('Residual Config'!$B$11:$B$14,AA1125)))</f>
        <v>Largely effective</v>
      </c>
      <c r="AC1125" s="36" t="n">
        <f aca="false">IF(AA1125="","",INDEX('Residual Config'!$D$11:$D$14,AA1125))</f>
        <v>0.4</v>
      </c>
      <c r="AD1125" s="7" t="str">
        <f aca="false">IF(OR(I1125="N/A",P1125="",Q1125=""),"",IF(P1125&gt;=Q1125,"Yes","No"))</f>
        <v>Yes</v>
      </c>
      <c r="AE1125" s="8"/>
    </row>
    <row r="1126" customFormat="false" ht="15" hidden="false" customHeight="false" outlineLevel="0" collapsed="false">
      <c r="A1126" s="12" t="s">
        <v>3541</v>
      </c>
      <c r="B1126" s="26" t="str">
        <f aca="false">Entities!$A$31</f>
        <v>SG</v>
      </c>
      <c r="C1126" s="12" t="str">
        <f aca="false">INDEX(Entities!$B$5:$B$34,MATCH(B1126,Entities!$A$5:$A$34,0))</f>
        <v>Arab Bank – Singapore</v>
      </c>
      <c r="D1126" s="7" t="str">
        <f aca="false">INDEX(Entities!$F$5:$F$34,MATCH(B1126,Entities!$A$5:$A$34,0))</f>
        <v>Tier 2</v>
      </c>
      <c r="E1126" s="26" t="str">
        <f aca="false">'Control Library'!$A$8</f>
        <v>CTL-KYC-04</v>
      </c>
      <c r="F1126" s="12" t="str">
        <f aca="false">INDEX('Control Library'!$B$5:$B$47,MATCH(E1126,'Control Library'!$A$5:$A$47,0))</f>
        <v>Periodic KYC review by customer risk rating</v>
      </c>
      <c r="G1126" s="7" t="str">
        <f aca="false">INDEX('Control Library'!$F$5:$F$47,MATCH(E1126,'Control Library'!$A$5:$A$47,0))</f>
        <v>Y</v>
      </c>
      <c r="H1126" s="12" t="str">
        <f aca="false">INDEX('Control Library'!$E$5:$E$47,MATCH(E1126,'Control Library'!$A$5:$A$47,0))</f>
        <v>Monthly</v>
      </c>
      <c r="I1126" s="7" t="str">
        <f aca="false">IF(INDEX('Control Library'!$I$5:$I$47,MATCH(E1126,'Control Library'!$A$5:$A$47,0))="All","Y",IF(INDEX('Control Library'!$I$5:$I$47,MATCH(E1126,'Control Library'!$A$5:$A$47,0))="Banks only",IF(COUNTIF('Residual Config'!$L$28:$L$30,INDEX(Entities!$E$5:$E$34,MATCH(B1126,Entities!$A$5:$A$34,0)))&gt;0,"N/A","Y"),IF(INDEX(Entities!$G$5:$G$34,MATCH(B1126,Entities!$A$5:$A$34,0))="Y","Y","N/A")))</f>
        <v>Y</v>
      </c>
      <c r="J1126" s="8" t="s">
        <v>3533</v>
      </c>
      <c r="K1126" s="8" t="s">
        <v>3534</v>
      </c>
      <c r="L1126" s="7" t="str">
        <f aca="false">IF(OR(J1126="",K1126=""),"",IF(J1126=K1126,"Breach","OK"))</f>
        <v>OK</v>
      </c>
      <c r="M1126" s="24" t="n">
        <v>1</v>
      </c>
      <c r="N1126" s="50" t="n">
        <v>46242</v>
      </c>
      <c r="O1126" s="8" t="s">
        <v>546</v>
      </c>
      <c r="P1126" s="24" t="n">
        <v>3</v>
      </c>
      <c r="Q1126" s="31" t="n">
        <f aca="false">IF(I1126="N/A","",IFERROR(INDEX('Residual Config'!$B$35:$B$42,MATCH(H1126,'Residual Config'!$A$35:$A$42,0)),""))</f>
        <v>3</v>
      </c>
      <c r="R1126" s="24" t="n">
        <v>1</v>
      </c>
      <c r="S1126" s="8" t="s">
        <v>521</v>
      </c>
      <c r="T1126" s="31" t="n">
        <f aca="false">IF(S1126="","",MATCH(S1126,'Residual Config'!$L$9:$L$12,0))</f>
        <v>2</v>
      </c>
      <c r="U1126" s="8" t="s">
        <v>3542</v>
      </c>
      <c r="V1126" s="24" t="n">
        <v>5</v>
      </c>
      <c r="W1126" s="33" t="s">
        <v>533</v>
      </c>
      <c r="X1126" s="8" t="s">
        <v>754</v>
      </c>
      <c r="Y1126" s="51" t="n">
        <f aca="false">IF(N1126="","",EDATE(N1126,IF(G1126="N",INDEX('Residual Config'!$B$31:$D$31,1,MATCH(D1126,'Residual Config'!$B$27:$D$27,0)),INDEX('Residual Config'!$B$28:$D$30,IF(T1126=1,1,IF(T1126=4,3,2)),MATCH(D1126,'Residual Config'!$B$27:$D$27,0)))))</f>
        <v>46426</v>
      </c>
      <c r="Z1126" s="7" t="str">
        <f aca="false">IF(I1126="N/A","N/A",IF(N1126="","Not tested",IF(W1126="Rejected","Evidence rejected",IF(W1126&lt;&gt;"Accepted","Evidence pending",IF(Y1126&lt;'Residual Config'!$C$4,"Overdue","Current")))))</f>
        <v>Current</v>
      </c>
      <c r="AA1126" s="34" t="n">
        <f aca="false">IF(I1126="N/A","",IF(Z1126&lt;&gt;"Current",4,IF(MAX(M1126,T1126)=0,4,MAX(M1126,T1126))))</f>
        <v>2</v>
      </c>
      <c r="AB1126" s="7" t="str">
        <f aca="false">IF(AA1126="","N/A",IF(Z1126&lt;&gt;"Current","Not tested / overdue",INDEX('Residual Config'!$B$11:$B$14,AA1126)))</f>
        <v>Largely effective</v>
      </c>
      <c r="AC1126" s="36" t="n">
        <f aca="false">IF(AA1126="","",INDEX('Residual Config'!$D$11:$D$14,AA1126))</f>
        <v>0.4</v>
      </c>
      <c r="AD1126" s="7" t="str">
        <f aca="false">IF(OR(I1126="N/A",P1126="",Q1126=""),"",IF(P1126&gt;=Q1126,"Yes","No"))</f>
        <v>Yes</v>
      </c>
      <c r="AE1126" s="8"/>
    </row>
    <row r="1127" customFormat="false" ht="15" hidden="false" customHeight="false" outlineLevel="0" collapsed="false">
      <c r="A1127" s="12" t="s">
        <v>3543</v>
      </c>
      <c r="B1127" s="26" t="str">
        <f aca="false">Entities!$A$31</f>
        <v>SG</v>
      </c>
      <c r="C1127" s="12" t="str">
        <f aca="false">INDEX(Entities!$B$5:$B$34,MATCH(B1127,Entities!$A$5:$A$34,0))</f>
        <v>Arab Bank – Singapore</v>
      </c>
      <c r="D1127" s="7" t="str">
        <f aca="false">INDEX(Entities!$F$5:$F$34,MATCH(B1127,Entities!$A$5:$A$34,0))</f>
        <v>Tier 2</v>
      </c>
      <c r="E1127" s="26" t="str">
        <f aca="false">'Control Library'!$A$9</f>
        <v>CTL-CRR-01</v>
      </c>
      <c r="F1127" s="12" t="str">
        <f aca="false">INDEX('Control Library'!$B$5:$B$47,MATCH(E1127,'Control Library'!$A$5:$A$47,0))</f>
        <v>Customer risk rating model and annual validation</v>
      </c>
      <c r="G1127" s="7" t="str">
        <f aca="false">INDEX('Control Library'!$F$5:$F$47,MATCH(E1127,'Control Library'!$A$5:$A$47,0))</f>
        <v>N</v>
      </c>
      <c r="H1127" s="12" t="str">
        <f aca="false">INDEX('Control Library'!$E$5:$E$47,MATCH(E1127,'Control Library'!$A$5:$A$47,0))</f>
        <v>Annual</v>
      </c>
      <c r="I1127" s="7" t="str">
        <f aca="false">IF(INDEX('Control Library'!$I$5:$I$47,MATCH(E1127,'Control Library'!$A$5:$A$47,0))="All","Y",IF(INDEX('Control Library'!$I$5:$I$47,MATCH(E1127,'Control Library'!$A$5:$A$47,0))="Banks only",IF(COUNTIF('Residual Config'!$L$28:$L$30,INDEX(Entities!$E$5:$E$34,MATCH(B1127,Entities!$A$5:$A$34,0)))&gt;0,"N/A","Y"),IF(INDEX(Entities!$G$5:$G$34,MATCH(B1127,Entities!$A$5:$A$34,0))="Y","Y","N/A")))</f>
        <v>Y</v>
      </c>
      <c r="J1127" s="8" t="s">
        <v>3537</v>
      </c>
      <c r="K1127" s="8" t="s">
        <v>3534</v>
      </c>
      <c r="L1127" s="7" t="str">
        <f aca="false">IF(OR(J1127="",K1127=""),"",IF(J1127=K1127,"Breach","OK"))</f>
        <v>OK</v>
      </c>
      <c r="M1127" s="24" t="n">
        <v>2</v>
      </c>
      <c r="N1127" s="50" t="n">
        <v>46263</v>
      </c>
      <c r="O1127" s="8" t="s">
        <v>546</v>
      </c>
      <c r="P1127" s="24" t="n">
        <v>1</v>
      </c>
      <c r="Q1127" s="31" t="n">
        <f aca="false">IF(I1127="N/A","",IFERROR(INDEX('Residual Config'!$B$35:$B$42,MATCH(H1127,'Residual Config'!$A$35:$A$42,0)),""))</f>
        <v>1</v>
      </c>
      <c r="R1127" s="24" t="n">
        <v>1</v>
      </c>
      <c r="S1127" s="8" t="s">
        <v>521</v>
      </c>
      <c r="T1127" s="31" t="n">
        <f aca="false">IF(S1127="","",MATCH(S1127,'Residual Config'!$L$9:$L$12,0))</f>
        <v>2</v>
      </c>
      <c r="U1127" s="8" t="s">
        <v>3544</v>
      </c>
      <c r="V1127" s="24" t="n">
        <v>4</v>
      </c>
      <c r="W1127" s="33" t="s">
        <v>533</v>
      </c>
      <c r="X1127" s="8" t="s">
        <v>754</v>
      </c>
      <c r="Y1127" s="51" t="n">
        <f aca="false">IF(N1127="","",EDATE(N1127,IF(G1127="N",INDEX('Residual Config'!$B$31:$D$31,1,MATCH(D1127,'Residual Config'!$B$27:$D$27,0)),INDEX('Residual Config'!$B$28:$D$30,IF(T1127=1,1,IF(T1127=4,3,2)),MATCH(D1127,'Residual Config'!$B$27:$D$27,0)))))</f>
        <v>46628</v>
      </c>
      <c r="Z1127" s="7" t="str">
        <f aca="false">IF(I1127="N/A","N/A",IF(N1127="","Not tested",IF(W1127="Rejected","Evidence rejected",IF(W1127&lt;&gt;"Accepted","Evidence pending",IF(Y1127&lt;'Residual Config'!$C$4,"Overdue","Current")))))</f>
        <v>Current</v>
      </c>
      <c r="AA1127" s="34" t="n">
        <f aca="false">IF(I1127="N/A","",IF(Z1127&lt;&gt;"Current",4,IF(MAX(M1127,T1127)=0,4,MAX(M1127,T1127))))</f>
        <v>2</v>
      </c>
      <c r="AB1127" s="7" t="str">
        <f aca="false">IF(AA1127="","N/A",IF(Z1127&lt;&gt;"Current","Not tested / overdue",INDEX('Residual Config'!$B$11:$B$14,AA1127)))</f>
        <v>Largely effective</v>
      </c>
      <c r="AC1127" s="36" t="n">
        <f aca="false">IF(AA1127="","",INDEX('Residual Config'!$D$11:$D$14,AA1127))</f>
        <v>0.4</v>
      </c>
      <c r="AD1127" s="7" t="str">
        <f aca="false">IF(OR(I1127="N/A",P1127="",Q1127=""),"",IF(P1127&gt;=Q1127,"Yes","No"))</f>
        <v>Yes</v>
      </c>
      <c r="AE1127" s="8"/>
    </row>
    <row r="1128" customFormat="false" ht="15" hidden="false" customHeight="false" outlineLevel="0" collapsed="false">
      <c r="A1128" s="12" t="s">
        <v>3545</v>
      </c>
      <c r="B1128" s="26" t="str">
        <f aca="false">Entities!$A$31</f>
        <v>SG</v>
      </c>
      <c r="C1128" s="12" t="str">
        <f aca="false">INDEX(Entities!$B$5:$B$34,MATCH(B1128,Entities!$A$5:$A$34,0))</f>
        <v>Arab Bank – Singapore</v>
      </c>
      <c r="D1128" s="7" t="str">
        <f aca="false">INDEX(Entities!$F$5:$F$34,MATCH(B1128,Entities!$A$5:$A$34,0))</f>
        <v>Tier 2</v>
      </c>
      <c r="E1128" s="26" t="str">
        <f aca="false">'Control Library'!$A$10</f>
        <v>CTL-TM-01</v>
      </c>
      <c r="F1128" s="12" t="str">
        <f aca="false">INDEX('Control Library'!$B$5:$B$47,MATCH(E1128,'Control Library'!$A$5:$A$47,0))</f>
        <v>Automated transaction monitoring scenarios and annual tuning</v>
      </c>
      <c r="G1128" s="7" t="str">
        <f aca="false">INDEX('Control Library'!$F$5:$F$47,MATCH(E1128,'Control Library'!$A$5:$A$47,0))</f>
        <v>Y</v>
      </c>
      <c r="H1128" s="12" t="str">
        <f aca="false">INDEX('Control Library'!$E$5:$E$47,MATCH(E1128,'Control Library'!$A$5:$A$47,0))</f>
        <v>Continuous</v>
      </c>
      <c r="I1128" s="7" t="str">
        <f aca="false">IF(INDEX('Control Library'!$I$5:$I$47,MATCH(E1128,'Control Library'!$A$5:$A$47,0))="All","Y",IF(INDEX('Control Library'!$I$5:$I$47,MATCH(E1128,'Control Library'!$A$5:$A$47,0))="Banks only",IF(COUNTIF('Residual Config'!$L$28:$L$30,INDEX(Entities!$E$5:$E$34,MATCH(B1128,Entities!$A$5:$A$34,0)))&gt;0,"N/A","Y"),IF(INDEX(Entities!$G$5:$G$34,MATCH(B1128,Entities!$A$5:$A$34,0))="Y","Y","N/A")))</f>
        <v>Y</v>
      </c>
      <c r="J1128" s="8" t="s">
        <v>3546</v>
      </c>
      <c r="K1128" s="8" t="s">
        <v>3534</v>
      </c>
      <c r="L1128" s="7" t="str">
        <f aca="false">IF(OR(J1128="",K1128=""),"",IF(J1128=K1128,"Breach","OK"))</f>
        <v>OK</v>
      </c>
      <c r="M1128" s="24" t="n">
        <v>1</v>
      </c>
      <c r="N1128" s="50" t="n">
        <v>46206</v>
      </c>
      <c r="O1128" s="8" t="s">
        <v>547</v>
      </c>
      <c r="P1128" s="24" t="n">
        <v>1</v>
      </c>
      <c r="Q1128" s="31" t="n">
        <f aca="false">IF(I1128="N/A","",IFERROR(INDEX('Residual Config'!$B$35:$B$42,MATCH(H1128,'Residual Config'!$A$35:$A$42,0)),""))</f>
        <v>1</v>
      </c>
      <c r="R1128" s="24" t="n">
        <v>0</v>
      </c>
      <c r="S1128" s="8" t="s">
        <v>516</v>
      </c>
      <c r="T1128" s="31" t="n">
        <f aca="false">IF(S1128="","",MATCH(S1128,'Residual Config'!$L$9:$L$12,0))</f>
        <v>1</v>
      </c>
      <c r="U1128" s="8" t="s">
        <v>3547</v>
      </c>
      <c r="V1128" s="24" t="n">
        <v>3</v>
      </c>
      <c r="W1128" s="33" t="s">
        <v>533</v>
      </c>
      <c r="X1128" s="8" t="s">
        <v>754</v>
      </c>
      <c r="Y1128" s="51" t="n">
        <f aca="false">IF(N1128="","",EDATE(N1128,IF(G1128="N",INDEX('Residual Config'!$B$31:$D$31,1,MATCH(D1128,'Residual Config'!$B$27:$D$27,0)),INDEX('Residual Config'!$B$28:$D$30,IF(T1128=1,1,IF(T1128=4,3,2)),MATCH(D1128,'Residual Config'!$B$27:$D$27,0)))))</f>
        <v>46571</v>
      </c>
      <c r="Z1128" s="7" t="str">
        <f aca="false">IF(I1128="N/A","N/A",IF(N1128="","Not tested",IF(W1128="Rejected","Evidence rejected",IF(W1128&lt;&gt;"Accepted","Evidence pending",IF(Y1128&lt;'Residual Config'!$C$4,"Overdue","Current")))))</f>
        <v>Current</v>
      </c>
      <c r="AA1128" s="34" t="n">
        <f aca="false">IF(I1128="N/A","",IF(Z1128&lt;&gt;"Current",4,IF(MAX(M1128,T1128)=0,4,MAX(M1128,T1128))))</f>
        <v>1</v>
      </c>
      <c r="AB1128" s="7" t="str">
        <f aca="false">IF(AA1128="","N/A",IF(Z1128&lt;&gt;"Current","Not tested / overdue",INDEX('Residual Config'!$B$11:$B$14,AA1128)))</f>
        <v>Effective</v>
      </c>
      <c r="AC1128" s="36" t="n">
        <f aca="false">IF(AA1128="","",INDEX('Residual Config'!$D$11:$D$14,AA1128))</f>
        <v>0.6</v>
      </c>
      <c r="AD1128" s="7" t="str">
        <f aca="false">IF(OR(I1128="N/A",P1128="",Q1128=""),"",IF(P1128&gt;=Q1128,"Yes","No"))</f>
        <v>Yes</v>
      </c>
      <c r="AE1128" s="8"/>
    </row>
    <row r="1129" customFormat="false" ht="15" hidden="false" customHeight="false" outlineLevel="0" collapsed="false">
      <c r="A1129" s="12" t="s">
        <v>3548</v>
      </c>
      <c r="B1129" s="26" t="str">
        <f aca="false">Entities!$A$31</f>
        <v>SG</v>
      </c>
      <c r="C1129" s="12" t="str">
        <f aca="false">INDEX(Entities!$B$5:$B$34,MATCH(B1129,Entities!$A$5:$A$34,0))</f>
        <v>Arab Bank – Singapore</v>
      </c>
      <c r="D1129" s="7" t="str">
        <f aca="false">INDEX(Entities!$F$5:$F$34,MATCH(B1129,Entities!$A$5:$A$34,0))</f>
        <v>Tier 2</v>
      </c>
      <c r="E1129" s="26" t="str">
        <f aca="false">'Control Library'!$A$11</f>
        <v>CTL-TM-02</v>
      </c>
      <c r="F1129" s="12" t="str">
        <f aca="false">INDEX('Control Library'!$B$5:$B$47,MATCH(E1129,'Control Library'!$A$5:$A$47,0))</f>
        <v>Alert investigation and quality assurance within SLA</v>
      </c>
      <c r="G1129" s="7" t="str">
        <f aca="false">INDEX('Control Library'!$F$5:$F$47,MATCH(E1129,'Control Library'!$A$5:$A$47,0))</f>
        <v>Y</v>
      </c>
      <c r="H1129" s="12" t="str">
        <f aca="false">INDEX('Control Library'!$E$5:$E$47,MATCH(E1129,'Control Library'!$A$5:$A$47,0))</f>
        <v>Daily</v>
      </c>
      <c r="I1129" s="7" t="str">
        <f aca="false">IF(INDEX('Control Library'!$I$5:$I$47,MATCH(E1129,'Control Library'!$A$5:$A$47,0))="All","Y",IF(INDEX('Control Library'!$I$5:$I$47,MATCH(E1129,'Control Library'!$A$5:$A$47,0))="Banks only",IF(COUNTIF('Residual Config'!$L$28:$L$30,INDEX(Entities!$E$5:$E$34,MATCH(B1129,Entities!$A$5:$A$34,0)))&gt;0,"N/A","Y"),IF(INDEX(Entities!$G$5:$G$34,MATCH(B1129,Entities!$A$5:$A$34,0))="Y","Y","N/A")))</f>
        <v>Y</v>
      </c>
      <c r="J1129" s="8" t="s">
        <v>3546</v>
      </c>
      <c r="K1129" s="8" t="s">
        <v>3534</v>
      </c>
      <c r="L1129" s="7" t="str">
        <f aca="false">IF(OR(J1129="",K1129=""),"",IF(J1129=K1129,"Breach","OK"))</f>
        <v>OK</v>
      </c>
      <c r="M1129" s="24" t="n">
        <v>1</v>
      </c>
      <c r="N1129" s="50" t="n">
        <v>46251</v>
      </c>
      <c r="O1129" s="8" t="s">
        <v>545</v>
      </c>
      <c r="P1129" s="24" t="n">
        <v>25</v>
      </c>
      <c r="Q1129" s="31" t="n">
        <f aca="false">IF(I1129="N/A","",IFERROR(INDEX('Residual Config'!$B$35:$B$42,MATCH(H1129,'Residual Config'!$A$35:$A$42,0)),""))</f>
        <v>25</v>
      </c>
      <c r="R1129" s="24" t="n">
        <v>0</v>
      </c>
      <c r="S1129" s="8" t="s">
        <v>516</v>
      </c>
      <c r="T1129" s="31" t="n">
        <f aca="false">IF(S1129="","",MATCH(S1129,'Residual Config'!$L$9:$L$12,0))</f>
        <v>1</v>
      </c>
      <c r="U1129" s="8" t="s">
        <v>3549</v>
      </c>
      <c r="V1129" s="24" t="n">
        <v>5</v>
      </c>
      <c r="W1129" s="33" t="s">
        <v>533</v>
      </c>
      <c r="X1129" s="8" t="s">
        <v>754</v>
      </c>
      <c r="Y1129" s="51" t="n">
        <f aca="false">IF(N1129="","",EDATE(N1129,IF(G1129="N",INDEX('Residual Config'!$B$31:$D$31,1,MATCH(D1129,'Residual Config'!$B$27:$D$27,0)),INDEX('Residual Config'!$B$28:$D$30,IF(T1129=1,1,IF(T1129=4,3,2)),MATCH(D1129,'Residual Config'!$B$27:$D$27,0)))))</f>
        <v>46616</v>
      </c>
      <c r="Z1129" s="7" t="str">
        <f aca="false">IF(I1129="N/A","N/A",IF(N1129="","Not tested",IF(W1129="Rejected","Evidence rejected",IF(W1129&lt;&gt;"Accepted","Evidence pending",IF(Y1129&lt;'Residual Config'!$C$4,"Overdue","Current")))))</f>
        <v>Current</v>
      </c>
      <c r="AA1129" s="34" t="n">
        <f aca="false">IF(I1129="N/A","",IF(Z1129&lt;&gt;"Current",4,IF(MAX(M1129,T1129)=0,4,MAX(M1129,T1129))))</f>
        <v>1</v>
      </c>
      <c r="AB1129" s="7" t="str">
        <f aca="false">IF(AA1129="","N/A",IF(Z1129&lt;&gt;"Current","Not tested / overdue",INDEX('Residual Config'!$B$11:$B$14,AA1129)))</f>
        <v>Effective</v>
      </c>
      <c r="AC1129" s="36" t="n">
        <f aca="false">IF(AA1129="","",INDEX('Residual Config'!$D$11:$D$14,AA1129))</f>
        <v>0.6</v>
      </c>
      <c r="AD1129" s="7" t="str">
        <f aca="false">IF(OR(I1129="N/A",P1129="",Q1129=""),"",IF(P1129&gt;=Q1129,"Yes","No"))</f>
        <v>Yes</v>
      </c>
      <c r="AE1129" s="8"/>
    </row>
    <row r="1130" customFormat="false" ht="15" hidden="false" customHeight="false" outlineLevel="0" collapsed="false">
      <c r="A1130" s="12" t="s">
        <v>3550</v>
      </c>
      <c r="B1130" s="26" t="str">
        <f aca="false">Entities!$A$31</f>
        <v>SG</v>
      </c>
      <c r="C1130" s="12" t="str">
        <f aca="false">INDEX(Entities!$B$5:$B$34,MATCH(B1130,Entities!$A$5:$A$34,0))</f>
        <v>Arab Bank – Singapore</v>
      </c>
      <c r="D1130" s="7" t="str">
        <f aca="false">INDEX(Entities!$F$5:$F$34,MATCH(B1130,Entities!$A$5:$A$34,0))</f>
        <v>Tier 2</v>
      </c>
      <c r="E1130" s="26" t="str">
        <f aca="false">'Control Library'!$A$12</f>
        <v>CTL-STR-01</v>
      </c>
      <c r="F1130" s="12" t="str">
        <f aca="false">INDEX('Control Library'!$B$5:$B$47,MATCH(E1130,'Control Library'!$A$5:$A$47,0))</f>
        <v>STR decision and filing within regulatory deadline</v>
      </c>
      <c r="G1130" s="7" t="str">
        <f aca="false">INDEX('Control Library'!$F$5:$F$47,MATCH(E1130,'Control Library'!$A$5:$A$47,0))</f>
        <v>Y</v>
      </c>
      <c r="H1130" s="12" t="str">
        <f aca="false">INDEX('Control Library'!$E$5:$E$47,MATCH(E1130,'Control Library'!$A$5:$A$47,0))</f>
        <v>Event-driven</v>
      </c>
      <c r="I1130" s="7" t="str">
        <f aca="false">IF(INDEX('Control Library'!$I$5:$I$47,MATCH(E1130,'Control Library'!$A$5:$A$47,0))="All","Y",IF(INDEX('Control Library'!$I$5:$I$47,MATCH(E1130,'Control Library'!$A$5:$A$47,0))="Banks only",IF(COUNTIF('Residual Config'!$L$28:$L$30,INDEX(Entities!$E$5:$E$34,MATCH(B1130,Entities!$A$5:$A$34,0)))&gt;0,"N/A","Y"),IF(INDEX(Entities!$G$5:$G$34,MATCH(B1130,Entities!$A$5:$A$34,0))="Y","Y","N/A")))</f>
        <v>Y</v>
      </c>
      <c r="J1130" s="8" t="s">
        <v>3546</v>
      </c>
      <c r="K1130" s="8" t="s">
        <v>3534</v>
      </c>
      <c r="L1130" s="7" t="str">
        <f aca="false">IF(OR(J1130="",K1130=""),"",IF(J1130=K1130,"Breach","OK"))</f>
        <v>OK</v>
      </c>
      <c r="M1130" s="24" t="n">
        <v>1</v>
      </c>
      <c r="N1130" s="50" t="n">
        <v>46093</v>
      </c>
      <c r="O1130" s="8" t="s">
        <v>546</v>
      </c>
      <c r="P1130" s="24" t="n">
        <v>25</v>
      </c>
      <c r="Q1130" s="31" t="n">
        <f aca="false">IF(I1130="N/A","",IFERROR(INDEX('Residual Config'!$B$35:$B$42,MATCH(H1130,'Residual Config'!$A$35:$A$42,0)),""))</f>
        <v>25</v>
      </c>
      <c r="R1130" s="24" t="n">
        <v>0</v>
      </c>
      <c r="S1130" s="8" t="s">
        <v>516</v>
      </c>
      <c r="T1130" s="31" t="n">
        <f aca="false">IF(S1130="","",MATCH(S1130,'Residual Config'!$L$9:$L$12,0))</f>
        <v>1</v>
      </c>
      <c r="U1130" s="8" t="s">
        <v>3551</v>
      </c>
      <c r="V1130" s="24" t="n">
        <v>5</v>
      </c>
      <c r="W1130" s="33" t="s">
        <v>533</v>
      </c>
      <c r="X1130" s="8" t="s">
        <v>760</v>
      </c>
      <c r="Y1130" s="51" t="n">
        <f aca="false">IF(N1130="","",EDATE(N1130,IF(G1130="N",INDEX('Residual Config'!$B$31:$D$31,1,MATCH(D1130,'Residual Config'!$B$27:$D$27,0)),INDEX('Residual Config'!$B$28:$D$30,IF(T1130=1,1,IF(T1130=4,3,2)),MATCH(D1130,'Residual Config'!$B$27:$D$27,0)))))</f>
        <v>46458</v>
      </c>
      <c r="Z1130" s="7" t="str">
        <f aca="false">IF(I1130="N/A","N/A",IF(N1130="","Not tested",IF(W1130="Rejected","Evidence rejected",IF(W1130&lt;&gt;"Accepted","Evidence pending",IF(Y1130&lt;'Residual Config'!$C$4,"Overdue","Current")))))</f>
        <v>Current</v>
      </c>
      <c r="AA1130" s="34" t="n">
        <f aca="false">IF(I1130="N/A","",IF(Z1130&lt;&gt;"Current",4,IF(MAX(M1130,T1130)=0,4,MAX(M1130,T1130))))</f>
        <v>1</v>
      </c>
      <c r="AB1130" s="7" t="str">
        <f aca="false">IF(AA1130="","N/A",IF(Z1130&lt;&gt;"Current","Not tested / overdue",INDEX('Residual Config'!$B$11:$B$14,AA1130)))</f>
        <v>Effective</v>
      </c>
      <c r="AC1130" s="36" t="n">
        <f aca="false">IF(AA1130="","",INDEX('Residual Config'!$D$11:$D$14,AA1130))</f>
        <v>0.6</v>
      </c>
      <c r="AD1130" s="7" t="str">
        <f aca="false">IF(OR(I1130="N/A",P1130="",Q1130=""),"",IF(P1130&gt;=Q1130,"Yes","No"))</f>
        <v>Yes</v>
      </c>
      <c r="AE1130" s="8"/>
    </row>
    <row r="1131" customFormat="false" ht="15" hidden="false" customHeight="false" outlineLevel="0" collapsed="false">
      <c r="A1131" s="12" t="s">
        <v>3552</v>
      </c>
      <c r="B1131" s="26" t="str">
        <f aca="false">Entities!$A$31</f>
        <v>SG</v>
      </c>
      <c r="C1131" s="12" t="str">
        <f aca="false">INDEX(Entities!$B$5:$B$34,MATCH(B1131,Entities!$A$5:$A$34,0))</f>
        <v>Arab Bank – Singapore</v>
      </c>
      <c r="D1131" s="7" t="str">
        <f aca="false">INDEX(Entities!$F$5:$F$34,MATCH(B1131,Entities!$A$5:$A$34,0))</f>
        <v>Tier 2</v>
      </c>
      <c r="E1131" s="26" t="str">
        <f aca="false">'Control Library'!$A$13</f>
        <v>CTL-SAN-01</v>
      </c>
      <c r="F1131" s="12" t="str">
        <f aca="false">INDEX('Control Library'!$B$5:$B$47,MATCH(E1131,'Control Library'!$A$5:$A$47,0))</f>
        <v>Real-time payment and transaction sanctions screening</v>
      </c>
      <c r="G1131" s="7" t="str">
        <f aca="false">INDEX('Control Library'!$F$5:$F$47,MATCH(E1131,'Control Library'!$A$5:$A$47,0))</f>
        <v>Y</v>
      </c>
      <c r="H1131" s="12" t="str">
        <f aca="false">INDEX('Control Library'!$E$5:$E$47,MATCH(E1131,'Control Library'!$A$5:$A$47,0))</f>
        <v>Continuous</v>
      </c>
      <c r="I1131" s="7" t="str">
        <f aca="false">IF(INDEX('Control Library'!$I$5:$I$47,MATCH(E1131,'Control Library'!$A$5:$A$47,0))="All","Y",IF(INDEX('Control Library'!$I$5:$I$47,MATCH(E1131,'Control Library'!$A$5:$A$47,0))="Banks only",IF(COUNTIF('Residual Config'!$L$28:$L$30,INDEX(Entities!$E$5:$E$34,MATCH(B1131,Entities!$A$5:$A$34,0)))&gt;0,"N/A","Y"),IF(INDEX(Entities!$G$5:$G$34,MATCH(B1131,Entities!$A$5:$A$34,0))="Y","Y","N/A")))</f>
        <v>Y</v>
      </c>
      <c r="J1131" s="8" t="s">
        <v>3553</v>
      </c>
      <c r="K1131" s="8" t="s">
        <v>3534</v>
      </c>
      <c r="L1131" s="7" t="str">
        <f aca="false">IF(OR(J1131="",K1131=""),"",IF(J1131=K1131,"Breach","OK"))</f>
        <v>OK</v>
      </c>
      <c r="M1131" s="24" t="n">
        <v>2</v>
      </c>
      <c r="N1131" s="50" t="n">
        <v>46069</v>
      </c>
      <c r="O1131" s="8" t="s">
        <v>547</v>
      </c>
      <c r="P1131" s="24" t="n">
        <v>1</v>
      </c>
      <c r="Q1131" s="31" t="n">
        <f aca="false">IF(I1131="N/A","",IFERROR(INDEX('Residual Config'!$B$35:$B$42,MATCH(H1131,'Residual Config'!$A$35:$A$42,0)),""))</f>
        <v>1</v>
      </c>
      <c r="R1131" s="24" t="n">
        <v>0</v>
      </c>
      <c r="S1131" s="8" t="s">
        <v>516</v>
      </c>
      <c r="T1131" s="31" t="n">
        <f aca="false">IF(S1131="","",MATCH(S1131,'Residual Config'!$L$9:$L$12,0))</f>
        <v>1</v>
      </c>
      <c r="U1131" s="8" t="s">
        <v>3554</v>
      </c>
      <c r="V1131" s="24" t="n">
        <v>1</v>
      </c>
      <c r="W1131" s="33" t="s">
        <v>533</v>
      </c>
      <c r="X1131" s="8" t="s">
        <v>754</v>
      </c>
      <c r="Y1131" s="51" t="n">
        <f aca="false">IF(N1131="","",EDATE(N1131,IF(G1131="N",INDEX('Residual Config'!$B$31:$D$31,1,MATCH(D1131,'Residual Config'!$B$27:$D$27,0)),INDEX('Residual Config'!$B$28:$D$30,IF(T1131=1,1,IF(T1131=4,3,2)),MATCH(D1131,'Residual Config'!$B$27:$D$27,0)))))</f>
        <v>46434</v>
      </c>
      <c r="Z1131" s="7" t="str">
        <f aca="false">IF(I1131="N/A","N/A",IF(N1131="","Not tested",IF(W1131="Rejected","Evidence rejected",IF(W1131&lt;&gt;"Accepted","Evidence pending",IF(Y1131&lt;'Residual Config'!$C$4,"Overdue","Current")))))</f>
        <v>Current</v>
      </c>
      <c r="AA1131" s="34" t="n">
        <f aca="false">IF(I1131="N/A","",IF(Z1131&lt;&gt;"Current",4,IF(MAX(M1131,T1131)=0,4,MAX(M1131,T1131))))</f>
        <v>2</v>
      </c>
      <c r="AB1131" s="7" t="str">
        <f aca="false">IF(AA1131="","N/A",IF(Z1131&lt;&gt;"Current","Not tested / overdue",INDEX('Residual Config'!$B$11:$B$14,AA1131)))</f>
        <v>Largely effective</v>
      </c>
      <c r="AC1131" s="36" t="n">
        <f aca="false">IF(AA1131="","",INDEX('Residual Config'!$D$11:$D$14,AA1131))</f>
        <v>0.4</v>
      </c>
      <c r="AD1131" s="7" t="str">
        <f aca="false">IF(OR(I1131="N/A",P1131="",Q1131=""),"",IF(P1131&gt;=Q1131,"Yes","No"))</f>
        <v>Yes</v>
      </c>
      <c r="AE1131" s="8"/>
    </row>
    <row r="1132" customFormat="false" ht="15" hidden="false" customHeight="false" outlineLevel="0" collapsed="false">
      <c r="A1132" s="12" t="s">
        <v>3555</v>
      </c>
      <c r="B1132" s="26" t="str">
        <f aca="false">Entities!$A$31</f>
        <v>SG</v>
      </c>
      <c r="C1132" s="12" t="str">
        <f aca="false">INDEX(Entities!$B$5:$B$34,MATCH(B1132,Entities!$A$5:$A$34,0))</f>
        <v>Arab Bank – Singapore</v>
      </c>
      <c r="D1132" s="7" t="str">
        <f aca="false">INDEX(Entities!$F$5:$F$34,MATCH(B1132,Entities!$A$5:$A$34,0))</f>
        <v>Tier 2</v>
      </c>
      <c r="E1132" s="26" t="str">
        <f aca="false">'Control Library'!$A$14</f>
        <v>CTL-SAN-02</v>
      </c>
      <c r="F1132" s="12" t="str">
        <f aca="false">INDEX('Control Library'!$B$5:$B$47,MATCH(E1132,'Control Library'!$A$5:$A$47,0))</f>
        <v>Customer and counterparty screening at onboarding and on list change</v>
      </c>
      <c r="G1132" s="7" t="str">
        <f aca="false">INDEX('Control Library'!$F$5:$F$47,MATCH(E1132,'Control Library'!$A$5:$A$47,0))</f>
        <v>Y</v>
      </c>
      <c r="H1132" s="12" t="str">
        <f aca="false">INDEX('Control Library'!$E$5:$E$47,MATCH(E1132,'Control Library'!$A$5:$A$47,0))</f>
        <v>Continuous</v>
      </c>
      <c r="I1132" s="7" t="str">
        <f aca="false">IF(INDEX('Control Library'!$I$5:$I$47,MATCH(E1132,'Control Library'!$A$5:$A$47,0))="All","Y",IF(INDEX('Control Library'!$I$5:$I$47,MATCH(E1132,'Control Library'!$A$5:$A$47,0))="Banks only",IF(COUNTIF('Residual Config'!$L$28:$L$30,INDEX(Entities!$E$5:$E$34,MATCH(B1132,Entities!$A$5:$A$34,0)))&gt;0,"N/A","Y"),IF(INDEX(Entities!$G$5:$G$34,MATCH(B1132,Entities!$A$5:$A$34,0))="Y","Y","N/A")))</f>
        <v>Y</v>
      </c>
      <c r="J1132" s="8" t="s">
        <v>3553</v>
      </c>
      <c r="K1132" s="8" t="s">
        <v>3534</v>
      </c>
      <c r="L1132" s="7" t="str">
        <f aca="false">IF(OR(J1132="",K1132=""),"",IF(J1132=K1132,"Breach","OK"))</f>
        <v>OK</v>
      </c>
      <c r="M1132" s="24" t="n">
        <v>1</v>
      </c>
      <c r="N1132" s="50" t="n">
        <v>46138</v>
      </c>
      <c r="O1132" s="8" t="s">
        <v>547</v>
      </c>
      <c r="P1132" s="24" t="n">
        <v>1</v>
      </c>
      <c r="Q1132" s="31" t="n">
        <f aca="false">IF(I1132="N/A","",IFERROR(INDEX('Residual Config'!$B$35:$B$42,MATCH(H1132,'Residual Config'!$A$35:$A$42,0)),""))</f>
        <v>1</v>
      </c>
      <c r="R1132" s="24" t="n">
        <v>0</v>
      </c>
      <c r="S1132" s="8" t="s">
        <v>516</v>
      </c>
      <c r="T1132" s="31" t="n">
        <f aca="false">IF(S1132="","",MATCH(S1132,'Residual Config'!$L$9:$L$12,0))</f>
        <v>1</v>
      </c>
      <c r="U1132" s="8" t="s">
        <v>3556</v>
      </c>
      <c r="V1132" s="24" t="n">
        <v>5</v>
      </c>
      <c r="W1132" s="33" t="s">
        <v>533</v>
      </c>
      <c r="X1132" s="8" t="s">
        <v>760</v>
      </c>
      <c r="Y1132" s="51" t="n">
        <f aca="false">IF(N1132="","",EDATE(N1132,IF(G1132="N",INDEX('Residual Config'!$B$31:$D$31,1,MATCH(D1132,'Residual Config'!$B$27:$D$27,0)),INDEX('Residual Config'!$B$28:$D$30,IF(T1132=1,1,IF(T1132=4,3,2)),MATCH(D1132,'Residual Config'!$B$27:$D$27,0)))))</f>
        <v>46503</v>
      </c>
      <c r="Z1132" s="7" t="str">
        <f aca="false">IF(I1132="N/A","N/A",IF(N1132="","Not tested",IF(W1132="Rejected","Evidence rejected",IF(W1132&lt;&gt;"Accepted","Evidence pending",IF(Y1132&lt;'Residual Config'!$C$4,"Overdue","Current")))))</f>
        <v>Current</v>
      </c>
      <c r="AA1132" s="34" t="n">
        <f aca="false">IF(I1132="N/A","",IF(Z1132&lt;&gt;"Current",4,IF(MAX(M1132,T1132)=0,4,MAX(M1132,T1132))))</f>
        <v>1</v>
      </c>
      <c r="AB1132" s="7" t="str">
        <f aca="false">IF(AA1132="","N/A",IF(Z1132&lt;&gt;"Current","Not tested / overdue",INDEX('Residual Config'!$B$11:$B$14,AA1132)))</f>
        <v>Effective</v>
      </c>
      <c r="AC1132" s="36" t="n">
        <f aca="false">IF(AA1132="","",INDEX('Residual Config'!$D$11:$D$14,AA1132))</f>
        <v>0.6</v>
      </c>
      <c r="AD1132" s="7" t="str">
        <f aca="false">IF(OR(I1132="N/A",P1132="",Q1132=""),"",IF(P1132&gt;=Q1132,"Yes","No"))</f>
        <v>Yes</v>
      </c>
      <c r="AE1132" s="8"/>
    </row>
    <row r="1133" customFormat="false" ht="15" hidden="false" customHeight="false" outlineLevel="0" collapsed="false">
      <c r="A1133" s="12" t="s">
        <v>3557</v>
      </c>
      <c r="B1133" s="26" t="str">
        <f aca="false">Entities!$A$31</f>
        <v>SG</v>
      </c>
      <c r="C1133" s="12" t="str">
        <f aca="false">INDEX(Entities!$B$5:$B$34,MATCH(B1133,Entities!$A$5:$A$34,0))</f>
        <v>Arab Bank – Singapore</v>
      </c>
      <c r="D1133" s="7" t="str">
        <f aca="false">INDEX(Entities!$F$5:$F$34,MATCH(B1133,Entities!$A$5:$A$34,0))</f>
        <v>Tier 2</v>
      </c>
      <c r="E1133" s="26" t="str">
        <f aca="false">'Control Library'!$A$15</f>
        <v>CTL-SAN-03</v>
      </c>
      <c r="F1133" s="12" t="str">
        <f aca="false">INDEX('Control Library'!$B$5:$B$47,MATCH(E1133,'Control Library'!$A$5:$A$47,0))</f>
        <v>Sanctions list updates applied within 24 hours</v>
      </c>
      <c r="G1133" s="7" t="str">
        <f aca="false">INDEX('Control Library'!$F$5:$F$47,MATCH(E1133,'Control Library'!$A$5:$A$47,0))</f>
        <v>N</v>
      </c>
      <c r="H1133" s="12" t="str">
        <f aca="false">INDEX('Control Library'!$E$5:$E$47,MATCH(E1133,'Control Library'!$A$5:$A$47,0))</f>
        <v>Daily</v>
      </c>
      <c r="I1133" s="7" t="str">
        <f aca="false">IF(INDEX('Control Library'!$I$5:$I$47,MATCH(E1133,'Control Library'!$A$5:$A$47,0))="All","Y",IF(INDEX('Control Library'!$I$5:$I$47,MATCH(E1133,'Control Library'!$A$5:$A$47,0))="Banks only",IF(COUNTIF('Residual Config'!$L$28:$L$30,INDEX(Entities!$E$5:$E$34,MATCH(B1133,Entities!$A$5:$A$34,0)))&gt;0,"N/A","Y"),IF(INDEX(Entities!$G$5:$G$34,MATCH(B1133,Entities!$A$5:$A$34,0))="Y","Y","N/A")))</f>
        <v>Y</v>
      </c>
      <c r="J1133" s="8" t="s">
        <v>3558</v>
      </c>
      <c r="K1133" s="8" t="s">
        <v>3534</v>
      </c>
      <c r="L1133" s="7" t="str">
        <f aca="false">IF(OR(J1133="",K1133=""),"",IF(J1133=K1133,"Breach","OK"))</f>
        <v>OK</v>
      </c>
      <c r="M1133" s="24" t="n">
        <v>1</v>
      </c>
      <c r="N1133" s="50" t="n">
        <v>46040</v>
      </c>
      <c r="O1133" s="8" t="s">
        <v>545</v>
      </c>
      <c r="P1133" s="24" t="n">
        <v>35</v>
      </c>
      <c r="Q1133" s="31" t="n">
        <f aca="false">IF(I1133="N/A","",IFERROR(INDEX('Residual Config'!$B$35:$B$42,MATCH(H1133,'Residual Config'!$A$35:$A$42,0)),""))</f>
        <v>25</v>
      </c>
      <c r="R1133" s="24" t="n">
        <v>1</v>
      </c>
      <c r="S1133" s="8" t="s">
        <v>521</v>
      </c>
      <c r="T1133" s="31" t="n">
        <f aca="false">IF(S1133="","",MATCH(S1133,'Residual Config'!$L$9:$L$12,0))</f>
        <v>2</v>
      </c>
      <c r="U1133" s="8" t="s">
        <v>3559</v>
      </c>
      <c r="V1133" s="24" t="n">
        <v>4</v>
      </c>
      <c r="W1133" s="33" t="s">
        <v>533</v>
      </c>
      <c r="X1133" s="8" t="s">
        <v>754</v>
      </c>
      <c r="Y1133" s="51" t="n">
        <f aca="false">IF(N1133="","",EDATE(N1133,IF(G1133="N",INDEX('Residual Config'!$B$31:$D$31,1,MATCH(D1133,'Residual Config'!$B$27:$D$27,0)),INDEX('Residual Config'!$B$28:$D$30,IF(T1133=1,1,IF(T1133=4,3,2)),MATCH(D1133,'Residual Config'!$B$27:$D$27,0)))))</f>
        <v>46405</v>
      </c>
      <c r="Z1133" s="7" t="str">
        <f aca="false">IF(I1133="N/A","N/A",IF(N1133="","Not tested",IF(W1133="Rejected","Evidence rejected",IF(W1133&lt;&gt;"Accepted","Evidence pending",IF(Y1133&lt;'Residual Config'!$C$4,"Overdue","Current")))))</f>
        <v>Current</v>
      </c>
      <c r="AA1133" s="34" t="n">
        <f aca="false">IF(I1133="N/A","",IF(Z1133&lt;&gt;"Current",4,IF(MAX(M1133,T1133)=0,4,MAX(M1133,T1133))))</f>
        <v>2</v>
      </c>
      <c r="AB1133" s="7" t="str">
        <f aca="false">IF(AA1133="","N/A",IF(Z1133&lt;&gt;"Current","Not tested / overdue",INDEX('Residual Config'!$B$11:$B$14,AA1133)))</f>
        <v>Largely effective</v>
      </c>
      <c r="AC1133" s="36" t="n">
        <f aca="false">IF(AA1133="","",INDEX('Residual Config'!$D$11:$D$14,AA1133))</f>
        <v>0.4</v>
      </c>
      <c r="AD1133" s="7" t="str">
        <f aca="false">IF(OR(I1133="N/A",P1133="",Q1133=""),"",IF(P1133&gt;=Q1133,"Yes","No"))</f>
        <v>Yes</v>
      </c>
      <c r="AE1133" s="8"/>
    </row>
    <row r="1134" customFormat="false" ht="15" hidden="false" customHeight="false" outlineLevel="0" collapsed="false">
      <c r="A1134" s="12" t="s">
        <v>3560</v>
      </c>
      <c r="B1134" s="26" t="str">
        <f aca="false">Entities!$A$31</f>
        <v>SG</v>
      </c>
      <c r="C1134" s="12" t="str">
        <f aca="false">INDEX(Entities!$B$5:$B$34,MATCH(B1134,Entities!$A$5:$A$34,0))</f>
        <v>Arab Bank – Singapore</v>
      </c>
      <c r="D1134" s="7" t="str">
        <f aca="false">INDEX(Entities!$F$5:$F$34,MATCH(B1134,Entities!$A$5:$A$34,0))</f>
        <v>Tier 2</v>
      </c>
      <c r="E1134" s="26" t="str">
        <f aca="false">'Control Library'!$A$16</f>
        <v>CTL-TF-01</v>
      </c>
      <c r="F1134" s="12" t="str">
        <f aca="false">INDEX('Control Library'!$B$5:$B$47,MATCH(E1134,'Control Library'!$A$5:$A$47,0))</f>
        <v>NPO and charity enhanced due diligence</v>
      </c>
      <c r="G1134" s="7" t="str">
        <f aca="false">INDEX('Control Library'!$F$5:$F$47,MATCH(E1134,'Control Library'!$A$5:$A$47,0))</f>
        <v>N</v>
      </c>
      <c r="H1134" s="12" t="str">
        <f aca="false">INDEX('Control Library'!$E$5:$E$47,MATCH(E1134,'Control Library'!$A$5:$A$47,0))</f>
        <v>Event-driven</v>
      </c>
      <c r="I1134" s="7" t="str">
        <f aca="false">IF(INDEX('Control Library'!$I$5:$I$47,MATCH(E1134,'Control Library'!$A$5:$A$47,0))="All","Y",IF(INDEX('Control Library'!$I$5:$I$47,MATCH(E1134,'Control Library'!$A$5:$A$47,0))="Banks only",IF(COUNTIF('Residual Config'!$L$28:$L$30,INDEX(Entities!$E$5:$E$34,MATCH(B1134,Entities!$A$5:$A$34,0)))&gt;0,"N/A","Y"),IF(INDEX(Entities!$G$5:$G$34,MATCH(B1134,Entities!$A$5:$A$34,0))="Y","Y","N/A")))</f>
        <v>Y</v>
      </c>
      <c r="J1134" s="8" t="s">
        <v>3561</v>
      </c>
      <c r="K1134" s="8" t="s">
        <v>3534</v>
      </c>
      <c r="L1134" s="7" t="str">
        <f aca="false">IF(OR(J1134="",K1134=""),"",IF(J1134=K1134,"Breach","OK"))</f>
        <v>OK</v>
      </c>
      <c r="M1134" s="24" t="n">
        <v>1</v>
      </c>
      <c r="N1134" s="50" t="n">
        <v>46017</v>
      </c>
      <c r="O1134" s="8" t="s">
        <v>546</v>
      </c>
      <c r="P1134" s="24" t="n">
        <v>25</v>
      </c>
      <c r="Q1134" s="31" t="n">
        <f aca="false">IF(I1134="N/A","",IFERROR(INDEX('Residual Config'!$B$35:$B$42,MATCH(H1134,'Residual Config'!$A$35:$A$42,0)),""))</f>
        <v>25</v>
      </c>
      <c r="R1134" s="24" t="n">
        <v>0</v>
      </c>
      <c r="S1134" s="8" t="s">
        <v>516</v>
      </c>
      <c r="T1134" s="31" t="n">
        <f aca="false">IF(S1134="","",MATCH(S1134,'Residual Config'!$L$9:$L$12,0))</f>
        <v>1</v>
      </c>
      <c r="U1134" s="8" t="s">
        <v>3562</v>
      </c>
      <c r="V1134" s="24" t="n">
        <v>1</v>
      </c>
      <c r="W1134" s="33" t="s">
        <v>533</v>
      </c>
      <c r="X1134" s="8" t="s">
        <v>760</v>
      </c>
      <c r="Y1134" s="51" t="n">
        <f aca="false">IF(N1134="","",EDATE(N1134,IF(G1134="N",INDEX('Residual Config'!$B$31:$D$31,1,MATCH(D1134,'Residual Config'!$B$27:$D$27,0)),INDEX('Residual Config'!$B$28:$D$30,IF(T1134=1,1,IF(T1134=4,3,2)),MATCH(D1134,'Residual Config'!$B$27:$D$27,0)))))</f>
        <v>46382</v>
      </c>
      <c r="Z1134" s="7" t="str">
        <f aca="false">IF(I1134="N/A","N/A",IF(N1134="","Not tested",IF(W1134="Rejected","Evidence rejected",IF(W1134&lt;&gt;"Accepted","Evidence pending",IF(Y1134&lt;'Residual Config'!$C$4,"Overdue","Current")))))</f>
        <v>Current</v>
      </c>
      <c r="AA1134" s="34" t="n">
        <f aca="false">IF(I1134="N/A","",IF(Z1134&lt;&gt;"Current",4,IF(MAX(M1134,T1134)=0,4,MAX(M1134,T1134))))</f>
        <v>1</v>
      </c>
      <c r="AB1134" s="7" t="str">
        <f aca="false">IF(AA1134="","N/A",IF(Z1134&lt;&gt;"Current","Not tested / overdue",INDEX('Residual Config'!$B$11:$B$14,AA1134)))</f>
        <v>Effective</v>
      </c>
      <c r="AC1134" s="36" t="n">
        <f aca="false">IF(AA1134="","",INDEX('Residual Config'!$D$11:$D$14,AA1134))</f>
        <v>0.6</v>
      </c>
      <c r="AD1134" s="7" t="str">
        <f aca="false">IF(OR(I1134="N/A",P1134="",Q1134=""),"",IF(P1134&gt;=Q1134,"Yes","No"))</f>
        <v>Yes</v>
      </c>
      <c r="AE1134" s="8"/>
    </row>
    <row r="1135" customFormat="false" ht="15" hidden="false" customHeight="false" outlineLevel="0" collapsed="false">
      <c r="A1135" s="12" t="s">
        <v>3563</v>
      </c>
      <c r="B1135" s="26" t="str">
        <f aca="false">Entities!$A$31</f>
        <v>SG</v>
      </c>
      <c r="C1135" s="12" t="str">
        <f aca="false">INDEX(Entities!$B$5:$B$34,MATCH(B1135,Entities!$A$5:$A$34,0))</f>
        <v>Arab Bank – Singapore</v>
      </c>
      <c r="D1135" s="7" t="str">
        <f aca="false">INDEX(Entities!$F$5:$F$34,MATCH(B1135,Entities!$A$5:$A$34,0))</f>
        <v>Tier 2</v>
      </c>
      <c r="E1135" s="26" t="str">
        <f aca="false">'Control Library'!$A$17</f>
        <v>CTL-TBML-01</v>
      </c>
      <c r="F1135" s="12" t="str">
        <f aca="false">INDEX('Control Library'!$B$5:$B$47,MATCH(E1135,'Control Library'!$A$5:$A$47,0))</f>
        <v>Trade-based ML red-flag review and pricing checks</v>
      </c>
      <c r="G1135" s="7" t="str">
        <f aca="false">INDEX('Control Library'!$F$5:$F$47,MATCH(E1135,'Control Library'!$A$5:$A$47,0))</f>
        <v>Y</v>
      </c>
      <c r="H1135" s="12" t="str">
        <f aca="false">INDEX('Control Library'!$E$5:$E$47,MATCH(E1135,'Control Library'!$A$5:$A$47,0))</f>
        <v>Event-driven</v>
      </c>
      <c r="I1135" s="7" t="str">
        <f aca="false">IF(INDEX('Control Library'!$I$5:$I$47,MATCH(E1135,'Control Library'!$A$5:$A$47,0))="All","Y",IF(INDEX('Control Library'!$I$5:$I$47,MATCH(E1135,'Control Library'!$A$5:$A$47,0))="Banks only",IF(COUNTIF('Residual Config'!$L$28:$L$30,INDEX(Entities!$E$5:$E$34,MATCH(B1135,Entities!$A$5:$A$34,0)))&gt;0,"N/A","Y"),IF(INDEX(Entities!$G$5:$G$34,MATCH(B1135,Entities!$A$5:$A$34,0))="Y","Y","N/A")))</f>
        <v>Y</v>
      </c>
      <c r="J1135" s="8" t="s">
        <v>3564</v>
      </c>
      <c r="K1135" s="8" t="s">
        <v>3534</v>
      </c>
      <c r="L1135" s="7" t="str">
        <f aca="false">IF(OR(J1135="",K1135=""),"",IF(J1135=K1135,"Breach","OK"))</f>
        <v>OK</v>
      </c>
      <c r="M1135" s="24" t="n">
        <v>1</v>
      </c>
      <c r="N1135" s="50" t="n">
        <v>46267</v>
      </c>
      <c r="O1135" s="8" t="s">
        <v>546</v>
      </c>
      <c r="P1135" s="24" t="n">
        <v>25</v>
      </c>
      <c r="Q1135" s="31" t="n">
        <f aca="false">IF(I1135="N/A","",IFERROR(INDEX('Residual Config'!$B$35:$B$42,MATCH(H1135,'Residual Config'!$A$35:$A$42,0)),""))</f>
        <v>25</v>
      </c>
      <c r="R1135" s="24" t="n">
        <v>1</v>
      </c>
      <c r="S1135" s="8" t="s">
        <v>521</v>
      </c>
      <c r="T1135" s="31" t="n">
        <f aca="false">IF(S1135="","",MATCH(S1135,'Residual Config'!$L$9:$L$12,0))</f>
        <v>2</v>
      </c>
      <c r="U1135" s="8" t="s">
        <v>3565</v>
      </c>
      <c r="V1135" s="24" t="n">
        <v>5</v>
      </c>
      <c r="W1135" s="33" t="s">
        <v>533</v>
      </c>
      <c r="X1135" s="8" t="s">
        <v>754</v>
      </c>
      <c r="Y1135" s="51" t="n">
        <f aca="false">IF(N1135="","",EDATE(N1135,IF(G1135="N",INDEX('Residual Config'!$B$31:$D$31,1,MATCH(D1135,'Residual Config'!$B$27:$D$27,0)),INDEX('Residual Config'!$B$28:$D$30,IF(T1135=1,1,IF(T1135=4,3,2)),MATCH(D1135,'Residual Config'!$B$27:$D$27,0)))))</f>
        <v>46448</v>
      </c>
      <c r="Z1135" s="7" t="str">
        <f aca="false">IF(I1135="N/A","N/A",IF(N1135="","Not tested",IF(W1135="Rejected","Evidence rejected",IF(W1135&lt;&gt;"Accepted","Evidence pending",IF(Y1135&lt;'Residual Config'!$C$4,"Overdue","Current")))))</f>
        <v>Current</v>
      </c>
      <c r="AA1135" s="34" t="n">
        <f aca="false">IF(I1135="N/A","",IF(Z1135&lt;&gt;"Current",4,IF(MAX(M1135,T1135)=0,4,MAX(M1135,T1135))))</f>
        <v>2</v>
      </c>
      <c r="AB1135" s="7" t="str">
        <f aca="false">IF(AA1135="","N/A",IF(Z1135&lt;&gt;"Current","Not tested / overdue",INDEX('Residual Config'!$B$11:$B$14,AA1135)))</f>
        <v>Largely effective</v>
      </c>
      <c r="AC1135" s="36" t="n">
        <f aca="false">IF(AA1135="","",INDEX('Residual Config'!$D$11:$D$14,AA1135))</f>
        <v>0.4</v>
      </c>
      <c r="AD1135" s="7" t="str">
        <f aca="false">IF(OR(I1135="N/A",P1135="",Q1135=""),"",IF(P1135&gt;=Q1135,"Yes","No"))</f>
        <v>Yes</v>
      </c>
      <c r="AE1135" s="8"/>
    </row>
    <row r="1136" customFormat="false" ht="15" hidden="false" customHeight="false" outlineLevel="0" collapsed="false">
      <c r="A1136" s="12" t="s">
        <v>3566</v>
      </c>
      <c r="B1136" s="26" t="str">
        <f aca="false">Entities!$A$31</f>
        <v>SG</v>
      </c>
      <c r="C1136" s="12" t="str">
        <f aca="false">INDEX(Entities!$B$5:$B$34,MATCH(B1136,Entities!$A$5:$A$34,0))</f>
        <v>Arab Bank – Singapore</v>
      </c>
      <c r="D1136" s="7" t="str">
        <f aca="false">INDEX(Entities!$F$5:$F$34,MATCH(B1136,Entities!$A$5:$A$34,0))</f>
        <v>Tier 2</v>
      </c>
      <c r="E1136" s="26" t="str">
        <f aca="false">'Control Library'!$A$18</f>
        <v>CTL-PF-01</v>
      </c>
      <c r="F1136" s="12" t="str">
        <f aca="false">INDEX('Control Library'!$B$5:$B$47,MATCH(E1136,'Control Library'!$A$5:$A$47,0))</f>
        <v>Dual-use goods, vessel and port screening</v>
      </c>
      <c r="G1136" s="7" t="str">
        <f aca="false">INDEX('Control Library'!$F$5:$F$47,MATCH(E1136,'Control Library'!$A$5:$A$47,0))</f>
        <v>Y</v>
      </c>
      <c r="H1136" s="12" t="str">
        <f aca="false">INDEX('Control Library'!$E$5:$E$47,MATCH(E1136,'Control Library'!$A$5:$A$47,0))</f>
        <v>Event-driven</v>
      </c>
      <c r="I1136" s="7" t="str">
        <f aca="false">IF(INDEX('Control Library'!$I$5:$I$47,MATCH(E1136,'Control Library'!$A$5:$A$47,0))="All","Y",IF(INDEX('Control Library'!$I$5:$I$47,MATCH(E1136,'Control Library'!$A$5:$A$47,0))="Banks only",IF(COUNTIF('Residual Config'!$L$28:$L$30,INDEX(Entities!$E$5:$E$34,MATCH(B1136,Entities!$A$5:$A$34,0)))&gt;0,"N/A","Y"),IF(INDEX(Entities!$G$5:$G$34,MATCH(B1136,Entities!$A$5:$A$34,0))="Y","Y","N/A")))</f>
        <v>Y</v>
      </c>
      <c r="J1136" s="8" t="s">
        <v>3564</v>
      </c>
      <c r="K1136" s="8" t="s">
        <v>3534</v>
      </c>
      <c r="L1136" s="7" t="str">
        <f aca="false">IF(OR(J1136="",K1136=""),"",IF(J1136=K1136,"Breach","OK"))</f>
        <v>OK</v>
      </c>
      <c r="M1136" s="24" t="n">
        <v>2</v>
      </c>
      <c r="N1136" s="50" t="n">
        <v>46189</v>
      </c>
      <c r="O1136" s="8" t="s">
        <v>545</v>
      </c>
      <c r="P1136" s="24" t="n">
        <v>35</v>
      </c>
      <c r="Q1136" s="31" t="n">
        <f aca="false">IF(I1136="N/A","",IFERROR(INDEX('Residual Config'!$B$35:$B$42,MATCH(H1136,'Residual Config'!$A$35:$A$42,0)),""))</f>
        <v>25</v>
      </c>
      <c r="R1136" s="24" t="n">
        <v>1</v>
      </c>
      <c r="S1136" s="8" t="s">
        <v>521</v>
      </c>
      <c r="T1136" s="31" t="n">
        <f aca="false">IF(S1136="","",MATCH(S1136,'Residual Config'!$L$9:$L$12,0))</f>
        <v>2</v>
      </c>
      <c r="U1136" s="8" t="s">
        <v>3567</v>
      </c>
      <c r="V1136" s="24" t="n">
        <v>5</v>
      </c>
      <c r="W1136" s="33" t="s">
        <v>533</v>
      </c>
      <c r="X1136" s="8" t="s">
        <v>760</v>
      </c>
      <c r="Y1136" s="51" t="n">
        <f aca="false">IF(N1136="","",EDATE(N1136,IF(G1136="N",INDEX('Residual Config'!$B$31:$D$31,1,MATCH(D1136,'Residual Config'!$B$27:$D$27,0)),INDEX('Residual Config'!$B$28:$D$30,IF(T1136=1,1,IF(T1136=4,3,2)),MATCH(D1136,'Residual Config'!$B$27:$D$27,0)))))</f>
        <v>46372</v>
      </c>
      <c r="Z1136" s="7" t="str">
        <f aca="false">IF(I1136="N/A","N/A",IF(N1136="","Not tested",IF(W1136="Rejected","Evidence rejected",IF(W1136&lt;&gt;"Accepted","Evidence pending",IF(Y1136&lt;'Residual Config'!$C$4,"Overdue","Current")))))</f>
        <v>Current</v>
      </c>
      <c r="AA1136" s="34" t="n">
        <f aca="false">IF(I1136="N/A","",IF(Z1136&lt;&gt;"Current",4,IF(MAX(M1136,T1136)=0,4,MAX(M1136,T1136))))</f>
        <v>2</v>
      </c>
      <c r="AB1136" s="7" t="str">
        <f aca="false">IF(AA1136="","N/A",IF(Z1136&lt;&gt;"Current","Not tested / overdue",INDEX('Residual Config'!$B$11:$B$14,AA1136)))</f>
        <v>Largely effective</v>
      </c>
      <c r="AC1136" s="36" t="n">
        <f aca="false">IF(AA1136="","",INDEX('Residual Config'!$D$11:$D$14,AA1136))</f>
        <v>0.4</v>
      </c>
      <c r="AD1136" s="7" t="str">
        <f aca="false">IF(OR(I1136="N/A",P1136="",Q1136=""),"",IF(P1136&gt;=Q1136,"Yes","No"))</f>
        <v>Yes</v>
      </c>
      <c r="AE1136" s="8"/>
    </row>
    <row r="1137" customFormat="false" ht="15" hidden="false" customHeight="false" outlineLevel="0" collapsed="false">
      <c r="A1137" s="12" t="s">
        <v>3568</v>
      </c>
      <c r="B1137" s="26" t="str">
        <f aca="false">Entities!$A$31</f>
        <v>SG</v>
      </c>
      <c r="C1137" s="12" t="str">
        <f aca="false">INDEX(Entities!$B$5:$B$34,MATCH(B1137,Entities!$A$5:$A$34,0))</f>
        <v>Arab Bank – Singapore</v>
      </c>
      <c r="D1137" s="7" t="str">
        <f aca="false">INDEX(Entities!$F$5:$F$34,MATCH(B1137,Entities!$A$5:$A$34,0))</f>
        <v>Tier 2</v>
      </c>
      <c r="E1137" s="26" t="str">
        <f aca="false">'Control Library'!$A$19</f>
        <v>CTL-CB-01</v>
      </c>
      <c r="F1137" s="12" t="str">
        <f aca="false">INDEX('Control Library'!$B$5:$B$47,MATCH(E1137,'Control Library'!$A$5:$A$47,0))</f>
        <v>Correspondent bank due diligence (CBDDQ) and nesting detection</v>
      </c>
      <c r="G1137" s="7" t="str">
        <f aca="false">INDEX('Control Library'!$F$5:$F$47,MATCH(E1137,'Control Library'!$A$5:$A$47,0))</f>
        <v>Y</v>
      </c>
      <c r="H1137" s="12" t="str">
        <f aca="false">INDEX('Control Library'!$E$5:$E$47,MATCH(E1137,'Control Library'!$A$5:$A$47,0))</f>
        <v>Annual</v>
      </c>
      <c r="I1137" s="7" t="str">
        <f aca="false">IF(INDEX('Control Library'!$I$5:$I$47,MATCH(E1137,'Control Library'!$A$5:$A$47,0))="All","Y",IF(INDEX('Control Library'!$I$5:$I$47,MATCH(E1137,'Control Library'!$A$5:$A$47,0))="Banks only",IF(COUNTIF('Residual Config'!$L$28:$L$30,INDEX(Entities!$E$5:$E$34,MATCH(B1137,Entities!$A$5:$A$34,0)))&gt;0,"N/A","Y"),IF(INDEX(Entities!$G$5:$G$34,MATCH(B1137,Entities!$A$5:$A$34,0))="Y","Y","N/A")))</f>
        <v>Y</v>
      </c>
      <c r="J1137" s="8" t="s">
        <v>3569</v>
      </c>
      <c r="K1137" s="8" t="s">
        <v>3534</v>
      </c>
      <c r="L1137" s="7" t="str">
        <f aca="false">IF(OR(J1137="",K1137=""),"",IF(J1137=K1137,"Breach","OK"))</f>
        <v>OK</v>
      </c>
      <c r="M1137" s="24" t="n">
        <v>1</v>
      </c>
      <c r="N1137" s="50" t="n">
        <v>46068</v>
      </c>
      <c r="O1137" s="8" t="s">
        <v>545</v>
      </c>
      <c r="P1137" s="24" t="n">
        <v>1</v>
      </c>
      <c r="Q1137" s="31" t="n">
        <f aca="false">IF(I1137="N/A","",IFERROR(INDEX('Residual Config'!$B$35:$B$42,MATCH(H1137,'Residual Config'!$A$35:$A$42,0)),""))</f>
        <v>1</v>
      </c>
      <c r="R1137" s="24" t="n">
        <v>0</v>
      </c>
      <c r="S1137" s="8" t="s">
        <v>516</v>
      </c>
      <c r="T1137" s="31" t="n">
        <f aca="false">IF(S1137="","",MATCH(S1137,'Residual Config'!$L$9:$L$12,0))</f>
        <v>1</v>
      </c>
      <c r="U1137" s="8" t="s">
        <v>3570</v>
      </c>
      <c r="V1137" s="24" t="n">
        <v>6</v>
      </c>
      <c r="W1137" s="33" t="s">
        <v>533</v>
      </c>
      <c r="X1137" s="8" t="s">
        <v>754</v>
      </c>
      <c r="Y1137" s="51" t="n">
        <f aca="false">IF(N1137="","",EDATE(N1137,IF(G1137="N",INDEX('Residual Config'!$B$31:$D$31,1,MATCH(D1137,'Residual Config'!$B$27:$D$27,0)),INDEX('Residual Config'!$B$28:$D$30,IF(T1137=1,1,IF(T1137=4,3,2)),MATCH(D1137,'Residual Config'!$B$27:$D$27,0)))))</f>
        <v>46433</v>
      </c>
      <c r="Z1137" s="7" t="str">
        <f aca="false">IF(I1137="N/A","N/A",IF(N1137="","Not tested",IF(W1137="Rejected","Evidence rejected",IF(W1137&lt;&gt;"Accepted","Evidence pending",IF(Y1137&lt;'Residual Config'!$C$4,"Overdue","Current")))))</f>
        <v>Current</v>
      </c>
      <c r="AA1137" s="34" t="n">
        <f aca="false">IF(I1137="N/A","",IF(Z1137&lt;&gt;"Current",4,IF(MAX(M1137,T1137)=0,4,MAX(M1137,T1137))))</f>
        <v>1</v>
      </c>
      <c r="AB1137" s="7" t="str">
        <f aca="false">IF(AA1137="","N/A",IF(Z1137&lt;&gt;"Current","Not tested / overdue",INDEX('Residual Config'!$B$11:$B$14,AA1137)))</f>
        <v>Effective</v>
      </c>
      <c r="AC1137" s="36" t="n">
        <f aca="false">IF(AA1137="","",INDEX('Residual Config'!$D$11:$D$14,AA1137))</f>
        <v>0.6</v>
      </c>
      <c r="AD1137" s="7" t="str">
        <f aca="false">IF(OR(I1137="N/A",P1137="",Q1137=""),"",IF(P1137&gt;=Q1137,"Yes","No"))</f>
        <v>Yes</v>
      </c>
      <c r="AE1137" s="8"/>
    </row>
    <row r="1138" customFormat="false" ht="15" hidden="false" customHeight="false" outlineLevel="0" collapsed="false">
      <c r="A1138" s="12" t="s">
        <v>3571</v>
      </c>
      <c r="B1138" s="26" t="str">
        <f aca="false">Entities!$A$31</f>
        <v>SG</v>
      </c>
      <c r="C1138" s="12" t="str">
        <f aca="false">INDEX(Entities!$B$5:$B$34,MATCH(B1138,Entities!$A$5:$A$34,0))</f>
        <v>Arab Bank – Singapore</v>
      </c>
      <c r="D1138" s="7" t="str">
        <f aca="false">INDEX(Entities!$F$5:$F$34,MATCH(B1138,Entities!$A$5:$A$34,0))</f>
        <v>Tier 2</v>
      </c>
      <c r="E1138" s="26" t="str">
        <f aca="false">'Control Library'!$A$20</f>
        <v>CTL-PAY-01</v>
      </c>
      <c r="F1138" s="12" t="str">
        <f aca="false">INDEX('Control Library'!$B$5:$B$47,MATCH(E1138,'Control Library'!$A$5:$A$47,0))</f>
        <v>Payment transparency checks (FATF R.16)</v>
      </c>
      <c r="G1138" s="7" t="str">
        <f aca="false">INDEX('Control Library'!$F$5:$F$47,MATCH(E1138,'Control Library'!$A$5:$A$47,0))</f>
        <v>N</v>
      </c>
      <c r="H1138" s="12" t="str">
        <f aca="false">INDEX('Control Library'!$E$5:$E$47,MATCH(E1138,'Control Library'!$A$5:$A$47,0))</f>
        <v>Continuous</v>
      </c>
      <c r="I1138" s="7" t="str">
        <f aca="false">IF(INDEX('Control Library'!$I$5:$I$47,MATCH(E1138,'Control Library'!$A$5:$A$47,0))="All","Y",IF(INDEX('Control Library'!$I$5:$I$47,MATCH(E1138,'Control Library'!$A$5:$A$47,0))="Banks only",IF(COUNTIF('Residual Config'!$L$28:$L$30,INDEX(Entities!$E$5:$E$34,MATCH(B1138,Entities!$A$5:$A$34,0)))&gt;0,"N/A","Y"),IF(INDEX(Entities!$G$5:$G$34,MATCH(B1138,Entities!$A$5:$A$34,0))="Y","Y","N/A")))</f>
        <v>Y</v>
      </c>
      <c r="J1138" s="8" t="s">
        <v>3572</v>
      </c>
      <c r="K1138" s="8" t="s">
        <v>3534</v>
      </c>
      <c r="L1138" s="7" t="str">
        <f aca="false">IF(OR(J1138="",K1138=""),"",IF(J1138=K1138,"Breach","OK"))</f>
        <v>OK</v>
      </c>
      <c r="M1138" s="24" t="n">
        <v>1</v>
      </c>
      <c r="N1138" s="50" t="n">
        <v>46001</v>
      </c>
      <c r="O1138" s="8" t="s">
        <v>547</v>
      </c>
      <c r="P1138" s="24" t="n">
        <v>1</v>
      </c>
      <c r="Q1138" s="31" t="n">
        <f aca="false">IF(I1138="N/A","",IFERROR(INDEX('Residual Config'!$B$35:$B$42,MATCH(H1138,'Residual Config'!$A$35:$A$42,0)),""))</f>
        <v>1</v>
      </c>
      <c r="R1138" s="24" t="n">
        <v>0</v>
      </c>
      <c r="S1138" s="8" t="s">
        <v>516</v>
      </c>
      <c r="T1138" s="31" t="n">
        <f aca="false">IF(S1138="","",MATCH(S1138,'Residual Config'!$L$9:$L$12,0))</f>
        <v>1</v>
      </c>
      <c r="U1138" s="8" t="s">
        <v>3573</v>
      </c>
      <c r="V1138" s="24" t="n">
        <v>6</v>
      </c>
      <c r="W1138" s="33" t="s">
        <v>533</v>
      </c>
      <c r="X1138" s="8" t="s">
        <v>760</v>
      </c>
      <c r="Y1138" s="51" t="n">
        <f aca="false">IF(N1138="","",EDATE(N1138,IF(G1138="N",INDEX('Residual Config'!$B$31:$D$31,1,MATCH(D1138,'Residual Config'!$B$27:$D$27,0)),INDEX('Residual Config'!$B$28:$D$30,IF(T1138=1,1,IF(T1138=4,3,2)),MATCH(D1138,'Residual Config'!$B$27:$D$27,0)))))</f>
        <v>46366</v>
      </c>
      <c r="Z1138" s="7" t="str">
        <f aca="false">IF(I1138="N/A","N/A",IF(N1138="","Not tested",IF(W1138="Rejected","Evidence rejected",IF(W1138&lt;&gt;"Accepted","Evidence pending",IF(Y1138&lt;'Residual Config'!$C$4,"Overdue","Current")))))</f>
        <v>Current</v>
      </c>
      <c r="AA1138" s="34" t="n">
        <f aca="false">IF(I1138="N/A","",IF(Z1138&lt;&gt;"Current",4,IF(MAX(M1138,T1138)=0,4,MAX(M1138,T1138))))</f>
        <v>1</v>
      </c>
      <c r="AB1138" s="7" t="str">
        <f aca="false">IF(AA1138="","N/A",IF(Z1138&lt;&gt;"Current","Not tested / overdue",INDEX('Residual Config'!$B$11:$B$14,AA1138)))</f>
        <v>Effective</v>
      </c>
      <c r="AC1138" s="36" t="n">
        <f aca="false">IF(AA1138="","",INDEX('Residual Config'!$D$11:$D$14,AA1138))</f>
        <v>0.6</v>
      </c>
      <c r="AD1138" s="7" t="str">
        <f aca="false">IF(OR(I1138="N/A",P1138="",Q1138=""),"",IF(P1138&gt;=Q1138,"Yes","No"))</f>
        <v>Yes</v>
      </c>
      <c r="AE1138" s="8"/>
    </row>
    <row r="1139" customFormat="false" ht="15" hidden="false" customHeight="false" outlineLevel="0" collapsed="false">
      <c r="A1139" s="12" t="s">
        <v>3574</v>
      </c>
      <c r="B1139" s="26" t="str">
        <f aca="false">Entities!$A$31</f>
        <v>SG</v>
      </c>
      <c r="C1139" s="12" t="str">
        <f aca="false">INDEX(Entities!$B$5:$B$34,MATCH(B1139,Entities!$A$5:$A$34,0))</f>
        <v>Arab Bank – Singapore</v>
      </c>
      <c r="D1139" s="7" t="str">
        <f aca="false">INDEX(Entities!$F$5:$F$34,MATCH(B1139,Entities!$A$5:$A$34,0))</f>
        <v>Tier 2</v>
      </c>
      <c r="E1139" s="26" t="str">
        <f aca="false">'Control Library'!$A$21</f>
        <v>CTL-ABC-01</v>
      </c>
      <c r="F1139" s="12" t="str">
        <f aca="false">INDEX('Control Library'!$B$5:$B$47,MATCH(E1139,'Control Library'!$A$5:$A$47,0))</f>
        <v>Third-party and intermediary anti-bribery due diligence</v>
      </c>
      <c r="G1139" s="7" t="str">
        <f aca="false">INDEX('Control Library'!$F$5:$F$47,MATCH(E1139,'Control Library'!$A$5:$A$47,0))</f>
        <v>Y</v>
      </c>
      <c r="H1139" s="12" t="str">
        <f aca="false">INDEX('Control Library'!$E$5:$E$47,MATCH(E1139,'Control Library'!$A$5:$A$47,0))</f>
        <v>Event-driven</v>
      </c>
      <c r="I1139" s="7" t="str">
        <f aca="false">IF(INDEX('Control Library'!$I$5:$I$47,MATCH(E1139,'Control Library'!$A$5:$A$47,0))="All","Y",IF(INDEX('Control Library'!$I$5:$I$47,MATCH(E1139,'Control Library'!$A$5:$A$47,0))="Banks only",IF(COUNTIF('Residual Config'!$L$28:$L$30,INDEX(Entities!$E$5:$E$34,MATCH(B1139,Entities!$A$5:$A$34,0)))&gt;0,"N/A","Y"),IF(INDEX(Entities!$G$5:$G$34,MATCH(B1139,Entities!$A$5:$A$34,0))="Y","Y","N/A")))</f>
        <v>Y</v>
      </c>
      <c r="J1139" s="8" t="s">
        <v>3575</v>
      </c>
      <c r="K1139" s="8" t="s">
        <v>3534</v>
      </c>
      <c r="L1139" s="7" t="str">
        <f aca="false">IF(OR(J1139="",K1139=""),"",IF(J1139=K1139,"Breach","OK"))</f>
        <v>OK</v>
      </c>
      <c r="M1139" s="24" t="n">
        <v>2</v>
      </c>
      <c r="N1139" s="50" t="n">
        <v>46263</v>
      </c>
      <c r="O1139" s="8" t="s">
        <v>546</v>
      </c>
      <c r="P1139" s="24" t="n">
        <v>25</v>
      </c>
      <c r="Q1139" s="31" t="n">
        <f aca="false">IF(I1139="N/A","",IFERROR(INDEX('Residual Config'!$B$35:$B$42,MATCH(H1139,'Residual Config'!$A$35:$A$42,0)),""))</f>
        <v>25</v>
      </c>
      <c r="R1139" s="24" t="n">
        <v>1</v>
      </c>
      <c r="S1139" s="8" t="s">
        <v>521</v>
      </c>
      <c r="T1139" s="31" t="n">
        <f aca="false">IF(S1139="","",MATCH(S1139,'Residual Config'!$L$9:$L$12,0))</f>
        <v>2</v>
      </c>
      <c r="U1139" s="8" t="s">
        <v>3576</v>
      </c>
      <c r="V1139" s="24" t="n">
        <v>1</v>
      </c>
      <c r="W1139" s="33" t="s">
        <v>533</v>
      </c>
      <c r="X1139" s="8" t="s">
        <v>760</v>
      </c>
      <c r="Y1139" s="51" t="n">
        <f aca="false">IF(N1139="","",EDATE(N1139,IF(G1139="N",INDEX('Residual Config'!$B$31:$D$31,1,MATCH(D1139,'Residual Config'!$B$27:$D$27,0)),INDEX('Residual Config'!$B$28:$D$30,IF(T1139=1,1,IF(T1139=4,3,2)),MATCH(D1139,'Residual Config'!$B$27:$D$27,0)))))</f>
        <v>46446</v>
      </c>
      <c r="Z1139" s="7" t="str">
        <f aca="false">IF(I1139="N/A","N/A",IF(N1139="","Not tested",IF(W1139="Rejected","Evidence rejected",IF(W1139&lt;&gt;"Accepted","Evidence pending",IF(Y1139&lt;'Residual Config'!$C$4,"Overdue","Current")))))</f>
        <v>Current</v>
      </c>
      <c r="AA1139" s="34" t="n">
        <f aca="false">IF(I1139="N/A","",IF(Z1139&lt;&gt;"Current",4,IF(MAX(M1139,T1139)=0,4,MAX(M1139,T1139))))</f>
        <v>2</v>
      </c>
      <c r="AB1139" s="7" t="str">
        <f aca="false">IF(AA1139="","N/A",IF(Z1139&lt;&gt;"Current","Not tested / overdue",INDEX('Residual Config'!$B$11:$B$14,AA1139)))</f>
        <v>Largely effective</v>
      </c>
      <c r="AC1139" s="36" t="n">
        <f aca="false">IF(AA1139="","",INDEX('Residual Config'!$D$11:$D$14,AA1139))</f>
        <v>0.4</v>
      </c>
      <c r="AD1139" s="7" t="str">
        <f aca="false">IF(OR(I1139="N/A",P1139="",Q1139=""),"",IF(P1139&gt;=Q1139,"Yes","No"))</f>
        <v>Yes</v>
      </c>
      <c r="AE1139" s="8"/>
    </row>
    <row r="1140" customFormat="false" ht="15" hidden="false" customHeight="false" outlineLevel="0" collapsed="false">
      <c r="A1140" s="12" t="s">
        <v>3577</v>
      </c>
      <c r="B1140" s="26" t="str">
        <f aca="false">Entities!$A$31</f>
        <v>SG</v>
      </c>
      <c r="C1140" s="12" t="str">
        <f aca="false">INDEX(Entities!$B$5:$B$34,MATCH(B1140,Entities!$A$5:$A$34,0))</f>
        <v>Arab Bank – Singapore</v>
      </c>
      <c r="D1140" s="7" t="str">
        <f aca="false">INDEX(Entities!$F$5:$F$34,MATCH(B1140,Entities!$A$5:$A$34,0))</f>
        <v>Tier 2</v>
      </c>
      <c r="E1140" s="26" t="str">
        <f aca="false">'Control Library'!$A$22</f>
        <v>CTL-ABC-02</v>
      </c>
      <c r="F1140" s="12" t="str">
        <f aca="false">INDEX('Control Library'!$B$5:$B$47,MATCH(E1140,'Control Library'!$A$5:$A$47,0))</f>
        <v>Gifts, hospitality and donations register with pre-approval</v>
      </c>
      <c r="G1140" s="7" t="str">
        <f aca="false">INDEX('Control Library'!$F$5:$F$47,MATCH(E1140,'Control Library'!$A$5:$A$47,0))</f>
        <v>N</v>
      </c>
      <c r="H1140" s="12" t="str">
        <f aca="false">INDEX('Control Library'!$E$5:$E$47,MATCH(E1140,'Control Library'!$A$5:$A$47,0))</f>
        <v>Event-driven</v>
      </c>
      <c r="I1140" s="7" t="str">
        <f aca="false">IF(INDEX('Control Library'!$I$5:$I$47,MATCH(E1140,'Control Library'!$A$5:$A$47,0))="All","Y",IF(INDEX('Control Library'!$I$5:$I$47,MATCH(E1140,'Control Library'!$A$5:$A$47,0))="Banks only",IF(COUNTIF('Residual Config'!$L$28:$L$30,INDEX(Entities!$E$5:$E$34,MATCH(B1140,Entities!$A$5:$A$34,0)))&gt;0,"N/A","Y"),IF(INDEX(Entities!$G$5:$G$34,MATCH(B1140,Entities!$A$5:$A$34,0))="Y","Y","N/A")))</f>
        <v>Y</v>
      </c>
      <c r="J1140" s="8" t="s">
        <v>3537</v>
      </c>
      <c r="K1140" s="8" t="s">
        <v>3534</v>
      </c>
      <c r="L1140" s="7" t="str">
        <f aca="false">IF(OR(J1140="",K1140=""),"",IF(J1140=K1140,"Breach","OK"))</f>
        <v>OK</v>
      </c>
      <c r="M1140" s="24" t="n">
        <v>1</v>
      </c>
      <c r="N1140" s="50" t="n">
        <v>46159</v>
      </c>
      <c r="O1140" s="8" t="s">
        <v>545</v>
      </c>
      <c r="P1140" s="24" t="n">
        <v>30</v>
      </c>
      <c r="Q1140" s="31" t="n">
        <f aca="false">IF(I1140="N/A","",IFERROR(INDEX('Residual Config'!$B$35:$B$42,MATCH(H1140,'Residual Config'!$A$35:$A$42,0)),""))</f>
        <v>25</v>
      </c>
      <c r="R1140" s="24" t="n">
        <v>0</v>
      </c>
      <c r="S1140" s="8" t="s">
        <v>516</v>
      </c>
      <c r="T1140" s="31" t="n">
        <f aca="false">IF(S1140="","",MATCH(S1140,'Residual Config'!$L$9:$L$12,0))</f>
        <v>1</v>
      </c>
      <c r="U1140" s="8" t="s">
        <v>3578</v>
      </c>
      <c r="V1140" s="24" t="n">
        <v>4</v>
      </c>
      <c r="W1140" s="33" t="s">
        <v>533</v>
      </c>
      <c r="X1140" s="8" t="s">
        <v>760</v>
      </c>
      <c r="Y1140" s="51" t="n">
        <f aca="false">IF(N1140="","",EDATE(N1140,IF(G1140="N",INDEX('Residual Config'!$B$31:$D$31,1,MATCH(D1140,'Residual Config'!$B$27:$D$27,0)),INDEX('Residual Config'!$B$28:$D$30,IF(T1140=1,1,IF(T1140=4,3,2)),MATCH(D1140,'Residual Config'!$B$27:$D$27,0)))))</f>
        <v>46524</v>
      </c>
      <c r="Z1140" s="7" t="str">
        <f aca="false">IF(I1140="N/A","N/A",IF(N1140="","Not tested",IF(W1140="Rejected","Evidence rejected",IF(W1140&lt;&gt;"Accepted","Evidence pending",IF(Y1140&lt;'Residual Config'!$C$4,"Overdue","Current")))))</f>
        <v>Current</v>
      </c>
      <c r="AA1140" s="34" t="n">
        <f aca="false">IF(I1140="N/A","",IF(Z1140&lt;&gt;"Current",4,IF(MAX(M1140,T1140)=0,4,MAX(M1140,T1140))))</f>
        <v>1</v>
      </c>
      <c r="AB1140" s="7" t="str">
        <f aca="false">IF(AA1140="","N/A",IF(Z1140&lt;&gt;"Current","Not tested / overdue",INDEX('Residual Config'!$B$11:$B$14,AA1140)))</f>
        <v>Effective</v>
      </c>
      <c r="AC1140" s="36" t="n">
        <f aca="false">IF(AA1140="","",INDEX('Residual Config'!$D$11:$D$14,AA1140))</f>
        <v>0.6</v>
      </c>
      <c r="AD1140" s="7" t="str">
        <f aca="false">IF(OR(I1140="N/A",P1140="",Q1140=""),"",IF(P1140&gt;=Q1140,"Yes","No"))</f>
        <v>Yes</v>
      </c>
      <c r="AE1140" s="8"/>
    </row>
    <row r="1141" customFormat="false" ht="15" hidden="false" customHeight="false" outlineLevel="0" collapsed="false">
      <c r="A1141" s="12" t="s">
        <v>3579</v>
      </c>
      <c r="B1141" s="26" t="str">
        <f aca="false">Entities!$A$31</f>
        <v>SG</v>
      </c>
      <c r="C1141" s="12" t="str">
        <f aca="false">INDEX(Entities!$B$5:$B$34,MATCH(B1141,Entities!$A$5:$A$34,0))</f>
        <v>Arab Bank – Singapore</v>
      </c>
      <c r="D1141" s="7" t="str">
        <f aca="false">INDEX(Entities!$F$5:$F$34,MATCH(B1141,Entities!$A$5:$A$34,0))</f>
        <v>Tier 2</v>
      </c>
      <c r="E1141" s="26" t="str">
        <f aca="false">'Control Library'!$A$23</f>
        <v>CTL-FRD-01</v>
      </c>
      <c r="F1141" s="12" t="str">
        <f aca="false">INDEX('Control Library'!$B$5:$B$47,MATCH(E1141,'Control Library'!$A$5:$A$47,0))</f>
        <v>Real-time fraud monitoring for cards and digital channels</v>
      </c>
      <c r="G1141" s="7" t="str">
        <f aca="false">INDEX('Control Library'!$F$5:$F$47,MATCH(E1141,'Control Library'!$A$5:$A$47,0))</f>
        <v>Y</v>
      </c>
      <c r="H1141" s="12" t="str">
        <f aca="false">INDEX('Control Library'!$E$5:$E$47,MATCH(E1141,'Control Library'!$A$5:$A$47,0))</f>
        <v>Continuous</v>
      </c>
      <c r="I1141" s="7" t="str">
        <f aca="false">IF(INDEX('Control Library'!$I$5:$I$47,MATCH(E1141,'Control Library'!$A$5:$A$47,0))="All","Y",IF(INDEX('Control Library'!$I$5:$I$47,MATCH(E1141,'Control Library'!$A$5:$A$47,0))="Banks only",IF(COUNTIF('Residual Config'!$L$28:$L$30,INDEX(Entities!$E$5:$E$34,MATCH(B1141,Entities!$A$5:$A$34,0)))&gt;0,"N/A","Y"),IF(INDEX(Entities!$G$5:$G$34,MATCH(B1141,Entities!$A$5:$A$34,0))="Y","Y","N/A")))</f>
        <v>Y</v>
      </c>
      <c r="J1141" s="8" t="s">
        <v>3580</v>
      </c>
      <c r="K1141" s="8" t="s">
        <v>3534</v>
      </c>
      <c r="L1141" s="7" t="str">
        <f aca="false">IF(OR(J1141="",K1141=""),"",IF(J1141=K1141,"Breach","OK"))</f>
        <v>OK</v>
      </c>
      <c r="M1141" s="24" t="n">
        <v>1</v>
      </c>
      <c r="N1141" s="50" t="n">
        <v>46042</v>
      </c>
      <c r="O1141" s="8" t="s">
        <v>546</v>
      </c>
      <c r="P1141" s="24" t="n">
        <v>1</v>
      </c>
      <c r="Q1141" s="31" t="n">
        <f aca="false">IF(I1141="N/A","",IFERROR(INDEX('Residual Config'!$B$35:$B$42,MATCH(H1141,'Residual Config'!$A$35:$A$42,0)),""))</f>
        <v>1</v>
      </c>
      <c r="R1141" s="24" t="n">
        <v>0</v>
      </c>
      <c r="S1141" s="8" t="s">
        <v>516</v>
      </c>
      <c r="T1141" s="31" t="n">
        <f aca="false">IF(S1141="","",MATCH(S1141,'Residual Config'!$L$9:$L$12,0))</f>
        <v>1</v>
      </c>
      <c r="U1141" s="8" t="s">
        <v>3581</v>
      </c>
      <c r="V1141" s="24" t="n">
        <v>4</v>
      </c>
      <c r="W1141" s="33" t="s">
        <v>533</v>
      </c>
      <c r="X1141" s="8" t="s">
        <v>754</v>
      </c>
      <c r="Y1141" s="51" t="n">
        <f aca="false">IF(N1141="","",EDATE(N1141,IF(G1141="N",INDEX('Residual Config'!$B$31:$D$31,1,MATCH(D1141,'Residual Config'!$B$27:$D$27,0)),INDEX('Residual Config'!$B$28:$D$30,IF(T1141=1,1,IF(T1141=4,3,2)),MATCH(D1141,'Residual Config'!$B$27:$D$27,0)))))</f>
        <v>46407</v>
      </c>
      <c r="Z1141" s="7" t="str">
        <f aca="false">IF(I1141="N/A","N/A",IF(N1141="","Not tested",IF(W1141="Rejected","Evidence rejected",IF(W1141&lt;&gt;"Accepted","Evidence pending",IF(Y1141&lt;'Residual Config'!$C$4,"Overdue","Current")))))</f>
        <v>Current</v>
      </c>
      <c r="AA1141" s="34" t="n">
        <f aca="false">IF(I1141="N/A","",IF(Z1141&lt;&gt;"Current",4,IF(MAX(M1141,T1141)=0,4,MAX(M1141,T1141))))</f>
        <v>1</v>
      </c>
      <c r="AB1141" s="7" t="str">
        <f aca="false">IF(AA1141="","N/A",IF(Z1141&lt;&gt;"Current","Not tested / overdue",INDEX('Residual Config'!$B$11:$B$14,AA1141)))</f>
        <v>Effective</v>
      </c>
      <c r="AC1141" s="36" t="n">
        <f aca="false">IF(AA1141="","",INDEX('Residual Config'!$D$11:$D$14,AA1141))</f>
        <v>0.6</v>
      </c>
      <c r="AD1141" s="7" t="str">
        <f aca="false">IF(OR(I1141="N/A",P1141="",Q1141=""),"",IF(P1141&gt;=Q1141,"Yes","No"))</f>
        <v>Yes</v>
      </c>
      <c r="AE1141" s="8"/>
    </row>
    <row r="1142" customFormat="false" ht="15" hidden="false" customHeight="false" outlineLevel="0" collapsed="false">
      <c r="A1142" s="12" t="s">
        <v>3582</v>
      </c>
      <c r="B1142" s="26" t="str">
        <f aca="false">Entities!$A$31</f>
        <v>SG</v>
      </c>
      <c r="C1142" s="12" t="str">
        <f aca="false">INDEX(Entities!$B$5:$B$34,MATCH(B1142,Entities!$A$5:$A$34,0))</f>
        <v>Arab Bank – Singapore</v>
      </c>
      <c r="D1142" s="7" t="str">
        <f aca="false">INDEX(Entities!$F$5:$F$34,MATCH(B1142,Entities!$A$5:$A$34,0))</f>
        <v>Tier 2</v>
      </c>
      <c r="E1142" s="26" t="str">
        <f aca="false">'Control Library'!$A$24</f>
        <v>CTL-FRD-02</v>
      </c>
      <c r="F1142" s="12" t="str">
        <f aca="false">INDEX('Control Library'!$B$5:$B$47,MATCH(E1142,'Control Library'!$A$5:$A$47,0))</f>
        <v>Maker-checker and dual control on payments and static data</v>
      </c>
      <c r="G1142" s="7" t="str">
        <f aca="false">INDEX('Control Library'!$F$5:$F$47,MATCH(E1142,'Control Library'!$A$5:$A$47,0))</f>
        <v>Y</v>
      </c>
      <c r="H1142" s="12" t="str">
        <f aca="false">INDEX('Control Library'!$E$5:$E$47,MATCH(E1142,'Control Library'!$A$5:$A$47,0))</f>
        <v>Daily</v>
      </c>
      <c r="I1142" s="7" t="str">
        <f aca="false">IF(INDEX('Control Library'!$I$5:$I$47,MATCH(E1142,'Control Library'!$A$5:$A$47,0))="All","Y",IF(INDEX('Control Library'!$I$5:$I$47,MATCH(E1142,'Control Library'!$A$5:$A$47,0))="Banks only",IF(COUNTIF('Residual Config'!$L$28:$L$30,INDEX(Entities!$E$5:$E$34,MATCH(B1142,Entities!$A$5:$A$34,0)))&gt;0,"N/A","Y"),IF(INDEX(Entities!$G$5:$G$34,MATCH(B1142,Entities!$A$5:$A$34,0))="Y","Y","N/A")))</f>
        <v>Y</v>
      </c>
      <c r="J1142" s="8" t="s">
        <v>3533</v>
      </c>
      <c r="K1142" s="8" t="s">
        <v>3534</v>
      </c>
      <c r="L1142" s="7" t="str">
        <f aca="false">IF(OR(J1142="",K1142=""),"",IF(J1142=K1142,"Breach","OK"))</f>
        <v>OK</v>
      </c>
      <c r="M1142" s="24" t="n">
        <v>1</v>
      </c>
      <c r="N1142" s="50" t="n">
        <v>46156</v>
      </c>
      <c r="O1142" s="8" t="s">
        <v>546</v>
      </c>
      <c r="P1142" s="24" t="n">
        <v>25</v>
      </c>
      <c r="Q1142" s="31" t="n">
        <f aca="false">IF(I1142="N/A","",IFERROR(INDEX('Residual Config'!$B$35:$B$42,MATCH(H1142,'Residual Config'!$A$35:$A$42,0)),""))</f>
        <v>25</v>
      </c>
      <c r="R1142" s="24" t="n">
        <v>1</v>
      </c>
      <c r="S1142" s="8" t="s">
        <v>521</v>
      </c>
      <c r="T1142" s="31" t="n">
        <f aca="false">IF(S1142="","",MATCH(S1142,'Residual Config'!$L$9:$L$12,0))</f>
        <v>2</v>
      </c>
      <c r="U1142" s="8" t="s">
        <v>3583</v>
      </c>
      <c r="V1142" s="24" t="n">
        <v>3</v>
      </c>
      <c r="W1142" s="33" t="s">
        <v>533</v>
      </c>
      <c r="X1142" s="8" t="s">
        <v>754</v>
      </c>
      <c r="Y1142" s="51" t="n">
        <f aca="false">IF(N1142="","",EDATE(N1142,IF(G1142="N",INDEX('Residual Config'!$B$31:$D$31,1,MATCH(D1142,'Residual Config'!$B$27:$D$27,0)),INDEX('Residual Config'!$B$28:$D$30,IF(T1142=1,1,IF(T1142=4,3,2)),MATCH(D1142,'Residual Config'!$B$27:$D$27,0)))))</f>
        <v>46340</v>
      </c>
      <c r="Z1142" s="7" t="str">
        <f aca="false">IF(I1142="N/A","N/A",IF(N1142="","Not tested",IF(W1142="Rejected","Evidence rejected",IF(W1142&lt;&gt;"Accepted","Evidence pending",IF(Y1142&lt;'Residual Config'!$C$4,"Overdue","Current")))))</f>
        <v>Current</v>
      </c>
      <c r="AA1142" s="34" t="n">
        <f aca="false">IF(I1142="N/A","",IF(Z1142&lt;&gt;"Current",4,IF(MAX(M1142,T1142)=0,4,MAX(M1142,T1142))))</f>
        <v>2</v>
      </c>
      <c r="AB1142" s="7" t="str">
        <f aca="false">IF(AA1142="","N/A",IF(Z1142&lt;&gt;"Current","Not tested / overdue",INDEX('Residual Config'!$B$11:$B$14,AA1142)))</f>
        <v>Largely effective</v>
      </c>
      <c r="AC1142" s="36" t="n">
        <f aca="false">IF(AA1142="","",INDEX('Residual Config'!$D$11:$D$14,AA1142))</f>
        <v>0.4</v>
      </c>
      <c r="AD1142" s="7" t="str">
        <f aca="false">IF(OR(I1142="N/A",P1142="",Q1142=""),"",IF(P1142&gt;=Q1142,"Yes","No"))</f>
        <v>Yes</v>
      </c>
      <c r="AE1142" s="8"/>
    </row>
    <row r="1143" customFormat="false" ht="15" hidden="false" customHeight="false" outlineLevel="0" collapsed="false">
      <c r="A1143" s="12" t="s">
        <v>3584</v>
      </c>
      <c r="B1143" s="26" t="str">
        <f aca="false">Entities!$A$31</f>
        <v>SG</v>
      </c>
      <c r="C1143" s="12" t="str">
        <f aca="false">INDEX(Entities!$B$5:$B$34,MATCH(B1143,Entities!$A$5:$A$34,0))</f>
        <v>Arab Bank – Singapore</v>
      </c>
      <c r="D1143" s="7" t="str">
        <f aca="false">INDEX(Entities!$F$5:$F$34,MATCH(B1143,Entities!$A$5:$A$34,0))</f>
        <v>Tier 2</v>
      </c>
      <c r="E1143" s="26" t="str">
        <f aca="false">'Control Library'!$A$25</f>
        <v>CTL-FRD-03</v>
      </c>
      <c r="F1143" s="12" t="str">
        <f aca="false">INDEX('Control Library'!$B$5:$B$47,MATCH(E1143,'Control Library'!$A$5:$A$47,0))</f>
        <v>Mandatory consecutive leave and rotation for sensitive roles</v>
      </c>
      <c r="G1143" s="7" t="str">
        <f aca="false">INDEX('Control Library'!$F$5:$F$47,MATCH(E1143,'Control Library'!$A$5:$A$47,0))</f>
        <v>N</v>
      </c>
      <c r="H1143" s="12" t="str">
        <f aca="false">INDEX('Control Library'!$E$5:$E$47,MATCH(E1143,'Control Library'!$A$5:$A$47,0))</f>
        <v>Annual</v>
      </c>
      <c r="I1143" s="7" t="str">
        <f aca="false">IF(INDEX('Control Library'!$I$5:$I$47,MATCH(E1143,'Control Library'!$A$5:$A$47,0))="All","Y",IF(INDEX('Control Library'!$I$5:$I$47,MATCH(E1143,'Control Library'!$A$5:$A$47,0))="Banks only",IF(COUNTIF('Residual Config'!$L$28:$L$30,INDEX(Entities!$E$5:$E$34,MATCH(B1143,Entities!$A$5:$A$34,0)))&gt;0,"N/A","Y"),IF(INDEX(Entities!$G$5:$G$34,MATCH(B1143,Entities!$A$5:$A$34,0))="Y","Y","N/A")))</f>
        <v>Y</v>
      </c>
      <c r="J1143" s="8" t="s">
        <v>3585</v>
      </c>
      <c r="K1143" s="8" t="s">
        <v>3534</v>
      </c>
      <c r="L1143" s="7" t="str">
        <f aca="false">IF(OR(J1143="",K1143=""),"",IF(J1143=K1143,"Breach","OK"))</f>
        <v>OK</v>
      </c>
      <c r="M1143" s="24" t="n">
        <v>1</v>
      </c>
      <c r="N1143" s="50" t="n">
        <v>46208</v>
      </c>
      <c r="O1143" s="8" t="s">
        <v>546</v>
      </c>
      <c r="P1143" s="24" t="n">
        <v>1</v>
      </c>
      <c r="Q1143" s="31" t="n">
        <f aca="false">IF(I1143="N/A","",IFERROR(INDEX('Residual Config'!$B$35:$B$42,MATCH(H1143,'Residual Config'!$A$35:$A$42,0)),""))</f>
        <v>1</v>
      </c>
      <c r="R1143" s="24" t="n">
        <v>0</v>
      </c>
      <c r="S1143" s="8" t="s">
        <v>516</v>
      </c>
      <c r="T1143" s="31" t="n">
        <f aca="false">IF(S1143="","",MATCH(S1143,'Residual Config'!$L$9:$L$12,0))</f>
        <v>1</v>
      </c>
      <c r="U1143" s="8" t="s">
        <v>3586</v>
      </c>
      <c r="V1143" s="24" t="n">
        <v>3</v>
      </c>
      <c r="W1143" s="33" t="s">
        <v>533</v>
      </c>
      <c r="X1143" s="8" t="s">
        <v>754</v>
      </c>
      <c r="Y1143" s="51" t="n">
        <f aca="false">IF(N1143="","",EDATE(N1143,IF(G1143="N",INDEX('Residual Config'!$B$31:$D$31,1,MATCH(D1143,'Residual Config'!$B$27:$D$27,0)),INDEX('Residual Config'!$B$28:$D$30,IF(T1143=1,1,IF(T1143=4,3,2)),MATCH(D1143,'Residual Config'!$B$27:$D$27,0)))))</f>
        <v>46573</v>
      </c>
      <c r="Z1143" s="7" t="str">
        <f aca="false">IF(I1143="N/A","N/A",IF(N1143="","Not tested",IF(W1143="Rejected","Evidence rejected",IF(W1143&lt;&gt;"Accepted","Evidence pending",IF(Y1143&lt;'Residual Config'!$C$4,"Overdue","Current")))))</f>
        <v>Current</v>
      </c>
      <c r="AA1143" s="34" t="n">
        <f aca="false">IF(I1143="N/A","",IF(Z1143&lt;&gt;"Current",4,IF(MAX(M1143,T1143)=0,4,MAX(M1143,T1143))))</f>
        <v>1</v>
      </c>
      <c r="AB1143" s="7" t="str">
        <f aca="false">IF(AA1143="","N/A",IF(Z1143&lt;&gt;"Current","Not tested / overdue",INDEX('Residual Config'!$B$11:$B$14,AA1143)))</f>
        <v>Effective</v>
      </c>
      <c r="AC1143" s="36" t="n">
        <f aca="false">IF(AA1143="","",INDEX('Residual Config'!$D$11:$D$14,AA1143))</f>
        <v>0.6</v>
      </c>
      <c r="AD1143" s="7" t="str">
        <f aca="false">IF(OR(I1143="N/A",P1143="",Q1143=""),"",IF(P1143&gt;=Q1143,"Yes","No"))</f>
        <v>Yes</v>
      </c>
      <c r="AE1143" s="8"/>
    </row>
    <row r="1144" customFormat="false" ht="15" hidden="false" customHeight="false" outlineLevel="0" collapsed="false">
      <c r="A1144" s="12" t="s">
        <v>3587</v>
      </c>
      <c r="B1144" s="26" t="str">
        <f aca="false">Entities!$A$31</f>
        <v>SG</v>
      </c>
      <c r="C1144" s="12" t="str">
        <f aca="false">INDEX(Entities!$B$5:$B$34,MATCH(B1144,Entities!$A$5:$A$34,0))</f>
        <v>Arab Bank – Singapore</v>
      </c>
      <c r="D1144" s="7" t="str">
        <f aca="false">INDEX(Entities!$F$5:$F$34,MATCH(B1144,Entities!$A$5:$A$34,0))</f>
        <v>Tier 2</v>
      </c>
      <c r="E1144" s="26" t="str">
        <f aca="false">'Control Library'!$A$26</f>
        <v>CTL-TAX-01</v>
      </c>
      <c r="F1144" s="12" t="str">
        <f aca="false">INDEX('Control Library'!$B$5:$B$47,MATCH(E1144,'Control Library'!$A$5:$A$47,0))</f>
        <v>FATCA/CRS self-certification and classification</v>
      </c>
      <c r="G1144" s="7" t="str">
        <f aca="false">INDEX('Control Library'!$F$5:$F$47,MATCH(E1144,'Control Library'!$A$5:$A$47,0))</f>
        <v>Y</v>
      </c>
      <c r="H1144" s="12" t="str">
        <f aca="false">INDEX('Control Library'!$E$5:$E$47,MATCH(E1144,'Control Library'!$A$5:$A$47,0))</f>
        <v>Event-driven</v>
      </c>
      <c r="I1144" s="7" t="str">
        <f aca="false">IF(INDEX('Control Library'!$I$5:$I$47,MATCH(E1144,'Control Library'!$A$5:$A$47,0))="All","Y",IF(INDEX('Control Library'!$I$5:$I$47,MATCH(E1144,'Control Library'!$A$5:$A$47,0))="Banks only",IF(COUNTIF('Residual Config'!$L$28:$L$30,INDEX(Entities!$E$5:$E$34,MATCH(B1144,Entities!$A$5:$A$34,0)))&gt;0,"N/A","Y"),IF(INDEX(Entities!$G$5:$G$34,MATCH(B1144,Entities!$A$5:$A$34,0))="Y","Y","N/A")))</f>
        <v>Y</v>
      </c>
      <c r="J1144" s="8" t="s">
        <v>3533</v>
      </c>
      <c r="K1144" s="8" t="s">
        <v>3534</v>
      </c>
      <c r="L1144" s="7" t="str">
        <f aca="false">IF(OR(J1144="",K1144=""),"",IF(J1144=K1144,"Breach","OK"))</f>
        <v>OK</v>
      </c>
      <c r="M1144" s="24" t="n">
        <v>1</v>
      </c>
      <c r="N1144" s="50" t="n">
        <v>46135</v>
      </c>
      <c r="O1144" s="8" t="s">
        <v>545</v>
      </c>
      <c r="P1144" s="24" t="n">
        <v>35</v>
      </c>
      <c r="Q1144" s="31" t="n">
        <f aca="false">IF(I1144="N/A","",IFERROR(INDEX('Residual Config'!$B$35:$B$42,MATCH(H1144,'Residual Config'!$A$35:$A$42,0)),""))</f>
        <v>25</v>
      </c>
      <c r="R1144" s="24" t="n">
        <v>1</v>
      </c>
      <c r="S1144" s="8" t="s">
        <v>521</v>
      </c>
      <c r="T1144" s="31" t="n">
        <f aca="false">IF(S1144="","",MATCH(S1144,'Residual Config'!$L$9:$L$12,0))</f>
        <v>2</v>
      </c>
      <c r="U1144" s="8" t="s">
        <v>3588</v>
      </c>
      <c r="V1144" s="24" t="n">
        <v>4</v>
      </c>
      <c r="W1144" s="33" t="s">
        <v>533</v>
      </c>
      <c r="X1144" s="8" t="s">
        <v>754</v>
      </c>
      <c r="Y1144" s="51" t="n">
        <f aca="false">IF(N1144="","",EDATE(N1144,IF(G1144="N",INDEX('Residual Config'!$B$31:$D$31,1,MATCH(D1144,'Residual Config'!$B$27:$D$27,0)),INDEX('Residual Config'!$B$28:$D$30,IF(T1144=1,1,IF(T1144=4,3,2)),MATCH(D1144,'Residual Config'!$B$27:$D$27,0)))))</f>
        <v>46318</v>
      </c>
      <c r="Z1144" s="7" t="str">
        <f aca="false">IF(I1144="N/A","N/A",IF(N1144="","Not tested",IF(W1144="Rejected","Evidence rejected",IF(W1144&lt;&gt;"Accepted","Evidence pending",IF(Y1144&lt;'Residual Config'!$C$4,"Overdue","Current")))))</f>
        <v>Current</v>
      </c>
      <c r="AA1144" s="34" t="n">
        <f aca="false">IF(I1144="N/A","",IF(Z1144&lt;&gt;"Current",4,IF(MAX(M1144,T1144)=0,4,MAX(M1144,T1144))))</f>
        <v>2</v>
      </c>
      <c r="AB1144" s="7" t="str">
        <f aca="false">IF(AA1144="","N/A",IF(Z1144&lt;&gt;"Current","Not tested / overdue",INDEX('Residual Config'!$B$11:$B$14,AA1144)))</f>
        <v>Largely effective</v>
      </c>
      <c r="AC1144" s="36" t="n">
        <f aca="false">IF(AA1144="","",INDEX('Residual Config'!$D$11:$D$14,AA1144))</f>
        <v>0.4</v>
      </c>
      <c r="AD1144" s="7" t="str">
        <f aca="false">IF(OR(I1144="N/A",P1144="",Q1144=""),"",IF(P1144&gt;=Q1144,"Yes","No"))</f>
        <v>Yes</v>
      </c>
      <c r="AE1144" s="8"/>
    </row>
    <row r="1145" customFormat="false" ht="15" hidden="false" customHeight="false" outlineLevel="0" collapsed="false">
      <c r="A1145" s="12" t="s">
        <v>3589</v>
      </c>
      <c r="B1145" s="26" t="str">
        <f aca="false">Entities!$A$31</f>
        <v>SG</v>
      </c>
      <c r="C1145" s="12" t="str">
        <f aca="false">INDEX(Entities!$B$5:$B$34,MATCH(B1145,Entities!$A$5:$A$34,0))</f>
        <v>Arab Bank – Singapore</v>
      </c>
      <c r="D1145" s="7" t="str">
        <f aca="false">INDEX(Entities!$F$5:$F$34,MATCH(B1145,Entities!$A$5:$A$34,0))</f>
        <v>Tier 2</v>
      </c>
      <c r="E1145" s="26" t="str">
        <f aca="false">'Control Library'!$A$27</f>
        <v>CTL-TAX-02</v>
      </c>
      <c r="F1145" s="12" t="str">
        <f aca="false">INDEX('Control Library'!$B$5:$B$47,MATCH(E1145,'Control Library'!$A$5:$A$47,0))</f>
        <v>FATCA/CRS reporting reconciliation and timely filing</v>
      </c>
      <c r="G1145" s="7" t="str">
        <f aca="false">INDEX('Control Library'!$F$5:$F$47,MATCH(E1145,'Control Library'!$A$5:$A$47,0))</f>
        <v>N</v>
      </c>
      <c r="H1145" s="12" t="str">
        <f aca="false">INDEX('Control Library'!$E$5:$E$47,MATCH(E1145,'Control Library'!$A$5:$A$47,0))</f>
        <v>Annual</v>
      </c>
      <c r="I1145" s="7" t="str">
        <f aca="false">IF(INDEX('Control Library'!$I$5:$I$47,MATCH(E1145,'Control Library'!$A$5:$A$47,0))="All","Y",IF(INDEX('Control Library'!$I$5:$I$47,MATCH(E1145,'Control Library'!$A$5:$A$47,0))="Banks only",IF(COUNTIF('Residual Config'!$L$28:$L$30,INDEX(Entities!$E$5:$E$34,MATCH(B1145,Entities!$A$5:$A$34,0)))&gt;0,"N/A","Y"),IF(INDEX(Entities!$G$5:$G$34,MATCH(B1145,Entities!$A$5:$A$34,0))="Y","Y","N/A")))</f>
        <v>Y</v>
      </c>
      <c r="J1145" s="8" t="s">
        <v>3590</v>
      </c>
      <c r="K1145" s="8" t="s">
        <v>3534</v>
      </c>
      <c r="L1145" s="7" t="str">
        <f aca="false">IF(OR(J1145="",K1145=""),"",IF(J1145=K1145,"Breach","OK"))</f>
        <v>OK</v>
      </c>
      <c r="M1145" s="24" t="n">
        <v>2</v>
      </c>
      <c r="N1145" s="50" t="n">
        <v>46030</v>
      </c>
      <c r="O1145" s="8" t="s">
        <v>546</v>
      </c>
      <c r="P1145" s="24" t="n">
        <v>1</v>
      </c>
      <c r="Q1145" s="31" t="n">
        <f aca="false">IF(I1145="N/A","",IFERROR(INDEX('Residual Config'!$B$35:$B$42,MATCH(H1145,'Residual Config'!$A$35:$A$42,0)),""))</f>
        <v>1</v>
      </c>
      <c r="R1145" s="24" t="n">
        <v>1</v>
      </c>
      <c r="S1145" s="8" t="s">
        <v>521</v>
      </c>
      <c r="T1145" s="31" t="n">
        <f aca="false">IF(S1145="","",MATCH(S1145,'Residual Config'!$L$9:$L$12,0))</f>
        <v>2</v>
      </c>
      <c r="U1145" s="8" t="s">
        <v>3591</v>
      </c>
      <c r="V1145" s="24" t="n">
        <v>6</v>
      </c>
      <c r="W1145" s="33" t="s">
        <v>533</v>
      </c>
      <c r="X1145" s="8" t="s">
        <v>754</v>
      </c>
      <c r="Y1145" s="51" t="n">
        <f aca="false">IF(N1145="","",EDATE(N1145,IF(G1145="N",INDEX('Residual Config'!$B$31:$D$31,1,MATCH(D1145,'Residual Config'!$B$27:$D$27,0)),INDEX('Residual Config'!$B$28:$D$30,IF(T1145=1,1,IF(T1145=4,3,2)),MATCH(D1145,'Residual Config'!$B$27:$D$27,0)))))</f>
        <v>46395</v>
      </c>
      <c r="Z1145" s="7" t="str">
        <f aca="false">IF(I1145="N/A","N/A",IF(N1145="","Not tested",IF(W1145="Rejected","Evidence rejected",IF(W1145&lt;&gt;"Accepted","Evidence pending",IF(Y1145&lt;'Residual Config'!$C$4,"Overdue","Current")))))</f>
        <v>Current</v>
      </c>
      <c r="AA1145" s="34" t="n">
        <f aca="false">IF(I1145="N/A","",IF(Z1145&lt;&gt;"Current",4,IF(MAX(M1145,T1145)=0,4,MAX(M1145,T1145))))</f>
        <v>2</v>
      </c>
      <c r="AB1145" s="7" t="str">
        <f aca="false">IF(AA1145="","N/A",IF(Z1145&lt;&gt;"Current","Not tested / overdue",INDEX('Residual Config'!$B$11:$B$14,AA1145)))</f>
        <v>Largely effective</v>
      </c>
      <c r="AC1145" s="36" t="n">
        <f aca="false">IF(AA1145="","",INDEX('Residual Config'!$D$11:$D$14,AA1145))</f>
        <v>0.4</v>
      </c>
      <c r="AD1145" s="7" t="str">
        <f aca="false">IF(OR(I1145="N/A",P1145="",Q1145=""),"",IF(P1145&gt;=Q1145,"Yes","No"))</f>
        <v>Yes</v>
      </c>
      <c r="AE1145" s="8"/>
    </row>
    <row r="1146" customFormat="false" ht="15" hidden="false" customHeight="false" outlineLevel="0" collapsed="false">
      <c r="A1146" s="12" t="s">
        <v>3592</v>
      </c>
      <c r="B1146" s="26" t="str">
        <f aca="false">Entities!$A$31</f>
        <v>SG</v>
      </c>
      <c r="C1146" s="12" t="str">
        <f aca="false">INDEX(Entities!$B$5:$B$34,MATCH(B1146,Entities!$A$5:$A$34,0))</f>
        <v>Arab Bank – Singapore</v>
      </c>
      <c r="D1146" s="7" t="str">
        <f aca="false">INDEX(Entities!$F$5:$F$34,MATCH(B1146,Entities!$A$5:$A$34,0))</f>
        <v>Tier 2</v>
      </c>
      <c r="E1146" s="26" t="str">
        <f aca="false">'Control Library'!$A$28</f>
        <v>CTL-TRN-01</v>
      </c>
      <c r="F1146" s="12" t="str">
        <f aca="false">INDEX('Control Library'!$B$5:$B$47,MATCH(E1146,'Control Library'!$A$5:$A$47,0))</f>
        <v>Annual AML, sanctions and anti-bribery training</v>
      </c>
      <c r="G1146" s="7" t="str">
        <f aca="false">INDEX('Control Library'!$F$5:$F$47,MATCH(E1146,'Control Library'!$A$5:$A$47,0))</f>
        <v>N</v>
      </c>
      <c r="H1146" s="12" t="str">
        <f aca="false">INDEX('Control Library'!$E$5:$E$47,MATCH(E1146,'Control Library'!$A$5:$A$47,0))</f>
        <v>Annual</v>
      </c>
      <c r="I1146" s="7" t="str">
        <f aca="false">IF(INDEX('Control Library'!$I$5:$I$47,MATCH(E1146,'Control Library'!$A$5:$A$47,0))="All","Y",IF(INDEX('Control Library'!$I$5:$I$47,MATCH(E1146,'Control Library'!$A$5:$A$47,0))="Banks only",IF(COUNTIF('Residual Config'!$L$28:$L$30,INDEX(Entities!$E$5:$E$34,MATCH(B1146,Entities!$A$5:$A$34,0)))&gt;0,"N/A","Y"),IF(INDEX(Entities!$G$5:$G$34,MATCH(B1146,Entities!$A$5:$A$34,0))="Y","Y","N/A")))</f>
        <v>Y</v>
      </c>
      <c r="J1146" s="8" t="s">
        <v>3537</v>
      </c>
      <c r="K1146" s="8" t="s">
        <v>3534</v>
      </c>
      <c r="L1146" s="7" t="str">
        <f aca="false">IF(OR(J1146="",K1146=""),"",IF(J1146=K1146,"Breach","OK"))</f>
        <v>OK</v>
      </c>
      <c r="M1146" s="24" t="n">
        <v>1</v>
      </c>
      <c r="N1146" s="50" t="n">
        <v>46258</v>
      </c>
      <c r="O1146" s="8" t="s">
        <v>545</v>
      </c>
      <c r="P1146" s="24" t="n">
        <v>1</v>
      </c>
      <c r="Q1146" s="31" t="n">
        <f aca="false">IF(I1146="N/A","",IFERROR(INDEX('Residual Config'!$B$35:$B$42,MATCH(H1146,'Residual Config'!$A$35:$A$42,0)),""))</f>
        <v>1</v>
      </c>
      <c r="R1146" s="24" t="n">
        <v>0</v>
      </c>
      <c r="S1146" s="8" t="s">
        <v>516</v>
      </c>
      <c r="T1146" s="31" t="n">
        <f aca="false">IF(S1146="","",MATCH(S1146,'Residual Config'!$L$9:$L$12,0))</f>
        <v>1</v>
      </c>
      <c r="U1146" s="8" t="s">
        <v>3593</v>
      </c>
      <c r="V1146" s="24" t="n">
        <v>4</v>
      </c>
      <c r="W1146" s="33" t="s">
        <v>533</v>
      </c>
      <c r="X1146" s="8" t="s">
        <v>760</v>
      </c>
      <c r="Y1146" s="51" t="n">
        <f aca="false">IF(N1146="","",EDATE(N1146,IF(G1146="N",INDEX('Residual Config'!$B$31:$D$31,1,MATCH(D1146,'Residual Config'!$B$27:$D$27,0)),INDEX('Residual Config'!$B$28:$D$30,IF(T1146=1,1,IF(T1146=4,3,2)),MATCH(D1146,'Residual Config'!$B$27:$D$27,0)))))</f>
        <v>46623</v>
      </c>
      <c r="Z1146" s="7" t="str">
        <f aca="false">IF(I1146="N/A","N/A",IF(N1146="","Not tested",IF(W1146="Rejected","Evidence rejected",IF(W1146&lt;&gt;"Accepted","Evidence pending",IF(Y1146&lt;'Residual Config'!$C$4,"Overdue","Current")))))</f>
        <v>Current</v>
      </c>
      <c r="AA1146" s="34" t="n">
        <f aca="false">IF(I1146="N/A","",IF(Z1146&lt;&gt;"Current",4,IF(MAX(M1146,T1146)=0,4,MAX(M1146,T1146))))</f>
        <v>1</v>
      </c>
      <c r="AB1146" s="7" t="str">
        <f aca="false">IF(AA1146="","N/A",IF(Z1146&lt;&gt;"Current","Not tested / overdue",INDEX('Residual Config'!$B$11:$B$14,AA1146)))</f>
        <v>Effective</v>
      </c>
      <c r="AC1146" s="36" t="n">
        <f aca="false">IF(AA1146="","",INDEX('Residual Config'!$D$11:$D$14,AA1146))</f>
        <v>0.6</v>
      </c>
      <c r="AD1146" s="7" t="str">
        <f aca="false">IF(OR(I1146="N/A",P1146="",Q1146=""),"",IF(P1146&gt;=Q1146,"Yes","No"))</f>
        <v>Yes</v>
      </c>
      <c r="AE1146" s="8"/>
    </row>
    <row r="1147" customFormat="false" ht="15" hidden="false" customHeight="false" outlineLevel="0" collapsed="false">
      <c r="A1147" s="12" t="s">
        <v>3594</v>
      </c>
      <c r="B1147" s="26" t="str">
        <f aca="false">Entities!$A$31</f>
        <v>SG</v>
      </c>
      <c r="C1147" s="12" t="str">
        <f aca="false">INDEX(Entities!$B$5:$B$34,MATCH(B1147,Entities!$A$5:$A$34,0))</f>
        <v>Arab Bank – Singapore</v>
      </c>
      <c r="D1147" s="7" t="str">
        <f aca="false">INDEX(Entities!$F$5:$F$34,MATCH(B1147,Entities!$A$5:$A$34,0))</f>
        <v>Tier 2</v>
      </c>
      <c r="E1147" s="26" t="str">
        <f aca="false">'Control Library'!$A$29</f>
        <v>CTL-REG-01</v>
      </c>
      <c r="F1147" s="12" t="str">
        <f aca="false">INDEX('Control Library'!$B$5:$B$47,MATCH(E1147,'Control Library'!$A$5:$A$47,0))</f>
        <v>Regulatory change management and obligations register</v>
      </c>
      <c r="G1147" s="7" t="str">
        <f aca="false">INDEX('Control Library'!$F$5:$F$47,MATCH(E1147,'Control Library'!$A$5:$A$47,0))</f>
        <v>Y</v>
      </c>
      <c r="H1147" s="12" t="str">
        <f aca="false">INDEX('Control Library'!$E$5:$E$47,MATCH(E1147,'Control Library'!$A$5:$A$47,0))</f>
        <v>Monthly</v>
      </c>
      <c r="I1147" s="7" t="str">
        <f aca="false">IF(INDEX('Control Library'!$I$5:$I$47,MATCH(E1147,'Control Library'!$A$5:$A$47,0))="All","Y",IF(INDEX('Control Library'!$I$5:$I$47,MATCH(E1147,'Control Library'!$A$5:$A$47,0))="Banks only",IF(COUNTIF('Residual Config'!$L$28:$L$30,INDEX(Entities!$E$5:$E$34,MATCH(B1147,Entities!$A$5:$A$34,0)))&gt;0,"N/A","Y"),IF(INDEX(Entities!$G$5:$G$34,MATCH(B1147,Entities!$A$5:$A$34,0))="Y","Y","N/A")))</f>
        <v>Y</v>
      </c>
      <c r="J1147" s="8" t="s">
        <v>3537</v>
      </c>
      <c r="K1147" s="8" t="s">
        <v>3534</v>
      </c>
      <c r="L1147" s="7" t="str">
        <f aca="false">IF(OR(J1147="",K1147=""),"",IF(J1147=K1147,"Breach","OK"))</f>
        <v>OK</v>
      </c>
      <c r="M1147" s="24" t="n">
        <v>1</v>
      </c>
      <c r="N1147" s="50" t="n">
        <v>46241</v>
      </c>
      <c r="O1147" s="8" t="s">
        <v>545</v>
      </c>
      <c r="P1147" s="24" t="n">
        <v>3</v>
      </c>
      <c r="Q1147" s="31" t="n">
        <f aca="false">IF(I1147="N/A","",IFERROR(INDEX('Residual Config'!$B$35:$B$42,MATCH(H1147,'Residual Config'!$A$35:$A$42,0)),""))</f>
        <v>3</v>
      </c>
      <c r="R1147" s="24" t="n">
        <v>1</v>
      </c>
      <c r="S1147" s="8" t="s">
        <v>521</v>
      </c>
      <c r="T1147" s="31" t="n">
        <f aca="false">IF(S1147="","",MATCH(S1147,'Residual Config'!$L$9:$L$12,0))</f>
        <v>2</v>
      </c>
      <c r="U1147" s="8" t="s">
        <v>3595</v>
      </c>
      <c r="V1147" s="24" t="n">
        <v>4</v>
      </c>
      <c r="W1147" s="33" t="s">
        <v>533</v>
      </c>
      <c r="X1147" s="8" t="s">
        <v>760</v>
      </c>
      <c r="Y1147" s="51" t="n">
        <f aca="false">IF(N1147="","",EDATE(N1147,IF(G1147="N",INDEX('Residual Config'!$B$31:$D$31,1,MATCH(D1147,'Residual Config'!$B$27:$D$27,0)),INDEX('Residual Config'!$B$28:$D$30,IF(T1147=1,1,IF(T1147=4,3,2)),MATCH(D1147,'Residual Config'!$B$27:$D$27,0)))))</f>
        <v>46425</v>
      </c>
      <c r="Z1147" s="7" t="str">
        <f aca="false">IF(I1147="N/A","N/A",IF(N1147="","Not tested",IF(W1147="Rejected","Evidence rejected",IF(W1147&lt;&gt;"Accepted","Evidence pending",IF(Y1147&lt;'Residual Config'!$C$4,"Overdue","Current")))))</f>
        <v>Current</v>
      </c>
      <c r="AA1147" s="34" t="n">
        <f aca="false">IF(I1147="N/A","",IF(Z1147&lt;&gt;"Current",4,IF(MAX(M1147,T1147)=0,4,MAX(M1147,T1147))))</f>
        <v>2</v>
      </c>
      <c r="AB1147" s="7" t="str">
        <f aca="false">IF(AA1147="","N/A",IF(Z1147&lt;&gt;"Current","Not tested / overdue",INDEX('Residual Config'!$B$11:$B$14,AA1147)))</f>
        <v>Largely effective</v>
      </c>
      <c r="AC1147" s="36" t="n">
        <f aca="false">IF(AA1147="","",INDEX('Residual Config'!$D$11:$D$14,AA1147))</f>
        <v>0.4</v>
      </c>
      <c r="AD1147" s="7" t="str">
        <f aca="false">IF(OR(I1147="N/A",P1147="",Q1147=""),"",IF(P1147&gt;=Q1147,"Yes","No"))</f>
        <v>Yes</v>
      </c>
      <c r="AE1147" s="8"/>
    </row>
    <row r="1148" customFormat="false" ht="15" hidden="false" customHeight="false" outlineLevel="0" collapsed="false">
      <c r="A1148" s="12" t="s">
        <v>3596</v>
      </c>
      <c r="B1148" s="26" t="str">
        <f aca="false">Entities!$A$31</f>
        <v>SG</v>
      </c>
      <c r="C1148" s="12" t="str">
        <f aca="false">INDEX(Entities!$B$5:$B$34,MATCH(B1148,Entities!$A$5:$A$34,0))</f>
        <v>Arab Bank – Singapore</v>
      </c>
      <c r="D1148" s="7" t="str">
        <f aca="false">INDEX(Entities!$F$5:$F$34,MATCH(B1148,Entities!$A$5:$A$34,0))</f>
        <v>Tier 2</v>
      </c>
      <c r="E1148" s="26" t="str">
        <f aca="false">'Control Library'!$A$30</f>
        <v>CTL-REG-02</v>
      </c>
      <c r="F1148" s="12" t="str">
        <f aca="false">INDEX('Control Library'!$B$5:$B$47,MATCH(E1148,'Control Library'!$A$5:$A$47,0))</f>
        <v>Regulatory return review and senior sign-off</v>
      </c>
      <c r="G1148" s="7" t="str">
        <f aca="false">INDEX('Control Library'!$F$5:$F$47,MATCH(E1148,'Control Library'!$A$5:$A$47,0))</f>
        <v>Y</v>
      </c>
      <c r="H1148" s="12" t="str">
        <f aca="false">INDEX('Control Library'!$E$5:$E$47,MATCH(E1148,'Control Library'!$A$5:$A$47,0))</f>
        <v>Monthly</v>
      </c>
      <c r="I1148" s="7" t="str">
        <f aca="false">IF(INDEX('Control Library'!$I$5:$I$47,MATCH(E1148,'Control Library'!$A$5:$A$47,0))="All","Y",IF(INDEX('Control Library'!$I$5:$I$47,MATCH(E1148,'Control Library'!$A$5:$A$47,0))="Banks only",IF(COUNTIF('Residual Config'!$L$28:$L$30,INDEX(Entities!$E$5:$E$34,MATCH(B1148,Entities!$A$5:$A$34,0)))&gt;0,"N/A","Y"),IF(INDEX(Entities!$G$5:$G$34,MATCH(B1148,Entities!$A$5:$A$34,0))="Y","Y","N/A")))</f>
        <v>Y</v>
      </c>
      <c r="J1148" s="8" t="s">
        <v>3590</v>
      </c>
      <c r="K1148" s="8" t="s">
        <v>3534</v>
      </c>
      <c r="L1148" s="7" t="str">
        <f aca="false">IF(OR(J1148="",K1148=""),"",IF(J1148=K1148,"Breach","OK"))</f>
        <v>OK</v>
      </c>
      <c r="M1148" s="24" t="n">
        <v>2</v>
      </c>
      <c r="N1148" s="50" t="n">
        <v>46221</v>
      </c>
      <c r="O1148" s="8" t="s">
        <v>546</v>
      </c>
      <c r="P1148" s="24" t="n">
        <v>3</v>
      </c>
      <c r="Q1148" s="31" t="n">
        <f aca="false">IF(I1148="N/A","",IFERROR(INDEX('Residual Config'!$B$35:$B$42,MATCH(H1148,'Residual Config'!$A$35:$A$42,0)),""))</f>
        <v>3</v>
      </c>
      <c r="R1148" s="24" t="n">
        <v>1</v>
      </c>
      <c r="S1148" s="8" t="s">
        <v>521</v>
      </c>
      <c r="T1148" s="31" t="n">
        <f aca="false">IF(S1148="","",MATCH(S1148,'Residual Config'!$L$9:$L$12,0))</f>
        <v>2</v>
      </c>
      <c r="U1148" s="8" t="s">
        <v>3597</v>
      </c>
      <c r="V1148" s="24" t="n">
        <v>3</v>
      </c>
      <c r="W1148" s="33" t="s">
        <v>533</v>
      </c>
      <c r="X1148" s="8" t="s">
        <v>754</v>
      </c>
      <c r="Y1148" s="51" t="n">
        <f aca="false">IF(N1148="","",EDATE(N1148,IF(G1148="N",INDEX('Residual Config'!$B$31:$D$31,1,MATCH(D1148,'Residual Config'!$B$27:$D$27,0)),INDEX('Residual Config'!$B$28:$D$30,IF(T1148=1,1,IF(T1148=4,3,2)),MATCH(D1148,'Residual Config'!$B$27:$D$27,0)))))</f>
        <v>46405</v>
      </c>
      <c r="Z1148" s="7" t="str">
        <f aca="false">IF(I1148="N/A","N/A",IF(N1148="","Not tested",IF(W1148="Rejected","Evidence rejected",IF(W1148&lt;&gt;"Accepted","Evidence pending",IF(Y1148&lt;'Residual Config'!$C$4,"Overdue","Current")))))</f>
        <v>Current</v>
      </c>
      <c r="AA1148" s="34" t="n">
        <f aca="false">IF(I1148="N/A","",IF(Z1148&lt;&gt;"Current",4,IF(MAX(M1148,T1148)=0,4,MAX(M1148,T1148))))</f>
        <v>2</v>
      </c>
      <c r="AB1148" s="7" t="str">
        <f aca="false">IF(AA1148="","N/A",IF(Z1148&lt;&gt;"Current","Not tested / overdue",INDEX('Residual Config'!$B$11:$B$14,AA1148)))</f>
        <v>Largely effective</v>
      </c>
      <c r="AC1148" s="36" t="n">
        <f aca="false">IF(AA1148="","",INDEX('Residual Config'!$D$11:$D$14,AA1148))</f>
        <v>0.4</v>
      </c>
      <c r="AD1148" s="7" t="str">
        <f aca="false">IF(OR(I1148="N/A",P1148="",Q1148=""),"",IF(P1148&gt;=Q1148,"Yes","No"))</f>
        <v>Yes</v>
      </c>
      <c r="AE1148" s="8"/>
    </row>
    <row r="1149" customFormat="false" ht="15" hidden="false" customHeight="false" outlineLevel="0" collapsed="false">
      <c r="A1149" s="12" t="s">
        <v>3598</v>
      </c>
      <c r="B1149" s="26" t="str">
        <f aca="false">Entities!$A$31</f>
        <v>SG</v>
      </c>
      <c r="C1149" s="12" t="str">
        <f aca="false">INDEX(Entities!$B$5:$B$34,MATCH(B1149,Entities!$A$5:$A$34,0))</f>
        <v>Arab Bank – Singapore</v>
      </c>
      <c r="D1149" s="7" t="str">
        <f aca="false">INDEX(Entities!$F$5:$F$34,MATCH(B1149,Entities!$A$5:$A$34,0))</f>
        <v>Tier 2</v>
      </c>
      <c r="E1149" s="26" t="str">
        <f aca="false">'Control Library'!$A$31</f>
        <v>CTL-CON-01</v>
      </c>
      <c r="F1149" s="12" t="str">
        <f aca="false">INDEX('Control Library'!$B$5:$B$47,MATCH(E1149,'Control Library'!$A$5:$A$47,0))</f>
        <v>New product approval and suitability assessment</v>
      </c>
      <c r="G1149" s="7" t="str">
        <f aca="false">INDEX('Control Library'!$F$5:$F$47,MATCH(E1149,'Control Library'!$A$5:$A$47,0))</f>
        <v>Y</v>
      </c>
      <c r="H1149" s="12" t="str">
        <f aca="false">INDEX('Control Library'!$E$5:$E$47,MATCH(E1149,'Control Library'!$A$5:$A$47,0))</f>
        <v>Event-driven</v>
      </c>
      <c r="I1149" s="7" t="str">
        <f aca="false">IF(INDEX('Control Library'!$I$5:$I$47,MATCH(E1149,'Control Library'!$A$5:$A$47,0))="All","Y",IF(INDEX('Control Library'!$I$5:$I$47,MATCH(E1149,'Control Library'!$A$5:$A$47,0))="Banks only",IF(COUNTIF('Residual Config'!$L$28:$L$30,INDEX(Entities!$E$5:$E$34,MATCH(B1149,Entities!$A$5:$A$34,0)))&gt;0,"N/A","Y"),IF(INDEX(Entities!$G$5:$G$34,MATCH(B1149,Entities!$A$5:$A$34,0))="Y","Y","N/A")))</f>
        <v>Y</v>
      </c>
      <c r="J1149" s="8" t="s">
        <v>3537</v>
      </c>
      <c r="K1149" s="8" t="s">
        <v>3534</v>
      </c>
      <c r="L1149" s="7" t="str">
        <f aca="false">IF(OR(J1149="",K1149=""),"",IF(J1149=K1149,"Breach","OK"))</f>
        <v>OK</v>
      </c>
      <c r="M1149" s="24" t="n">
        <v>1</v>
      </c>
      <c r="N1149" s="50" t="n">
        <v>46056</v>
      </c>
      <c r="O1149" s="8" t="s">
        <v>546</v>
      </c>
      <c r="P1149" s="24" t="n">
        <v>25</v>
      </c>
      <c r="Q1149" s="31" t="n">
        <f aca="false">IF(I1149="N/A","",IFERROR(INDEX('Residual Config'!$B$35:$B$42,MATCH(H1149,'Residual Config'!$A$35:$A$42,0)),""))</f>
        <v>25</v>
      </c>
      <c r="R1149" s="24" t="n">
        <v>0</v>
      </c>
      <c r="S1149" s="8" t="s">
        <v>516</v>
      </c>
      <c r="T1149" s="31" t="n">
        <f aca="false">IF(S1149="","",MATCH(S1149,'Residual Config'!$L$9:$L$12,0))</f>
        <v>1</v>
      </c>
      <c r="U1149" s="8" t="s">
        <v>3599</v>
      </c>
      <c r="V1149" s="24" t="n">
        <v>6</v>
      </c>
      <c r="W1149" s="33" t="s">
        <v>533</v>
      </c>
      <c r="X1149" s="8" t="s">
        <v>760</v>
      </c>
      <c r="Y1149" s="51" t="n">
        <f aca="false">IF(N1149="","",EDATE(N1149,IF(G1149="N",INDEX('Residual Config'!$B$31:$D$31,1,MATCH(D1149,'Residual Config'!$B$27:$D$27,0)),INDEX('Residual Config'!$B$28:$D$30,IF(T1149=1,1,IF(T1149=4,3,2)),MATCH(D1149,'Residual Config'!$B$27:$D$27,0)))))</f>
        <v>46421</v>
      </c>
      <c r="Z1149" s="7" t="str">
        <f aca="false">IF(I1149="N/A","N/A",IF(N1149="","Not tested",IF(W1149="Rejected","Evidence rejected",IF(W1149&lt;&gt;"Accepted","Evidence pending",IF(Y1149&lt;'Residual Config'!$C$4,"Overdue","Current")))))</f>
        <v>Current</v>
      </c>
      <c r="AA1149" s="34" t="n">
        <f aca="false">IF(I1149="N/A","",IF(Z1149&lt;&gt;"Current",4,IF(MAX(M1149,T1149)=0,4,MAX(M1149,T1149))))</f>
        <v>1</v>
      </c>
      <c r="AB1149" s="7" t="str">
        <f aca="false">IF(AA1149="","N/A",IF(Z1149&lt;&gt;"Current","Not tested / overdue",INDEX('Residual Config'!$B$11:$B$14,AA1149)))</f>
        <v>Effective</v>
      </c>
      <c r="AC1149" s="36" t="n">
        <f aca="false">IF(AA1149="","",INDEX('Residual Config'!$D$11:$D$14,AA1149))</f>
        <v>0.6</v>
      </c>
      <c r="AD1149" s="7" t="str">
        <f aca="false">IF(OR(I1149="N/A",P1149="",Q1149=""),"",IF(P1149&gt;=Q1149,"Yes","No"))</f>
        <v>Yes</v>
      </c>
      <c r="AE1149" s="8"/>
    </row>
    <row r="1150" customFormat="false" ht="15" hidden="false" customHeight="false" outlineLevel="0" collapsed="false">
      <c r="A1150" s="12" t="s">
        <v>3600</v>
      </c>
      <c r="B1150" s="26" t="str">
        <f aca="false">Entities!$A$31</f>
        <v>SG</v>
      </c>
      <c r="C1150" s="12" t="str">
        <f aca="false">INDEX(Entities!$B$5:$B$34,MATCH(B1150,Entities!$A$5:$A$34,0))</f>
        <v>Arab Bank – Singapore</v>
      </c>
      <c r="D1150" s="7" t="str">
        <f aca="false">INDEX(Entities!$F$5:$F$34,MATCH(B1150,Entities!$A$5:$A$34,0))</f>
        <v>Tier 2</v>
      </c>
      <c r="E1150" s="26" t="str">
        <f aca="false">'Control Library'!$A$32</f>
        <v>CTL-CON-02</v>
      </c>
      <c r="F1150" s="12" t="str">
        <f aca="false">INDEX('Control Library'!$B$5:$B$47,MATCH(E1150,'Control Library'!$A$5:$A$47,0))</f>
        <v>Complaints handling and root-cause analysis</v>
      </c>
      <c r="G1150" s="7" t="str">
        <f aca="false">INDEX('Control Library'!$F$5:$F$47,MATCH(E1150,'Control Library'!$A$5:$A$47,0))</f>
        <v>N</v>
      </c>
      <c r="H1150" s="12" t="str">
        <f aca="false">INDEX('Control Library'!$E$5:$E$47,MATCH(E1150,'Control Library'!$A$5:$A$47,0))</f>
        <v>Monthly</v>
      </c>
      <c r="I1150" s="7" t="str">
        <f aca="false">IF(INDEX('Control Library'!$I$5:$I$47,MATCH(E1150,'Control Library'!$A$5:$A$47,0))="All","Y",IF(INDEX('Control Library'!$I$5:$I$47,MATCH(E1150,'Control Library'!$A$5:$A$47,0))="Banks only",IF(COUNTIF('Residual Config'!$L$28:$L$30,INDEX(Entities!$E$5:$E$34,MATCH(B1150,Entities!$A$5:$A$34,0)))&gt;0,"N/A","Y"),IF(INDEX(Entities!$G$5:$G$34,MATCH(B1150,Entities!$A$5:$A$34,0))="Y","Y","N/A")))</f>
        <v>Y</v>
      </c>
      <c r="J1150" s="8" t="s">
        <v>3601</v>
      </c>
      <c r="K1150" s="8" t="s">
        <v>3534</v>
      </c>
      <c r="L1150" s="7" t="str">
        <f aca="false">IF(OR(J1150="",K1150=""),"",IF(J1150=K1150,"Breach","OK"))</f>
        <v>OK</v>
      </c>
      <c r="M1150" s="24" t="n">
        <v>1</v>
      </c>
      <c r="N1150" s="50" t="n">
        <v>45956</v>
      </c>
      <c r="O1150" s="8" t="s">
        <v>545</v>
      </c>
      <c r="P1150" s="24" t="n">
        <v>3</v>
      </c>
      <c r="Q1150" s="31" t="n">
        <f aca="false">IF(I1150="N/A","",IFERROR(INDEX('Residual Config'!$B$35:$B$42,MATCH(H1150,'Residual Config'!$A$35:$A$42,0)),""))</f>
        <v>3</v>
      </c>
      <c r="R1150" s="24" t="n">
        <v>0</v>
      </c>
      <c r="S1150" s="8" t="s">
        <v>516</v>
      </c>
      <c r="T1150" s="31" t="n">
        <f aca="false">IF(S1150="","",MATCH(S1150,'Residual Config'!$L$9:$L$12,0))</f>
        <v>1</v>
      </c>
      <c r="U1150" s="8" t="s">
        <v>3602</v>
      </c>
      <c r="V1150" s="24" t="n">
        <v>4</v>
      </c>
      <c r="W1150" s="33" t="s">
        <v>533</v>
      </c>
      <c r="X1150" s="8" t="s">
        <v>754</v>
      </c>
      <c r="Y1150" s="51" t="n">
        <f aca="false">IF(N1150="","",EDATE(N1150,IF(G1150="N",INDEX('Residual Config'!$B$31:$D$31,1,MATCH(D1150,'Residual Config'!$B$27:$D$27,0)),INDEX('Residual Config'!$B$28:$D$30,IF(T1150=1,1,IF(T1150=4,3,2)),MATCH(D1150,'Residual Config'!$B$27:$D$27,0)))))</f>
        <v>46321</v>
      </c>
      <c r="Z1150" s="7" t="str">
        <f aca="false">IF(I1150="N/A","N/A",IF(N1150="","Not tested",IF(W1150="Rejected","Evidence rejected",IF(W1150&lt;&gt;"Accepted","Evidence pending",IF(Y1150&lt;'Residual Config'!$C$4,"Overdue","Current")))))</f>
        <v>Current</v>
      </c>
      <c r="AA1150" s="34" t="n">
        <f aca="false">IF(I1150="N/A","",IF(Z1150&lt;&gt;"Current",4,IF(MAX(M1150,T1150)=0,4,MAX(M1150,T1150))))</f>
        <v>1</v>
      </c>
      <c r="AB1150" s="7" t="str">
        <f aca="false">IF(AA1150="","N/A",IF(Z1150&lt;&gt;"Current","Not tested / overdue",INDEX('Residual Config'!$B$11:$B$14,AA1150)))</f>
        <v>Effective</v>
      </c>
      <c r="AC1150" s="36" t="n">
        <f aca="false">IF(AA1150="","",INDEX('Residual Config'!$D$11:$D$14,AA1150))</f>
        <v>0.6</v>
      </c>
      <c r="AD1150" s="7" t="str">
        <f aca="false">IF(OR(I1150="N/A",P1150="",Q1150=""),"",IF(P1150&gt;=Q1150,"Yes","No"))</f>
        <v>Yes</v>
      </c>
      <c r="AE1150" s="8"/>
    </row>
    <row r="1151" customFormat="false" ht="15" hidden="false" customHeight="false" outlineLevel="0" collapsed="false">
      <c r="A1151" s="12" t="s">
        <v>3603</v>
      </c>
      <c r="B1151" s="26" t="str">
        <f aca="false">Entities!$A$31</f>
        <v>SG</v>
      </c>
      <c r="C1151" s="12" t="str">
        <f aca="false">INDEX(Entities!$B$5:$B$34,MATCH(B1151,Entities!$A$5:$A$34,0))</f>
        <v>Arab Bank – Singapore</v>
      </c>
      <c r="D1151" s="7" t="str">
        <f aca="false">INDEX(Entities!$F$5:$F$34,MATCH(B1151,Entities!$A$5:$A$34,0))</f>
        <v>Tier 2</v>
      </c>
      <c r="E1151" s="26" t="str">
        <f aca="false">'Control Library'!$A$33</f>
        <v>CTL-DP-01</v>
      </c>
      <c r="F1151" s="12" t="str">
        <f aca="false">INDEX('Control Library'!$B$5:$B$47,MATCH(E1151,'Control Library'!$A$5:$A$47,0))</f>
        <v>Data protection impact assessments and processing records</v>
      </c>
      <c r="G1151" s="7" t="str">
        <f aca="false">INDEX('Control Library'!$F$5:$F$47,MATCH(E1151,'Control Library'!$A$5:$A$47,0))</f>
        <v>Y</v>
      </c>
      <c r="H1151" s="12" t="str">
        <f aca="false">INDEX('Control Library'!$E$5:$E$47,MATCH(E1151,'Control Library'!$A$5:$A$47,0))</f>
        <v>Event-driven</v>
      </c>
      <c r="I1151" s="7" t="str">
        <f aca="false">IF(INDEX('Control Library'!$I$5:$I$47,MATCH(E1151,'Control Library'!$A$5:$A$47,0))="All","Y",IF(INDEX('Control Library'!$I$5:$I$47,MATCH(E1151,'Control Library'!$A$5:$A$47,0))="Banks only",IF(COUNTIF('Residual Config'!$L$28:$L$30,INDEX(Entities!$E$5:$E$34,MATCH(B1151,Entities!$A$5:$A$34,0)))&gt;0,"N/A","Y"),IF(INDEX(Entities!$G$5:$G$34,MATCH(B1151,Entities!$A$5:$A$34,0))="Y","Y","N/A")))</f>
        <v>Y</v>
      </c>
      <c r="J1151" s="8" t="s">
        <v>3604</v>
      </c>
      <c r="K1151" s="8" t="s">
        <v>3534</v>
      </c>
      <c r="L1151" s="7" t="str">
        <f aca="false">IF(OR(J1151="",K1151=""),"",IF(J1151=K1151,"Breach","OK"))</f>
        <v>OK</v>
      </c>
      <c r="M1151" s="24" t="n">
        <v>1</v>
      </c>
      <c r="N1151" s="50" t="n">
        <v>46233</v>
      </c>
      <c r="O1151" s="8" t="s">
        <v>546</v>
      </c>
      <c r="P1151" s="24" t="n">
        <v>35</v>
      </c>
      <c r="Q1151" s="31" t="n">
        <f aca="false">IF(I1151="N/A","",IFERROR(INDEX('Residual Config'!$B$35:$B$42,MATCH(H1151,'Residual Config'!$A$35:$A$42,0)),""))</f>
        <v>25</v>
      </c>
      <c r="R1151" s="24" t="n">
        <v>1</v>
      </c>
      <c r="S1151" s="8" t="s">
        <v>521</v>
      </c>
      <c r="T1151" s="31" t="n">
        <f aca="false">IF(S1151="","",MATCH(S1151,'Residual Config'!$L$9:$L$12,0))</f>
        <v>2</v>
      </c>
      <c r="U1151" s="8" t="s">
        <v>3605</v>
      </c>
      <c r="V1151" s="24" t="n">
        <v>1</v>
      </c>
      <c r="W1151" s="33" t="s">
        <v>533</v>
      </c>
      <c r="X1151" s="8" t="s">
        <v>754</v>
      </c>
      <c r="Y1151" s="51" t="n">
        <f aca="false">IF(N1151="","",EDATE(N1151,IF(G1151="N",INDEX('Residual Config'!$B$31:$D$31,1,MATCH(D1151,'Residual Config'!$B$27:$D$27,0)),INDEX('Residual Config'!$B$28:$D$30,IF(T1151=1,1,IF(T1151=4,3,2)),MATCH(D1151,'Residual Config'!$B$27:$D$27,0)))))</f>
        <v>46417</v>
      </c>
      <c r="Z1151" s="7" t="str">
        <f aca="false">IF(I1151="N/A","N/A",IF(N1151="","Not tested",IF(W1151="Rejected","Evidence rejected",IF(W1151&lt;&gt;"Accepted","Evidence pending",IF(Y1151&lt;'Residual Config'!$C$4,"Overdue","Current")))))</f>
        <v>Current</v>
      </c>
      <c r="AA1151" s="34" t="n">
        <f aca="false">IF(I1151="N/A","",IF(Z1151&lt;&gt;"Current",4,IF(MAX(M1151,T1151)=0,4,MAX(M1151,T1151))))</f>
        <v>2</v>
      </c>
      <c r="AB1151" s="7" t="str">
        <f aca="false">IF(AA1151="","N/A",IF(Z1151&lt;&gt;"Current","Not tested / overdue",INDEX('Residual Config'!$B$11:$B$14,AA1151)))</f>
        <v>Largely effective</v>
      </c>
      <c r="AC1151" s="36" t="n">
        <f aca="false">IF(AA1151="","",INDEX('Residual Config'!$D$11:$D$14,AA1151))</f>
        <v>0.4</v>
      </c>
      <c r="AD1151" s="7" t="str">
        <f aca="false">IF(OR(I1151="N/A",P1151="",Q1151=""),"",IF(P1151&gt;=Q1151,"Yes","No"))</f>
        <v>Yes</v>
      </c>
      <c r="AE1151" s="8"/>
    </row>
    <row r="1152" customFormat="false" ht="15" hidden="false" customHeight="false" outlineLevel="0" collapsed="false">
      <c r="A1152" s="12" t="s">
        <v>3606</v>
      </c>
      <c r="B1152" s="26" t="str">
        <f aca="false">Entities!$A$31</f>
        <v>SG</v>
      </c>
      <c r="C1152" s="12" t="str">
        <f aca="false">INDEX(Entities!$B$5:$B$34,MATCH(B1152,Entities!$A$5:$A$34,0))</f>
        <v>Arab Bank – Singapore</v>
      </c>
      <c r="D1152" s="7" t="str">
        <f aca="false">INDEX(Entities!$F$5:$F$34,MATCH(B1152,Entities!$A$5:$A$34,0))</f>
        <v>Tier 2</v>
      </c>
      <c r="E1152" s="26" t="str">
        <f aca="false">'Control Library'!$A$34</f>
        <v>CTL-DP-02</v>
      </c>
      <c r="F1152" s="12" t="str">
        <f aca="false">INDEX('Control Library'!$B$5:$B$47,MATCH(E1152,'Control Library'!$A$5:$A$47,0))</f>
        <v>Data loss prevention and quarterly access recertification</v>
      </c>
      <c r="G1152" s="7" t="str">
        <f aca="false">INDEX('Control Library'!$F$5:$F$47,MATCH(E1152,'Control Library'!$A$5:$A$47,0))</f>
        <v>Y</v>
      </c>
      <c r="H1152" s="12" t="str">
        <f aca="false">INDEX('Control Library'!$E$5:$E$47,MATCH(E1152,'Control Library'!$A$5:$A$47,0))</f>
        <v>Quarterly</v>
      </c>
      <c r="I1152" s="7" t="str">
        <f aca="false">IF(INDEX('Control Library'!$I$5:$I$47,MATCH(E1152,'Control Library'!$A$5:$A$47,0))="All","Y",IF(INDEX('Control Library'!$I$5:$I$47,MATCH(E1152,'Control Library'!$A$5:$A$47,0))="Banks only",IF(COUNTIF('Residual Config'!$L$28:$L$30,INDEX(Entities!$E$5:$E$34,MATCH(B1152,Entities!$A$5:$A$34,0)))&gt;0,"N/A","Y"),IF(INDEX(Entities!$G$5:$G$34,MATCH(B1152,Entities!$A$5:$A$34,0))="Y","Y","N/A")))</f>
        <v>Y</v>
      </c>
      <c r="J1152" s="8" t="s">
        <v>3607</v>
      </c>
      <c r="K1152" s="8" t="s">
        <v>3534</v>
      </c>
      <c r="L1152" s="7" t="str">
        <f aca="false">IF(OR(J1152="",K1152=""),"",IF(J1152=K1152,"Breach","OK"))</f>
        <v>OK</v>
      </c>
      <c r="M1152" s="24" t="n">
        <v>1</v>
      </c>
      <c r="N1152" s="50" t="n">
        <v>46160</v>
      </c>
      <c r="O1152" s="8" t="s">
        <v>546</v>
      </c>
      <c r="P1152" s="24" t="n">
        <v>2</v>
      </c>
      <c r="Q1152" s="31" t="n">
        <f aca="false">IF(I1152="N/A","",IFERROR(INDEX('Residual Config'!$B$35:$B$42,MATCH(H1152,'Residual Config'!$A$35:$A$42,0)),""))</f>
        <v>2</v>
      </c>
      <c r="R1152" s="24" t="n">
        <v>1</v>
      </c>
      <c r="S1152" s="8" t="s">
        <v>521</v>
      </c>
      <c r="T1152" s="31" t="n">
        <f aca="false">IF(S1152="","",MATCH(S1152,'Residual Config'!$L$9:$L$12,0))</f>
        <v>2</v>
      </c>
      <c r="U1152" s="8" t="s">
        <v>3608</v>
      </c>
      <c r="V1152" s="24" t="n">
        <v>1</v>
      </c>
      <c r="W1152" s="33" t="s">
        <v>533</v>
      </c>
      <c r="X1152" s="8" t="s">
        <v>754</v>
      </c>
      <c r="Y1152" s="51" t="n">
        <f aca="false">IF(N1152="","",EDATE(N1152,IF(G1152="N",INDEX('Residual Config'!$B$31:$D$31,1,MATCH(D1152,'Residual Config'!$B$27:$D$27,0)),INDEX('Residual Config'!$B$28:$D$30,IF(T1152=1,1,IF(T1152=4,3,2)),MATCH(D1152,'Residual Config'!$B$27:$D$27,0)))))</f>
        <v>46344</v>
      </c>
      <c r="Z1152" s="7" t="str">
        <f aca="false">IF(I1152="N/A","N/A",IF(N1152="","Not tested",IF(W1152="Rejected","Evidence rejected",IF(W1152&lt;&gt;"Accepted","Evidence pending",IF(Y1152&lt;'Residual Config'!$C$4,"Overdue","Current")))))</f>
        <v>Current</v>
      </c>
      <c r="AA1152" s="34" t="n">
        <f aca="false">IF(I1152="N/A","",IF(Z1152&lt;&gt;"Current",4,IF(MAX(M1152,T1152)=0,4,MAX(M1152,T1152))))</f>
        <v>2</v>
      </c>
      <c r="AB1152" s="7" t="str">
        <f aca="false">IF(AA1152="","N/A",IF(Z1152&lt;&gt;"Current","Not tested / overdue",INDEX('Residual Config'!$B$11:$B$14,AA1152)))</f>
        <v>Largely effective</v>
      </c>
      <c r="AC1152" s="36" t="n">
        <f aca="false">IF(AA1152="","",INDEX('Residual Config'!$D$11:$D$14,AA1152))</f>
        <v>0.4</v>
      </c>
      <c r="AD1152" s="7" t="str">
        <f aca="false">IF(OR(I1152="N/A",P1152="",Q1152=""),"",IF(P1152&gt;=Q1152,"Yes","No"))</f>
        <v>Yes</v>
      </c>
      <c r="AE1152" s="8"/>
    </row>
    <row r="1153" customFormat="false" ht="15" hidden="false" customHeight="false" outlineLevel="0" collapsed="false">
      <c r="A1153" s="12" t="s">
        <v>3609</v>
      </c>
      <c r="B1153" s="26" t="str">
        <f aca="false">Entities!$A$31</f>
        <v>SG</v>
      </c>
      <c r="C1153" s="12" t="str">
        <f aca="false">INDEX(Entities!$B$5:$B$34,MATCH(B1153,Entities!$A$5:$A$34,0))</f>
        <v>Arab Bank – Singapore</v>
      </c>
      <c r="D1153" s="7" t="str">
        <f aca="false">INDEX(Entities!$F$5:$F$34,MATCH(B1153,Entities!$A$5:$A$34,0))</f>
        <v>Tier 2</v>
      </c>
      <c r="E1153" s="26" t="str">
        <f aca="false">'Control Library'!$A$35</f>
        <v>CTL-SH-01</v>
      </c>
      <c r="F1153" s="12" t="str">
        <f aca="false">INDEX('Control Library'!$B$5:$B$47,MATCH(E1153,'Control Library'!$A$5:$A$47,0))</f>
        <v>Shariah review of products and income purification</v>
      </c>
      <c r="G1153" s="7" t="str">
        <f aca="false">INDEX('Control Library'!$F$5:$F$47,MATCH(E1153,'Control Library'!$A$5:$A$47,0))</f>
        <v>Y</v>
      </c>
      <c r="H1153" s="12" t="str">
        <f aca="false">INDEX('Control Library'!$E$5:$E$47,MATCH(E1153,'Control Library'!$A$5:$A$47,0))</f>
        <v>Quarterly</v>
      </c>
      <c r="I1153" s="7" t="str">
        <f aca="false">IF(INDEX('Control Library'!$I$5:$I$47,MATCH(E1153,'Control Library'!$A$5:$A$47,0))="All","Y",IF(INDEX('Control Library'!$I$5:$I$47,MATCH(E1153,'Control Library'!$A$5:$A$47,0))="Banks only",IF(COUNTIF('Residual Config'!$L$28:$L$30,INDEX(Entities!$E$5:$E$34,MATCH(B1153,Entities!$A$5:$A$34,0)))&gt;0,"N/A","Y"),IF(INDEX(Entities!$G$5:$G$34,MATCH(B1153,Entities!$A$5:$A$34,0))="Y","Y","N/A")))</f>
        <v>N/A</v>
      </c>
      <c r="J1153" s="8"/>
      <c r="K1153" s="8"/>
      <c r="L1153" s="7" t="str">
        <f aca="false">IF(OR(J1153="",K1153=""),"",IF(J1153=K1153,"Breach","OK"))</f>
        <v/>
      </c>
      <c r="M1153" s="24"/>
      <c r="N1153" s="50"/>
      <c r="O1153" s="8"/>
      <c r="P1153" s="24"/>
      <c r="Q1153" s="31" t="str">
        <f aca="false">IF(I1153="N/A","",IFERROR(INDEX('Residual Config'!$B$35:$B$42,MATCH(H1153,'Residual Config'!$A$35:$A$42,0)),""))</f>
        <v/>
      </c>
      <c r="R1153" s="24"/>
      <c r="S1153" s="8"/>
      <c r="T1153" s="31" t="str">
        <f aca="false">IF(S1153="","",MATCH(S1153,'Residual Config'!$L$9:$L$12,0))</f>
        <v/>
      </c>
      <c r="U1153" s="8"/>
      <c r="V1153" s="24"/>
      <c r="W1153" s="33"/>
      <c r="X1153" s="8"/>
      <c r="Y1153" s="51" t="str">
        <f aca="false">IF(N1153="","",EDATE(N1153,IF(G1153="N",INDEX('Residual Config'!$B$31:$D$31,1,MATCH(D1153,'Residual Config'!$B$27:$D$27,0)),INDEX('Residual Config'!$B$28:$D$30,IF(T1153=1,1,IF(T1153=4,3,2)),MATCH(D1153,'Residual Config'!$B$27:$D$27,0)))))</f>
        <v/>
      </c>
      <c r="Z1153" s="7" t="str">
        <f aca="false">IF(I1153="N/A","N/A",IF(N1153="","Not tested",IF(W1153="Rejected","Evidence rejected",IF(W1153&lt;&gt;"Accepted","Evidence pending",IF(Y1153&lt;'Residual Config'!$C$4,"Overdue","Current")))))</f>
        <v>N/A</v>
      </c>
      <c r="AA1153" s="34" t="str">
        <f aca="false">IF(I1153="N/A","",IF(Z1153&lt;&gt;"Current",4,IF(MAX(M1153,T1153)=0,4,MAX(M1153,T1153))))</f>
        <v/>
      </c>
      <c r="AB1153" s="7" t="str">
        <f aca="false">IF(AA1153="","N/A",IF(Z1153&lt;&gt;"Current","Not tested / overdue",INDEX('Residual Config'!$B$11:$B$14,AA1153)))</f>
        <v>N/A</v>
      </c>
      <c r="AC1153" s="36" t="str">
        <f aca="false">IF(AA1153="","",INDEX('Residual Config'!$D$11:$D$14,AA1153))</f>
        <v/>
      </c>
      <c r="AD1153" s="7" t="str">
        <f aca="false">IF(OR(I1153="N/A",P1153="",Q1153=""),"",IF(P1153&gt;=Q1153,"Yes","No"))</f>
        <v/>
      </c>
      <c r="AE1153" s="8"/>
    </row>
    <row r="1154" customFormat="false" ht="15" hidden="false" customHeight="false" outlineLevel="0" collapsed="false">
      <c r="A1154" s="12" t="s">
        <v>3610</v>
      </c>
      <c r="B1154" s="26" t="str">
        <f aca="false">Entities!$A$31</f>
        <v>SG</v>
      </c>
      <c r="C1154" s="12" t="str">
        <f aca="false">INDEX(Entities!$B$5:$B$34,MATCH(B1154,Entities!$A$5:$A$34,0))</f>
        <v>Arab Bank – Singapore</v>
      </c>
      <c r="D1154" s="7" t="str">
        <f aca="false">INDEX(Entities!$F$5:$F$34,MATCH(B1154,Entities!$A$5:$A$34,0))</f>
        <v>Tier 2</v>
      </c>
      <c r="E1154" s="26" t="str">
        <f aca="false">'Control Library'!$A$36</f>
        <v>CTL-CR-01</v>
      </c>
      <c r="F1154" s="12" t="str">
        <f aca="false">INDEX('Control Library'!$B$5:$B$47,MATCH(E1154,'Control Library'!$A$5:$A$47,0))</f>
        <v>Credit approval authorities and committee review</v>
      </c>
      <c r="G1154" s="7" t="str">
        <f aca="false">INDEX('Control Library'!$F$5:$F$47,MATCH(E1154,'Control Library'!$A$5:$A$47,0))</f>
        <v>Y</v>
      </c>
      <c r="H1154" s="12" t="str">
        <f aca="false">INDEX('Control Library'!$E$5:$E$47,MATCH(E1154,'Control Library'!$A$5:$A$47,0))</f>
        <v>Event-driven</v>
      </c>
      <c r="I1154" s="7" t="str">
        <f aca="false">IF(INDEX('Control Library'!$I$5:$I$47,MATCH(E1154,'Control Library'!$A$5:$A$47,0))="All","Y",IF(INDEX('Control Library'!$I$5:$I$47,MATCH(E1154,'Control Library'!$A$5:$A$47,0))="Banks only",IF(COUNTIF('Residual Config'!$L$28:$L$30,INDEX(Entities!$E$5:$E$34,MATCH(B1154,Entities!$A$5:$A$34,0)))&gt;0,"N/A","Y"),IF(INDEX(Entities!$G$5:$G$34,MATCH(B1154,Entities!$A$5:$A$34,0))="Y","Y","N/A")))</f>
        <v>Y</v>
      </c>
      <c r="J1154" s="8" t="s">
        <v>3611</v>
      </c>
      <c r="K1154" s="8" t="s">
        <v>3534</v>
      </c>
      <c r="L1154" s="7" t="str">
        <f aca="false">IF(OR(J1154="",K1154=""),"",IF(J1154=K1154,"Breach","OK"))</f>
        <v>OK</v>
      </c>
      <c r="M1154" s="24" t="n">
        <v>1</v>
      </c>
      <c r="N1154" s="50" t="n">
        <v>46211</v>
      </c>
      <c r="O1154" s="8" t="s">
        <v>546</v>
      </c>
      <c r="P1154" s="24" t="n">
        <v>35</v>
      </c>
      <c r="Q1154" s="31" t="n">
        <f aca="false">IF(I1154="N/A","",IFERROR(INDEX('Residual Config'!$B$35:$B$42,MATCH(H1154,'Residual Config'!$A$35:$A$42,0)),""))</f>
        <v>25</v>
      </c>
      <c r="R1154" s="24" t="n">
        <v>1</v>
      </c>
      <c r="S1154" s="8" t="s">
        <v>521</v>
      </c>
      <c r="T1154" s="31" t="n">
        <f aca="false">IF(S1154="","",MATCH(S1154,'Residual Config'!$L$9:$L$12,0))</f>
        <v>2</v>
      </c>
      <c r="U1154" s="8" t="s">
        <v>3612</v>
      </c>
      <c r="V1154" s="24" t="n">
        <v>3</v>
      </c>
      <c r="W1154" s="33" t="s">
        <v>533</v>
      </c>
      <c r="X1154" s="8" t="s">
        <v>754</v>
      </c>
      <c r="Y1154" s="51" t="n">
        <f aca="false">IF(N1154="","",EDATE(N1154,IF(G1154="N",INDEX('Residual Config'!$B$31:$D$31,1,MATCH(D1154,'Residual Config'!$B$27:$D$27,0)),INDEX('Residual Config'!$B$28:$D$30,IF(T1154=1,1,IF(T1154=4,3,2)),MATCH(D1154,'Residual Config'!$B$27:$D$27,0)))))</f>
        <v>46395</v>
      </c>
      <c r="Z1154" s="7" t="str">
        <f aca="false">IF(I1154="N/A","N/A",IF(N1154="","Not tested",IF(W1154="Rejected","Evidence rejected",IF(W1154&lt;&gt;"Accepted","Evidence pending",IF(Y1154&lt;'Residual Config'!$C$4,"Overdue","Current")))))</f>
        <v>Current</v>
      </c>
      <c r="AA1154" s="34" t="n">
        <f aca="false">IF(I1154="N/A","",IF(Z1154&lt;&gt;"Current",4,IF(MAX(M1154,T1154)=0,4,MAX(M1154,T1154))))</f>
        <v>2</v>
      </c>
      <c r="AB1154" s="7" t="str">
        <f aca="false">IF(AA1154="","N/A",IF(Z1154&lt;&gt;"Current","Not tested / overdue",INDEX('Residual Config'!$B$11:$B$14,AA1154)))</f>
        <v>Largely effective</v>
      </c>
      <c r="AC1154" s="36" t="n">
        <f aca="false">IF(AA1154="","",INDEX('Residual Config'!$D$11:$D$14,AA1154))</f>
        <v>0.4</v>
      </c>
      <c r="AD1154" s="7" t="str">
        <f aca="false">IF(OR(I1154="N/A",P1154="",Q1154=""),"",IF(P1154&gt;=Q1154,"Yes","No"))</f>
        <v>Yes</v>
      </c>
      <c r="AE1154" s="8"/>
    </row>
    <row r="1155" customFormat="false" ht="15" hidden="false" customHeight="false" outlineLevel="0" collapsed="false">
      <c r="A1155" s="12" t="s">
        <v>3613</v>
      </c>
      <c r="B1155" s="26" t="str">
        <f aca="false">Entities!$A$31</f>
        <v>SG</v>
      </c>
      <c r="C1155" s="12" t="str">
        <f aca="false">INDEX(Entities!$B$5:$B$34,MATCH(B1155,Entities!$A$5:$A$34,0))</f>
        <v>Arab Bank – Singapore</v>
      </c>
      <c r="D1155" s="7" t="str">
        <f aca="false">INDEX(Entities!$F$5:$F$34,MATCH(B1155,Entities!$A$5:$A$34,0))</f>
        <v>Tier 2</v>
      </c>
      <c r="E1155" s="26" t="str">
        <f aca="false">'Control Library'!$A$37</f>
        <v>CTL-CR-02</v>
      </c>
      <c r="F1155" s="12" t="str">
        <f aca="false">INDEX('Control Library'!$B$5:$B$47,MATCH(E1155,'Control Library'!$A$5:$A$47,0))</f>
        <v>Collateral valuation and exposure limit monitoring</v>
      </c>
      <c r="G1155" s="7" t="str">
        <f aca="false">INDEX('Control Library'!$F$5:$F$47,MATCH(E1155,'Control Library'!$A$5:$A$47,0))</f>
        <v>N</v>
      </c>
      <c r="H1155" s="12" t="str">
        <f aca="false">INDEX('Control Library'!$E$5:$E$47,MATCH(E1155,'Control Library'!$A$5:$A$47,0))</f>
        <v>Monthly</v>
      </c>
      <c r="I1155" s="7" t="str">
        <f aca="false">IF(INDEX('Control Library'!$I$5:$I$47,MATCH(E1155,'Control Library'!$A$5:$A$47,0))="All","Y",IF(INDEX('Control Library'!$I$5:$I$47,MATCH(E1155,'Control Library'!$A$5:$A$47,0))="Banks only",IF(COUNTIF('Residual Config'!$L$28:$L$30,INDEX(Entities!$E$5:$E$34,MATCH(B1155,Entities!$A$5:$A$34,0)))&gt;0,"N/A","Y"),IF(INDEX(Entities!$G$5:$G$34,MATCH(B1155,Entities!$A$5:$A$34,0))="Y","Y","N/A")))</f>
        <v>Y</v>
      </c>
      <c r="J1155" s="8" t="s">
        <v>3614</v>
      </c>
      <c r="K1155" s="8" t="s">
        <v>3534</v>
      </c>
      <c r="L1155" s="7" t="str">
        <f aca="false">IF(OR(J1155="",K1155=""),"",IF(J1155=K1155,"Breach","OK"))</f>
        <v>OK</v>
      </c>
      <c r="M1155" s="24" t="n">
        <v>2</v>
      </c>
      <c r="N1155" s="50" t="n">
        <v>46149</v>
      </c>
      <c r="O1155" s="8" t="s">
        <v>545</v>
      </c>
      <c r="P1155" s="24" t="n">
        <v>3</v>
      </c>
      <c r="Q1155" s="31" t="n">
        <f aca="false">IF(I1155="N/A","",IFERROR(INDEX('Residual Config'!$B$35:$B$42,MATCH(H1155,'Residual Config'!$A$35:$A$42,0)),""))</f>
        <v>3</v>
      </c>
      <c r="R1155" s="24" t="n">
        <v>1</v>
      </c>
      <c r="S1155" s="8" t="s">
        <v>521</v>
      </c>
      <c r="T1155" s="31" t="n">
        <f aca="false">IF(S1155="","",MATCH(S1155,'Residual Config'!$L$9:$L$12,0))</f>
        <v>2</v>
      </c>
      <c r="U1155" s="8" t="s">
        <v>3615</v>
      </c>
      <c r="V1155" s="24" t="n">
        <v>1</v>
      </c>
      <c r="W1155" s="33" t="s">
        <v>533</v>
      </c>
      <c r="X1155" s="8" t="s">
        <v>754</v>
      </c>
      <c r="Y1155" s="51" t="n">
        <f aca="false">IF(N1155="","",EDATE(N1155,IF(G1155="N",INDEX('Residual Config'!$B$31:$D$31,1,MATCH(D1155,'Residual Config'!$B$27:$D$27,0)),INDEX('Residual Config'!$B$28:$D$30,IF(T1155=1,1,IF(T1155=4,3,2)),MATCH(D1155,'Residual Config'!$B$27:$D$27,0)))))</f>
        <v>46514</v>
      </c>
      <c r="Z1155" s="7" t="str">
        <f aca="false">IF(I1155="N/A","N/A",IF(N1155="","Not tested",IF(W1155="Rejected","Evidence rejected",IF(W1155&lt;&gt;"Accepted","Evidence pending",IF(Y1155&lt;'Residual Config'!$C$4,"Overdue","Current")))))</f>
        <v>Current</v>
      </c>
      <c r="AA1155" s="34" t="n">
        <f aca="false">IF(I1155="N/A","",IF(Z1155&lt;&gt;"Current",4,IF(MAX(M1155,T1155)=0,4,MAX(M1155,T1155))))</f>
        <v>2</v>
      </c>
      <c r="AB1155" s="7" t="str">
        <f aca="false">IF(AA1155="","N/A",IF(Z1155&lt;&gt;"Current","Not tested / overdue",INDEX('Residual Config'!$B$11:$B$14,AA1155)))</f>
        <v>Largely effective</v>
      </c>
      <c r="AC1155" s="36" t="n">
        <f aca="false">IF(AA1155="","",INDEX('Residual Config'!$D$11:$D$14,AA1155))</f>
        <v>0.4</v>
      </c>
      <c r="AD1155" s="7" t="str">
        <f aca="false">IF(OR(I1155="N/A",P1155="",Q1155=""),"",IF(P1155&gt;=Q1155,"Yes","No"))</f>
        <v>Yes</v>
      </c>
      <c r="AE1155" s="8"/>
    </row>
    <row r="1156" customFormat="false" ht="15" hidden="false" customHeight="false" outlineLevel="0" collapsed="false">
      <c r="A1156" s="12" t="s">
        <v>3616</v>
      </c>
      <c r="B1156" s="26" t="str">
        <f aca="false">Entities!$A$31</f>
        <v>SG</v>
      </c>
      <c r="C1156" s="12" t="str">
        <f aca="false">INDEX(Entities!$B$5:$B$34,MATCH(B1156,Entities!$A$5:$A$34,0))</f>
        <v>Arab Bank – Singapore</v>
      </c>
      <c r="D1156" s="7" t="str">
        <f aca="false">INDEX(Entities!$F$5:$F$34,MATCH(B1156,Entities!$A$5:$A$34,0))</f>
        <v>Tier 2</v>
      </c>
      <c r="E1156" s="26" t="str">
        <f aca="false">'Control Library'!$A$38</f>
        <v>CTL-MR-01</v>
      </c>
      <c r="F1156" s="12" t="str">
        <f aca="false">INDEX('Control Library'!$B$5:$B$47,MATCH(E1156,'Control Library'!$A$5:$A$47,0))</f>
        <v>Market risk limits and daily VaR monitoring</v>
      </c>
      <c r="G1156" s="7" t="str">
        <f aca="false">INDEX('Control Library'!$F$5:$F$47,MATCH(E1156,'Control Library'!$A$5:$A$47,0))</f>
        <v>Y</v>
      </c>
      <c r="H1156" s="12" t="str">
        <f aca="false">INDEX('Control Library'!$E$5:$E$47,MATCH(E1156,'Control Library'!$A$5:$A$47,0))</f>
        <v>Daily</v>
      </c>
      <c r="I1156" s="7" t="str">
        <f aca="false">IF(INDEX('Control Library'!$I$5:$I$47,MATCH(E1156,'Control Library'!$A$5:$A$47,0))="All","Y",IF(INDEX('Control Library'!$I$5:$I$47,MATCH(E1156,'Control Library'!$A$5:$A$47,0))="Banks only",IF(COUNTIF('Residual Config'!$L$28:$L$30,INDEX(Entities!$E$5:$E$34,MATCH(B1156,Entities!$A$5:$A$34,0)))&gt;0,"N/A","Y"),IF(INDEX(Entities!$G$5:$G$34,MATCH(B1156,Entities!$A$5:$A$34,0))="Y","Y","N/A")))</f>
        <v>Y</v>
      </c>
      <c r="J1156" s="8" t="s">
        <v>3614</v>
      </c>
      <c r="K1156" s="8" t="s">
        <v>3534</v>
      </c>
      <c r="L1156" s="7" t="str">
        <f aca="false">IF(OR(J1156="",K1156=""),"",IF(J1156=K1156,"Breach","OK"))</f>
        <v>OK</v>
      </c>
      <c r="M1156" s="24" t="n">
        <v>1</v>
      </c>
      <c r="N1156" s="50" t="n">
        <v>46289</v>
      </c>
      <c r="O1156" s="8" t="s">
        <v>547</v>
      </c>
      <c r="P1156" s="24" t="n">
        <v>25</v>
      </c>
      <c r="Q1156" s="31" t="n">
        <f aca="false">IF(I1156="N/A","",IFERROR(INDEX('Residual Config'!$B$35:$B$42,MATCH(H1156,'Residual Config'!$A$35:$A$42,0)),""))</f>
        <v>25</v>
      </c>
      <c r="R1156" s="24" t="n">
        <v>1</v>
      </c>
      <c r="S1156" s="8" t="s">
        <v>521</v>
      </c>
      <c r="T1156" s="31" t="n">
        <f aca="false">IF(S1156="","",MATCH(S1156,'Residual Config'!$L$9:$L$12,0))</f>
        <v>2</v>
      </c>
      <c r="U1156" s="8" t="s">
        <v>3617</v>
      </c>
      <c r="V1156" s="24" t="n">
        <v>3</v>
      </c>
      <c r="W1156" s="33" t="s">
        <v>533</v>
      </c>
      <c r="X1156" s="8" t="s">
        <v>760</v>
      </c>
      <c r="Y1156" s="51" t="n">
        <f aca="false">IF(N1156="","",EDATE(N1156,IF(G1156="N",INDEX('Residual Config'!$B$31:$D$31,1,MATCH(D1156,'Residual Config'!$B$27:$D$27,0)),INDEX('Residual Config'!$B$28:$D$30,IF(T1156=1,1,IF(T1156=4,3,2)),MATCH(D1156,'Residual Config'!$B$27:$D$27,0)))))</f>
        <v>46470</v>
      </c>
      <c r="Z1156" s="7" t="str">
        <f aca="false">IF(I1156="N/A","N/A",IF(N1156="","Not tested",IF(W1156="Rejected","Evidence rejected",IF(W1156&lt;&gt;"Accepted","Evidence pending",IF(Y1156&lt;'Residual Config'!$C$4,"Overdue","Current")))))</f>
        <v>Current</v>
      </c>
      <c r="AA1156" s="34" t="n">
        <f aca="false">IF(I1156="N/A","",IF(Z1156&lt;&gt;"Current",4,IF(MAX(M1156,T1156)=0,4,MAX(M1156,T1156))))</f>
        <v>2</v>
      </c>
      <c r="AB1156" s="7" t="str">
        <f aca="false">IF(AA1156="","N/A",IF(Z1156&lt;&gt;"Current","Not tested / overdue",INDEX('Residual Config'!$B$11:$B$14,AA1156)))</f>
        <v>Largely effective</v>
      </c>
      <c r="AC1156" s="36" t="n">
        <f aca="false">IF(AA1156="","",INDEX('Residual Config'!$D$11:$D$14,AA1156))</f>
        <v>0.4</v>
      </c>
      <c r="AD1156" s="7" t="str">
        <f aca="false">IF(OR(I1156="N/A",P1156="",Q1156=""),"",IF(P1156&gt;=Q1156,"Yes","No"))</f>
        <v>Yes</v>
      </c>
      <c r="AE1156" s="8"/>
    </row>
    <row r="1157" customFormat="false" ht="15" hidden="false" customHeight="false" outlineLevel="0" collapsed="false">
      <c r="A1157" s="12" t="s">
        <v>3618</v>
      </c>
      <c r="B1157" s="26" t="str">
        <f aca="false">Entities!$A$31</f>
        <v>SG</v>
      </c>
      <c r="C1157" s="12" t="str">
        <f aca="false">INDEX(Entities!$B$5:$B$34,MATCH(B1157,Entities!$A$5:$A$34,0))</f>
        <v>Arab Bank – Singapore</v>
      </c>
      <c r="D1157" s="7" t="str">
        <f aca="false">INDEX(Entities!$F$5:$F$34,MATCH(B1157,Entities!$A$5:$A$34,0))</f>
        <v>Tier 2</v>
      </c>
      <c r="E1157" s="26" t="str">
        <f aca="false">'Control Library'!$A$39</f>
        <v>CTL-LQ-01</v>
      </c>
      <c r="F1157" s="12" t="str">
        <f aca="false">INDEX('Control Library'!$B$5:$B$47,MATCH(E1157,'Control Library'!$A$5:$A$47,0))</f>
        <v>Liquidity buffers, LCR/NSFR monitoring and contingency funding plan</v>
      </c>
      <c r="G1157" s="7" t="str">
        <f aca="false">INDEX('Control Library'!$F$5:$F$47,MATCH(E1157,'Control Library'!$A$5:$A$47,0))</f>
        <v>Y</v>
      </c>
      <c r="H1157" s="12" t="str">
        <f aca="false">INDEX('Control Library'!$E$5:$E$47,MATCH(E1157,'Control Library'!$A$5:$A$47,0))</f>
        <v>Daily</v>
      </c>
      <c r="I1157" s="7" t="str">
        <f aca="false">IF(INDEX('Control Library'!$I$5:$I$47,MATCH(E1157,'Control Library'!$A$5:$A$47,0))="All","Y",IF(INDEX('Control Library'!$I$5:$I$47,MATCH(E1157,'Control Library'!$A$5:$A$47,0))="Banks only",IF(COUNTIF('Residual Config'!$L$28:$L$30,INDEX(Entities!$E$5:$E$34,MATCH(B1157,Entities!$A$5:$A$34,0)))&gt;0,"N/A","Y"),IF(INDEX(Entities!$G$5:$G$34,MATCH(B1157,Entities!$A$5:$A$34,0))="Y","Y","N/A")))</f>
        <v>Y</v>
      </c>
      <c r="J1157" s="8" t="s">
        <v>3619</v>
      </c>
      <c r="K1157" s="8" t="s">
        <v>3534</v>
      </c>
      <c r="L1157" s="7" t="str">
        <f aca="false">IF(OR(J1157="",K1157=""),"",IF(J1157=K1157,"Breach","OK"))</f>
        <v>OK</v>
      </c>
      <c r="M1157" s="24" t="n">
        <v>1</v>
      </c>
      <c r="N1157" s="50" t="n">
        <v>45957</v>
      </c>
      <c r="O1157" s="8" t="s">
        <v>546</v>
      </c>
      <c r="P1157" s="24" t="n">
        <v>25</v>
      </c>
      <c r="Q1157" s="31" t="n">
        <f aca="false">IF(I1157="N/A","",IFERROR(INDEX('Residual Config'!$B$35:$B$42,MATCH(H1157,'Residual Config'!$A$35:$A$42,0)),""))</f>
        <v>25</v>
      </c>
      <c r="R1157" s="24" t="n">
        <v>0</v>
      </c>
      <c r="S1157" s="8" t="s">
        <v>516</v>
      </c>
      <c r="T1157" s="31" t="n">
        <f aca="false">IF(S1157="","",MATCH(S1157,'Residual Config'!$L$9:$L$12,0))</f>
        <v>1</v>
      </c>
      <c r="U1157" s="8" t="s">
        <v>3620</v>
      </c>
      <c r="V1157" s="24" t="n">
        <v>6</v>
      </c>
      <c r="W1157" s="33" t="s">
        <v>533</v>
      </c>
      <c r="X1157" s="8" t="s">
        <v>754</v>
      </c>
      <c r="Y1157" s="51" t="n">
        <f aca="false">IF(N1157="","",EDATE(N1157,IF(G1157="N",INDEX('Residual Config'!$B$31:$D$31,1,MATCH(D1157,'Residual Config'!$B$27:$D$27,0)),INDEX('Residual Config'!$B$28:$D$30,IF(T1157=1,1,IF(T1157=4,3,2)),MATCH(D1157,'Residual Config'!$B$27:$D$27,0)))))</f>
        <v>46322</v>
      </c>
      <c r="Z1157" s="7" t="str">
        <f aca="false">IF(I1157="N/A","N/A",IF(N1157="","Not tested",IF(W1157="Rejected","Evidence rejected",IF(W1157&lt;&gt;"Accepted","Evidence pending",IF(Y1157&lt;'Residual Config'!$C$4,"Overdue","Current")))))</f>
        <v>Current</v>
      </c>
      <c r="AA1157" s="34" t="n">
        <f aca="false">IF(I1157="N/A","",IF(Z1157&lt;&gt;"Current",4,IF(MAX(M1157,T1157)=0,4,MAX(M1157,T1157))))</f>
        <v>1</v>
      </c>
      <c r="AB1157" s="7" t="str">
        <f aca="false">IF(AA1157="","N/A",IF(Z1157&lt;&gt;"Current","Not tested / overdue",INDEX('Residual Config'!$B$11:$B$14,AA1157)))</f>
        <v>Effective</v>
      </c>
      <c r="AC1157" s="36" t="n">
        <f aca="false">IF(AA1157="","",INDEX('Residual Config'!$D$11:$D$14,AA1157))</f>
        <v>0.6</v>
      </c>
      <c r="AD1157" s="7" t="str">
        <f aca="false">IF(OR(I1157="N/A",P1157="",Q1157=""),"",IF(P1157&gt;=Q1157,"Yes","No"))</f>
        <v>Yes</v>
      </c>
      <c r="AE1157" s="8"/>
    </row>
    <row r="1158" customFormat="false" ht="15" hidden="false" customHeight="false" outlineLevel="0" collapsed="false">
      <c r="A1158" s="12" t="s">
        <v>3621</v>
      </c>
      <c r="B1158" s="26" t="str">
        <f aca="false">Entities!$A$31</f>
        <v>SG</v>
      </c>
      <c r="C1158" s="12" t="str">
        <f aca="false">INDEX(Entities!$B$5:$B$34,MATCH(B1158,Entities!$A$5:$A$34,0))</f>
        <v>Arab Bank – Singapore</v>
      </c>
      <c r="D1158" s="7" t="str">
        <f aca="false">INDEX(Entities!$F$5:$F$34,MATCH(B1158,Entities!$A$5:$A$34,0))</f>
        <v>Tier 2</v>
      </c>
      <c r="E1158" s="26" t="str">
        <f aca="false">'Control Library'!$A$40</f>
        <v>CTL-OR-01</v>
      </c>
      <c r="F1158" s="12" t="str">
        <f aca="false">INDEX('Control Library'!$B$5:$B$47,MATCH(E1158,'Control Library'!$A$5:$A$47,0))</f>
        <v>Business continuity plans and annual testing</v>
      </c>
      <c r="G1158" s="7" t="str">
        <f aca="false">INDEX('Control Library'!$F$5:$F$47,MATCH(E1158,'Control Library'!$A$5:$A$47,0))</f>
        <v>Y</v>
      </c>
      <c r="H1158" s="12" t="str">
        <f aca="false">INDEX('Control Library'!$E$5:$E$47,MATCH(E1158,'Control Library'!$A$5:$A$47,0))</f>
        <v>Annual</v>
      </c>
      <c r="I1158" s="7" t="str">
        <f aca="false">IF(INDEX('Control Library'!$I$5:$I$47,MATCH(E1158,'Control Library'!$A$5:$A$47,0))="All","Y",IF(INDEX('Control Library'!$I$5:$I$47,MATCH(E1158,'Control Library'!$A$5:$A$47,0))="Banks only",IF(COUNTIF('Residual Config'!$L$28:$L$30,INDEX(Entities!$E$5:$E$34,MATCH(B1158,Entities!$A$5:$A$34,0)))&gt;0,"N/A","Y"),IF(INDEX(Entities!$G$5:$G$34,MATCH(B1158,Entities!$A$5:$A$34,0))="Y","Y","N/A")))</f>
        <v>Y</v>
      </c>
      <c r="J1158" s="8" t="s">
        <v>3622</v>
      </c>
      <c r="K1158" s="8" t="s">
        <v>3534</v>
      </c>
      <c r="L1158" s="7" t="str">
        <f aca="false">IF(OR(J1158="",K1158=""),"",IF(J1158=K1158,"Breach","OK"))</f>
        <v>OK</v>
      </c>
      <c r="M1158" s="24" t="n">
        <v>1</v>
      </c>
      <c r="N1158" s="50" t="n">
        <v>46235</v>
      </c>
      <c r="O1158" s="8" t="s">
        <v>546</v>
      </c>
      <c r="P1158" s="24" t="n">
        <v>1</v>
      </c>
      <c r="Q1158" s="31" t="n">
        <f aca="false">IF(I1158="N/A","",IFERROR(INDEX('Residual Config'!$B$35:$B$42,MATCH(H1158,'Residual Config'!$A$35:$A$42,0)),""))</f>
        <v>1</v>
      </c>
      <c r="R1158" s="24" t="n">
        <v>1</v>
      </c>
      <c r="S1158" s="8" t="s">
        <v>521</v>
      </c>
      <c r="T1158" s="31" t="n">
        <f aca="false">IF(S1158="","",MATCH(S1158,'Residual Config'!$L$9:$L$12,0))</f>
        <v>2</v>
      </c>
      <c r="U1158" s="8" t="s">
        <v>3623</v>
      </c>
      <c r="V1158" s="24" t="n">
        <v>2</v>
      </c>
      <c r="W1158" s="33" t="s">
        <v>533</v>
      </c>
      <c r="X1158" s="8" t="s">
        <v>754</v>
      </c>
      <c r="Y1158" s="51" t="n">
        <f aca="false">IF(N1158="","",EDATE(N1158,IF(G1158="N",INDEX('Residual Config'!$B$31:$D$31,1,MATCH(D1158,'Residual Config'!$B$27:$D$27,0)),INDEX('Residual Config'!$B$28:$D$30,IF(T1158=1,1,IF(T1158=4,3,2)),MATCH(D1158,'Residual Config'!$B$27:$D$27,0)))))</f>
        <v>46419</v>
      </c>
      <c r="Z1158" s="7" t="str">
        <f aca="false">IF(I1158="N/A","N/A",IF(N1158="","Not tested",IF(W1158="Rejected","Evidence rejected",IF(W1158&lt;&gt;"Accepted","Evidence pending",IF(Y1158&lt;'Residual Config'!$C$4,"Overdue","Current")))))</f>
        <v>Current</v>
      </c>
      <c r="AA1158" s="34" t="n">
        <f aca="false">IF(I1158="N/A","",IF(Z1158&lt;&gt;"Current",4,IF(MAX(M1158,T1158)=0,4,MAX(M1158,T1158))))</f>
        <v>2</v>
      </c>
      <c r="AB1158" s="7" t="str">
        <f aca="false">IF(AA1158="","N/A",IF(Z1158&lt;&gt;"Current","Not tested / overdue",INDEX('Residual Config'!$B$11:$B$14,AA1158)))</f>
        <v>Largely effective</v>
      </c>
      <c r="AC1158" s="36" t="n">
        <f aca="false">IF(AA1158="","",INDEX('Residual Config'!$D$11:$D$14,AA1158))</f>
        <v>0.4</v>
      </c>
      <c r="AD1158" s="7" t="str">
        <f aca="false">IF(OR(I1158="N/A",P1158="",Q1158=""),"",IF(P1158&gt;=Q1158,"Yes","No"))</f>
        <v>Yes</v>
      </c>
      <c r="AE1158" s="8"/>
    </row>
    <row r="1159" customFormat="false" ht="15" hidden="false" customHeight="false" outlineLevel="0" collapsed="false">
      <c r="A1159" s="12" t="s">
        <v>3624</v>
      </c>
      <c r="B1159" s="26" t="str">
        <f aca="false">Entities!$A$31</f>
        <v>SG</v>
      </c>
      <c r="C1159" s="12" t="str">
        <f aca="false">INDEX(Entities!$B$5:$B$34,MATCH(B1159,Entities!$A$5:$A$34,0))</f>
        <v>Arab Bank – Singapore</v>
      </c>
      <c r="D1159" s="7" t="str">
        <f aca="false">INDEX(Entities!$F$5:$F$34,MATCH(B1159,Entities!$A$5:$A$34,0))</f>
        <v>Tier 2</v>
      </c>
      <c r="E1159" s="26" t="str">
        <f aca="false">'Control Library'!$A$41</f>
        <v>CTL-OR-02</v>
      </c>
      <c r="F1159" s="12" t="str">
        <f aca="false">INDEX('Control Library'!$B$5:$B$47,MATCH(E1159,'Control Library'!$A$5:$A$47,0))</f>
        <v>Operational loss event capture and RCSA</v>
      </c>
      <c r="G1159" s="7" t="str">
        <f aca="false">INDEX('Control Library'!$F$5:$F$47,MATCH(E1159,'Control Library'!$A$5:$A$47,0))</f>
        <v>N</v>
      </c>
      <c r="H1159" s="12" t="str">
        <f aca="false">INDEX('Control Library'!$E$5:$E$47,MATCH(E1159,'Control Library'!$A$5:$A$47,0))</f>
        <v>Quarterly</v>
      </c>
      <c r="I1159" s="7" t="str">
        <f aca="false">IF(INDEX('Control Library'!$I$5:$I$47,MATCH(E1159,'Control Library'!$A$5:$A$47,0))="All","Y",IF(INDEX('Control Library'!$I$5:$I$47,MATCH(E1159,'Control Library'!$A$5:$A$47,0))="Banks only",IF(COUNTIF('Residual Config'!$L$28:$L$30,INDEX(Entities!$E$5:$E$34,MATCH(B1159,Entities!$A$5:$A$34,0)))&gt;0,"N/A","Y"),IF(INDEX(Entities!$G$5:$G$34,MATCH(B1159,Entities!$A$5:$A$34,0))="Y","Y","N/A")))</f>
        <v>Y</v>
      </c>
      <c r="J1159" s="8" t="s">
        <v>3614</v>
      </c>
      <c r="K1159" s="8" t="s">
        <v>3534</v>
      </c>
      <c r="L1159" s="7" t="str">
        <f aca="false">IF(OR(J1159="",K1159=""),"",IF(J1159=K1159,"Breach","OK"))</f>
        <v>OK</v>
      </c>
      <c r="M1159" s="24" t="n">
        <v>1</v>
      </c>
      <c r="N1159" s="50" t="n">
        <v>46164</v>
      </c>
      <c r="O1159" s="8" t="s">
        <v>545</v>
      </c>
      <c r="P1159" s="24" t="n">
        <v>2</v>
      </c>
      <c r="Q1159" s="31" t="n">
        <f aca="false">IF(I1159="N/A","",IFERROR(INDEX('Residual Config'!$B$35:$B$42,MATCH(H1159,'Residual Config'!$A$35:$A$42,0)),""))</f>
        <v>2</v>
      </c>
      <c r="R1159" s="24" t="n">
        <v>1</v>
      </c>
      <c r="S1159" s="8" t="s">
        <v>521</v>
      </c>
      <c r="T1159" s="31" t="n">
        <f aca="false">IF(S1159="","",MATCH(S1159,'Residual Config'!$L$9:$L$12,0))</f>
        <v>2</v>
      </c>
      <c r="U1159" s="8" t="s">
        <v>3625</v>
      </c>
      <c r="V1159" s="24" t="n">
        <v>1</v>
      </c>
      <c r="W1159" s="33" t="s">
        <v>533</v>
      </c>
      <c r="X1159" s="8" t="s">
        <v>760</v>
      </c>
      <c r="Y1159" s="51" t="n">
        <f aca="false">IF(N1159="","",EDATE(N1159,IF(G1159="N",INDEX('Residual Config'!$B$31:$D$31,1,MATCH(D1159,'Residual Config'!$B$27:$D$27,0)),INDEX('Residual Config'!$B$28:$D$30,IF(T1159=1,1,IF(T1159=4,3,2)),MATCH(D1159,'Residual Config'!$B$27:$D$27,0)))))</f>
        <v>46529</v>
      </c>
      <c r="Z1159" s="7" t="str">
        <f aca="false">IF(I1159="N/A","N/A",IF(N1159="","Not tested",IF(W1159="Rejected","Evidence rejected",IF(W1159&lt;&gt;"Accepted","Evidence pending",IF(Y1159&lt;'Residual Config'!$C$4,"Overdue","Current")))))</f>
        <v>Current</v>
      </c>
      <c r="AA1159" s="34" t="n">
        <f aca="false">IF(I1159="N/A","",IF(Z1159&lt;&gt;"Current",4,IF(MAX(M1159,T1159)=0,4,MAX(M1159,T1159))))</f>
        <v>2</v>
      </c>
      <c r="AB1159" s="7" t="str">
        <f aca="false">IF(AA1159="","N/A",IF(Z1159&lt;&gt;"Current","Not tested / overdue",INDEX('Residual Config'!$B$11:$B$14,AA1159)))</f>
        <v>Largely effective</v>
      </c>
      <c r="AC1159" s="36" t="n">
        <f aca="false">IF(AA1159="","",INDEX('Residual Config'!$D$11:$D$14,AA1159))</f>
        <v>0.4</v>
      </c>
      <c r="AD1159" s="7" t="str">
        <f aca="false">IF(OR(I1159="N/A",P1159="",Q1159=""),"",IF(P1159&gt;=Q1159,"Yes","No"))</f>
        <v>Yes</v>
      </c>
      <c r="AE1159" s="8"/>
    </row>
    <row r="1160" customFormat="false" ht="15" hidden="false" customHeight="false" outlineLevel="0" collapsed="false">
      <c r="A1160" s="12" t="s">
        <v>3626</v>
      </c>
      <c r="B1160" s="26" t="str">
        <f aca="false">Entities!$A$31</f>
        <v>SG</v>
      </c>
      <c r="C1160" s="12" t="str">
        <f aca="false">INDEX(Entities!$B$5:$B$34,MATCH(B1160,Entities!$A$5:$A$34,0))</f>
        <v>Arab Bank – Singapore</v>
      </c>
      <c r="D1160" s="7" t="str">
        <f aca="false">INDEX(Entities!$F$5:$F$34,MATCH(B1160,Entities!$A$5:$A$34,0))</f>
        <v>Tier 2</v>
      </c>
      <c r="E1160" s="26" t="str">
        <f aca="false">'Control Library'!$A$42</f>
        <v>CTL-CY-01</v>
      </c>
      <c r="F1160" s="12" t="str">
        <f aca="false">INDEX('Control Library'!$B$5:$B$47,MATCH(E1160,'Control Library'!$A$5:$A$47,0))</f>
        <v>Vulnerability and patch management</v>
      </c>
      <c r="G1160" s="7" t="str">
        <f aca="false">INDEX('Control Library'!$F$5:$F$47,MATCH(E1160,'Control Library'!$A$5:$A$47,0))</f>
        <v>Y</v>
      </c>
      <c r="H1160" s="12" t="str">
        <f aca="false">INDEX('Control Library'!$E$5:$E$47,MATCH(E1160,'Control Library'!$A$5:$A$47,0))</f>
        <v>Monthly</v>
      </c>
      <c r="I1160" s="7" t="str">
        <f aca="false">IF(INDEX('Control Library'!$I$5:$I$47,MATCH(E1160,'Control Library'!$A$5:$A$47,0))="All","Y",IF(INDEX('Control Library'!$I$5:$I$47,MATCH(E1160,'Control Library'!$A$5:$A$47,0))="Banks only",IF(COUNTIF('Residual Config'!$L$28:$L$30,INDEX(Entities!$E$5:$E$34,MATCH(B1160,Entities!$A$5:$A$34,0)))&gt;0,"N/A","Y"),IF(INDEX(Entities!$G$5:$G$34,MATCH(B1160,Entities!$A$5:$A$34,0))="Y","Y","N/A")))</f>
        <v>Y</v>
      </c>
      <c r="J1160" s="8" t="s">
        <v>3558</v>
      </c>
      <c r="K1160" s="8" t="s">
        <v>3534</v>
      </c>
      <c r="L1160" s="7" t="str">
        <f aca="false">IF(OR(J1160="",K1160=""),"",IF(J1160=K1160,"Breach","OK"))</f>
        <v>OK</v>
      </c>
      <c r="M1160" s="24" t="n">
        <v>2</v>
      </c>
      <c r="N1160" s="50" t="n">
        <v>46106</v>
      </c>
      <c r="O1160" s="8" t="s">
        <v>545</v>
      </c>
      <c r="P1160" s="24" t="n">
        <v>3</v>
      </c>
      <c r="Q1160" s="31" t="n">
        <f aca="false">IF(I1160="N/A","",IFERROR(INDEX('Residual Config'!$B$35:$B$42,MATCH(H1160,'Residual Config'!$A$35:$A$42,0)),""))</f>
        <v>3</v>
      </c>
      <c r="R1160" s="24" t="n">
        <v>0</v>
      </c>
      <c r="S1160" s="8" t="s">
        <v>516</v>
      </c>
      <c r="T1160" s="31" t="n">
        <f aca="false">IF(S1160="","",MATCH(S1160,'Residual Config'!$L$9:$L$12,0))</f>
        <v>1</v>
      </c>
      <c r="U1160" s="8" t="s">
        <v>3627</v>
      </c>
      <c r="V1160" s="24" t="n">
        <v>5</v>
      </c>
      <c r="W1160" s="33" t="s">
        <v>533</v>
      </c>
      <c r="X1160" s="8" t="s">
        <v>754</v>
      </c>
      <c r="Y1160" s="51" t="n">
        <f aca="false">IF(N1160="","",EDATE(N1160,IF(G1160="N",INDEX('Residual Config'!$B$31:$D$31,1,MATCH(D1160,'Residual Config'!$B$27:$D$27,0)),INDEX('Residual Config'!$B$28:$D$30,IF(T1160=1,1,IF(T1160=4,3,2)),MATCH(D1160,'Residual Config'!$B$27:$D$27,0)))))</f>
        <v>46471</v>
      </c>
      <c r="Z1160" s="7" t="str">
        <f aca="false">IF(I1160="N/A","N/A",IF(N1160="","Not tested",IF(W1160="Rejected","Evidence rejected",IF(W1160&lt;&gt;"Accepted","Evidence pending",IF(Y1160&lt;'Residual Config'!$C$4,"Overdue","Current")))))</f>
        <v>Current</v>
      </c>
      <c r="AA1160" s="34" t="n">
        <f aca="false">IF(I1160="N/A","",IF(Z1160&lt;&gt;"Current",4,IF(MAX(M1160,T1160)=0,4,MAX(M1160,T1160))))</f>
        <v>2</v>
      </c>
      <c r="AB1160" s="7" t="str">
        <f aca="false">IF(AA1160="","N/A",IF(Z1160&lt;&gt;"Current","Not tested / overdue",INDEX('Residual Config'!$B$11:$B$14,AA1160)))</f>
        <v>Largely effective</v>
      </c>
      <c r="AC1160" s="36" t="n">
        <f aca="false">IF(AA1160="","",INDEX('Residual Config'!$D$11:$D$14,AA1160))</f>
        <v>0.4</v>
      </c>
      <c r="AD1160" s="7" t="str">
        <f aca="false">IF(OR(I1160="N/A",P1160="",Q1160=""),"",IF(P1160&gt;=Q1160,"Yes","No"))</f>
        <v>Yes</v>
      </c>
      <c r="AE1160" s="8"/>
    </row>
    <row r="1161" customFormat="false" ht="15" hidden="false" customHeight="false" outlineLevel="0" collapsed="false">
      <c r="A1161" s="12" t="s">
        <v>3628</v>
      </c>
      <c r="B1161" s="26" t="str">
        <f aca="false">Entities!$A$31</f>
        <v>SG</v>
      </c>
      <c r="C1161" s="12" t="str">
        <f aca="false">INDEX(Entities!$B$5:$B$34,MATCH(B1161,Entities!$A$5:$A$34,0))</f>
        <v>Arab Bank – Singapore</v>
      </c>
      <c r="D1161" s="7" t="str">
        <f aca="false">INDEX(Entities!$F$5:$F$34,MATCH(B1161,Entities!$A$5:$A$34,0))</f>
        <v>Tier 2</v>
      </c>
      <c r="E1161" s="26" t="str">
        <f aca="false">'Control Library'!$A$43</f>
        <v>CTL-CY-02</v>
      </c>
      <c r="F1161" s="12" t="str">
        <f aca="false">INDEX('Control Library'!$B$5:$B$47,MATCH(E1161,'Control Library'!$A$5:$A$47,0))</f>
        <v>Privileged access management and SOC monitoring</v>
      </c>
      <c r="G1161" s="7" t="str">
        <f aca="false">INDEX('Control Library'!$F$5:$F$47,MATCH(E1161,'Control Library'!$A$5:$A$47,0))</f>
        <v>Y</v>
      </c>
      <c r="H1161" s="12" t="str">
        <f aca="false">INDEX('Control Library'!$E$5:$E$47,MATCH(E1161,'Control Library'!$A$5:$A$47,0))</f>
        <v>Continuous</v>
      </c>
      <c r="I1161" s="7" t="str">
        <f aca="false">IF(INDEX('Control Library'!$I$5:$I$47,MATCH(E1161,'Control Library'!$A$5:$A$47,0))="All","Y",IF(INDEX('Control Library'!$I$5:$I$47,MATCH(E1161,'Control Library'!$A$5:$A$47,0))="Banks only",IF(COUNTIF('Residual Config'!$L$28:$L$30,INDEX(Entities!$E$5:$E$34,MATCH(B1161,Entities!$A$5:$A$34,0)))&gt;0,"N/A","Y"),IF(INDEX(Entities!$G$5:$G$34,MATCH(B1161,Entities!$A$5:$A$34,0))="Y","Y","N/A")))</f>
        <v>Y</v>
      </c>
      <c r="J1161" s="8" t="s">
        <v>3607</v>
      </c>
      <c r="K1161" s="8" t="s">
        <v>3534</v>
      </c>
      <c r="L1161" s="7" t="str">
        <f aca="false">IF(OR(J1161="",K1161=""),"",IF(J1161=K1161,"Breach","OK"))</f>
        <v>OK</v>
      </c>
      <c r="M1161" s="24" t="n">
        <v>1</v>
      </c>
      <c r="N1161" s="50" t="n">
        <v>46212</v>
      </c>
      <c r="O1161" s="8" t="s">
        <v>546</v>
      </c>
      <c r="P1161" s="24" t="n">
        <v>1</v>
      </c>
      <c r="Q1161" s="31" t="n">
        <f aca="false">IF(I1161="N/A","",IFERROR(INDEX('Residual Config'!$B$35:$B$42,MATCH(H1161,'Residual Config'!$A$35:$A$42,0)),""))</f>
        <v>1</v>
      </c>
      <c r="R1161" s="24" t="n">
        <v>1</v>
      </c>
      <c r="S1161" s="8" t="s">
        <v>521</v>
      </c>
      <c r="T1161" s="31" t="n">
        <f aca="false">IF(S1161="","",MATCH(S1161,'Residual Config'!$L$9:$L$12,0))</f>
        <v>2</v>
      </c>
      <c r="U1161" s="8" t="s">
        <v>3629</v>
      </c>
      <c r="V1161" s="24" t="n">
        <v>5</v>
      </c>
      <c r="W1161" s="33" t="s">
        <v>533</v>
      </c>
      <c r="X1161" s="8" t="s">
        <v>754</v>
      </c>
      <c r="Y1161" s="51" t="n">
        <f aca="false">IF(N1161="","",EDATE(N1161,IF(G1161="N",INDEX('Residual Config'!$B$31:$D$31,1,MATCH(D1161,'Residual Config'!$B$27:$D$27,0)),INDEX('Residual Config'!$B$28:$D$30,IF(T1161=1,1,IF(T1161=4,3,2)),MATCH(D1161,'Residual Config'!$B$27:$D$27,0)))))</f>
        <v>46396</v>
      </c>
      <c r="Z1161" s="7" t="str">
        <f aca="false">IF(I1161="N/A","N/A",IF(N1161="","Not tested",IF(W1161="Rejected","Evidence rejected",IF(W1161&lt;&gt;"Accepted","Evidence pending",IF(Y1161&lt;'Residual Config'!$C$4,"Overdue","Current")))))</f>
        <v>Current</v>
      </c>
      <c r="AA1161" s="34" t="n">
        <f aca="false">IF(I1161="N/A","",IF(Z1161&lt;&gt;"Current",4,IF(MAX(M1161,T1161)=0,4,MAX(M1161,T1161))))</f>
        <v>2</v>
      </c>
      <c r="AB1161" s="7" t="str">
        <f aca="false">IF(AA1161="","N/A",IF(Z1161&lt;&gt;"Current","Not tested / overdue",INDEX('Residual Config'!$B$11:$B$14,AA1161)))</f>
        <v>Largely effective</v>
      </c>
      <c r="AC1161" s="36" t="n">
        <f aca="false">IF(AA1161="","",INDEX('Residual Config'!$D$11:$D$14,AA1161))</f>
        <v>0.4</v>
      </c>
      <c r="AD1161" s="7" t="str">
        <f aca="false">IF(OR(I1161="N/A",P1161="",Q1161=""),"",IF(P1161&gt;=Q1161,"Yes","No"))</f>
        <v>Yes</v>
      </c>
      <c r="AE1161" s="8"/>
    </row>
    <row r="1162" customFormat="false" ht="15" hidden="false" customHeight="false" outlineLevel="0" collapsed="false">
      <c r="A1162" s="12" t="s">
        <v>3630</v>
      </c>
      <c r="B1162" s="26" t="str">
        <f aca="false">Entities!$A$31</f>
        <v>SG</v>
      </c>
      <c r="C1162" s="12" t="str">
        <f aca="false">INDEX(Entities!$B$5:$B$34,MATCH(B1162,Entities!$A$5:$A$34,0))</f>
        <v>Arab Bank – Singapore</v>
      </c>
      <c r="D1162" s="7" t="str">
        <f aca="false">INDEX(Entities!$F$5:$F$34,MATCH(B1162,Entities!$A$5:$A$34,0))</f>
        <v>Tier 2</v>
      </c>
      <c r="E1162" s="26" t="str">
        <f aca="false">'Control Library'!$A$44</f>
        <v>CTL-TP-01</v>
      </c>
      <c r="F1162" s="12" t="str">
        <f aca="false">INDEX('Control Library'!$B$5:$B$47,MATCH(E1162,'Control Library'!$A$5:$A$47,0))</f>
        <v>Critical vendor due diligence and tested exit plans</v>
      </c>
      <c r="G1162" s="7" t="str">
        <f aca="false">INDEX('Control Library'!$F$5:$F$47,MATCH(E1162,'Control Library'!$A$5:$A$47,0))</f>
        <v>Y</v>
      </c>
      <c r="H1162" s="12" t="str">
        <f aca="false">INDEX('Control Library'!$E$5:$E$47,MATCH(E1162,'Control Library'!$A$5:$A$47,0))</f>
        <v>Annual</v>
      </c>
      <c r="I1162" s="7" t="str">
        <f aca="false">IF(INDEX('Control Library'!$I$5:$I$47,MATCH(E1162,'Control Library'!$A$5:$A$47,0))="All","Y",IF(INDEX('Control Library'!$I$5:$I$47,MATCH(E1162,'Control Library'!$A$5:$A$47,0))="Banks only",IF(COUNTIF('Residual Config'!$L$28:$L$30,INDEX(Entities!$E$5:$E$34,MATCH(B1162,Entities!$A$5:$A$34,0)))&gt;0,"N/A","Y"),IF(INDEX(Entities!$G$5:$G$34,MATCH(B1162,Entities!$A$5:$A$34,0))="Y","Y","N/A")))</f>
        <v>Y</v>
      </c>
      <c r="J1162" s="8" t="s">
        <v>3575</v>
      </c>
      <c r="K1162" s="8" t="s">
        <v>3534</v>
      </c>
      <c r="L1162" s="7" t="str">
        <f aca="false">IF(OR(J1162="",K1162=""),"",IF(J1162=K1162,"Breach","OK"))</f>
        <v>OK</v>
      </c>
      <c r="M1162" s="24" t="n">
        <v>1</v>
      </c>
      <c r="N1162" s="50" t="n">
        <v>46004</v>
      </c>
      <c r="O1162" s="8" t="s">
        <v>545</v>
      </c>
      <c r="P1162" s="24" t="n">
        <v>1</v>
      </c>
      <c r="Q1162" s="31" t="n">
        <f aca="false">IF(I1162="N/A","",IFERROR(INDEX('Residual Config'!$B$35:$B$42,MATCH(H1162,'Residual Config'!$A$35:$A$42,0)),""))</f>
        <v>1</v>
      </c>
      <c r="R1162" s="24" t="n">
        <v>0</v>
      </c>
      <c r="S1162" s="8" t="s">
        <v>516</v>
      </c>
      <c r="T1162" s="31" t="n">
        <f aca="false">IF(S1162="","",MATCH(S1162,'Residual Config'!$L$9:$L$12,0))</f>
        <v>1</v>
      </c>
      <c r="U1162" s="8" t="s">
        <v>3631</v>
      </c>
      <c r="V1162" s="24" t="n">
        <v>5</v>
      </c>
      <c r="W1162" s="33" t="s">
        <v>533</v>
      </c>
      <c r="X1162" s="8" t="s">
        <v>760</v>
      </c>
      <c r="Y1162" s="51" t="n">
        <f aca="false">IF(N1162="","",EDATE(N1162,IF(G1162="N",INDEX('Residual Config'!$B$31:$D$31,1,MATCH(D1162,'Residual Config'!$B$27:$D$27,0)),INDEX('Residual Config'!$B$28:$D$30,IF(T1162=1,1,IF(T1162=4,3,2)),MATCH(D1162,'Residual Config'!$B$27:$D$27,0)))))</f>
        <v>46369</v>
      </c>
      <c r="Z1162" s="7" t="str">
        <f aca="false">IF(I1162="N/A","N/A",IF(N1162="","Not tested",IF(W1162="Rejected","Evidence rejected",IF(W1162&lt;&gt;"Accepted","Evidence pending",IF(Y1162&lt;'Residual Config'!$C$4,"Overdue","Current")))))</f>
        <v>Current</v>
      </c>
      <c r="AA1162" s="34" t="n">
        <f aca="false">IF(I1162="N/A","",IF(Z1162&lt;&gt;"Current",4,IF(MAX(M1162,T1162)=0,4,MAX(M1162,T1162))))</f>
        <v>1</v>
      </c>
      <c r="AB1162" s="7" t="str">
        <f aca="false">IF(AA1162="","N/A",IF(Z1162&lt;&gt;"Current","Not tested / overdue",INDEX('Residual Config'!$B$11:$B$14,AA1162)))</f>
        <v>Effective</v>
      </c>
      <c r="AC1162" s="36" t="n">
        <f aca="false">IF(AA1162="","",INDEX('Residual Config'!$D$11:$D$14,AA1162))</f>
        <v>0.6</v>
      </c>
      <c r="AD1162" s="7" t="str">
        <f aca="false">IF(OR(I1162="N/A",P1162="",Q1162=""),"",IF(P1162&gt;=Q1162,"Yes","No"))</f>
        <v>Yes</v>
      </c>
      <c r="AE1162" s="8"/>
    </row>
    <row r="1163" customFormat="false" ht="15" hidden="false" customHeight="false" outlineLevel="0" collapsed="false">
      <c r="A1163" s="12" t="s">
        <v>3632</v>
      </c>
      <c r="B1163" s="26" t="str">
        <f aca="false">Entities!$A$31</f>
        <v>SG</v>
      </c>
      <c r="C1163" s="12" t="str">
        <f aca="false">INDEX(Entities!$B$5:$B$34,MATCH(B1163,Entities!$A$5:$A$34,0))</f>
        <v>Arab Bank – Singapore</v>
      </c>
      <c r="D1163" s="7" t="str">
        <f aca="false">INDEX(Entities!$F$5:$F$34,MATCH(B1163,Entities!$A$5:$A$34,0))</f>
        <v>Tier 2</v>
      </c>
      <c r="E1163" s="26" t="str">
        <f aca="false">'Control Library'!$A$45</f>
        <v>CTL-LG-01</v>
      </c>
      <c r="F1163" s="12" t="str">
        <f aca="false">INDEX('Control Library'!$B$5:$B$47,MATCH(E1163,'Control Library'!$A$5:$A$47,0))</f>
        <v>Legal review of contracts and litigation register</v>
      </c>
      <c r="G1163" s="7" t="str">
        <f aca="false">INDEX('Control Library'!$F$5:$F$47,MATCH(E1163,'Control Library'!$A$5:$A$47,0))</f>
        <v>Y</v>
      </c>
      <c r="H1163" s="12" t="str">
        <f aca="false">INDEX('Control Library'!$E$5:$E$47,MATCH(E1163,'Control Library'!$A$5:$A$47,0))</f>
        <v>Event-driven</v>
      </c>
      <c r="I1163" s="7" t="str">
        <f aca="false">IF(INDEX('Control Library'!$I$5:$I$47,MATCH(E1163,'Control Library'!$A$5:$A$47,0))="All","Y",IF(INDEX('Control Library'!$I$5:$I$47,MATCH(E1163,'Control Library'!$A$5:$A$47,0))="Banks only",IF(COUNTIF('Residual Config'!$L$28:$L$30,INDEX(Entities!$E$5:$E$34,MATCH(B1163,Entities!$A$5:$A$34,0)))&gt;0,"N/A","Y"),IF(INDEX(Entities!$G$5:$G$34,MATCH(B1163,Entities!$A$5:$A$34,0))="Y","Y","N/A")))</f>
        <v>Y</v>
      </c>
      <c r="J1163" s="8" t="s">
        <v>3633</v>
      </c>
      <c r="K1163" s="8" t="s">
        <v>3534</v>
      </c>
      <c r="L1163" s="7" t="str">
        <f aca="false">IF(OR(J1163="",K1163=""),"",IF(J1163=K1163,"Breach","OK"))</f>
        <v>OK</v>
      </c>
      <c r="M1163" s="24" t="n">
        <v>1</v>
      </c>
      <c r="N1163" s="50" t="n">
        <v>46195</v>
      </c>
      <c r="O1163" s="8" t="s">
        <v>545</v>
      </c>
      <c r="P1163" s="24" t="n">
        <v>35</v>
      </c>
      <c r="Q1163" s="31" t="n">
        <f aca="false">IF(I1163="N/A","",IFERROR(INDEX('Residual Config'!$B$35:$B$42,MATCH(H1163,'Residual Config'!$A$35:$A$42,0)),""))</f>
        <v>25</v>
      </c>
      <c r="R1163" s="24" t="n">
        <v>0</v>
      </c>
      <c r="S1163" s="8" t="s">
        <v>516</v>
      </c>
      <c r="T1163" s="31" t="n">
        <f aca="false">IF(S1163="","",MATCH(S1163,'Residual Config'!$L$9:$L$12,0))</f>
        <v>1</v>
      </c>
      <c r="U1163" s="8" t="s">
        <v>3634</v>
      </c>
      <c r="V1163" s="24" t="n">
        <v>3</v>
      </c>
      <c r="W1163" s="33" t="s">
        <v>533</v>
      </c>
      <c r="X1163" s="8" t="s">
        <v>760</v>
      </c>
      <c r="Y1163" s="51" t="n">
        <f aca="false">IF(N1163="","",EDATE(N1163,IF(G1163="N",INDEX('Residual Config'!$B$31:$D$31,1,MATCH(D1163,'Residual Config'!$B$27:$D$27,0)),INDEX('Residual Config'!$B$28:$D$30,IF(T1163=1,1,IF(T1163=4,3,2)),MATCH(D1163,'Residual Config'!$B$27:$D$27,0)))))</f>
        <v>46560</v>
      </c>
      <c r="Z1163" s="7" t="str">
        <f aca="false">IF(I1163="N/A","N/A",IF(N1163="","Not tested",IF(W1163="Rejected","Evidence rejected",IF(W1163&lt;&gt;"Accepted","Evidence pending",IF(Y1163&lt;'Residual Config'!$C$4,"Overdue","Current")))))</f>
        <v>Current</v>
      </c>
      <c r="AA1163" s="34" t="n">
        <f aca="false">IF(I1163="N/A","",IF(Z1163&lt;&gt;"Current",4,IF(MAX(M1163,T1163)=0,4,MAX(M1163,T1163))))</f>
        <v>1</v>
      </c>
      <c r="AB1163" s="7" t="str">
        <f aca="false">IF(AA1163="","N/A",IF(Z1163&lt;&gt;"Current","Not tested / overdue",INDEX('Residual Config'!$B$11:$B$14,AA1163)))</f>
        <v>Effective</v>
      </c>
      <c r="AC1163" s="36" t="n">
        <f aca="false">IF(AA1163="","",INDEX('Residual Config'!$D$11:$D$14,AA1163))</f>
        <v>0.6</v>
      </c>
      <c r="AD1163" s="7" t="str">
        <f aca="false">IF(OR(I1163="N/A",P1163="",Q1163=""),"",IF(P1163&gt;=Q1163,"Yes","No"))</f>
        <v>Yes</v>
      </c>
      <c r="AE1163" s="8"/>
    </row>
    <row r="1164" customFormat="false" ht="15" hidden="false" customHeight="false" outlineLevel="0" collapsed="false">
      <c r="A1164" s="12" t="s">
        <v>3635</v>
      </c>
      <c r="B1164" s="26" t="str">
        <f aca="false">Entities!$A$31</f>
        <v>SG</v>
      </c>
      <c r="C1164" s="12" t="str">
        <f aca="false">INDEX(Entities!$B$5:$B$34,MATCH(B1164,Entities!$A$5:$A$34,0))</f>
        <v>Arab Bank – Singapore</v>
      </c>
      <c r="D1164" s="7" t="str">
        <f aca="false">INDEX(Entities!$F$5:$F$34,MATCH(B1164,Entities!$A$5:$A$34,0))</f>
        <v>Tier 2</v>
      </c>
      <c r="E1164" s="26" t="str">
        <f aca="false">'Control Library'!$A$46</f>
        <v>CTL-RP-01</v>
      </c>
      <c r="F1164" s="12" t="str">
        <f aca="false">INDEX('Control Library'!$B$5:$B$47,MATCH(E1164,'Control Library'!$A$5:$A$47,0))</f>
        <v>Media monitoring and reputational-risk escalation</v>
      </c>
      <c r="G1164" s="7" t="str">
        <f aca="false">INDEX('Control Library'!$F$5:$F$47,MATCH(E1164,'Control Library'!$A$5:$A$47,0))</f>
        <v>Y</v>
      </c>
      <c r="H1164" s="12" t="str">
        <f aca="false">INDEX('Control Library'!$E$5:$E$47,MATCH(E1164,'Control Library'!$A$5:$A$47,0))</f>
        <v>Daily</v>
      </c>
      <c r="I1164" s="7" t="str">
        <f aca="false">IF(INDEX('Control Library'!$I$5:$I$47,MATCH(E1164,'Control Library'!$A$5:$A$47,0))="All","Y",IF(INDEX('Control Library'!$I$5:$I$47,MATCH(E1164,'Control Library'!$A$5:$A$47,0))="Banks only",IF(COUNTIF('Residual Config'!$L$28:$L$30,INDEX(Entities!$E$5:$E$34,MATCH(B1164,Entities!$A$5:$A$34,0)))&gt;0,"N/A","Y"),IF(INDEX(Entities!$G$5:$G$34,MATCH(B1164,Entities!$A$5:$A$34,0))="Y","Y","N/A")))</f>
        <v>Y</v>
      </c>
      <c r="J1164" s="8" t="s">
        <v>3636</v>
      </c>
      <c r="K1164" s="8" t="s">
        <v>3534</v>
      </c>
      <c r="L1164" s="7" t="str">
        <f aca="false">IF(OR(J1164="",K1164=""),"",IF(J1164=K1164,"Breach","OK"))</f>
        <v>OK</v>
      </c>
      <c r="M1164" s="24" t="n">
        <v>1</v>
      </c>
      <c r="N1164" s="50" t="n">
        <v>46103</v>
      </c>
      <c r="O1164" s="8" t="s">
        <v>545</v>
      </c>
      <c r="P1164" s="24" t="n">
        <v>25</v>
      </c>
      <c r="Q1164" s="31" t="n">
        <f aca="false">IF(I1164="N/A","",IFERROR(INDEX('Residual Config'!$B$35:$B$42,MATCH(H1164,'Residual Config'!$A$35:$A$42,0)),""))</f>
        <v>25</v>
      </c>
      <c r="R1164" s="24" t="n">
        <v>0</v>
      </c>
      <c r="S1164" s="8" t="s">
        <v>516</v>
      </c>
      <c r="T1164" s="31" t="n">
        <f aca="false">IF(S1164="","",MATCH(S1164,'Residual Config'!$L$9:$L$12,0))</f>
        <v>1</v>
      </c>
      <c r="U1164" s="8" t="s">
        <v>3637</v>
      </c>
      <c r="V1164" s="24" t="n">
        <v>5</v>
      </c>
      <c r="W1164" s="33" t="s">
        <v>533</v>
      </c>
      <c r="X1164" s="8" t="s">
        <v>760</v>
      </c>
      <c r="Y1164" s="51" t="n">
        <f aca="false">IF(N1164="","",EDATE(N1164,IF(G1164="N",INDEX('Residual Config'!$B$31:$D$31,1,MATCH(D1164,'Residual Config'!$B$27:$D$27,0)),INDEX('Residual Config'!$B$28:$D$30,IF(T1164=1,1,IF(T1164=4,3,2)),MATCH(D1164,'Residual Config'!$B$27:$D$27,0)))))</f>
        <v>46468</v>
      </c>
      <c r="Z1164" s="7" t="str">
        <f aca="false">IF(I1164="N/A","N/A",IF(N1164="","Not tested",IF(W1164="Rejected","Evidence rejected",IF(W1164&lt;&gt;"Accepted","Evidence pending",IF(Y1164&lt;'Residual Config'!$C$4,"Overdue","Current")))))</f>
        <v>Current</v>
      </c>
      <c r="AA1164" s="34" t="n">
        <f aca="false">IF(I1164="N/A","",IF(Z1164&lt;&gt;"Current",4,IF(MAX(M1164,T1164)=0,4,MAX(M1164,T1164))))</f>
        <v>1</v>
      </c>
      <c r="AB1164" s="7" t="str">
        <f aca="false">IF(AA1164="","N/A",IF(Z1164&lt;&gt;"Current","Not tested / overdue",INDEX('Residual Config'!$B$11:$B$14,AA1164)))</f>
        <v>Effective</v>
      </c>
      <c r="AC1164" s="36" t="n">
        <f aca="false">IF(AA1164="","",INDEX('Residual Config'!$D$11:$D$14,AA1164))</f>
        <v>0.6</v>
      </c>
      <c r="AD1164" s="7" t="str">
        <f aca="false">IF(OR(I1164="N/A",P1164="",Q1164=""),"",IF(P1164&gt;=Q1164,"Yes","No"))</f>
        <v>Yes</v>
      </c>
      <c r="AE1164" s="8"/>
    </row>
    <row r="1165" customFormat="false" ht="15" hidden="false" customHeight="false" outlineLevel="0" collapsed="false">
      <c r="A1165" s="12" t="s">
        <v>3638</v>
      </c>
      <c r="B1165" s="26" t="str">
        <f aca="false">Entities!$A$31</f>
        <v>SG</v>
      </c>
      <c r="C1165" s="12" t="str">
        <f aca="false">INDEX(Entities!$B$5:$B$34,MATCH(B1165,Entities!$A$5:$A$34,0))</f>
        <v>Arab Bank – Singapore</v>
      </c>
      <c r="D1165" s="7" t="str">
        <f aca="false">INDEX(Entities!$F$5:$F$34,MATCH(B1165,Entities!$A$5:$A$34,0))</f>
        <v>Tier 2</v>
      </c>
      <c r="E1165" s="26" t="str">
        <f aca="false">'Control Library'!$A$47</f>
        <v>CTL-ST-01</v>
      </c>
      <c r="F1165" s="12" t="str">
        <f aca="false">INDEX('Control Library'!$B$5:$B$47,MATCH(E1165,'Control Library'!$A$5:$A$47,0))</f>
        <v>Strategy execution monitoring and E&amp;S screening of lending</v>
      </c>
      <c r="G1165" s="7" t="str">
        <f aca="false">INDEX('Control Library'!$F$5:$F$47,MATCH(E1165,'Control Library'!$A$5:$A$47,0))</f>
        <v>Y</v>
      </c>
      <c r="H1165" s="12" t="str">
        <f aca="false">INDEX('Control Library'!$E$5:$E$47,MATCH(E1165,'Control Library'!$A$5:$A$47,0))</f>
        <v>Quarterly</v>
      </c>
      <c r="I1165" s="7" t="str">
        <f aca="false">IF(INDEX('Control Library'!$I$5:$I$47,MATCH(E1165,'Control Library'!$A$5:$A$47,0))="All","Y",IF(INDEX('Control Library'!$I$5:$I$47,MATCH(E1165,'Control Library'!$A$5:$A$47,0))="Banks only",IF(COUNTIF('Residual Config'!$L$28:$L$30,INDEX(Entities!$E$5:$E$34,MATCH(B1165,Entities!$A$5:$A$34,0)))&gt;0,"N/A","Y"),IF(INDEX(Entities!$G$5:$G$34,MATCH(B1165,Entities!$A$5:$A$34,0))="Y","Y","N/A")))</f>
        <v>Y</v>
      </c>
      <c r="J1165" s="8" t="s">
        <v>3639</v>
      </c>
      <c r="K1165" s="8" t="s">
        <v>3534</v>
      </c>
      <c r="L1165" s="7" t="str">
        <f aca="false">IF(OR(J1165="",K1165=""),"",IF(J1165=K1165,"Breach","OK"))</f>
        <v>OK</v>
      </c>
      <c r="M1165" s="24" t="n">
        <v>1</v>
      </c>
      <c r="N1165" s="50" t="n">
        <v>45995</v>
      </c>
      <c r="O1165" s="8" t="s">
        <v>545</v>
      </c>
      <c r="P1165" s="24" t="n">
        <v>2</v>
      </c>
      <c r="Q1165" s="31" t="n">
        <f aca="false">IF(I1165="N/A","",IFERROR(INDEX('Residual Config'!$B$35:$B$42,MATCH(H1165,'Residual Config'!$A$35:$A$42,0)),""))</f>
        <v>2</v>
      </c>
      <c r="R1165" s="24" t="n">
        <v>0</v>
      </c>
      <c r="S1165" s="8" t="s">
        <v>516</v>
      </c>
      <c r="T1165" s="31" t="n">
        <f aca="false">IF(S1165="","",MATCH(S1165,'Residual Config'!$L$9:$L$12,0))</f>
        <v>1</v>
      </c>
      <c r="U1165" s="8" t="s">
        <v>3640</v>
      </c>
      <c r="V1165" s="24" t="n">
        <v>2</v>
      </c>
      <c r="W1165" s="33" t="s">
        <v>533</v>
      </c>
      <c r="X1165" s="8" t="s">
        <v>760</v>
      </c>
      <c r="Y1165" s="51" t="n">
        <f aca="false">IF(N1165="","",EDATE(N1165,IF(G1165="N",INDEX('Residual Config'!$B$31:$D$31,1,MATCH(D1165,'Residual Config'!$B$27:$D$27,0)),INDEX('Residual Config'!$B$28:$D$30,IF(T1165=1,1,IF(T1165=4,3,2)),MATCH(D1165,'Residual Config'!$B$27:$D$27,0)))))</f>
        <v>46360</v>
      </c>
      <c r="Z1165" s="7" t="str">
        <f aca="false">IF(I1165="N/A","N/A",IF(N1165="","Not tested",IF(W1165="Rejected","Evidence rejected",IF(W1165&lt;&gt;"Accepted","Evidence pending",IF(Y1165&lt;'Residual Config'!$C$4,"Overdue","Current")))))</f>
        <v>Current</v>
      </c>
      <c r="AA1165" s="34" t="n">
        <f aca="false">IF(I1165="N/A","",IF(Z1165&lt;&gt;"Current",4,IF(MAX(M1165,T1165)=0,4,MAX(M1165,T1165))))</f>
        <v>1</v>
      </c>
      <c r="AB1165" s="7" t="str">
        <f aca="false">IF(AA1165="","N/A",IF(Z1165&lt;&gt;"Current","Not tested / overdue",INDEX('Residual Config'!$B$11:$B$14,AA1165)))</f>
        <v>Effective</v>
      </c>
      <c r="AC1165" s="36" t="n">
        <f aca="false">IF(AA1165="","",INDEX('Residual Config'!$D$11:$D$14,AA1165))</f>
        <v>0.6</v>
      </c>
      <c r="AD1165" s="7" t="str">
        <f aca="false">IF(OR(I1165="N/A",P1165="",Q1165=""),"",IF(P1165&gt;=Q1165,"Yes","No"))</f>
        <v>Yes</v>
      </c>
      <c r="AE1165" s="8"/>
    </row>
    <row r="1166" customFormat="false" ht="15" hidden="false" customHeight="false" outlineLevel="0" collapsed="false">
      <c r="A1166" s="12" t="s">
        <v>3641</v>
      </c>
      <c r="B1166" s="26" t="str">
        <f aca="false">Entities!$A$32</f>
        <v>CN</v>
      </c>
      <c r="C1166" s="12" t="str">
        <f aca="false">INDEX(Entities!$B$5:$B$34,MATCH(B1166,Entities!$A$5:$A$34,0))</f>
        <v>Arab Bank – China</v>
      </c>
      <c r="D1166" s="7" t="str">
        <f aca="false">INDEX(Entities!$F$5:$F$34,MATCH(B1166,Entities!$A$5:$A$34,0))</f>
        <v>Tier 3</v>
      </c>
      <c r="E1166" s="26" t="str">
        <f aca="false">'Control Library'!$A$5</f>
        <v>CTL-KYC-01</v>
      </c>
      <c r="F1166" s="12" t="str">
        <f aca="false">INDEX('Control Library'!$B$5:$B$47,MATCH(E1166,'Control Library'!$A$5:$A$47,0))</f>
        <v>Customer due diligence and ID verification at onboarding</v>
      </c>
      <c r="G1166" s="7" t="str">
        <f aca="false">INDEX('Control Library'!$F$5:$F$47,MATCH(E1166,'Control Library'!$A$5:$A$47,0))</f>
        <v>Y</v>
      </c>
      <c r="H1166" s="12" t="str">
        <f aca="false">INDEX('Control Library'!$E$5:$E$47,MATCH(E1166,'Control Library'!$A$5:$A$47,0))</f>
        <v>Event-driven</v>
      </c>
      <c r="I1166" s="7" t="str">
        <f aca="false">IF(INDEX('Control Library'!$I$5:$I$47,MATCH(E1166,'Control Library'!$A$5:$A$47,0))="All","Y",IF(INDEX('Control Library'!$I$5:$I$47,MATCH(E1166,'Control Library'!$A$5:$A$47,0))="Banks only",IF(COUNTIF('Residual Config'!$L$28:$L$30,INDEX(Entities!$E$5:$E$34,MATCH(B1166,Entities!$A$5:$A$34,0)))&gt;0,"N/A","Y"),IF(INDEX(Entities!$G$5:$G$34,MATCH(B1166,Entities!$A$5:$A$34,0))="Y","Y","N/A")))</f>
        <v>Y</v>
      </c>
      <c r="J1166" s="8" t="s">
        <v>3642</v>
      </c>
      <c r="K1166" s="8" t="s">
        <v>3643</v>
      </c>
      <c r="L1166" s="7" t="str">
        <f aca="false">IF(OR(J1166="",K1166=""),"",IF(J1166=K1166,"Breach","OK"))</f>
        <v>OK</v>
      </c>
      <c r="M1166" s="24" t="n">
        <v>1</v>
      </c>
      <c r="N1166" s="50" t="n">
        <v>46018</v>
      </c>
      <c r="O1166" s="8" t="s">
        <v>545</v>
      </c>
      <c r="P1166" s="24" t="n">
        <v>30</v>
      </c>
      <c r="Q1166" s="31" t="n">
        <f aca="false">IF(I1166="N/A","",IFERROR(INDEX('Residual Config'!$B$35:$B$42,MATCH(H1166,'Residual Config'!$A$35:$A$42,0)),""))</f>
        <v>25</v>
      </c>
      <c r="R1166" s="24" t="n">
        <v>0</v>
      </c>
      <c r="S1166" s="8" t="s">
        <v>516</v>
      </c>
      <c r="T1166" s="31" t="n">
        <f aca="false">IF(S1166="","",MATCH(S1166,'Residual Config'!$L$9:$L$12,0))</f>
        <v>1</v>
      </c>
      <c r="U1166" s="8" t="s">
        <v>3644</v>
      </c>
      <c r="V1166" s="24" t="n">
        <v>3</v>
      </c>
      <c r="W1166" s="33" t="s">
        <v>533</v>
      </c>
      <c r="X1166" s="8" t="s">
        <v>760</v>
      </c>
      <c r="Y1166" s="51" t="n">
        <f aca="false">IF(N1166="","",EDATE(N1166,IF(G1166="N",INDEX('Residual Config'!$B$31:$D$31,1,MATCH(D1166,'Residual Config'!$B$27:$D$27,0)),INDEX('Residual Config'!$B$28:$D$30,IF(T1166=1,1,IF(T1166=4,3,2)),MATCH(D1166,'Residual Config'!$B$27:$D$27,0)))))</f>
        <v>46383</v>
      </c>
      <c r="Z1166" s="7" t="str">
        <f aca="false">IF(I1166="N/A","N/A",IF(N1166="","Not tested",IF(W1166="Rejected","Evidence rejected",IF(W1166&lt;&gt;"Accepted","Evidence pending",IF(Y1166&lt;'Residual Config'!$C$4,"Overdue","Current")))))</f>
        <v>Current</v>
      </c>
      <c r="AA1166" s="34" t="n">
        <f aca="false">IF(I1166="N/A","",IF(Z1166&lt;&gt;"Current",4,IF(MAX(M1166,T1166)=0,4,MAX(M1166,T1166))))</f>
        <v>1</v>
      </c>
      <c r="AB1166" s="7" t="str">
        <f aca="false">IF(AA1166="","N/A",IF(Z1166&lt;&gt;"Current","Not tested / overdue",INDEX('Residual Config'!$B$11:$B$14,AA1166)))</f>
        <v>Effective</v>
      </c>
      <c r="AC1166" s="36" t="n">
        <f aca="false">IF(AA1166="","",INDEX('Residual Config'!$D$11:$D$14,AA1166))</f>
        <v>0.6</v>
      </c>
      <c r="AD1166" s="7" t="str">
        <f aca="false">IF(OR(I1166="N/A",P1166="",Q1166=""),"",IF(P1166&gt;=Q1166,"Yes","No"))</f>
        <v>Yes</v>
      </c>
      <c r="AE1166" s="8"/>
    </row>
    <row r="1167" customFormat="false" ht="15" hidden="false" customHeight="false" outlineLevel="0" collapsed="false">
      <c r="A1167" s="12" t="s">
        <v>3645</v>
      </c>
      <c r="B1167" s="26" t="str">
        <f aca="false">Entities!$A$32</f>
        <v>CN</v>
      </c>
      <c r="C1167" s="12" t="str">
        <f aca="false">INDEX(Entities!$B$5:$B$34,MATCH(B1167,Entities!$A$5:$A$34,0))</f>
        <v>Arab Bank – China</v>
      </c>
      <c r="D1167" s="7" t="str">
        <f aca="false">INDEX(Entities!$F$5:$F$34,MATCH(B1167,Entities!$A$5:$A$34,0))</f>
        <v>Tier 3</v>
      </c>
      <c r="E1167" s="26" t="str">
        <f aca="false">'Control Library'!$A$6</f>
        <v>CTL-KYC-02</v>
      </c>
      <c r="F1167" s="12" t="str">
        <f aca="false">INDEX('Control Library'!$B$5:$B$47,MATCH(E1167,'Control Library'!$A$5:$A$47,0))</f>
        <v>Enhanced due diligence for high-risk customers and PEPs, senior approval</v>
      </c>
      <c r="G1167" s="7" t="str">
        <f aca="false">INDEX('Control Library'!$F$5:$F$47,MATCH(E1167,'Control Library'!$A$5:$A$47,0))</f>
        <v>Y</v>
      </c>
      <c r="H1167" s="12" t="str">
        <f aca="false">INDEX('Control Library'!$E$5:$E$47,MATCH(E1167,'Control Library'!$A$5:$A$47,0))</f>
        <v>Event-driven</v>
      </c>
      <c r="I1167" s="7" t="str">
        <f aca="false">IF(INDEX('Control Library'!$I$5:$I$47,MATCH(E1167,'Control Library'!$A$5:$A$47,0))="All","Y",IF(INDEX('Control Library'!$I$5:$I$47,MATCH(E1167,'Control Library'!$A$5:$A$47,0))="Banks only",IF(COUNTIF('Residual Config'!$L$28:$L$30,INDEX(Entities!$E$5:$E$34,MATCH(B1167,Entities!$A$5:$A$34,0)))&gt;0,"N/A","Y"),IF(INDEX(Entities!$G$5:$G$34,MATCH(B1167,Entities!$A$5:$A$34,0))="Y","Y","N/A")))</f>
        <v>Y</v>
      </c>
      <c r="J1167" s="8" t="s">
        <v>3646</v>
      </c>
      <c r="K1167" s="8" t="s">
        <v>3643</v>
      </c>
      <c r="L1167" s="7" t="str">
        <f aca="false">IF(OR(J1167="",K1167=""),"",IF(J1167=K1167,"Breach","OK"))</f>
        <v>OK</v>
      </c>
      <c r="M1167" s="24" t="n">
        <v>1</v>
      </c>
      <c r="N1167" s="50" t="n">
        <v>46109</v>
      </c>
      <c r="O1167" s="8" t="s">
        <v>546</v>
      </c>
      <c r="P1167" s="24" t="n">
        <v>35</v>
      </c>
      <c r="Q1167" s="31" t="n">
        <f aca="false">IF(I1167="N/A","",IFERROR(INDEX('Residual Config'!$B$35:$B$42,MATCH(H1167,'Residual Config'!$A$35:$A$42,0)),""))</f>
        <v>25</v>
      </c>
      <c r="R1167" s="24" t="n">
        <v>0</v>
      </c>
      <c r="S1167" s="8" t="s">
        <v>516</v>
      </c>
      <c r="T1167" s="31" t="n">
        <f aca="false">IF(S1167="","",MATCH(S1167,'Residual Config'!$L$9:$L$12,0))</f>
        <v>1</v>
      </c>
      <c r="U1167" s="8" t="s">
        <v>3647</v>
      </c>
      <c r="V1167" s="24" t="n">
        <v>1</v>
      </c>
      <c r="W1167" s="33" t="s">
        <v>533</v>
      </c>
      <c r="X1167" s="8" t="s">
        <v>754</v>
      </c>
      <c r="Y1167" s="51" t="n">
        <f aca="false">IF(N1167="","",EDATE(N1167,IF(G1167="N",INDEX('Residual Config'!$B$31:$D$31,1,MATCH(D1167,'Residual Config'!$B$27:$D$27,0)),INDEX('Residual Config'!$B$28:$D$30,IF(T1167=1,1,IF(T1167=4,3,2)),MATCH(D1167,'Residual Config'!$B$27:$D$27,0)))))</f>
        <v>46474</v>
      </c>
      <c r="Z1167" s="7" t="str">
        <f aca="false">IF(I1167="N/A","N/A",IF(N1167="","Not tested",IF(W1167="Rejected","Evidence rejected",IF(W1167&lt;&gt;"Accepted","Evidence pending",IF(Y1167&lt;'Residual Config'!$C$4,"Overdue","Current")))))</f>
        <v>Current</v>
      </c>
      <c r="AA1167" s="34" t="n">
        <f aca="false">IF(I1167="N/A","",IF(Z1167&lt;&gt;"Current",4,IF(MAX(M1167,T1167)=0,4,MAX(M1167,T1167))))</f>
        <v>1</v>
      </c>
      <c r="AB1167" s="7" t="str">
        <f aca="false">IF(AA1167="","N/A",IF(Z1167&lt;&gt;"Current","Not tested / overdue",INDEX('Residual Config'!$B$11:$B$14,AA1167)))</f>
        <v>Effective</v>
      </c>
      <c r="AC1167" s="36" t="n">
        <f aca="false">IF(AA1167="","",INDEX('Residual Config'!$D$11:$D$14,AA1167))</f>
        <v>0.6</v>
      </c>
      <c r="AD1167" s="7" t="str">
        <f aca="false">IF(OR(I1167="N/A",P1167="",Q1167=""),"",IF(P1167&gt;=Q1167,"Yes","No"))</f>
        <v>Yes</v>
      </c>
      <c r="AE1167" s="8"/>
    </row>
    <row r="1168" customFormat="false" ht="15" hidden="false" customHeight="false" outlineLevel="0" collapsed="false">
      <c r="A1168" s="12" t="s">
        <v>3648</v>
      </c>
      <c r="B1168" s="26" t="str">
        <f aca="false">Entities!$A$32</f>
        <v>CN</v>
      </c>
      <c r="C1168" s="12" t="str">
        <f aca="false">INDEX(Entities!$B$5:$B$34,MATCH(B1168,Entities!$A$5:$A$34,0))</f>
        <v>Arab Bank – China</v>
      </c>
      <c r="D1168" s="7" t="str">
        <f aca="false">INDEX(Entities!$F$5:$F$34,MATCH(B1168,Entities!$A$5:$A$34,0))</f>
        <v>Tier 3</v>
      </c>
      <c r="E1168" s="26" t="str">
        <f aca="false">'Control Library'!$A$7</f>
        <v>CTL-KYC-03</v>
      </c>
      <c r="F1168" s="12" t="str">
        <f aca="false">INDEX('Control Library'!$B$5:$B$47,MATCH(E1168,'Control Library'!$A$5:$A$47,0))</f>
        <v>Ultimate beneficial owner identification and verification</v>
      </c>
      <c r="G1168" s="7" t="str">
        <f aca="false">INDEX('Control Library'!$F$5:$F$47,MATCH(E1168,'Control Library'!$A$5:$A$47,0))</f>
        <v>Y</v>
      </c>
      <c r="H1168" s="12" t="str">
        <f aca="false">INDEX('Control Library'!$E$5:$E$47,MATCH(E1168,'Control Library'!$A$5:$A$47,0))</f>
        <v>Event-driven</v>
      </c>
      <c r="I1168" s="7" t="str">
        <f aca="false">IF(INDEX('Control Library'!$I$5:$I$47,MATCH(E1168,'Control Library'!$A$5:$A$47,0))="All","Y",IF(INDEX('Control Library'!$I$5:$I$47,MATCH(E1168,'Control Library'!$A$5:$A$47,0))="Banks only",IF(COUNTIF('Residual Config'!$L$28:$L$30,INDEX(Entities!$E$5:$E$34,MATCH(B1168,Entities!$A$5:$A$34,0)))&gt;0,"N/A","Y"),IF(INDEX(Entities!$G$5:$G$34,MATCH(B1168,Entities!$A$5:$A$34,0))="Y","Y","N/A")))</f>
        <v>Y</v>
      </c>
      <c r="J1168" s="8" t="s">
        <v>3642</v>
      </c>
      <c r="K1168" s="8" t="s">
        <v>3643</v>
      </c>
      <c r="L1168" s="7" t="str">
        <f aca="false">IF(OR(J1168="",K1168=""),"",IF(J1168=K1168,"Breach","OK"))</f>
        <v>OK</v>
      </c>
      <c r="M1168" s="24" t="n">
        <v>1</v>
      </c>
      <c r="N1168" s="50" t="n">
        <v>46100</v>
      </c>
      <c r="O1168" s="8" t="s">
        <v>546</v>
      </c>
      <c r="P1168" s="24" t="n">
        <v>25</v>
      </c>
      <c r="Q1168" s="31" t="n">
        <f aca="false">IF(I1168="N/A","",IFERROR(INDEX('Residual Config'!$B$35:$B$42,MATCH(H1168,'Residual Config'!$A$35:$A$42,0)),""))</f>
        <v>25</v>
      </c>
      <c r="R1168" s="24" t="n">
        <v>0</v>
      </c>
      <c r="S1168" s="8" t="s">
        <v>516</v>
      </c>
      <c r="T1168" s="31" t="n">
        <f aca="false">IF(S1168="","",MATCH(S1168,'Residual Config'!$L$9:$L$12,0))</f>
        <v>1</v>
      </c>
      <c r="U1168" s="8" t="s">
        <v>3649</v>
      </c>
      <c r="V1168" s="24" t="n">
        <v>3</v>
      </c>
      <c r="W1168" s="33" t="s">
        <v>533</v>
      </c>
      <c r="X1168" s="8" t="s">
        <v>760</v>
      </c>
      <c r="Y1168" s="51" t="n">
        <f aca="false">IF(N1168="","",EDATE(N1168,IF(G1168="N",INDEX('Residual Config'!$B$31:$D$31,1,MATCH(D1168,'Residual Config'!$B$27:$D$27,0)),INDEX('Residual Config'!$B$28:$D$30,IF(T1168=1,1,IF(T1168=4,3,2)),MATCH(D1168,'Residual Config'!$B$27:$D$27,0)))))</f>
        <v>46465</v>
      </c>
      <c r="Z1168" s="7" t="str">
        <f aca="false">IF(I1168="N/A","N/A",IF(N1168="","Not tested",IF(W1168="Rejected","Evidence rejected",IF(W1168&lt;&gt;"Accepted","Evidence pending",IF(Y1168&lt;'Residual Config'!$C$4,"Overdue","Current")))))</f>
        <v>Current</v>
      </c>
      <c r="AA1168" s="34" t="n">
        <f aca="false">IF(I1168="N/A","",IF(Z1168&lt;&gt;"Current",4,IF(MAX(M1168,T1168)=0,4,MAX(M1168,T1168))))</f>
        <v>1</v>
      </c>
      <c r="AB1168" s="7" t="str">
        <f aca="false">IF(AA1168="","N/A",IF(Z1168&lt;&gt;"Current","Not tested / overdue",INDEX('Residual Config'!$B$11:$B$14,AA1168)))</f>
        <v>Effective</v>
      </c>
      <c r="AC1168" s="36" t="n">
        <f aca="false">IF(AA1168="","",INDEX('Residual Config'!$D$11:$D$14,AA1168))</f>
        <v>0.6</v>
      </c>
      <c r="AD1168" s="7" t="str">
        <f aca="false">IF(OR(I1168="N/A",P1168="",Q1168=""),"",IF(P1168&gt;=Q1168,"Yes","No"))</f>
        <v>Yes</v>
      </c>
      <c r="AE1168" s="8"/>
    </row>
    <row r="1169" customFormat="false" ht="15" hidden="false" customHeight="false" outlineLevel="0" collapsed="false">
      <c r="A1169" s="12" t="s">
        <v>3650</v>
      </c>
      <c r="B1169" s="26" t="str">
        <f aca="false">Entities!$A$32</f>
        <v>CN</v>
      </c>
      <c r="C1169" s="12" t="str">
        <f aca="false">INDEX(Entities!$B$5:$B$34,MATCH(B1169,Entities!$A$5:$A$34,0))</f>
        <v>Arab Bank – China</v>
      </c>
      <c r="D1169" s="7" t="str">
        <f aca="false">INDEX(Entities!$F$5:$F$34,MATCH(B1169,Entities!$A$5:$A$34,0))</f>
        <v>Tier 3</v>
      </c>
      <c r="E1169" s="26" t="str">
        <f aca="false">'Control Library'!$A$8</f>
        <v>CTL-KYC-04</v>
      </c>
      <c r="F1169" s="12" t="str">
        <f aca="false">INDEX('Control Library'!$B$5:$B$47,MATCH(E1169,'Control Library'!$A$5:$A$47,0))</f>
        <v>Periodic KYC review by customer risk rating</v>
      </c>
      <c r="G1169" s="7" t="str">
        <f aca="false">INDEX('Control Library'!$F$5:$F$47,MATCH(E1169,'Control Library'!$A$5:$A$47,0))</f>
        <v>Y</v>
      </c>
      <c r="H1169" s="12" t="str">
        <f aca="false">INDEX('Control Library'!$E$5:$E$47,MATCH(E1169,'Control Library'!$A$5:$A$47,0))</f>
        <v>Monthly</v>
      </c>
      <c r="I1169" s="7" t="str">
        <f aca="false">IF(INDEX('Control Library'!$I$5:$I$47,MATCH(E1169,'Control Library'!$A$5:$A$47,0))="All","Y",IF(INDEX('Control Library'!$I$5:$I$47,MATCH(E1169,'Control Library'!$A$5:$A$47,0))="Banks only",IF(COUNTIF('Residual Config'!$L$28:$L$30,INDEX(Entities!$E$5:$E$34,MATCH(B1169,Entities!$A$5:$A$34,0)))&gt;0,"N/A","Y"),IF(INDEX(Entities!$G$5:$G$34,MATCH(B1169,Entities!$A$5:$A$34,0))="Y","Y","N/A")))</f>
        <v>Y</v>
      </c>
      <c r="J1169" s="8" t="s">
        <v>3642</v>
      </c>
      <c r="K1169" s="8" t="s">
        <v>3643</v>
      </c>
      <c r="L1169" s="7" t="str">
        <f aca="false">IF(OR(J1169="",K1169=""),"",IF(J1169=K1169,"Breach","OK"))</f>
        <v>OK</v>
      </c>
      <c r="M1169" s="24" t="n">
        <v>1</v>
      </c>
      <c r="N1169" s="50" t="n">
        <v>46019</v>
      </c>
      <c r="O1169" s="8" t="s">
        <v>545</v>
      </c>
      <c r="P1169" s="24" t="n">
        <v>3</v>
      </c>
      <c r="Q1169" s="31" t="n">
        <f aca="false">IF(I1169="N/A","",IFERROR(INDEX('Residual Config'!$B$35:$B$42,MATCH(H1169,'Residual Config'!$A$35:$A$42,0)),""))</f>
        <v>3</v>
      </c>
      <c r="R1169" s="24" t="n">
        <v>0</v>
      </c>
      <c r="S1169" s="8" t="s">
        <v>516</v>
      </c>
      <c r="T1169" s="31" t="n">
        <f aca="false">IF(S1169="","",MATCH(S1169,'Residual Config'!$L$9:$L$12,0))</f>
        <v>1</v>
      </c>
      <c r="U1169" s="8" t="s">
        <v>3651</v>
      </c>
      <c r="V1169" s="24" t="n">
        <v>4</v>
      </c>
      <c r="W1169" s="33" t="s">
        <v>533</v>
      </c>
      <c r="X1169" s="8" t="s">
        <v>760</v>
      </c>
      <c r="Y1169" s="51" t="n">
        <f aca="false">IF(N1169="","",EDATE(N1169,IF(G1169="N",INDEX('Residual Config'!$B$31:$D$31,1,MATCH(D1169,'Residual Config'!$B$27:$D$27,0)),INDEX('Residual Config'!$B$28:$D$30,IF(T1169=1,1,IF(T1169=4,3,2)),MATCH(D1169,'Residual Config'!$B$27:$D$27,0)))))</f>
        <v>46384</v>
      </c>
      <c r="Z1169" s="7" t="str">
        <f aca="false">IF(I1169="N/A","N/A",IF(N1169="","Not tested",IF(W1169="Rejected","Evidence rejected",IF(W1169&lt;&gt;"Accepted","Evidence pending",IF(Y1169&lt;'Residual Config'!$C$4,"Overdue","Current")))))</f>
        <v>Current</v>
      </c>
      <c r="AA1169" s="34" t="n">
        <f aca="false">IF(I1169="N/A","",IF(Z1169&lt;&gt;"Current",4,IF(MAX(M1169,T1169)=0,4,MAX(M1169,T1169))))</f>
        <v>1</v>
      </c>
      <c r="AB1169" s="7" t="str">
        <f aca="false">IF(AA1169="","N/A",IF(Z1169&lt;&gt;"Current","Not tested / overdue",INDEX('Residual Config'!$B$11:$B$14,AA1169)))</f>
        <v>Effective</v>
      </c>
      <c r="AC1169" s="36" t="n">
        <f aca="false">IF(AA1169="","",INDEX('Residual Config'!$D$11:$D$14,AA1169))</f>
        <v>0.6</v>
      </c>
      <c r="AD1169" s="7" t="str">
        <f aca="false">IF(OR(I1169="N/A",P1169="",Q1169=""),"",IF(P1169&gt;=Q1169,"Yes","No"))</f>
        <v>Yes</v>
      </c>
      <c r="AE1169" s="8"/>
    </row>
    <row r="1170" customFormat="false" ht="15" hidden="false" customHeight="false" outlineLevel="0" collapsed="false">
      <c r="A1170" s="12" t="s">
        <v>3652</v>
      </c>
      <c r="B1170" s="26" t="str">
        <f aca="false">Entities!$A$32</f>
        <v>CN</v>
      </c>
      <c r="C1170" s="12" t="str">
        <f aca="false">INDEX(Entities!$B$5:$B$34,MATCH(B1170,Entities!$A$5:$A$34,0))</f>
        <v>Arab Bank – China</v>
      </c>
      <c r="D1170" s="7" t="str">
        <f aca="false">INDEX(Entities!$F$5:$F$34,MATCH(B1170,Entities!$A$5:$A$34,0))</f>
        <v>Tier 3</v>
      </c>
      <c r="E1170" s="26" t="str">
        <f aca="false">'Control Library'!$A$9</f>
        <v>CTL-CRR-01</v>
      </c>
      <c r="F1170" s="12" t="str">
        <f aca="false">INDEX('Control Library'!$B$5:$B$47,MATCH(E1170,'Control Library'!$A$5:$A$47,0))</f>
        <v>Customer risk rating model and annual validation</v>
      </c>
      <c r="G1170" s="7" t="str">
        <f aca="false">INDEX('Control Library'!$F$5:$F$47,MATCH(E1170,'Control Library'!$A$5:$A$47,0))</f>
        <v>N</v>
      </c>
      <c r="H1170" s="12" t="str">
        <f aca="false">INDEX('Control Library'!$E$5:$E$47,MATCH(E1170,'Control Library'!$A$5:$A$47,0))</f>
        <v>Annual</v>
      </c>
      <c r="I1170" s="7" t="str">
        <f aca="false">IF(INDEX('Control Library'!$I$5:$I$47,MATCH(E1170,'Control Library'!$A$5:$A$47,0))="All","Y",IF(INDEX('Control Library'!$I$5:$I$47,MATCH(E1170,'Control Library'!$A$5:$A$47,0))="Banks only",IF(COUNTIF('Residual Config'!$L$28:$L$30,INDEX(Entities!$E$5:$E$34,MATCH(B1170,Entities!$A$5:$A$34,0)))&gt;0,"N/A","Y"),IF(INDEX(Entities!$G$5:$G$34,MATCH(B1170,Entities!$A$5:$A$34,0))="Y","Y","N/A")))</f>
        <v>Y</v>
      </c>
      <c r="J1170" s="8" t="s">
        <v>3646</v>
      </c>
      <c r="K1170" s="8" t="s">
        <v>3643</v>
      </c>
      <c r="L1170" s="7" t="str">
        <f aca="false">IF(OR(J1170="",K1170=""),"",IF(J1170=K1170,"Breach","OK"))</f>
        <v>OK</v>
      </c>
      <c r="M1170" s="24" t="n">
        <v>1</v>
      </c>
      <c r="N1170" s="50" t="n">
        <v>46285</v>
      </c>
      <c r="O1170" s="8" t="s">
        <v>547</v>
      </c>
      <c r="P1170" s="24" t="n">
        <v>1</v>
      </c>
      <c r="Q1170" s="31" t="n">
        <f aca="false">IF(I1170="N/A","",IFERROR(INDEX('Residual Config'!$B$35:$B$42,MATCH(H1170,'Residual Config'!$A$35:$A$42,0)),""))</f>
        <v>1</v>
      </c>
      <c r="R1170" s="24" t="n">
        <v>0</v>
      </c>
      <c r="S1170" s="8" t="s">
        <v>516</v>
      </c>
      <c r="T1170" s="31" t="n">
        <f aca="false">IF(S1170="","",MATCH(S1170,'Residual Config'!$L$9:$L$12,0))</f>
        <v>1</v>
      </c>
      <c r="U1170" s="8" t="s">
        <v>3653</v>
      </c>
      <c r="V1170" s="24" t="n">
        <v>4</v>
      </c>
      <c r="W1170" s="33" t="s">
        <v>533</v>
      </c>
      <c r="X1170" s="8" t="s">
        <v>754</v>
      </c>
      <c r="Y1170" s="51" t="n">
        <f aca="false">IF(N1170="","",EDATE(N1170,IF(G1170="N",INDEX('Residual Config'!$B$31:$D$31,1,MATCH(D1170,'Residual Config'!$B$27:$D$27,0)),INDEX('Residual Config'!$B$28:$D$30,IF(T1170=1,1,IF(T1170=4,3,2)),MATCH(D1170,'Residual Config'!$B$27:$D$27,0)))))</f>
        <v>47016</v>
      </c>
      <c r="Z1170" s="7" t="str">
        <f aca="false">IF(I1170="N/A","N/A",IF(N1170="","Not tested",IF(W1170="Rejected","Evidence rejected",IF(W1170&lt;&gt;"Accepted","Evidence pending",IF(Y1170&lt;'Residual Config'!$C$4,"Overdue","Current")))))</f>
        <v>Current</v>
      </c>
      <c r="AA1170" s="34" t="n">
        <f aca="false">IF(I1170="N/A","",IF(Z1170&lt;&gt;"Current",4,IF(MAX(M1170,T1170)=0,4,MAX(M1170,T1170))))</f>
        <v>1</v>
      </c>
      <c r="AB1170" s="7" t="str">
        <f aca="false">IF(AA1170="","N/A",IF(Z1170&lt;&gt;"Current","Not tested / overdue",INDEX('Residual Config'!$B$11:$B$14,AA1170)))</f>
        <v>Effective</v>
      </c>
      <c r="AC1170" s="36" t="n">
        <f aca="false">IF(AA1170="","",INDEX('Residual Config'!$D$11:$D$14,AA1170))</f>
        <v>0.6</v>
      </c>
      <c r="AD1170" s="7" t="str">
        <f aca="false">IF(OR(I1170="N/A",P1170="",Q1170=""),"",IF(P1170&gt;=Q1170,"Yes","No"))</f>
        <v>Yes</v>
      </c>
      <c r="AE1170" s="8"/>
    </row>
    <row r="1171" customFormat="false" ht="15" hidden="false" customHeight="false" outlineLevel="0" collapsed="false">
      <c r="A1171" s="12" t="s">
        <v>3654</v>
      </c>
      <c r="B1171" s="26" t="str">
        <f aca="false">Entities!$A$32</f>
        <v>CN</v>
      </c>
      <c r="C1171" s="12" t="str">
        <f aca="false">INDEX(Entities!$B$5:$B$34,MATCH(B1171,Entities!$A$5:$A$34,0))</f>
        <v>Arab Bank – China</v>
      </c>
      <c r="D1171" s="7" t="str">
        <f aca="false">INDEX(Entities!$F$5:$F$34,MATCH(B1171,Entities!$A$5:$A$34,0))</f>
        <v>Tier 3</v>
      </c>
      <c r="E1171" s="26" t="str">
        <f aca="false">'Control Library'!$A$10</f>
        <v>CTL-TM-01</v>
      </c>
      <c r="F1171" s="12" t="str">
        <f aca="false">INDEX('Control Library'!$B$5:$B$47,MATCH(E1171,'Control Library'!$A$5:$A$47,0))</f>
        <v>Automated transaction monitoring scenarios and annual tuning</v>
      </c>
      <c r="G1171" s="7" t="str">
        <f aca="false">INDEX('Control Library'!$F$5:$F$47,MATCH(E1171,'Control Library'!$A$5:$A$47,0))</f>
        <v>Y</v>
      </c>
      <c r="H1171" s="12" t="str">
        <f aca="false">INDEX('Control Library'!$E$5:$E$47,MATCH(E1171,'Control Library'!$A$5:$A$47,0))</f>
        <v>Continuous</v>
      </c>
      <c r="I1171" s="7" t="str">
        <f aca="false">IF(INDEX('Control Library'!$I$5:$I$47,MATCH(E1171,'Control Library'!$A$5:$A$47,0))="All","Y",IF(INDEX('Control Library'!$I$5:$I$47,MATCH(E1171,'Control Library'!$A$5:$A$47,0))="Banks only",IF(COUNTIF('Residual Config'!$L$28:$L$30,INDEX(Entities!$E$5:$E$34,MATCH(B1171,Entities!$A$5:$A$34,0)))&gt;0,"N/A","Y"),IF(INDEX(Entities!$G$5:$G$34,MATCH(B1171,Entities!$A$5:$A$34,0))="Y","Y","N/A")))</f>
        <v>Y</v>
      </c>
      <c r="J1171" s="8" t="s">
        <v>3655</v>
      </c>
      <c r="K1171" s="8" t="s">
        <v>3643</v>
      </c>
      <c r="L1171" s="7" t="str">
        <f aca="false">IF(OR(J1171="",K1171=""),"",IF(J1171=K1171,"Breach","OK"))</f>
        <v>OK</v>
      </c>
      <c r="M1171" s="24" t="n">
        <v>1</v>
      </c>
      <c r="N1171" s="50" t="n">
        <v>46021</v>
      </c>
      <c r="O1171" s="8" t="s">
        <v>546</v>
      </c>
      <c r="P1171" s="24" t="n">
        <v>1</v>
      </c>
      <c r="Q1171" s="31" t="n">
        <f aca="false">IF(I1171="N/A","",IFERROR(INDEX('Residual Config'!$B$35:$B$42,MATCH(H1171,'Residual Config'!$A$35:$A$42,0)),""))</f>
        <v>1</v>
      </c>
      <c r="R1171" s="24" t="n">
        <v>0</v>
      </c>
      <c r="S1171" s="8" t="s">
        <v>516</v>
      </c>
      <c r="T1171" s="31" t="n">
        <f aca="false">IF(S1171="","",MATCH(S1171,'Residual Config'!$L$9:$L$12,0))</f>
        <v>1</v>
      </c>
      <c r="U1171" s="8" t="s">
        <v>3656</v>
      </c>
      <c r="V1171" s="24" t="n">
        <v>1</v>
      </c>
      <c r="W1171" s="33" t="s">
        <v>533</v>
      </c>
      <c r="X1171" s="8" t="s">
        <v>760</v>
      </c>
      <c r="Y1171" s="51" t="n">
        <f aca="false">IF(N1171="","",EDATE(N1171,IF(G1171="N",INDEX('Residual Config'!$B$31:$D$31,1,MATCH(D1171,'Residual Config'!$B$27:$D$27,0)),INDEX('Residual Config'!$B$28:$D$30,IF(T1171=1,1,IF(T1171=4,3,2)),MATCH(D1171,'Residual Config'!$B$27:$D$27,0)))))</f>
        <v>46386</v>
      </c>
      <c r="Z1171" s="7" t="str">
        <f aca="false">IF(I1171="N/A","N/A",IF(N1171="","Not tested",IF(W1171="Rejected","Evidence rejected",IF(W1171&lt;&gt;"Accepted","Evidence pending",IF(Y1171&lt;'Residual Config'!$C$4,"Overdue","Current")))))</f>
        <v>Current</v>
      </c>
      <c r="AA1171" s="34" t="n">
        <f aca="false">IF(I1171="N/A","",IF(Z1171&lt;&gt;"Current",4,IF(MAX(M1171,T1171)=0,4,MAX(M1171,T1171))))</f>
        <v>1</v>
      </c>
      <c r="AB1171" s="7" t="str">
        <f aca="false">IF(AA1171="","N/A",IF(Z1171&lt;&gt;"Current","Not tested / overdue",INDEX('Residual Config'!$B$11:$B$14,AA1171)))</f>
        <v>Effective</v>
      </c>
      <c r="AC1171" s="36" t="n">
        <f aca="false">IF(AA1171="","",INDEX('Residual Config'!$D$11:$D$14,AA1171))</f>
        <v>0.6</v>
      </c>
      <c r="AD1171" s="7" t="str">
        <f aca="false">IF(OR(I1171="N/A",P1171="",Q1171=""),"",IF(P1171&gt;=Q1171,"Yes","No"))</f>
        <v>Yes</v>
      </c>
      <c r="AE1171" s="8"/>
    </row>
    <row r="1172" customFormat="false" ht="15" hidden="false" customHeight="false" outlineLevel="0" collapsed="false">
      <c r="A1172" s="12" t="s">
        <v>3657</v>
      </c>
      <c r="B1172" s="26" t="str">
        <f aca="false">Entities!$A$32</f>
        <v>CN</v>
      </c>
      <c r="C1172" s="12" t="str">
        <f aca="false">INDEX(Entities!$B$5:$B$34,MATCH(B1172,Entities!$A$5:$A$34,0))</f>
        <v>Arab Bank – China</v>
      </c>
      <c r="D1172" s="7" t="str">
        <f aca="false">INDEX(Entities!$F$5:$F$34,MATCH(B1172,Entities!$A$5:$A$34,0))</f>
        <v>Tier 3</v>
      </c>
      <c r="E1172" s="26" t="str">
        <f aca="false">'Control Library'!$A$11</f>
        <v>CTL-TM-02</v>
      </c>
      <c r="F1172" s="12" t="str">
        <f aca="false">INDEX('Control Library'!$B$5:$B$47,MATCH(E1172,'Control Library'!$A$5:$A$47,0))</f>
        <v>Alert investigation and quality assurance within SLA</v>
      </c>
      <c r="G1172" s="7" t="str">
        <f aca="false">INDEX('Control Library'!$F$5:$F$47,MATCH(E1172,'Control Library'!$A$5:$A$47,0))</f>
        <v>Y</v>
      </c>
      <c r="H1172" s="12" t="str">
        <f aca="false">INDEX('Control Library'!$E$5:$E$47,MATCH(E1172,'Control Library'!$A$5:$A$47,0))</f>
        <v>Daily</v>
      </c>
      <c r="I1172" s="7" t="str">
        <f aca="false">IF(INDEX('Control Library'!$I$5:$I$47,MATCH(E1172,'Control Library'!$A$5:$A$47,0))="All","Y",IF(INDEX('Control Library'!$I$5:$I$47,MATCH(E1172,'Control Library'!$A$5:$A$47,0))="Banks only",IF(COUNTIF('Residual Config'!$L$28:$L$30,INDEX(Entities!$E$5:$E$34,MATCH(B1172,Entities!$A$5:$A$34,0)))&gt;0,"N/A","Y"),IF(INDEX(Entities!$G$5:$G$34,MATCH(B1172,Entities!$A$5:$A$34,0))="Y","Y","N/A")))</f>
        <v>Y</v>
      </c>
      <c r="J1172" s="8" t="s">
        <v>3655</v>
      </c>
      <c r="K1172" s="8" t="s">
        <v>3643</v>
      </c>
      <c r="L1172" s="7" t="str">
        <f aca="false">IF(OR(J1172="",K1172=""),"",IF(J1172=K1172,"Breach","OK"))</f>
        <v>OK</v>
      </c>
      <c r="M1172" s="24" t="n">
        <v>1</v>
      </c>
      <c r="N1172" s="50" t="n">
        <v>46280</v>
      </c>
      <c r="O1172" s="8" t="s">
        <v>545</v>
      </c>
      <c r="P1172" s="24" t="n">
        <v>30</v>
      </c>
      <c r="Q1172" s="31" t="n">
        <f aca="false">IF(I1172="N/A","",IFERROR(INDEX('Residual Config'!$B$35:$B$42,MATCH(H1172,'Residual Config'!$A$35:$A$42,0)),""))</f>
        <v>25</v>
      </c>
      <c r="R1172" s="24" t="n">
        <v>0</v>
      </c>
      <c r="S1172" s="8" t="s">
        <v>516</v>
      </c>
      <c r="T1172" s="31" t="n">
        <f aca="false">IF(S1172="","",MATCH(S1172,'Residual Config'!$L$9:$L$12,0))</f>
        <v>1</v>
      </c>
      <c r="U1172" s="8" t="s">
        <v>3658</v>
      </c>
      <c r="V1172" s="24" t="n">
        <v>4</v>
      </c>
      <c r="W1172" s="33" t="s">
        <v>533</v>
      </c>
      <c r="X1172" s="8" t="s">
        <v>754</v>
      </c>
      <c r="Y1172" s="51" t="n">
        <f aca="false">IF(N1172="","",EDATE(N1172,IF(G1172="N",INDEX('Residual Config'!$B$31:$D$31,1,MATCH(D1172,'Residual Config'!$B$27:$D$27,0)),INDEX('Residual Config'!$B$28:$D$30,IF(T1172=1,1,IF(T1172=4,3,2)),MATCH(D1172,'Residual Config'!$B$27:$D$27,0)))))</f>
        <v>46645</v>
      </c>
      <c r="Z1172" s="7" t="str">
        <f aca="false">IF(I1172="N/A","N/A",IF(N1172="","Not tested",IF(W1172="Rejected","Evidence rejected",IF(W1172&lt;&gt;"Accepted","Evidence pending",IF(Y1172&lt;'Residual Config'!$C$4,"Overdue","Current")))))</f>
        <v>Current</v>
      </c>
      <c r="AA1172" s="34" t="n">
        <f aca="false">IF(I1172="N/A","",IF(Z1172&lt;&gt;"Current",4,IF(MAX(M1172,T1172)=0,4,MAX(M1172,T1172))))</f>
        <v>1</v>
      </c>
      <c r="AB1172" s="7" t="str">
        <f aca="false">IF(AA1172="","N/A",IF(Z1172&lt;&gt;"Current","Not tested / overdue",INDEX('Residual Config'!$B$11:$B$14,AA1172)))</f>
        <v>Effective</v>
      </c>
      <c r="AC1172" s="36" t="n">
        <f aca="false">IF(AA1172="","",INDEX('Residual Config'!$D$11:$D$14,AA1172))</f>
        <v>0.6</v>
      </c>
      <c r="AD1172" s="7" t="str">
        <f aca="false">IF(OR(I1172="N/A",P1172="",Q1172=""),"",IF(P1172&gt;=Q1172,"Yes","No"))</f>
        <v>Yes</v>
      </c>
      <c r="AE1172" s="8"/>
    </row>
    <row r="1173" customFormat="false" ht="15" hidden="false" customHeight="false" outlineLevel="0" collapsed="false">
      <c r="A1173" s="12" t="s">
        <v>3659</v>
      </c>
      <c r="B1173" s="26" t="str">
        <f aca="false">Entities!$A$32</f>
        <v>CN</v>
      </c>
      <c r="C1173" s="12" t="str">
        <f aca="false">INDEX(Entities!$B$5:$B$34,MATCH(B1173,Entities!$A$5:$A$34,0))</f>
        <v>Arab Bank – China</v>
      </c>
      <c r="D1173" s="7" t="str">
        <f aca="false">INDEX(Entities!$F$5:$F$34,MATCH(B1173,Entities!$A$5:$A$34,0))</f>
        <v>Tier 3</v>
      </c>
      <c r="E1173" s="26" t="str">
        <f aca="false">'Control Library'!$A$12</f>
        <v>CTL-STR-01</v>
      </c>
      <c r="F1173" s="12" t="str">
        <f aca="false">INDEX('Control Library'!$B$5:$B$47,MATCH(E1173,'Control Library'!$A$5:$A$47,0))</f>
        <v>STR decision and filing within regulatory deadline</v>
      </c>
      <c r="G1173" s="7" t="str">
        <f aca="false">INDEX('Control Library'!$F$5:$F$47,MATCH(E1173,'Control Library'!$A$5:$A$47,0))</f>
        <v>Y</v>
      </c>
      <c r="H1173" s="12" t="str">
        <f aca="false">INDEX('Control Library'!$E$5:$E$47,MATCH(E1173,'Control Library'!$A$5:$A$47,0))</f>
        <v>Event-driven</v>
      </c>
      <c r="I1173" s="7" t="str">
        <f aca="false">IF(INDEX('Control Library'!$I$5:$I$47,MATCH(E1173,'Control Library'!$A$5:$A$47,0))="All","Y",IF(INDEX('Control Library'!$I$5:$I$47,MATCH(E1173,'Control Library'!$A$5:$A$47,0))="Banks only",IF(COUNTIF('Residual Config'!$L$28:$L$30,INDEX(Entities!$E$5:$E$34,MATCH(B1173,Entities!$A$5:$A$34,0)))&gt;0,"N/A","Y"),IF(INDEX(Entities!$G$5:$G$34,MATCH(B1173,Entities!$A$5:$A$34,0))="Y","Y","N/A")))</f>
        <v>Y</v>
      </c>
      <c r="J1173" s="8" t="s">
        <v>3655</v>
      </c>
      <c r="K1173" s="8" t="s">
        <v>3643</v>
      </c>
      <c r="L1173" s="7" t="str">
        <f aca="false">IF(OR(J1173="",K1173=""),"",IF(J1173=K1173,"Breach","OK"))</f>
        <v>OK</v>
      </c>
      <c r="M1173" s="24" t="n">
        <v>1</v>
      </c>
      <c r="N1173" s="50" t="n">
        <v>46008</v>
      </c>
      <c r="O1173" s="8" t="s">
        <v>545</v>
      </c>
      <c r="P1173" s="24" t="n">
        <v>25</v>
      </c>
      <c r="Q1173" s="31" t="n">
        <f aca="false">IF(I1173="N/A","",IFERROR(INDEX('Residual Config'!$B$35:$B$42,MATCH(H1173,'Residual Config'!$A$35:$A$42,0)),""))</f>
        <v>25</v>
      </c>
      <c r="R1173" s="24" t="n">
        <v>0</v>
      </c>
      <c r="S1173" s="8" t="s">
        <v>516</v>
      </c>
      <c r="T1173" s="31" t="n">
        <f aca="false">IF(S1173="","",MATCH(S1173,'Residual Config'!$L$9:$L$12,0))</f>
        <v>1</v>
      </c>
      <c r="U1173" s="8" t="s">
        <v>3660</v>
      </c>
      <c r="V1173" s="24" t="n">
        <v>1</v>
      </c>
      <c r="W1173" s="33" t="s">
        <v>533</v>
      </c>
      <c r="X1173" s="8" t="s">
        <v>760</v>
      </c>
      <c r="Y1173" s="51" t="n">
        <f aca="false">IF(N1173="","",EDATE(N1173,IF(G1173="N",INDEX('Residual Config'!$B$31:$D$31,1,MATCH(D1173,'Residual Config'!$B$27:$D$27,0)),INDEX('Residual Config'!$B$28:$D$30,IF(T1173=1,1,IF(T1173=4,3,2)),MATCH(D1173,'Residual Config'!$B$27:$D$27,0)))))</f>
        <v>46373</v>
      </c>
      <c r="Z1173" s="7" t="str">
        <f aca="false">IF(I1173="N/A","N/A",IF(N1173="","Not tested",IF(W1173="Rejected","Evidence rejected",IF(W1173&lt;&gt;"Accepted","Evidence pending",IF(Y1173&lt;'Residual Config'!$C$4,"Overdue","Current")))))</f>
        <v>Current</v>
      </c>
      <c r="AA1173" s="34" t="n">
        <f aca="false">IF(I1173="N/A","",IF(Z1173&lt;&gt;"Current",4,IF(MAX(M1173,T1173)=0,4,MAX(M1173,T1173))))</f>
        <v>1</v>
      </c>
      <c r="AB1173" s="7" t="str">
        <f aca="false">IF(AA1173="","N/A",IF(Z1173&lt;&gt;"Current","Not tested / overdue",INDEX('Residual Config'!$B$11:$B$14,AA1173)))</f>
        <v>Effective</v>
      </c>
      <c r="AC1173" s="36" t="n">
        <f aca="false">IF(AA1173="","",INDEX('Residual Config'!$D$11:$D$14,AA1173))</f>
        <v>0.6</v>
      </c>
      <c r="AD1173" s="7" t="str">
        <f aca="false">IF(OR(I1173="N/A",P1173="",Q1173=""),"",IF(P1173&gt;=Q1173,"Yes","No"))</f>
        <v>Yes</v>
      </c>
      <c r="AE1173" s="8"/>
    </row>
    <row r="1174" customFormat="false" ht="15" hidden="false" customHeight="false" outlineLevel="0" collapsed="false">
      <c r="A1174" s="12" t="s">
        <v>3661</v>
      </c>
      <c r="B1174" s="26" t="str">
        <f aca="false">Entities!$A$32</f>
        <v>CN</v>
      </c>
      <c r="C1174" s="12" t="str">
        <f aca="false">INDEX(Entities!$B$5:$B$34,MATCH(B1174,Entities!$A$5:$A$34,0))</f>
        <v>Arab Bank – China</v>
      </c>
      <c r="D1174" s="7" t="str">
        <f aca="false">INDEX(Entities!$F$5:$F$34,MATCH(B1174,Entities!$A$5:$A$34,0))</f>
        <v>Tier 3</v>
      </c>
      <c r="E1174" s="26" t="str">
        <f aca="false">'Control Library'!$A$13</f>
        <v>CTL-SAN-01</v>
      </c>
      <c r="F1174" s="12" t="str">
        <f aca="false">INDEX('Control Library'!$B$5:$B$47,MATCH(E1174,'Control Library'!$A$5:$A$47,0))</f>
        <v>Real-time payment and transaction sanctions screening</v>
      </c>
      <c r="G1174" s="7" t="str">
        <f aca="false">INDEX('Control Library'!$F$5:$F$47,MATCH(E1174,'Control Library'!$A$5:$A$47,0))</f>
        <v>Y</v>
      </c>
      <c r="H1174" s="12" t="str">
        <f aca="false">INDEX('Control Library'!$E$5:$E$47,MATCH(E1174,'Control Library'!$A$5:$A$47,0))</f>
        <v>Continuous</v>
      </c>
      <c r="I1174" s="7" t="str">
        <f aca="false">IF(INDEX('Control Library'!$I$5:$I$47,MATCH(E1174,'Control Library'!$A$5:$A$47,0))="All","Y",IF(INDEX('Control Library'!$I$5:$I$47,MATCH(E1174,'Control Library'!$A$5:$A$47,0))="Banks only",IF(COUNTIF('Residual Config'!$L$28:$L$30,INDEX(Entities!$E$5:$E$34,MATCH(B1174,Entities!$A$5:$A$34,0)))&gt;0,"N/A","Y"),IF(INDEX(Entities!$G$5:$G$34,MATCH(B1174,Entities!$A$5:$A$34,0))="Y","Y","N/A")))</f>
        <v>Y</v>
      </c>
      <c r="J1174" s="8" t="s">
        <v>3662</v>
      </c>
      <c r="K1174" s="8" t="s">
        <v>3643</v>
      </c>
      <c r="L1174" s="7" t="str">
        <f aca="false">IF(OR(J1174="",K1174=""),"",IF(J1174=K1174,"Breach","OK"))</f>
        <v>OK</v>
      </c>
      <c r="M1174" s="24" t="n">
        <v>1</v>
      </c>
      <c r="N1174" s="50" t="n">
        <v>46041</v>
      </c>
      <c r="O1174" s="8" t="s">
        <v>546</v>
      </c>
      <c r="P1174" s="24" t="n">
        <v>1</v>
      </c>
      <c r="Q1174" s="31" t="n">
        <f aca="false">IF(I1174="N/A","",IFERROR(INDEX('Residual Config'!$B$35:$B$42,MATCH(H1174,'Residual Config'!$A$35:$A$42,0)),""))</f>
        <v>1</v>
      </c>
      <c r="R1174" s="24" t="n">
        <v>0</v>
      </c>
      <c r="S1174" s="8" t="s">
        <v>516</v>
      </c>
      <c r="T1174" s="31" t="n">
        <f aca="false">IF(S1174="","",MATCH(S1174,'Residual Config'!$L$9:$L$12,0))</f>
        <v>1</v>
      </c>
      <c r="U1174" s="8" t="s">
        <v>3663</v>
      </c>
      <c r="V1174" s="24" t="n">
        <v>3</v>
      </c>
      <c r="W1174" s="33" t="s">
        <v>533</v>
      </c>
      <c r="X1174" s="8" t="s">
        <v>754</v>
      </c>
      <c r="Y1174" s="51" t="n">
        <f aca="false">IF(N1174="","",EDATE(N1174,IF(G1174="N",INDEX('Residual Config'!$B$31:$D$31,1,MATCH(D1174,'Residual Config'!$B$27:$D$27,0)),INDEX('Residual Config'!$B$28:$D$30,IF(T1174=1,1,IF(T1174=4,3,2)),MATCH(D1174,'Residual Config'!$B$27:$D$27,0)))))</f>
        <v>46406</v>
      </c>
      <c r="Z1174" s="7" t="str">
        <f aca="false">IF(I1174="N/A","N/A",IF(N1174="","Not tested",IF(W1174="Rejected","Evidence rejected",IF(W1174&lt;&gt;"Accepted","Evidence pending",IF(Y1174&lt;'Residual Config'!$C$4,"Overdue","Current")))))</f>
        <v>Current</v>
      </c>
      <c r="AA1174" s="34" t="n">
        <f aca="false">IF(I1174="N/A","",IF(Z1174&lt;&gt;"Current",4,IF(MAX(M1174,T1174)=0,4,MAX(M1174,T1174))))</f>
        <v>1</v>
      </c>
      <c r="AB1174" s="7" t="str">
        <f aca="false">IF(AA1174="","N/A",IF(Z1174&lt;&gt;"Current","Not tested / overdue",INDEX('Residual Config'!$B$11:$B$14,AA1174)))</f>
        <v>Effective</v>
      </c>
      <c r="AC1174" s="36" t="n">
        <f aca="false">IF(AA1174="","",INDEX('Residual Config'!$D$11:$D$14,AA1174))</f>
        <v>0.6</v>
      </c>
      <c r="AD1174" s="7" t="str">
        <f aca="false">IF(OR(I1174="N/A",P1174="",Q1174=""),"",IF(P1174&gt;=Q1174,"Yes","No"))</f>
        <v>Yes</v>
      </c>
      <c r="AE1174" s="8"/>
    </row>
    <row r="1175" customFormat="false" ht="15" hidden="false" customHeight="false" outlineLevel="0" collapsed="false">
      <c r="A1175" s="12" t="s">
        <v>3664</v>
      </c>
      <c r="B1175" s="26" t="str">
        <f aca="false">Entities!$A$32</f>
        <v>CN</v>
      </c>
      <c r="C1175" s="12" t="str">
        <f aca="false">INDEX(Entities!$B$5:$B$34,MATCH(B1175,Entities!$A$5:$A$34,0))</f>
        <v>Arab Bank – China</v>
      </c>
      <c r="D1175" s="7" t="str">
        <f aca="false">INDEX(Entities!$F$5:$F$34,MATCH(B1175,Entities!$A$5:$A$34,0))</f>
        <v>Tier 3</v>
      </c>
      <c r="E1175" s="26" t="str">
        <f aca="false">'Control Library'!$A$14</f>
        <v>CTL-SAN-02</v>
      </c>
      <c r="F1175" s="12" t="str">
        <f aca="false">INDEX('Control Library'!$B$5:$B$47,MATCH(E1175,'Control Library'!$A$5:$A$47,0))</f>
        <v>Customer and counterparty screening at onboarding and on list change</v>
      </c>
      <c r="G1175" s="7" t="str">
        <f aca="false">INDEX('Control Library'!$F$5:$F$47,MATCH(E1175,'Control Library'!$A$5:$A$47,0))</f>
        <v>Y</v>
      </c>
      <c r="H1175" s="12" t="str">
        <f aca="false">INDEX('Control Library'!$E$5:$E$47,MATCH(E1175,'Control Library'!$A$5:$A$47,0))</f>
        <v>Continuous</v>
      </c>
      <c r="I1175" s="7" t="str">
        <f aca="false">IF(INDEX('Control Library'!$I$5:$I$47,MATCH(E1175,'Control Library'!$A$5:$A$47,0))="All","Y",IF(INDEX('Control Library'!$I$5:$I$47,MATCH(E1175,'Control Library'!$A$5:$A$47,0))="Banks only",IF(COUNTIF('Residual Config'!$L$28:$L$30,INDEX(Entities!$E$5:$E$34,MATCH(B1175,Entities!$A$5:$A$34,0)))&gt;0,"N/A","Y"),IF(INDEX(Entities!$G$5:$G$34,MATCH(B1175,Entities!$A$5:$A$34,0))="Y","Y","N/A")))</f>
        <v>Y</v>
      </c>
      <c r="J1175" s="8" t="s">
        <v>3662</v>
      </c>
      <c r="K1175" s="8" t="s">
        <v>3643</v>
      </c>
      <c r="L1175" s="7" t="str">
        <f aca="false">IF(OR(J1175="",K1175=""),"",IF(J1175=K1175,"Breach","OK"))</f>
        <v>OK</v>
      </c>
      <c r="M1175" s="24" t="n">
        <v>1</v>
      </c>
      <c r="N1175" s="50" t="n">
        <v>46287</v>
      </c>
      <c r="O1175" s="8" t="s">
        <v>546</v>
      </c>
      <c r="P1175" s="24" t="n">
        <v>1</v>
      </c>
      <c r="Q1175" s="31" t="n">
        <f aca="false">IF(I1175="N/A","",IFERROR(INDEX('Residual Config'!$B$35:$B$42,MATCH(H1175,'Residual Config'!$A$35:$A$42,0)),""))</f>
        <v>1</v>
      </c>
      <c r="R1175" s="24" t="n">
        <v>0</v>
      </c>
      <c r="S1175" s="8" t="s">
        <v>516</v>
      </c>
      <c r="T1175" s="31" t="n">
        <f aca="false">IF(S1175="","",MATCH(S1175,'Residual Config'!$L$9:$L$12,0))</f>
        <v>1</v>
      </c>
      <c r="U1175" s="8" t="s">
        <v>3665</v>
      </c>
      <c r="V1175" s="24" t="n">
        <v>5</v>
      </c>
      <c r="W1175" s="33" t="s">
        <v>533</v>
      </c>
      <c r="X1175" s="8" t="s">
        <v>754</v>
      </c>
      <c r="Y1175" s="51" t="n">
        <f aca="false">IF(N1175="","",EDATE(N1175,IF(G1175="N",INDEX('Residual Config'!$B$31:$D$31,1,MATCH(D1175,'Residual Config'!$B$27:$D$27,0)),INDEX('Residual Config'!$B$28:$D$30,IF(T1175=1,1,IF(T1175=4,3,2)),MATCH(D1175,'Residual Config'!$B$27:$D$27,0)))))</f>
        <v>46652</v>
      </c>
      <c r="Z1175" s="7" t="str">
        <f aca="false">IF(I1175="N/A","N/A",IF(N1175="","Not tested",IF(W1175="Rejected","Evidence rejected",IF(W1175&lt;&gt;"Accepted","Evidence pending",IF(Y1175&lt;'Residual Config'!$C$4,"Overdue","Current")))))</f>
        <v>Current</v>
      </c>
      <c r="AA1175" s="34" t="n">
        <f aca="false">IF(I1175="N/A","",IF(Z1175&lt;&gt;"Current",4,IF(MAX(M1175,T1175)=0,4,MAX(M1175,T1175))))</f>
        <v>1</v>
      </c>
      <c r="AB1175" s="7" t="str">
        <f aca="false">IF(AA1175="","N/A",IF(Z1175&lt;&gt;"Current","Not tested / overdue",INDEX('Residual Config'!$B$11:$B$14,AA1175)))</f>
        <v>Effective</v>
      </c>
      <c r="AC1175" s="36" t="n">
        <f aca="false">IF(AA1175="","",INDEX('Residual Config'!$D$11:$D$14,AA1175))</f>
        <v>0.6</v>
      </c>
      <c r="AD1175" s="7" t="str">
        <f aca="false">IF(OR(I1175="N/A",P1175="",Q1175=""),"",IF(P1175&gt;=Q1175,"Yes","No"))</f>
        <v>Yes</v>
      </c>
      <c r="AE1175" s="8"/>
    </row>
    <row r="1176" customFormat="false" ht="15" hidden="false" customHeight="false" outlineLevel="0" collapsed="false">
      <c r="A1176" s="12" t="s">
        <v>3666</v>
      </c>
      <c r="B1176" s="26" t="str">
        <f aca="false">Entities!$A$32</f>
        <v>CN</v>
      </c>
      <c r="C1176" s="12" t="str">
        <f aca="false">INDEX(Entities!$B$5:$B$34,MATCH(B1176,Entities!$A$5:$A$34,0))</f>
        <v>Arab Bank – China</v>
      </c>
      <c r="D1176" s="7" t="str">
        <f aca="false">INDEX(Entities!$F$5:$F$34,MATCH(B1176,Entities!$A$5:$A$34,0))</f>
        <v>Tier 3</v>
      </c>
      <c r="E1176" s="26" t="str">
        <f aca="false">'Control Library'!$A$15</f>
        <v>CTL-SAN-03</v>
      </c>
      <c r="F1176" s="12" t="str">
        <f aca="false">INDEX('Control Library'!$B$5:$B$47,MATCH(E1176,'Control Library'!$A$5:$A$47,0))</f>
        <v>Sanctions list updates applied within 24 hours</v>
      </c>
      <c r="G1176" s="7" t="str">
        <f aca="false">INDEX('Control Library'!$F$5:$F$47,MATCH(E1176,'Control Library'!$A$5:$A$47,0))</f>
        <v>N</v>
      </c>
      <c r="H1176" s="12" t="str">
        <f aca="false">INDEX('Control Library'!$E$5:$E$47,MATCH(E1176,'Control Library'!$A$5:$A$47,0))</f>
        <v>Daily</v>
      </c>
      <c r="I1176" s="7" t="str">
        <f aca="false">IF(INDEX('Control Library'!$I$5:$I$47,MATCH(E1176,'Control Library'!$A$5:$A$47,0))="All","Y",IF(INDEX('Control Library'!$I$5:$I$47,MATCH(E1176,'Control Library'!$A$5:$A$47,0))="Banks only",IF(COUNTIF('Residual Config'!$L$28:$L$30,INDEX(Entities!$E$5:$E$34,MATCH(B1176,Entities!$A$5:$A$34,0)))&gt;0,"N/A","Y"),IF(INDEX(Entities!$G$5:$G$34,MATCH(B1176,Entities!$A$5:$A$34,0))="Y","Y","N/A")))</f>
        <v>Y</v>
      </c>
      <c r="J1176" s="8" t="s">
        <v>3667</v>
      </c>
      <c r="K1176" s="8" t="s">
        <v>3643</v>
      </c>
      <c r="L1176" s="7" t="str">
        <f aca="false">IF(OR(J1176="",K1176=""),"",IF(J1176=K1176,"Breach","OK"))</f>
        <v>OK</v>
      </c>
      <c r="M1176" s="24" t="n">
        <v>2</v>
      </c>
      <c r="N1176" s="50" t="n">
        <v>46154</v>
      </c>
      <c r="O1176" s="8" t="s">
        <v>545</v>
      </c>
      <c r="P1176" s="24" t="n">
        <v>25</v>
      </c>
      <c r="Q1176" s="31" t="n">
        <f aca="false">IF(I1176="N/A","",IFERROR(INDEX('Residual Config'!$B$35:$B$42,MATCH(H1176,'Residual Config'!$A$35:$A$42,0)),""))</f>
        <v>25</v>
      </c>
      <c r="R1176" s="24" t="n">
        <v>0</v>
      </c>
      <c r="S1176" s="8" t="s">
        <v>516</v>
      </c>
      <c r="T1176" s="31" t="n">
        <f aca="false">IF(S1176="","",MATCH(S1176,'Residual Config'!$L$9:$L$12,0))</f>
        <v>1</v>
      </c>
      <c r="U1176" s="8" t="s">
        <v>3668</v>
      </c>
      <c r="V1176" s="24" t="n">
        <v>5</v>
      </c>
      <c r="W1176" s="33" t="s">
        <v>533</v>
      </c>
      <c r="X1176" s="8" t="s">
        <v>760</v>
      </c>
      <c r="Y1176" s="51" t="n">
        <f aca="false">IF(N1176="","",EDATE(N1176,IF(G1176="N",INDEX('Residual Config'!$B$31:$D$31,1,MATCH(D1176,'Residual Config'!$B$27:$D$27,0)),INDEX('Residual Config'!$B$28:$D$30,IF(T1176=1,1,IF(T1176=4,3,2)),MATCH(D1176,'Residual Config'!$B$27:$D$27,0)))))</f>
        <v>46885</v>
      </c>
      <c r="Z1176" s="7" t="str">
        <f aca="false">IF(I1176="N/A","N/A",IF(N1176="","Not tested",IF(W1176="Rejected","Evidence rejected",IF(W1176&lt;&gt;"Accepted","Evidence pending",IF(Y1176&lt;'Residual Config'!$C$4,"Overdue","Current")))))</f>
        <v>Current</v>
      </c>
      <c r="AA1176" s="34" t="n">
        <f aca="false">IF(I1176="N/A","",IF(Z1176&lt;&gt;"Current",4,IF(MAX(M1176,T1176)=0,4,MAX(M1176,T1176))))</f>
        <v>2</v>
      </c>
      <c r="AB1176" s="7" t="str">
        <f aca="false">IF(AA1176="","N/A",IF(Z1176&lt;&gt;"Current","Not tested / overdue",INDEX('Residual Config'!$B$11:$B$14,AA1176)))</f>
        <v>Largely effective</v>
      </c>
      <c r="AC1176" s="36" t="n">
        <f aca="false">IF(AA1176="","",INDEX('Residual Config'!$D$11:$D$14,AA1176))</f>
        <v>0.4</v>
      </c>
      <c r="AD1176" s="7" t="str">
        <f aca="false">IF(OR(I1176="N/A",P1176="",Q1176=""),"",IF(P1176&gt;=Q1176,"Yes","No"))</f>
        <v>Yes</v>
      </c>
      <c r="AE1176" s="8"/>
    </row>
    <row r="1177" customFormat="false" ht="15" hidden="false" customHeight="false" outlineLevel="0" collapsed="false">
      <c r="A1177" s="12" t="s">
        <v>3669</v>
      </c>
      <c r="B1177" s="26" t="str">
        <f aca="false">Entities!$A$32</f>
        <v>CN</v>
      </c>
      <c r="C1177" s="12" t="str">
        <f aca="false">INDEX(Entities!$B$5:$B$34,MATCH(B1177,Entities!$A$5:$A$34,0))</f>
        <v>Arab Bank – China</v>
      </c>
      <c r="D1177" s="7" t="str">
        <f aca="false">INDEX(Entities!$F$5:$F$34,MATCH(B1177,Entities!$A$5:$A$34,0))</f>
        <v>Tier 3</v>
      </c>
      <c r="E1177" s="26" t="str">
        <f aca="false">'Control Library'!$A$16</f>
        <v>CTL-TF-01</v>
      </c>
      <c r="F1177" s="12" t="str">
        <f aca="false">INDEX('Control Library'!$B$5:$B$47,MATCH(E1177,'Control Library'!$A$5:$A$47,0))</f>
        <v>NPO and charity enhanced due diligence</v>
      </c>
      <c r="G1177" s="7" t="str">
        <f aca="false">INDEX('Control Library'!$F$5:$F$47,MATCH(E1177,'Control Library'!$A$5:$A$47,0))</f>
        <v>N</v>
      </c>
      <c r="H1177" s="12" t="str">
        <f aca="false">INDEX('Control Library'!$E$5:$E$47,MATCH(E1177,'Control Library'!$A$5:$A$47,0))</f>
        <v>Event-driven</v>
      </c>
      <c r="I1177" s="7" t="str">
        <f aca="false">IF(INDEX('Control Library'!$I$5:$I$47,MATCH(E1177,'Control Library'!$A$5:$A$47,0))="All","Y",IF(INDEX('Control Library'!$I$5:$I$47,MATCH(E1177,'Control Library'!$A$5:$A$47,0))="Banks only",IF(COUNTIF('Residual Config'!$L$28:$L$30,INDEX(Entities!$E$5:$E$34,MATCH(B1177,Entities!$A$5:$A$34,0)))&gt;0,"N/A","Y"),IF(INDEX(Entities!$G$5:$G$34,MATCH(B1177,Entities!$A$5:$A$34,0))="Y","Y","N/A")))</f>
        <v>Y</v>
      </c>
      <c r="J1177" s="8" t="s">
        <v>3670</v>
      </c>
      <c r="K1177" s="8" t="s">
        <v>3643</v>
      </c>
      <c r="L1177" s="7" t="str">
        <f aca="false">IF(OR(J1177="",K1177=""),"",IF(J1177=K1177,"Breach","OK"))</f>
        <v>OK</v>
      </c>
      <c r="M1177" s="24" t="n">
        <v>1</v>
      </c>
      <c r="N1177" s="50" t="n">
        <v>46115</v>
      </c>
      <c r="O1177" s="8" t="s">
        <v>545</v>
      </c>
      <c r="P1177" s="24" t="n">
        <v>25</v>
      </c>
      <c r="Q1177" s="31" t="n">
        <f aca="false">IF(I1177="N/A","",IFERROR(INDEX('Residual Config'!$B$35:$B$42,MATCH(H1177,'Residual Config'!$A$35:$A$42,0)),""))</f>
        <v>25</v>
      </c>
      <c r="R1177" s="24" t="n">
        <v>1</v>
      </c>
      <c r="S1177" s="8" t="s">
        <v>521</v>
      </c>
      <c r="T1177" s="31" t="n">
        <f aca="false">IF(S1177="","",MATCH(S1177,'Residual Config'!$L$9:$L$12,0))</f>
        <v>2</v>
      </c>
      <c r="U1177" s="8" t="s">
        <v>3671</v>
      </c>
      <c r="V1177" s="24" t="n">
        <v>5</v>
      </c>
      <c r="W1177" s="33" t="s">
        <v>533</v>
      </c>
      <c r="X1177" s="8" t="s">
        <v>760</v>
      </c>
      <c r="Y1177" s="51" t="n">
        <f aca="false">IF(N1177="","",EDATE(N1177,IF(G1177="N",INDEX('Residual Config'!$B$31:$D$31,1,MATCH(D1177,'Residual Config'!$B$27:$D$27,0)),INDEX('Residual Config'!$B$28:$D$30,IF(T1177=1,1,IF(T1177=4,3,2)),MATCH(D1177,'Residual Config'!$B$27:$D$27,0)))))</f>
        <v>46846</v>
      </c>
      <c r="Z1177" s="7" t="str">
        <f aca="false">IF(I1177="N/A","N/A",IF(N1177="","Not tested",IF(W1177="Rejected","Evidence rejected",IF(W1177&lt;&gt;"Accepted","Evidence pending",IF(Y1177&lt;'Residual Config'!$C$4,"Overdue","Current")))))</f>
        <v>Current</v>
      </c>
      <c r="AA1177" s="34" t="n">
        <f aca="false">IF(I1177="N/A","",IF(Z1177&lt;&gt;"Current",4,IF(MAX(M1177,T1177)=0,4,MAX(M1177,T1177))))</f>
        <v>2</v>
      </c>
      <c r="AB1177" s="7" t="str">
        <f aca="false">IF(AA1177="","N/A",IF(Z1177&lt;&gt;"Current","Not tested / overdue",INDEX('Residual Config'!$B$11:$B$14,AA1177)))</f>
        <v>Largely effective</v>
      </c>
      <c r="AC1177" s="36" t="n">
        <f aca="false">IF(AA1177="","",INDEX('Residual Config'!$D$11:$D$14,AA1177))</f>
        <v>0.4</v>
      </c>
      <c r="AD1177" s="7" t="str">
        <f aca="false">IF(OR(I1177="N/A",P1177="",Q1177=""),"",IF(P1177&gt;=Q1177,"Yes","No"))</f>
        <v>Yes</v>
      </c>
      <c r="AE1177" s="8"/>
    </row>
    <row r="1178" customFormat="false" ht="15" hidden="false" customHeight="false" outlineLevel="0" collapsed="false">
      <c r="A1178" s="12" t="s">
        <v>3672</v>
      </c>
      <c r="B1178" s="26" t="str">
        <f aca="false">Entities!$A$32</f>
        <v>CN</v>
      </c>
      <c r="C1178" s="12" t="str">
        <f aca="false">INDEX(Entities!$B$5:$B$34,MATCH(B1178,Entities!$A$5:$A$34,0))</f>
        <v>Arab Bank – China</v>
      </c>
      <c r="D1178" s="7" t="str">
        <f aca="false">INDEX(Entities!$F$5:$F$34,MATCH(B1178,Entities!$A$5:$A$34,0))</f>
        <v>Tier 3</v>
      </c>
      <c r="E1178" s="26" t="str">
        <f aca="false">'Control Library'!$A$17</f>
        <v>CTL-TBML-01</v>
      </c>
      <c r="F1178" s="12" t="str">
        <f aca="false">INDEX('Control Library'!$B$5:$B$47,MATCH(E1178,'Control Library'!$A$5:$A$47,0))</f>
        <v>Trade-based ML red-flag review and pricing checks</v>
      </c>
      <c r="G1178" s="7" t="str">
        <f aca="false">INDEX('Control Library'!$F$5:$F$47,MATCH(E1178,'Control Library'!$A$5:$A$47,0))</f>
        <v>Y</v>
      </c>
      <c r="H1178" s="12" t="str">
        <f aca="false">INDEX('Control Library'!$E$5:$E$47,MATCH(E1178,'Control Library'!$A$5:$A$47,0))</f>
        <v>Event-driven</v>
      </c>
      <c r="I1178" s="7" t="str">
        <f aca="false">IF(INDEX('Control Library'!$I$5:$I$47,MATCH(E1178,'Control Library'!$A$5:$A$47,0))="All","Y",IF(INDEX('Control Library'!$I$5:$I$47,MATCH(E1178,'Control Library'!$A$5:$A$47,0))="Banks only",IF(COUNTIF('Residual Config'!$L$28:$L$30,INDEX(Entities!$E$5:$E$34,MATCH(B1178,Entities!$A$5:$A$34,0)))&gt;0,"N/A","Y"),IF(INDEX(Entities!$G$5:$G$34,MATCH(B1178,Entities!$A$5:$A$34,0))="Y","Y","N/A")))</f>
        <v>Y</v>
      </c>
      <c r="J1178" s="8" t="s">
        <v>3673</v>
      </c>
      <c r="K1178" s="8" t="s">
        <v>3643</v>
      </c>
      <c r="L1178" s="7" t="str">
        <f aca="false">IF(OR(J1178="",K1178=""),"",IF(J1178=K1178,"Breach","OK"))</f>
        <v>OK</v>
      </c>
      <c r="M1178" s="24" t="n">
        <v>1</v>
      </c>
      <c r="N1178" s="50" t="n">
        <v>46119</v>
      </c>
      <c r="O1178" s="8" t="s">
        <v>546</v>
      </c>
      <c r="P1178" s="24" t="n">
        <v>30</v>
      </c>
      <c r="Q1178" s="31" t="n">
        <f aca="false">IF(I1178="N/A","",IFERROR(INDEX('Residual Config'!$B$35:$B$42,MATCH(H1178,'Residual Config'!$A$35:$A$42,0)),""))</f>
        <v>25</v>
      </c>
      <c r="R1178" s="24" t="n">
        <v>0</v>
      </c>
      <c r="S1178" s="8" t="s">
        <v>516</v>
      </c>
      <c r="T1178" s="31" t="n">
        <f aca="false">IF(S1178="","",MATCH(S1178,'Residual Config'!$L$9:$L$12,0))</f>
        <v>1</v>
      </c>
      <c r="U1178" s="8" t="s">
        <v>3674</v>
      </c>
      <c r="V1178" s="24" t="n">
        <v>1</v>
      </c>
      <c r="W1178" s="33" t="s">
        <v>533</v>
      </c>
      <c r="X1178" s="8" t="s">
        <v>754</v>
      </c>
      <c r="Y1178" s="51" t="n">
        <f aca="false">IF(N1178="","",EDATE(N1178,IF(G1178="N",INDEX('Residual Config'!$B$31:$D$31,1,MATCH(D1178,'Residual Config'!$B$27:$D$27,0)),INDEX('Residual Config'!$B$28:$D$30,IF(T1178=1,1,IF(T1178=4,3,2)),MATCH(D1178,'Residual Config'!$B$27:$D$27,0)))))</f>
        <v>46484</v>
      </c>
      <c r="Z1178" s="7" t="str">
        <f aca="false">IF(I1178="N/A","N/A",IF(N1178="","Not tested",IF(W1178="Rejected","Evidence rejected",IF(W1178&lt;&gt;"Accepted","Evidence pending",IF(Y1178&lt;'Residual Config'!$C$4,"Overdue","Current")))))</f>
        <v>Current</v>
      </c>
      <c r="AA1178" s="34" t="n">
        <f aca="false">IF(I1178="N/A","",IF(Z1178&lt;&gt;"Current",4,IF(MAX(M1178,T1178)=0,4,MAX(M1178,T1178))))</f>
        <v>1</v>
      </c>
      <c r="AB1178" s="7" t="str">
        <f aca="false">IF(AA1178="","N/A",IF(Z1178&lt;&gt;"Current","Not tested / overdue",INDEX('Residual Config'!$B$11:$B$14,AA1178)))</f>
        <v>Effective</v>
      </c>
      <c r="AC1178" s="36" t="n">
        <f aca="false">IF(AA1178="","",INDEX('Residual Config'!$D$11:$D$14,AA1178))</f>
        <v>0.6</v>
      </c>
      <c r="AD1178" s="7" t="str">
        <f aca="false">IF(OR(I1178="N/A",P1178="",Q1178=""),"",IF(P1178&gt;=Q1178,"Yes","No"))</f>
        <v>Yes</v>
      </c>
      <c r="AE1178" s="8"/>
    </row>
    <row r="1179" customFormat="false" ht="15" hidden="false" customHeight="false" outlineLevel="0" collapsed="false">
      <c r="A1179" s="12" t="s">
        <v>3675</v>
      </c>
      <c r="B1179" s="26" t="str">
        <f aca="false">Entities!$A$32</f>
        <v>CN</v>
      </c>
      <c r="C1179" s="12" t="str">
        <f aca="false">INDEX(Entities!$B$5:$B$34,MATCH(B1179,Entities!$A$5:$A$34,0))</f>
        <v>Arab Bank – China</v>
      </c>
      <c r="D1179" s="7" t="str">
        <f aca="false">INDEX(Entities!$F$5:$F$34,MATCH(B1179,Entities!$A$5:$A$34,0))</f>
        <v>Tier 3</v>
      </c>
      <c r="E1179" s="26" t="str">
        <f aca="false">'Control Library'!$A$18</f>
        <v>CTL-PF-01</v>
      </c>
      <c r="F1179" s="12" t="str">
        <f aca="false">INDEX('Control Library'!$B$5:$B$47,MATCH(E1179,'Control Library'!$A$5:$A$47,0))</f>
        <v>Dual-use goods, vessel and port screening</v>
      </c>
      <c r="G1179" s="7" t="str">
        <f aca="false">INDEX('Control Library'!$F$5:$F$47,MATCH(E1179,'Control Library'!$A$5:$A$47,0))</f>
        <v>Y</v>
      </c>
      <c r="H1179" s="12" t="str">
        <f aca="false">INDEX('Control Library'!$E$5:$E$47,MATCH(E1179,'Control Library'!$A$5:$A$47,0))</f>
        <v>Event-driven</v>
      </c>
      <c r="I1179" s="7" t="str">
        <f aca="false">IF(INDEX('Control Library'!$I$5:$I$47,MATCH(E1179,'Control Library'!$A$5:$A$47,0))="All","Y",IF(INDEX('Control Library'!$I$5:$I$47,MATCH(E1179,'Control Library'!$A$5:$A$47,0))="Banks only",IF(COUNTIF('Residual Config'!$L$28:$L$30,INDEX(Entities!$E$5:$E$34,MATCH(B1179,Entities!$A$5:$A$34,0)))&gt;0,"N/A","Y"),IF(INDEX(Entities!$G$5:$G$34,MATCH(B1179,Entities!$A$5:$A$34,0))="Y","Y","N/A")))</f>
        <v>Y</v>
      </c>
      <c r="J1179" s="8" t="s">
        <v>3673</v>
      </c>
      <c r="K1179" s="8" t="s">
        <v>3643</v>
      </c>
      <c r="L1179" s="7" t="str">
        <f aca="false">IF(OR(J1179="",K1179=""),"",IF(J1179=K1179,"Breach","OK"))</f>
        <v>OK</v>
      </c>
      <c r="M1179" s="24" t="n">
        <v>1</v>
      </c>
      <c r="N1179" s="50" t="n">
        <v>46016</v>
      </c>
      <c r="O1179" s="8" t="s">
        <v>545</v>
      </c>
      <c r="P1179" s="24" t="n">
        <v>25</v>
      </c>
      <c r="Q1179" s="31" t="n">
        <f aca="false">IF(I1179="N/A","",IFERROR(INDEX('Residual Config'!$B$35:$B$42,MATCH(H1179,'Residual Config'!$A$35:$A$42,0)),""))</f>
        <v>25</v>
      </c>
      <c r="R1179" s="24" t="n">
        <v>0</v>
      </c>
      <c r="S1179" s="8" t="s">
        <v>516</v>
      </c>
      <c r="T1179" s="31" t="n">
        <f aca="false">IF(S1179="","",MATCH(S1179,'Residual Config'!$L$9:$L$12,0))</f>
        <v>1</v>
      </c>
      <c r="U1179" s="8" t="s">
        <v>3676</v>
      </c>
      <c r="V1179" s="24" t="n">
        <v>2</v>
      </c>
      <c r="W1179" s="33" t="s">
        <v>533</v>
      </c>
      <c r="X1179" s="8" t="s">
        <v>754</v>
      </c>
      <c r="Y1179" s="51" t="n">
        <f aca="false">IF(N1179="","",EDATE(N1179,IF(G1179="N",INDEX('Residual Config'!$B$31:$D$31,1,MATCH(D1179,'Residual Config'!$B$27:$D$27,0)),INDEX('Residual Config'!$B$28:$D$30,IF(T1179=1,1,IF(T1179=4,3,2)),MATCH(D1179,'Residual Config'!$B$27:$D$27,0)))))</f>
        <v>46381</v>
      </c>
      <c r="Z1179" s="7" t="str">
        <f aca="false">IF(I1179="N/A","N/A",IF(N1179="","Not tested",IF(W1179="Rejected","Evidence rejected",IF(W1179&lt;&gt;"Accepted","Evidence pending",IF(Y1179&lt;'Residual Config'!$C$4,"Overdue","Current")))))</f>
        <v>Current</v>
      </c>
      <c r="AA1179" s="34" t="n">
        <f aca="false">IF(I1179="N/A","",IF(Z1179&lt;&gt;"Current",4,IF(MAX(M1179,T1179)=0,4,MAX(M1179,T1179))))</f>
        <v>1</v>
      </c>
      <c r="AB1179" s="7" t="str">
        <f aca="false">IF(AA1179="","N/A",IF(Z1179&lt;&gt;"Current","Not tested / overdue",INDEX('Residual Config'!$B$11:$B$14,AA1179)))</f>
        <v>Effective</v>
      </c>
      <c r="AC1179" s="36" t="n">
        <f aca="false">IF(AA1179="","",INDEX('Residual Config'!$D$11:$D$14,AA1179))</f>
        <v>0.6</v>
      </c>
      <c r="AD1179" s="7" t="str">
        <f aca="false">IF(OR(I1179="N/A",P1179="",Q1179=""),"",IF(P1179&gt;=Q1179,"Yes","No"))</f>
        <v>Yes</v>
      </c>
      <c r="AE1179" s="8"/>
    </row>
    <row r="1180" customFormat="false" ht="15" hidden="false" customHeight="false" outlineLevel="0" collapsed="false">
      <c r="A1180" s="12" t="s">
        <v>3677</v>
      </c>
      <c r="B1180" s="26" t="str">
        <f aca="false">Entities!$A$32</f>
        <v>CN</v>
      </c>
      <c r="C1180" s="12" t="str">
        <f aca="false">INDEX(Entities!$B$5:$B$34,MATCH(B1180,Entities!$A$5:$A$34,0))</f>
        <v>Arab Bank – China</v>
      </c>
      <c r="D1180" s="7" t="str">
        <f aca="false">INDEX(Entities!$F$5:$F$34,MATCH(B1180,Entities!$A$5:$A$34,0))</f>
        <v>Tier 3</v>
      </c>
      <c r="E1180" s="26" t="str">
        <f aca="false">'Control Library'!$A$19</f>
        <v>CTL-CB-01</v>
      </c>
      <c r="F1180" s="12" t="str">
        <f aca="false">INDEX('Control Library'!$B$5:$B$47,MATCH(E1180,'Control Library'!$A$5:$A$47,0))</f>
        <v>Correspondent bank due diligence (CBDDQ) and nesting detection</v>
      </c>
      <c r="G1180" s="7" t="str">
        <f aca="false">INDEX('Control Library'!$F$5:$F$47,MATCH(E1180,'Control Library'!$A$5:$A$47,0))</f>
        <v>Y</v>
      </c>
      <c r="H1180" s="12" t="str">
        <f aca="false">INDEX('Control Library'!$E$5:$E$47,MATCH(E1180,'Control Library'!$A$5:$A$47,0))</f>
        <v>Annual</v>
      </c>
      <c r="I1180" s="7" t="str">
        <f aca="false">IF(INDEX('Control Library'!$I$5:$I$47,MATCH(E1180,'Control Library'!$A$5:$A$47,0))="All","Y",IF(INDEX('Control Library'!$I$5:$I$47,MATCH(E1180,'Control Library'!$A$5:$A$47,0))="Banks only",IF(COUNTIF('Residual Config'!$L$28:$L$30,INDEX(Entities!$E$5:$E$34,MATCH(B1180,Entities!$A$5:$A$34,0)))&gt;0,"N/A","Y"),IF(INDEX(Entities!$G$5:$G$34,MATCH(B1180,Entities!$A$5:$A$34,0))="Y","Y","N/A")))</f>
        <v>Y</v>
      </c>
      <c r="J1180" s="8" t="s">
        <v>3678</v>
      </c>
      <c r="K1180" s="8" t="s">
        <v>3643</v>
      </c>
      <c r="L1180" s="7" t="str">
        <f aca="false">IF(OR(J1180="",K1180=""),"",IF(J1180=K1180,"Breach","OK"))</f>
        <v>OK</v>
      </c>
      <c r="M1180" s="24" t="n">
        <v>1</v>
      </c>
      <c r="N1180" s="50" t="n">
        <v>46276</v>
      </c>
      <c r="O1180" s="8" t="s">
        <v>546</v>
      </c>
      <c r="P1180" s="24" t="n">
        <v>1</v>
      </c>
      <c r="Q1180" s="31" t="n">
        <f aca="false">IF(I1180="N/A","",IFERROR(INDEX('Residual Config'!$B$35:$B$42,MATCH(H1180,'Residual Config'!$A$35:$A$42,0)),""))</f>
        <v>1</v>
      </c>
      <c r="R1180" s="24" t="n">
        <v>1</v>
      </c>
      <c r="S1180" s="8" t="s">
        <v>521</v>
      </c>
      <c r="T1180" s="31" t="n">
        <f aca="false">IF(S1180="","",MATCH(S1180,'Residual Config'!$L$9:$L$12,0))</f>
        <v>2</v>
      </c>
      <c r="U1180" s="8" t="s">
        <v>3679</v>
      </c>
      <c r="V1180" s="24" t="n">
        <v>3</v>
      </c>
      <c r="W1180" s="33" t="s">
        <v>533</v>
      </c>
      <c r="X1180" s="8" t="s">
        <v>760</v>
      </c>
      <c r="Y1180" s="51" t="n">
        <f aca="false">IF(N1180="","",EDATE(N1180,IF(G1180="N",INDEX('Residual Config'!$B$31:$D$31,1,MATCH(D1180,'Residual Config'!$B$27:$D$27,0)),INDEX('Residual Config'!$B$28:$D$30,IF(T1180=1,1,IF(T1180=4,3,2)),MATCH(D1180,'Residual Config'!$B$27:$D$27,0)))))</f>
        <v>46457</v>
      </c>
      <c r="Z1180" s="7" t="str">
        <f aca="false">IF(I1180="N/A","N/A",IF(N1180="","Not tested",IF(W1180="Rejected","Evidence rejected",IF(W1180&lt;&gt;"Accepted","Evidence pending",IF(Y1180&lt;'Residual Config'!$C$4,"Overdue","Current")))))</f>
        <v>Current</v>
      </c>
      <c r="AA1180" s="34" t="n">
        <f aca="false">IF(I1180="N/A","",IF(Z1180&lt;&gt;"Current",4,IF(MAX(M1180,T1180)=0,4,MAX(M1180,T1180))))</f>
        <v>2</v>
      </c>
      <c r="AB1180" s="7" t="str">
        <f aca="false">IF(AA1180="","N/A",IF(Z1180&lt;&gt;"Current","Not tested / overdue",INDEX('Residual Config'!$B$11:$B$14,AA1180)))</f>
        <v>Largely effective</v>
      </c>
      <c r="AC1180" s="36" t="n">
        <f aca="false">IF(AA1180="","",INDEX('Residual Config'!$D$11:$D$14,AA1180))</f>
        <v>0.4</v>
      </c>
      <c r="AD1180" s="7" t="str">
        <f aca="false">IF(OR(I1180="N/A",P1180="",Q1180=""),"",IF(P1180&gt;=Q1180,"Yes","No"))</f>
        <v>Yes</v>
      </c>
      <c r="AE1180" s="8"/>
    </row>
    <row r="1181" customFormat="false" ht="15" hidden="false" customHeight="false" outlineLevel="0" collapsed="false">
      <c r="A1181" s="12" t="s">
        <v>3680</v>
      </c>
      <c r="B1181" s="26" t="str">
        <f aca="false">Entities!$A$32</f>
        <v>CN</v>
      </c>
      <c r="C1181" s="12" t="str">
        <f aca="false">INDEX(Entities!$B$5:$B$34,MATCH(B1181,Entities!$A$5:$A$34,0))</f>
        <v>Arab Bank – China</v>
      </c>
      <c r="D1181" s="7" t="str">
        <f aca="false">INDEX(Entities!$F$5:$F$34,MATCH(B1181,Entities!$A$5:$A$34,0))</f>
        <v>Tier 3</v>
      </c>
      <c r="E1181" s="26" t="str">
        <f aca="false">'Control Library'!$A$20</f>
        <v>CTL-PAY-01</v>
      </c>
      <c r="F1181" s="12" t="str">
        <f aca="false">INDEX('Control Library'!$B$5:$B$47,MATCH(E1181,'Control Library'!$A$5:$A$47,0))</f>
        <v>Payment transparency checks (FATF R.16)</v>
      </c>
      <c r="G1181" s="7" t="str">
        <f aca="false">INDEX('Control Library'!$F$5:$F$47,MATCH(E1181,'Control Library'!$A$5:$A$47,0))</f>
        <v>N</v>
      </c>
      <c r="H1181" s="12" t="str">
        <f aca="false">INDEX('Control Library'!$E$5:$E$47,MATCH(E1181,'Control Library'!$A$5:$A$47,0))</f>
        <v>Continuous</v>
      </c>
      <c r="I1181" s="7" t="str">
        <f aca="false">IF(INDEX('Control Library'!$I$5:$I$47,MATCH(E1181,'Control Library'!$A$5:$A$47,0))="All","Y",IF(INDEX('Control Library'!$I$5:$I$47,MATCH(E1181,'Control Library'!$A$5:$A$47,0))="Banks only",IF(COUNTIF('Residual Config'!$L$28:$L$30,INDEX(Entities!$E$5:$E$34,MATCH(B1181,Entities!$A$5:$A$34,0)))&gt;0,"N/A","Y"),IF(INDEX(Entities!$G$5:$G$34,MATCH(B1181,Entities!$A$5:$A$34,0))="Y","Y","N/A")))</f>
        <v>Y</v>
      </c>
      <c r="J1181" s="8" t="s">
        <v>3681</v>
      </c>
      <c r="K1181" s="8" t="s">
        <v>3643</v>
      </c>
      <c r="L1181" s="7" t="str">
        <f aca="false">IF(OR(J1181="",K1181=""),"",IF(J1181=K1181,"Breach","OK"))</f>
        <v>OK</v>
      </c>
      <c r="M1181" s="24" t="n">
        <v>2</v>
      </c>
      <c r="N1181" s="50" t="n">
        <v>45598</v>
      </c>
      <c r="O1181" s="8" t="s">
        <v>547</v>
      </c>
      <c r="P1181" s="24" t="n">
        <v>1</v>
      </c>
      <c r="Q1181" s="31" t="n">
        <f aca="false">IF(I1181="N/A","",IFERROR(INDEX('Residual Config'!$B$35:$B$42,MATCH(H1181,'Residual Config'!$A$35:$A$42,0)),""))</f>
        <v>1</v>
      </c>
      <c r="R1181" s="24" t="n">
        <v>1</v>
      </c>
      <c r="S1181" s="8" t="s">
        <v>521</v>
      </c>
      <c r="T1181" s="31" t="n">
        <f aca="false">IF(S1181="","",MATCH(S1181,'Residual Config'!$L$9:$L$12,0))</f>
        <v>2</v>
      </c>
      <c r="U1181" s="8" t="s">
        <v>3682</v>
      </c>
      <c r="V1181" s="24" t="n">
        <v>1</v>
      </c>
      <c r="W1181" s="33" t="s">
        <v>533</v>
      </c>
      <c r="X1181" s="8" t="s">
        <v>754</v>
      </c>
      <c r="Y1181" s="51" t="n">
        <f aca="false">IF(N1181="","",EDATE(N1181,IF(G1181="N",INDEX('Residual Config'!$B$31:$D$31,1,MATCH(D1181,'Residual Config'!$B$27:$D$27,0)),INDEX('Residual Config'!$B$28:$D$30,IF(T1181=1,1,IF(T1181=4,3,2)),MATCH(D1181,'Residual Config'!$B$27:$D$27,0)))))</f>
        <v>46328</v>
      </c>
      <c r="Z1181" s="7" t="str">
        <f aca="false">IF(I1181="N/A","N/A",IF(N1181="","Not tested",IF(W1181="Rejected","Evidence rejected",IF(W1181&lt;&gt;"Accepted","Evidence pending",IF(Y1181&lt;'Residual Config'!$C$4,"Overdue","Current")))))</f>
        <v>Current</v>
      </c>
      <c r="AA1181" s="34" t="n">
        <f aca="false">IF(I1181="N/A","",IF(Z1181&lt;&gt;"Current",4,IF(MAX(M1181,T1181)=0,4,MAX(M1181,T1181))))</f>
        <v>2</v>
      </c>
      <c r="AB1181" s="7" t="str">
        <f aca="false">IF(AA1181="","N/A",IF(Z1181&lt;&gt;"Current","Not tested / overdue",INDEX('Residual Config'!$B$11:$B$14,AA1181)))</f>
        <v>Largely effective</v>
      </c>
      <c r="AC1181" s="36" t="n">
        <f aca="false">IF(AA1181="","",INDEX('Residual Config'!$D$11:$D$14,AA1181))</f>
        <v>0.4</v>
      </c>
      <c r="AD1181" s="7" t="str">
        <f aca="false">IF(OR(I1181="N/A",P1181="",Q1181=""),"",IF(P1181&gt;=Q1181,"Yes","No"))</f>
        <v>Yes</v>
      </c>
      <c r="AE1181" s="8"/>
    </row>
    <row r="1182" customFormat="false" ht="15" hidden="false" customHeight="false" outlineLevel="0" collapsed="false">
      <c r="A1182" s="12" t="s">
        <v>3683</v>
      </c>
      <c r="B1182" s="26" t="str">
        <f aca="false">Entities!$A$32</f>
        <v>CN</v>
      </c>
      <c r="C1182" s="12" t="str">
        <f aca="false">INDEX(Entities!$B$5:$B$34,MATCH(B1182,Entities!$A$5:$A$34,0))</f>
        <v>Arab Bank – China</v>
      </c>
      <c r="D1182" s="7" t="str">
        <f aca="false">INDEX(Entities!$F$5:$F$34,MATCH(B1182,Entities!$A$5:$A$34,0))</f>
        <v>Tier 3</v>
      </c>
      <c r="E1182" s="26" t="str">
        <f aca="false">'Control Library'!$A$21</f>
        <v>CTL-ABC-01</v>
      </c>
      <c r="F1182" s="12" t="str">
        <f aca="false">INDEX('Control Library'!$B$5:$B$47,MATCH(E1182,'Control Library'!$A$5:$A$47,0))</f>
        <v>Third-party and intermediary anti-bribery due diligence</v>
      </c>
      <c r="G1182" s="7" t="str">
        <f aca="false">INDEX('Control Library'!$F$5:$F$47,MATCH(E1182,'Control Library'!$A$5:$A$47,0))</f>
        <v>Y</v>
      </c>
      <c r="H1182" s="12" t="str">
        <f aca="false">INDEX('Control Library'!$E$5:$E$47,MATCH(E1182,'Control Library'!$A$5:$A$47,0))</f>
        <v>Event-driven</v>
      </c>
      <c r="I1182" s="7" t="str">
        <f aca="false">IF(INDEX('Control Library'!$I$5:$I$47,MATCH(E1182,'Control Library'!$A$5:$A$47,0))="All","Y",IF(INDEX('Control Library'!$I$5:$I$47,MATCH(E1182,'Control Library'!$A$5:$A$47,0))="Banks only",IF(COUNTIF('Residual Config'!$L$28:$L$30,INDEX(Entities!$E$5:$E$34,MATCH(B1182,Entities!$A$5:$A$34,0)))&gt;0,"N/A","Y"),IF(INDEX(Entities!$G$5:$G$34,MATCH(B1182,Entities!$A$5:$A$34,0))="Y","Y","N/A")))</f>
        <v>Y</v>
      </c>
      <c r="J1182" s="8" t="s">
        <v>3684</v>
      </c>
      <c r="K1182" s="8" t="s">
        <v>3643</v>
      </c>
      <c r="L1182" s="7" t="str">
        <f aca="false">IF(OR(J1182="",K1182=""),"",IF(J1182=K1182,"Breach","OK"))</f>
        <v>OK</v>
      </c>
      <c r="M1182" s="24" t="n">
        <v>1</v>
      </c>
      <c r="N1182" s="50" t="n">
        <v>46254</v>
      </c>
      <c r="O1182" s="8" t="s">
        <v>546</v>
      </c>
      <c r="P1182" s="24" t="n">
        <v>35</v>
      </c>
      <c r="Q1182" s="31" t="n">
        <f aca="false">IF(I1182="N/A","",IFERROR(INDEX('Residual Config'!$B$35:$B$42,MATCH(H1182,'Residual Config'!$A$35:$A$42,0)),""))</f>
        <v>25</v>
      </c>
      <c r="R1182" s="24" t="n">
        <v>0</v>
      </c>
      <c r="S1182" s="8" t="s">
        <v>516</v>
      </c>
      <c r="T1182" s="31" t="n">
        <f aca="false">IF(S1182="","",MATCH(S1182,'Residual Config'!$L$9:$L$12,0))</f>
        <v>1</v>
      </c>
      <c r="U1182" s="8" t="s">
        <v>3685</v>
      </c>
      <c r="V1182" s="24" t="n">
        <v>2</v>
      </c>
      <c r="W1182" s="33" t="s">
        <v>533</v>
      </c>
      <c r="X1182" s="8" t="s">
        <v>760</v>
      </c>
      <c r="Y1182" s="51" t="n">
        <f aca="false">IF(N1182="","",EDATE(N1182,IF(G1182="N",INDEX('Residual Config'!$B$31:$D$31,1,MATCH(D1182,'Residual Config'!$B$27:$D$27,0)),INDEX('Residual Config'!$B$28:$D$30,IF(T1182=1,1,IF(T1182=4,3,2)),MATCH(D1182,'Residual Config'!$B$27:$D$27,0)))))</f>
        <v>46619</v>
      </c>
      <c r="Z1182" s="7" t="str">
        <f aca="false">IF(I1182="N/A","N/A",IF(N1182="","Not tested",IF(W1182="Rejected","Evidence rejected",IF(W1182&lt;&gt;"Accepted","Evidence pending",IF(Y1182&lt;'Residual Config'!$C$4,"Overdue","Current")))))</f>
        <v>Current</v>
      </c>
      <c r="AA1182" s="34" t="n">
        <f aca="false">IF(I1182="N/A","",IF(Z1182&lt;&gt;"Current",4,IF(MAX(M1182,T1182)=0,4,MAX(M1182,T1182))))</f>
        <v>1</v>
      </c>
      <c r="AB1182" s="7" t="str">
        <f aca="false">IF(AA1182="","N/A",IF(Z1182&lt;&gt;"Current","Not tested / overdue",INDEX('Residual Config'!$B$11:$B$14,AA1182)))</f>
        <v>Effective</v>
      </c>
      <c r="AC1182" s="36" t="n">
        <f aca="false">IF(AA1182="","",INDEX('Residual Config'!$D$11:$D$14,AA1182))</f>
        <v>0.6</v>
      </c>
      <c r="AD1182" s="7" t="str">
        <f aca="false">IF(OR(I1182="N/A",P1182="",Q1182=""),"",IF(P1182&gt;=Q1182,"Yes","No"))</f>
        <v>Yes</v>
      </c>
      <c r="AE1182" s="8"/>
    </row>
    <row r="1183" customFormat="false" ht="15" hidden="false" customHeight="false" outlineLevel="0" collapsed="false">
      <c r="A1183" s="12" t="s">
        <v>3686</v>
      </c>
      <c r="B1183" s="26" t="str">
        <f aca="false">Entities!$A$32</f>
        <v>CN</v>
      </c>
      <c r="C1183" s="12" t="str">
        <f aca="false">INDEX(Entities!$B$5:$B$34,MATCH(B1183,Entities!$A$5:$A$34,0))</f>
        <v>Arab Bank – China</v>
      </c>
      <c r="D1183" s="7" t="str">
        <f aca="false">INDEX(Entities!$F$5:$F$34,MATCH(B1183,Entities!$A$5:$A$34,0))</f>
        <v>Tier 3</v>
      </c>
      <c r="E1183" s="26" t="str">
        <f aca="false">'Control Library'!$A$22</f>
        <v>CTL-ABC-02</v>
      </c>
      <c r="F1183" s="12" t="str">
        <f aca="false">INDEX('Control Library'!$B$5:$B$47,MATCH(E1183,'Control Library'!$A$5:$A$47,0))</f>
        <v>Gifts, hospitality and donations register with pre-approval</v>
      </c>
      <c r="G1183" s="7" t="str">
        <f aca="false">INDEX('Control Library'!$F$5:$F$47,MATCH(E1183,'Control Library'!$A$5:$A$47,0))</f>
        <v>N</v>
      </c>
      <c r="H1183" s="12" t="str">
        <f aca="false">INDEX('Control Library'!$E$5:$E$47,MATCH(E1183,'Control Library'!$A$5:$A$47,0))</f>
        <v>Event-driven</v>
      </c>
      <c r="I1183" s="7" t="str">
        <f aca="false">IF(INDEX('Control Library'!$I$5:$I$47,MATCH(E1183,'Control Library'!$A$5:$A$47,0))="All","Y",IF(INDEX('Control Library'!$I$5:$I$47,MATCH(E1183,'Control Library'!$A$5:$A$47,0))="Banks only",IF(COUNTIF('Residual Config'!$L$28:$L$30,INDEX(Entities!$E$5:$E$34,MATCH(B1183,Entities!$A$5:$A$34,0)))&gt;0,"N/A","Y"),IF(INDEX(Entities!$G$5:$G$34,MATCH(B1183,Entities!$A$5:$A$34,0))="Y","Y","N/A")))</f>
        <v>Y</v>
      </c>
      <c r="J1183" s="8" t="s">
        <v>3646</v>
      </c>
      <c r="K1183" s="8" t="s">
        <v>3643</v>
      </c>
      <c r="L1183" s="7" t="str">
        <f aca="false">IF(OR(J1183="",K1183=""),"",IF(J1183=K1183,"Breach","OK"))</f>
        <v>OK</v>
      </c>
      <c r="M1183" s="24" t="n">
        <v>2</v>
      </c>
      <c r="N1183" s="50" t="n">
        <v>45695</v>
      </c>
      <c r="O1183" s="8" t="s">
        <v>546</v>
      </c>
      <c r="P1183" s="24" t="n">
        <v>25</v>
      </c>
      <c r="Q1183" s="31" t="n">
        <f aca="false">IF(I1183="N/A","",IFERROR(INDEX('Residual Config'!$B$35:$B$42,MATCH(H1183,'Residual Config'!$A$35:$A$42,0)),""))</f>
        <v>25</v>
      </c>
      <c r="R1183" s="24" t="n">
        <v>0</v>
      </c>
      <c r="S1183" s="8" t="s">
        <v>516</v>
      </c>
      <c r="T1183" s="31" t="n">
        <f aca="false">IF(S1183="","",MATCH(S1183,'Residual Config'!$L$9:$L$12,0))</f>
        <v>1</v>
      </c>
      <c r="U1183" s="8" t="s">
        <v>3687</v>
      </c>
      <c r="V1183" s="24" t="n">
        <v>3</v>
      </c>
      <c r="W1183" s="33" t="s">
        <v>533</v>
      </c>
      <c r="X1183" s="8" t="s">
        <v>754</v>
      </c>
      <c r="Y1183" s="51" t="n">
        <f aca="false">IF(N1183="","",EDATE(N1183,IF(G1183="N",INDEX('Residual Config'!$B$31:$D$31,1,MATCH(D1183,'Residual Config'!$B$27:$D$27,0)),INDEX('Residual Config'!$B$28:$D$30,IF(T1183=1,1,IF(T1183=4,3,2)),MATCH(D1183,'Residual Config'!$B$27:$D$27,0)))))</f>
        <v>46425</v>
      </c>
      <c r="Z1183" s="7" t="str">
        <f aca="false">IF(I1183="N/A","N/A",IF(N1183="","Not tested",IF(W1183="Rejected","Evidence rejected",IF(W1183&lt;&gt;"Accepted","Evidence pending",IF(Y1183&lt;'Residual Config'!$C$4,"Overdue","Current")))))</f>
        <v>Current</v>
      </c>
      <c r="AA1183" s="34" t="n">
        <f aca="false">IF(I1183="N/A","",IF(Z1183&lt;&gt;"Current",4,IF(MAX(M1183,T1183)=0,4,MAX(M1183,T1183))))</f>
        <v>2</v>
      </c>
      <c r="AB1183" s="7" t="str">
        <f aca="false">IF(AA1183="","N/A",IF(Z1183&lt;&gt;"Current","Not tested / overdue",INDEX('Residual Config'!$B$11:$B$14,AA1183)))</f>
        <v>Largely effective</v>
      </c>
      <c r="AC1183" s="36" t="n">
        <f aca="false">IF(AA1183="","",INDEX('Residual Config'!$D$11:$D$14,AA1183))</f>
        <v>0.4</v>
      </c>
      <c r="AD1183" s="7" t="str">
        <f aca="false">IF(OR(I1183="N/A",P1183="",Q1183=""),"",IF(P1183&gt;=Q1183,"Yes","No"))</f>
        <v>Yes</v>
      </c>
      <c r="AE1183" s="8"/>
    </row>
    <row r="1184" customFormat="false" ht="15" hidden="false" customHeight="false" outlineLevel="0" collapsed="false">
      <c r="A1184" s="12" t="s">
        <v>3688</v>
      </c>
      <c r="B1184" s="26" t="str">
        <f aca="false">Entities!$A$32</f>
        <v>CN</v>
      </c>
      <c r="C1184" s="12" t="str">
        <f aca="false">INDEX(Entities!$B$5:$B$34,MATCH(B1184,Entities!$A$5:$A$34,0))</f>
        <v>Arab Bank – China</v>
      </c>
      <c r="D1184" s="7" t="str">
        <f aca="false">INDEX(Entities!$F$5:$F$34,MATCH(B1184,Entities!$A$5:$A$34,0))</f>
        <v>Tier 3</v>
      </c>
      <c r="E1184" s="26" t="str">
        <f aca="false">'Control Library'!$A$23</f>
        <v>CTL-FRD-01</v>
      </c>
      <c r="F1184" s="12" t="str">
        <f aca="false">INDEX('Control Library'!$B$5:$B$47,MATCH(E1184,'Control Library'!$A$5:$A$47,0))</f>
        <v>Real-time fraud monitoring for cards and digital channels</v>
      </c>
      <c r="G1184" s="7" t="str">
        <f aca="false">INDEX('Control Library'!$F$5:$F$47,MATCH(E1184,'Control Library'!$A$5:$A$47,0))</f>
        <v>Y</v>
      </c>
      <c r="H1184" s="12" t="str">
        <f aca="false">INDEX('Control Library'!$E$5:$E$47,MATCH(E1184,'Control Library'!$A$5:$A$47,0))</f>
        <v>Continuous</v>
      </c>
      <c r="I1184" s="7" t="str">
        <f aca="false">IF(INDEX('Control Library'!$I$5:$I$47,MATCH(E1184,'Control Library'!$A$5:$A$47,0))="All","Y",IF(INDEX('Control Library'!$I$5:$I$47,MATCH(E1184,'Control Library'!$A$5:$A$47,0))="Banks only",IF(COUNTIF('Residual Config'!$L$28:$L$30,INDEX(Entities!$E$5:$E$34,MATCH(B1184,Entities!$A$5:$A$34,0)))&gt;0,"N/A","Y"),IF(INDEX(Entities!$G$5:$G$34,MATCH(B1184,Entities!$A$5:$A$34,0))="Y","Y","N/A")))</f>
        <v>Y</v>
      </c>
      <c r="J1184" s="8" t="s">
        <v>3689</v>
      </c>
      <c r="K1184" s="8" t="s">
        <v>3643</v>
      </c>
      <c r="L1184" s="7" t="str">
        <f aca="false">IF(OR(J1184="",K1184=""),"",IF(J1184=K1184,"Breach","OK"))</f>
        <v>OK</v>
      </c>
      <c r="M1184" s="24" t="n">
        <v>1</v>
      </c>
      <c r="N1184" s="50" t="n">
        <v>46134</v>
      </c>
      <c r="O1184" s="8" t="s">
        <v>546</v>
      </c>
      <c r="P1184" s="24" t="n">
        <v>1</v>
      </c>
      <c r="Q1184" s="31" t="n">
        <f aca="false">IF(I1184="N/A","",IFERROR(INDEX('Residual Config'!$B$35:$B$42,MATCH(H1184,'Residual Config'!$A$35:$A$42,0)),""))</f>
        <v>1</v>
      </c>
      <c r="R1184" s="24" t="n">
        <v>1</v>
      </c>
      <c r="S1184" s="8" t="s">
        <v>521</v>
      </c>
      <c r="T1184" s="31" t="n">
        <f aca="false">IF(S1184="","",MATCH(S1184,'Residual Config'!$L$9:$L$12,0))</f>
        <v>2</v>
      </c>
      <c r="U1184" s="8" t="s">
        <v>3690</v>
      </c>
      <c r="V1184" s="24" t="n">
        <v>4</v>
      </c>
      <c r="W1184" s="33" t="s">
        <v>533</v>
      </c>
      <c r="X1184" s="8" t="s">
        <v>760</v>
      </c>
      <c r="Y1184" s="51" t="n">
        <f aca="false">IF(N1184="","",EDATE(N1184,IF(G1184="N",INDEX('Residual Config'!$B$31:$D$31,1,MATCH(D1184,'Residual Config'!$B$27:$D$27,0)),INDEX('Residual Config'!$B$28:$D$30,IF(T1184=1,1,IF(T1184=4,3,2)),MATCH(D1184,'Residual Config'!$B$27:$D$27,0)))))</f>
        <v>46317</v>
      </c>
      <c r="Z1184" s="7" t="str">
        <f aca="false">IF(I1184="N/A","N/A",IF(N1184="","Not tested",IF(W1184="Rejected","Evidence rejected",IF(W1184&lt;&gt;"Accepted","Evidence pending",IF(Y1184&lt;'Residual Config'!$C$4,"Overdue","Current")))))</f>
        <v>Current</v>
      </c>
      <c r="AA1184" s="34" t="n">
        <f aca="false">IF(I1184="N/A","",IF(Z1184&lt;&gt;"Current",4,IF(MAX(M1184,T1184)=0,4,MAX(M1184,T1184))))</f>
        <v>2</v>
      </c>
      <c r="AB1184" s="7" t="str">
        <f aca="false">IF(AA1184="","N/A",IF(Z1184&lt;&gt;"Current","Not tested / overdue",INDEX('Residual Config'!$B$11:$B$14,AA1184)))</f>
        <v>Largely effective</v>
      </c>
      <c r="AC1184" s="36" t="n">
        <f aca="false">IF(AA1184="","",INDEX('Residual Config'!$D$11:$D$14,AA1184))</f>
        <v>0.4</v>
      </c>
      <c r="AD1184" s="7" t="str">
        <f aca="false">IF(OR(I1184="N/A",P1184="",Q1184=""),"",IF(P1184&gt;=Q1184,"Yes","No"))</f>
        <v>Yes</v>
      </c>
      <c r="AE1184" s="8"/>
    </row>
    <row r="1185" customFormat="false" ht="15" hidden="false" customHeight="false" outlineLevel="0" collapsed="false">
      <c r="A1185" s="12" t="s">
        <v>3691</v>
      </c>
      <c r="B1185" s="26" t="str">
        <f aca="false">Entities!$A$32</f>
        <v>CN</v>
      </c>
      <c r="C1185" s="12" t="str">
        <f aca="false">INDEX(Entities!$B$5:$B$34,MATCH(B1185,Entities!$A$5:$A$34,0))</f>
        <v>Arab Bank – China</v>
      </c>
      <c r="D1185" s="7" t="str">
        <f aca="false">INDEX(Entities!$F$5:$F$34,MATCH(B1185,Entities!$A$5:$A$34,0))</f>
        <v>Tier 3</v>
      </c>
      <c r="E1185" s="26" t="str">
        <f aca="false">'Control Library'!$A$24</f>
        <v>CTL-FRD-02</v>
      </c>
      <c r="F1185" s="12" t="str">
        <f aca="false">INDEX('Control Library'!$B$5:$B$47,MATCH(E1185,'Control Library'!$A$5:$A$47,0))</f>
        <v>Maker-checker and dual control on payments and static data</v>
      </c>
      <c r="G1185" s="7" t="str">
        <f aca="false">INDEX('Control Library'!$F$5:$F$47,MATCH(E1185,'Control Library'!$A$5:$A$47,0))</f>
        <v>Y</v>
      </c>
      <c r="H1185" s="12" t="str">
        <f aca="false">INDEX('Control Library'!$E$5:$E$47,MATCH(E1185,'Control Library'!$A$5:$A$47,0))</f>
        <v>Daily</v>
      </c>
      <c r="I1185" s="7" t="str">
        <f aca="false">IF(INDEX('Control Library'!$I$5:$I$47,MATCH(E1185,'Control Library'!$A$5:$A$47,0))="All","Y",IF(INDEX('Control Library'!$I$5:$I$47,MATCH(E1185,'Control Library'!$A$5:$A$47,0))="Banks only",IF(COUNTIF('Residual Config'!$L$28:$L$30,INDEX(Entities!$E$5:$E$34,MATCH(B1185,Entities!$A$5:$A$34,0)))&gt;0,"N/A","Y"),IF(INDEX(Entities!$G$5:$G$34,MATCH(B1185,Entities!$A$5:$A$34,0))="Y","Y","N/A")))</f>
        <v>Y</v>
      </c>
      <c r="J1185" s="8" t="s">
        <v>3642</v>
      </c>
      <c r="K1185" s="8" t="s">
        <v>3643</v>
      </c>
      <c r="L1185" s="7" t="str">
        <f aca="false">IF(OR(J1185="",K1185=""),"",IF(J1185=K1185,"Breach","OK"))</f>
        <v>OK</v>
      </c>
      <c r="M1185" s="24" t="n">
        <v>1</v>
      </c>
      <c r="N1185" s="50" t="n">
        <v>46219</v>
      </c>
      <c r="O1185" s="8" t="s">
        <v>545</v>
      </c>
      <c r="P1185" s="24" t="n">
        <v>25</v>
      </c>
      <c r="Q1185" s="31" t="n">
        <f aca="false">IF(I1185="N/A","",IFERROR(INDEX('Residual Config'!$B$35:$B$42,MATCH(H1185,'Residual Config'!$A$35:$A$42,0)),""))</f>
        <v>25</v>
      </c>
      <c r="R1185" s="24" t="n">
        <v>0</v>
      </c>
      <c r="S1185" s="8" t="s">
        <v>516</v>
      </c>
      <c r="T1185" s="31" t="n">
        <f aca="false">IF(S1185="","",MATCH(S1185,'Residual Config'!$L$9:$L$12,0))</f>
        <v>1</v>
      </c>
      <c r="U1185" s="8" t="s">
        <v>3692</v>
      </c>
      <c r="V1185" s="24" t="n">
        <v>2</v>
      </c>
      <c r="W1185" s="33" t="s">
        <v>533</v>
      </c>
      <c r="X1185" s="8" t="s">
        <v>760</v>
      </c>
      <c r="Y1185" s="51" t="n">
        <f aca="false">IF(N1185="","",EDATE(N1185,IF(G1185="N",INDEX('Residual Config'!$B$31:$D$31,1,MATCH(D1185,'Residual Config'!$B$27:$D$27,0)),INDEX('Residual Config'!$B$28:$D$30,IF(T1185=1,1,IF(T1185=4,3,2)),MATCH(D1185,'Residual Config'!$B$27:$D$27,0)))))</f>
        <v>46584</v>
      </c>
      <c r="Z1185" s="7" t="str">
        <f aca="false">IF(I1185="N/A","N/A",IF(N1185="","Not tested",IF(W1185="Rejected","Evidence rejected",IF(W1185&lt;&gt;"Accepted","Evidence pending",IF(Y1185&lt;'Residual Config'!$C$4,"Overdue","Current")))))</f>
        <v>Current</v>
      </c>
      <c r="AA1185" s="34" t="n">
        <f aca="false">IF(I1185="N/A","",IF(Z1185&lt;&gt;"Current",4,IF(MAX(M1185,T1185)=0,4,MAX(M1185,T1185))))</f>
        <v>1</v>
      </c>
      <c r="AB1185" s="7" t="str">
        <f aca="false">IF(AA1185="","N/A",IF(Z1185&lt;&gt;"Current","Not tested / overdue",INDEX('Residual Config'!$B$11:$B$14,AA1185)))</f>
        <v>Effective</v>
      </c>
      <c r="AC1185" s="36" t="n">
        <f aca="false">IF(AA1185="","",INDEX('Residual Config'!$D$11:$D$14,AA1185))</f>
        <v>0.6</v>
      </c>
      <c r="AD1185" s="7" t="str">
        <f aca="false">IF(OR(I1185="N/A",P1185="",Q1185=""),"",IF(P1185&gt;=Q1185,"Yes","No"))</f>
        <v>Yes</v>
      </c>
      <c r="AE1185" s="8"/>
    </row>
    <row r="1186" customFormat="false" ht="15" hidden="false" customHeight="false" outlineLevel="0" collapsed="false">
      <c r="A1186" s="12" t="s">
        <v>3693</v>
      </c>
      <c r="B1186" s="26" t="str">
        <f aca="false">Entities!$A$32</f>
        <v>CN</v>
      </c>
      <c r="C1186" s="12" t="str">
        <f aca="false">INDEX(Entities!$B$5:$B$34,MATCH(B1186,Entities!$A$5:$A$34,0))</f>
        <v>Arab Bank – China</v>
      </c>
      <c r="D1186" s="7" t="str">
        <f aca="false">INDEX(Entities!$F$5:$F$34,MATCH(B1186,Entities!$A$5:$A$34,0))</f>
        <v>Tier 3</v>
      </c>
      <c r="E1186" s="26" t="str">
        <f aca="false">'Control Library'!$A$25</f>
        <v>CTL-FRD-03</v>
      </c>
      <c r="F1186" s="12" t="str">
        <f aca="false">INDEX('Control Library'!$B$5:$B$47,MATCH(E1186,'Control Library'!$A$5:$A$47,0))</f>
        <v>Mandatory consecutive leave and rotation for sensitive roles</v>
      </c>
      <c r="G1186" s="7" t="str">
        <f aca="false">INDEX('Control Library'!$F$5:$F$47,MATCH(E1186,'Control Library'!$A$5:$A$47,0))</f>
        <v>N</v>
      </c>
      <c r="H1186" s="12" t="str">
        <f aca="false">INDEX('Control Library'!$E$5:$E$47,MATCH(E1186,'Control Library'!$A$5:$A$47,0))</f>
        <v>Annual</v>
      </c>
      <c r="I1186" s="7" t="str">
        <f aca="false">IF(INDEX('Control Library'!$I$5:$I$47,MATCH(E1186,'Control Library'!$A$5:$A$47,0))="All","Y",IF(INDEX('Control Library'!$I$5:$I$47,MATCH(E1186,'Control Library'!$A$5:$A$47,0))="Banks only",IF(COUNTIF('Residual Config'!$L$28:$L$30,INDEX(Entities!$E$5:$E$34,MATCH(B1186,Entities!$A$5:$A$34,0)))&gt;0,"N/A","Y"),IF(INDEX(Entities!$G$5:$G$34,MATCH(B1186,Entities!$A$5:$A$34,0))="Y","Y","N/A")))</f>
        <v>Y</v>
      </c>
      <c r="J1186" s="8" t="s">
        <v>3694</v>
      </c>
      <c r="K1186" s="8" t="s">
        <v>3643</v>
      </c>
      <c r="L1186" s="7" t="str">
        <f aca="false">IF(OR(J1186="",K1186=""),"",IF(J1186=K1186,"Breach","OK"))</f>
        <v>OK</v>
      </c>
      <c r="M1186" s="24" t="n">
        <v>2</v>
      </c>
      <c r="N1186" s="50" t="n">
        <v>46280</v>
      </c>
      <c r="O1186" s="8" t="s">
        <v>545</v>
      </c>
      <c r="P1186" s="24" t="n">
        <v>1</v>
      </c>
      <c r="Q1186" s="31" t="n">
        <f aca="false">IF(I1186="N/A","",IFERROR(INDEX('Residual Config'!$B$35:$B$42,MATCH(H1186,'Residual Config'!$A$35:$A$42,0)),""))</f>
        <v>1</v>
      </c>
      <c r="R1186" s="24" t="n">
        <v>1</v>
      </c>
      <c r="S1186" s="8" t="s">
        <v>521</v>
      </c>
      <c r="T1186" s="31" t="n">
        <f aca="false">IF(S1186="","",MATCH(S1186,'Residual Config'!$L$9:$L$12,0))</f>
        <v>2</v>
      </c>
      <c r="U1186" s="8" t="s">
        <v>3695</v>
      </c>
      <c r="V1186" s="24" t="n">
        <v>5</v>
      </c>
      <c r="W1186" s="33" t="s">
        <v>533</v>
      </c>
      <c r="X1186" s="8" t="s">
        <v>754</v>
      </c>
      <c r="Y1186" s="51" t="n">
        <f aca="false">IF(N1186="","",EDATE(N1186,IF(G1186="N",INDEX('Residual Config'!$B$31:$D$31,1,MATCH(D1186,'Residual Config'!$B$27:$D$27,0)),INDEX('Residual Config'!$B$28:$D$30,IF(T1186=1,1,IF(T1186=4,3,2)),MATCH(D1186,'Residual Config'!$B$27:$D$27,0)))))</f>
        <v>47011</v>
      </c>
      <c r="Z1186" s="7" t="str">
        <f aca="false">IF(I1186="N/A","N/A",IF(N1186="","Not tested",IF(W1186="Rejected","Evidence rejected",IF(W1186&lt;&gt;"Accepted","Evidence pending",IF(Y1186&lt;'Residual Config'!$C$4,"Overdue","Current")))))</f>
        <v>Current</v>
      </c>
      <c r="AA1186" s="34" t="n">
        <f aca="false">IF(I1186="N/A","",IF(Z1186&lt;&gt;"Current",4,IF(MAX(M1186,T1186)=0,4,MAX(M1186,T1186))))</f>
        <v>2</v>
      </c>
      <c r="AB1186" s="7" t="str">
        <f aca="false">IF(AA1186="","N/A",IF(Z1186&lt;&gt;"Current","Not tested / overdue",INDEX('Residual Config'!$B$11:$B$14,AA1186)))</f>
        <v>Largely effective</v>
      </c>
      <c r="AC1186" s="36" t="n">
        <f aca="false">IF(AA1186="","",INDEX('Residual Config'!$D$11:$D$14,AA1186))</f>
        <v>0.4</v>
      </c>
      <c r="AD1186" s="7" t="str">
        <f aca="false">IF(OR(I1186="N/A",P1186="",Q1186=""),"",IF(P1186&gt;=Q1186,"Yes","No"))</f>
        <v>Yes</v>
      </c>
      <c r="AE1186" s="8"/>
    </row>
    <row r="1187" customFormat="false" ht="15" hidden="false" customHeight="false" outlineLevel="0" collapsed="false">
      <c r="A1187" s="12" t="s">
        <v>3696</v>
      </c>
      <c r="B1187" s="26" t="str">
        <f aca="false">Entities!$A$32</f>
        <v>CN</v>
      </c>
      <c r="C1187" s="12" t="str">
        <f aca="false">INDEX(Entities!$B$5:$B$34,MATCH(B1187,Entities!$A$5:$A$34,0))</f>
        <v>Arab Bank – China</v>
      </c>
      <c r="D1187" s="7" t="str">
        <f aca="false">INDEX(Entities!$F$5:$F$34,MATCH(B1187,Entities!$A$5:$A$34,0))</f>
        <v>Tier 3</v>
      </c>
      <c r="E1187" s="26" t="str">
        <f aca="false">'Control Library'!$A$26</f>
        <v>CTL-TAX-01</v>
      </c>
      <c r="F1187" s="12" t="str">
        <f aca="false">INDEX('Control Library'!$B$5:$B$47,MATCH(E1187,'Control Library'!$A$5:$A$47,0))</f>
        <v>FATCA/CRS self-certification and classification</v>
      </c>
      <c r="G1187" s="7" t="str">
        <f aca="false">INDEX('Control Library'!$F$5:$F$47,MATCH(E1187,'Control Library'!$A$5:$A$47,0))</f>
        <v>Y</v>
      </c>
      <c r="H1187" s="12" t="str">
        <f aca="false">INDEX('Control Library'!$E$5:$E$47,MATCH(E1187,'Control Library'!$A$5:$A$47,0))</f>
        <v>Event-driven</v>
      </c>
      <c r="I1187" s="7" t="str">
        <f aca="false">IF(INDEX('Control Library'!$I$5:$I$47,MATCH(E1187,'Control Library'!$A$5:$A$47,0))="All","Y",IF(INDEX('Control Library'!$I$5:$I$47,MATCH(E1187,'Control Library'!$A$5:$A$47,0))="Banks only",IF(COUNTIF('Residual Config'!$L$28:$L$30,INDEX(Entities!$E$5:$E$34,MATCH(B1187,Entities!$A$5:$A$34,0)))&gt;0,"N/A","Y"),IF(INDEX(Entities!$G$5:$G$34,MATCH(B1187,Entities!$A$5:$A$34,0))="Y","Y","N/A")))</f>
        <v>Y</v>
      </c>
      <c r="J1187" s="8" t="s">
        <v>3642</v>
      </c>
      <c r="K1187" s="8" t="s">
        <v>3643</v>
      </c>
      <c r="L1187" s="7" t="str">
        <f aca="false">IF(OR(J1187="",K1187=""),"",IF(J1187=K1187,"Breach","OK"))</f>
        <v>OK</v>
      </c>
      <c r="M1187" s="24" t="n">
        <v>2</v>
      </c>
      <c r="N1187" s="50" t="n">
        <v>46151</v>
      </c>
      <c r="O1187" s="8" t="s">
        <v>545</v>
      </c>
      <c r="P1187" s="24" t="n">
        <v>25</v>
      </c>
      <c r="Q1187" s="31" t="n">
        <f aca="false">IF(I1187="N/A","",IFERROR(INDEX('Residual Config'!$B$35:$B$42,MATCH(H1187,'Residual Config'!$A$35:$A$42,0)),""))</f>
        <v>25</v>
      </c>
      <c r="R1187" s="24" t="n">
        <v>1</v>
      </c>
      <c r="S1187" s="8" t="s">
        <v>521</v>
      </c>
      <c r="T1187" s="31" t="n">
        <f aca="false">IF(S1187="","",MATCH(S1187,'Residual Config'!$L$9:$L$12,0))</f>
        <v>2</v>
      </c>
      <c r="U1187" s="8" t="s">
        <v>3697</v>
      </c>
      <c r="V1187" s="24" t="n">
        <v>6</v>
      </c>
      <c r="W1187" s="33" t="s">
        <v>535</v>
      </c>
      <c r="X1187" s="8" t="s">
        <v>760</v>
      </c>
      <c r="Y1187" s="51" t="n">
        <f aca="false">IF(N1187="","",EDATE(N1187,IF(G1187="N",INDEX('Residual Config'!$B$31:$D$31,1,MATCH(D1187,'Residual Config'!$B$27:$D$27,0)),INDEX('Residual Config'!$B$28:$D$30,IF(T1187=1,1,IF(T1187=4,3,2)),MATCH(D1187,'Residual Config'!$B$27:$D$27,0)))))</f>
        <v>46335</v>
      </c>
      <c r="Z1187" s="7" t="str">
        <f aca="false">IF(I1187="N/A","N/A",IF(N1187="","Not tested",IF(W1187="Rejected","Evidence rejected",IF(W1187&lt;&gt;"Accepted","Evidence pending",IF(Y1187&lt;'Residual Config'!$C$4,"Overdue","Current")))))</f>
        <v>Evidence rejected</v>
      </c>
      <c r="AA1187" s="34" t="n">
        <f aca="false">IF(I1187="N/A","",IF(Z1187&lt;&gt;"Current",4,IF(MAX(M1187,T1187)=0,4,MAX(M1187,T1187))))</f>
        <v>4</v>
      </c>
      <c r="AB1187" s="7" t="str">
        <f aca="false">IF(AA1187="","N/A",IF(Z1187&lt;&gt;"Current","Not tested / overdue",INDEX('Residual Config'!$B$11:$B$14,AA1187)))</f>
        <v>Not tested / overdue</v>
      </c>
      <c r="AC1187" s="36" t="n">
        <f aca="false">IF(AA1187="","",INDEX('Residual Config'!$D$11:$D$14,AA1187))</f>
        <v>0</v>
      </c>
      <c r="AD1187" s="7" t="str">
        <f aca="false">IF(OR(I1187="N/A",P1187="",Q1187=""),"",IF(P1187&gt;=Q1187,"Yes","No"))</f>
        <v>Yes</v>
      </c>
      <c r="AE1187" s="8"/>
    </row>
    <row r="1188" customFormat="false" ht="15" hidden="false" customHeight="false" outlineLevel="0" collapsed="false">
      <c r="A1188" s="12" t="s">
        <v>3698</v>
      </c>
      <c r="B1188" s="26" t="str">
        <f aca="false">Entities!$A$32</f>
        <v>CN</v>
      </c>
      <c r="C1188" s="12" t="str">
        <f aca="false">INDEX(Entities!$B$5:$B$34,MATCH(B1188,Entities!$A$5:$A$34,0))</f>
        <v>Arab Bank – China</v>
      </c>
      <c r="D1188" s="7" t="str">
        <f aca="false">INDEX(Entities!$F$5:$F$34,MATCH(B1188,Entities!$A$5:$A$34,0))</f>
        <v>Tier 3</v>
      </c>
      <c r="E1188" s="26" t="str">
        <f aca="false">'Control Library'!$A$27</f>
        <v>CTL-TAX-02</v>
      </c>
      <c r="F1188" s="12" t="str">
        <f aca="false">INDEX('Control Library'!$B$5:$B$47,MATCH(E1188,'Control Library'!$A$5:$A$47,0))</f>
        <v>FATCA/CRS reporting reconciliation and timely filing</v>
      </c>
      <c r="G1188" s="7" t="str">
        <f aca="false">INDEX('Control Library'!$F$5:$F$47,MATCH(E1188,'Control Library'!$A$5:$A$47,0))</f>
        <v>N</v>
      </c>
      <c r="H1188" s="12" t="str">
        <f aca="false">INDEX('Control Library'!$E$5:$E$47,MATCH(E1188,'Control Library'!$A$5:$A$47,0))</f>
        <v>Annual</v>
      </c>
      <c r="I1188" s="7" t="str">
        <f aca="false">IF(INDEX('Control Library'!$I$5:$I$47,MATCH(E1188,'Control Library'!$A$5:$A$47,0))="All","Y",IF(INDEX('Control Library'!$I$5:$I$47,MATCH(E1188,'Control Library'!$A$5:$A$47,0))="Banks only",IF(COUNTIF('Residual Config'!$L$28:$L$30,INDEX(Entities!$E$5:$E$34,MATCH(B1188,Entities!$A$5:$A$34,0)))&gt;0,"N/A","Y"),IF(INDEX(Entities!$G$5:$G$34,MATCH(B1188,Entities!$A$5:$A$34,0))="Y","Y","N/A")))</f>
        <v>Y</v>
      </c>
      <c r="J1188" s="8" t="s">
        <v>3699</v>
      </c>
      <c r="K1188" s="8" t="s">
        <v>3643</v>
      </c>
      <c r="L1188" s="7" t="str">
        <f aca="false">IF(OR(J1188="",K1188=""),"",IF(J1188=K1188,"Breach","OK"))</f>
        <v>OK</v>
      </c>
      <c r="M1188" s="24" t="n">
        <v>1</v>
      </c>
      <c r="N1188" s="50" t="n">
        <v>45874</v>
      </c>
      <c r="O1188" s="8" t="s">
        <v>546</v>
      </c>
      <c r="P1188" s="24" t="n">
        <v>1</v>
      </c>
      <c r="Q1188" s="31" t="n">
        <f aca="false">IF(I1188="N/A","",IFERROR(INDEX('Residual Config'!$B$35:$B$42,MATCH(H1188,'Residual Config'!$A$35:$A$42,0)),""))</f>
        <v>1</v>
      </c>
      <c r="R1188" s="24" t="n">
        <v>0</v>
      </c>
      <c r="S1188" s="8" t="s">
        <v>516</v>
      </c>
      <c r="T1188" s="31" t="n">
        <f aca="false">IF(S1188="","",MATCH(S1188,'Residual Config'!$L$9:$L$12,0))</f>
        <v>1</v>
      </c>
      <c r="U1188" s="8" t="s">
        <v>3700</v>
      </c>
      <c r="V1188" s="24" t="n">
        <v>5</v>
      </c>
      <c r="W1188" s="33" t="s">
        <v>533</v>
      </c>
      <c r="X1188" s="8" t="s">
        <v>754</v>
      </c>
      <c r="Y1188" s="51" t="n">
        <f aca="false">IF(N1188="","",EDATE(N1188,IF(G1188="N",INDEX('Residual Config'!$B$31:$D$31,1,MATCH(D1188,'Residual Config'!$B$27:$D$27,0)),INDEX('Residual Config'!$B$28:$D$30,IF(T1188=1,1,IF(T1188=4,3,2)),MATCH(D1188,'Residual Config'!$B$27:$D$27,0)))))</f>
        <v>46604</v>
      </c>
      <c r="Z1188" s="7" t="str">
        <f aca="false">IF(I1188="N/A","N/A",IF(N1188="","Not tested",IF(W1188="Rejected","Evidence rejected",IF(W1188&lt;&gt;"Accepted","Evidence pending",IF(Y1188&lt;'Residual Config'!$C$4,"Overdue","Current")))))</f>
        <v>Current</v>
      </c>
      <c r="AA1188" s="34" t="n">
        <f aca="false">IF(I1188="N/A","",IF(Z1188&lt;&gt;"Current",4,IF(MAX(M1188,T1188)=0,4,MAX(M1188,T1188))))</f>
        <v>1</v>
      </c>
      <c r="AB1188" s="7" t="str">
        <f aca="false">IF(AA1188="","N/A",IF(Z1188&lt;&gt;"Current","Not tested / overdue",INDEX('Residual Config'!$B$11:$B$14,AA1188)))</f>
        <v>Effective</v>
      </c>
      <c r="AC1188" s="36" t="n">
        <f aca="false">IF(AA1188="","",INDEX('Residual Config'!$D$11:$D$14,AA1188))</f>
        <v>0.6</v>
      </c>
      <c r="AD1188" s="7" t="str">
        <f aca="false">IF(OR(I1188="N/A",P1188="",Q1188=""),"",IF(P1188&gt;=Q1188,"Yes","No"))</f>
        <v>Yes</v>
      </c>
      <c r="AE1188" s="8"/>
    </row>
    <row r="1189" customFormat="false" ht="15" hidden="false" customHeight="false" outlineLevel="0" collapsed="false">
      <c r="A1189" s="12" t="s">
        <v>3701</v>
      </c>
      <c r="B1189" s="26" t="str">
        <f aca="false">Entities!$A$32</f>
        <v>CN</v>
      </c>
      <c r="C1189" s="12" t="str">
        <f aca="false">INDEX(Entities!$B$5:$B$34,MATCH(B1189,Entities!$A$5:$A$34,0))</f>
        <v>Arab Bank – China</v>
      </c>
      <c r="D1189" s="7" t="str">
        <f aca="false">INDEX(Entities!$F$5:$F$34,MATCH(B1189,Entities!$A$5:$A$34,0))</f>
        <v>Tier 3</v>
      </c>
      <c r="E1189" s="26" t="str">
        <f aca="false">'Control Library'!$A$28</f>
        <v>CTL-TRN-01</v>
      </c>
      <c r="F1189" s="12" t="str">
        <f aca="false">INDEX('Control Library'!$B$5:$B$47,MATCH(E1189,'Control Library'!$A$5:$A$47,0))</f>
        <v>Annual AML, sanctions and anti-bribery training</v>
      </c>
      <c r="G1189" s="7" t="str">
        <f aca="false">INDEX('Control Library'!$F$5:$F$47,MATCH(E1189,'Control Library'!$A$5:$A$47,0))</f>
        <v>N</v>
      </c>
      <c r="H1189" s="12" t="str">
        <f aca="false">INDEX('Control Library'!$E$5:$E$47,MATCH(E1189,'Control Library'!$A$5:$A$47,0))</f>
        <v>Annual</v>
      </c>
      <c r="I1189" s="7" t="str">
        <f aca="false">IF(INDEX('Control Library'!$I$5:$I$47,MATCH(E1189,'Control Library'!$A$5:$A$47,0))="All","Y",IF(INDEX('Control Library'!$I$5:$I$47,MATCH(E1189,'Control Library'!$A$5:$A$47,0))="Banks only",IF(COUNTIF('Residual Config'!$L$28:$L$30,INDEX(Entities!$E$5:$E$34,MATCH(B1189,Entities!$A$5:$A$34,0)))&gt;0,"N/A","Y"),IF(INDEX(Entities!$G$5:$G$34,MATCH(B1189,Entities!$A$5:$A$34,0))="Y","Y","N/A")))</f>
        <v>Y</v>
      </c>
      <c r="J1189" s="8" t="s">
        <v>3646</v>
      </c>
      <c r="K1189" s="8" t="s">
        <v>3643</v>
      </c>
      <c r="L1189" s="7" t="str">
        <f aca="false">IF(OR(J1189="",K1189=""),"",IF(J1189=K1189,"Breach","OK"))</f>
        <v>OK</v>
      </c>
      <c r="M1189" s="24" t="n">
        <v>1</v>
      </c>
      <c r="N1189" s="50" t="n">
        <v>45757</v>
      </c>
      <c r="O1189" s="8" t="s">
        <v>545</v>
      </c>
      <c r="P1189" s="24" t="n">
        <v>1</v>
      </c>
      <c r="Q1189" s="31" t="n">
        <f aca="false">IF(I1189="N/A","",IFERROR(INDEX('Residual Config'!$B$35:$B$42,MATCH(H1189,'Residual Config'!$A$35:$A$42,0)),""))</f>
        <v>1</v>
      </c>
      <c r="R1189" s="24" t="n">
        <v>1</v>
      </c>
      <c r="S1189" s="8" t="s">
        <v>521</v>
      </c>
      <c r="T1189" s="31" t="n">
        <f aca="false">IF(S1189="","",MATCH(S1189,'Residual Config'!$L$9:$L$12,0))</f>
        <v>2</v>
      </c>
      <c r="U1189" s="8" t="s">
        <v>3702</v>
      </c>
      <c r="V1189" s="24" t="n">
        <v>2</v>
      </c>
      <c r="W1189" s="33" t="s">
        <v>533</v>
      </c>
      <c r="X1189" s="8" t="s">
        <v>754</v>
      </c>
      <c r="Y1189" s="51" t="n">
        <f aca="false">IF(N1189="","",EDATE(N1189,IF(G1189="N",INDEX('Residual Config'!$B$31:$D$31,1,MATCH(D1189,'Residual Config'!$B$27:$D$27,0)),INDEX('Residual Config'!$B$28:$D$30,IF(T1189=1,1,IF(T1189=4,3,2)),MATCH(D1189,'Residual Config'!$B$27:$D$27,0)))))</f>
        <v>46487</v>
      </c>
      <c r="Z1189" s="7" t="str">
        <f aca="false">IF(I1189="N/A","N/A",IF(N1189="","Not tested",IF(W1189="Rejected","Evidence rejected",IF(W1189&lt;&gt;"Accepted","Evidence pending",IF(Y1189&lt;'Residual Config'!$C$4,"Overdue","Current")))))</f>
        <v>Current</v>
      </c>
      <c r="AA1189" s="34" t="n">
        <f aca="false">IF(I1189="N/A","",IF(Z1189&lt;&gt;"Current",4,IF(MAX(M1189,T1189)=0,4,MAX(M1189,T1189))))</f>
        <v>2</v>
      </c>
      <c r="AB1189" s="7" t="str">
        <f aca="false">IF(AA1189="","N/A",IF(Z1189&lt;&gt;"Current","Not tested / overdue",INDEX('Residual Config'!$B$11:$B$14,AA1189)))</f>
        <v>Largely effective</v>
      </c>
      <c r="AC1189" s="36" t="n">
        <f aca="false">IF(AA1189="","",INDEX('Residual Config'!$D$11:$D$14,AA1189))</f>
        <v>0.4</v>
      </c>
      <c r="AD1189" s="7" t="str">
        <f aca="false">IF(OR(I1189="N/A",P1189="",Q1189=""),"",IF(P1189&gt;=Q1189,"Yes","No"))</f>
        <v>Yes</v>
      </c>
      <c r="AE1189" s="8"/>
    </row>
    <row r="1190" customFormat="false" ht="15" hidden="false" customHeight="false" outlineLevel="0" collapsed="false">
      <c r="A1190" s="12" t="s">
        <v>3703</v>
      </c>
      <c r="B1190" s="26" t="str">
        <f aca="false">Entities!$A$32</f>
        <v>CN</v>
      </c>
      <c r="C1190" s="12" t="str">
        <f aca="false">INDEX(Entities!$B$5:$B$34,MATCH(B1190,Entities!$A$5:$A$34,0))</f>
        <v>Arab Bank – China</v>
      </c>
      <c r="D1190" s="7" t="str">
        <f aca="false">INDEX(Entities!$F$5:$F$34,MATCH(B1190,Entities!$A$5:$A$34,0))</f>
        <v>Tier 3</v>
      </c>
      <c r="E1190" s="26" t="str">
        <f aca="false">'Control Library'!$A$29</f>
        <v>CTL-REG-01</v>
      </c>
      <c r="F1190" s="12" t="str">
        <f aca="false">INDEX('Control Library'!$B$5:$B$47,MATCH(E1190,'Control Library'!$A$5:$A$47,0))</f>
        <v>Regulatory change management and obligations register</v>
      </c>
      <c r="G1190" s="7" t="str">
        <f aca="false">INDEX('Control Library'!$F$5:$F$47,MATCH(E1190,'Control Library'!$A$5:$A$47,0))</f>
        <v>Y</v>
      </c>
      <c r="H1190" s="12" t="str">
        <f aca="false">INDEX('Control Library'!$E$5:$E$47,MATCH(E1190,'Control Library'!$A$5:$A$47,0))</f>
        <v>Monthly</v>
      </c>
      <c r="I1190" s="7" t="str">
        <f aca="false">IF(INDEX('Control Library'!$I$5:$I$47,MATCH(E1190,'Control Library'!$A$5:$A$47,0))="All","Y",IF(INDEX('Control Library'!$I$5:$I$47,MATCH(E1190,'Control Library'!$A$5:$A$47,0))="Banks only",IF(COUNTIF('Residual Config'!$L$28:$L$30,INDEX(Entities!$E$5:$E$34,MATCH(B1190,Entities!$A$5:$A$34,0)))&gt;0,"N/A","Y"),IF(INDEX(Entities!$G$5:$G$34,MATCH(B1190,Entities!$A$5:$A$34,0))="Y","Y","N/A")))</f>
        <v>Y</v>
      </c>
      <c r="J1190" s="8" t="s">
        <v>3646</v>
      </c>
      <c r="K1190" s="8" t="s">
        <v>3643</v>
      </c>
      <c r="L1190" s="7" t="str">
        <f aca="false">IF(OR(J1190="",K1190=""),"",IF(J1190=K1190,"Breach","OK"))</f>
        <v>OK</v>
      </c>
      <c r="M1190" s="24" t="n">
        <v>2</v>
      </c>
      <c r="N1190" s="50" t="n">
        <v>46055</v>
      </c>
      <c r="O1190" s="8" t="s">
        <v>546</v>
      </c>
      <c r="P1190" s="24" t="n">
        <v>3</v>
      </c>
      <c r="Q1190" s="31" t="n">
        <f aca="false">IF(I1190="N/A","",IFERROR(INDEX('Residual Config'!$B$35:$B$42,MATCH(H1190,'Residual Config'!$A$35:$A$42,0)),""))</f>
        <v>3</v>
      </c>
      <c r="R1190" s="24" t="n">
        <v>0</v>
      </c>
      <c r="S1190" s="8" t="s">
        <v>516</v>
      </c>
      <c r="T1190" s="31" t="n">
        <f aca="false">IF(S1190="","",MATCH(S1190,'Residual Config'!$L$9:$L$12,0))</f>
        <v>1</v>
      </c>
      <c r="U1190" s="8" t="s">
        <v>3704</v>
      </c>
      <c r="V1190" s="24" t="n">
        <v>2</v>
      </c>
      <c r="W1190" s="33" t="s">
        <v>533</v>
      </c>
      <c r="X1190" s="8" t="s">
        <v>754</v>
      </c>
      <c r="Y1190" s="51" t="n">
        <f aca="false">IF(N1190="","",EDATE(N1190,IF(G1190="N",INDEX('Residual Config'!$B$31:$D$31,1,MATCH(D1190,'Residual Config'!$B$27:$D$27,0)),INDEX('Residual Config'!$B$28:$D$30,IF(T1190=1,1,IF(T1190=4,3,2)),MATCH(D1190,'Residual Config'!$B$27:$D$27,0)))))</f>
        <v>46420</v>
      </c>
      <c r="Z1190" s="7" t="str">
        <f aca="false">IF(I1190="N/A","N/A",IF(N1190="","Not tested",IF(W1190="Rejected","Evidence rejected",IF(W1190&lt;&gt;"Accepted","Evidence pending",IF(Y1190&lt;'Residual Config'!$C$4,"Overdue","Current")))))</f>
        <v>Current</v>
      </c>
      <c r="AA1190" s="34" t="n">
        <f aca="false">IF(I1190="N/A","",IF(Z1190&lt;&gt;"Current",4,IF(MAX(M1190,T1190)=0,4,MAX(M1190,T1190))))</f>
        <v>2</v>
      </c>
      <c r="AB1190" s="7" t="str">
        <f aca="false">IF(AA1190="","N/A",IF(Z1190&lt;&gt;"Current","Not tested / overdue",INDEX('Residual Config'!$B$11:$B$14,AA1190)))</f>
        <v>Largely effective</v>
      </c>
      <c r="AC1190" s="36" t="n">
        <f aca="false">IF(AA1190="","",INDEX('Residual Config'!$D$11:$D$14,AA1190))</f>
        <v>0.4</v>
      </c>
      <c r="AD1190" s="7" t="str">
        <f aca="false">IF(OR(I1190="N/A",P1190="",Q1190=""),"",IF(P1190&gt;=Q1190,"Yes","No"))</f>
        <v>Yes</v>
      </c>
      <c r="AE1190" s="8"/>
    </row>
    <row r="1191" customFormat="false" ht="15" hidden="false" customHeight="false" outlineLevel="0" collapsed="false">
      <c r="A1191" s="12" t="s">
        <v>3705</v>
      </c>
      <c r="B1191" s="26" t="str">
        <f aca="false">Entities!$A$32</f>
        <v>CN</v>
      </c>
      <c r="C1191" s="12" t="str">
        <f aca="false">INDEX(Entities!$B$5:$B$34,MATCH(B1191,Entities!$A$5:$A$34,0))</f>
        <v>Arab Bank – China</v>
      </c>
      <c r="D1191" s="7" t="str">
        <f aca="false">INDEX(Entities!$F$5:$F$34,MATCH(B1191,Entities!$A$5:$A$34,0))</f>
        <v>Tier 3</v>
      </c>
      <c r="E1191" s="26" t="str">
        <f aca="false">'Control Library'!$A$30</f>
        <v>CTL-REG-02</v>
      </c>
      <c r="F1191" s="12" t="str">
        <f aca="false">INDEX('Control Library'!$B$5:$B$47,MATCH(E1191,'Control Library'!$A$5:$A$47,0))</f>
        <v>Regulatory return review and senior sign-off</v>
      </c>
      <c r="G1191" s="7" t="str">
        <f aca="false">INDEX('Control Library'!$F$5:$F$47,MATCH(E1191,'Control Library'!$A$5:$A$47,0))</f>
        <v>Y</v>
      </c>
      <c r="H1191" s="12" t="str">
        <f aca="false">INDEX('Control Library'!$E$5:$E$47,MATCH(E1191,'Control Library'!$A$5:$A$47,0))</f>
        <v>Monthly</v>
      </c>
      <c r="I1191" s="7" t="str">
        <f aca="false">IF(INDEX('Control Library'!$I$5:$I$47,MATCH(E1191,'Control Library'!$A$5:$A$47,0))="All","Y",IF(INDEX('Control Library'!$I$5:$I$47,MATCH(E1191,'Control Library'!$A$5:$A$47,0))="Banks only",IF(COUNTIF('Residual Config'!$L$28:$L$30,INDEX(Entities!$E$5:$E$34,MATCH(B1191,Entities!$A$5:$A$34,0)))&gt;0,"N/A","Y"),IF(INDEX(Entities!$G$5:$G$34,MATCH(B1191,Entities!$A$5:$A$34,0))="Y","Y","N/A")))</f>
        <v>Y</v>
      </c>
      <c r="J1191" s="8" t="s">
        <v>3699</v>
      </c>
      <c r="K1191" s="8" t="s">
        <v>3643</v>
      </c>
      <c r="L1191" s="7" t="str">
        <f aca="false">IF(OR(J1191="",K1191=""),"",IF(J1191=K1191,"Breach","OK"))</f>
        <v>OK</v>
      </c>
      <c r="M1191" s="24" t="n">
        <v>1</v>
      </c>
      <c r="N1191" s="50" t="n">
        <v>46171</v>
      </c>
      <c r="O1191" s="8" t="s">
        <v>545</v>
      </c>
      <c r="P1191" s="24" t="n">
        <v>3</v>
      </c>
      <c r="Q1191" s="31" t="n">
        <f aca="false">IF(I1191="N/A","",IFERROR(INDEX('Residual Config'!$B$35:$B$42,MATCH(H1191,'Residual Config'!$A$35:$A$42,0)),""))</f>
        <v>3</v>
      </c>
      <c r="R1191" s="24" t="n">
        <v>1</v>
      </c>
      <c r="S1191" s="8" t="s">
        <v>521</v>
      </c>
      <c r="T1191" s="31" t="n">
        <f aca="false">IF(S1191="","",MATCH(S1191,'Residual Config'!$L$9:$L$12,0))</f>
        <v>2</v>
      </c>
      <c r="U1191" s="8" t="s">
        <v>3706</v>
      </c>
      <c r="V1191" s="24" t="n">
        <v>3</v>
      </c>
      <c r="W1191" s="33" t="s">
        <v>536</v>
      </c>
      <c r="X1191" s="8"/>
      <c r="Y1191" s="51" t="n">
        <f aca="false">IF(N1191="","",EDATE(N1191,IF(G1191="N",INDEX('Residual Config'!$B$31:$D$31,1,MATCH(D1191,'Residual Config'!$B$27:$D$27,0)),INDEX('Residual Config'!$B$28:$D$30,IF(T1191=1,1,IF(T1191=4,3,2)),MATCH(D1191,'Residual Config'!$B$27:$D$27,0)))))</f>
        <v>46355</v>
      </c>
      <c r="Z1191" s="7" t="str">
        <f aca="false">IF(I1191="N/A","N/A",IF(N1191="","Not tested",IF(W1191="Rejected","Evidence rejected",IF(W1191&lt;&gt;"Accepted","Evidence pending",IF(Y1191&lt;'Residual Config'!$C$4,"Overdue","Current")))))</f>
        <v>Evidence pending</v>
      </c>
      <c r="AA1191" s="34" t="n">
        <f aca="false">IF(I1191="N/A","",IF(Z1191&lt;&gt;"Current",4,IF(MAX(M1191,T1191)=0,4,MAX(M1191,T1191))))</f>
        <v>4</v>
      </c>
      <c r="AB1191" s="7" t="str">
        <f aca="false">IF(AA1191="","N/A",IF(Z1191&lt;&gt;"Current","Not tested / overdue",INDEX('Residual Config'!$B$11:$B$14,AA1191)))</f>
        <v>Not tested / overdue</v>
      </c>
      <c r="AC1191" s="36" t="n">
        <f aca="false">IF(AA1191="","",INDEX('Residual Config'!$D$11:$D$14,AA1191))</f>
        <v>0</v>
      </c>
      <c r="AD1191" s="7" t="str">
        <f aca="false">IF(OR(I1191="N/A",P1191="",Q1191=""),"",IF(P1191&gt;=Q1191,"Yes","No"))</f>
        <v>Yes</v>
      </c>
      <c r="AE1191" s="8"/>
    </row>
    <row r="1192" customFormat="false" ht="15" hidden="false" customHeight="false" outlineLevel="0" collapsed="false">
      <c r="A1192" s="12" t="s">
        <v>3707</v>
      </c>
      <c r="B1192" s="26" t="str">
        <f aca="false">Entities!$A$32</f>
        <v>CN</v>
      </c>
      <c r="C1192" s="12" t="str">
        <f aca="false">INDEX(Entities!$B$5:$B$34,MATCH(B1192,Entities!$A$5:$A$34,0))</f>
        <v>Arab Bank – China</v>
      </c>
      <c r="D1192" s="7" t="str">
        <f aca="false">INDEX(Entities!$F$5:$F$34,MATCH(B1192,Entities!$A$5:$A$34,0))</f>
        <v>Tier 3</v>
      </c>
      <c r="E1192" s="26" t="str">
        <f aca="false">'Control Library'!$A$31</f>
        <v>CTL-CON-01</v>
      </c>
      <c r="F1192" s="12" t="str">
        <f aca="false">INDEX('Control Library'!$B$5:$B$47,MATCH(E1192,'Control Library'!$A$5:$A$47,0))</f>
        <v>New product approval and suitability assessment</v>
      </c>
      <c r="G1192" s="7" t="str">
        <f aca="false">INDEX('Control Library'!$F$5:$F$47,MATCH(E1192,'Control Library'!$A$5:$A$47,0))</f>
        <v>Y</v>
      </c>
      <c r="H1192" s="12" t="str">
        <f aca="false">INDEX('Control Library'!$E$5:$E$47,MATCH(E1192,'Control Library'!$A$5:$A$47,0))</f>
        <v>Event-driven</v>
      </c>
      <c r="I1192" s="7" t="str">
        <f aca="false">IF(INDEX('Control Library'!$I$5:$I$47,MATCH(E1192,'Control Library'!$A$5:$A$47,0))="All","Y",IF(INDEX('Control Library'!$I$5:$I$47,MATCH(E1192,'Control Library'!$A$5:$A$47,0))="Banks only",IF(COUNTIF('Residual Config'!$L$28:$L$30,INDEX(Entities!$E$5:$E$34,MATCH(B1192,Entities!$A$5:$A$34,0)))&gt;0,"N/A","Y"),IF(INDEX(Entities!$G$5:$G$34,MATCH(B1192,Entities!$A$5:$A$34,0))="Y","Y","N/A")))</f>
        <v>Y</v>
      </c>
      <c r="J1192" s="8" t="s">
        <v>3646</v>
      </c>
      <c r="K1192" s="8" t="s">
        <v>3643</v>
      </c>
      <c r="L1192" s="7" t="str">
        <f aca="false">IF(OR(J1192="",K1192=""),"",IF(J1192=K1192,"Breach","OK"))</f>
        <v>OK</v>
      </c>
      <c r="M1192" s="24" t="n">
        <v>1</v>
      </c>
      <c r="N1192" s="50" t="n">
        <v>45964</v>
      </c>
      <c r="O1192" s="8" t="s">
        <v>545</v>
      </c>
      <c r="P1192" s="24" t="n">
        <v>30</v>
      </c>
      <c r="Q1192" s="31" t="n">
        <f aca="false">IF(I1192="N/A","",IFERROR(INDEX('Residual Config'!$B$35:$B$42,MATCH(H1192,'Residual Config'!$A$35:$A$42,0)),""))</f>
        <v>25</v>
      </c>
      <c r="R1192" s="24" t="n">
        <v>0</v>
      </c>
      <c r="S1192" s="8" t="s">
        <v>516</v>
      </c>
      <c r="T1192" s="31" t="n">
        <f aca="false">IF(S1192="","",MATCH(S1192,'Residual Config'!$L$9:$L$12,0))</f>
        <v>1</v>
      </c>
      <c r="U1192" s="8" t="s">
        <v>3708</v>
      </c>
      <c r="V1192" s="24" t="n">
        <v>5</v>
      </c>
      <c r="W1192" s="33" t="s">
        <v>533</v>
      </c>
      <c r="X1192" s="8" t="s">
        <v>754</v>
      </c>
      <c r="Y1192" s="51" t="n">
        <f aca="false">IF(N1192="","",EDATE(N1192,IF(G1192="N",INDEX('Residual Config'!$B$31:$D$31,1,MATCH(D1192,'Residual Config'!$B$27:$D$27,0)),INDEX('Residual Config'!$B$28:$D$30,IF(T1192=1,1,IF(T1192=4,3,2)),MATCH(D1192,'Residual Config'!$B$27:$D$27,0)))))</f>
        <v>46329</v>
      </c>
      <c r="Z1192" s="7" t="str">
        <f aca="false">IF(I1192="N/A","N/A",IF(N1192="","Not tested",IF(W1192="Rejected","Evidence rejected",IF(W1192&lt;&gt;"Accepted","Evidence pending",IF(Y1192&lt;'Residual Config'!$C$4,"Overdue","Current")))))</f>
        <v>Current</v>
      </c>
      <c r="AA1192" s="34" t="n">
        <f aca="false">IF(I1192="N/A","",IF(Z1192&lt;&gt;"Current",4,IF(MAX(M1192,T1192)=0,4,MAX(M1192,T1192))))</f>
        <v>1</v>
      </c>
      <c r="AB1192" s="7" t="str">
        <f aca="false">IF(AA1192="","N/A",IF(Z1192&lt;&gt;"Current","Not tested / overdue",INDEX('Residual Config'!$B$11:$B$14,AA1192)))</f>
        <v>Effective</v>
      </c>
      <c r="AC1192" s="36" t="n">
        <f aca="false">IF(AA1192="","",INDEX('Residual Config'!$D$11:$D$14,AA1192))</f>
        <v>0.6</v>
      </c>
      <c r="AD1192" s="7" t="str">
        <f aca="false">IF(OR(I1192="N/A",P1192="",Q1192=""),"",IF(P1192&gt;=Q1192,"Yes","No"))</f>
        <v>Yes</v>
      </c>
      <c r="AE1192" s="8"/>
    </row>
    <row r="1193" customFormat="false" ht="15" hidden="false" customHeight="false" outlineLevel="0" collapsed="false">
      <c r="A1193" s="12" t="s">
        <v>3709</v>
      </c>
      <c r="B1193" s="26" t="str">
        <f aca="false">Entities!$A$32</f>
        <v>CN</v>
      </c>
      <c r="C1193" s="12" t="str">
        <f aca="false">INDEX(Entities!$B$5:$B$34,MATCH(B1193,Entities!$A$5:$A$34,0))</f>
        <v>Arab Bank – China</v>
      </c>
      <c r="D1193" s="7" t="str">
        <f aca="false">INDEX(Entities!$F$5:$F$34,MATCH(B1193,Entities!$A$5:$A$34,0))</f>
        <v>Tier 3</v>
      </c>
      <c r="E1193" s="26" t="str">
        <f aca="false">'Control Library'!$A$32</f>
        <v>CTL-CON-02</v>
      </c>
      <c r="F1193" s="12" t="str">
        <f aca="false">INDEX('Control Library'!$B$5:$B$47,MATCH(E1193,'Control Library'!$A$5:$A$47,0))</f>
        <v>Complaints handling and root-cause analysis</v>
      </c>
      <c r="G1193" s="7" t="str">
        <f aca="false">INDEX('Control Library'!$F$5:$F$47,MATCH(E1193,'Control Library'!$A$5:$A$47,0))</f>
        <v>N</v>
      </c>
      <c r="H1193" s="12" t="str">
        <f aca="false">INDEX('Control Library'!$E$5:$E$47,MATCH(E1193,'Control Library'!$A$5:$A$47,0))</f>
        <v>Monthly</v>
      </c>
      <c r="I1193" s="7" t="str">
        <f aca="false">IF(INDEX('Control Library'!$I$5:$I$47,MATCH(E1193,'Control Library'!$A$5:$A$47,0))="All","Y",IF(INDEX('Control Library'!$I$5:$I$47,MATCH(E1193,'Control Library'!$A$5:$A$47,0))="Banks only",IF(COUNTIF('Residual Config'!$L$28:$L$30,INDEX(Entities!$E$5:$E$34,MATCH(B1193,Entities!$A$5:$A$34,0)))&gt;0,"N/A","Y"),IF(INDEX(Entities!$G$5:$G$34,MATCH(B1193,Entities!$A$5:$A$34,0))="Y","Y","N/A")))</f>
        <v>Y</v>
      </c>
      <c r="J1193" s="8" t="s">
        <v>3710</v>
      </c>
      <c r="K1193" s="8" t="s">
        <v>3643</v>
      </c>
      <c r="L1193" s="7" t="str">
        <f aca="false">IF(OR(J1193="",K1193=""),"",IF(J1193=K1193,"Breach","OK"))</f>
        <v>OK</v>
      </c>
      <c r="M1193" s="24" t="n">
        <v>1</v>
      </c>
      <c r="N1193" s="50" t="n">
        <v>45586</v>
      </c>
      <c r="O1193" s="8" t="s">
        <v>545</v>
      </c>
      <c r="P1193" s="24" t="n">
        <v>3</v>
      </c>
      <c r="Q1193" s="31" t="n">
        <f aca="false">IF(I1193="N/A","",IFERROR(INDEX('Residual Config'!$B$35:$B$42,MATCH(H1193,'Residual Config'!$A$35:$A$42,0)),""))</f>
        <v>3</v>
      </c>
      <c r="R1193" s="24" t="n">
        <v>1</v>
      </c>
      <c r="S1193" s="8" t="s">
        <v>521</v>
      </c>
      <c r="T1193" s="31" t="n">
        <f aca="false">IF(S1193="","",MATCH(S1193,'Residual Config'!$L$9:$L$12,0))</f>
        <v>2</v>
      </c>
      <c r="U1193" s="8" t="s">
        <v>3711</v>
      </c>
      <c r="V1193" s="24" t="n">
        <v>4</v>
      </c>
      <c r="W1193" s="33" t="s">
        <v>533</v>
      </c>
      <c r="X1193" s="8" t="s">
        <v>760</v>
      </c>
      <c r="Y1193" s="51" t="n">
        <f aca="false">IF(N1193="","",EDATE(N1193,IF(G1193="N",INDEX('Residual Config'!$B$31:$D$31,1,MATCH(D1193,'Residual Config'!$B$27:$D$27,0)),INDEX('Residual Config'!$B$28:$D$30,IF(T1193=1,1,IF(T1193=4,3,2)),MATCH(D1193,'Residual Config'!$B$27:$D$27,0)))))</f>
        <v>46316</v>
      </c>
      <c r="Z1193" s="7" t="str">
        <f aca="false">IF(I1193="N/A","N/A",IF(N1193="","Not tested",IF(W1193="Rejected","Evidence rejected",IF(W1193&lt;&gt;"Accepted","Evidence pending",IF(Y1193&lt;'Residual Config'!$C$4,"Overdue","Current")))))</f>
        <v>Current</v>
      </c>
      <c r="AA1193" s="34" t="n">
        <f aca="false">IF(I1193="N/A","",IF(Z1193&lt;&gt;"Current",4,IF(MAX(M1193,T1193)=0,4,MAX(M1193,T1193))))</f>
        <v>2</v>
      </c>
      <c r="AB1193" s="7" t="str">
        <f aca="false">IF(AA1193="","N/A",IF(Z1193&lt;&gt;"Current","Not tested / overdue",INDEX('Residual Config'!$B$11:$B$14,AA1193)))</f>
        <v>Largely effective</v>
      </c>
      <c r="AC1193" s="36" t="n">
        <f aca="false">IF(AA1193="","",INDEX('Residual Config'!$D$11:$D$14,AA1193))</f>
        <v>0.4</v>
      </c>
      <c r="AD1193" s="7" t="str">
        <f aca="false">IF(OR(I1193="N/A",P1193="",Q1193=""),"",IF(P1193&gt;=Q1193,"Yes","No"))</f>
        <v>Yes</v>
      </c>
      <c r="AE1193" s="8"/>
    </row>
    <row r="1194" customFormat="false" ht="15" hidden="false" customHeight="false" outlineLevel="0" collapsed="false">
      <c r="A1194" s="12" t="s">
        <v>3712</v>
      </c>
      <c r="B1194" s="26" t="str">
        <f aca="false">Entities!$A$32</f>
        <v>CN</v>
      </c>
      <c r="C1194" s="12" t="str">
        <f aca="false">INDEX(Entities!$B$5:$B$34,MATCH(B1194,Entities!$A$5:$A$34,0))</f>
        <v>Arab Bank – China</v>
      </c>
      <c r="D1194" s="7" t="str">
        <f aca="false">INDEX(Entities!$F$5:$F$34,MATCH(B1194,Entities!$A$5:$A$34,0))</f>
        <v>Tier 3</v>
      </c>
      <c r="E1194" s="26" t="str">
        <f aca="false">'Control Library'!$A$33</f>
        <v>CTL-DP-01</v>
      </c>
      <c r="F1194" s="12" t="str">
        <f aca="false">INDEX('Control Library'!$B$5:$B$47,MATCH(E1194,'Control Library'!$A$5:$A$47,0))</f>
        <v>Data protection impact assessments and processing records</v>
      </c>
      <c r="G1194" s="7" t="str">
        <f aca="false">INDEX('Control Library'!$F$5:$F$47,MATCH(E1194,'Control Library'!$A$5:$A$47,0))</f>
        <v>Y</v>
      </c>
      <c r="H1194" s="12" t="str">
        <f aca="false">INDEX('Control Library'!$E$5:$E$47,MATCH(E1194,'Control Library'!$A$5:$A$47,0))</f>
        <v>Event-driven</v>
      </c>
      <c r="I1194" s="7" t="str">
        <f aca="false">IF(INDEX('Control Library'!$I$5:$I$47,MATCH(E1194,'Control Library'!$A$5:$A$47,0))="All","Y",IF(INDEX('Control Library'!$I$5:$I$47,MATCH(E1194,'Control Library'!$A$5:$A$47,0))="Banks only",IF(COUNTIF('Residual Config'!$L$28:$L$30,INDEX(Entities!$E$5:$E$34,MATCH(B1194,Entities!$A$5:$A$34,0)))&gt;0,"N/A","Y"),IF(INDEX(Entities!$G$5:$G$34,MATCH(B1194,Entities!$A$5:$A$34,0))="Y","Y","N/A")))</f>
        <v>Y</v>
      </c>
      <c r="J1194" s="8" t="s">
        <v>3713</v>
      </c>
      <c r="K1194" s="8" t="s">
        <v>3643</v>
      </c>
      <c r="L1194" s="7" t="str">
        <f aca="false">IF(OR(J1194="",K1194=""),"",IF(J1194=K1194,"Breach","OK"))</f>
        <v>OK</v>
      </c>
      <c r="M1194" s="24" t="n">
        <v>1</v>
      </c>
      <c r="N1194" s="50" t="n">
        <v>46212</v>
      </c>
      <c r="O1194" s="8" t="s">
        <v>546</v>
      </c>
      <c r="P1194" s="24" t="n">
        <v>35</v>
      </c>
      <c r="Q1194" s="31" t="n">
        <f aca="false">IF(I1194="N/A","",IFERROR(INDEX('Residual Config'!$B$35:$B$42,MATCH(H1194,'Residual Config'!$A$35:$A$42,0)),""))</f>
        <v>25</v>
      </c>
      <c r="R1194" s="24" t="n">
        <v>0</v>
      </c>
      <c r="S1194" s="8" t="s">
        <v>516</v>
      </c>
      <c r="T1194" s="31" t="n">
        <f aca="false">IF(S1194="","",MATCH(S1194,'Residual Config'!$L$9:$L$12,0))</f>
        <v>1</v>
      </c>
      <c r="U1194" s="8" t="s">
        <v>3714</v>
      </c>
      <c r="V1194" s="24" t="n">
        <v>6</v>
      </c>
      <c r="W1194" s="33" t="s">
        <v>533</v>
      </c>
      <c r="X1194" s="8" t="s">
        <v>754</v>
      </c>
      <c r="Y1194" s="51" t="n">
        <f aca="false">IF(N1194="","",EDATE(N1194,IF(G1194="N",INDEX('Residual Config'!$B$31:$D$31,1,MATCH(D1194,'Residual Config'!$B$27:$D$27,0)),INDEX('Residual Config'!$B$28:$D$30,IF(T1194=1,1,IF(T1194=4,3,2)),MATCH(D1194,'Residual Config'!$B$27:$D$27,0)))))</f>
        <v>46577</v>
      </c>
      <c r="Z1194" s="7" t="str">
        <f aca="false">IF(I1194="N/A","N/A",IF(N1194="","Not tested",IF(W1194="Rejected","Evidence rejected",IF(W1194&lt;&gt;"Accepted","Evidence pending",IF(Y1194&lt;'Residual Config'!$C$4,"Overdue","Current")))))</f>
        <v>Current</v>
      </c>
      <c r="AA1194" s="34" t="n">
        <f aca="false">IF(I1194="N/A","",IF(Z1194&lt;&gt;"Current",4,IF(MAX(M1194,T1194)=0,4,MAX(M1194,T1194))))</f>
        <v>1</v>
      </c>
      <c r="AB1194" s="7" t="str">
        <f aca="false">IF(AA1194="","N/A",IF(Z1194&lt;&gt;"Current","Not tested / overdue",INDEX('Residual Config'!$B$11:$B$14,AA1194)))</f>
        <v>Effective</v>
      </c>
      <c r="AC1194" s="36" t="n">
        <f aca="false">IF(AA1194="","",INDEX('Residual Config'!$D$11:$D$14,AA1194))</f>
        <v>0.6</v>
      </c>
      <c r="AD1194" s="7" t="str">
        <f aca="false">IF(OR(I1194="N/A",P1194="",Q1194=""),"",IF(P1194&gt;=Q1194,"Yes","No"))</f>
        <v>Yes</v>
      </c>
      <c r="AE1194" s="8"/>
    </row>
    <row r="1195" customFormat="false" ht="15" hidden="false" customHeight="false" outlineLevel="0" collapsed="false">
      <c r="A1195" s="12" t="s">
        <v>3715</v>
      </c>
      <c r="B1195" s="26" t="str">
        <f aca="false">Entities!$A$32</f>
        <v>CN</v>
      </c>
      <c r="C1195" s="12" t="str">
        <f aca="false">INDEX(Entities!$B$5:$B$34,MATCH(B1195,Entities!$A$5:$A$34,0))</f>
        <v>Arab Bank – China</v>
      </c>
      <c r="D1195" s="7" t="str">
        <f aca="false">INDEX(Entities!$F$5:$F$34,MATCH(B1195,Entities!$A$5:$A$34,0))</f>
        <v>Tier 3</v>
      </c>
      <c r="E1195" s="26" t="str">
        <f aca="false">'Control Library'!$A$34</f>
        <v>CTL-DP-02</v>
      </c>
      <c r="F1195" s="12" t="str">
        <f aca="false">INDEX('Control Library'!$B$5:$B$47,MATCH(E1195,'Control Library'!$A$5:$A$47,0))</f>
        <v>Data loss prevention and quarterly access recertification</v>
      </c>
      <c r="G1195" s="7" t="str">
        <f aca="false">INDEX('Control Library'!$F$5:$F$47,MATCH(E1195,'Control Library'!$A$5:$A$47,0))</f>
        <v>Y</v>
      </c>
      <c r="H1195" s="12" t="str">
        <f aca="false">INDEX('Control Library'!$E$5:$E$47,MATCH(E1195,'Control Library'!$A$5:$A$47,0))</f>
        <v>Quarterly</v>
      </c>
      <c r="I1195" s="7" t="str">
        <f aca="false">IF(INDEX('Control Library'!$I$5:$I$47,MATCH(E1195,'Control Library'!$A$5:$A$47,0))="All","Y",IF(INDEX('Control Library'!$I$5:$I$47,MATCH(E1195,'Control Library'!$A$5:$A$47,0))="Banks only",IF(COUNTIF('Residual Config'!$L$28:$L$30,INDEX(Entities!$E$5:$E$34,MATCH(B1195,Entities!$A$5:$A$34,0)))&gt;0,"N/A","Y"),IF(INDEX(Entities!$G$5:$G$34,MATCH(B1195,Entities!$A$5:$A$34,0))="Y","Y","N/A")))</f>
        <v>Y</v>
      </c>
      <c r="J1195" s="8" t="s">
        <v>3716</v>
      </c>
      <c r="K1195" s="8" t="s">
        <v>3643</v>
      </c>
      <c r="L1195" s="7" t="str">
        <f aca="false">IF(OR(J1195="",K1195=""),"",IF(J1195=K1195,"Breach","OK"))</f>
        <v>OK</v>
      </c>
      <c r="M1195" s="24" t="n">
        <v>1</v>
      </c>
      <c r="N1195" s="50" t="n">
        <v>46138</v>
      </c>
      <c r="O1195" s="8" t="s">
        <v>545</v>
      </c>
      <c r="P1195" s="24" t="n">
        <v>2</v>
      </c>
      <c r="Q1195" s="31" t="n">
        <f aca="false">IF(I1195="N/A","",IFERROR(INDEX('Residual Config'!$B$35:$B$42,MATCH(H1195,'Residual Config'!$A$35:$A$42,0)),""))</f>
        <v>2</v>
      </c>
      <c r="R1195" s="24" t="n">
        <v>1</v>
      </c>
      <c r="S1195" s="8" t="s">
        <v>521</v>
      </c>
      <c r="T1195" s="31" t="n">
        <f aca="false">IF(S1195="","",MATCH(S1195,'Residual Config'!$L$9:$L$12,0))</f>
        <v>2</v>
      </c>
      <c r="U1195" s="8" t="s">
        <v>3717</v>
      </c>
      <c r="V1195" s="24" t="n">
        <v>3</v>
      </c>
      <c r="W1195" s="33" t="s">
        <v>533</v>
      </c>
      <c r="X1195" s="8" t="s">
        <v>760</v>
      </c>
      <c r="Y1195" s="51" t="n">
        <f aca="false">IF(N1195="","",EDATE(N1195,IF(G1195="N",INDEX('Residual Config'!$B$31:$D$31,1,MATCH(D1195,'Residual Config'!$B$27:$D$27,0)),INDEX('Residual Config'!$B$28:$D$30,IF(T1195=1,1,IF(T1195=4,3,2)),MATCH(D1195,'Residual Config'!$B$27:$D$27,0)))))</f>
        <v>46321</v>
      </c>
      <c r="Z1195" s="7" t="str">
        <f aca="false">IF(I1195="N/A","N/A",IF(N1195="","Not tested",IF(W1195="Rejected","Evidence rejected",IF(W1195&lt;&gt;"Accepted","Evidence pending",IF(Y1195&lt;'Residual Config'!$C$4,"Overdue","Current")))))</f>
        <v>Current</v>
      </c>
      <c r="AA1195" s="34" t="n">
        <f aca="false">IF(I1195="N/A","",IF(Z1195&lt;&gt;"Current",4,IF(MAX(M1195,T1195)=0,4,MAX(M1195,T1195))))</f>
        <v>2</v>
      </c>
      <c r="AB1195" s="7" t="str">
        <f aca="false">IF(AA1195="","N/A",IF(Z1195&lt;&gt;"Current","Not tested / overdue",INDEX('Residual Config'!$B$11:$B$14,AA1195)))</f>
        <v>Largely effective</v>
      </c>
      <c r="AC1195" s="36" t="n">
        <f aca="false">IF(AA1195="","",INDEX('Residual Config'!$D$11:$D$14,AA1195))</f>
        <v>0.4</v>
      </c>
      <c r="AD1195" s="7" t="str">
        <f aca="false">IF(OR(I1195="N/A",P1195="",Q1195=""),"",IF(P1195&gt;=Q1195,"Yes","No"))</f>
        <v>Yes</v>
      </c>
      <c r="AE1195" s="8"/>
    </row>
    <row r="1196" customFormat="false" ht="15" hidden="false" customHeight="false" outlineLevel="0" collapsed="false">
      <c r="A1196" s="12" t="s">
        <v>3718</v>
      </c>
      <c r="B1196" s="26" t="str">
        <f aca="false">Entities!$A$32</f>
        <v>CN</v>
      </c>
      <c r="C1196" s="12" t="str">
        <f aca="false">INDEX(Entities!$B$5:$B$34,MATCH(B1196,Entities!$A$5:$A$34,0))</f>
        <v>Arab Bank – China</v>
      </c>
      <c r="D1196" s="7" t="str">
        <f aca="false">INDEX(Entities!$F$5:$F$34,MATCH(B1196,Entities!$A$5:$A$34,0))</f>
        <v>Tier 3</v>
      </c>
      <c r="E1196" s="26" t="str">
        <f aca="false">'Control Library'!$A$35</f>
        <v>CTL-SH-01</v>
      </c>
      <c r="F1196" s="12" t="str">
        <f aca="false">INDEX('Control Library'!$B$5:$B$47,MATCH(E1196,'Control Library'!$A$5:$A$47,0))</f>
        <v>Shariah review of products and income purification</v>
      </c>
      <c r="G1196" s="7" t="str">
        <f aca="false">INDEX('Control Library'!$F$5:$F$47,MATCH(E1196,'Control Library'!$A$5:$A$47,0))</f>
        <v>Y</v>
      </c>
      <c r="H1196" s="12" t="str">
        <f aca="false">INDEX('Control Library'!$E$5:$E$47,MATCH(E1196,'Control Library'!$A$5:$A$47,0))</f>
        <v>Quarterly</v>
      </c>
      <c r="I1196" s="7" t="str">
        <f aca="false">IF(INDEX('Control Library'!$I$5:$I$47,MATCH(E1196,'Control Library'!$A$5:$A$47,0))="All","Y",IF(INDEX('Control Library'!$I$5:$I$47,MATCH(E1196,'Control Library'!$A$5:$A$47,0))="Banks only",IF(COUNTIF('Residual Config'!$L$28:$L$30,INDEX(Entities!$E$5:$E$34,MATCH(B1196,Entities!$A$5:$A$34,0)))&gt;0,"N/A","Y"),IF(INDEX(Entities!$G$5:$G$34,MATCH(B1196,Entities!$A$5:$A$34,0))="Y","Y","N/A")))</f>
        <v>N/A</v>
      </c>
      <c r="J1196" s="8"/>
      <c r="K1196" s="8"/>
      <c r="L1196" s="7" t="str">
        <f aca="false">IF(OR(J1196="",K1196=""),"",IF(J1196=K1196,"Breach","OK"))</f>
        <v/>
      </c>
      <c r="M1196" s="24"/>
      <c r="N1196" s="50"/>
      <c r="O1196" s="8"/>
      <c r="P1196" s="24"/>
      <c r="Q1196" s="31" t="str">
        <f aca="false">IF(I1196="N/A","",IFERROR(INDEX('Residual Config'!$B$35:$B$42,MATCH(H1196,'Residual Config'!$A$35:$A$42,0)),""))</f>
        <v/>
      </c>
      <c r="R1196" s="24"/>
      <c r="S1196" s="8"/>
      <c r="T1196" s="31" t="str">
        <f aca="false">IF(S1196="","",MATCH(S1196,'Residual Config'!$L$9:$L$12,0))</f>
        <v/>
      </c>
      <c r="U1196" s="8"/>
      <c r="V1196" s="24"/>
      <c r="W1196" s="33"/>
      <c r="X1196" s="8"/>
      <c r="Y1196" s="51" t="str">
        <f aca="false">IF(N1196="","",EDATE(N1196,IF(G1196="N",INDEX('Residual Config'!$B$31:$D$31,1,MATCH(D1196,'Residual Config'!$B$27:$D$27,0)),INDEX('Residual Config'!$B$28:$D$30,IF(T1196=1,1,IF(T1196=4,3,2)),MATCH(D1196,'Residual Config'!$B$27:$D$27,0)))))</f>
        <v/>
      </c>
      <c r="Z1196" s="7" t="str">
        <f aca="false">IF(I1196="N/A","N/A",IF(N1196="","Not tested",IF(W1196="Rejected","Evidence rejected",IF(W1196&lt;&gt;"Accepted","Evidence pending",IF(Y1196&lt;'Residual Config'!$C$4,"Overdue","Current")))))</f>
        <v>N/A</v>
      </c>
      <c r="AA1196" s="34" t="str">
        <f aca="false">IF(I1196="N/A","",IF(Z1196&lt;&gt;"Current",4,IF(MAX(M1196,T1196)=0,4,MAX(M1196,T1196))))</f>
        <v/>
      </c>
      <c r="AB1196" s="7" t="str">
        <f aca="false">IF(AA1196="","N/A",IF(Z1196&lt;&gt;"Current","Not tested / overdue",INDEX('Residual Config'!$B$11:$B$14,AA1196)))</f>
        <v>N/A</v>
      </c>
      <c r="AC1196" s="36" t="str">
        <f aca="false">IF(AA1196="","",INDEX('Residual Config'!$D$11:$D$14,AA1196))</f>
        <v/>
      </c>
      <c r="AD1196" s="7" t="str">
        <f aca="false">IF(OR(I1196="N/A",P1196="",Q1196=""),"",IF(P1196&gt;=Q1196,"Yes","No"))</f>
        <v/>
      </c>
      <c r="AE1196" s="8"/>
    </row>
    <row r="1197" customFormat="false" ht="15" hidden="false" customHeight="false" outlineLevel="0" collapsed="false">
      <c r="A1197" s="12" t="s">
        <v>3719</v>
      </c>
      <c r="B1197" s="26" t="str">
        <f aca="false">Entities!$A$32</f>
        <v>CN</v>
      </c>
      <c r="C1197" s="12" t="str">
        <f aca="false">INDEX(Entities!$B$5:$B$34,MATCH(B1197,Entities!$A$5:$A$34,0))</f>
        <v>Arab Bank – China</v>
      </c>
      <c r="D1197" s="7" t="str">
        <f aca="false">INDEX(Entities!$F$5:$F$34,MATCH(B1197,Entities!$A$5:$A$34,0))</f>
        <v>Tier 3</v>
      </c>
      <c r="E1197" s="26" t="str">
        <f aca="false">'Control Library'!$A$36</f>
        <v>CTL-CR-01</v>
      </c>
      <c r="F1197" s="12" t="str">
        <f aca="false">INDEX('Control Library'!$B$5:$B$47,MATCH(E1197,'Control Library'!$A$5:$A$47,0))</f>
        <v>Credit approval authorities and committee review</v>
      </c>
      <c r="G1197" s="7" t="str">
        <f aca="false">INDEX('Control Library'!$F$5:$F$47,MATCH(E1197,'Control Library'!$A$5:$A$47,0))</f>
        <v>Y</v>
      </c>
      <c r="H1197" s="12" t="str">
        <f aca="false">INDEX('Control Library'!$E$5:$E$47,MATCH(E1197,'Control Library'!$A$5:$A$47,0))</f>
        <v>Event-driven</v>
      </c>
      <c r="I1197" s="7" t="str">
        <f aca="false">IF(INDEX('Control Library'!$I$5:$I$47,MATCH(E1197,'Control Library'!$A$5:$A$47,0))="All","Y",IF(INDEX('Control Library'!$I$5:$I$47,MATCH(E1197,'Control Library'!$A$5:$A$47,0))="Banks only",IF(COUNTIF('Residual Config'!$L$28:$L$30,INDEX(Entities!$E$5:$E$34,MATCH(B1197,Entities!$A$5:$A$34,0)))&gt;0,"N/A","Y"),IF(INDEX(Entities!$G$5:$G$34,MATCH(B1197,Entities!$A$5:$A$34,0))="Y","Y","N/A")))</f>
        <v>Y</v>
      </c>
      <c r="J1197" s="8" t="s">
        <v>3720</v>
      </c>
      <c r="K1197" s="8" t="s">
        <v>3643</v>
      </c>
      <c r="L1197" s="7" t="str">
        <f aca="false">IF(OR(J1197="",K1197=""),"",IF(J1197=K1197,"Breach","OK"))</f>
        <v>OK</v>
      </c>
      <c r="M1197" s="24" t="n">
        <v>1</v>
      </c>
      <c r="N1197" s="50" t="n">
        <v>46252</v>
      </c>
      <c r="O1197" s="8" t="s">
        <v>545</v>
      </c>
      <c r="P1197" s="24" t="n">
        <v>35</v>
      </c>
      <c r="Q1197" s="31" t="n">
        <f aca="false">IF(I1197="N/A","",IFERROR(INDEX('Residual Config'!$B$35:$B$42,MATCH(H1197,'Residual Config'!$A$35:$A$42,0)),""))</f>
        <v>25</v>
      </c>
      <c r="R1197" s="24" t="n">
        <v>0</v>
      </c>
      <c r="S1197" s="8" t="s">
        <v>516</v>
      </c>
      <c r="T1197" s="31" t="n">
        <f aca="false">IF(S1197="","",MATCH(S1197,'Residual Config'!$L$9:$L$12,0))</f>
        <v>1</v>
      </c>
      <c r="U1197" s="8" t="s">
        <v>3721</v>
      </c>
      <c r="V1197" s="24" t="n">
        <v>4</v>
      </c>
      <c r="W1197" s="33" t="s">
        <v>533</v>
      </c>
      <c r="X1197" s="8" t="s">
        <v>754</v>
      </c>
      <c r="Y1197" s="51" t="n">
        <f aca="false">IF(N1197="","",EDATE(N1197,IF(G1197="N",INDEX('Residual Config'!$B$31:$D$31,1,MATCH(D1197,'Residual Config'!$B$27:$D$27,0)),INDEX('Residual Config'!$B$28:$D$30,IF(T1197=1,1,IF(T1197=4,3,2)),MATCH(D1197,'Residual Config'!$B$27:$D$27,0)))))</f>
        <v>46617</v>
      </c>
      <c r="Z1197" s="7" t="str">
        <f aca="false">IF(I1197="N/A","N/A",IF(N1197="","Not tested",IF(W1197="Rejected","Evidence rejected",IF(W1197&lt;&gt;"Accepted","Evidence pending",IF(Y1197&lt;'Residual Config'!$C$4,"Overdue","Current")))))</f>
        <v>Current</v>
      </c>
      <c r="AA1197" s="34" t="n">
        <f aca="false">IF(I1197="N/A","",IF(Z1197&lt;&gt;"Current",4,IF(MAX(M1197,T1197)=0,4,MAX(M1197,T1197))))</f>
        <v>1</v>
      </c>
      <c r="AB1197" s="7" t="str">
        <f aca="false">IF(AA1197="","N/A",IF(Z1197&lt;&gt;"Current","Not tested / overdue",INDEX('Residual Config'!$B$11:$B$14,AA1197)))</f>
        <v>Effective</v>
      </c>
      <c r="AC1197" s="36" t="n">
        <f aca="false">IF(AA1197="","",INDEX('Residual Config'!$D$11:$D$14,AA1197))</f>
        <v>0.6</v>
      </c>
      <c r="AD1197" s="7" t="str">
        <f aca="false">IF(OR(I1197="N/A",P1197="",Q1197=""),"",IF(P1197&gt;=Q1197,"Yes","No"))</f>
        <v>Yes</v>
      </c>
      <c r="AE1197" s="8"/>
    </row>
    <row r="1198" customFormat="false" ht="15" hidden="false" customHeight="false" outlineLevel="0" collapsed="false">
      <c r="A1198" s="12" t="s">
        <v>3722</v>
      </c>
      <c r="B1198" s="26" t="str">
        <f aca="false">Entities!$A$32</f>
        <v>CN</v>
      </c>
      <c r="C1198" s="12" t="str">
        <f aca="false">INDEX(Entities!$B$5:$B$34,MATCH(B1198,Entities!$A$5:$A$34,0))</f>
        <v>Arab Bank – China</v>
      </c>
      <c r="D1198" s="7" t="str">
        <f aca="false">INDEX(Entities!$F$5:$F$34,MATCH(B1198,Entities!$A$5:$A$34,0))</f>
        <v>Tier 3</v>
      </c>
      <c r="E1198" s="26" t="str">
        <f aca="false">'Control Library'!$A$37</f>
        <v>CTL-CR-02</v>
      </c>
      <c r="F1198" s="12" t="str">
        <f aca="false">INDEX('Control Library'!$B$5:$B$47,MATCH(E1198,'Control Library'!$A$5:$A$47,0))</f>
        <v>Collateral valuation and exposure limit monitoring</v>
      </c>
      <c r="G1198" s="7" t="str">
        <f aca="false">INDEX('Control Library'!$F$5:$F$47,MATCH(E1198,'Control Library'!$A$5:$A$47,0))</f>
        <v>N</v>
      </c>
      <c r="H1198" s="12" t="str">
        <f aca="false">INDEX('Control Library'!$E$5:$E$47,MATCH(E1198,'Control Library'!$A$5:$A$47,0))</f>
        <v>Monthly</v>
      </c>
      <c r="I1198" s="7" t="str">
        <f aca="false">IF(INDEX('Control Library'!$I$5:$I$47,MATCH(E1198,'Control Library'!$A$5:$A$47,0))="All","Y",IF(INDEX('Control Library'!$I$5:$I$47,MATCH(E1198,'Control Library'!$A$5:$A$47,0))="Banks only",IF(COUNTIF('Residual Config'!$L$28:$L$30,INDEX(Entities!$E$5:$E$34,MATCH(B1198,Entities!$A$5:$A$34,0)))&gt;0,"N/A","Y"),IF(INDEX(Entities!$G$5:$G$34,MATCH(B1198,Entities!$A$5:$A$34,0))="Y","Y","N/A")))</f>
        <v>Y</v>
      </c>
      <c r="J1198" s="8" t="s">
        <v>3723</v>
      </c>
      <c r="K1198" s="8" t="s">
        <v>3643</v>
      </c>
      <c r="L1198" s="7" t="str">
        <f aca="false">IF(OR(J1198="",K1198=""),"",IF(J1198=K1198,"Breach","OK"))</f>
        <v>OK</v>
      </c>
      <c r="M1198" s="24" t="n">
        <v>1</v>
      </c>
      <c r="N1198" s="50" t="n">
        <v>45742</v>
      </c>
      <c r="O1198" s="8" t="s">
        <v>545</v>
      </c>
      <c r="P1198" s="24" t="n">
        <v>3</v>
      </c>
      <c r="Q1198" s="31" t="n">
        <f aca="false">IF(I1198="N/A","",IFERROR(INDEX('Residual Config'!$B$35:$B$42,MATCH(H1198,'Residual Config'!$A$35:$A$42,0)),""))</f>
        <v>3</v>
      </c>
      <c r="R1198" s="24" t="n">
        <v>1</v>
      </c>
      <c r="S1198" s="8" t="s">
        <v>521</v>
      </c>
      <c r="T1198" s="31" t="n">
        <f aca="false">IF(S1198="","",MATCH(S1198,'Residual Config'!$L$9:$L$12,0))</f>
        <v>2</v>
      </c>
      <c r="U1198" s="8" t="s">
        <v>3724</v>
      </c>
      <c r="V1198" s="24" t="n">
        <v>5</v>
      </c>
      <c r="W1198" s="33" t="s">
        <v>533</v>
      </c>
      <c r="X1198" s="8" t="s">
        <v>754</v>
      </c>
      <c r="Y1198" s="51" t="n">
        <f aca="false">IF(N1198="","",EDATE(N1198,IF(G1198="N",INDEX('Residual Config'!$B$31:$D$31,1,MATCH(D1198,'Residual Config'!$B$27:$D$27,0)),INDEX('Residual Config'!$B$28:$D$30,IF(T1198=1,1,IF(T1198=4,3,2)),MATCH(D1198,'Residual Config'!$B$27:$D$27,0)))))</f>
        <v>46472</v>
      </c>
      <c r="Z1198" s="7" t="str">
        <f aca="false">IF(I1198="N/A","N/A",IF(N1198="","Not tested",IF(W1198="Rejected","Evidence rejected",IF(W1198&lt;&gt;"Accepted","Evidence pending",IF(Y1198&lt;'Residual Config'!$C$4,"Overdue","Current")))))</f>
        <v>Current</v>
      </c>
      <c r="AA1198" s="34" t="n">
        <f aca="false">IF(I1198="N/A","",IF(Z1198&lt;&gt;"Current",4,IF(MAX(M1198,T1198)=0,4,MAX(M1198,T1198))))</f>
        <v>2</v>
      </c>
      <c r="AB1198" s="7" t="str">
        <f aca="false">IF(AA1198="","N/A",IF(Z1198&lt;&gt;"Current","Not tested / overdue",INDEX('Residual Config'!$B$11:$B$14,AA1198)))</f>
        <v>Largely effective</v>
      </c>
      <c r="AC1198" s="36" t="n">
        <f aca="false">IF(AA1198="","",INDEX('Residual Config'!$D$11:$D$14,AA1198))</f>
        <v>0.4</v>
      </c>
      <c r="AD1198" s="7" t="str">
        <f aca="false">IF(OR(I1198="N/A",P1198="",Q1198=""),"",IF(P1198&gt;=Q1198,"Yes","No"))</f>
        <v>Yes</v>
      </c>
      <c r="AE1198" s="8"/>
    </row>
    <row r="1199" customFormat="false" ht="15" hidden="false" customHeight="false" outlineLevel="0" collapsed="false">
      <c r="A1199" s="12" t="s">
        <v>3725</v>
      </c>
      <c r="B1199" s="26" t="str">
        <f aca="false">Entities!$A$32</f>
        <v>CN</v>
      </c>
      <c r="C1199" s="12" t="str">
        <f aca="false">INDEX(Entities!$B$5:$B$34,MATCH(B1199,Entities!$A$5:$A$34,0))</f>
        <v>Arab Bank – China</v>
      </c>
      <c r="D1199" s="7" t="str">
        <f aca="false">INDEX(Entities!$F$5:$F$34,MATCH(B1199,Entities!$A$5:$A$34,0))</f>
        <v>Tier 3</v>
      </c>
      <c r="E1199" s="26" t="str">
        <f aca="false">'Control Library'!$A$38</f>
        <v>CTL-MR-01</v>
      </c>
      <c r="F1199" s="12" t="str">
        <f aca="false">INDEX('Control Library'!$B$5:$B$47,MATCH(E1199,'Control Library'!$A$5:$A$47,0))</f>
        <v>Market risk limits and daily VaR monitoring</v>
      </c>
      <c r="G1199" s="7" t="str">
        <f aca="false">INDEX('Control Library'!$F$5:$F$47,MATCH(E1199,'Control Library'!$A$5:$A$47,0))</f>
        <v>Y</v>
      </c>
      <c r="H1199" s="12" t="str">
        <f aca="false">INDEX('Control Library'!$E$5:$E$47,MATCH(E1199,'Control Library'!$A$5:$A$47,0))</f>
        <v>Daily</v>
      </c>
      <c r="I1199" s="7" t="str">
        <f aca="false">IF(INDEX('Control Library'!$I$5:$I$47,MATCH(E1199,'Control Library'!$A$5:$A$47,0))="All","Y",IF(INDEX('Control Library'!$I$5:$I$47,MATCH(E1199,'Control Library'!$A$5:$A$47,0))="Banks only",IF(COUNTIF('Residual Config'!$L$28:$L$30,INDEX(Entities!$E$5:$E$34,MATCH(B1199,Entities!$A$5:$A$34,0)))&gt;0,"N/A","Y"),IF(INDEX(Entities!$G$5:$G$34,MATCH(B1199,Entities!$A$5:$A$34,0))="Y","Y","N/A")))</f>
        <v>Y</v>
      </c>
      <c r="J1199" s="8" t="s">
        <v>3723</v>
      </c>
      <c r="K1199" s="8" t="s">
        <v>3643</v>
      </c>
      <c r="L1199" s="7" t="str">
        <f aca="false">IF(OR(J1199="",K1199=""),"",IF(J1199=K1199,"Breach","OK"))</f>
        <v>OK</v>
      </c>
      <c r="M1199" s="24" t="n">
        <v>1</v>
      </c>
      <c r="N1199" s="50" t="n">
        <v>46105</v>
      </c>
      <c r="O1199" s="8" t="s">
        <v>546</v>
      </c>
      <c r="P1199" s="24" t="n">
        <v>35</v>
      </c>
      <c r="Q1199" s="31" t="n">
        <f aca="false">IF(I1199="N/A","",IFERROR(INDEX('Residual Config'!$B$35:$B$42,MATCH(H1199,'Residual Config'!$A$35:$A$42,0)),""))</f>
        <v>25</v>
      </c>
      <c r="R1199" s="24" t="n">
        <v>0</v>
      </c>
      <c r="S1199" s="8" t="s">
        <v>516</v>
      </c>
      <c r="T1199" s="31" t="n">
        <f aca="false">IF(S1199="","",MATCH(S1199,'Residual Config'!$L$9:$L$12,0))</f>
        <v>1</v>
      </c>
      <c r="U1199" s="8" t="s">
        <v>3726</v>
      </c>
      <c r="V1199" s="24" t="n">
        <v>3</v>
      </c>
      <c r="W1199" s="33" t="s">
        <v>533</v>
      </c>
      <c r="X1199" s="8" t="s">
        <v>760</v>
      </c>
      <c r="Y1199" s="51" t="n">
        <f aca="false">IF(N1199="","",EDATE(N1199,IF(G1199="N",INDEX('Residual Config'!$B$31:$D$31,1,MATCH(D1199,'Residual Config'!$B$27:$D$27,0)),INDEX('Residual Config'!$B$28:$D$30,IF(T1199=1,1,IF(T1199=4,3,2)),MATCH(D1199,'Residual Config'!$B$27:$D$27,0)))))</f>
        <v>46470</v>
      </c>
      <c r="Z1199" s="7" t="str">
        <f aca="false">IF(I1199="N/A","N/A",IF(N1199="","Not tested",IF(W1199="Rejected","Evidence rejected",IF(W1199&lt;&gt;"Accepted","Evidence pending",IF(Y1199&lt;'Residual Config'!$C$4,"Overdue","Current")))))</f>
        <v>Current</v>
      </c>
      <c r="AA1199" s="34" t="n">
        <f aca="false">IF(I1199="N/A","",IF(Z1199&lt;&gt;"Current",4,IF(MAX(M1199,T1199)=0,4,MAX(M1199,T1199))))</f>
        <v>1</v>
      </c>
      <c r="AB1199" s="7" t="str">
        <f aca="false">IF(AA1199="","N/A",IF(Z1199&lt;&gt;"Current","Not tested / overdue",INDEX('Residual Config'!$B$11:$B$14,AA1199)))</f>
        <v>Effective</v>
      </c>
      <c r="AC1199" s="36" t="n">
        <f aca="false">IF(AA1199="","",INDEX('Residual Config'!$D$11:$D$14,AA1199))</f>
        <v>0.6</v>
      </c>
      <c r="AD1199" s="7" t="str">
        <f aca="false">IF(OR(I1199="N/A",P1199="",Q1199=""),"",IF(P1199&gt;=Q1199,"Yes","No"))</f>
        <v>Yes</v>
      </c>
      <c r="AE1199" s="8"/>
    </row>
    <row r="1200" customFormat="false" ht="15" hidden="false" customHeight="false" outlineLevel="0" collapsed="false">
      <c r="A1200" s="12" t="s">
        <v>3727</v>
      </c>
      <c r="B1200" s="26" t="str">
        <f aca="false">Entities!$A$32</f>
        <v>CN</v>
      </c>
      <c r="C1200" s="12" t="str">
        <f aca="false">INDEX(Entities!$B$5:$B$34,MATCH(B1200,Entities!$A$5:$A$34,0))</f>
        <v>Arab Bank – China</v>
      </c>
      <c r="D1200" s="7" t="str">
        <f aca="false">INDEX(Entities!$F$5:$F$34,MATCH(B1200,Entities!$A$5:$A$34,0))</f>
        <v>Tier 3</v>
      </c>
      <c r="E1200" s="26" t="str">
        <f aca="false">'Control Library'!$A$39</f>
        <v>CTL-LQ-01</v>
      </c>
      <c r="F1200" s="12" t="str">
        <f aca="false">INDEX('Control Library'!$B$5:$B$47,MATCH(E1200,'Control Library'!$A$5:$A$47,0))</f>
        <v>Liquidity buffers, LCR/NSFR monitoring and contingency funding plan</v>
      </c>
      <c r="G1200" s="7" t="str">
        <f aca="false">INDEX('Control Library'!$F$5:$F$47,MATCH(E1200,'Control Library'!$A$5:$A$47,0))</f>
        <v>Y</v>
      </c>
      <c r="H1200" s="12" t="str">
        <f aca="false">INDEX('Control Library'!$E$5:$E$47,MATCH(E1200,'Control Library'!$A$5:$A$47,0))</f>
        <v>Daily</v>
      </c>
      <c r="I1200" s="7" t="str">
        <f aca="false">IF(INDEX('Control Library'!$I$5:$I$47,MATCH(E1200,'Control Library'!$A$5:$A$47,0))="All","Y",IF(INDEX('Control Library'!$I$5:$I$47,MATCH(E1200,'Control Library'!$A$5:$A$47,0))="Banks only",IF(COUNTIF('Residual Config'!$L$28:$L$30,INDEX(Entities!$E$5:$E$34,MATCH(B1200,Entities!$A$5:$A$34,0)))&gt;0,"N/A","Y"),IF(INDEX(Entities!$G$5:$G$34,MATCH(B1200,Entities!$A$5:$A$34,0))="Y","Y","N/A")))</f>
        <v>Y</v>
      </c>
      <c r="J1200" s="8" t="s">
        <v>3728</v>
      </c>
      <c r="K1200" s="8" t="s">
        <v>3643</v>
      </c>
      <c r="L1200" s="7" t="str">
        <f aca="false">IF(OR(J1200="",K1200=""),"",IF(J1200=K1200,"Breach","OK"))</f>
        <v>OK</v>
      </c>
      <c r="M1200" s="24" t="n">
        <v>1</v>
      </c>
      <c r="N1200" s="50" t="n">
        <v>46233</v>
      </c>
      <c r="O1200" s="8" t="s">
        <v>545</v>
      </c>
      <c r="P1200" s="24" t="n">
        <v>25</v>
      </c>
      <c r="Q1200" s="31" t="n">
        <f aca="false">IF(I1200="N/A","",IFERROR(INDEX('Residual Config'!$B$35:$B$42,MATCH(H1200,'Residual Config'!$A$35:$A$42,0)),""))</f>
        <v>25</v>
      </c>
      <c r="R1200" s="24" t="n">
        <v>1</v>
      </c>
      <c r="S1200" s="8" t="s">
        <v>521</v>
      </c>
      <c r="T1200" s="31" t="n">
        <f aca="false">IF(S1200="","",MATCH(S1200,'Residual Config'!$L$9:$L$12,0))</f>
        <v>2</v>
      </c>
      <c r="U1200" s="8" t="s">
        <v>3729</v>
      </c>
      <c r="V1200" s="24" t="n">
        <v>5</v>
      </c>
      <c r="W1200" s="33" t="s">
        <v>533</v>
      </c>
      <c r="X1200" s="8" t="s">
        <v>760</v>
      </c>
      <c r="Y1200" s="51" t="n">
        <f aca="false">IF(N1200="","",EDATE(N1200,IF(G1200="N",INDEX('Residual Config'!$B$31:$D$31,1,MATCH(D1200,'Residual Config'!$B$27:$D$27,0)),INDEX('Residual Config'!$B$28:$D$30,IF(T1200=1,1,IF(T1200=4,3,2)),MATCH(D1200,'Residual Config'!$B$27:$D$27,0)))))</f>
        <v>46417</v>
      </c>
      <c r="Z1200" s="7" t="str">
        <f aca="false">IF(I1200="N/A","N/A",IF(N1200="","Not tested",IF(W1200="Rejected","Evidence rejected",IF(W1200&lt;&gt;"Accepted","Evidence pending",IF(Y1200&lt;'Residual Config'!$C$4,"Overdue","Current")))))</f>
        <v>Current</v>
      </c>
      <c r="AA1200" s="34" t="n">
        <f aca="false">IF(I1200="N/A","",IF(Z1200&lt;&gt;"Current",4,IF(MAX(M1200,T1200)=0,4,MAX(M1200,T1200))))</f>
        <v>2</v>
      </c>
      <c r="AB1200" s="7" t="str">
        <f aca="false">IF(AA1200="","N/A",IF(Z1200&lt;&gt;"Current","Not tested / overdue",INDEX('Residual Config'!$B$11:$B$14,AA1200)))</f>
        <v>Largely effective</v>
      </c>
      <c r="AC1200" s="36" t="n">
        <f aca="false">IF(AA1200="","",INDEX('Residual Config'!$D$11:$D$14,AA1200))</f>
        <v>0.4</v>
      </c>
      <c r="AD1200" s="7" t="str">
        <f aca="false">IF(OR(I1200="N/A",P1200="",Q1200=""),"",IF(P1200&gt;=Q1200,"Yes","No"))</f>
        <v>Yes</v>
      </c>
      <c r="AE1200" s="8"/>
    </row>
    <row r="1201" customFormat="false" ht="15" hidden="false" customHeight="false" outlineLevel="0" collapsed="false">
      <c r="A1201" s="12" t="s">
        <v>3730</v>
      </c>
      <c r="B1201" s="26" t="str">
        <f aca="false">Entities!$A$32</f>
        <v>CN</v>
      </c>
      <c r="C1201" s="12" t="str">
        <f aca="false">INDEX(Entities!$B$5:$B$34,MATCH(B1201,Entities!$A$5:$A$34,0))</f>
        <v>Arab Bank – China</v>
      </c>
      <c r="D1201" s="7" t="str">
        <f aca="false">INDEX(Entities!$F$5:$F$34,MATCH(B1201,Entities!$A$5:$A$34,0))</f>
        <v>Tier 3</v>
      </c>
      <c r="E1201" s="26" t="str">
        <f aca="false">'Control Library'!$A$40</f>
        <v>CTL-OR-01</v>
      </c>
      <c r="F1201" s="12" t="str">
        <f aca="false">INDEX('Control Library'!$B$5:$B$47,MATCH(E1201,'Control Library'!$A$5:$A$47,0))</f>
        <v>Business continuity plans and annual testing</v>
      </c>
      <c r="G1201" s="7" t="str">
        <f aca="false">INDEX('Control Library'!$F$5:$F$47,MATCH(E1201,'Control Library'!$A$5:$A$47,0))</f>
        <v>Y</v>
      </c>
      <c r="H1201" s="12" t="str">
        <f aca="false">INDEX('Control Library'!$E$5:$E$47,MATCH(E1201,'Control Library'!$A$5:$A$47,0))</f>
        <v>Annual</v>
      </c>
      <c r="I1201" s="7" t="str">
        <f aca="false">IF(INDEX('Control Library'!$I$5:$I$47,MATCH(E1201,'Control Library'!$A$5:$A$47,0))="All","Y",IF(INDEX('Control Library'!$I$5:$I$47,MATCH(E1201,'Control Library'!$A$5:$A$47,0))="Banks only",IF(COUNTIF('Residual Config'!$L$28:$L$30,INDEX(Entities!$E$5:$E$34,MATCH(B1201,Entities!$A$5:$A$34,0)))&gt;0,"N/A","Y"),IF(INDEX(Entities!$G$5:$G$34,MATCH(B1201,Entities!$A$5:$A$34,0))="Y","Y","N/A")))</f>
        <v>Y</v>
      </c>
      <c r="J1201" s="8" t="s">
        <v>3731</v>
      </c>
      <c r="K1201" s="8" t="s">
        <v>3643</v>
      </c>
      <c r="L1201" s="7" t="str">
        <f aca="false">IF(OR(J1201="",K1201=""),"",IF(J1201=K1201,"Breach","OK"))</f>
        <v>OK</v>
      </c>
      <c r="M1201" s="24" t="n">
        <v>1</v>
      </c>
      <c r="N1201" s="50" t="n">
        <v>46278</v>
      </c>
      <c r="O1201" s="8" t="s">
        <v>546</v>
      </c>
      <c r="P1201" s="24" t="n">
        <v>1</v>
      </c>
      <c r="Q1201" s="31" t="n">
        <f aca="false">IF(I1201="N/A","",IFERROR(INDEX('Residual Config'!$B$35:$B$42,MATCH(H1201,'Residual Config'!$A$35:$A$42,0)),""))</f>
        <v>1</v>
      </c>
      <c r="R1201" s="24" t="n">
        <v>1</v>
      </c>
      <c r="S1201" s="8" t="s">
        <v>521</v>
      </c>
      <c r="T1201" s="31" t="n">
        <f aca="false">IF(S1201="","",MATCH(S1201,'Residual Config'!$L$9:$L$12,0))</f>
        <v>2</v>
      </c>
      <c r="U1201" s="8" t="s">
        <v>3732</v>
      </c>
      <c r="V1201" s="24" t="n">
        <v>4</v>
      </c>
      <c r="W1201" s="33" t="s">
        <v>533</v>
      </c>
      <c r="X1201" s="8" t="s">
        <v>760</v>
      </c>
      <c r="Y1201" s="51" t="n">
        <f aca="false">IF(N1201="","",EDATE(N1201,IF(G1201="N",INDEX('Residual Config'!$B$31:$D$31,1,MATCH(D1201,'Residual Config'!$B$27:$D$27,0)),INDEX('Residual Config'!$B$28:$D$30,IF(T1201=1,1,IF(T1201=4,3,2)),MATCH(D1201,'Residual Config'!$B$27:$D$27,0)))))</f>
        <v>46459</v>
      </c>
      <c r="Z1201" s="7" t="str">
        <f aca="false">IF(I1201="N/A","N/A",IF(N1201="","Not tested",IF(W1201="Rejected","Evidence rejected",IF(W1201&lt;&gt;"Accepted","Evidence pending",IF(Y1201&lt;'Residual Config'!$C$4,"Overdue","Current")))))</f>
        <v>Current</v>
      </c>
      <c r="AA1201" s="34" t="n">
        <f aca="false">IF(I1201="N/A","",IF(Z1201&lt;&gt;"Current",4,IF(MAX(M1201,T1201)=0,4,MAX(M1201,T1201))))</f>
        <v>2</v>
      </c>
      <c r="AB1201" s="7" t="str">
        <f aca="false">IF(AA1201="","N/A",IF(Z1201&lt;&gt;"Current","Not tested / overdue",INDEX('Residual Config'!$B$11:$B$14,AA1201)))</f>
        <v>Largely effective</v>
      </c>
      <c r="AC1201" s="36" t="n">
        <f aca="false">IF(AA1201="","",INDEX('Residual Config'!$D$11:$D$14,AA1201))</f>
        <v>0.4</v>
      </c>
      <c r="AD1201" s="7" t="str">
        <f aca="false">IF(OR(I1201="N/A",P1201="",Q1201=""),"",IF(P1201&gt;=Q1201,"Yes","No"))</f>
        <v>Yes</v>
      </c>
      <c r="AE1201" s="8"/>
    </row>
    <row r="1202" customFormat="false" ht="15" hidden="false" customHeight="false" outlineLevel="0" collapsed="false">
      <c r="A1202" s="12" t="s">
        <v>3733</v>
      </c>
      <c r="B1202" s="26" t="str">
        <f aca="false">Entities!$A$32</f>
        <v>CN</v>
      </c>
      <c r="C1202" s="12" t="str">
        <f aca="false">INDEX(Entities!$B$5:$B$34,MATCH(B1202,Entities!$A$5:$A$34,0))</f>
        <v>Arab Bank – China</v>
      </c>
      <c r="D1202" s="7" t="str">
        <f aca="false">INDEX(Entities!$F$5:$F$34,MATCH(B1202,Entities!$A$5:$A$34,0))</f>
        <v>Tier 3</v>
      </c>
      <c r="E1202" s="26" t="str">
        <f aca="false">'Control Library'!$A$41</f>
        <v>CTL-OR-02</v>
      </c>
      <c r="F1202" s="12" t="str">
        <f aca="false">INDEX('Control Library'!$B$5:$B$47,MATCH(E1202,'Control Library'!$A$5:$A$47,0))</f>
        <v>Operational loss event capture and RCSA</v>
      </c>
      <c r="G1202" s="7" t="str">
        <f aca="false">INDEX('Control Library'!$F$5:$F$47,MATCH(E1202,'Control Library'!$A$5:$A$47,0))</f>
        <v>N</v>
      </c>
      <c r="H1202" s="12" t="str">
        <f aca="false">INDEX('Control Library'!$E$5:$E$47,MATCH(E1202,'Control Library'!$A$5:$A$47,0))</f>
        <v>Quarterly</v>
      </c>
      <c r="I1202" s="7" t="str">
        <f aca="false">IF(INDEX('Control Library'!$I$5:$I$47,MATCH(E1202,'Control Library'!$A$5:$A$47,0))="All","Y",IF(INDEX('Control Library'!$I$5:$I$47,MATCH(E1202,'Control Library'!$A$5:$A$47,0))="Banks only",IF(COUNTIF('Residual Config'!$L$28:$L$30,INDEX(Entities!$E$5:$E$34,MATCH(B1202,Entities!$A$5:$A$34,0)))&gt;0,"N/A","Y"),IF(INDEX(Entities!$G$5:$G$34,MATCH(B1202,Entities!$A$5:$A$34,0))="Y","Y","N/A")))</f>
        <v>Y</v>
      </c>
      <c r="J1202" s="8" t="s">
        <v>3723</v>
      </c>
      <c r="K1202" s="8" t="s">
        <v>3643</v>
      </c>
      <c r="L1202" s="7" t="str">
        <f aca="false">IF(OR(J1202="",K1202=""),"",IF(J1202=K1202,"Breach","OK"))</f>
        <v>OK</v>
      </c>
      <c r="M1202" s="24" t="n">
        <v>1</v>
      </c>
      <c r="N1202" s="50" t="n">
        <v>46092</v>
      </c>
      <c r="O1202" s="8" t="s">
        <v>546</v>
      </c>
      <c r="P1202" s="24" t="n">
        <v>2</v>
      </c>
      <c r="Q1202" s="31" t="n">
        <f aca="false">IF(I1202="N/A","",IFERROR(INDEX('Residual Config'!$B$35:$B$42,MATCH(H1202,'Residual Config'!$A$35:$A$42,0)),""))</f>
        <v>2</v>
      </c>
      <c r="R1202" s="24" t="n">
        <v>0</v>
      </c>
      <c r="S1202" s="8" t="s">
        <v>516</v>
      </c>
      <c r="T1202" s="31" t="n">
        <f aca="false">IF(S1202="","",MATCH(S1202,'Residual Config'!$L$9:$L$12,0))</f>
        <v>1</v>
      </c>
      <c r="U1202" s="8" t="s">
        <v>3734</v>
      </c>
      <c r="V1202" s="24" t="n">
        <v>4</v>
      </c>
      <c r="W1202" s="33" t="s">
        <v>533</v>
      </c>
      <c r="X1202" s="8" t="s">
        <v>754</v>
      </c>
      <c r="Y1202" s="51" t="n">
        <f aca="false">IF(N1202="","",EDATE(N1202,IF(G1202="N",INDEX('Residual Config'!$B$31:$D$31,1,MATCH(D1202,'Residual Config'!$B$27:$D$27,0)),INDEX('Residual Config'!$B$28:$D$30,IF(T1202=1,1,IF(T1202=4,3,2)),MATCH(D1202,'Residual Config'!$B$27:$D$27,0)))))</f>
        <v>46823</v>
      </c>
      <c r="Z1202" s="7" t="str">
        <f aca="false">IF(I1202="N/A","N/A",IF(N1202="","Not tested",IF(W1202="Rejected","Evidence rejected",IF(W1202&lt;&gt;"Accepted","Evidence pending",IF(Y1202&lt;'Residual Config'!$C$4,"Overdue","Current")))))</f>
        <v>Current</v>
      </c>
      <c r="AA1202" s="34" t="n">
        <f aca="false">IF(I1202="N/A","",IF(Z1202&lt;&gt;"Current",4,IF(MAX(M1202,T1202)=0,4,MAX(M1202,T1202))))</f>
        <v>1</v>
      </c>
      <c r="AB1202" s="7" t="str">
        <f aca="false">IF(AA1202="","N/A",IF(Z1202&lt;&gt;"Current","Not tested / overdue",INDEX('Residual Config'!$B$11:$B$14,AA1202)))</f>
        <v>Effective</v>
      </c>
      <c r="AC1202" s="36" t="n">
        <f aca="false">IF(AA1202="","",INDEX('Residual Config'!$D$11:$D$14,AA1202))</f>
        <v>0.6</v>
      </c>
      <c r="AD1202" s="7" t="str">
        <f aca="false">IF(OR(I1202="N/A",P1202="",Q1202=""),"",IF(P1202&gt;=Q1202,"Yes","No"))</f>
        <v>Yes</v>
      </c>
      <c r="AE1202" s="8"/>
    </row>
    <row r="1203" customFormat="false" ht="15" hidden="false" customHeight="false" outlineLevel="0" collapsed="false">
      <c r="A1203" s="12" t="s">
        <v>3735</v>
      </c>
      <c r="B1203" s="26" t="str">
        <f aca="false">Entities!$A$32</f>
        <v>CN</v>
      </c>
      <c r="C1203" s="12" t="str">
        <f aca="false">INDEX(Entities!$B$5:$B$34,MATCH(B1203,Entities!$A$5:$A$34,0))</f>
        <v>Arab Bank – China</v>
      </c>
      <c r="D1203" s="7" t="str">
        <f aca="false">INDEX(Entities!$F$5:$F$34,MATCH(B1203,Entities!$A$5:$A$34,0))</f>
        <v>Tier 3</v>
      </c>
      <c r="E1203" s="26" t="str">
        <f aca="false">'Control Library'!$A$42</f>
        <v>CTL-CY-01</v>
      </c>
      <c r="F1203" s="12" t="str">
        <f aca="false">INDEX('Control Library'!$B$5:$B$47,MATCH(E1203,'Control Library'!$A$5:$A$47,0))</f>
        <v>Vulnerability and patch management</v>
      </c>
      <c r="G1203" s="7" t="str">
        <f aca="false">INDEX('Control Library'!$F$5:$F$47,MATCH(E1203,'Control Library'!$A$5:$A$47,0))</f>
        <v>Y</v>
      </c>
      <c r="H1203" s="12" t="str">
        <f aca="false">INDEX('Control Library'!$E$5:$E$47,MATCH(E1203,'Control Library'!$A$5:$A$47,0))</f>
        <v>Monthly</v>
      </c>
      <c r="I1203" s="7" t="str">
        <f aca="false">IF(INDEX('Control Library'!$I$5:$I$47,MATCH(E1203,'Control Library'!$A$5:$A$47,0))="All","Y",IF(INDEX('Control Library'!$I$5:$I$47,MATCH(E1203,'Control Library'!$A$5:$A$47,0))="Banks only",IF(COUNTIF('Residual Config'!$L$28:$L$30,INDEX(Entities!$E$5:$E$34,MATCH(B1203,Entities!$A$5:$A$34,0)))&gt;0,"N/A","Y"),IF(INDEX(Entities!$G$5:$G$34,MATCH(B1203,Entities!$A$5:$A$34,0))="Y","Y","N/A")))</f>
        <v>Y</v>
      </c>
      <c r="J1203" s="8" t="s">
        <v>3667</v>
      </c>
      <c r="K1203" s="8" t="s">
        <v>3643</v>
      </c>
      <c r="L1203" s="7" t="str">
        <f aca="false">IF(OR(J1203="",K1203=""),"",IF(J1203=K1203,"Breach","OK"))</f>
        <v>OK</v>
      </c>
      <c r="M1203" s="24" t="n">
        <v>1</v>
      </c>
      <c r="N1203" s="50" t="n">
        <v>46284</v>
      </c>
      <c r="O1203" s="8" t="s">
        <v>545</v>
      </c>
      <c r="P1203" s="24" t="n">
        <v>3</v>
      </c>
      <c r="Q1203" s="31" t="n">
        <f aca="false">IF(I1203="N/A","",IFERROR(INDEX('Residual Config'!$B$35:$B$42,MATCH(H1203,'Residual Config'!$A$35:$A$42,0)),""))</f>
        <v>3</v>
      </c>
      <c r="R1203" s="24" t="n">
        <v>1</v>
      </c>
      <c r="S1203" s="8" t="s">
        <v>521</v>
      </c>
      <c r="T1203" s="31" t="n">
        <f aca="false">IF(S1203="","",MATCH(S1203,'Residual Config'!$L$9:$L$12,0))</f>
        <v>2</v>
      </c>
      <c r="U1203" s="8" t="s">
        <v>3736</v>
      </c>
      <c r="V1203" s="24" t="n">
        <v>5</v>
      </c>
      <c r="W1203" s="33" t="s">
        <v>533</v>
      </c>
      <c r="X1203" s="8" t="s">
        <v>754</v>
      </c>
      <c r="Y1203" s="51" t="n">
        <f aca="false">IF(N1203="","",EDATE(N1203,IF(G1203="N",INDEX('Residual Config'!$B$31:$D$31,1,MATCH(D1203,'Residual Config'!$B$27:$D$27,0)),INDEX('Residual Config'!$B$28:$D$30,IF(T1203=1,1,IF(T1203=4,3,2)),MATCH(D1203,'Residual Config'!$B$27:$D$27,0)))))</f>
        <v>46465</v>
      </c>
      <c r="Z1203" s="7" t="str">
        <f aca="false">IF(I1203="N/A","N/A",IF(N1203="","Not tested",IF(W1203="Rejected","Evidence rejected",IF(W1203&lt;&gt;"Accepted","Evidence pending",IF(Y1203&lt;'Residual Config'!$C$4,"Overdue","Current")))))</f>
        <v>Current</v>
      </c>
      <c r="AA1203" s="34" t="n">
        <f aca="false">IF(I1203="N/A","",IF(Z1203&lt;&gt;"Current",4,IF(MAX(M1203,T1203)=0,4,MAX(M1203,T1203))))</f>
        <v>2</v>
      </c>
      <c r="AB1203" s="7" t="str">
        <f aca="false">IF(AA1203="","N/A",IF(Z1203&lt;&gt;"Current","Not tested / overdue",INDEX('Residual Config'!$B$11:$B$14,AA1203)))</f>
        <v>Largely effective</v>
      </c>
      <c r="AC1203" s="36" t="n">
        <f aca="false">IF(AA1203="","",INDEX('Residual Config'!$D$11:$D$14,AA1203))</f>
        <v>0.4</v>
      </c>
      <c r="AD1203" s="7" t="str">
        <f aca="false">IF(OR(I1203="N/A",P1203="",Q1203=""),"",IF(P1203&gt;=Q1203,"Yes","No"))</f>
        <v>Yes</v>
      </c>
      <c r="AE1203" s="8"/>
    </row>
    <row r="1204" customFormat="false" ht="15" hidden="false" customHeight="false" outlineLevel="0" collapsed="false">
      <c r="A1204" s="12" t="s">
        <v>3737</v>
      </c>
      <c r="B1204" s="26" t="str">
        <f aca="false">Entities!$A$32</f>
        <v>CN</v>
      </c>
      <c r="C1204" s="12" t="str">
        <f aca="false">INDEX(Entities!$B$5:$B$34,MATCH(B1204,Entities!$A$5:$A$34,0))</f>
        <v>Arab Bank – China</v>
      </c>
      <c r="D1204" s="7" t="str">
        <f aca="false">INDEX(Entities!$F$5:$F$34,MATCH(B1204,Entities!$A$5:$A$34,0))</f>
        <v>Tier 3</v>
      </c>
      <c r="E1204" s="26" t="str">
        <f aca="false">'Control Library'!$A$43</f>
        <v>CTL-CY-02</v>
      </c>
      <c r="F1204" s="12" t="str">
        <f aca="false">INDEX('Control Library'!$B$5:$B$47,MATCH(E1204,'Control Library'!$A$5:$A$47,0))</f>
        <v>Privileged access management and SOC monitoring</v>
      </c>
      <c r="G1204" s="7" t="str">
        <f aca="false">INDEX('Control Library'!$F$5:$F$47,MATCH(E1204,'Control Library'!$A$5:$A$47,0))</f>
        <v>Y</v>
      </c>
      <c r="H1204" s="12" t="str">
        <f aca="false">INDEX('Control Library'!$E$5:$E$47,MATCH(E1204,'Control Library'!$A$5:$A$47,0))</f>
        <v>Continuous</v>
      </c>
      <c r="I1204" s="7" t="str">
        <f aca="false">IF(INDEX('Control Library'!$I$5:$I$47,MATCH(E1204,'Control Library'!$A$5:$A$47,0))="All","Y",IF(INDEX('Control Library'!$I$5:$I$47,MATCH(E1204,'Control Library'!$A$5:$A$47,0))="Banks only",IF(COUNTIF('Residual Config'!$L$28:$L$30,INDEX(Entities!$E$5:$E$34,MATCH(B1204,Entities!$A$5:$A$34,0)))&gt;0,"N/A","Y"),IF(INDEX(Entities!$G$5:$G$34,MATCH(B1204,Entities!$A$5:$A$34,0))="Y","Y","N/A")))</f>
        <v>Y</v>
      </c>
      <c r="J1204" s="8" t="s">
        <v>3716</v>
      </c>
      <c r="K1204" s="8" t="s">
        <v>3643</v>
      </c>
      <c r="L1204" s="7" t="str">
        <f aca="false">IF(OR(J1204="",K1204=""),"",IF(J1204=K1204,"Breach","OK"))</f>
        <v>OK</v>
      </c>
      <c r="M1204" s="24" t="n">
        <v>2</v>
      </c>
      <c r="N1204" s="50" t="n">
        <v>46266</v>
      </c>
      <c r="O1204" s="8" t="s">
        <v>546</v>
      </c>
      <c r="P1204" s="24" t="n">
        <v>1</v>
      </c>
      <c r="Q1204" s="31" t="n">
        <f aca="false">IF(I1204="N/A","",IFERROR(INDEX('Residual Config'!$B$35:$B$42,MATCH(H1204,'Residual Config'!$A$35:$A$42,0)),""))</f>
        <v>1</v>
      </c>
      <c r="R1204" s="24" t="n">
        <v>1</v>
      </c>
      <c r="S1204" s="8" t="s">
        <v>521</v>
      </c>
      <c r="T1204" s="31" t="n">
        <f aca="false">IF(S1204="","",MATCH(S1204,'Residual Config'!$L$9:$L$12,0))</f>
        <v>2</v>
      </c>
      <c r="U1204" s="8" t="s">
        <v>3738</v>
      </c>
      <c r="V1204" s="24" t="n">
        <v>3</v>
      </c>
      <c r="W1204" s="33" t="s">
        <v>533</v>
      </c>
      <c r="X1204" s="8" t="s">
        <v>760</v>
      </c>
      <c r="Y1204" s="51" t="n">
        <f aca="false">IF(N1204="","",EDATE(N1204,IF(G1204="N",INDEX('Residual Config'!$B$31:$D$31,1,MATCH(D1204,'Residual Config'!$B$27:$D$27,0)),INDEX('Residual Config'!$B$28:$D$30,IF(T1204=1,1,IF(T1204=4,3,2)),MATCH(D1204,'Residual Config'!$B$27:$D$27,0)))))</f>
        <v>46447</v>
      </c>
      <c r="Z1204" s="7" t="str">
        <f aca="false">IF(I1204="N/A","N/A",IF(N1204="","Not tested",IF(W1204="Rejected","Evidence rejected",IF(W1204&lt;&gt;"Accepted","Evidence pending",IF(Y1204&lt;'Residual Config'!$C$4,"Overdue","Current")))))</f>
        <v>Current</v>
      </c>
      <c r="AA1204" s="34" t="n">
        <f aca="false">IF(I1204="N/A","",IF(Z1204&lt;&gt;"Current",4,IF(MAX(M1204,T1204)=0,4,MAX(M1204,T1204))))</f>
        <v>2</v>
      </c>
      <c r="AB1204" s="7" t="str">
        <f aca="false">IF(AA1204="","N/A",IF(Z1204&lt;&gt;"Current","Not tested / overdue",INDEX('Residual Config'!$B$11:$B$14,AA1204)))</f>
        <v>Largely effective</v>
      </c>
      <c r="AC1204" s="36" t="n">
        <f aca="false">IF(AA1204="","",INDEX('Residual Config'!$D$11:$D$14,AA1204))</f>
        <v>0.4</v>
      </c>
      <c r="AD1204" s="7" t="str">
        <f aca="false">IF(OR(I1204="N/A",P1204="",Q1204=""),"",IF(P1204&gt;=Q1204,"Yes","No"))</f>
        <v>Yes</v>
      </c>
      <c r="AE1204" s="8"/>
    </row>
    <row r="1205" customFormat="false" ht="15" hidden="false" customHeight="false" outlineLevel="0" collapsed="false">
      <c r="A1205" s="12" t="s">
        <v>3739</v>
      </c>
      <c r="B1205" s="26" t="str">
        <f aca="false">Entities!$A$32</f>
        <v>CN</v>
      </c>
      <c r="C1205" s="12" t="str">
        <f aca="false">INDEX(Entities!$B$5:$B$34,MATCH(B1205,Entities!$A$5:$A$34,0))</f>
        <v>Arab Bank – China</v>
      </c>
      <c r="D1205" s="7" t="str">
        <f aca="false">INDEX(Entities!$F$5:$F$34,MATCH(B1205,Entities!$A$5:$A$34,0))</f>
        <v>Tier 3</v>
      </c>
      <c r="E1205" s="26" t="str">
        <f aca="false">'Control Library'!$A$44</f>
        <v>CTL-TP-01</v>
      </c>
      <c r="F1205" s="12" t="str">
        <f aca="false">INDEX('Control Library'!$B$5:$B$47,MATCH(E1205,'Control Library'!$A$5:$A$47,0))</f>
        <v>Critical vendor due diligence and tested exit plans</v>
      </c>
      <c r="G1205" s="7" t="str">
        <f aca="false">INDEX('Control Library'!$F$5:$F$47,MATCH(E1205,'Control Library'!$A$5:$A$47,0))</f>
        <v>Y</v>
      </c>
      <c r="H1205" s="12" t="str">
        <f aca="false">INDEX('Control Library'!$E$5:$E$47,MATCH(E1205,'Control Library'!$A$5:$A$47,0))</f>
        <v>Annual</v>
      </c>
      <c r="I1205" s="7" t="str">
        <f aca="false">IF(INDEX('Control Library'!$I$5:$I$47,MATCH(E1205,'Control Library'!$A$5:$A$47,0))="All","Y",IF(INDEX('Control Library'!$I$5:$I$47,MATCH(E1205,'Control Library'!$A$5:$A$47,0))="Banks only",IF(COUNTIF('Residual Config'!$L$28:$L$30,INDEX(Entities!$E$5:$E$34,MATCH(B1205,Entities!$A$5:$A$34,0)))&gt;0,"N/A","Y"),IF(INDEX(Entities!$G$5:$G$34,MATCH(B1205,Entities!$A$5:$A$34,0))="Y","Y","N/A")))</f>
        <v>Y</v>
      </c>
      <c r="J1205" s="8" t="s">
        <v>3684</v>
      </c>
      <c r="K1205" s="8" t="s">
        <v>3643</v>
      </c>
      <c r="L1205" s="7" t="str">
        <f aca="false">IF(OR(J1205="",K1205=""),"",IF(J1205=K1205,"Breach","OK"))</f>
        <v>OK</v>
      </c>
      <c r="M1205" s="24" t="n">
        <v>2</v>
      </c>
      <c r="N1205" s="50" t="n">
        <v>46205</v>
      </c>
      <c r="O1205" s="8" t="s">
        <v>545</v>
      </c>
      <c r="P1205" s="24" t="n">
        <v>1</v>
      </c>
      <c r="Q1205" s="31" t="n">
        <f aca="false">IF(I1205="N/A","",IFERROR(INDEX('Residual Config'!$B$35:$B$42,MATCH(H1205,'Residual Config'!$A$35:$A$42,0)),""))</f>
        <v>1</v>
      </c>
      <c r="R1205" s="24" t="n">
        <v>1</v>
      </c>
      <c r="S1205" s="8" t="s">
        <v>521</v>
      </c>
      <c r="T1205" s="31" t="n">
        <f aca="false">IF(S1205="","",MATCH(S1205,'Residual Config'!$L$9:$L$12,0))</f>
        <v>2</v>
      </c>
      <c r="U1205" s="8" t="s">
        <v>3740</v>
      </c>
      <c r="V1205" s="24" t="n">
        <v>1</v>
      </c>
      <c r="W1205" s="33" t="s">
        <v>533</v>
      </c>
      <c r="X1205" s="8" t="s">
        <v>760</v>
      </c>
      <c r="Y1205" s="51" t="n">
        <f aca="false">IF(N1205="","",EDATE(N1205,IF(G1205="N",INDEX('Residual Config'!$B$31:$D$31,1,MATCH(D1205,'Residual Config'!$B$27:$D$27,0)),INDEX('Residual Config'!$B$28:$D$30,IF(T1205=1,1,IF(T1205=4,3,2)),MATCH(D1205,'Residual Config'!$B$27:$D$27,0)))))</f>
        <v>46389</v>
      </c>
      <c r="Z1205" s="7" t="str">
        <f aca="false">IF(I1205="N/A","N/A",IF(N1205="","Not tested",IF(W1205="Rejected","Evidence rejected",IF(W1205&lt;&gt;"Accepted","Evidence pending",IF(Y1205&lt;'Residual Config'!$C$4,"Overdue","Current")))))</f>
        <v>Current</v>
      </c>
      <c r="AA1205" s="34" t="n">
        <f aca="false">IF(I1205="N/A","",IF(Z1205&lt;&gt;"Current",4,IF(MAX(M1205,T1205)=0,4,MAX(M1205,T1205))))</f>
        <v>2</v>
      </c>
      <c r="AB1205" s="7" t="str">
        <f aca="false">IF(AA1205="","N/A",IF(Z1205&lt;&gt;"Current","Not tested / overdue",INDEX('Residual Config'!$B$11:$B$14,AA1205)))</f>
        <v>Largely effective</v>
      </c>
      <c r="AC1205" s="36" t="n">
        <f aca="false">IF(AA1205="","",INDEX('Residual Config'!$D$11:$D$14,AA1205))</f>
        <v>0.4</v>
      </c>
      <c r="AD1205" s="7" t="str">
        <f aca="false">IF(OR(I1205="N/A",P1205="",Q1205=""),"",IF(P1205&gt;=Q1205,"Yes","No"))</f>
        <v>Yes</v>
      </c>
      <c r="AE1205" s="8"/>
    </row>
    <row r="1206" customFormat="false" ht="15" hidden="false" customHeight="false" outlineLevel="0" collapsed="false">
      <c r="A1206" s="12" t="s">
        <v>3741</v>
      </c>
      <c r="B1206" s="26" t="str">
        <f aca="false">Entities!$A$32</f>
        <v>CN</v>
      </c>
      <c r="C1206" s="12" t="str">
        <f aca="false">INDEX(Entities!$B$5:$B$34,MATCH(B1206,Entities!$A$5:$A$34,0))</f>
        <v>Arab Bank – China</v>
      </c>
      <c r="D1206" s="7" t="str">
        <f aca="false">INDEX(Entities!$F$5:$F$34,MATCH(B1206,Entities!$A$5:$A$34,0))</f>
        <v>Tier 3</v>
      </c>
      <c r="E1206" s="26" t="str">
        <f aca="false">'Control Library'!$A$45</f>
        <v>CTL-LG-01</v>
      </c>
      <c r="F1206" s="12" t="str">
        <f aca="false">INDEX('Control Library'!$B$5:$B$47,MATCH(E1206,'Control Library'!$A$5:$A$47,0))</f>
        <v>Legal review of contracts and litigation register</v>
      </c>
      <c r="G1206" s="7" t="str">
        <f aca="false">INDEX('Control Library'!$F$5:$F$47,MATCH(E1206,'Control Library'!$A$5:$A$47,0))</f>
        <v>Y</v>
      </c>
      <c r="H1206" s="12" t="str">
        <f aca="false">INDEX('Control Library'!$E$5:$E$47,MATCH(E1206,'Control Library'!$A$5:$A$47,0))</f>
        <v>Event-driven</v>
      </c>
      <c r="I1206" s="7" t="str">
        <f aca="false">IF(INDEX('Control Library'!$I$5:$I$47,MATCH(E1206,'Control Library'!$A$5:$A$47,0))="All","Y",IF(INDEX('Control Library'!$I$5:$I$47,MATCH(E1206,'Control Library'!$A$5:$A$47,0))="Banks only",IF(COUNTIF('Residual Config'!$L$28:$L$30,INDEX(Entities!$E$5:$E$34,MATCH(B1206,Entities!$A$5:$A$34,0)))&gt;0,"N/A","Y"),IF(INDEX(Entities!$G$5:$G$34,MATCH(B1206,Entities!$A$5:$A$34,0))="Y","Y","N/A")))</f>
        <v>Y</v>
      </c>
      <c r="J1206" s="8" t="s">
        <v>3742</v>
      </c>
      <c r="K1206" s="8" t="s">
        <v>3643</v>
      </c>
      <c r="L1206" s="7" t="str">
        <f aca="false">IF(OR(J1206="",K1206=""),"",IF(J1206=K1206,"Breach","OK"))</f>
        <v>OK</v>
      </c>
      <c r="M1206" s="24" t="n">
        <v>1</v>
      </c>
      <c r="N1206" s="50" t="n">
        <v>46145</v>
      </c>
      <c r="O1206" s="8" t="s">
        <v>546</v>
      </c>
      <c r="P1206" s="24" t="n">
        <v>20</v>
      </c>
      <c r="Q1206" s="31" t="n">
        <f aca="false">IF(I1206="N/A","",IFERROR(INDEX('Residual Config'!$B$35:$B$42,MATCH(H1206,'Residual Config'!$A$35:$A$42,0)),""))</f>
        <v>25</v>
      </c>
      <c r="R1206" s="24" t="n">
        <v>0</v>
      </c>
      <c r="S1206" s="8" t="s">
        <v>516</v>
      </c>
      <c r="T1206" s="31" t="n">
        <f aca="false">IF(S1206="","",MATCH(S1206,'Residual Config'!$L$9:$L$12,0))</f>
        <v>1</v>
      </c>
      <c r="U1206" s="8" t="s">
        <v>3743</v>
      </c>
      <c r="V1206" s="24" t="n">
        <v>2</v>
      </c>
      <c r="W1206" s="33" t="s">
        <v>533</v>
      </c>
      <c r="X1206" s="8" t="s">
        <v>760</v>
      </c>
      <c r="Y1206" s="51" t="n">
        <f aca="false">IF(N1206="","",EDATE(N1206,IF(G1206="N",INDEX('Residual Config'!$B$31:$D$31,1,MATCH(D1206,'Residual Config'!$B$27:$D$27,0)),INDEX('Residual Config'!$B$28:$D$30,IF(T1206=1,1,IF(T1206=4,3,2)),MATCH(D1206,'Residual Config'!$B$27:$D$27,0)))))</f>
        <v>46510</v>
      </c>
      <c r="Z1206" s="7" t="str">
        <f aca="false">IF(I1206="N/A","N/A",IF(N1206="","Not tested",IF(W1206="Rejected","Evidence rejected",IF(W1206&lt;&gt;"Accepted","Evidence pending",IF(Y1206&lt;'Residual Config'!$C$4,"Overdue","Current")))))</f>
        <v>Current</v>
      </c>
      <c r="AA1206" s="34" t="n">
        <f aca="false">IF(I1206="N/A","",IF(Z1206&lt;&gt;"Current",4,IF(MAX(M1206,T1206)=0,4,MAX(M1206,T1206))))</f>
        <v>1</v>
      </c>
      <c r="AB1206" s="7" t="str">
        <f aca="false">IF(AA1206="","N/A",IF(Z1206&lt;&gt;"Current","Not tested / overdue",INDEX('Residual Config'!$B$11:$B$14,AA1206)))</f>
        <v>Effective</v>
      </c>
      <c r="AC1206" s="36" t="n">
        <f aca="false">IF(AA1206="","",INDEX('Residual Config'!$D$11:$D$14,AA1206))</f>
        <v>0.6</v>
      </c>
      <c r="AD1206" s="7" t="str">
        <f aca="false">IF(OR(I1206="N/A",P1206="",Q1206=""),"",IF(P1206&gt;=Q1206,"Yes","No"))</f>
        <v>No</v>
      </c>
      <c r="AE1206" s="8"/>
    </row>
    <row r="1207" customFormat="false" ht="15" hidden="false" customHeight="false" outlineLevel="0" collapsed="false">
      <c r="A1207" s="12" t="s">
        <v>3744</v>
      </c>
      <c r="B1207" s="26" t="str">
        <f aca="false">Entities!$A$32</f>
        <v>CN</v>
      </c>
      <c r="C1207" s="12" t="str">
        <f aca="false">INDEX(Entities!$B$5:$B$34,MATCH(B1207,Entities!$A$5:$A$34,0))</f>
        <v>Arab Bank – China</v>
      </c>
      <c r="D1207" s="7" t="str">
        <f aca="false">INDEX(Entities!$F$5:$F$34,MATCH(B1207,Entities!$A$5:$A$34,0))</f>
        <v>Tier 3</v>
      </c>
      <c r="E1207" s="26" t="str">
        <f aca="false">'Control Library'!$A$46</f>
        <v>CTL-RP-01</v>
      </c>
      <c r="F1207" s="12" t="str">
        <f aca="false">INDEX('Control Library'!$B$5:$B$47,MATCH(E1207,'Control Library'!$A$5:$A$47,0))</f>
        <v>Media monitoring and reputational-risk escalation</v>
      </c>
      <c r="G1207" s="7" t="str">
        <f aca="false">INDEX('Control Library'!$F$5:$F$47,MATCH(E1207,'Control Library'!$A$5:$A$47,0))</f>
        <v>Y</v>
      </c>
      <c r="H1207" s="12" t="str">
        <f aca="false">INDEX('Control Library'!$E$5:$E$47,MATCH(E1207,'Control Library'!$A$5:$A$47,0))</f>
        <v>Daily</v>
      </c>
      <c r="I1207" s="7" t="str">
        <f aca="false">IF(INDEX('Control Library'!$I$5:$I$47,MATCH(E1207,'Control Library'!$A$5:$A$47,0))="All","Y",IF(INDEX('Control Library'!$I$5:$I$47,MATCH(E1207,'Control Library'!$A$5:$A$47,0))="Banks only",IF(COUNTIF('Residual Config'!$L$28:$L$30,INDEX(Entities!$E$5:$E$34,MATCH(B1207,Entities!$A$5:$A$34,0)))&gt;0,"N/A","Y"),IF(INDEX(Entities!$G$5:$G$34,MATCH(B1207,Entities!$A$5:$A$34,0))="Y","Y","N/A")))</f>
        <v>Y</v>
      </c>
      <c r="J1207" s="8" t="s">
        <v>3745</v>
      </c>
      <c r="K1207" s="8" t="s">
        <v>3643</v>
      </c>
      <c r="L1207" s="7" t="str">
        <f aca="false">IF(OR(J1207="",K1207=""),"",IF(J1207=K1207,"Breach","OK"))</f>
        <v>OK</v>
      </c>
      <c r="M1207" s="24" t="n">
        <v>1</v>
      </c>
      <c r="N1207" s="50" t="n">
        <v>46029</v>
      </c>
      <c r="O1207" s="8" t="s">
        <v>546</v>
      </c>
      <c r="P1207" s="24" t="n">
        <v>25</v>
      </c>
      <c r="Q1207" s="31" t="n">
        <f aca="false">IF(I1207="N/A","",IFERROR(INDEX('Residual Config'!$B$35:$B$42,MATCH(H1207,'Residual Config'!$A$35:$A$42,0)),""))</f>
        <v>25</v>
      </c>
      <c r="R1207" s="24" t="n">
        <v>0</v>
      </c>
      <c r="S1207" s="8" t="s">
        <v>516</v>
      </c>
      <c r="T1207" s="31" t="n">
        <f aca="false">IF(S1207="","",MATCH(S1207,'Residual Config'!$L$9:$L$12,0))</f>
        <v>1</v>
      </c>
      <c r="U1207" s="8" t="s">
        <v>3746</v>
      </c>
      <c r="V1207" s="24" t="n">
        <v>6</v>
      </c>
      <c r="W1207" s="33" t="s">
        <v>533</v>
      </c>
      <c r="X1207" s="8" t="s">
        <v>754</v>
      </c>
      <c r="Y1207" s="51" t="n">
        <f aca="false">IF(N1207="","",EDATE(N1207,IF(G1207="N",INDEX('Residual Config'!$B$31:$D$31,1,MATCH(D1207,'Residual Config'!$B$27:$D$27,0)),INDEX('Residual Config'!$B$28:$D$30,IF(T1207=1,1,IF(T1207=4,3,2)),MATCH(D1207,'Residual Config'!$B$27:$D$27,0)))))</f>
        <v>46394</v>
      </c>
      <c r="Z1207" s="7" t="str">
        <f aca="false">IF(I1207="N/A","N/A",IF(N1207="","Not tested",IF(W1207="Rejected","Evidence rejected",IF(W1207&lt;&gt;"Accepted","Evidence pending",IF(Y1207&lt;'Residual Config'!$C$4,"Overdue","Current")))))</f>
        <v>Current</v>
      </c>
      <c r="AA1207" s="34" t="n">
        <f aca="false">IF(I1207="N/A","",IF(Z1207&lt;&gt;"Current",4,IF(MAX(M1207,T1207)=0,4,MAX(M1207,T1207))))</f>
        <v>1</v>
      </c>
      <c r="AB1207" s="7" t="str">
        <f aca="false">IF(AA1207="","N/A",IF(Z1207&lt;&gt;"Current","Not tested / overdue",INDEX('Residual Config'!$B$11:$B$14,AA1207)))</f>
        <v>Effective</v>
      </c>
      <c r="AC1207" s="36" t="n">
        <f aca="false">IF(AA1207="","",INDEX('Residual Config'!$D$11:$D$14,AA1207))</f>
        <v>0.6</v>
      </c>
      <c r="AD1207" s="7" t="str">
        <f aca="false">IF(OR(I1207="N/A",P1207="",Q1207=""),"",IF(P1207&gt;=Q1207,"Yes","No"))</f>
        <v>Yes</v>
      </c>
      <c r="AE1207" s="8"/>
    </row>
    <row r="1208" customFormat="false" ht="15" hidden="false" customHeight="false" outlineLevel="0" collapsed="false">
      <c r="A1208" s="12" t="s">
        <v>3747</v>
      </c>
      <c r="B1208" s="26" t="str">
        <f aca="false">Entities!$A$32</f>
        <v>CN</v>
      </c>
      <c r="C1208" s="12" t="str">
        <f aca="false">INDEX(Entities!$B$5:$B$34,MATCH(B1208,Entities!$A$5:$A$34,0))</f>
        <v>Arab Bank – China</v>
      </c>
      <c r="D1208" s="7" t="str">
        <f aca="false">INDEX(Entities!$F$5:$F$34,MATCH(B1208,Entities!$A$5:$A$34,0))</f>
        <v>Tier 3</v>
      </c>
      <c r="E1208" s="26" t="str">
        <f aca="false">'Control Library'!$A$47</f>
        <v>CTL-ST-01</v>
      </c>
      <c r="F1208" s="12" t="str">
        <f aca="false">INDEX('Control Library'!$B$5:$B$47,MATCH(E1208,'Control Library'!$A$5:$A$47,0))</f>
        <v>Strategy execution monitoring and E&amp;S screening of lending</v>
      </c>
      <c r="G1208" s="7" t="str">
        <f aca="false">INDEX('Control Library'!$F$5:$F$47,MATCH(E1208,'Control Library'!$A$5:$A$47,0))</f>
        <v>Y</v>
      </c>
      <c r="H1208" s="12" t="str">
        <f aca="false">INDEX('Control Library'!$E$5:$E$47,MATCH(E1208,'Control Library'!$A$5:$A$47,0))</f>
        <v>Quarterly</v>
      </c>
      <c r="I1208" s="7" t="str">
        <f aca="false">IF(INDEX('Control Library'!$I$5:$I$47,MATCH(E1208,'Control Library'!$A$5:$A$47,0))="All","Y",IF(INDEX('Control Library'!$I$5:$I$47,MATCH(E1208,'Control Library'!$A$5:$A$47,0))="Banks only",IF(COUNTIF('Residual Config'!$L$28:$L$30,INDEX(Entities!$E$5:$E$34,MATCH(B1208,Entities!$A$5:$A$34,0)))&gt;0,"N/A","Y"),IF(INDEX(Entities!$G$5:$G$34,MATCH(B1208,Entities!$A$5:$A$34,0))="Y","Y","N/A")))</f>
        <v>Y</v>
      </c>
      <c r="J1208" s="8" t="s">
        <v>3748</v>
      </c>
      <c r="K1208" s="8" t="s">
        <v>3643</v>
      </c>
      <c r="L1208" s="7" t="str">
        <f aca="false">IF(OR(J1208="",K1208=""),"",IF(J1208=K1208,"Breach","OK"))</f>
        <v>OK</v>
      </c>
      <c r="M1208" s="24" t="n">
        <v>1</v>
      </c>
      <c r="N1208" s="50" t="n">
        <v>46222</v>
      </c>
      <c r="O1208" s="8" t="s">
        <v>546</v>
      </c>
      <c r="P1208" s="24" t="n">
        <v>2</v>
      </c>
      <c r="Q1208" s="31" t="n">
        <f aca="false">IF(I1208="N/A","",IFERROR(INDEX('Residual Config'!$B$35:$B$42,MATCH(H1208,'Residual Config'!$A$35:$A$42,0)),""))</f>
        <v>2</v>
      </c>
      <c r="R1208" s="24" t="n">
        <v>0</v>
      </c>
      <c r="S1208" s="8" t="s">
        <v>516</v>
      </c>
      <c r="T1208" s="31" t="n">
        <f aca="false">IF(S1208="","",MATCH(S1208,'Residual Config'!$L$9:$L$12,0))</f>
        <v>1</v>
      </c>
      <c r="U1208" s="8" t="s">
        <v>3749</v>
      </c>
      <c r="V1208" s="24" t="n">
        <v>5</v>
      </c>
      <c r="W1208" s="33" t="s">
        <v>533</v>
      </c>
      <c r="X1208" s="8" t="s">
        <v>754</v>
      </c>
      <c r="Y1208" s="51" t="n">
        <f aca="false">IF(N1208="","",EDATE(N1208,IF(G1208="N",INDEX('Residual Config'!$B$31:$D$31,1,MATCH(D1208,'Residual Config'!$B$27:$D$27,0)),INDEX('Residual Config'!$B$28:$D$30,IF(T1208=1,1,IF(T1208=4,3,2)),MATCH(D1208,'Residual Config'!$B$27:$D$27,0)))))</f>
        <v>46587</v>
      </c>
      <c r="Z1208" s="7" t="str">
        <f aca="false">IF(I1208="N/A","N/A",IF(N1208="","Not tested",IF(W1208="Rejected","Evidence rejected",IF(W1208&lt;&gt;"Accepted","Evidence pending",IF(Y1208&lt;'Residual Config'!$C$4,"Overdue","Current")))))</f>
        <v>Current</v>
      </c>
      <c r="AA1208" s="34" t="n">
        <f aca="false">IF(I1208="N/A","",IF(Z1208&lt;&gt;"Current",4,IF(MAX(M1208,T1208)=0,4,MAX(M1208,T1208))))</f>
        <v>1</v>
      </c>
      <c r="AB1208" s="7" t="str">
        <f aca="false">IF(AA1208="","N/A",IF(Z1208&lt;&gt;"Current","Not tested / overdue",INDEX('Residual Config'!$B$11:$B$14,AA1208)))</f>
        <v>Effective</v>
      </c>
      <c r="AC1208" s="36" t="n">
        <f aca="false">IF(AA1208="","",INDEX('Residual Config'!$D$11:$D$14,AA1208))</f>
        <v>0.6</v>
      </c>
      <c r="AD1208" s="7" t="str">
        <f aca="false">IF(OR(I1208="N/A",P1208="",Q1208=""),"",IF(P1208&gt;=Q1208,"Yes","No"))</f>
        <v>Yes</v>
      </c>
      <c r="AE1208" s="8"/>
    </row>
    <row r="1209" customFormat="false" ht="15" hidden="false" customHeight="false" outlineLevel="0" collapsed="false">
      <c r="A1209" s="12" t="s">
        <v>3750</v>
      </c>
      <c r="B1209" s="26" t="str">
        <f aca="false">Entities!$A$33</f>
        <v>AU</v>
      </c>
      <c r="C1209" s="12" t="str">
        <f aca="false">INDEX(Entities!$B$5:$B$34,MATCH(B1209,Entities!$A$5:$A$34,0))</f>
        <v>Arab Bank Australia</v>
      </c>
      <c r="D1209" s="7" t="str">
        <f aca="false">INDEX(Entities!$F$5:$F$34,MATCH(B1209,Entities!$A$5:$A$34,0))</f>
        <v>Tier 2</v>
      </c>
      <c r="E1209" s="26" t="str">
        <f aca="false">'Control Library'!$A$5</f>
        <v>CTL-KYC-01</v>
      </c>
      <c r="F1209" s="12" t="str">
        <f aca="false">INDEX('Control Library'!$B$5:$B$47,MATCH(E1209,'Control Library'!$A$5:$A$47,0))</f>
        <v>Customer due diligence and ID verification at onboarding</v>
      </c>
      <c r="G1209" s="7" t="str">
        <f aca="false">INDEX('Control Library'!$F$5:$F$47,MATCH(E1209,'Control Library'!$A$5:$A$47,0))</f>
        <v>Y</v>
      </c>
      <c r="H1209" s="12" t="str">
        <f aca="false">INDEX('Control Library'!$E$5:$E$47,MATCH(E1209,'Control Library'!$A$5:$A$47,0))</f>
        <v>Event-driven</v>
      </c>
      <c r="I1209" s="7" t="str">
        <f aca="false">IF(INDEX('Control Library'!$I$5:$I$47,MATCH(E1209,'Control Library'!$A$5:$A$47,0))="All","Y",IF(INDEX('Control Library'!$I$5:$I$47,MATCH(E1209,'Control Library'!$A$5:$A$47,0))="Banks only",IF(COUNTIF('Residual Config'!$L$28:$L$30,INDEX(Entities!$E$5:$E$34,MATCH(B1209,Entities!$A$5:$A$34,0)))&gt;0,"N/A","Y"),IF(INDEX(Entities!$G$5:$G$34,MATCH(B1209,Entities!$A$5:$A$34,0))="Y","Y","N/A")))</f>
        <v>Y</v>
      </c>
      <c r="J1209" s="8" t="s">
        <v>3751</v>
      </c>
      <c r="K1209" s="8" t="s">
        <v>3752</v>
      </c>
      <c r="L1209" s="7" t="str">
        <f aca="false">IF(OR(J1209="",K1209=""),"",IF(J1209=K1209,"Breach","OK"))</f>
        <v>OK</v>
      </c>
      <c r="M1209" s="24" t="n">
        <v>1</v>
      </c>
      <c r="N1209" s="50" t="n">
        <v>46077</v>
      </c>
      <c r="O1209" s="8" t="s">
        <v>545</v>
      </c>
      <c r="P1209" s="24" t="n">
        <v>25</v>
      </c>
      <c r="Q1209" s="31" t="n">
        <f aca="false">IF(I1209="N/A","",IFERROR(INDEX('Residual Config'!$B$35:$B$42,MATCH(H1209,'Residual Config'!$A$35:$A$42,0)),""))</f>
        <v>25</v>
      </c>
      <c r="R1209" s="24" t="n">
        <v>0</v>
      </c>
      <c r="S1209" s="8" t="s">
        <v>516</v>
      </c>
      <c r="T1209" s="31" t="n">
        <f aca="false">IF(S1209="","",MATCH(S1209,'Residual Config'!$L$9:$L$12,0))</f>
        <v>1</v>
      </c>
      <c r="U1209" s="8" t="s">
        <v>3753</v>
      </c>
      <c r="V1209" s="24" t="n">
        <v>1</v>
      </c>
      <c r="W1209" s="33" t="s">
        <v>533</v>
      </c>
      <c r="X1209" s="8" t="s">
        <v>760</v>
      </c>
      <c r="Y1209" s="51" t="n">
        <f aca="false">IF(N1209="","",EDATE(N1209,IF(G1209="N",INDEX('Residual Config'!$B$31:$D$31,1,MATCH(D1209,'Residual Config'!$B$27:$D$27,0)),INDEX('Residual Config'!$B$28:$D$30,IF(T1209=1,1,IF(T1209=4,3,2)),MATCH(D1209,'Residual Config'!$B$27:$D$27,0)))))</f>
        <v>46442</v>
      </c>
      <c r="Z1209" s="7" t="str">
        <f aca="false">IF(I1209="N/A","N/A",IF(N1209="","Not tested",IF(W1209="Rejected","Evidence rejected",IF(W1209&lt;&gt;"Accepted","Evidence pending",IF(Y1209&lt;'Residual Config'!$C$4,"Overdue","Current")))))</f>
        <v>Current</v>
      </c>
      <c r="AA1209" s="34" t="n">
        <f aca="false">IF(I1209="N/A","",IF(Z1209&lt;&gt;"Current",4,IF(MAX(M1209,T1209)=0,4,MAX(M1209,T1209))))</f>
        <v>1</v>
      </c>
      <c r="AB1209" s="7" t="str">
        <f aca="false">IF(AA1209="","N/A",IF(Z1209&lt;&gt;"Current","Not tested / overdue",INDEX('Residual Config'!$B$11:$B$14,AA1209)))</f>
        <v>Effective</v>
      </c>
      <c r="AC1209" s="36" t="n">
        <f aca="false">IF(AA1209="","",INDEX('Residual Config'!$D$11:$D$14,AA1209))</f>
        <v>0.6</v>
      </c>
      <c r="AD1209" s="7" t="str">
        <f aca="false">IF(OR(I1209="N/A",P1209="",Q1209=""),"",IF(P1209&gt;=Q1209,"Yes","No"))</f>
        <v>Yes</v>
      </c>
      <c r="AE1209" s="8"/>
    </row>
    <row r="1210" customFormat="false" ht="15" hidden="false" customHeight="false" outlineLevel="0" collapsed="false">
      <c r="A1210" s="12" t="s">
        <v>3754</v>
      </c>
      <c r="B1210" s="26" t="str">
        <f aca="false">Entities!$A$33</f>
        <v>AU</v>
      </c>
      <c r="C1210" s="12" t="str">
        <f aca="false">INDEX(Entities!$B$5:$B$34,MATCH(B1210,Entities!$A$5:$A$34,0))</f>
        <v>Arab Bank Australia</v>
      </c>
      <c r="D1210" s="7" t="str">
        <f aca="false">INDEX(Entities!$F$5:$F$34,MATCH(B1210,Entities!$A$5:$A$34,0))</f>
        <v>Tier 2</v>
      </c>
      <c r="E1210" s="26" t="str">
        <f aca="false">'Control Library'!$A$6</f>
        <v>CTL-KYC-02</v>
      </c>
      <c r="F1210" s="12" t="str">
        <f aca="false">INDEX('Control Library'!$B$5:$B$47,MATCH(E1210,'Control Library'!$A$5:$A$47,0))</f>
        <v>Enhanced due diligence for high-risk customers and PEPs, senior approval</v>
      </c>
      <c r="G1210" s="7" t="str">
        <f aca="false">INDEX('Control Library'!$F$5:$F$47,MATCH(E1210,'Control Library'!$A$5:$A$47,0))</f>
        <v>Y</v>
      </c>
      <c r="H1210" s="12" t="str">
        <f aca="false">INDEX('Control Library'!$E$5:$E$47,MATCH(E1210,'Control Library'!$A$5:$A$47,0))</f>
        <v>Event-driven</v>
      </c>
      <c r="I1210" s="7" t="str">
        <f aca="false">IF(INDEX('Control Library'!$I$5:$I$47,MATCH(E1210,'Control Library'!$A$5:$A$47,0))="All","Y",IF(INDEX('Control Library'!$I$5:$I$47,MATCH(E1210,'Control Library'!$A$5:$A$47,0))="Banks only",IF(COUNTIF('Residual Config'!$L$28:$L$30,INDEX(Entities!$E$5:$E$34,MATCH(B1210,Entities!$A$5:$A$34,0)))&gt;0,"N/A","Y"),IF(INDEX(Entities!$G$5:$G$34,MATCH(B1210,Entities!$A$5:$A$34,0))="Y","Y","N/A")))</f>
        <v>Y</v>
      </c>
      <c r="J1210" s="8" t="s">
        <v>3755</v>
      </c>
      <c r="K1210" s="8" t="s">
        <v>3752</v>
      </c>
      <c r="L1210" s="7" t="str">
        <f aca="false">IF(OR(J1210="",K1210=""),"",IF(J1210=K1210,"Breach","OK"))</f>
        <v>OK</v>
      </c>
      <c r="M1210" s="24" t="n">
        <v>1</v>
      </c>
      <c r="N1210" s="50" t="n">
        <v>46184</v>
      </c>
      <c r="O1210" s="8" t="s">
        <v>545</v>
      </c>
      <c r="P1210" s="24" t="n">
        <v>35</v>
      </c>
      <c r="Q1210" s="31" t="n">
        <f aca="false">IF(I1210="N/A","",IFERROR(INDEX('Residual Config'!$B$35:$B$42,MATCH(H1210,'Residual Config'!$A$35:$A$42,0)),""))</f>
        <v>25</v>
      </c>
      <c r="R1210" s="24" t="n">
        <v>1</v>
      </c>
      <c r="S1210" s="8" t="s">
        <v>521</v>
      </c>
      <c r="T1210" s="31" t="n">
        <f aca="false">IF(S1210="","",MATCH(S1210,'Residual Config'!$L$9:$L$12,0))</f>
        <v>2</v>
      </c>
      <c r="U1210" s="8" t="s">
        <v>3756</v>
      </c>
      <c r="V1210" s="24" t="n">
        <v>3</v>
      </c>
      <c r="W1210" s="33" t="s">
        <v>533</v>
      </c>
      <c r="X1210" s="8" t="s">
        <v>754</v>
      </c>
      <c r="Y1210" s="51" t="n">
        <f aca="false">IF(N1210="","",EDATE(N1210,IF(G1210="N",INDEX('Residual Config'!$B$31:$D$31,1,MATCH(D1210,'Residual Config'!$B$27:$D$27,0)),INDEX('Residual Config'!$B$28:$D$30,IF(T1210=1,1,IF(T1210=4,3,2)),MATCH(D1210,'Residual Config'!$B$27:$D$27,0)))))</f>
        <v>46367</v>
      </c>
      <c r="Z1210" s="7" t="str">
        <f aca="false">IF(I1210="N/A","N/A",IF(N1210="","Not tested",IF(W1210="Rejected","Evidence rejected",IF(W1210&lt;&gt;"Accepted","Evidence pending",IF(Y1210&lt;'Residual Config'!$C$4,"Overdue","Current")))))</f>
        <v>Current</v>
      </c>
      <c r="AA1210" s="34" t="n">
        <f aca="false">IF(I1210="N/A","",IF(Z1210&lt;&gt;"Current",4,IF(MAX(M1210,T1210)=0,4,MAX(M1210,T1210))))</f>
        <v>2</v>
      </c>
      <c r="AB1210" s="7" t="str">
        <f aca="false">IF(AA1210="","N/A",IF(Z1210&lt;&gt;"Current","Not tested / overdue",INDEX('Residual Config'!$B$11:$B$14,AA1210)))</f>
        <v>Largely effective</v>
      </c>
      <c r="AC1210" s="36" t="n">
        <f aca="false">IF(AA1210="","",INDEX('Residual Config'!$D$11:$D$14,AA1210))</f>
        <v>0.4</v>
      </c>
      <c r="AD1210" s="7" t="str">
        <f aca="false">IF(OR(I1210="N/A",P1210="",Q1210=""),"",IF(P1210&gt;=Q1210,"Yes","No"))</f>
        <v>Yes</v>
      </c>
      <c r="AE1210" s="8"/>
    </row>
    <row r="1211" customFormat="false" ht="15" hidden="false" customHeight="false" outlineLevel="0" collapsed="false">
      <c r="A1211" s="12" t="s">
        <v>3757</v>
      </c>
      <c r="B1211" s="26" t="str">
        <f aca="false">Entities!$A$33</f>
        <v>AU</v>
      </c>
      <c r="C1211" s="12" t="str">
        <f aca="false">INDEX(Entities!$B$5:$B$34,MATCH(B1211,Entities!$A$5:$A$34,0))</f>
        <v>Arab Bank Australia</v>
      </c>
      <c r="D1211" s="7" t="str">
        <f aca="false">INDEX(Entities!$F$5:$F$34,MATCH(B1211,Entities!$A$5:$A$34,0))</f>
        <v>Tier 2</v>
      </c>
      <c r="E1211" s="26" t="str">
        <f aca="false">'Control Library'!$A$7</f>
        <v>CTL-KYC-03</v>
      </c>
      <c r="F1211" s="12" t="str">
        <f aca="false">INDEX('Control Library'!$B$5:$B$47,MATCH(E1211,'Control Library'!$A$5:$A$47,0))</f>
        <v>Ultimate beneficial owner identification and verification</v>
      </c>
      <c r="G1211" s="7" t="str">
        <f aca="false">INDEX('Control Library'!$F$5:$F$47,MATCH(E1211,'Control Library'!$A$5:$A$47,0))</f>
        <v>Y</v>
      </c>
      <c r="H1211" s="12" t="str">
        <f aca="false">INDEX('Control Library'!$E$5:$E$47,MATCH(E1211,'Control Library'!$A$5:$A$47,0))</f>
        <v>Event-driven</v>
      </c>
      <c r="I1211" s="7" t="str">
        <f aca="false">IF(INDEX('Control Library'!$I$5:$I$47,MATCH(E1211,'Control Library'!$A$5:$A$47,0))="All","Y",IF(INDEX('Control Library'!$I$5:$I$47,MATCH(E1211,'Control Library'!$A$5:$A$47,0))="Banks only",IF(COUNTIF('Residual Config'!$L$28:$L$30,INDEX(Entities!$E$5:$E$34,MATCH(B1211,Entities!$A$5:$A$34,0)))&gt;0,"N/A","Y"),IF(INDEX(Entities!$G$5:$G$34,MATCH(B1211,Entities!$A$5:$A$34,0))="Y","Y","N/A")))</f>
        <v>Y</v>
      </c>
      <c r="J1211" s="8" t="s">
        <v>3751</v>
      </c>
      <c r="K1211" s="8" t="s">
        <v>3752</v>
      </c>
      <c r="L1211" s="7" t="str">
        <f aca="false">IF(OR(J1211="",K1211=""),"",IF(J1211=K1211,"Breach","OK"))</f>
        <v>OK</v>
      </c>
      <c r="M1211" s="24" t="n">
        <v>1</v>
      </c>
      <c r="N1211" s="50" t="n">
        <v>46127</v>
      </c>
      <c r="O1211" s="8" t="s">
        <v>545</v>
      </c>
      <c r="P1211" s="24" t="n">
        <v>25</v>
      </c>
      <c r="Q1211" s="31" t="n">
        <f aca="false">IF(I1211="N/A","",IFERROR(INDEX('Residual Config'!$B$35:$B$42,MATCH(H1211,'Residual Config'!$A$35:$A$42,0)),""))</f>
        <v>25</v>
      </c>
      <c r="R1211" s="24" t="n">
        <v>0</v>
      </c>
      <c r="S1211" s="8" t="s">
        <v>516</v>
      </c>
      <c r="T1211" s="31" t="n">
        <f aca="false">IF(S1211="","",MATCH(S1211,'Residual Config'!$L$9:$L$12,0))</f>
        <v>1</v>
      </c>
      <c r="U1211" s="8" t="s">
        <v>3758</v>
      </c>
      <c r="V1211" s="24" t="n">
        <v>3</v>
      </c>
      <c r="W1211" s="33" t="s">
        <v>533</v>
      </c>
      <c r="X1211" s="8" t="s">
        <v>754</v>
      </c>
      <c r="Y1211" s="51" t="n">
        <f aca="false">IF(N1211="","",EDATE(N1211,IF(G1211="N",INDEX('Residual Config'!$B$31:$D$31,1,MATCH(D1211,'Residual Config'!$B$27:$D$27,0)),INDEX('Residual Config'!$B$28:$D$30,IF(T1211=1,1,IF(T1211=4,3,2)),MATCH(D1211,'Residual Config'!$B$27:$D$27,0)))))</f>
        <v>46492</v>
      </c>
      <c r="Z1211" s="7" t="str">
        <f aca="false">IF(I1211="N/A","N/A",IF(N1211="","Not tested",IF(W1211="Rejected","Evidence rejected",IF(W1211&lt;&gt;"Accepted","Evidence pending",IF(Y1211&lt;'Residual Config'!$C$4,"Overdue","Current")))))</f>
        <v>Current</v>
      </c>
      <c r="AA1211" s="34" t="n">
        <f aca="false">IF(I1211="N/A","",IF(Z1211&lt;&gt;"Current",4,IF(MAX(M1211,T1211)=0,4,MAX(M1211,T1211))))</f>
        <v>1</v>
      </c>
      <c r="AB1211" s="7" t="str">
        <f aca="false">IF(AA1211="","N/A",IF(Z1211&lt;&gt;"Current","Not tested / overdue",INDEX('Residual Config'!$B$11:$B$14,AA1211)))</f>
        <v>Effective</v>
      </c>
      <c r="AC1211" s="36" t="n">
        <f aca="false">IF(AA1211="","",INDEX('Residual Config'!$D$11:$D$14,AA1211))</f>
        <v>0.6</v>
      </c>
      <c r="AD1211" s="7" t="str">
        <f aca="false">IF(OR(I1211="N/A",P1211="",Q1211=""),"",IF(P1211&gt;=Q1211,"Yes","No"))</f>
        <v>Yes</v>
      </c>
      <c r="AE1211" s="8"/>
    </row>
    <row r="1212" customFormat="false" ht="15" hidden="false" customHeight="false" outlineLevel="0" collapsed="false">
      <c r="A1212" s="12" t="s">
        <v>3759</v>
      </c>
      <c r="B1212" s="26" t="str">
        <f aca="false">Entities!$A$33</f>
        <v>AU</v>
      </c>
      <c r="C1212" s="12" t="str">
        <f aca="false">INDEX(Entities!$B$5:$B$34,MATCH(B1212,Entities!$A$5:$A$34,0))</f>
        <v>Arab Bank Australia</v>
      </c>
      <c r="D1212" s="7" t="str">
        <f aca="false">INDEX(Entities!$F$5:$F$34,MATCH(B1212,Entities!$A$5:$A$34,0))</f>
        <v>Tier 2</v>
      </c>
      <c r="E1212" s="26" t="str">
        <f aca="false">'Control Library'!$A$8</f>
        <v>CTL-KYC-04</v>
      </c>
      <c r="F1212" s="12" t="str">
        <f aca="false">INDEX('Control Library'!$B$5:$B$47,MATCH(E1212,'Control Library'!$A$5:$A$47,0))</f>
        <v>Periodic KYC review by customer risk rating</v>
      </c>
      <c r="G1212" s="7" t="str">
        <f aca="false">INDEX('Control Library'!$F$5:$F$47,MATCH(E1212,'Control Library'!$A$5:$A$47,0))</f>
        <v>Y</v>
      </c>
      <c r="H1212" s="12" t="str">
        <f aca="false">INDEX('Control Library'!$E$5:$E$47,MATCH(E1212,'Control Library'!$A$5:$A$47,0))</f>
        <v>Monthly</v>
      </c>
      <c r="I1212" s="7" t="str">
        <f aca="false">IF(INDEX('Control Library'!$I$5:$I$47,MATCH(E1212,'Control Library'!$A$5:$A$47,0))="All","Y",IF(INDEX('Control Library'!$I$5:$I$47,MATCH(E1212,'Control Library'!$A$5:$A$47,0))="Banks only",IF(COUNTIF('Residual Config'!$L$28:$L$30,INDEX(Entities!$E$5:$E$34,MATCH(B1212,Entities!$A$5:$A$34,0)))&gt;0,"N/A","Y"),IF(INDEX(Entities!$G$5:$G$34,MATCH(B1212,Entities!$A$5:$A$34,0))="Y","Y","N/A")))</f>
        <v>Y</v>
      </c>
      <c r="J1212" s="8" t="s">
        <v>3751</v>
      </c>
      <c r="K1212" s="8" t="s">
        <v>3752</v>
      </c>
      <c r="L1212" s="7" t="str">
        <f aca="false">IF(OR(J1212="",K1212=""),"",IF(J1212=K1212,"Breach","OK"))</f>
        <v>OK</v>
      </c>
      <c r="M1212" s="24" t="n">
        <v>2</v>
      </c>
      <c r="N1212" s="50" t="n">
        <v>46259</v>
      </c>
      <c r="O1212" s="8" t="s">
        <v>546</v>
      </c>
      <c r="P1212" s="24" t="n">
        <v>3</v>
      </c>
      <c r="Q1212" s="31" t="n">
        <f aca="false">IF(I1212="N/A","",IFERROR(INDEX('Residual Config'!$B$35:$B$42,MATCH(H1212,'Residual Config'!$A$35:$A$42,0)),""))</f>
        <v>3</v>
      </c>
      <c r="R1212" s="24" t="n">
        <v>1</v>
      </c>
      <c r="S1212" s="8" t="s">
        <v>521</v>
      </c>
      <c r="T1212" s="31" t="n">
        <f aca="false">IF(S1212="","",MATCH(S1212,'Residual Config'!$L$9:$L$12,0))</f>
        <v>2</v>
      </c>
      <c r="U1212" s="8" t="s">
        <v>3760</v>
      </c>
      <c r="V1212" s="24" t="n">
        <v>3</v>
      </c>
      <c r="W1212" s="33" t="s">
        <v>533</v>
      </c>
      <c r="X1212" s="8" t="s">
        <v>760</v>
      </c>
      <c r="Y1212" s="51" t="n">
        <f aca="false">IF(N1212="","",EDATE(N1212,IF(G1212="N",INDEX('Residual Config'!$B$31:$D$31,1,MATCH(D1212,'Residual Config'!$B$27:$D$27,0)),INDEX('Residual Config'!$B$28:$D$30,IF(T1212=1,1,IF(T1212=4,3,2)),MATCH(D1212,'Residual Config'!$B$27:$D$27,0)))))</f>
        <v>46443</v>
      </c>
      <c r="Z1212" s="7" t="str">
        <f aca="false">IF(I1212="N/A","N/A",IF(N1212="","Not tested",IF(W1212="Rejected","Evidence rejected",IF(W1212&lt;&gt;"Accepted","Evidence pending",IF(Y1212&lt;'Residual Config'!$C$4,"Overdue","Current")))))</f>
        <v>Current</v>
      </c>
      <c r="AA1212" s="34" t="n">
        <f aca="false">IF(I1212="N/A","",IF(Z1212&lt;&gt;"Current",4,IF(MAX(M1212,T1212)=0,4,MAX(M1212,T1212))))</f>
        <v>2</v>
      </c>
      <c r="AB1212" s="7" t="str">
        <f aca="false">IF(AA1212="","N/A",IF(Z1212&lt;&gt;"Current","Not tested / overdue",INDEX('Residual Config'!$B$11:$B$14,AA1212)))</f>
        <v>Largely effective</v>
      </c>
      <c r="AC1212" s="36" t="n">
        <f aca="false">IF(AA1212="","",INDEX('Residual Config'!$D$11:$D$14,AA1212))</f>
        <v>0.4</v>
      </c>
      <c r="AD1212" s="7" t="str">
        <f aca="false">IF(OR(I1212="N/A",P1212="",Q1212=""),"",IF(P1212&gt;=Q1212,"Yes","No"))</f>
        <v>Yes</v>
      </c>
      <c r="AE1212" s="8"/>
    </row>
    <row r="1213" customFormat="false" ht="15" hidden="false" customHeight="false" outlineLevel="0" collapsed="false">
      <c r="A1213" s="12" t="s">
        <v>3761</v>
      </c>
      <c r="B1213" s="26" t="str">
        <f aca="false">Entities!$A$33</f>
        <v>AU</v>
      </c>
      <c r="C1213" s="12" t="str">
        <f aca="false">INDEX(Entities!$B$5:$B$34,MATCH(B1213,Entities!$A$5:$A$34,0))</f>
        <v>Arab Bank Australia</v>
      </c>
      <c r="D1213" s="7" t="str">
        <f aca="false">INDEX(Entities!$F$5:$F$34,MATCH(B1213,Entities!$A$5:$A$34,0))</f>
        <v>Tier 2</v>
      </c>
      <c r="E1213" s="26" t="str">
        <f aca="false">'Control Library'!$A$9</f>
        <v>CTL-CRR-01</v>
      </c>
      <c r="F1213" s="12" t="str">
        <f aca="false">INDEX('Control Library'!$B$5:$B$47,MATCH(E1213,'Control Library'!$A$5:$A$47,0))</f>
        <v>Customer risk rating model and annual validation</v>
      </c>
      <c r="G1213" s="7" t="str">
        <f aca="false">INDEX('Control Library'!$F$5:$F$47,MATCH(E1213,'Control Library'!$A$5:$A$47,0))</f>
        <v>N</v>
      </c>
      <c r="H1213" s="12" t="str">
        <f aca="false">INDEX('Control Library'!$E$5:$E$47,MATCH(E1213,'Control Library'!$A$5:$A$47,0))</f>
        <v>Annual</v>
      </c>
      <c r="I1213" s="7" t="str">
        <f aca="false">IF(INDEX('Control Library'!$I$5:$I$47,MATCH(E1213,'Control Library'!$A$5:$A$47,0))="All","Y",IF(INDEX('Control Library'!$I$5:$I$47,MATCH(E1213,'Control Library'!$A$5:$A$47,0))="Banks only",IF(COUNTIF('Residual Config'!$L$28:$L$30,INDEX(Entities!$E$5:$E$34,MATCH(B1213,Entities!$A$5:$A$34,0)))&gt;0,"N/A","Y"),IF(INDEX(Entities!$G$5:$G$34,MATCH(B1213,Entities!$A$5:$A$34,0))="Y","Y","N/A")))</f>
        <v>Y</v>
      </c>
      <c r="J1213" s="8" t="s">
        <v>3755</v>
      </c>
      <c r="K1213" s="8" t="s">
        <v>3752</v>
      </c>
      <c r="L1213" s="7" t="str">
        <f aca="false">IF(OR(J1213="",K1213=""),"",IF(J1213=K1213,"Breach","OK"))</f>
        <v>OK</v>
      </c>
      <c r="M1213" s="24" t="n">
        <v>1</v>
      </c>
      <c r="N1213" s="50" t="n">
        <v>46061</v>
      </c>
      <c r="O1213" s="8" t="s">
        <v>547</v>
      </c>
      <c r="P1213" s="24" t="n">
        <v>1</v>
      </c>
      <c r="Q1213" s="31" t="n">
        <f aca="false">IF(I1213="N/A","",IFERROR(INDEX('Residual Config'!$B$35:$B$42,MATCH(H1213,'Residual Config'!$A$35:$A$42,0)),""))</f>
        <v>1</v>
      </c>
      <c r="R1213" s="24" t="n">
        <v>1</v>
      </c>
      <c r="S1213" s="8" t="s">
        <v>521</v>
      </c>
      <c r="T1213" s="31" t="n">
        <f aca="false">IF(S1213="","",MATCH(S1213,'Residual Config'!$L$9:$L$12,0))</f>
        <v>2</v>
      </c>
      <c r="U1213" s="8" t="s">
        <v>3762</v>
      </c>
      <c r="V1213" s="24" t="n">
        <v>1</v>
      </c>
      <c r="W1213" s="33" t="s">
        <v>533</v>
      </c>
      <c r="X1213" s="8" t="s">
        <v>754</v>
      </c>
      <c r="Y1213" s="51" t="n">
        <f aca="false">IF(N1213="","",EDATE(N1213,IF(G1213="N",INDEX('Residual Config'!$B$31:$D$31,1,MATCH(D1213,'Residual Config'!$B$27:$D$27,0)),INDEX('Residual Config'!$B$28:$D$30,IF(T1213=1,1,IF(T1213=4,3,2)),MATCH(D1213,'Residual Config'!$B$27:$D$27,0)))))</f>
        <v>46426</v>
      </c>
      <c r="Z1213" s="7" t="str">
        <f aca="false">IF(I1213="N/A","N/A",IF(N1213="","Not tested",IF(W1213="Rejected","Evidence rejected",IF(W1213&lt;&gt;"Accepted","Evidence pending",IF(Y1213&lt;'Residual Config'!$C$4,"Overdue","Current")))))</f>
        <v>Current</v>
      </c>
      <c r="AA1213" s="34" t="n">
        <f aca="false">IF(I1213="N/A","",IF(Z1213&lt;&gt;"Current",4,IF(MAX(M1213,T1213)=0,4,MAX(M1213,T1213))))</f>
        <v>2</v>
      </c>
      <c r="AB1213" s="7" t="str">
        <f aca="false">IF(AA1213="","N/A",IF(Z1213&lt;&gt;"Current","Not tested / overdue",INDEX('Residual Config'!$B$11:$B$14,AA1213)))</f>
        <v>Largely effective</v>
      </c>
      <c r="AC1213" s="36" t="n">
        <f aca="false">IF(AA1213="","",INDEX('Residual Config'!$D$11:$D$14,AA1213))</f>
        <v>0.4</v>
      </c>
      <c r="AD1213" s="7" t="str">
        <f aca="false">IF(OR(I1213="N/A",P1213="",Q1213=""),"",IF(P1213&gt;=Q1213,"Yes","No"))</f>
        <v>Yes</v>
      </c>
      <c r="AE1213" s="8"/>
    </row>
    <row r="1214" customFormat="false" ht="15" hidden="false" customHeight="false" outlineLevel="0" collapsed="false">
      <c r="A1214" s="12" t="s">
        <v>3763</v>
      </c>
      <c r="B1214" s="26" t="str">
        <f aca="false">Entities!$A$33</f>
        <v>AU</v>
      </c>
      <c r="C1214" s="12" t="str">
        <f aca="false">INDEX(Entities!$B$5:$B$34,MATCH(B1214,Entities!$A$5:$A$34,0))</f>
        <v>Arab Bank Australia</v>
      </c>
      <c r="D1214" s="7" t="str">
        <f aca="false">INDEX(Entities!$F$5:$F$34,MATCH(B1214,Entities!$A$5:$A$34,0))</f>
        <v>Tier 2</v>
      </c>
      <c r="E1214" s="26" t="str">
        <f aca="false">'Control Library'!$A$10</f>
        <v>CTL-TM-01</v>
      </c>
      <c r="F1214" s="12" t="str">
        <f aca="false">INDEX('Control Library'!$B$5:$B$47,MATCH(E1214,'Control Library'!$A$5:$A$47,0))</f>
        <v>Automated transaction monitoring scenarios and annual tuning</v>
      </c>
      <c r="G1214" s="7" t="str">
        <f aca="false">INDEX('Control Library'!$F$5:$F$47,MATCH(E1214,'Control Library'!$A$5:$A$47,0))</f>
        <v>Y</v>
      </c>
      <c r="H1214" s="12" t="str">
        <f aca="false">INDEX('Control Library'!$E$5:$E$47,MATCH(E1214,'Control Library'!$A$5:$A$47,0))</f>
        <v>Continuous</v>
      </c>
      <c r="I1214" s="7" t="str">
        <f aca="false">IF(INDEX('Control Library'!$I$5:$I$47,MATCH(E1214,'Control Library'!$A$5:$A$47,0))="All","Y",IF(INDEX('Control Library'!$I$5:$I$47,MATCH(E1214,'Control Library'!$A$5:$A$47,0))="Banks only",IF(COUNTIF('Residual Config'!$L$28:$L$30,INDEX(Entities!$E$5:$E$34,MATCH(B1214,Entities!$A$5:$A$34,0)))&gt;0,"N/A","Y"),IF(INDEX(Entities!$G$5:$G$34,MATCH(B1214,Entities!$A$5:$A$34,0))="Y","Y","N/A")))</f>
        <v>Y</v>
      </c>
      <c r="J1214" s="8" t="s">
        <v>3764</v>
      </c>
      <c r="K1214" s="8" t="s">
        <v>3752</v>
      </c>
      <c r="L1214" s="7" t="str">
        <f aca="false">IF(OR(J1214="",K1214=""),"",IF(J1214=K1214,"Breach","OK"))</f>
        <v>OK</v>
      </c>
      <c r="M1214" s="24" t="n">
        <v>1</v>
      </c>
      <c r="N1214" s="50" t="n">
        <v>46223</v>
      </c>
      <c r="O1214" s="8" t="s">
        <v>546</v>
      </c>
      <c r="P1214" s="24" t="n">
        <v>1</v>
      </c>
      <c r="Q1214" s="31" t="n">
        <f aca="false">IF(I1214="N/A","",IFERROR(INDEX('Residual Config'!$B$35:$B$42,MATCH(H1214,'Residual Config'!$A$35:$A$42,0)),""))</f>
        <v>1</v>
      </c>
      <c r="R1214" s="24" t="n">
        <v>1</v>
      </c>
      <c r="S1214" s="8" t="s">
        <v>521</v>
      </c>
      <c r="T1214" s="31" t="n">
        <f aca="false">IF(S1214="","",MATCH(S1214,'Residual Config'!$L$9:$L$12,0))</f>
        <v>2</v>
      </c>
      <c r="U1214" s="8" t="s">
        <v>3765</v>
      </c>
      <c r="V1214" s="24" t="n">
        <v>1</v>
      </c>
      <c r="W1214" s="33" t="s">
        <v>533</v>
      </c>
      <c r="X1214" s="8" t="s">
        <v>754</v>
      </c>
      <c r="Y1214" s="51" t="n">
        <f aca="false">IF(N1214="","",EDATE(N1214,IF(G1214="N",INDEX('Residual Config'!$B$31:$D$31,1,MATCH(D1214,'Residual Config'!$B$27:$D$27,0)),INDEX('Residual Config'!$B$28:$D$30,IF(T1214=1,1,IF(T1214=4,3,2)),MATCH(D1214,'Residual Config'!$B$27:$D$27,0)))))</f>
        <v>46407</v>
      </c>
      <c r="Z1214" s="7" t="str">
        <f aca="false">IF(I1214="N/A","N/A",IF(N1214="","Not tested",IF(W1214="Rejected","Evidence rejected",IF(W1214&lt;&gt;"Accepted","Evidence pending",IF(Y1214&lt;'Residual Config'!$C$4,"Overdue","Current")))))</f>
        <v>Current</v>
      </c>
      <c r="AA1214" s="34" t="n">
        <f aca="false">IF(I1214="N/A","",IF(Z1214&lt;&gt;"Current",4,IF(MAX(M1214,T1214)=0,4,MAX(M1214,T1214))))</f>
        <v>2</v>
      </c>
      <c r="AB1214" s="7" t="str">
        <f aca="false">IF(AA1214="","N/A",IF(Z1214&lt;&gt;"Current","Not tested / overdue",INDEX('Residual Config'!$B$11:$B$14,AA1214)))</f>
        <v>Largely effective</v>
      </c>
      <c r="AC1214" s="36" t="n">
        <f aca="false">IF(AA1214="","",INDEX('Residual Config'!$D$11:$D$14,AA1214))</f>
        <v>0.4</v>
      </c>
      <c r="AD1214" s="7" t="str">
        <f aca="false">IF(OR(I1214="N/A",P1214="",Q1214=""),"",IF(P1214&gt;=Q1214,"Yes","No"))</f>
        <v>Yes</v>
      </c>
      <c r="AE1214" s="8"/>
    </row>
    <row r="1215" customFormat="false" ht="15" hidden="false" customHeight="false" outlineLevel="0" collapsed="false">
      <c r="A1215" s="12" t="s">
        <v>3766</v>
      </c>
      <c r="B1215" s="26" t="str">
        <f aca="false">Entities!$A$33</f>
        <v>AU</v>
      </c>
      <c r="C1215" s="12" t="str">
        <f aca="false">INDEX(Entities!$B$5:$B$34,MATCH(B1215,Entities!$A$5:$A$34,0))</f>
        <v>Arab Bank Australia</v>
      </c>
      <c r="D1215" s="7" t="str">
        <f aca="false">INDEX(Entities!$F$5:$F$34,MATCH(B1215,Entities!$A$5:$A$34,0))</f>
        <v>Tier 2</v>
      </c>
      <c r="E1215" s="26" t="str">
        <f aca="false">'Control Library'!$A$11</f>
        <v>CTL-TM-02</v>
      </c>
      <c r="F1215" s="12" t="str">
        <f aca="false">INDEX('Control Library'!$B$5:$B$47,MATCH(E1215,'Control Library'!$A$5:$A$47,0))</f>
        <v>Alert investigation and quality assurance within SLA</v>
      </c>
      <c r="G1215" s="7" t="str">
        <f aca="false">INDEX('Control Library'!$F$5:$F$47,MATCH(E1215,'Control Library'!$A$5:$A$47,0))</f>
        <v>Y</v>
      </c>
      <c r="H1215" s="12" t="str">
        <f aca="false">INDEX('Control Library'!$E$5:$E$47,MATCH(E1215,'Control Library'!$A$5:$A$47,0))</f>
        <v>Daily</v>
      </c>
      <c r="I1215" s="7" t="str">
        <f aca="false">IF(INDEX('Control Library'!$I$5:$I$47,MATCH(E1215,'Control Library'!$A$5:$A$47,0))="All","Y",IF(INDEX('Control Library'!$I$5:$I$47,MATCH(E1215,'Control Library'!$A$5:$A$47,0))="Banks only",IF(COUNTIF('Residual Config'!$L$28:$L$30,INDEX(Entities!$E$5:$E$34,MATCH(B1215,Entities!$A$5:$A$34,0)))&gt;0,"N/A","Y"),IF(INDEX(Entities!$G$5:$G$34,MATCH(B1215,Entities!$A$5:$A$34,0))="Y","Y","N/A")))</f>
        <v>Y</v>
      </c>
      <c r="J1215" s="8" t="s">
        <v>3764</v>
      </c>
      <c r="K1215" s="8" t="s">
        <v>3752</v>
      </c>
      <c r="L1215" s="7" t="str">
        <f aca="false">IF(OR(J1215="",K1215=""),"",IF(J1215=K1215,"Breach","OK"))</f>
        <v>OK</v>
      </c>
      <c r="M1215" s="24" t="n">
        <v>1</v>
      </c>
      <c r="N1215" s="50" t="n">
        <v>46282</v>
      </c>
      <c r="O1215" s="8" t="s">
        <v>545</v>
      </c>
      <c r="P1215" s="24" t="n">
        <v>25</v>
      </c>
      <c r="Q1215" s="31" t="n">
        <f aca="false">IF(I1215="N/A","",IFERROR(INDEX('Residual Config'!$B$35:$B$42,MATCH(H1215,'Residual Config'!$A$35:$A$42,0)),""))</f>
        <v>25</v>
      </c>
      <c r="R1215" s="24" t="n">
        <v>0</v>
      </c>
      <c r="S1215" s="8" t="s">
        <v>516</v>
      </c>
      <c r="T1215" s="31" t="n">
        <f aca="false">IF(S1215="","",MATCH(S1215,'Residual Config'!$L$9:$L$12,0))</f>
        <v>1</v>
      </c>
      <c r="U1215" s="8" t="s">
        <v>3767</v>
      </c>
      <c r="V1215" s="24" t="n">
        <v>6</v>
      </c>
      <c r="W1215" s="33" t="s">
        <v>533</v>
      </c>
      <c r="X1215" s="8" t="s">
        <v>760</v>
      </c>
      <c r="Y1215" s="51" t="n">
        <f aca="false">IF(N1215="","",EDATE(N1215,IF(G1215="N",INDEX('Residual Config'!$B$31:$D$31,1,MATCH(D1215,'Residual Config'!$B$27:$D$27,0)),INDEX('Residual Config'!$B$28:$D$30,IF(T1215=1,1,IF(T1215=4,3,2)),MATCH(D1215,'Residual Config'!$B$27:$D$27,0)))))</f>
        <v>46647</v>
      </c>
      <c r="Z1215" s="7" t="str">
        <f aca="false">IF(I1215="N/A","N/A",IF(N1215="","Not tested",IF(W1215="Rejected","Evidence rejected",IF(W1215&lt;&gt;"Accepted","Evidence pending",IF(Y1215&lt;'Residual Config'!$C$4,"Overdue","Current")))))</f>
        <v>Current</v>
      </c>
      <c r="AA1215" s="34" t="n">
        <f aca="false">IF(I1215="N/A","",IF(Z1215&lt;&gt;"Current",4,IF(MAX(M1215,T1215)=0,4,MAX(M1215,T1215))))</f>
        <v>1</v>
      </c>
      <c r="AB1215" s="7" t="str">
        <f aca="false">IF(AA1215="","N/A",IF(Z1215&lt;&gt;"Current","Not tested / overdue",INDEX('Residual Config'!$B$11:$B$14,AA1215)))</f>
        <v>Effective</v>
      </c>
      <c r="AC1215" s="36" t="n">
        <f aca="false">IF(AA1215="","",INDEX('Residual Config'!$D$11:$D$14,AA1215))</f>
        <v>0.6</v>
      </c>
      <c r="AD1215" s="7" t="str">
        <f aca="false">IF(OR(I1215="N/A",P1215="",Q1215=""),"",IF(P1215&gt;=Q1215,"Yes","No"))</f>
        <v>Yes</v>
      </c>
      <c r="AE1215" s="8"/>
    </row>
    <row r="1216" customFormat="false" ht="15" hidden="false" customHeight="false" outlineLevel="0" collapsed="false">
      <c r="A1216" s="12" t="s">
        <v>3768</v>
      </c>
      <c r="B1216" s="26" t="str">
        <f aca="false">Entities!$A$33</f>
        <v>AU</v>
      </c>
      <c r="C1216" s="12" t="str">
        <f aca="false">INDEX(Entities!$B$5:$B$34,MATCH(B1216,Entities!$A$5:$A$34,0))</f>
        <v>Arab Bank Australia</v>
      </c>
      <c r="D1216" s="7" t="str">
        <f aca="false">INDEX(Entities!$F$5:$F$34,MATCH(B1216,Entities!$A$5:$A$34,0))</f>
        <v>Tier 2</v>
      </c>
      <c r="E1216" s="26" t="str">
        <f aca="false">'Control Library'!$A$12</f>
        <v>CTL-STR-01</v>
      </c>
      <c r="F1216" s="12" t="str">
        <f aca="false">INDEX('Control Library'!$B$5:$B$47,MATCH(E1216,'Control Library'!$A$5:$A$47,0))</f>
        <v>STR decision and filing within regulatory deadline</v>
      </c>
      <c r="G1216" s="7" t="str">
        <f aca="false">INDEX('Control Library'!$F$5:$F$47,MATCH(E1216,'Control Library'!$A$5:$A$47,0))</f>
        <v>Y</v>
      </c>
      <c r="H1216" s="12" t="str">
        <f aca="false">INDEX('Control Library'!$E$5:$E$47,MATCH(E1216,'Control Library'!$A$5:$A$47,0))</f>
        <v>Event-driven</v>
      </c>
      <c r="I1216" s="7" t="str">
        <f aca="false">IF(INDEX('Control Library'!$I$5:$I$47,MATCH(E1216,'Control Library'!$A$5:$A$47,0))="All","Y",IF(INDEX('Control Library'!$I$5:$I$47,MATCH(E1216,'Control Library'!$A$5:$A$47,0))="Banks only",IF(COUNTIF('Residual Config'!$L$28:$L$30,INDEX(Entities!$E$5:$E$34,MATCH(B1216,Entities!$A$5:$A$34,0)))&gt;0,"N/A","Y"),IF(INDEX(Entities!$G$5:$G$34,MATCH(B1216,Entities!$A$5:$A$34,0))="Y","Y","N/A")))</f>
        <v>Y</v>
      </c>
      <c r="J1216" s="8" t="s">
        <v>3764</v>
      </c>
      <c r="K1216" s="8" t="s">
        <v>3752</v>
      </c>
      <c r="L1216" s="7" t="str">
        <f aca="false">IF(OR(J1216="",K1216=""),"",IF(J1216=K1216,"Breach","OK"))</f>
        <v>OK</v>
      </c>
      <c r="M1216" s="24" t="n">
        <v>1</v>
      </c>
      <c r="N1216" s="50" t="n">
        <v>46233</v>
      </c>
      <c r="O1216" s="8" t="s">
        <v>545</v>
      </c>
      <c r="P1216" s="24" t="n">
        <v>25</v>
      </c>
      <c r="Q1216" s="31" t="n">
        <f aca="false">IF(I1216="N/A","",IFERROR(INDEX('Residual Config'!$B$35:$B$42,MATCH(H1216,'Residual Config'!$A$35:$A$42,0)),""))</f>
        <v>25</v>
      </c>
      <c r="R1216" s="24" t="n">
        <v>0</v>
      </c>
      <c r="S1216" s="8" t="s">
        <v>516</v>
      </c>
      <c r="T1216" s="31" t="n">
        <f aca="false">IF(S1216="","",MATCH(S1216,'Residual Config'!$L$9:$L$12,0))</f>
        <v>1</v>
      </c>
      <c r="U1216" s="8" t="s">
        <v>3769</v>
      </c>
      <c r="V1216" s="24" t="n">
        <v>6</v>
      </c>
      <c r="W1216" s="33" t="s">
        <v>533</v>
      </c>
      <c r="X1216" s="8" t="s">
        <v>760</v>
      </c>
      <c r="Y1216" s="51" t="n">
        <f aca="false">IF(N1216="","",EDATE(N1216,IF(G1216="N",INDEX('Residual Config'!$B$31:$D$31,1,MATCH(D1216,'Residual Config'!$B$27:$D$27,0)),INDEX('Residual Config'!$B$28:$D$30,IF(T1216=1,1,IF(T1216=4,3,2)),MATCH(D1216,'Residual Config'!$B$27:$D$27,0)))))</f>
        <v>46598</v>
      </c>
      <c r="Z1216" s="7" t="str">
        <f aca="false">IF(I1216="N/A","N/A",IF(N1216="","Not tested",IF(W1216="Rejected","Evidence rejected",IF(W1216&lt;&gt;"Accepted","Evidence pending",IF(Y1216&lt;'Residual Config'!$C$4,"Overdue","Current")))))</f>
        <v>Current</v>
      </c>
      <c r="AA1216" s="34" t="n">
        <f aca="false">IF(I1216="N/A","",IF(Z1216&lt;&gt;"Current",4,IF(MAX(M1216,T1216)=0,4,MAX(M1216,T1216))))</f>
        <v>1</v>
      </c>
      <c r="AB1216" s="7" t="str">
        <f aca="false">IF(AA1216="","N/A",IF(Z1216&lt;&gt;"Current","Not tested / overdue",INDEX('Residual Config'!$B$11:$B$14,AA1216)))</f>
        <v>Effective</v>
      </c>
      <c r="AC1216" s="36" t="n">
        <f aca="false">IF(AA1216="","",INDEX('Residual Config'!$D$11:$D$14,AA1216))</f>
        <v>0.6</v>
      </c>
      <c r="AD1216" s="7" t="str">
        <f aca="false">IF(OR(I1216="N/A",P1216="",Q1216=""),"",IF(P1216&gt;=Q1216,"Yes","No"))</f>
        <v>Yes</v>
      </c>
      <c r="AE1216" s="8"/>
    </row>
    <row r="1217" customFormat="false" ht="15" hidden="false" customHeight="false" outlineLevel="0" collapsed="false">
      <c r="A1217" s="12" t="s">
        <v>3770</v>
      </c>
      <c r="B1217" s="26" t="str">
        <f aca="false">Entities!$A$33</f>
        <v>AU</v>
      </c>
      <c r="C1217" s="12" t="str">
        <f aca="false">INDEX(Entities!$B$5:$B$34,MATCH(B1217,Entities!$A$5:$A$34,0))</f>
        <v>Arab Bank Australia</v>
      </c>
      <c r="D1217" s="7" t="str">
        <f aca="false">INDEX(Entities!$F$5:$F$34,MATCH(B1217,Entities!$A$5:$A$34,0))</f>
        <v>Tier 2</v>
      </c>
      <c r="E1217" s="26" t="str">
        <f aca="false">'Control Library'!$A$13</f>
        <v>CTL-SAN-01</v>
      </c>
      <c r="F1217" s="12" t="str">
        <f aca="false">INDEX('Control Library'!$B$5:$B$47,MATCH(E1217,'Control Library'!$A$5:$A$47,0))</f>
        <v>Real-time payment and transaction sanctions screening</v>
      </c>
      <c r="G1217" s="7" t="str">
        <f aca="false">INDEX('Control Library'!$F$5:$F$47,MATCH(E1217,'Control Library'!$A$5:$A$47,0))</f>
        <v>Y</v>
      </c>
      <c r="H1217" s="12" t="str">
        <f aca="false">INDEX('Control Library'!$E$5:$E$47,MATCH(E1217,'Control Library'!$A$5:$A$47,0))</f>
        <v>Continuous</v>
      </c>
      <c r="I1217" s="7" t="str">
        <f aca="false">IF(INDEX('Control Library'!$I$5:$I$47,MATCH(E1217,'Control Library'!$A$5:$A$47,0))="All","Y",IF(INDEX('Control Library'!$I$5:$I$47,MATCH(E1217,'Control Library'!$A$5:$A$47,0))="Banks only",IF(COUNTIF('Residual Config'!$L$28:$L$30,INDEX(Entities!$E$5:$E$34,MATCH(B1217,Entities!$A$5:$A$34,0)))&gt;0,"N/A","Y"),IF(INDEX(Entities!$G$5:$G$34,MATCH(B1217,Entities!$A$5:$A$34,0))="Y","Y","N/A")))</f>
        <v>Y</v>
      </c>
      <c r="J1217" s="8" t="s">
        <v>3771</v>
      </c>
      <c r="K1217" s="8" t="s">
        <v>3752</v>
      </c>
      <c r="L1217" s="7" t="str">
        <f aca="false">IF(OR(J1217="",K1217=""),"",IF(J1217=K1217,"Breach","OK"))</f>
        <v>OK</v>
      </c>
      <c r="M1217" s="24" t="n">
        <v>1</v>
      </c>
      <c r="N1217" s="50" t="n">
        <v>46064</v>
      </c>
      <c r="O1217" s="8" t="s">
        <v>546</v>
      </c>
      <c r="P1217" s="24" t="n">
        <v>1</v>
      </c>
      <c r="Q1217" s="31" t="n">
        <f aca="false">IF(I1217="N/A","",IFERROR(INDEX('Residual Config'!$B$35:$B$42,MATCH(H1217,'Residual Config'!$A$35:$A$42,0)),""))</f>
        <v>1</v>
      </c>
      <c r="R1217" s="24" t="n">
        <v>0</v>
      </c>
      <c r="S1217" s="8" t="s">
        <v>516</v>
      </c>
      <c r="T1217" s="31" t="n">
        <f aca="false">IF(S1217="","",MATCH(S1217,'Residual Config'!$L$9:$L$12,0))</f>
        <v>1</v>
      </c>
      <c r="U1217" s="8" t="s">
        <v>3772</v>
      </c>
      <c r="V1217" s="24" t="n">
        <v>1</v>
      </c>
      <c r="W1217" s="33" t="s">
        <v>533</v>
      </c>
      <c r="X1217" s="8" t="s">
        <v>760</v>
      </c>
      <c r="Y1217" s="51" t="n">
        <f aca="false">IF(N1217="","",EDATE(N1217,IF(G1217="N",INDEX('Residual Config'!$B$31:$D$31,1,MATCH(D1217,'Residual Config'!$B$27:$D$27,0)),INDEX('Residual Config'!$B$28:$D$30,IF(T1217=1,1,IF(T1217=4,3,2)),MATCH(D1217,'Residual Config'!$B$27:$D$27,0)))))</f>
        <v>46429</v>
      </c>
      <c r="Z1217" s="7" t="str">
        <f aca="false">IF(I1217="N/A","N/A",IF(N1217="","Not tested",IF(W1217="Rejected","Evidence rejected",IF(W1217&lt;&gt;"Accepted","Evidence pending",IF(Y1217&lt;'Residual Config'!$C$4,"Overdue","Current")))))</f>
        <v>Current</v>
      </c>
      <c r="AA1217" s="34" t="n">
        <f aca="false">IF(I1217="N/A","",IF(Z1217&lt;&gt;"Current",4,IF(MAX(M1217,T1217)=0,4,MAX(M1217,T1217))))</f>
        <v>1</v>
      </c>
      <c r="AB1217" s="7" t="str">
        <f aca="false">IF(AA1217="","N/A",IF(Z1217&lt;&gt;"Current","Not tested / overdue",INDEX('Residual Config'!$B$11:$B$14,AA1217)))</f>
        <v>Effective</v>
      </c>
      <c r="AC1217" s="36" t="n">
        <f aca="false">IF(AA1217="","",INDEX('Residual Config'!$D$11:$D$14,AA1217))</f>
        <v>0.6</v>
      </c>
      <c r="AD1217" s="7" t="str">
        <f aca="false">IF(OR(I1217="N/A",P1217="",Q1217=""),"",IF(P1217&gt;=Q1217,"Yes","No"))</f>
        <v>Yes</v>
      </c>
      <c r="AE1217" s="8"/>
    </row>
    <row r="1218" customFormat="false" ht="15" hidden="false" customHeight="false" outlineLevel="0" collapsed="false">
      <c r="A1218" s="12" t="s">
        <v>3773</v>
      </c>
      <c r="B1218" s="26" t="str">
        <f aca="false">Entities!$A$33</f>
        <v>AU</v>
      </c>
      <c r="C1218" s="12" t="str">
        <f aca="false">INDEX(Entities!$B$5:$B$34,MATCH(B1218,Entities!$A$5:$A$34,0))</f>
        <v>Arab Bank Australia</v>
      </c>
      <c r="D1218" s="7" t="str">
        <f aca="false">INDEX(Entities!$F$5:$F$34,MATCH(B1218,Entities!$A$5:$A$34,0))</f>
        <v>Tier 2</v>
      </c>
      <c r="E1218" s="26" t="str">
        <f aca="false">'Control Library'!$A$14</f>
        <v>CTL-SAN-02</v>
      </c>
      <c r="F1218" s="12" t="str">
        <f aca="false">INDEX('Control Library'!$B$5:$B$47,MATCH(E1218,'Control Library'!$A$5:$A$47,0))</f>
        <v>Customer and counterparty screening at onboarding and on list change</v>
      </c>
      <c r="G1218" s="7" t="str">
        <f aca="false">INDEX('Control Library'!$F$5:$F$47,MATCH(E1218,'Control Library'!$A$5:$A$47,0))</f>
        <v>Y</v>
      </c>
      <c r="H1218" s="12" t="str">
        <f aca="false">INDEX('Control Library'!$E$5:$E$47,MATCH(E1218,'Control Library'!$A$5:$A$47,0))</f>
        <v>Continuous</v>
      </c>
      <c r="I1218" s="7" t="str">
        <f aca="false">IF(INDEX('Control Library'!$I$5:$I$47,MATCH(E1218,'Control Library'!$A$5:$A$47,0))="All","Y",IF(INDEX('Control Library'!$I$5:$I$47,MATCH(E1218,'Control Library'!$A$5:$A$47,0))="Banks only",IF(COUNTIF('Residual Config'!$L$28:$L$30,INDEX(Entities!$E$5:$E$34,MATCH(B1218,Entities!$A$5:$A$34,0)))&gt;0,"N/A","Y"),IF(INDEX(Entities!$G$5:$G$34,MATCH(B1218,Entities!$A$5:$A$34,0))="Y","Y","N/A")))</f>
        <v>Y</v>
      </c>
      <c r="J1218" s="8" t="s">
        <v>3771</v>
      </c>
      <c r="K1218" s="8" t="s">
        <v>3752</v>
      </c>
      <c r="L1218" s="7" t="str">
        <f aca="false">IF(OR(J1218="",K1218=""),"",IF(J1218=K1218,"Breach","OK"))</f>
        <v>OK</v>
      </c>
      <c r="M1218" s="24" t="n">
        <v>1</v>
      </c>
      <c r="N1218" s="50" t="n">
        <v>46224</v>
      </c>
      <c r="O1218" s="8" t="s">
        <v>547</v>
      </c>
      <c r="P1218" s="24" t="n">
        <v>1</v>
      </c>
      <c r="Q1218" s="31" t="n">
        <f aca="false">IF(I1218="N/A","",IFERROR(INDEX('Residual Config'!$B$35:$B$42,MATCH(H1218,'Residual Config'!$A$35:$A$42,0)),""))</f>
        <v>1</v>
      </c>
      <c r="R1218" s="24" t="n">
        <v>1</v>
      </c>
      <c r="S1218" s="8" t="s">
        <v>521</v>
      </c>
      <c r="T1218" s="31" t="n">
        <f aca="false">IF(S1218="","",MATCH(S1218,'Residual Config'!$L$9:$L$12,0))</f>
        <v>2</v>
      </c>
      <c r="U1218" s="8" t="s">
        <v>3774</v>
      </c>
      <c r="V1218" s="24" t="n">
        <v>3</v>
      </c>
      <c r="W1218" s="33" t="s">
        <v>533</v>
      </c>
      <c r="X1218" s="8" t="s">
        <v>754</v>
      </c>
      <c r="Y1218" s="51" t="n">
        <f aca="false">IF(N1218="","",EDATE(N1218,IF(G1218="N",INDEX('Residual Config'!$B$31:$D$31,1,MATCH(D1218,'Residual Config'!$B$27:$D$27,0)),INDEX('Residual Config'!$B$28:$D$30,IF(T1218=1,1,IF(T1218=4,3,2)),MATCH(D1218,'Residual Config'!$B$27:$D$27,0)))))</f>
        <v>46408</v>
      </c>
      <c r="Z1218" s="7" t="str">
        <f aca="false">IF(I1218="N/A","N/A",IF(N1218="","Not tested",IF(W1218="Rejected","Evidence rejected",IF(W1218&lt;&gt;"Accepted","Evidence pending",IF(Y1218&lt;'Residual Config'!$C$4,"Overdue","Current")))))</f>
        <v>Current</v>
      </c>
      <c r="AA1218" s="34" t="n">
        <f aca="false">IF(I1218="N/A","",IF(Z1218&lt;&gt;"Current",4,IF(MAX(M1218,T1218)=0,4,MAX(M1218,T1218))))</f>
        <v>2</v>
      </c>
      <c r="AB1218" s="7" t="str">
        <f aca="false">IF(AA1218="","N/A",IF(Z1218&lt;&gt;"Current","Not tested / overdue",INDEX('Residual Config'!$B$11:$B$14,AA1218)))</f>
        <v>Largely effective</v>
      </c>
      <c r="AC1218" s="36" t="n">
        <f aca="false">IF(AA1218="","",INDEX('Residual Config'!$D$11:$D$14,AA1218))</f>
        <v>0.4</v>
      </c>
      <c r="AD1218" s="7" t="str">
        <f aca="false">IF(OR(I1218="N/A",P1218="",Q1218=""),"",IF(P1218&gt;=Q1218,"Yes","No"))</f>
        <v>Yes</v>
      </c>
      <c r="AE1218" s="8"/>
    </row>
    <row r="1219" customFormat="false" ht="15" hidden="false" customHeight="false" outlineLevel="0" collapsed="false">
      <c r="A1219" s="12" t="s">
        <v>3775</v>
      </c>
      <c r="B1219" s="26" t="str">
        <f aca="false">Entities!$A$33</f>
        <v>AU</v>
      </c>
      <c r="C1219" s="12" t="str">
        <f aca="false">INDEX(Entities!$B$5:$B$34,MATCH(B1219,Entities!$A$5:$A$34,0))</f>
        <v>Arab Bank Australia</v>
      </c>
      <c r="D1219" s="7" t="str">
        <f aca="false">INDEX(Entities!$F$5:$F$34,MATCH(B1219,Entities!$A$5:$A$34,0))</f>
        <v>Tier 2</v>
      </c>
      <c r="E1219" s="26" t="str">
        <f aca="false">'Control Library'!$A$15</f>
        <v>CTL-SAN-03</v>
      </c>
      <c r="F1219" s="12" t="str">
        <f aca="false">INDEX('Control Library'!$B$5:$B$47,MATCH(E1219,'Control Library'!$A$5:$A$47,0))</f>
        <v>Sanctions list updates applied within 24 hours</v>
      </c>
      <c r="G1219" s="7" t="str">
        <f aca="false">INDEX('Control Library'!$F$5:$F$47,MATCH(E1219,'Control Library'!$A$5:$A$47,0))</f>
        <v>N</v>
      </c>
      <c r="H1219" s="12" t="str">
        <f aca="false">INDEX('Control Library'!$E$5:$E$47,MATCH(E1219,'Control Library'!$A$5:$A$47,0))</f>
        <v>Daily</v>
      </c>
      <c r="I1219" s="7" t="str">
        <f aca="false">IF(INDEX('Control Library'!$I$5:$I$47,MATCH(E1219,'Control Library'!$A$5:$A$47,0))="All","Y",IF(INDEX('Control Library'!$I$5:$I$47,MATCH(E1219,'Control Library'!$A$5:$A$47,0))="Banks only",IF(COUNTIF('Residual Config'!$L$28:$L$30,INDEX(Entities!$E$5:$E$34,MATCH(B1219,Entities!$A$5:$A$34,0)))&gt;0,"N/A","Y"),IF(INDEX(Entities!$G$5:$G$34,MATCH(B1219,Entities!$A$5:$A$34,0))="Y","Y","N/A")))</f>
        <v>Y</v>
      </c>
      <c r="J1219" s="8" t="s">
        <v>3776</v>
      </c>
      <c r="K1219" s="8" t="s">
        <v>3752</v>
      </c>
      <c r="L1219" s="7" t="str">
        <f aca="false">IF(OR(J1219="",K1219=""),"",IF(J1219=K1219,"Breach","OK"))</f>
        <v>OK</v>
      </c>
      <c r="M1219" s="24" t="n">
        <v>1</v>
      </c>
      <c r="N1219" s="50" t="n">
        <v>46240</v>
      </c>
      <c r="O1219" s="8" t="s">
        <v>545</v>
      </c>
      <c r="P1219" s="24" t="n">
        <v>30</v>
      </c>
      <c r="Q1219" s="31" t="n">
        <f aca="false">IF(I1219="N/A","",IFERROR(INDEX('Residual Config'!$B$35:$B$42,MATCH(H1219,'Residual Config'!$A$35:$A$42,0)),""))</f>
        <v>25</v>
      </c>
      <c r="R1219" s="24" t="n">
        <v>0</v>
      </c>
      <c r="S1219" s="8" t="s">
        <v>516</v>
      </c>
      <c r="T1219" s="31" t="n">
        <f aca="false">IF(S1219="","",MATCH(S1219,'Residual Config'!$L$9:$L$12,0))</f>
        <v>1</v>
      </c>
      <c r="U1219" s="8" t="s">
        <v>3777</v>
      </c>
      <c r="V1219" s="24" t="n">
        <v>5</v>
      </c>
      <c r="W1219" s="33" t="s">
        <v>533</v>
      </c>
      <c r="X1219" s="8" t="s">
        <v>754</v>
      </c>
      <c r="Y1219" s="51" t="n">
        <f aca="false">IF(N1219="","",EDATE(N1219,IF(G1219="N",INDEX('Residual Config'!$B$31:$D$31,1,MATCH(D1219,'Residual Config'!$B$27:$D$27,0)),INDEX('Residual Config'!$B$28:$D$30,IF(T1219=1,1,IF(T1219=4,3,2)),MATCH(D1219,'Residual Config'!$B$27:$D$27,0)))))</f>
        <v>46605</v>
      </c>
      <c r="Z1219" s="7" t="str">
        <f aca="false">IF(I1219="N/A","N/A",IF(N1219="","Not tested",IF(W1219="Rejected","Evidence rejected",IF(W1219&lt;&gt;"Accepted","Evidence pending",IF(Y1219&lt;'Residual Config'!$C$4,"Overdue","Current")))))</f>
        <v>Current</v>
      </c>
      <c r="AA1219" s="34" t="n">
        <f aca="false">IF(I1219="N/A","",IF(Z1219&lt;&gt;"Current",4,IF(MAX(M1219,T1219)=0,4,MAX(M1219,T1219))))</f>
        <v>1</v>
      </c>
      <c r="AB1219" s="7" t="str">
        <f aca="false">IF(AA1219="","N/A",IF(Z1219&lt;&gt;"Current","Not tested / overdue",INDEX('Residual Config'!$B$11:$B$14,AA1219)))</f>
        <v>Effective</v>
      </c>
      <c r="AC1219" s="36" t="n">
        <f aca="false">IF(AA1219="","",INDEX('Residual Config'!$D$11:$D$14,AA1219))</f>
        <v>0.6</v>
      </c>
      <c r="AD1219" s="7" t="str">
        <f aca="false">IF(OR(I1219="N/A",P1219="",Q1219=""),"",IF(P1219&gt;=Q1219,"Yes","No"))</f>
        <v>Yes</v>
      </c>
      <c r="AE1219" s="8"/>
    </row>
    <row r="1220" customFormat="false" ht="15" hidden="false" customHeight="false" outlineLevel="0" collapsed="false">
      <c r="A1220" s="12" t="s">
        <v>3778</v>
      </c>
      <c r="B1220" s="26" t="str">
        <f aca="false">Entities!$A$33</f>
        <v>AU</v>
      </c>
      <c r="C1220" s="12" t="str">
        <f aca="false">INDEX(Entities!$B$5:$B$34,MATCH(B1220,Entities!$A$5:$A$34,0))</f>
        <v>Arab Bank Australia</v>
      </c>
      <c r="D1220" s="7" t="str">
        <f aca="false">INDEX(Entities!$F$5:$F$34,MATCH(B1220,Entities!$A$5:$A$34,0))</f>
        <v>Tier 2</v>
      </c>
      <c r="E1220" s="26" t="str">
        <f aca="false">'Control Library'!$A$16</f>
        <v>CTL-TF-01</v>
      </c>
      <c r="F1220" s="12" t="str">
        <f aca="false">INDEX('Control Library'!$B$5:$B$47,MATCH(E1220,'Control Library'!$A$5:$A$47,0))</f>
        <v>NPO and charity enhanced due diligence</v>
      </c>
      <c r="G1220" s="7" t="str">
        <f aca="false">INDEX('Control Library'!$F$5:$F$47,MATCH(E1220,'Control Library'!$A$5:$A$47,0))</f>
        <v>N</v>
      </c>
      <c r="H1220" s="12" t="str">
        <f aca="false">INDEX('Control Library'!$E$5:$E$47,MATCH(E1220,'Control Library'!$A$5:$A$47,0))</f>
        <v>Event-driven</v>
      </c>
      <c r="I1220" s="7" t="str">
        <f aca="false">IF(INDEX('Control Library'!$I$5:$I$47,MATCH(E1220,'Control Library'!$A$5:$A$47,0))="All","Y",IF(INDEX('Control Library'!$I$5:$I$47,MATCH(E1220,'Control Library'!$A$5:$A$47,0))="Banks only",IF(COUNTIF('Residual Config'!$L$28:$L$30,INDEX(Entities!$E$5:$E$34,MATCH(B1220,Entities!$A$5:$A$34,0)))&gt;0,"N/A","Y"),IF(INDEX(Entities!$G$5:$G$34,MATCH(B1220,Entities!$A$5:$A$34,0))="Y","Y","N/A")))</f>
        <v>Y</v>
      </c>
      <c r="J1220" s="8" t="s">
        <v>3779</v>
      </c>
      <c r="K1220" s="8" t="s">
        <v>3752</v>
      </c>
      <c r="L1220" s="7" t="str">
        <f aca="false">IF(OR(J1220="",K1220=""),"",IF(J1220=K1220,"Breach","OK"))</f>
        <v>OK</v>
      </c>
      <c r="M1220" s="24" t="n">
        <v>2</v>
      </c>
      <c r="N1220" s="50" t="n">
        <v>46006</v>
      </c>
      <c r="O1220" s="8" t="s">
        <v>545</v>
      </c>
      <c r="P1220" s="24" t="n">
        <v>25</v>
      </c>
      <c r="Q1220" s="31" t="n">
        <f aca="false">IF(I1220="N/A","",IFERROR(INDEX('Residual Config'!$B$35:$B$42,MATCH(H1220,'Residual Config'!$A$35:$A$42,0)),""))</f>
        <v>25</v>
      </c>
      <c r="R1220" s="24" t="n">
        <v>0</v>
      </c>
      <c r="S1220" s="8" t="s">
        <v>516</v>
      </c>
      <c r="T1220" s="31" t="n">
        <f aca="false">IF(S1220="","",MATCH(S1220,'Residual Config'!$L$9:$L$12,0))</f>
        <v>1</v>
      </c>
      <c r="U1220" s="8" t="s">
        <v>3780</v>
      </c>
      <c r="V1220" s="24" t="n">
        <v>1</v>
      </c>
      <c r="W1220" s="33" t="s">
        <v>533</v>
      </c>
      <c r="X1220" s="8" t="s">
        <v>754</v>
      </c>
      <c r="Y1220" s="51" t="n">
        <f aca="false">IF(N1220="","",EDATE(N1220,IF(G1220="N",INDEX('Residual Config'!$B$31:$D$31,1,MATCH(D1220,'Residual Config'!$B$27:$D$27,0)),INDEX('Residual Config'!$B$28:$D$30,IF(T1220=1,1,IF(T1220=4,3,2)),MATCH(D1220,'Residual Config'!$B$27:$D$27,0)))))</f>
        <v>46371</v>
      </c>
      <c r="Z1220" s="7" t="str">
        <f aca="false">IF(I1220="N/A","N/A",IF(N1220="","Not tested",IF(W1220="Rejected","Evidence rejected",IF(W1220&lt;&gt;"Accepted","Evidence pending",IF(Y1220&lt;'Residual Config'!$C$4,"Overdue","Current")))))</f>
        <v>Current</v>
      </c>
      <c r="AA1220" s="34" t="n">
        <f aca="false">IF(I1220="N/A","",IF(Z1220&lt;&gt;"Current",4,IF(MAX(M1220,T1220)=0,4,MAX(M1220,T1220))))</f>
        <v>2</v>
      </c>
      <c r="AB1220" s="7" t="str">
        <f aca="false">IF(AA1220="","N/A",IF(Z1220&lt;&gt;"Current","Not tested / overdue",INDEX('Residual Config'!$B$11:$B$14,AA1220)))</f>
        <v>Largely effective</v>
      </c>
      <c r="AC1220" s="36" t="n">
        <f aca="false">IF(AA1220="","",INDEX('Residual Config'!$D$11:$D$14,AA1220))</f>
        <v>0.4</v>
      </c>
      <c r="AD1220" s="7" t="str">
        <f aca="false">IF(OR(I1220="N/A",P1220="",Q1220=""),"",IF(P1220&gt;=Q1220,"Yes","No"))</f>
        <v>Yes</v>
      </c>
      <c r="AE1220" s="8"/>
    </row>
    <row r="1221" customFormat="false" ht="15" hidden="false" customHeight="false" outlineLevel="0" collapsed="false">
      <c r="A1221" s="12" t="s">
        <v>3781</v>
      </c>
      <c r="B1221" s="26" t="str">
        <f aca="false">Entities!$A$33</f>
        <v>AU</v>
      </c>
      <c r="C1221" s="12" t="str">
        <f aca="false">INDEX(Entities!$B$5:$B$34,MATCH(B1221,Entities!$A$5:$A$34,0))</f>
        <v>Arab Bank Australia</v>
      </c>
      <c r="D1221" s="7" t="str">
        <f aca="false">INDEX(Entities!$F$5:$F$34,MATCH(B1221,Entities!$A$5:$A$34,0))</f>
        <v>Tier 2</v>
      </c>
      <c r="E1221" s="26" t="str">
        <f aca="false">'Control Library'!$A$17</f>
        <v>CTL-TBML-01</v>
      </c>
      <c r="F1221" s="12" t="str">
        <f aca="false">INDEX('Control Library'!$B$5:$B$47,MATCH(E1221,'Control Library'!$A$5:$A$47,0))</f>
        <v>Trade-based ML red-flag review and pricing checks</v>
      </c>
      <c r="G1221" s="7" t="str">
        <f aca="false">INDEX('Control Library'!$F$5:$F$47,MATCH(E1221,'Control Library'!$A$5:$A$47,0))</f>
        <v>Y</v>
      </c>
      <c r="H1221" s="12" t="str">
        <f aca="false">INDEX('Control Library'!$E$5:$E$47,MATCH(E1221,'Control Library'!$A$5:$A$47,0))</f>
        <v>Event-driven</v>
      </c>
      <c r="I1221" s="7" t="str">
        <f aca="false">IF(INDEX('Control Library'!$I$5:$I$47,MATCH(E1221,'Control Library'!$A$5:$A$47,0))="All","Y",IF(INDEX('Control Library'!$I$5:$I$47,MATCH(E1221,'Control Library'!$A$5:$A$47,0))="Banks only",IF(COUNTIF('Residual Config'!$L$28:$L$30,INDEX(Entities!$E$5:$E$34,MATCH(B1221,Entities!$A$5:$A$34,0)))&gt;0,"N/A","Y"),IF(INDEX(Entities!$G$5:$G$34,MATCH(B1221,Entities!$A$5:$A$34,0))="Y","Y","N/A")))</f>
        <v>Y</v>
      </c>
      <c r="J1221" s="8" t="s">
        <v>3782</v>
      </c>
      <c r="K1221" s="8" t="s">
        <v>3752</v>
      </c>
      <c r="L1221" s="7" t="str">
        <f aca="false">IF(OR(J1221="",K1221=""),"",IF(J1221=K1221,"Breach","OK"))</f>
        <v>OK</v>
      </c>
      <c r="M1221" s="24" t="n">
        <v>2</v>
      </c>
      <c r="N1221" s="50" t="n">
        <v>46106</v>
      </c>
      <c r="O1221" s="8" t="s">
        <v>546</v>
      </c>
      <c r="P1221" s="24" t="n">
        <v>35</v>
      </c>
      <c r="Q1221" s="31" t="n">
        <f aca="false">IF(I1221="N/A","",IFERROR(INDEX('Residual Config'!$B$35:$B$42,MATCH(H1221,'Residual Config'!$A$35:$A$42,0)),""))</f>
        <v>25</v>
      </c>
      <c r="R1221" s="24" t="n">
        <v>0</v>
      </c>
      <c r="S1221" s="8" t="s">
        <v>516</v>
      </c>
      <c r="T1221" s="31" t="n">
        <f aca="false">IF(S1221="","",MATCH(S1221,'Residual Config'!$L$9:$L$12,0))</f>
        <v>1</v>
      </c>
      <c r="U1221" s="8" t="s">
        <v>3783</v>
      </c>
      <c r="V1221" s="24" t="n">
        <v>6</v>
      </c>
      <c r="W1221" s="33" t="s">
        <v>533</v>
      </c>
      <c r="X1221" s="8" t="s">
        <v>760</v>
      </c>
      <c r="Y1221" s="51" t="n">
        <f aca="false">IF(N1221="","",EDATE(N1221,IF(G1221="N",INDEX('Residual Config'!$B$31:$D$31,1,MATCH(D1221,'Residual Config'!$B$27:$D$27,0)),INDEX('Residual Config'!$B$28:$D$30,IF(T1221=1,1,IF(T1221=4,3,2)),MATCH(D1221,'Residual Config'!$B$27:$D$27,0)))))</f>
        <v>46471</v>
      </c>
      <c r="Z1221" s="7" t="str">
        <f aca="false">IF(I1221="N/A","N/A",IF(N1221="","Not tested",IF(W1221="Rejected","Evidence rejected",IF(W1221&lt;&gt;"Accepted","Evidence pending",IF(Y1221&lt;'Residual Config'!$C$4,"Overdue","Current")))))</f>
        <v>Current</v>
      </c>
      <c r="AA1221" s="34" t="n">
        <f aca="false">IF(I1221="N/A","",IF(Z1221&lt;&gt;"Current",4,IF(MAX(M1221,T1221)=0,4,MAX(M1221,T1221))))</f>
        <v>2</v>
      </c>
      <c r="AB1221" s="7" t="str">
        <f aca="false">IF(AA1221="","N/A",IF(Z1221&lt;&gt;"Current","Not tested / overdue",INDEX('Residual Config'!$B$11:$B$14,AA1221)))</f>
        <v>Largely effective</v>
      </c>
      <c r="AC1221" s="36" t="n">
        <f aca="false">IF(AA1221="","",INDEX('Residual Config'!$D$11:$D$14,AA1221))</f>
        <v>0.4</v>
      </c>
      <c r="AD1221" s="7" t="str">
        <f aca="false">IF(OR(I1221="N/A",P1221="",Q1221=""),"",IF(P1221&gt;=Q1221,"Yes","No"))</f>
        <v>Yes</v>
      </c>
      <c r="AE1221" s="8"/>
    </row>
    <row r="1222" customFormat="false" ht="15" hidden="false" customHeight="false" outlineLevel="0" collapsed="false">
      <c r="A1222" s="12" t="s">
        <v>3784</v>
      </c>
      <c r="B1222" s="26" t="str">
        <f aca="false">Entities!$A$33</f>
        <v>AU</v>
      </c>
      <c r="C1222" s="12" t="str">
        <f aca="false">INDEX(Entities!$B$5:$B$34,MATCH(B1222,Entities!$A$5:$A$34,0))</f>
        <v>Arab Bank Australia</v>
      </c>
      <c r="D1222" s="7" t="str">
        <f aca="false">INDEX(Entities!$F$5:$F$34,MATCH(B1222,Entities!$A$5:$A$34,0))</f>
        <v>Tier 2</v>
      </c>
      <c r="E1222" s="26" t="str">
        <f aca="false">'Control Library'!$A$18</f>
        <v>CTL-PF-01</v>
      </c>
      <c r="F1222" s="12" t="str">
        <f aca="false">INDEX('Control Library'!$B$5:$B$47,MATCH(E1222,'Control Library'!$A$5:$A$47,0))</f>
        <v>Dual-use goods, vessel and port screening</v>
      </c>
      <c r="G1222" s="7" t="str">
        <f aca="false">INDEX('Control Library'!$F$5:$F$47,MATCH(E1222,'Control Library'!$A$5:$A$47,0))</f>
        <v>Y</v>
      </c>
      <c r="H1222" s="12" t="str">
        <f aca="false">INDEX('Control Library'!$E$5:$E$47,MATCH(E1222,'Control Library'!$A$5:$A$47,0))</f>
        <v>Event-driven</v>
      </c>
      <c r="I1222" s="7" t="str">
        <f aca="false">IF(INDEX('Control Library'!$I$5:$I$47,MATCH(E1222,'Control Library'!$A$5:$A$47,0))="All","Y",IF(INDEX('Control Library'!$I$5:$I$47,MATCH(E1222,'Control Library'!$A$5:$A$47,0))="Banks only",IF(COUNTIF('Residual Config'!$L$28:$L$30,INDEX(Entities!$E$5:$E$34,MATCH(B1222,Entities!$A$5:$A$34,0)))&gt;0,"N/A","Y"),IF(INDEX(Entities!$G$5:$G$34,MATCH(B1222,Entities!$A$5:$A$34,0))="Y","Y","N/A")))</f>
        <v>Y</v>
      </c>
      <c r="J1222" s="8" t="s">
        <v>3782</v>
      </c>
      <c r="K1222" s="8" t="s">
        <v>3752</v>
      </c>
      <c r="L1222" s="7" t="str">
        <f aca="false">IF(OR(J1222="",K1222=""),"",IF(J1222=K1222,"Breach","OK"))</f>
        <v>OK</v>
      </c>
      <c r="M1222" s="24" t="n">
        <v>1</v>
      </c>
      <c r="N1222" s="50" t="n">
        <v>46236</v>
      </c>
      <c r="O1222" s="8" t="s">
        <v>545</v>
      </c>
      <c r="P1222" s="24" t="n">
        <v>35</v>
      </c>
      <c r="Q1222" s="31" t="n">
        <f aca="false">IF(I1222="N/A","",IFERROR(INDEX('Residual Config'!$B$35:$B$42,MATCH(H1222,'Residual Config'!$A$35:$A$42,0)),""))</f>
        <v>25</v>
      </c>
      <c r="R1222" s="24" t="n">
        <v>1</v>
      </c>
      <c r="S1222" s="8" t="s">
        <v>521</v>
      </c>
      <c r="T1222" s="31" t="n">
        <f aca="false">IF(S1222="","",MATCH(S1222,'Residual Config'!$L$9:$L$12,0))</f>
        <v>2</v>
      </c>
      <c r="U1222" s="8" t="s">
        <v>3785</v>
      </c>
      <c r="V1222" s="24" t="n">
        <v>1</v>
      </c>
      <c r="W1222" s="33" t="s">
        <v>533</v>
      </c>
      <c r="X1222" s="8" t="s">
        <v>760</v>
      </c>
      <c r="Y1222" s="51" t="n">
        <f aca="false">IF(N1222="","",EDATE(N1222,IF(G1222="N",INDEX('Residual Config'!$B$31:$D$31,1,MATCH(D1222,'Residual Config'!$B$27:$D$27,0)),INDEX('Residual Config'!$B$28:$D$30,IF(T1222=1,1,IF(T1222=4,3,2)),MATCH(D1222,'Residual Config'!$B$27:$D$27,0)))))</f>
        <v>46420</v>
      </c>
      <c r="Z1222" s="7" t="str">
        <f aca="false">IF(I1222="N/A","N/A",IF(N1222="","Not tested",IF(W1222="Rejected","Evidence rejected",IF(W1222&lt;&gt;"Accepted","Evidence pending",IF(Y1222&lt;'Residual Config'!$C$4,"Overdue","Current")))))</f>
        <v>Current</v>
      </c>
      <c r="AA1222" s="34" t="n">
        <f aca="false">IF(I1222="N/A","",IF(Z1222&lt;&gt;"Current",4,IF(MAX(M1222,T1222)=0,4,MAX(M1222,T1222))))</f>
        <v>2</v>
      </c>
      <c r="AB1222" s="7" t="str">
        <f aca="false">IF(AA1222="","N/A",IF(Z1222&lt;&gt;"Current","Not tested / overdue",INDEX('Residual Config'!$B$11:$B$14,AA1222)))</f>
        <v>Largely effective</v>
      </c>
      <c r="AC1222" s="36" t="n">
        <f aca="false">IF(AA1222="","",INDEX('Residual Config'!$D$11:$D$14,AA1222))</f>
        <v>0.4</v>
      </c>
      <c r="AD1222" s="7" t="str">
        <f aca="false">IF(OR(I1222="N/A",P1222="",Q1222=""),"",IF(P1222&gt;=Q1222,"Yes","No"))</f>
        <v>Yes</v>
      </c>
      <c r="AE1222" s="8"/>
    </row>
    <row r="1223" customFormat="false" ht="15" hidden="false" customHeight="false" outlineLevel="0" collapsed="false">
      <c r="A1223" s="12" t="s">
        <v>3786</v>
      </c>
      <c r="B1223" s="26" t="str">
        <f aca="false">Entities!$A$33</f>
        <v>AU</v>
      </c>
      <c r="C1223" s="12" t="str">
        <f aca="false">INDEX(Entities!$B$5:$B$34,MATCH(B1223,Entities!$A$5:$A$34,0))</f>
        <v>Arab Bank Australia</v>
      </c>
      <c r="D1223" s="7" t="str">
        <f aca="false">INDEX(Entities!$F$5:$F$34,MATCH(B1223,Entities!$A$5:$A$34,0))</f>
        <v>Tier 2</v>
      </c>
      <c r="E1223" s="26" t="str">
        <f aca="false">'Control Library'!$A$19</f>
        <v>CTL-CB-01</v>
      </c>
      <c r="F1223" s="12" t="str">
        <f aca="false">INDEX('Control Library'!$B$5:$B$47,MATCH(E1223,'Control Library'!$A$5:$A$47,0))</f>
        <v>Correspondent bank due diligence (CBDDQ) and nesting detection</v>
      </c>
      <c r="G1223" s="7" t="str">
        <f aca="false">INDEX('Control Library'!$F$5:$F$47,MATCH(E1223,'Control Library'!$A$5:$A$47,0))</f>
        <v>Y</v>
      </c>
      <c r="H1223" s="12" t="str">
        <f aca="false">INDEX('Control Library'!$E$5:$E$47,MATCH(E1223,'Control Library'!$A$5:$A$47,0))</f>
        <v>Annual</v>
      </c>
      <c r="I1223" s="7" t="str">
        <f aca="false">IF(INDEX('Control Library'!$I$5:$I$47,MATCH(E1223,'Control Library'!$A$5:$A$47,0))="All","Y",IF(INDEX('Control Library'!$I$5:$I$47,MATCH(E1223,'Control Library'!$A$5:$A$47,0))="Banks only",IF(COUNTIF('Residual Config'!$L$28:$L$30,INDEX(Entities!$E$5:$E$34,MATCH(B1223,Entities!$A$5:$A$34,0)))&gt;0,"N/A","Y"),IF(INDEX(Entities!$G$5:$G$34,MATCH(B1223,Entities!$A$5:$A$34,0))="Y","Y","N/A")))</f>
        <v>Y</v>
      </c>
      <c r="J1223" s="8" t="s">
        <v>3787</v>
      </c>
      <c r="K1223" s="8" t="s">
        <v>3752</v>
      </c>
      <c r="L1223" s="7" t="str">
        <f aca="false">IF(OR(J1223="",K1223=""),"",IF(J1223=K1223,"Breach","OK"))</f>
        <v>OK</v>
      </c>
      <c r="M1223" s="24" t="n">
        <v>1</v>
      </c>
      <c r="N1223" s="50" t="n">
        <v>46083</v>
      </c>
      <c r="O1223" s="8" t="s">
        <v>545</v>
      </c>
      <c r="P1223" s="24" t="n">
        <v>1</v>
      </c>
      <c r="Q1223" s="31" t="n">
        <f aca="false">IF(I1223="N/A","",IFERROR(INDEX('Residual Config'!$B$35:$B$42,MATCH(H1223,'Residual Config'!$A$35:$A$42,0)),""))</f>
        <v>1</v>
      </c>
      <c r="R1223" s="24" t="n">
        <v>1</v>
      </c>
      <c r="S1223" s="8" t="s">
        <v>521</v>
      </c>
      <c r="T1223" s="31" t="n">
        <f aca="false">IF(S1223="","",MATCH(S1223,'Residual Config'!$L$9:$L$12,0))</f>
        <v>2</v>
      </c>
      <c r="U1223" s="8" t="s">
        <v>3788</v>
      </c>
      <c r="V1223" s="24" t="n">
        <v>5</v>
      </c>
      <c r="W1223" s="33" t="s">
        <v>533</v>
      </c>
      <c r="X1223" s="8" t="s">
        <v>760</v>
      </c>
      <c r="Y1223" s="51" t="n">
        <f aca="false">IF(N1223="","",EDATE(N1223,IF(G1223="N",INDEX('Residual Config'!$B$31:$D$31,1,MATCH(D1223,'Residual Config'!$B$27:$D$27,0)),INDEX('Residual Config'!$B$28:$D$30,IF(T1223=1,1,IF(T1223=4,3,2)),MATCH(D1223,'Residual Config'!$B$27:$D$27,0)))))</f>
        <v>46267</v>
      </c>
      <c r="Z1223" s="7" t="str">
        <f aca="false">IF(I1223="N/A","N/A",IF(N1223="","Not tested",IF(W1223="Rejected","Evidence rejected",IF(W1223&lt;&gt;"Accepted","Evidence pending",IF(Y1223&lt;'Residual Config'!$C$4,"Overdue","Current")))))</f>
        <v>Overdue</v>
      </c>
      <c r="AA1223" s="34" t="n">
        <f aca="false">IF(I1223="N/A","",IF(Z1223&lt;&gt;"Current",4,IF(MAX(M1223,T1223)=0,4,MAX(M1223,T1223))))</f>
        <v>4</v>
      </c>
      <c r="AB1223" s="7" t="str">
        <f aca="false">IF(AA1223="","N/A",IF(Z1223&lt;&gt;"Current","Not tested / overdue",INDEX('Residual Config'!$B$11:$B$14,AA1223)))</f>
        <v>Not tested / overdue</v>
      </c>
      <c r="AC1223" s="36" t="n">
        <f aca="false">IF(AA1223="","",INDEX('Residual Config'!$D$11:$D$14,AA1223))</f>
        <v>0</v>
      </c>
      <c r="AD1223" s="7" t="str">
        <f aca="false">IF(OR(I1223="N/A",P1223="",Q1223=""),"",IF(P1223&gt;=Q1223,"Yes","No"))</f>
        <v>Yes</v>
      </c>
      <c r="AE1223" s="8"/>
    </row>
    <row r="1224" customFormat="false" ht="15" hidden="false" customHeight="false" outlineLevel="0" collapsed="false">
      <c r="A1224" s="12" t="s">
        <v>3789</v>
      </c>
      <c r="B1224" s="26" t="str">
        <f aca="false">Entities!$A$33</f>
        <v>AU</v>
      </c>
      <c r="C1224" s="12" t="str">
        <f aca="false">INDEX(Entities!$B$5:$B$34,MATCH(B1224,Entities!$A$5:$A$34,0))</f>
        <v>Arab Bank Australia</v>
      </c>
      <c r="D1224" s="7" t="str">
        <f aca="false">INDEX(Entities!$F$5:$F$34,MATCH(B1224,Entities!$A$5:$A$34,0))</f>
        <v>Tier 2</v>
      </c>
      <c r="E1224" s="26" t="str">
        <f aca="false">'Control Library'!$A$20</f>
        <v>CTL-PAY-01</v>
      </c>
      <c r="F1224" s="12" t="str">
        <f aca="false">INDEX('Control Library'!$B$5:$B$47,MATCH(E1224,'Control Library'!$A$5:$A$47,0))</f>
        <v>Payment transparency checks (FATF R.16)</v>
      </c>
      <c r="G1224" s="7" t="str">
        <f aca="false">INDEX('Control Library'!$F$5:$F$47,MATCH(E1224,'Control Library'!$A$5:$A$47,0))</f>
        <v>N</v>
      </c>
      <c r="H1224" s="12" t="str">
        <f aca="false">INDEX('Control Library'!$E$5:$E$47,MATCH(E1224,'Control Library'!$A$5:$A$47,0))</f>
        <v>Continuous</v>
      </c>
      <c r="I1224" s="7" t="str">
        <f aca="false">IF(INDEX('Control Library'!$I$5:$I$47,MATCH(E1224,'Control Library'!$A$5:$A$47,0))="All","Y",IF(INDEX('Control Library'!$I$5:$I$47,MATCH(E1224,'Control Library'!$A$5:$A$47,0))="Banks only",IF(COUNTIF('Residual Config'!$L$28:$L$30,INDEX(Entities!$E$5:$E$34,MATCH(B1224,Entities!$A$5:$A$34,0)))&gt;0,"N/A","Y"),IF(INDEX(Entities!$G$5:$G$34,MATCH(B1224,Entities!$A$5:$A$34,0))="Y","Y","N/A")))</f>
        <v>Y</v>
      </c>
      <c r="J1224" s="8" t="s">
        <v>3790</v>
      </c>
      <c r="K1224" s="8" t="s">
        <v>3752</v>
      </c>
      <c r="L1224" s="7" t="str">
        <f aca="false">IF(OR(J1224="",K1224=""),"",IF(J1224=K1224,"Breach","OK"))</f>
        <v>OK</v>
      </c>
      <c r="M1224" s="24" t="n">
        <v>1</v>
      </c>
      <c r="N1224" s="50" t="n">
        <v>46190</v>
      </c>
      <c r="O1224" s="8" t="s">
        <v>547</v>
      </c>
      <c r="P1224" s="24" t="n">
        <v>1</v>
      </c>
      <c r="Q1224" s="31" t="n">
        <f aca="false">IF(I1224="N/A","",IFERROR(INDEX('Residual Config'!$B$35:$B$42,MATCH(H1224,'Residual Config'!$A$35:$A$42,0)),""))</f>
        <v>1</v>
      </c>
      <c r="R1224" s="24" t="n">
        <v>0</v>
      </c>
      <c r="S1224" s="8" t="s">
        <v>516</v>
      </c>
      <c r="T1224" s="31" t="n">
        <f aca="false">IF(S1224="","",MATCH(S1224,'Residual Config'!$L$9:$L$12,0))</f>
        <v>1</v>
      </c>
      <c r="U1224" s="8" t="s">
        <v>3791</v>
      </c>
      <c r="V1224" s="24" t="n">
        <v>5</v>
      </c>
      <c r="W1224" s="33" t="s">
        <v>533</v>
      </c>
      <c r="X1224" s="8" t="s">
        <v>754</v>
      </c>
      <c r="Y1224" s="51" t="n">
        <f aca="false">IF(N1224="","",EDATE(N1224,IF(G1224="N",INDEX('Residual Config'!$B$31:$D$31,1,MATCH(D1224,'Residual Config'!$B$27:$D$27,0)),INDEX('Residual Config'!$B$28:$D$30,IF(T1224=1,1,IF(T1224=4,3,2)),MATCH(D1224,'Residual Config'!$B$27:$D$27,0)))))</f>
        <v>46555</v>
      </c>
      <c r="Z1224" s="7" t="str">
        <f aca="false">IF(I1224="N/A","N/A",IF(N1224="","Not tested",IF(W1224="Rejected","Evidence rejected",IF(W1224&lt;&gt;"Accepted","Evidence pending",IF(Y1224&lt;'Residual Config'!$C$4,"Overdue","Current")))))</f>
        <v>Current</v>
      </c>
      <c r="AA1224" s="34" t="n">
        <f aca="false">IF(I1224="N/A","",IF(Z1224&lt;&gt;"Current",4,IF(MAX(M1224,T1224)=0,4,MAX(M1224,T1224))))</f>
        <v>1</v>
      </c>
      <c r="AB1224" s="7" t="str">
        <f aca="false">IF(AA1224="","N/A",IF(Z1224&lt;&gt;"Current","Not tested / overdue",INDEX('Residual Config'!$B$11:$B$14,AA1224)))</f>
        <v>Effective</v>
      </c>
      <c r="AC1224" s="36" t="n">
        <f aca="false">IF(AA1224="","",INDEX('Residual Config'!$D$11:$D$14,AA1224))</f>
        <v>0.6</v>
      </c>
      <c r="AD1224" s="7" t="str">
        <f aca="false">IF(OR(I1224="N/A",P1224="",Q1224=""),"",IF(P1224&gt;=Q1224,"Yes","No"))</f>
        <v>Yes</v>
      </c>
      <c r="AE1224" s="8"/>
    </row>
    <row r="1225" customFormat="false" ht="15" hidden="false" customHeight="false" outlineLevel="0" collapsed="false">
      <c r="A1225" s="12" t="s">
        <v>3792</v>
      </c>
      <c r="B1225" s="26" t="str">
        <f aca="false">Entities!$A$33</f>
        <v>AU</v>
      </c>
      <c r="C1225" s="12" t="str">
        <f aca="false">INDEX(Entities!$B$5:$B$34,MATCH(B1225,Entities!$A$5:$A$34,0))</f>
        <v>Arab Bank Australia</v>
      </c>
      <c r="D1225" s="7" t="str">
        <f aca="false">INDEX(Entities!$F$5:$F$34,MATCH(B1225,Entities!$A$5:$A$34,0))</f>
        <v>Tier 2</v>
      </c>
      <c r="E1225" s="26" t="str">
        <f aca="false">'Control Library'!$A$21</f>
        <v>CTL-ABC-01</v>
      </c>
      <c r="F1225" s="12" t="str">
        <f aca="false">INDEX('Control Library'!$B$5:$B$47,MATCH(E1225,'Control Library'!$A$5:$A$47,0))</f>
        <v>Third-party and intermediary anti-bribery due diligence</v>
      </c>
      <c r="G1225" s="7" t="str">
        <f aca="false">INDEX('Control Library'!$F$5:$F$47,MATCH(E1225,'Control Library'!$A$5:$A$47,0))</f>
        <v>Y</v>
      </c>
      <c r="H1225" s="12" t="str">
        <f aca="false">INDEX('Control Library'!$E$5:$E$47,MATCH(E1225,'Control Library'!$A$5:$A$47,0))</f>
        <v>Event-driven</v>
      </c>
      <c r="I1225" s="7" t="str">
        <f aca="false">IF(INDEX('Control Library'!$I$5:$I$47,MATCH(E1225,'Control Library'!$A$5:$A$47,0))="All","Y",IF(INDEX('Control Library'!$I$5:$I$47,MATCH(E1225,'Control Library'!$A$5:$A$47,0))="Banks only",IF(COUNTIF('Residual Config'!$L$28:$L$30,INDEX(Entities!$E$5:$E$34,MATCH(B1225,Entities!$A$5:$A$34,0)))&gt;0,"N/A","Y"),IF(INDEX(Entities!$G$5:$G$34,MATCH(B1225,Entities!$A$5:$A$34,0))="Y","Y","N/A")))</f>
        <v>Y</v>
      </c>
      <c r="J1225" s="8" t="s">
        <v>3793</v>
      </c>
      <c r="K1225" s="8" t="s">
        <v>3752</v>
      </c>
      <c r="L1225" s="7" t="str">
        <f aca="false">IF(OR(J1225="",K1225=""),"",IF(J1225=K1225,"Breach","OK"))</f>
        <v>OK</v>
      </c>
      <c r="M1225" s="24" t="n">
        <v>1</v>
      </c>
      <c r="N1225" s="50" t="n">
        <v>46035</v>
      </c>
      <c r="O1225" s="8" t="s">
        <v>545</v>
      </c>
      <c r="P1225" s="24" t="n">
        <v>35</v>
      </c>
      <c r="Q1225" s="31" t="n">
        <f aca="false">IF(I1225="N/A","",IFERROR(INDEX('Residual Config'!$B$35:$B$42,MATCH(H1225,'Residual Config'!$A$35:$A$42,0)),""))</f>
        <v>25</v>
      </c>
      <c r="R1225" s="24" t="n">
        <v>0</v>
      </c>
      <c r="S1225" s="8" t="s">
        <v>516</v>
      </c>
      <c r="T1225" s="31" t="n">
        <f aca="false">IF(S1225="","",MATCH(S1225,'Residual Config'!$L$9:$L$12,0))</f>
        <v>1</v>
      </c>
      <c r="U1225" s="8" t="s">
        <v>3794</v>
      </c>
      <c r="V1225" s="24" t="n">
        <v>2</v>
      </c>
      <c r="W1225" s="33" t="s">
        <v>533</v>
      </c>
      <c r="X1225" s="8" t="s">
        <v>754</v>
      </c>
      <c r="Y1225" s="51" t="n">
        <f aca="false">IF(N1225="","",EDATE(N1225,IF(G1225="N",INDEX('Residual Config'!$B$31:$D$31,1,MATCH(D1225,'Residual Config'!$B$27:$D$27,0)),INDEX('Residual Config'!$B$28:$D$30,IF(T1225=1,1,IF(T1225=4,3,2)),MATCH(D1225,'Residual Config'!$B$27:$D$27,0)))))</f>
        <v>46400</v>
      </c>
      <c r="Z1225" s="7" t="str">
        <f aca="false">IF(I1225="N/A","N/A",IF(N1225="","Not tested",IF(W1225="Rejected","Evidence rejected",IF(W1225&lt;&gt;"Accepted","Evidence pending",IF(Y1225&lt;'Residual Config'!$C$4,"Overdue","Current")))))</f>
        <v>Current</v>
      </c>
      <c r="AA1225" s="34" t="n">
        <f aca="false">IF(I1225="N/A","",IF(Z1225&lt;&gt;"Current",4,IF(MAX(M1225,T1225)=0,4,MAX(M1225,T1225))))</f>
        <v>1</v>
      </c>
      <c r="AB1225" s="7" t="str">
        <f aca="false">IF(AA1225="","N/A",IF(Z1225&lt;&gt;"Current","Not tested / overdue",INDEX('Residual Config'!$B$11:$B$14,AA1225)))</f>
        <v>Effective</v>
      </c>
      <c r="AC1225" s="36" t="n">
        <f aca="false">IF(AA1225="","",INDEX('Residual Config'!$D$11:$D$14,AA1225))</f>
        <v>0.6</v>
      </c>
      <c r="AD1225" s="7" t="str">
        <f aca="false">IF(OR(I1225="N/A",P1225="",Q1225=""),"",IF(P1225&gt;=Q1225,"Yes","No"))</f>
        <v>Yes</v>
      </c>
      <c r="AE1225" s="8"/>
    </row>
    <row r="1226" customFormat="false" ht="15" hidden="false" customHeight="false" outlineLevel="0" collapsed="false">
      <c r="A1226" s="12" t="s">
        <v>3795</v>
      </c>
      <c r="B1226" s="26" t="str">
        <f aca="false">Entities!$A$33</f>
        <v>AU</v>
      </c>
      <c r="C1226" s="12" t="str">
        <f aca="false">INDEX(Entities!$B$5:$B$34,MATCH(B1226,Entities!$A$5:$A$34,0))</f>
        <v>Arab Bank Australia</v>
      </c>
      <c r="D1226" s="7" t="str">
        <f aca="false">INDEX(Entities!$F$5:$F$34,MATCH(B1226,Entities!$A$5:$A$34,0))</f>
        <v>Tier 2</v>
      </c>
      <c r="E1226" s="26" t="str">
        <f aca="false">'Control Library'!$A$22</f>
        <v>CTL-ABC-02</v>
      </c>
      <c r="F1226" s="12" t="str">
        <f aca="false">INDEX('Control Library'!$B$5:$B$47,MATCH(E1226,'Control Library'!$A$5:$A$47,0))</f>
        <v>Gifts, hospitality and donations register with pre-approval</v>
      </c>
      <c r="G1226" s="7" t="str">
        <f aca="false">INDEX('Control Library'!$F$5:$F$47,MATCH(E1226,'Control Library'!$A$5:$A$47,0))</f>
        <v>N</v>
      </c>
      <c r="H1226" s="12" t="str">
        <f aca="false">INDEX('Control Library'!$E$5:$E$47,MATCH(E1226,'Control Library'!$A$5:$A$47,0))</f>
        <v>Event-driven</v>
      </c>
      <c r="I1226" s="7" t="str">
        <f aca="false">IF(INDEX('Control Library'!$I$5:$I$47,MATCH(E1226,'Control Library'!$A$5:$A$47,0))="All","Y",IF(INDEX('Control Library'!$I$5:$I$47,MATCH(E1226,'Control Library'!$A$5:$A$47,0))="Banks only",IF(COUNTIF('Residual Config'!$L$28:$L$30,INDEX(Entities!$E$5:$E$34,MATCH(B1226,Entities!$A$5:$A$34,0)))&gt;0,"N/A","Y"),IF(INDEX(Entities!$G$5:$G$34,MATCH(B1226,Entities!$A$5:$A$34,0))="Y","Y","N/A")))</f>
        <v>Y</v>
      </c>
      <c r="J1226" s="8" t="s">
        <v>3755</v>
      </c>
      <c r="K1226" s="8" t="s">
        <v>3752</v>
      </c>
      <c r="L1226" s="7" t="str">
        <f aca="false">IF(OR(J1226="",K1226=""),"",IF(J1226=K1226,"Breach","OK"))</f>
        <v>OK</v>
      </c>
      <c r="M1226" s="24" t="n">
        <v>1</v>
      </c>
      <c r="N1226" s="50" t="n">
        <v>46184</v>
      </c>
      <c r="O1226" s="8" t="s">
        <v>545</v>
      </c>
      <c r="P1226" s="24" t="n">
        <v>30</v>
      </c>
      <c r="Q1226" s="31" t="n">
        <f aca="false">IF(I1226="N/A","",IFERROR(INDEX('Residual Config'!$B$35:$B$42,MATCH(H1226,'Residual Config'!$A$35:$A$42,0)),""))</f>
        <v>25</v>
      </c>
      <c r="R1226" s="24" t="n">
        <v>0</v>
      </c>
      <c r="S1226" s="8" t="s">
        <v>516</v>
      </c>
      <c r="T1226" s="31" t="n">
        <f aca="false">IF(S1226="","",MATCH(S1226,'Residual Config'!$L$9:$L$12,0))</f>
        <v>1</v>
      </c>
      <c r="U1226" s="8" t="s">
        <v>3796</v>
      </c>
      <c r="V1226" s="24" t="n">
        <v>2</v>
      </c>
      <c r="W1226" s="33" t="s">
        <v>533</v>
      </c>
      <c r="X1226" s="8" t="s">
        <v>754</v>
      </c>
      <c r="Y1226" s="51" t="n">
        <f aca="false">IF(N1226="","",EDATE(N1226,IF(G1226="N",INDEX('Residual Config'!$B$31:$D$31,1,MATCH(D1226,'Residual Config'!$B$27:$D$27,0)),INDEX('Residual Config'!$B$28:$D$30,IF(T1226=1,1,IF(T1226=4,3,2)),MATCH(D1226,'Residual Config'!$B$27:$D$27,0)))))</f>
        <v>46549</v>
      </c>
      <c r="Z1226" s="7" t="str">
        <f aca="false">IF(I1226="N/A","N/A",IF(N1226="","Not tested",IF(W1226="Rejected","Evidence rejected",IF(W1226&lt;&gt;"Accepted","Evidence pending",IF(Y1226&lt;'Residual Config'!$C$4,"Overdue","Current")))))</f>
        <v>Current</v>
      </c>
      <c r="AA1226" s="34" t="n">
        <f aca="false">IF(I1226="N/A","",IF(Z1226&lt;&gt;"Current",4,IF(MAX(M1226,T1226)=0,4,MAX(M1226,T1226))))</f>
        <v>1</v>
      </c>
      <c r="AB1226" s="7" t="str">
        <f aca="false">IF(AA1226="","N/A",IF(Z1226&lt;&gt;"Current","Not tested / overdue",INDEX('Residual Config'!$B$11:$B$14,AA1226)))</f>
        <v>Effective</v>
      </c>
      <c r="AC1226" s="36" t="n">
        <f aca="false">IF(AA1226="","",INDEX('Residual Config'!$D$11:$D$14,AA1226))</f>
        <v>0.6</v>
      </c>
      <c r="AD1226" s="7" t="str">
        <f aca="false">IF(OR(I1226="N/A",P1226="",Q1226=""),"",IF(P1226&gt;=Q1226,"Yes","No"))</f>
        <v>Yes</v>
      </c>
      <c r="AE1226" s="8"/>
    </row>
    <row r="1227" customFormat="false" ht="15" hidden="false" customHeight="false" outlineLevel="0" collapsed="false">
      <c r="A1227" s="12" t="s">
        <v>3797</v>
      </c>
      <c r="B1227" s="26" t="str">
        <f aca="false">Entities!$A$33</f>
        <v>AU</v>
      </c>
      <c r="C1227" s="12" t="str">
        <f aca="false">INDEX(Entities!$B$5:$B$34,MATCH(B1227,Entities!$A$5:$A$34,0))</f>
        <v>Arab Bank Australia</v>
      </c>
      <c r="D1227" s="7" t="str">
        <f aca="false">INDEX(Entities!$F$5:$F$34,MATCH(B1227,Entities!$A$5:$A$34,0))</f>
        <v>Tier 2</v>
      </c>
      <c r="E1227" s="26" t="str">
        <f aca="false">'Control Library'!$A$23</f>
        <v>CTL-FRD-01</v>
      </c>
      <c r="F1227" s="12" t="str">
        <f aca="false">INDEX('Control Library'!$B$5:$B$47,MATCH(E1227,'Control Library'!$A$5:$A$47,0))</f>
        <v>Real-time fraud monitoring for cards and digital channels</v>
      </c>
      <c r="G1227" s="7" t="str">
        <f aca="false">INDEX('Control Library'!$F$5:$F$47,MATCH(E1227,'Control Library'!$A$5:$A$47,0))</f>
        <v>Y</v>
      </c>
      <c r="H1227" s="12" t="str">
        <f aca="false">INDEX('Control Library'!$E$5:$E$47,MATCH(E1227,'Control Library'!$A$5:$A$47,0))</f>
        <v>Continuous</v>
      </c>
      <c r="I1227" s="7" t="str">
        <f aca="false">IF(INDEX('Control Library'!$I$5:$I$47,MATCH(E1227,'Control Library'!$A$5:$A$47,0))="All","Y",IF(INDEX('Control Library'!$I$5:$I$47,MATCH(E1227,'Control Library'!$A$5:$A$47,0))="Banks only",IF(COUNTIF('Residual Config'!$L$28:$L$30,INDEX(Entities!$E$5:$E$34,MATCH(B1227,Entities!$A$5:$A$34,0)))&gt;0,"N/A","Y"),IF(INDEX(Entities!$G$5:$G$34,MATCH(B1227,Entities!$A$5:$A$34,0))="Y","Y","N/A")))</f>
        <v>Y</v>
      </c>
      <c r="J1227" s="8" t="s">
        <v>3798</v>
      </c>
      <c r="K1227" s="8" t="s">
        <v>3752</v>
      </c>
      <c r="L1227" s="7" t="str">
        <f aca="false">IF(OR(J1227="",K1227=""),"",IF(J1227=K1227,"Breach","OK"))</f>
        <v>OK</v>
      </c>
      <c r="M1227" s="24" t="n">
        <v>1</v>
      </c>
      <c r="N1227" s="50" t="n">
        <v>46196</v>
      </c>
      <c r="O1227" s="8" t="s">
        <v>546</v>
      </c>
      <c r="P1227" s="24" t="n">
        <v>1</v>
      </c>
      <c r="Q1227" s="31" t="n">
        <f aca="false">IF(I1227="N/A","",IFERROR(INDEX('Residual Config'!$B$35:$B$42,MATCH(H1227,'Residual Config'!$A$35:$A$42,0)),""))</f>
        <v>1</v>
      </c>
      <c r="R1227" s="24" t="n">
        <v>1</v>
      </c>
      <c r="S1227" s="8" t="s">
        <v>521</v>
      </c>
      <c r="T1227" s="31" t="n">
        <f aca="false">IF(S1227="","",MATCH(S1227,'Residual Config'!$L$9:$L$12,0))</f>
        <v>2</v>
      </c>
      <c r="U1227" s="8" t="s">
        <v>3799</v>
      </c>
      <c r="V1227" s="24" t="n">
        <v>1</v>
      </c>
      <c r="W1227" s="33" t="s">
        <v>533</v>
      </c>
      <c r="X1227" s="8" t="s">
        <v>760</v>
      </c>
      <c r="Y1227" s="51" t="n">
        <f aca="false">IF(N1227="","",EDATE(N1227,IF(G1227="N",INDEX('Residual Config'!$B$31:$D$31,1,MATCH(D1227,'Residual Config'!$B$27:$D$27,0)),INDEX('Residual Config'!$B$28:$D$30,IF(T1227=1,1,IF(T1227=4,3,2)),MATCH(D1227,'Residual Config'!$B$27:$D$27,0)))))</f>
        <v>46379</v>
      </c>
      <c r="Z1227" s="7" t="str">
        <f aca="false">IF(I1227="N/A","N/A",IF(N1227="","Not tested",IF(W1227="Rejected","Evidence rejected",IF(W1227&lt;&gt;"Accepted","Evidence pending",IF(Y1227&lt;'Residual Config'!$C$4,"Overdue","Current")))))</f>
        <v>Current</v>
      </c>
      <c r="AA1227" s="34" t="n">
        <f aca="false">IF(I1227="N/A","",IF(Z1227&lt;&gt;"Current",4,IF(MAX(M1227,T1227)=0,4,MAX(M1227,T1227))))</f>
        <v>2</v>
      </c>
      <c r="AB1227" s="7" t="str">
        <f aca="false">IF(AA1227="","N/A",IF(Z1227&lt;&gt;"Current","Not tested / overdue",INDEX('Residual Config'!$B$11:$B$14,AA1227)))</f>
        <v>Largely effective</v>
      </c>
      <c r="AC1227" s="36" t="n">
        <f aca="false">IF(AA1227="","",INDEX('Residual Config'!$D$11:$D$14,AA1227))</f>
        <v>0.4</v>
      </c>
      <c r="AD1227" s="7" t="str">
        <f aca="false">IF(OR(I1227="N/A",P1227="",Q1227=""),"",IF(P1227&gt;=Q1227,"Yes","No"))</f>
        <v>Yes</v>
      </c>
      <c r="AE1227" s="8"/>
    </row>
    <row r="1228" customFormat="false" ht="15" hidden="false" customHeight="false" outlineLevel="0" collapsed="false">
      <c r="A1228" s="12" t="s">
        <v>3800</v>
      </c>
      <c r="B1228" s="26" t="str">
        <f aca="false">Entities!$A$33</f>
        <v>AU</v>
      </c>
      <c r="C1228" s="12" t="str">
        <f aca="false">INDEX(Entities!$B$5:$B$34,MATCH(B1228,Entities!$A$5:$A$34,0))</f>
        <v>Arab Bank Australia</v>
      </c>
      <c r="D1228" s="7" t="str">
        <f aca="false">INDEX(Entities!$F$5:$F$34,MATCH(B1228,Entities!$A$5:$A$34,0))</f>
        <v>Tier 2</v>
      </c>
      <c r="E1228" s="26" t="str">
        <f aca="false">'Control Library'!$A$24</f>
        <v>CTL-FRD-02</v>
      </c>
      <c r="F1228" s="12" t="str">
        <f aca="false">INDEX('Control Library'!$B$5:$B$47,MATCH(E1228,'Control Library'!$A$5:$A$47,0))</f>
        <v>Maker-checker and dual control on payments and static data</v>
      </c>
      <c r="G1228" s="7" t="str">
        <f aca="false">INDEX('Control Library'!$F$5:$F$47,MATCH(E1228,'Control Library'!$A$5:$A$47,0))</f>
        <v>Y</v>
      </c>
      <c r="H1228" s="12" t="str">
        <f aca="false">INDEX('Control Library'!$E$5:$E$47,MATCH(E1228,'Control Library'!$A$5:$A$47,0))</f>
        <v>Daily</v>
      </c>
      <c r="I1228" s="7" t="str">
        <f aca="false">IF(INDEX('Control Library'!$I$5:$I$47,MATCH(E1228,'Control Library'!$A$5:$A$47,0))="All","Y",IF(INDEX('Control Library'!$I$5:$I$47,MATCH(E1228,'Control Library'!$A$5:$A$47,0))="Banks only",IF(COUNTIF('Residual Config'!$L$28:$L$30,INDEX(Entities!$E$5:$E$34,MATCH(B1228,Entities!$A$5:$A$34,0)))&gt;0,"N/A","Y"),IF(INDEX(Entities!$G$5:$G$34,MATCH(B1228,Entities!$A$5:$A$34,0))="Y","Y","N/A")))</f>
        <v>Y</v>
      </c>
      <c r="J1228" s="8" t="s">
        <v>3751</v>
      </c>
      <c r="K1228" s="8" t="s">
        <v>3752</v>
      </c>
      <c r="L1228" s="7" t="str">
        <f aca="false">IF(OR(J1228="",K1228=""),"",IF(J1228=K1228,"Breach","OK"))</f>
        <v>OK</v>
      </c>
      <c r="M1228" s="24" t="n">
        <v>1</v>
      </c>
      <c r="N1228" s="50" t="n">
        <v>46251</v>
      </c>
      <c r="O1228" s="8" t="s">
        <v>545</v>
      </c>
      <c r="P1228" s="24" t="n">
        <v>30</v>
      </c>
      <c r="Q1228" s="31" t="n">
        <f aca="false">IF(I1228="N/A","",IFERROR(INDEX('Residual Config'!$B$35:$B$42,MATCH(H1228,'Residual Config'!$A$35:$A$42,0)),""))</f>
        <v>25</v>
      </c>
      <c r="R1228" s="24" t="n">
        <v>0</v>
      </c>
      <c r="S1228" s="8" t="s">
        <v>516</v>
      </c>
      <c r="T1228" s="31" t="n">
        <f aca="false">IF(S1228="","",MATCH(S1228,'Residual Config'!$L$9:$L$12,0))</f>
        <v>1</v>
      </c>
      <c r="U1228" s="8" t="s">
        <v>3801</v>
      </c>
      <c r="V1228" s="24" t="n">
        <v>6</v>
      </c>
      <c r="W1228" s="33" t="s">
        <v>533</v>
      </c>
      <c r="X1228" s="8" t="s">
        <v>754</v>
      </c>
      <c r="Y1228" s="51" t="n">
        <f aca="false">IF(N1228="","",EDATE(N1228,IF(G1228="N",INDEX('Residual Config'!$B$31:$D$31,1,MATCH(D1228,'Residual Config'!$B$27:$D$27,0)),INDEX('Residual Config'!$B$28:$D$30,IF(T1228=1,1,IF(T1228=4,3,2)),MATCH(D1228,'Residual Config'!$B$27:$D$27,0)))))</f>
        <v>46616</v>
      </c>
      <c r="Z1228" s="7" t="str">
        <f aca="false">IF(I1228="N/A","N/A",IF(N1228="","Not tested",IF(W1228="Rejected","Evidence rejected",IF(W1228&lt;&gt;"Accepted","Evidence pending",IF(Y1228&lt;'Residual Config'!$C$4,"Overdue","Current")))))</f>
        <v>Current</v>
      </c>
      <c r="AA1228" s="34" t="n">
        <f aca="false">IF(I1228="N/A","",IF(Z1228&lt;&gt;"Current",4,IF(MAX(M1228,T1228)=0,4,MAX(M1228,T1228))))</f>
        <v>1</v>
      </c>
      <c r="AB1228" s="7" t="str">
        <f aca="false">IF(AA1228="","N/A",IF(Z1228&lt;&gt;"Current","Not tested / overdue",INDEX('Residual Config'!$B$11:$B$14,AA1228)))</f>
        <v>Effective</v>
      </c>
      <c r="AC1228" s="36" t="n">
        <f aca="false">IF(AA1228="","",INDEX('Residual Config'!$D$11:$D$14,AA1228))</f>
        <v>0.6</v>
      </c>
      <c r="AD1228" s="7" t="str">
        <f aca="false">IF(OR(I1228="N/A",P1228="",Q1228=""),"",IF(P1228&gt;=Q1228,"Yes","No"))</f>
        <v>Yes</v>
      </c>
      <c r="AE1228" s="8"/>
    </row>
    <row r="1229" customFormat="false" ht="15" hidden="false" customHeight="false" outlineLevel="0" collapsed="false">
      <c r="A1229" s="12" t="s">
        <v>3802</v>
      </c>
      <c r="B1229" s="26" t="str">
        <f aca="false">Entities!$A$33</f>
        <v>AU</v>
      </c>
      <c r="C1229" s="12" t="str">
        <f aca="false">INDEX(Entities!$B$5:$B$34,MATCH(B1229,Entities!$A$5:$A$34,0))</f>
        <v>Arab Bank Australia</v>
      </c>
      <c r="D1229" s="7" t="str">
        <f aca="false">INDEX(Entities!$F$5:$F$34,MATCH(B1229,Entities!$A$5:$A$34,0))</f>
        <v>Tier 2</v>
      </c>
      <c r="E1229" s="26" t="str">
        <f aca="false">'Control Library'!$A$25</f>
        <v>CTL-FRD-03</v>
      </c>
      <c r="F1229" s="12" t="str">
        <f aca="false">INDEX('Control Library'!$B$5:$B$47,MATCH(E1229,'Control Library'!$A$5:$A$47,0))</f>
        <v>Mandatory consecutive leave and rotation for sensitive roles</v>
      </c>
      <c r="G1229" s="7" t="str">
        <f aca="false">INDEX('Control Library'!$F$5:$F$47,MATCH(E1229,'Control Library'!$A$5:$A$47,0))</f>
        <v>N</v>
      </c>
      <c r="H1229" s="12" t="str">
        <f aca="false">INDEX('Control Library'!$E$5:$E$47,MATCH(E1229,'Control Library'!$A$5:$A$47,0))</f>
        <v>Annual</v>
      </c>
      <c r="I1229" s="7" t="str">
        <f aca="false">IF(INDEX('Control Library'!$I$5:$I$47,MATCH(E1229,'Control Library'!$A$5:$A$47,0))="All","Y",IF(INDEX('Control Library'!$I$5:$I$47,MATCH(E1229,'Control Library'!$A$5:$A$47,0))="Banks only",IF(COUNTIF('Residual Config'!$L$28:$L$30,INDEX(Entities!$E$5:$E$34,MATCH(B1229,Entities!$A$5:$A$34,0)))&gt;0,"N/A","Y"),IF(INDEX(Entities!$G$5:$G$34,MATCH(B1229,Entities!$A$5:$A$34,0))="Y","Y","N/A")))</f>
        <v>Y</v>
      </c>
      <c r="J1229" s="8" t="s">
        <v>3803</v>
      </c>
      <c r="K1229" s="8" t="s">
        <v>3752</v>
      </c>
      <c r="L1229" s="7" t="str">
        <f aca="false">IF(OR(J1229="",K1229=""),"",IF(J1229=K1229,"Breach","OK"))</f>
        <v>OK</v>
      </c>
      <c r="M1229" s="24" t="n">
        <v>1</v>
      </c>
      <c r="N1229" s="50" t="n">
        <v>45991</v>
      </c>
      <c r="O1229" s="8" t="s">
        <v>546</v>
      </c>
      <c r="P1229" s="24" t="n">
        <v>1</v>
      </c>
      <c r="Q1229" s="31" t="n">
        <f aca="false">IF(I1229="N/A","",IFERROR(INDEX('Residual Config'!$B$35:$B$42,MATCH(H1229,'Residual Config'!$A$35:$A$42,0)),""))</f>
        <v>1</v>
      </c>
      <c r="R1229" s="24" t="n">
        <v>1</v>
      </c>
      <c r="S1229" s="8" t="s">
        <v>521</v>
      </c>
      <c r="T1229" s="31" t="n">
        <f aca="false">IF(S1229="","",MATCH(S1229,'Residual Config'!$L$9:$L$12,0))</f>
        <v>2</v>
      </c>
      <c r="U1229" s="8" t="s">
        <v>3804</v>
      </c>
      <c r="V1229" s="24" t="n">
        <v>4</v>
      </c>
      <c r="W1229" s="33" t="s">
        <v>533</v>
      </c>
      <c r="X1229" s="8" t="s">
        <v>754</v>
      </c>
      <c r="Y1229" s="51" t="n">
        <f aca="false">IF(N1229="","",EDATE(N1229,IF(G1229="N",INDEX('Residual Config'!$B$31:$D$31,1,MATCH(D1229,'Residual Config'!$B$27:$D$27,0)),INDEX('Residual Config'!$B$28:$D$30,IF(T1229=1,1,IF(T1229=4,3,2)),MATCH(D1229,'Residual Config'!$B$27:$D$27,0)))))</f>
        <v>46356</v>
      </c>
      <c r="Z1229" s="7" t="str">
        <f aca="false">IF(I1229="N/A","N/A",IF(N1229="","Not tested",IF(W1229="Rejected","Evidence rejected",IF(W1229&lt;&gt;"Accepted","Evidence pending",IF(Y1229&lt;'Residual Config'!$C$4,"Overdue","Current")))))</f>
        <v>Current</v>
      </c>
      <c r="AA1229" s="34" t="n">
        <f aca="false">IF(I1229="N/A","",IF(Z1229&lt;&gt;"Current",4,IF(MAX(M1229,T1229)=0,4,MAX(M1229,T1229))))</f>
        <v>2</v>
      </c>
      <c r="AB1229" s="7" t="str">
        <f aca="false">IF(AA1229="","N/A",IF(Z1229&lt;&gt;"Current","Not tested / overdue",INDEX('Residual Config'!$B$11:$B$14,AA1229)))</f>
        <v>Largely effective</v>
      </c>
      <c r="AC1229" s="36" t="n">
        <f aca="false">IF(AA1229="","",INDEX('Residual Config'!$D$11:$D$14,AA1229))</f>
        <v>0.4</v>
      </c>
      <c r="AD1229" s="7" t="str">
        <f aca="false">IF(OR(I1229="N/A",P1229="",Q1229=""),"",IF(P1229&gt;=Q1229,"Yes","No"))</f>
        <v>Yes</v>
      </c>
      <c r="AE1229" s="8"/>
    </row>
    <row r="1230" customFormat="false" ht="15" hidden="false" customHeight="false" outlineLevel="0" collapsed="false">
      <c r="A1230" s="12" t="s">
        <v>3805</v>
      </c>
      <c r="B1230" s="26" t="str">
        <f aca="false">Entities!$A$33</f>
        <v>AU</v>
      </c>
      <c r="C1230" s="12" t="str">
        <f aca="false">INDEX(Entities!$B$5:$B$34,MATCH(B1230,Entities!$A$5:$A$34,0))</f>
        <v>Arab Bank Australia</v>
      </c>
      <c r="D1230" s="7" t="str">
        <f aca="false">INDEX(Entities!$F$5:$F$34,MATCH(B1230,Entities!$A$5:$A$34,0))</f>
        <v>Tier 2</v>
      </c>
      <c r="E1230" s="26" t="str">
        <f aca="false">'Control Library'!$A$26</f>
        <v>CTL-TAX-01</v>
      </c>
      <c r="F1230" s="12" t="str">
        <f aca="false">INDEX('Control Library'!$B$5:$B$47,MATCH(E1230,'Control Library'!$A$5:$A$47,0))</f>
        <v>FATCA/CRS self-certification and classification</v>
      </c>
      <c r="G1230" s="7" t="str">
        <f aca="false">INDEX('Control Library'!$F$5:$F$47,MATCH(E1230,'Control Library'!$A$5:$A$47,0))</f>
        <v>Y</v>
      </c>
      <c r="H1230" s="12" t="str">
        <f aca="false">INDEX('Control Library'!$E$5:$E$47,MATCH(E1230,'Control Library'!$A$5:$A$47,0))</f>
        <v>Event-driven</v>
      </c>
      <c r="I1230" s="7" t="str">
        <f aca="false">IF(INDEX('Control Library'!$I$5:$I$47,MATCH(E1230,'Control Library'!$A$5:$A$47,0))="All","Y",IF(INDEX('Control Library'!$I$5:$I$47,MATCH(E1230,'Control Library'!$A$5:$A$47,0))="Banks only",IF(COUNTIF('Residual Config'!$L$28:$L$30,INDEX(Entities!$E$5:$E$34,MATCH(B1230,Entities!$A$5:$A$34,0)))&gt;0,"N/A","Y"),IF(INDEX(Entities!$G$5:$G$34,MATCH(B1230,Entities!$A$5:$A$34,0))="Y","Y","N/A")))</f>
        <v>Y</v>
      </c>
      <c r="J1230" s="8" t="s">
        <v>3751</v>
      </c>
      <c r="K1230" s="8" t="s">
        <v>3752</v>
      </c>
      <c r="L1230" s="7" t="str">
        <f aca="false">IF(OR(J1230="",K1230=""),"",IF(J1230=K1230,"Breach","OK"))</f>
        <v>OK</v>
      </c>
      <c r="M1230" s="24" t="n">
        <v>1</v>
      </c>
      <c r="N1230" s="50" t="n">
        <v>46207</v>
      </c>
      <c r="O1230" s="8" t="s">
        <v>545</v>
      </c>
      <c r="P1230" s="24" t="n">
        <v>25</v>
      </c>
      <c r="Q1230" s="31" t="n">
        <f aca="false">IF(I1230="N/A","",IFERROR(INDEX('Residual Config'!$B$35:$B$42,MATCH(H1230,'Residual Config'!$A$35:$A$42,0)),""))</f>
        <v>25</v>
      </c>
      <c r="R1230" s="24" t="n">
        <v>0</v>
      </c>
      <c r="S1230" s="8" t="s">
        <v>516</v>
      </c>
      <c r="T1230" s="31" t="n">
        <f aca="false">IF(S1230="","",MATCH(S1230,'Residual Config'!$L$9:$L$12,0))</f>
        <v>1</v>
      </c>
      <c r="U1230" s="8" t="s">
        <v>3806</v>
      </c>
      <c r="V1230" s="24" t="n">
        <v>2</v>
      </c>
      <c r="W1230" s="33" t="s">
        <v>533</v>
      </c>
      <c r="X1230" s="8" t="s">
        <v>760</v>
      </c>
      <c r="Y1230" s="51" t="n">
        <f aca="false">IF(N1230="","",EDATE(N1230,IF(G1230="N",INDEX('Residual Config'!$B$31:$D$31,1,MATCH(D1230,'Residual Config'!$B$27:$D$27,0)),INDEX('Residual Config'!$B$28:$D$30,IF(T1230=1,1,IF(T1230=4,3,2)),MATCH(D1230,'Residual Config'!$B$27:$D$27,0)))))</f>
        <v>46572</v>
      </c>
      <c r="Z1230" s="7" t="str">
        <f aca="false">IF(I1230="N/A","N/A",IF(N1230="","Not tested",IF(W1230="Rejected","Evidence rejected",IF(W1230&lt;&gt;"Accepted","Evidence pending",IF(Y1230&lt;'Residual Config'!$C$4,"Overdue","Current")))))</f>
        <v>Current</v>
      </c>
      <c r="AA1230" s="34" t="n">
        <f aca="false">IF(I1230="N/A","",IF(Z1230&lt;&gt;"Current",4,IF(MAX(M1230,T1230)=0,4,MAX(M1230,T1230))))</f>
        <v>1</v>
      </c>
      <c r="AB1230" s="7" t="str">
        <f aca="false">IF(AA1230="","N/A",IF(Z1230&lt;&gt;"Current","Not tested / overdue",INDEX('Residual Config'!$B$11:$B$14,AA1230)))</f>
        <v>Effective</v>
      </c>
      <c r="AC1230" s="36" t="n">
        <f aca="false">IF(AA1230="","",INDEX('Residual Config'!$D$11:$D$14,AA1230))</f>
        <v>0.6</v>
      </c>
      <c r="AD1230" s="7" t="str">
        <f aca="false">IF(OR(I1230="N/A",P1230="",Q1230=""),"",IF(P1230&gt;=Q1230,"Yes","No"))</f>
        <v>Yes</v>
      </c>
      <c r="AE1230" s="8"/>
    </row>
    <row r="1231" customFormat="false" ht="15" hidden="false" customHeight="false" outlineLevel="0" collapsed="false">
      <c r="A1231" s="12" t="s">
        <v>3807</v>
      </c>
      <c r="B1231" s="26" t="str">
        <f aca="false">Entities!$A$33</f>
        <v>AU</v>
      </c>
      <c r="C1231" s="12" t="str">
        <f aca="false">INDEX(Entities!$B$5:$B$34,MATCH(B1231,Entities!$A$5:$A$34,0))</f>
        <v>Arab Bank Australia</v>
      </c>
      <c r="D1231" s="7" t="str">
        <f aca="false">INDEX(Entities!$F$5:$F$34,MATCH(B1231,Entities!$A$5:$A$34,0))</f>
        <v>Tier 2</v>
      </c>
      <c r="E1231" s="26" t="str">
        <f aca="false">'Control Library'!$A$27</f>
        <v>CTL-TAX-02</v>
      </c>
      <c r="F1231" s="12" t="str">
        <f aca="false">INDEX('Control Library'!$B$5:$B$47,MATCH(E1231,'Control Library'!$A$5:$A$47,0))</f>
        <v>FATCA/CRS reporting reconciliation and timely filing</v>
      </c>
      <c r="G1231" s="7" t="str">
        <f aca="false">INDEX('Control Library'!$F$5:$F$47,MATCH(E1231,'Control Library'!$A$5:$A$47,0))</f>
        <v>N</v>
      </c>
      <c r="H1231" s="12" t="str">
        <f aca="false">INDEX('Control Library'!$E$5:$E$47,MATCH(E1231,'Control Library'!$A$5:$A$47,0))</f>
        <v>Annual</v>
      </c>
      <c r="I1231" s="7" t="str">
        <f aca="false">IF(INDEX('Control Library'!$I$5:$I$47,MATCH(E1231,'Control Library'!$A$5:$A$47,0))="All","Y",IF(INDEX('Control Library'!$I$5:$I$47,MATCH(E1231,'Control Library'!$A$5:$A$47,0))="Banks only",IF(COUNTIF('Residual Config'!$L$28:$L$30,INDEX(Entities!$E$5:$E$34,MATCH(B1231,Entities!$A$5:$A$34,0)))&gt;0,"N/A","Y"),IF(INDEX(Entities!$G$5:$G$34,MATCH(B1231,Entities!$A$5:$A$34,0))="Y","Y","N/A")))</f>
        <v>Y</v>
      </c>
      <c r="J1231" s="8" t="s">
        <v>3808</v>
      </c>
      <c r="K1231" s="8" t="s">
        <v>3752</v>
      </c>
      <c r="L1231" s="7" t="str">
        <f aca="false">IF(OR(J1231="",K1231=""),"",IF(J1231=K1231,"Breach","OK"))</f>
        <v>OK</v>
      </c>
      <c r="M1231" s="24" t="n">
        <v>1</v>
      </c>
      <c r="N1231" s="50" t="n">
        <v>46032</v>
      </c>
      <c r="O1231" s="8" t="s">
        <v>546</v>
      </c>
      <c r="P1231" s="24" t="n">
        <v>1</v>
      </c>
      <c r="Q1231" s="31" t="n">
        <f aca="false">IF(I1231="N/A","",IFERROR(INDEX('Residual Config'!$B$35:$B$42,MATCH(H1231,'Residual Config'!$A$35:$A$42,0)),""))</f>
        <v>1</v>
      </c>
      <c r="R1231" s="24" t="n">
        <v>0</v>
      </c>
      <c r="S1231" s="8" t="s">
        <v>516</v>
      </c>
      <c r="T1231" s="31" t="n">
        <f aca="false">IF(S1231="","",MATCH(S1231,'Residual Config'!$L$9:$L$12,0))</f>
        <v>1</v>
      </c>
      <c r="U1231" s="8" t="s">
        <v>3809</v>
      </c>
      <c r="V1231" s="24" t="n">
        <v>3</v>
      </c>
      <c r="W1231" s="33" t="s">
        <v>533</v>
      </c>
      <c r="X1231" s="8" t="s">
        <v>760</v>
      </c>
      <c r="Y1231" s="51" t="n">
        <f aca="false">IF(N1231="","",EDATE(N1231,IF(G1231="N",INDEX('Residual Config'!$B$31:$D$31,1,MATCH(D1231,'Residual Config'!$B$27:$D$27,0)),INDEX('Residual Config'!$B$28:$D$30,IF(T1231=1,1,IF(T1231=4,3,2)),MATCH(D1231,'Residual Config'!$B$27:$D$27,0)))))</f>
        <v>46397</v>
      </c>
      <c r="Z1231" s="7" t="str">
        <f aca="false">IF(I1231="N/A","N/A",IF(N1231="","Not tested",IF(W1231="Rejected","Evidence rejected",IF(W1231&lt;&gt;"Accepted","Evidence pending",IF(Y1231&lt;'Residual Config'!$C$4,"Overdue","Current")))))</f>
        <v>Current</v>
      </c>
      <c r="AA1231" s="34" t="n">
        <f aca="false">IF(I1231="N/A","",IF(Z1231&lt;&gt;"Current",4,IF(MAX(M1231,T1231)=0,4,MAX(M1231,T1231))))</f>
        <v>1</v>
      </c>
      <c r="AB1231" s="7" t="str">
        <f aca="false">IF(AA1231="","N/A",IF(Z1231&lt;&gt;"Current","Not tested / overdue",INDEX('Residual Config'!$B$11:$B$14,AA1231)))</f>
        <v>Effective</v>
      </c>
      <c r="AC1231" s="36" t="n">
        <f aca="false">IF(AA1231="","",INDEX('Residual Config'!$D$11:$D$14,AA1231))</f>
        <v>0.6</v>
      </c>
      <c r="AD1231" s="7" t="str">
        <f aca="false">IF(OR(I1231="N/A",P1231="",Q1231=""),"",IF(P1231&gt;=Q1231,"Yes","No"))</f>
        <v>Yes</v>
      </c>
      <c r="AE1231" s="8"/>
    </row>
    <row r="1232" customFormat="false" ht="15" hidden="false" customHeight="false" outlineLevel="0" collapsed="false">
      <c r="A1232" s="12" t="s">
        <v>3810</v>
      </c>
      <c r="B1232" s="26" t="str">
        <f aca="false">Entities!$A$33</f>
        <v>AU</v>
      </c>
      <c r="C1232" s="12" t="str">
        <f aca="false">INDEX(Entities!$B$5:$B$34,MATCH(B1232,Entities!$A$5:$A$34,0))</f>
        <v>Arab Bank Australia</v>
      </c>
      <c r="D1232" s="7" t="str">
        <f aca="false">INDEX(Entities!$F$5:$F$34,MATCH(B1232,Entities!$A$5:$A$34,0))</f>
        <v>Tier 2</v>
      </c>
      <c r="E1232" s="26" t="str">
        <f aca="false">'Control Library'!$A$28</f>
        <v>CTL-TRN-01</v>
      </c>
      <c r="F1232" s="12" t="str">
        <f aca="false">INDEX('Control Library'!$B$5:$B$47,MATCH(E1232,'Control Library'!$A$5:$A$47,0))</f>
        <v>Annual AML, sanctions and anti-bribery training</v>
      </c>
      <c r="G1232" s="7" t="str">
        <f aca="false">INDEX('Control Library'!$F$5:$F$47,MATCH(E1232,'Control Library'!$A$5:$A$47,0))</f>
        <v>N</v>
      </c>
      <c r="H1232" s="12" t="str">
        <f aca="false">INDEX('Control Library'!$E$5:$E$47,MATCH(E1232,'Control Library'!$A$5:$A$47,0))</f>
        <v>Annual</v>
      </c>
      <c r="I1232" s="7" t="str">
        <f aca="false">IF(INDEX('Control Library'!$I$5:$I$47,MATCH(E1232,'Control Library'!$A$5:$A$47,0))="All","Y",IF(INDEX('Control Library'!$I$5:$I$47,MATCH(E1232,'Control Library'!$A$5:$A$47,0))="Banks only",IF(COUNTIF('Residual Config'!$L$28:$L$30,INDEX(Entities!$E$5:$E$34,MATCH(B1232,Entities!$A$5:$A$34,0)))&gt;0,"N/A","Y"),IF(INDEX(Entities!$G$5:$G$34,MATCH(B1232,Entities!$A$5:$A$34,0))="Y","Y","N/A")))</f>
        <v>Y</v>
      </c>
      <c r="J1232" s="8" t="s">
        <v>3755</v>
      </c>
      <c r="K1232" s="8" t="s">
        <v>3752</v>
      </c>
      <c r="L1232" s="7" t="str">
        <f aca="false">IF(OR(J1232="",K1232=""),"",IF(J1232=K1232,"Breach","OK"))</f>
        <v>OK</v>
      </c>
      <c r="M1232" s="24" t="n">
        <v>1</v>
      </c>
      <c r="N1232" s="50" t="n">
        <v>45950</v>
      </c>
      <c r="O1232" s="8" t="s">
        <v>546</v>
      </c>
      <c r="P1232" s="24" t="n">
        <v>1</v>
      </c>
      <c r="Q1232" s="31" t="n">
        <f aca="false">IF(I1232="N/A","",IFERROR(INDEX('Residual Config'!$B$35:$B$42,MATCH(H1232,'Residual Config'!$A$35:$A$42,0)),""))</f>
        <v>1</v>
      </c>
      <c r="R1232" s="24" t="n">
        <v>1</v>
      </c>
      <c r="S1232" s="8" t="s">
        <v>521</v>
      </c>
      <c r="T1232" s="31" t="n">
        <f aca="false">IF(S1232="","",MATCH(S1232,'Residual Config'!$L$9:$L$12,0))</f>
        <v>2</v>
      </c>
      <c r="U1232" s="8" t="s">
        <v>3811</v>
      </c>
      <c r="V1232" s="24" t="n">
        <v>2</v>
      </c>
      <c r="W1232" s="33" t="s">
        <v>535</v>
      </c>
      <c r="X1232" s="8" t="s">
        <v>760</v>
      </c>
      <c r="Y1232" s="51" t="n">
        <f aca="false">IF(N1232="","",EDATE(N1232,IF(G1232="N",INDEX('Residual Config'!$B$31:$D$31,1,MATCH(D1232,'Residual Config'!$B$27:$D$27,0)),INDEX('Residual Config'!$B$28:$D$30,IF(T1232=1,1,IF(T1232=4,3,2)),MATCH(D1232,'Residual Config'!$B$27:$D$27,0)))))</f>
        <v>46315</v>
      </c>
      <c r="Z1232" s="7" t="str">
        <f aca="false">IF(I1232="N/A","N/A",IF(N1232="","Not tested",IF(W1232="Rejected","Evidence rejected",IF(W1232&lt;&gt;"Accepted","Evidence pending",IF(Y1232&lt;'Residual Config'!$C$4,"Overdue","Current")))))</f>
        <v>Evidence rejected</v>
      </c>
      <c r="AA1232" s="34" t="n">
        <f aca="false">IF(I1232="N/A","",IF(Z1232&lt;&gt;"Current",4,IF(MAX(M1232,T1232)=0,4,MAX(M1232,T1232))))</f>
        <v>4</v>
      </c>
      <c r="AB1232" s="7" t="str">
        <f aca="false">IF(AA1232="","N/A",IF(Z1232&lt;&gt;"Current","Not tested / overdue",INDEX('Residual Config'!$B$11:$B$14,AA1232)))</f>
        <v>Not tested / overdue</v>
      </c>
      <c r="AC1232" s="36" t="n">
        <f aca="false">IF(AA1232="","",INDEX('Residual Config'!$D$11:$D$14,AA1232))</f>
        <v>0</v>
      </c>
      <c r="AD1232" s="7" t="str">
        <f aca="false">IF(OR(I1232="N/A",P1232="",Q1232=""),"",IF(P1232&gt;=Q1232,"Yes","No"))</f>
        <v>Yes</v>
      </c>
      <c r="AE1232" s="8"/>
    </row>
    <row r="1233" customFormat="false" ht="15" hidden="false" customHeight="false" outlineLevel="0" collapsed="false">
      <c r="A1233" s="12" t="s">
        <v>3812</v>
      </c>
      <c r="B1233" s="26" t="str">
        <f aca="false">Entities!$A$33</f>
        <v>AU</v>
      </c>
      <c r="C1233" s="12" t="str">
        <f aca="false">INDEX(Entities!$B$5:$B$34,MATCH(B1233,Entities!$A$5:$A$34,0))</f>
        <v>Arab Bank Australia</v>
      </c>
      <c r="D1233" s="7" t="str">
        <f aca="false">INDEX(Entities!$F$5:$F$34,MATCH(B1233,Entities!$A$5:$A$34,0))</f>
        <v>Tier 2</v>
      </c>
      <c r="E1233" s="26" t="str">
        <f aca="false">'Control Library'!$A$29</f>
        <v>CTL-REG-01</v>
      </c>
      <c r="F1233" s="12" t="str">
        <f aca="false">INDEX('Control Library'!$B$5:$B$47,MATCH(E1233,'Control Library'!$A$5:$A$47,0))</f>
        <v>Regulatory change management and obligations register</v>
      </c>
      <c r="G1233" s="7" t="str">
        <f aca="false">INDEX('Control Library'!$F$5:$F$47,MATCH(E1233,'Control Library'!$A$5:$A$47,0))</f>
        <v>Y</v>
      </c>
      <c r="H1233" s="12" t="str">
        <f aca="false">INDEX('Control Library'!$E$5:$E$47,MATCH(E1233,'Control Library'!$A$5:$A$47,0))</f>
        <v>Monthly</v>
      </c>
      <c r="I1233" s="7" t="str">
        <f aca="false">IF(INDEX('Control Library'!$I$5:$I$47,MATCH(E1233,'Control Library'!$A$5:$A$47,0))="All","Y",IF(INDEX('Control Library'!$I$5:$I$47,MATCH(E1233,'Control Library'!$A$5:$A$47,0))="Banks only",IF(COUNTIF('Residual Config'!$L$28:$L$30,INDEX(Entities!$E$5:$E$34,MATCH(B1233,Entities!$A$5:$A$34,0)))&gt;0,"N/A","Y"),IF(INDEX(Entities!$G$5:$G$34,MATCH(B1233,Entities!$A$5:$A$34,0))="Y","Y","N/A")))</f>
        <v>Y</v>
      </c>
      <c r="J1233" s="8" t="s">
        <v>3755</v>
      </c>
      <c r="K1233" s="8" t="s">
        <v>3752</v>
      </c>
      <c r="L1233" s="7" t="str">
        <f aca="false">IF(OR(J1233="",K1233=""),"",IF(J1233=K1233,"Breach","OK"))</f>
        <v>OK</v>
      </c>
      <c r="M1233" s="24" t="n">
        <v>2</v>
      </c>
      <c r="N1233" s="50" t="n">
        <v>45969</v>
      </c>
      <c r="O1233" s="8" t="s">
        <v>546</v>
      </c>
      <c r="P1233" s="24" t="n">
        <v>3</v>
      </c>
      <c r="Q1233" s="31" t="n">
        <f aca="false">IF(I1233="N/A","",IFERROR(INDEX('Residual Config'!$B$35:$B$42,MATCH(H1233,'Residual Config'!$A$35:$A$42,0)),""))</f>
        <v>3</v>
      </c>
      <c r="R1233" s="24" t="n">
        <v>0</v>
      </c>
      <c r="S1233" s="8" t="s">
        <v>516</v>
      </c>
      <c r="T1233" s="31" t="n">
        <f aca="false">IF(S1233="","",MATCH(S1233,'Residual Config'!$L$9:$L$12,0))</f>
        <v>1</v>
      </c>
      <c r="U1233" s="8" t="s">
        <v>3813</v>
      </c>
      <c r="V1233" s="24" t="n">
        <v>5</v>
      </c>
      <c r="W1233" s="33" t="s">
        <v>533</v>
      </c>
      <c r="X1233" s="8" t="s">
        <v>760</v>
      </c>
      <c r="Y1233" s="51" t="n">
        <f aca="false">IF(N1233="","",EDATE(N1233,IF(G1233="N",INDEX('Residual Config'!$B$31:$D$31,1,MATCH(D1233,'Residual Config'!$B$27:$D$27,0)),INDEX('Residual Config'!$B$28:$D$30,IF(T1233=1,1,IF(T1233=4,3,2)),MATCH(D1233,'Residual Config'!$B$27:$D$27,0)))))</f>
        <v>46334</v>
      </c>
      <c r="Z1233" s="7" t="str">
        <f aca="false">IF(I1233="N/A","N/A",IF(N1233="","Not tested",IF(W1233="Rejected","Evidence rejected",IF(W1233&lt;&gt;"Accepted","Evidence pending",IF(Y1233&lt;'Residual Config'!$C$4,"Overdue","Current")))))</f>
        <v>Current</v>
      </c>
      <c r="AA1233" s="34" t="n">
        <f aca="false">IF(I1233="N/A","",IF(Z1233&lt;&gt;"Current",4,IF(MAX(M1233,T1233)=0,4,MAX(M1233,T1233))))</f>
        <v>2</v>
      </c>
      <c r="AB1233" s="7" t="str">
        <f aca="false">IF(AA1233="","N/A",IF(Z1233&lt;&gt;"Current","Not tested / overdue",INDEX('Residual Config'!$B$11:$B$14,AA1233)))</f>
        <v>Largely effective</v>
      </c>
      <c r="AC1233" s="36" t="n">
        <f aca="false">IF(AA1233="","",INDEX('Residual Config'!$D$11:$D$14,AA1233))</f>
        <v>0.4</v>
      </c>
      <c r="AD1233" s="7" t="str">
        <f aca="false">IF(OR(I1233="N/A",P1233="",Q1233=""),"",IF(P1233&gt;=Q1233,"Yes","No"))</f>
        <v>Yes</v>
      </c>
      <c r="AE1233" s="8"/>
    </row>
    <row r="1234" customFormat="false" ht="15" hidden="false" customHeight="false" outlineLevel="0" collapsed="false">
      <c r="A1234" s="12" t="s">
        <v>3814</v>
      </c>
      <c r="B1234" s="26" t="str">
        <f aca="false">Entities!$A$33</f>
        <v>AU</v>
      </c>
      <c r="C1234" s="12" t="str">
        <f aca="false">INDEX(Entities!$B$5:$B$34,MATCH(B1234,Entities!$A$5:$A$34,0))</f>
        <v>Arab Bank Australia</v>
      </c>
      <c r="D1234" s="7" t="str">
        <f aca="false">INDEX(Entities!$F$5:$F$34,MATCH(B1234,Entities!$A$5:$A$34,0))</f>
        <v>Tier 2</v>
      </c>
      <c r="E1234" s="26" t="str">
        <f aca="false">'Control Library'!$A$30</f>
        <v>CTL-REG-02</v>
      </c>
      <c r="F1234" s="12" t="str">
        <f aca="false">INDEX('Control Library'!$B$5:$B$47,MATCH(E1234,'Control Library'!$A$5:$A$47,0))</f>
        <v>Regulatory return review and senior sign-off</v>
      </c>
      <c r="G1234" s="7" t="str">
        <f aca="false">INDEX('Control Library'!$F$5:$F$47,MATCH(E1234,'Control Library'!$A$5:$A$47,0))</f>
        <v>Y</v>
      </c>
      <c r="H1234" s="12" t="str">
        <f aca="false">INDEX('Control Library'!$E$5:$E$47,MATCH(E1234,'Control Library'!$A$5:$A$47,0))</f>
        <v>Monthly</v>
      </c>
      <c r="I1234" s="7" t="str">
        <f aca="false">IF(INDEX('Control Library'!$I$5:$I$47,MATCH(E1234,'Control Library'!$A$5:$A$47,0))="All","Y",IF(INDEX('Control Library'!$I$5:$I$47,MATCH(E1234,'Control Library'!$A$5:$A$47,0))="Banks only",IF(COUNTIF('Residual Config'!$L$28:$L$30,INDEX(Entities!$E$5:$E$34,MATCH(B1234,Entities!$A$5:$A$34,0)))&gt;0,"N/A","Y"),IF(INDEX(Entities!$G$5:$G$34,MATCH(B1234,Entities!$A$5:$A$34,0))="Y","Y","N/A")))</f>
        <v>Y</v>
      </c>
      <c r="J1234" s="8" t="s">
        <v>3808</v>
      </c>
      <c r="K1234" s="8" t="s">
        <v>3752</v>
      </c>
      <c r="L1234" s="7" t="str">
        <f aca="false">IF(OR(J1234="",K1234=""),"",IF(J1234=K1234,"Breach","OK"))</f>
        <v>OK</v>
      </c>
      <c r="M1234" s="24" t="n">
        <v>1</v>
      </c>
      <c r="N1234" s="50" t="n">
        <v>45958</v>
      </c>
      <c r="O1234" s="8" t="s">
        <v>546</v>
      </c>
      <c r="P1234" s="24" t="n">
        <v>3</v>
      </c>
      <c r="Q1234" s="31" t="n">
        <f aca="false">IF(I1234="N/A","",IFERROR(INDEX('Residual Config'!$B$35:$B$42,MATCH(H1234,'Residual Config'!$A$35:$A$42,0)),""))</f>
        <v>3</v>
      </c>
      <c r="R1234" s="24" t="n">
        <v>0</v>
      </c>
      <c r="S1234" s="8" t="s">
        <v>516</v>
      </c>
      <c r="T1234" s="31" t="n">
        <f aca="false">IF(S1234="","",MATCH(S1234,'Residual Config'!$L$9:$L$12,0))</f>
        <v>1</v>
      </c>
      <c r="U1234" s="8" t="s">
        <v>3815</v>
      </c>
      <c r="V1234" s="24" t="n">
        <v>4</v>
      </c>
      <c r="W1234" s="33" t="s">
        <v>533</v>
      </c>
      <c r="X1234" s="8" t="s">
        <v>760</v>
      </c>
      <c r="Y1234" s="51" t="n">
        <f aca="false">IF(N1234="","",EDATE(N1234,IF(G1234="N",INDEX('Residual Config'!$B$31:$D$31,1,MATCH(D1234,'Residual Config'!$B$27:$D$27,0)),INDEX('Residual Config'!$B$28:$D$30,IF(T1234=1,1,IF(T1234=4,3,2)),MATCH(D1234,'Residual Config'!$B$27:$D$27,0)))))</f>
        <v>46323</v>
      </c>
      <c r="Z1234" s="7" t="str">
        <f aca="false">IF(I1234="N/A","N/A",IF(N1234="","Not tested",IF(W1234="Rejected","Evidence rejected",IF(W1234&lt;&gt;"Accepted","Evidence pending",IF(Y1234&lt;'Residual Config'!$C$4,"Overdue","Current")))))</f>
        <v>Current</v>
      </c>
      <c r="AA1234" s="34" t="n">
        <f aca="false">IF(I1234="N/A","",IF(Z1234&lt;&gt;"Current",4,IF(MAX(M1234,T1234)=0,4,MAX(M1234,T1234))))</f>
        <v>1</v>
      </c>
      <c r="AB1234" s="7" t="str">
        <f aca="false">IF(AA1234="","N/A",IF(Z1234&lt;&gt;"Current","Not tested / overdue",INDEX('Residual Config'!$B$11:$B$14,AA1234)))</f>
        <v>Effective</v>
      </c>
      <c r="AC1234" s="36" t="n">
        <f aca="false">IF(AA1234="","",INDEX('Residual Config'!$D$11:$D$14,AA1234))</f>
        <v>0.6</v>
      </c>
      <c r="AD1234" s="7" t="str">
        <f aca="false">IF(OR(I1234="N/A",P1234="",Q1234=""),"",IF(P1234&gt;=Q1234,"Yes","No"))</f>
        <v>Yes</v>
      </c>
      <c r="AE1234" s="8"/>
    </row>
    <row r="1235" customFormat="false" ht="15" hidden="false" customHeight="false" outlineLevel="0" collapsed="false">
      <c r="A1235" s="12" t="s">
        <v>3816</v>
      </c>
      <c r="B1235" s="26" t="str">
        <f aca="false">Entities!$A$33</f>
        <v>AU</v>
      </c>
      <c r="C1235" s="12" t="str">
        <f aca="false">INDEX(Entities!$B$5:$B$34,MATCH(B1235,Entities!$A$5:$A$34,0))</f>
        <v>Arab Bank Australia</v>
      </c>
      <c r="D1235" s="7" t="str">
        <f aca="false">INDEX(Entities!$F$5:$F$34,MATCH(B1235,Entities!$A$5:$A$34,0))</f>
        <v>Tier 2</v>
      </c>
      <c r="E1235" s="26" t="str">
        <f aca="false">'Control Library'!$A$31</f>
        <v>CTL-CON-01</v>
      </c>
      <c r="F1235" s="12" t="str">
        <f aca="false">INDEX('Control Library'!$B$5:$B$47,MATCH(E1235,'Control Library'!$A$5:$A$47,0))</f>
        <v>New product approval and suitability assessment</v>
      </c>
      <c r="G1235" s="7" t="str">
        <f aca="false">INDEX('Control Library'!$F$5:$F$47,MATCH(E1235,'Control Library'!$A$5:$A$47,0))</f>
        <v>Y</v>
      </c>
      <c r="H1235" s="12" t="str">
        <f aca="false">INDEX('Control Library'!$E$5:$E$47,MATCH(E1235,'Control Library'!$A$5:$A$47,0))</f>
        <v>Event-driven</v>
      </c>
      <c r="I1235" s="7" t="str">
        <f aca="false">IF(INDEX('Control Library'!$I$5:$I$47,MATCH(E1235,'Control Library'!$A$5:$A$47,0))="All","Y",IF(INDEX('Control Library'!$I$5:$I$47,MATCH(E1235,'Control Library'!$A$5:$A$47,0))="Banks only",IF(COUNTIF('Residual Config'!$L$28:$L$30,INDEX(Entities!$E$5:$E$34,MATCH(B1235,Entities!$A$5:$A$34,0)))&gt;0,"N/A","Y"),IF(INDEX(Entities!$G$5:$G$34,MATCH(B1235,Entities!$A$5:$A$34,0))="Y","Y","N/A")))</f>
        <v>Y</v>
      </c>
      <c r="J1235" s="8" t="s">
        <v>3755</v>
      </c>
      <c r="K1235" s="8" t="s">
        <v>3752</v>
      </c>
      <c r="L1235" s="7" t="str">
        <f aca="false">IF(OR(J1235="",K1235=""),"",IF(J1235=K1235,"Breach","OK"))</f>
        <v>OK</v>
      </c>
      <c r="M1235" s="24" t="n">
        <v>1</v>
      </c>
      <c r="N1235" s="50" t="n">
        <v>46107</v>
      </c>
      <c r="O1235" s="8" t="s">
        <v>545</v>
      </c>
      <c r="P1235" s="24" t="n">
        <v>30</v>
      </c>
      <c r="Q1235" s="31" t="n">
        <f aca="false">IF(I1235="N/A","",IFERROR(INDEX('Residual Config'!$B$35:$B$42,MATCH(H1235,'Residual Config'!$A$35:$A$42,0)),""))</f>
        <v>25</v>
      </c>
      <c r="R1235" s="24" t="n">
        <v>0</v>
      </c>
      <c r="S1235" s="8" t="s">
        <v>516</v>
      </c>
      <c r="T1235" s="31" t="n">
        <f aca="false">IF(S1235="","",MATCH(S1235,'Residual Config'!$L$9:$L$12,0))</f>
        <v>1</v>
      </c>
      <c r="U1235" s="8" t="s">
        <v>3817</v>
      </c>
      <c r="V1235" s="24" t="n">
        <v>1</v>
      </c>
      <c r="W1235" s="33" t="s">
        <v>533</v>
      </c>
      <c r="X1235" s="8" t="s">
        <v>754</v>
      </c>
      <c r="Y1235" s="51" t="n">
        <f aca="false">IF(N1235="","",EDATE(N1235,IF(G1235="N",INDEX('Residual Config'!$B$31:$D$31,1,MATCH(D1235,'Residual Config'!$B$27:$D$27,0)),INDEX('Residual Config'!$B$28:$D$30,IF(T1235=1,1,IF(T1235=4,3,2)),MATCH(D1235,'Residual Config'!$B$27:$D$27,0)))))</f>
        <v>46472</v>
      </c>
      <c r="Z1235" s="7" t="str">
        <f aca="false">IF(I1235="N/A","N/A",IF(N1235="","Not tested",IF(W1235="Rejected","Evidence rejected",IF(W1235&lt;&gt;"Accepted","Evidence pending",IF(Y1235&lt;'Residual Config'!$C$4,"Overdue","Current")))))</f>
        <v>Current</v>
      </c>
      <c r="AA1235" s="34" t="n">
        <f aca="false">IF(I1235="N/A","",IF(Z1235&lt;&gt;"Current",4,IF(MAX(M1235,T1235)=0,4,MAX(M1235,T1235))))</f>
        <v>1</v>
      </c>
      <c r="AB1235" s="7" t="str">
        <f aca="false">IF(AA1235="","N/A",IF(Z1235&lt;&gt;"Current","Not tested / overdue",INDEX('Residual Config'!$B$11:$B$14,AA1235)))</f>
        <v>Effective</v>
      </c>
      <c r="AC1235" s="36" t="n">
        <f aca="false">IF(AA1235="","",INDEX('Residual Config'!$D$11:$D$14,AA1235))</f>
        <v>0.6</v>
      </c>
      <c r="AD1235" s="7" t="str">
        <f aca="false">IF(OR(I1235="N/A",P1235="",Q1235=""),"",IF(P1235&gt;=Q1235,"Yes","No"))</f>
        <v>Yes</v>
      </c>
      <c r="AE1235" s="8"/>
    </row>
    <row r="1236" customFormat="false" ht="15" hidden="false" customHeight="false" outlineLevel="0" collapsed="false">
      <c r="A1236" s="12" t="s">
        <v>3818</v>
      </c>
      <c r="B1236" s="26" t="str">
        <f aca="false">Entities!$A$33</f>
        <v>AU</v>
      </c>
      <c r="C1236" s="12" t="str">
        <f aca="false">INDEX(Entities!$B$5:$B$34,MATCH(B1236,Entities!$A$5:$A$34,0))</f>
        <v>Arab Bank Australia</v>
      </c>
      <c r="D1236" s="7" t="str">
        <f aca="false">INDEX(Entities!$F$5:$F$34,MATCH(B1236,Entities!$A$5:$A$34,0))</f>
        <v>Tier 2</v>
      </c>
      <c r="E1236" s="26" t="str">
        <f aca="false">'Control Library'!$A$32</f>
        <v>CTL-CON-02</v>
      </c>
      <c r="F1236" s="12" t="str">
        <f aca="false">INDEX('Control Library'!$B$5:$B$47,MATCH(E1236,'Control Library'!$A$5:$A$47,0))</f>
        <v>Complaints handling and root-cause analysis</v>
      </c>
      <c r="G1236" s="7" t="str">
        <f aca="false">INDEX('Control Library'!$F$5:$F$47,MATCH(E1236,'Control Library'!$A$5:$A$47,0))</f>
        <v>N</v>
      </c>
      <c r="H1236" s="12" t="str">
        <f aca="false">INDEX('Control Library'!$E$5:$E$47,MATCH(E1236,'Control Library'!$A$5:$A$47,0))</f>
        <v>Monthly</v>
      </c>
      <c r="I1236" s="7" t="str">
        <f aca="false">IF(INDEX('Control Library'!$I$5:$I$47,MATCH(E1236,'Control Library'!$A$5:$A$47,0))="All","Y",IF(INDEX('Control Library'!$I$5:$I$47,MATCH(E1236,'Control Library'!$A$5:$A$47,0))="Banks only",IF(COUNTIF('Residual Config'!$L$28:$L$30,INDEX(Entities!$E$5:$E$34,MATCH(B1236,Entities!$A$5:$A$34,0)))&gt;0,"N/A","Y"),IF(INDEX(Entities!$G$5:$G$34,MATCH(B1236,Entities!$A$5:$A$34,0))="Y","Y","N/A")))</f>
        <v>Y</v>
      </c>
      <c r="J1236" s="8" t="s">
        <v>3819</v>
      </c>
      <c r="K1236" s="8" t="s">
        <v>3752</v>
      </c>
      <c r="L1236" s="7" t="str">
        <f aca="false">IF(OR(J1236="",K1236=""),"",IF(J1236=K1236,"Breach","OK"))</f>
        <v>OK</v>
      </c>
      <c r="M1236" s="24" t="n">
        <v>1</v>
      </c>
      <c r="N1236" s="50" t="n">
        <v>46124</v>
      </c>
      <c r="O1236" s="8" t="s">
        <v>545</v>
      </c>
      <c r="P1236" s="24" t="n">
        <v>3</v>
      </c>
      <c r="Q1236" s="31" t="n">
        <f aca="false">IF(I1236="N/A","",IFERROR(INDEX('Residual Config'!$B$35:$B$42,MATCH(H1236,'Residual Config'!$A$35:$A$42,0)),""))</f>
        <v>3</v>
      </c>
      <c r="R1236" s="24" t="n">
        <v>0</v>
      </c>
      <c r="S1236" s="8" t="s">
        <v>516</v>
      </c>
      <c r="T1236" s="31" t="n">
        <f aca="false">IF(S1236="","",MATCH(S1236,'Residual Config'!$L$9:$L$12,0))</f>
        <v>1</v>
      </c>
      <c r="U1236" s="8" t="s">
        <v>3820</v>
      </c>
      <c r="V1236" s="24" t="n">
        <v>5</v>
      </c>
      <c r="W1236" s="33" t="s">
        <v>533</v>
      </c>
      <c r="X1236" s="8" t="s">
        <v>760</v>
      </c>
      <c r="Y1236" s="51" t="n">
        <f aca="false">IF(N1236="","",EDATE(N1236,IF(G1236="N",INDEX('Residual Config'!$B$31:$D$31,1,MATCH(D1236,'Residual Config'!$B$27:$D$27,0)),INDEX('Residual Config'!$B$28:$D$30,IF(T1236=1,1,IF(T1236=4,3,2)),MATCH(D1236,'Residual Config'!$B$27:$D$27,0)))))</f>
        <v>46489</v>
      </c>
      <c r="Z1236" s="7" t="str">
        <f aca="false">IF(I1236="N/A","N/A",IF(N1236="","Not tested",IF(W1236="Rejected","Evidence rejected",IF(W1236&lt;&gt;"Accepted","Evidence pending",IF(Y1236&lt;'Residual Config'!$C$4,"Overdue","Current")))))</f>
        <v>Current</v>
      </c>
      <c r="AA1236" s="34" t="n">
        <f aca="false">IF(I1236="N/A","",IF(Z1236&lt;&gt;"Current",4,IF(MAX(M1236,T1236)=0,4,MAX(M1236,T1236))))</f>
        <v>1</v>
      </c>
      <c r="AB1236" s="7" t="str">
        <f aca="false">IF(AA1236="","N/A",IF(Z1236&lt;&gt;"Current","Not tested / overdue",INDEX('Residual Config'!$B$11:$B$14,AA1236)))</f>
        <v>Effective</v>
      </c>
      <c r="AC1236" s="36" t="n">
        <f aca="false">IF(AA1236="","",INDEX('Residual Config'!$D$11:$D$14,AA1236))</f>
        <v>0.6</v>
      </c>
      <c r="AD1236" s="7" t="str">
        <f aca="false">IF(OR(I1236="N/A",P1236="",Q1236=""),"",IF(P1236&gt;=Q1236,"Yes","No"))</f>
        <v>Yes</v>
      </c>
      <c r="AE1236" s="8"/>
    </row>
    <row r="1237" customFormat="false" ht="15" hidden="false" customHeight="false" outlineLevel="0" collapsed="false">
      <c r="A1237" s="12" t="s">
        <v>3821</v>
      </c>
      <c r="B1237" s="26" t="str">
        <f aca="false">Entities!$A$33</f>
        <v>AU</v>
      </c>
      <c r="C1237" s="12" t="str">
        <f aca="false">INDEX(Entities!$B$5:$B$34,MATCH(B1237,Entities!$A$5:$A$34,0))</f>
        <v>Arab Bank Australia</v>
      </c>
      <c r="D1237" s="7" t="str">
        <f aca="false">INDEX(Entities!$F$5:$F$34,MATCH(B1237,Entities!$A$5:$A$34,0))</f>
        <v>Tier 2</v>
      </c>
      <c r="E1237" s="26" t="str">
        <f aca="false">'Control Library'!$A$33</f>
        <v>CTL-DP-01</v>
      </c>
      <c r="F1237" s="12" t="str">
        <f aca="false">INDEX('Control Library'!$B$5:$B$47,MATCH(E1237,'Control Library'!$A$5:$A$47,0))</f>
        <v>Data protection impact assessments and processing records</v>
      </c>
      <c r="G1237" s="7" t="str">
        <f aca="false">INDEX('Control Library'!$F$5:$F$47,MATCH(E1237,'Control Library'!$A$5:$A$47,0))</f>
        <v>Y</v>
      </c>
      <c r="H1237" s="12" t="str">
        <f aca="false">INDEX('Control Library'!$E$5:$E$47,MATCH(E1237,'Control Library'!$A$5:$A$47,0))</f>
        <v>Event-driven</v>
      </c>
      <c r="I1237" s="7" t="str">
        <f aca="false">IF(INDEX('Control Library'!$I$5:$I$47,MATCH(E1237,'Control Library'!$A$5:$A$47,0))="All","Y",IF(INDEX('Control Library'!$I$5:$I$47,MATCH(E1237,'Control Library'!$A$5:$A$47,0))="Banks only",IF(COUNTIF('Residual Config'!$L$28:$L$30,INDEX(Entities!$E$5:$E$34,MATCH(B1237,Entities!$A$5:$A$34,0)))&gt;0,"N/A","Y"),IF(INDEX(Entities!$G$5:$G$34,MATCH(B1237,Entities!$A$5:$A$34,0))="Y","Y","N/A")))</f>
        <v>Y</v>
      </c>
      <c r="J1237" s="8" t="s">
        <v>3822</v>
      </c>
      <c r="K1237" s="8" t="s">
        <v>3752</v>
      </c>
      <c r="L1237" s="7" t="str">
        <f aca="false">IF(OR(J1237="",K1237=""),"",IF(J1237=K1237,"Breach","OK"))</f>
        <v>OK</v>
      </c>
      <c r="M1237" s="24" t="n">
        <v>1</v>
      </c>
      <c r="N1237" s="50" t="n">
        <v>46136</v>
      </c>
      <c r="O1237" s="8" t="s">
        <v>545</v>
      </c>
      <c r="P1237" s="24" t="n">
        <v>25</v>
      </c>
      <c r="Q1237" s="31" t="n">
        <f aca="false">IF(I1237="N/A","",IFERROR(INDEX('Residual Config'!$B$35:$B$42,MATCH(H1237,'Residual Config'!$A$35:$A$42,0)),""))</f>
        <v>25</v>
      </c>
      <c r="R1237" s="24" t="n">
        <v>3</v>
      </c>
      <c r="S1237" s="8" t="s">
        <v>524</v>
      </c>
      <c r="T1237" s="31" t="n">
        <f aca="false">IF(S1237="","",MATCH(S1237,'Residual Config'!$L$9:$L$12,0))</f>
        <v>3</v>
      </c>
      <c r="U1237" s="8" t="s">
        <v>3823</v>
      </c>
      <c r="V1237" s="24" t="n">
        <v>1</v>
      </c>
      <c r="W1237" s="33" t="s">
        <v>533</v>
      </c>
      <c r="X1237" s="8" t="s">
        <v>754</v>
      </c>
      <c r="Y1237" s="51" t="n">
        <f aca="false">IF(N1237="","",EDATE(N1237,IF(G1237="N",INDEX('Residual Config'!$B$31:$D$31,1,MATCH(D1237,'Residual Config'!$B$27:$D$27,0)),INDEX('Residual Config'!$B$28:$D$30,IF(T1237=1,1,IF(T1237=4,3,2)),MATCH(D1237,'Residual Config'!$B$27:$D$27,0)))))</f>
        <v>46319</v>
      </c>
      <c r="Z1237" s="7" t="str">
        <f aca="false">IF(I1237="N/A","N/A",IF(N1237="","Not tested",IF(W1237="Rejected","Evidence rejected",IF(W1237&lt;&gt;"Accepted","Evidence pending",IF(Y1237&lt;'Residual Config'!$C$4,"Overdue","Current")))))</f>
        <v>Current</v>
      </c>
      <c r="AA1237" s="34" t="n">
        <f aca="false">IF(I1237="N/A","",IF(Z1237&lt;&gt;"Current",4,IF(MAX(M1237,T1237)=0,4,MAX(M1237,T1237))))</f>
        <v>3</v>
      </c>
      <c r="AB1237" s="7" t="str">
        <f aca="false">IF(AA1237="","N/A",IF(Z1237&lt;&gt;"Current","Not tested / overdue",INDEX('Residual Config'!$B$11:$B$14,AA1237)))</f>
        <v>Partially effective</v>
      </c>
      <c r="AC1237" s="36" t="n">
        <f aca="false">IF(AA1237="","",INDEX('Residual Config'!$D$11:$D$14,AA1237))</f>
        <v>0.2</v>
      </c>
      <c r="AD1237" s="7" t="str">
        <f aca="false">IF(OR(I1237="N/A",P1237="",Q1237=""),"",IF(P1237&gt;=Q1237,"Yes","No"))</f>
        <v>Yes</v>
      </c>
      <c r="AE1237" s="8"/>
    </row>
    <row r="1238" customFormat="false" ht="15" hidden="false" customHeight="false" outlineLevel="0" collapsed="false">
      <c r="A1238" s="12" t="s">
        <v>3824</v>
      </c>
      <c r="B1238" s="26" t="str">
        <f aca="false">Entities!$A$33</f>
        <v>AU</v>
      </c>
      <c r="C1238" s="12" t="str">
        <f aca="false">INDEX(Entities!$B$5:$B$34,MATCH(B1238,Entities!$A$5:$A$34,0))</f>
        <v>Arab Bank Australia</v>
      </c>
      <c r="D1238" s="7" t="str">
        <f aca="false">INDEX(Entities!$F$5:$F$34,MATCH(B1238,Entities!$A$5:$A$34,0))</f>
        <v>Tier 2</v>
      </c>
      <c r="E1238" s="26" t="str">
        <f aca="false">'Control Library'!$A$34</f>
        <v>CTL-DP-02</v>
      </c>
      <c r="F1238" s="12" t="str">
        <f aca="false">INDEX('Control Library'!$B$5:$B$47,MATCH(E1238,'Control Library'!$A$5:$A$47,0))</f>
        <v>Data loss prevention and quarterly access recertification</v>
      </c>
      <c r="G1238" s="7" t="str">
        <f aca="false">INDEX('Control Library'!$F$5:$F$47,MATCH(E1238,'Control Library'!$A$5:$A$47,0))</f>
        <v>Y</v>
      </c>
      <c r="H1238" s="12" t="str">
        <f aca="false">INDEX('Control Library'!$E$5:$E$47,MATCH(E1238,'Control Library'!$A$5:$A$47,0))</f>
        <v>Quarterly</v>
      </c>
      <c r="I1238" s="7" t="str">
        <f aca="false">IF(INDEX('Control Library'!$I$5:$I$47,MATCH(E1238,'Control Library'!$A$5:$A$47,0))="All","Y",IF(INDEX('Control Library'!$I$5:$I$47,MATCH(E1238,'Control Library'!$A$5:$A$47,0))="Banks only",IF(COUNTIF('Residual Config'!$L$28:$L$30,INDEX(Entities!$E$5:$E$34,MATCH(B1238,Entities!$A$5:$A$34,0)))&gt;0,"N/A","Y"),IF(INDEX(Entities!$G$5:$G$34,MATCH(B1238,Entities!$A$5:$A$34,0))="Y","Y","N/A")))</f>
        <v>Y</v>
      </c>
      <c r="J1238" s="8" t="s">
        <v>3825</v>
      </c>
      <c r="K1238" s="8" t="s">
        <v>3752</v>
      </c>
      <c r="L1238" s="7" t="str">
        <f aca="false">IF(OR(J1238="",K1238=""),"",IF(J1238=K1238,"Breach","OK"))</f>
        <v>OK</v>
      </c>
      <c r="M1238" s="24" t="n">
        <v>2</v>
      </c>
      <c r="N1238" s="50" t="n">
        <v>45969</v>
      </c>
      <c r="O1238" s="8" t="s">
        <v>546</v>
      </c>
      <c r="P1238" s="24" t="n">
        <v>2</v>
      </c>
      <c r="Q1238" s="31" t="n">
        <f aca="false">IF(I1238="N/A","",IFERROR(INDEX('Residual Config'!$B$35:$B$42,MATCH(H1238,'Residual Config'!$A$35:$A$42,0)),""))</f>
        <v>2</v>
      </c>
      <c r="R1238" s="24" t="n">
        <v>0</v>
      </c>
      <c r="S1238" s="8" t="s">
        <v>516</v>
      </c>
      <c r="T1238" s="31" t="n">
        <f aca="false">IF(S1238="","",MATCH(S1238,'Residual Config'!$L$9:$L$12,0))</f>
        <v>1</v>
      </c>
      <c r="U1238" s="8" t="s">
        <v>3826</v>
      </c>
      <c r="V1238" s="24" t="n">
        <v>4</v>
      </c>
      <c r="W1238" s="33" t="s">
        <v>533</v>
      </c>
      <c r="X1238" s="8" t="s">
        <v>760</v>
      </c>
      <c r="Y1238" s="51" t="n">
        <f aca="false">IF(N1238="","",EDATE(N1238,IF(G1238="N",INDEX('Residual Config'!$B$31:$D$31,1,MATCH(D1238,'Residual Config'!$B$27:$D$27,0)),INDEX('Residual Config'!$B$28:$D$30,IF(T1238=1,1,IF(T1238=4,3,2)),MATCH(D1238,'Residual Config'!$B$27:$D$27,0)))))</f>
        <v>46334</v>
      </c>
      <c r="Z1238" s="7" t="str">
        <f aca="false">IF(I1238="N/A","N/A",IF(N1238="","Not tested",IF(W1238="Rejected","Evidence rejected",IF(W1238&lt;&gt;"Accepted","Evidence pending",IF(Y1238&lt;'Residual Config'!$C$4,"Overdue","Current")))))</f>
        <v>Current</v>
      </c>
      <c r="AA1238" s="34" t="n">
        <f aca="false">IF(I1238="N/A","",IF(Z1238&lt;&gt;"Current",4,IF(MAX(M1238,T1238)=0,4,MAX(M1238,T1238))))</f>
        <v>2</v>
      </c>
      <c r="AB1238" s="7" t="str">
        <f aca="false">IF(AA1238="","N/A",IF(Z1238&lt;&gt;"Current","Not tested / overdue",INDEX('Residual Config'!$B$11:$B$14,AA1238)))</f>
        <v>Largely effective</v>
      </c>
      <c r="AC1238" s="36" t="n">
        <f aca="false">IF(AA1238="","",INDEX('Residual Config'!$D$11:$D$14,AA1238))</f>
        <v>0.4</v>
      </c>
      <c r="AD1238" s="7" t="str">
        <f aca="false">IF(OR(I1238="N/A",P1238="",Q1238=""),"",IF(P1238&gt;=Q1238,"Yes","No"))</f>
        <v>Yes</v>
      </c>
      <c r="AE1238" s="8"/>
    </row>
    <row r="1239" customFormat="false" ht="15" hidden="false" customHeight="false" outlineLevel="0" collapsed="false">
      <c r="A1239" s="12" t="s">
        <v>3827</v>
      </c>
      <c r="B1239" s="26" t="str">
        <f aca="false">Entities!$A$33</f>
        <v>AU</v>
      </c>
      <c r="C1239" s="12" t="str">
        <f aca="false">INDEX(Entities!$B$5:$B$34,MATCH(B1239,Entities!$A$5:$A$34,0))</f>
        <v>Arab Bank Australia</v>
      </c>
      <c r="D1239" s="7" t="str">
        <f aca="false">INDEX(Entities!$F$5:$F$34,MATCH(B1239,Entities!$A$5:$A$34,0))</f>
        <v>Tier 2</v>
      </c>
      <c r="E1239" s="26" t="str">
        <f aca="false">'Control Library'!$A$35</f>
        <v>CTL-SH-01</v>
      </c>
      <c r="F1239" s="12" t="str">
        <f aca="false">INDEX('Control Library'!$B$5:$B$47,MATCH(E1239,'Control Library'!$A$5:$A$47,0))</f>
        <v>Shariah review of products and income purification</v>
      </c>
      <c r="G1239" s="7" t="str">
        <f aca="false">INDEX('Control Library'!$F$5:$F$47,MATCH(E1239,'Control Library'!$A$5:$A$47,0))</f>
        <v>Y</v>
      </c>
      <c r="H1239" s="12" t="str">
        <f aca="false">INDEX('Control Library'!$E$5:$E$47,MATCH(E1239,'Control Library'!$A$5:$A$47,0))</f>
        <v>Quarterly</v>
      </c>
      <c r="I1239" s="7" t="str">
        <f aca="false">IF(INDEX('Control Library'!$I$5:$I$47,MATCH(E1239,'Control Library'!$A$5:$A$47,0))="All","Y",IF(INDEX('Control Library'!$I$5:$I$47,MATCH(E1239,'Control Library'!$A$5:$A$47,0))="Banks only",IF(COUNTIF('Residual Config'!$L$28:$L$30,INDEX(Entities!$E$5:$E$34,MATCH(B1239,Entities!$A$5:$A$34,0)))&gt;0,"N/A","Y"),IF(INDEX(Entities!$G$5:$G$34,MATCH(B1239,Entities!$A$5:$A$34,0))="Y","Y","N/A")))</f>
        <v>N/A</v>
      </c>
      <c r="J1239" s="8"/>
      <c r="K1239" s="8"/>
      <c r="L1239" s="7" t="str">
        <f aca="false">IF(OR(J1239="",K1239=""),"",IF(J1239=K1239,"Breach","OK"))</f>
        <v/>
      </c>
      <c r="M1239" s="24"/>
      <c r="N1239" s="50"/>
      <c r="O1239" s="8"/>
      <c r="P1239" s="24"/>
      <c r="Q1239" s="31" t="str">
        <f aca="false">IF(I1239="N/A","",IFERROR(INDEX('Residual Config'!$B$35:$B$42,MATCH(H1239,'Residual Config'!$A$35:$A$42,0)),""))</f>
        <v/>
      </c>
      <c r="R1239" s="24"/>
      <c r="S1239" s="8"/>
      <c r="T1239" s="31" t="str">
        <f aca="false">IF(S1239="","",MATCH(S1239,'Residual Config'!$L$9:$L$12,0))</f>
        <v/>
      </c>
      <c r="U1239" s="8"/>
      <c r="V1239" s="24"/>
      <c r="W1239" s="33"/>
      <c r="X1239" s="8"/>
      <c r="Y1239" s="51" t="str">
        <f aca="false">IF(N1239="","",EDATE(N1239,IF(G1239="N",INDEX('Residual Config'!$B$31:$D$31,1,MATCH(D1239,'Residual Config'!$B$27:$D$27,0)),INDEX('Residual Config'!$B$28:$D$30,IF(T1239=1,1,IF(T1239=4,3,2)),MATCH(D1239,'Residual Config'!$B$27:$D$27,0)))))</f>
        <v/>
      </c>
      <c r="Z1239" s="7" t="str">
        <f aca="false">IF(I1239="N/A","N/A",IF(N1239="","Not tested",IF(W1239="Rejected","Evidence rejected",IF(W1239&lt;&gt;"Accepted","Evidence pending",IF(Y1239&lt;'Residual Config'!$C$4,"Overdue","Current")))))</f>
        <v>N/A</v>
      </c>
      <c r="AA1239" s="34" t="str">
        <f aca="false">IF(I1239="N/A","",IF(Z1239&lt;&gt;"Current",4,IF(MAX(M1239,T1239)=0,4,MAX(M1239,T1239))))</f>
        <v/>
      </c>
      <c r="AB1239" s="7" t="str">
        <f aca="false">IF(AA1239="","N/A",IF(Z1239&lt;&gt;"Current","Not tested / overdue",INDEX('Residual Config'!$B$11:$B$14,AA1239)))</f>
        <v>N/A</v>
      </c>
      <c r="AC1239" s="36" t="str">
        <f aca="false">IF(AA1239="","",INDEX('Residual Config'!$D$11:$D$14,AA1239))</f>
        <v/>
      </c>
      <c r="AD1239" s="7" t="str">
        <f aca="false">IF(OR(I1239="N/A",P1239="",Q1239=""),"",IF(P1239&gt;=Q1239,"Yes","No"))</f>
        <v/>
      </c>
      <c r="AE1239" s="8"/>
    </row>
    <row r="1240" customFormat="false" ht="15" hidden="false" customHeight="false" outlineLevel="0" collapsed="false">
      <c r="A1240" s="12" t="s">
        <v>3828</v>
      </c>
      <c r="B1240" s="26" t="str">
        <f aca="false">Entities!$A$33</f>
        <v>AU</v>
      </c>
      <c r="C1240" s="12" t="str">
        <f aca="false">INDEX(Entities!$B$5:$B$34,MATCH(B1240,Entities!$A$5:$A$34,0))</f>
        <v>Arab Bank Australia</v>
      </c>
      <c r="D1240" s="7" t="str">
        <f aca="false">INDEX(Entities!$F$5:$F$34,MATCH(B1240,Entities!$A$5:$A$34,0))</f>
        <v>Tier 2</v>
      </c>
      <c r="E1240" s="26" t="str">
        <f aca="false">'Control Library'!$A$36</f>
        <v>CTL-CR-01</v>
      </c>
      <c r="F1240" s="12" t="str">
        <f aca="false">INDEX('Control Library'!$B$5:$B$47,MATCH(E1240,'Control Library'!$A$5:$A$47,0))</f>
        <v>Credit approval authorities and committee review</v>
      </c>
      <c r="G1240" s="7" t="str">
        <f aca="false">INDEX('Control Library'!$F$5:$F$47,MATCH(E1240,'Control Library'!$A$5:$A$47,0))</f>
        <v>Y</v>
      </c>
      <c r="H1240" s="12" t="str">
        <f aca="false">INDEX('Control Library'!$E$5:$E$47,MATCH(E1240,'Control Library'!$A$5:$A$47,0))</f>
        <v>Event-driven</v>
      </c>
      <c r="I1240" s="7" t="str">
        <f aca="false">IF(INDEX('Control Library'!$I$5:$I$47,MATCH(E1240,'Control Library'!$A$5:$A$47,0))="All","Y",IF(INDEX('Control Library'!$I$5:$I$47,MATCH(E1240,'Control Library'!$A$5:$A$47,0))="Banks only",IF(COUNTIF('Residual Config'!$L$28:$L$30,INDEX(Entities!$E$5:$E$34,MATCH(B1240,Entities!$A$5:$A$34,0)))&gt;0,"N/A","Y"),IF(INDEX(Entities!$G$5:$G$34,MATCH(B1240,Entities!$A$5:$A$34,0))="Y","Y","N/A")))</f>
        <v>Y</v>
      </c>
      <c r="J1240" s="8" t="s">
        <v>3829</v>
      </c>
      <c r="K1240" s="8" t="s">
        <v>3752</v>
      </c>
      <c r="L1240" s="7" t="str">
        <f aca="false">IF(OR(J1240="",K1240=""),"",IF(J1240=K1240,"Breach","OK"))</f>
        <v>OK</v>
      </c>
      <c r="M1240" s="24" t="n">
        <v>1</v>
      </c>
      <c r="N1240" s="50" t="n">
        <v>45995</v>
      </c>
      <c r="O1240" s="8" t="s">
        <v>546</v>
      </c>
      <c r="P1240" s="24" t="n">
        <v>25</v>
      </c>
      <c r="Q1240" s="31" t="n">
        <f aca="false">IF(I1240="N/A","",IFERROR(INDEX('Residual Config'!$B$35:$B$42,MATCH(H1240,'Residual Config'!$A$35:$A$42,0)),""))</f>
        <v>25</v>
      </c>
      <c r="R1240" s="24" t="n">
        <v>0</v>
      </c>
      <c r="S1240" s="8" t="s">
        <v>516</v>
      </c>
      <c r="T1240" s="31" t="n">
        <f aca="false">IF(S1240="","",MATCH(S1240,'Residual Config'!$L$9:$L$12,0))</f>
        <v>1</v>
      </c>
      <c r="U1240" s="8" t="s">
        <v>3830</v>
      </c>
      <c r="V1240" s="24" t="n">
        <v>2</v>
      </c>
      <c r="W1240" s="33" t="s">
        <v>533</v>
      </c>
      <c r="X1240" s="8" t="s">
        <v>754</v>
      </c>
      <c r="Y1240" s="51" t="n">
        <f aca="false">IF(N1240="","",EDATE(N1240,IF(G1240="N",INDEX('Residual Config'!$B$31:$D$31,1,MATCH(D1240,'Residual Config'!$B$27:$D$27,0)),INDEX('Residual Config'!$B$28:$D$30,IF(T1240=1,1,IF(T1240=4,3,2)),MATCH(D1240,'Residual Config'!$B$27:$D$27,0)))))</f>
        <v>46360</v>
      </c>
      <c r="Z1240" s="7" t="str">
        <f aca="false">IF(I1240="N/A","N/A",IF(N1240="","Not tested",IF(W1240="Rejected","Evidence rejected",IF(W1240&lt;&gt;"Accepted","Evidence pending",IF(Y1240&lt;'Residual Config'!$C$4,"Overdue","Current")))))</f>
        <v>Current</v>
      </c>
      <c r="AA1240" s="34" t="n">
        <f aca="false">IF(I1240="N/A","",IF(Z1240&lt;&gt;"Current",4,IF(MAX(M1240,T1240)=0,4,MAX(M1240,T1240))))</f>
        <v>1</v>
      </c>
      <c r="AB1240" s="7" t="str">
        <f aca="false">IF(AA1240="","N/A",IF(Z1240&lt;&gt;"Current","Not tested / overdue",INDEX('Residual Config'!$B$11:$B$14,AA1240)))</f>
        <v>Effective</v>
      </c>
      <c r="AC1240" s="36" t="n">
        <f aca="false">IF(AA1240="","",INDEX('Residual Config'!$D$11:$D$14,AA1240))</f>
        <v>0.6</v>
      </c>
      <c r="AD1240" s="7" t="str">
        <f aca="false">IF(OR(I1240="N/A",P1240="",Q1240=""),"",IF(P1240&gt;=Q1240,"Yes","No"))</f>
        <v>Yes</v>
      </c>
      <c r="AE1240" s="8"/>
    </row>
    <row r="1241" customFormat="false" ht="15" hidden="false" customHeight="false" outlineLevel="0" collapsed="false">
      <c r="A1241" s="12" t="s">
        <v>3831</v>
      </c>
      <c r="B1241" s="26" t="str">
        <f aca="false">Entities!$A$33</f>
        <v>AU</v>
      </c>
      <c r="C1241" s="12" t="str">
        <f aca="false">INDEX(Entities!$B$5:$B$34,MATCH(B1241,Entities!$A$5:$A$34,0))</f>
        <v>Arab Bank Australia</v>
      </c>
      <c r="D1241" s="7" t="str">
        <f aca="false">INDEX(Entities!$F$5:$F$34,MATCH(B1241,Entities!$A$5:$A$34,0))</f>
        <v>Tier 2</v>
      </c>
      <c r="E1241" s="26" t="str">
        <f aca="false">'Control Library'!$A$37</f>
        <v>CTL-CR-02</v>
      </c>
      <c r="F1241" s="12" t="str">
        <f aca="false">INDEX('Control Library'!$B$5:$B$47,MATCH(E1241,'Control Library'!$A$5:$A$47,0))</f>
        <v>Collateral valuation and exposure limit monitoring</v>
      </c>
      <c r="G1241" s="7" t="str">
        <f aca="false">INDEX('Control Library'!$F$5:$F$47,MATCH(E1241,'Control Library'!$A$5:$A$47,0))</f>
        <v>N</v>
      </c>
      <c r="H1241" s="12" t="str">
        <f aca="false">INDEX('Control Library'!$E$5:$E$47,MATCH(E1241,'Control Library'!$A$5:$A$47,0))</f>
        <v>Monthly</v>
      </c>
      <c r="I1241" s="7" t="str">
        <f aca="false">IF(INDEX('Control Library'!$I$5:$I$47,MATCH(E1241,'Control Library'!$A$5:$A$47,0))="All","Y",IF(INDEX('Control Library'!$I$5:$I$47,MATCH(E1241,'Control Library'!$A$5:$A$47,0))="Banks only",IF(COUNTIF('Residual Config'!$L$28:$L$30,INDEX(Entities!$E$5:$E$34,MATCH(B1241,Entities!$A$5:$A$34,0)))&gt;0,"N/A","Y"),IF(INDEX(Entities!$G$5:$G$34,MATCH(B1241,Entities!$A$5:$A$34,0))="Y","Y","N/A")))</f>
        <v>Y</v>
      </c>
      <c r="J1241" s="8" t="s">
        <v>3832</v>
      </c>
      <c r="K1241" s="8" t="s">
        <v>3752</v>
      </c>
      <c r="L1241" s="7" t="str">
        <f aca="false">IF(OR(J1241="",K1241=""),"",IF(J1241=K1241,"Breach","OK"))</f>
        <v>OK</v>
      </c>
      <c r="M1241" s="24" t="n">
        <v>1</v>
      </c>
      <c r="N1241" s="50" t="n">
        <v>46212</v>
      </c>
      <c r="O1241" s="8" t="s">
        <v>545</v>
      </c>
      <c r="P1241" s="24" t="n">
        <v>3</v>
      </c>
      <c r="Q1241" s="31" t="n">
        <f aca="false">IF(I1241="N/A","",IFERROR(INDEX('Residual Config'!$B$35:$B$42,MATCH(H1241,'Residual Config'!$A$35:$A$42,0)),""))</f>
        <v>3</v>
      </c>
      <c r="R1241" s="24" t="n">
        <v>1</v>
      </c>
      <c r="S1241" s="8" t="s">
        <v>521</v>
      </c>
      <c r="T1241" s="31" t="n">
        <f aca="false">IF(S1241="","",MATCH(S1241,'Residual Config'!$L$9:$L$12,0))</f>
        <v>2</v>
      </c>
      <c r="U1241" s="8" t="s">
        <v>3833</v>
      </c>
      <c r="V1241" s="24" t="n">
        <v>4</v>
      </c>
      <c r="W1241" s="33" t="s">
        <v>533</v>
      </c>
      <c r="X1241" s="8" t="s">
        <v>760</v>
      </c>
      <c r="Y1241" s="51" t="n">
        <f aca="false">IF(N1241="","",EDATE(N1241,IF(G1241="N",INDEX('Residual Config'!$B$31:$D$31,1,MATCH(D1241,'Residual Config'!$B$27:$D$27,0)),INDEX('Residual Config'!$B$28:$D$30,IF(T1241=1,1,IF(T1241=4,3,2)),MATCH(D1241,'Residual Config'!$B$27:$D$27,0)))))</f>
        <v>46577</v>
      </c>
      <c r="Z1241" s="7" t="str">
        <f aca="false">IF(I1241="N/A","N/A",IF(N1241="","Not tested",IF(W1241="Rejected","Evidence rejected",IF(W1241&lt;&gt;"Accepted","Evidence pending",IF(Y1241&lt;'Residual Config'!$C$4,"Overdue","Current")))))</f>
        <v>Current</v>
      </c>
      <c r="AA1241" s="34" t="n">
        <f aca="false">IF(I1241="N/A","",IF(Z1241&lt;&gt;"Current",4,IF(MAX(M1241,T1241)=0,4,MAX(M1241,T1241))))</f>
        <v>2</v>
      </c>
      <c r="AB1241" s="7" t="str">
        <f aca="false">IF(AA1241="","N/A",IF(Z1241&lt;&gt;"Current","Not tested / overdue",INDEX('Residual Config'!$B$11:$B$14,AA1241)))</f>
        <v>Largely effective</v>
      </c>
      <c r="AC1241" s="36" t="n">
        <f aca="false">IF(AA1241="","",INDEX('Residual Config'!$D$11:$D$14,AA1241))</f>
        <v>0.4</v>
      </c>
      <c r="AD1241" s="7" t="str">
        <f aca="false">IF(OR(I1241="N/A",P1241="",Q1241=""),"",IF(P1241&gt;=Q1241,"Yes","No"))</f>
        <v>Yes</v>
      </c>
      <c r="AE1241" s="8"/>
    </row>
    <row r="1242" customFormat="false" ht="15" hidden="false" customHeight="false" outlineLevel="0" collapsed="false">
      <c r="A1242" s="12" t="s">
        <v>3834</v>
      </c>
      <c r="B1242" s="26" t="str">
        <f aca="false">Entities!$A$33</f>
        <v>AU</v>
      </c>
      <c r="C1242" s="12" t="str">
        <f aca="false">INDEX(Entities!$B$5:$B$34,MATCH(B1242,Entities!$A$5:$A$34,0))</f>
        <v>Arab Bank Australia</v>
      </c>
      <c r="D1242" s="7" t="str">
        <f aca="false">INDEX(Entities!$F$5:$F$34,MATCH(B1242,Entities!$A$5:$A$34,0))</f>
        <v>Tier 2</v>
      </c>
      <c r="E1242" s="26" t="str">
        <f aca="false">'Control Library'!$A$38</f>
        <v>CTL-MR-01</v>
      </c>
      <c r="F1242" s="12" t="str">
        <f aca="false">INDEX('Control Library'!$B$5:$B$47,MATCH(E1242,'Control Library'!$A$5:$A$47,0))</f>
        <v>Market risk limits and daily VaR monitoring</v>
      </c>
      <c r="G1242" s="7" t="str">
        <f aca="false">INDEX('Control Library'!$F$5:$F$47,MATCH(E1242,'Control Library'!$A$5:$A$47,0))</f>
        <v>Y</v>
      </c>
      <c r="H1242" s="12" t="str">
        <f aca="false">INDEX('Control Library'!$E$5:$E$47,MATCH(E1242,'Control Library'!$A$5:$A$47,0))</f>
        <v>Daily</v>
      </c>
      <c r="I1242" s="7" t="str">
        <f aca="false">IF(INDEX('Control Library'!$I$5:$I$47,MATCH(E1242,'Control Library'!$A$5:$A$47,0))="All","Y",IF(INDEX('Control Library'!$I$5:$I$47,MATCH(E1242,'Control Library'!$A$5:$A$47,0))="Banks only",IF(COUNTIF('Residual Config'!$L$28:$L$30,INDEX(Entities!$E$5:$E$34,MATCH(B1242,Entities!$A$5:$A$34,0)))&gt;0,"N/A","Y"),IF(INDEX(Entities!$G$5:$G$34,MATCH(B1242,Entities!$A$5:$A$34,0))="Y","Y","N/A")))</f>
        <v>Y</v>
      </c>
      <c r="J1242" s="8" t="s">
        <v>3832</v>
      </c>
      <c r="K1242" s="8" t="s">
        <v>3752</v>
      </c>
      <c r="L1242" s="7" t="str">
        <f aca="false">IF(OR(J1242="",K1242=""),"",IF(J1242=K1242,"Breach","OK"))</f>
        <v>OK</v>
      </c>
      <c r="M1242" s="24" t="n">
        <v>1</v>
      </c>
      <c r="N1242" s="50" t="n">
        <v>46183</v>
      </c>
      <c r="O1242" s="8" t="s">
        <v>547</v>
      </c>
      <c r="P1242" s="24" t="n">
        <v>25</v>
      </c>
      <c r="Q1242" s="31" t="n">
        <f aca="false">IF(I1242="N/A","",IFERROR(INDEX('Residual Config'!$B$35:$B$42,MATCH(H1242,'Residual Config'!$A$35:$A$42,0)),""))</f>
        <v>25</v>
      </c>
      <c r="R1242" s="24" t="n">
        <v>0</v>
      </c>
      <c r="S1242" s="8" t="s">
        <v>516</v>
      </c>
      <c r="T1242" s="31" t="n">
        <f aca="false">IF(S1242="","",MATCH(S1242,'Residual Config'!$L$9:$L$12,0))</f>
        <v>1</v>
      </c>
      <c r="U1242" s="8" t="s">
        <v>3835</v>
      </c>
      <c r="V1242" s="24" t="n">
        <v>6</v>
      </c>
      <c r="W1242" s="33" t="s">
        <v>533</v>
      </c>
      <c r="X1242" s="8" t="s">
        <v>760</v>
      </c>
      <c r="Y1242" s="51" t="n">
        <f aca="false">IF(N1242="","",EDATE(N1242,IF(G1242="N",INDEX('Residual Config'!$B$31:$D$31,1,MATCH(D1242,'Residual Config'!$B$27:$D$27,0)),INDEX('Residual Config'!$B$28:$D$30,IF(T1242=1,1,IF(T1242=4,3,2)),MATCH(D1242,'Residual Config'!$B$27:$D$27,0)))))</f>
        <v>46548</v>
      </c>
      <c r="Z1242" s="7" t="str">
        <f aca="false">IF(I1242="N/A","N/A",IF(N1242="","Not tested",IF(W1242="Rejected","Evidence rejected",IF(W1242&lt;&gt;"Accepted","Evidence pending",IF(Y1242&lt;'Residual Config'!$C$4,"Overdue","Current")))))</f>
        <v>Current</v>
      </c>
      <c r="AA1242" s="34" t="n">
        <f aca="false">IF(I1242="N/A","",IF(Z1242&lt;&gt;"Current",4,IF(MAX(M1242,T1242)=0,4,MAX(M1242,T1242))))</f>
        <v>1</v>
      </c>
      <c r="AB1242" s="7" t="str">
        <f aca="false">IF(AA1242="","N/A",IF(Z1242&lt;&gt;"Current","Not tested / overdue",INDEX('Residual Config'!$B$11:$B$14,AA1242)))</f>
        <v>Effective</v>
      </c>
      <c r="AC1242" s="36" t="n">
        <f aca="false">IF(AA1242="","",INDEX('Residual Config'!$D$11:$D$14,AA1242))</f>
        <v>0.6</v>
      </c>
      <c r="AD1242" s="7" t="str">
        <f aca="false">IF(OR(I1242="N/A",P1242="",Q1242=""),"",IF(P1242&gt;=Q1242,"Yes","No"))</f>
        <v>Yes</v>
      </c>
      <c r="AE1242" s="8"/>
    </row>
    <row r="1243" customFormat="false" ht="15" hidden="false" customHeight="false" outlineLevel="0" collapsed="false">
      <c r="A1243" s="12" t="s">
        <v>3836</v>
      </c>
      <c r="B1243" s="26" t="str">
        <f aca="false">Entities!$A$33</f>
        <v>AU</v>
      </c>
      <c r="C1243" s="12" t="str">
        <f aca="false">INDEX(Entities!$B$5:$B$34,MATCH(B1243,Entities!$A$5:$A$34,0))</f>
        <v>Arab Bank Australia</v>
      </c>
      <c r="D1243" s="7" t="str">
        <f aca="false">INDEX(Entities!$F$5:$F$34,MATCH(B1243,Entities!$A$5:$A$34,0))</f>
        <v>Tier 2</v>
      </c>
      <c r="E1243" s="26" t="str">
        <f aca="false">'Control Library'!$A$39</f>
        <v>CTL-LQ-01</v>
      </c>
      <c r="F1243" s="12" t="str">
        <f aca="false">INDEX('Control Library'!$B$5:$B$47,MATCH(E1243,'Control Library'!$A$5:$A$47,0))</f>
        <v>Liquidity buffers, LCR/NSFR monitoring and contingency funding plan</v>
      </c>
      <c r="G1243" s="7" t="str">
        <f aca="false">INDEX('Control Library'!$F$5:$F$47,MATCH(E1243,'Control Library'!$A$5:$A$47,0))</f>
        <v>Y</v>
      </c>
      <c r="H1243" s="12" t="str">
        <f aca="false">INDEX('Control Library'!$E$5:$E$47,MATCH(E1243,'Control Library'!$A$5:$A$47,0))</f>
        <v>Daily</v>
      </c>
      <c r="I1243" s="7" t="str">
        <f aca="false">IF(INDEX('Control Library'!$I$5:$I$47,MATCH(E1243,'Control Library'!$A$5:$A$47,0))="All","Y",IF(INDEX('Control Library'!$I$5:$I$47,MATCH(E1243,'Control Library'!$A$5:$A$47,0))="Banks only",IF(COUNTIF('Residual Config'!$L$28:$L$30,INDEX(Entities!$E$5:$E$34,MATCH(B1243,Entities!$A$5:$A$34,0)))&gt;0,"N/A","Y"),IF(INDEX(Entities!$G$5:$G$34,MATCH(B1243,Entities!$A$5:$A$34,0))="Y","Y","N/A")))</f>
        <v>Y</v>
      </c>
      <c r="J1243" s="8" t="s">
        <v>3837</v>
      </c>
      <c r="K1243" s="8" t="s">
        <v>3752</v>
      </c>
      <c r="L1243" s="7" t="str">
        <f aca="false">IF(OR(J1243="",K1243=""),"",IF(J1243=K1243,"Breach","OK"))</f>
        <v>OK</v>
      </c>
      <c r="M1243" s="24" t="n">
        <v>1</v>
      </c>
      <c r="N1243" s="50" t="n">
        <v>46229</v>
      </c>
      <c r="O1243" s="8" t="s">
        <v>546</v>
      </c>
      <c r="P1243" s="24" t="n">
        <v>35</v>
      </c>
      <c r="Q1243" s="31" t="n">
        <f aca="false">IF(I1243="N/A","",IFERROR(INDEX('Residual Config'!$B$35:$B$42,MATCH(H1243,'Residual Config'!$A$35:$A$42,0)),""))</f>
        <v>25</v>
      </c>
      <c r="R1243" s="24" t="n">
        <v>1</v>
      </c>
      <c r="S1243" s="8" t="s">
        <v>521</v>
      </c>
      <c r="T1243" s="31" t="n">
        <f aca="false">IF(S1243="","",MATCH(S1243,'Residual Config'!$L$9:$L$12,0))</f>
        <v>2</v>
      </c>
      <c r="U1243" s="8" t="s">
        <v>3838</v>
      </c>
      <c r="V1243" s="24" t="n">
        <v>3</v>
      </c>
      <c r="W1243" s="33" t="s">
        <v>533</v>
      </c>
      <c r="X1243" s="8" t="s">
        <v>760</v>
      </c>
      <c r="Y1243" s="51" t="n">
        <f aca="false">IF(N1243="","",EDATE(N1243,IF(G1243="N",INDEX('Residual Config'!$B$31:$D$31,1,MATCH(D1243,'Residual Config'!$B$27:$D$27,0)),INDEX('Residual Config'!$B$28:$D$30,IF(T1243=1,1,IF(T1243=4,3,2)),MATCH(D1243,'Residual Config'!$B$27:$D$27,0)))))</f>
        <v>46413</v>
      </c>
      <c r="Z1243" s="7" t="str">
        <f aca="false">IF(I1243="N/A","N/A",IF(N1243="","Not tested",IF(W1243="Rejected","Evidence rejected",IF(W1243&lt;&gt;"Accepted","Evidence pending",IF(Y1243&lt;'Residual Config'!$C$4,"Overdue","Current")))))</f>
        <v>Current</v>
      </c>
      <c r="AA1243" s="34" t="n">
        <f aca="false">IF(I1243="N/A","",IF(Z1243&lt;&gt;"Current",4,IF(MAX(M1243,T1243)=0,4,MAX(M1243,T1243))))</f>
        <v>2</v>
      </c>
      <c r="AB1243" s="7" t="str">
        <f aca="false">IF(AA1243="","N/A",IF(Z1243&lt;&gt;"Current","Not tested / overdue",INDEX('Residual Config'!$B$11:$B$14,AA1243)))</f>
        <v>Largely effective</v>
      </c>
      <c r="AC1243" s="36" t="n">
        <f aca="false">IF(AA1243="","",INDEX('Residual Config'!$D$11:$D$14,AA1243))</f>
        <v>0.4</v>
      </c>
      <c r="AD1243" s="7" t="str">
        <f aca="false">IF(OR(I1243="N/A",P1243="",Q1243=""),"",IF(P1243&gt;=Q1243,"Yes","No"))</f>
        <v>Yes</v>
      </c>
      <c r="AE1243" s="8"/>
    </row>
    <row r="1244" customFormat="false" ht="15" hidden="false" customHeight="false" outlineLevel="0" collapsed="false">
      <c r="A1244" s="12" t="s">
        <v>3839</v>
      </c>
      <c r="B1244" s="26" t="str">
        <f aca="false">Entities!$A$33</f>
        <v>AU</v>
      </c>
      <c r="C1244" s="12" t="str">
        <f aca="false">INDEX(Entities!$B$5:$B$34,MATCH(B1244,Entities!$A$5:$A$34,0))</f>
        <v>Arab Bank Australia</v>
      </c>
      <c r="D1244" s="7" t="str">
        <f aca="false">INDEX(Entities!$F$5:$F$34,MATCH(B1244,Entities!$A$5:$A$34,0))</f>
        <v>Tier 2</v>
      </c>
      <c r="E1244" s="26" t="str">
        <f aca="false">'Control Library'!$A$40</f>
        <v>CTL-OR-01</v>
      </c>
      <c r="F1244" s="12" t="str">
        <f aca="false">INDEX('Control Library'!$B$5:$B$47,MATCH(E1244,'Control Library'!$A$5:$A$47,0))</f>
        <v>Business continuity plans and annual testing</v>
      </c>
      <c r="G1244" s="7" t="str">
        <f aca="false">INDEX('Control Library'!$F$5:$F$47,MATCH(E1244,'Control Library'!$A$5:$A$47,0))</f>
        <v>Y</v>
      </c>
      <c r="H1244" s="12" t="str">
        <f aca="false">INDEX('Control Library'!$E$5:$E$47,MATCH(E1244,'Control Library'!$A$5:$A$47,0))</f>
        <v>Annual</v>
      </c>
      <c r="I1244" s="7" t="str">
        <f aca="false">IF(INDEX('Control Library'!$I$5:$I$47,MATCH(E1244,'Control Library'!$A$5:$A$47,0))="All","Y",IF(INDEX('Control Library'!$I$5:$I$47,MATCH(E1244,'Control Library'!$A$5:$A$47,0))="Banks only",IF(COUNTIF('Residual Config'!$L$28:$L$30,INDEX(Entities!$E$5:$E$34,MATCH(B1244,Entities!$A$5:$A$34,0)))&gt;0,"N/A","Y"),IF(INDEX(Entities!$G$5:$G$34,MATCH(B1244,Entities!$A$5:$A$34,0))="Y","Y","N/A")))</f>
        <v>Y</v>
      </c>
      <c r="J1244" s="8" t="s">
        <v>3840</v>
      </c>
      <c r="K1244" s="8" t="s">
        <v>3752</v>
      </c>
      <c r="L1244" s="7" t="str">
        <f aca="false">IF(OR(J1244="",K1244=""),"",IF(J1244=K1244,"Breach","OK"))</f>
        <v>OK</v>
      </c>
      <c r="M1244" s="24" t="n">
        <v>1</v>
      </c>
      <c r="N1244" s="50" t="n">
        <v>45958</v>
      </c>
      <c r="O1244" s="8" t="s">
        <v>546</v>
      </c>
      <c r="P1244" s="24" t="n">
        <v>1</v>
      </c>
      <c r="Q1244" s="31" t="n">
        <f aca="false">IF(I1244="N/A","",IFERROR(INDEX('Residual Config'!$B$35:$B$42,MATCH(H1244,'Residual Config'!$A$35:$A$42,0)),""))</f>
        <v>1</v>
      </c>
      <c r="R1244" s="24" t="n">
        <v>0</v>
      </c>
      <c r="S1244" s="8" t="s">
        <v>516</v>
      </c>
      <c r="T1244" s="31" t="n">
        <f aca="false">IF(S1244="","",MATCH(S1244,'Residual Config'!$L$9:$L$12,0))</f>
        <v>1</v>
      </c>
      <c r="U1244" s="8" t="s">
        <v>3841</v>
      </c>
      <c r="V1244" s="24" t="n">
        <v>5</v>
      </c>
      <c r="W1244" s="33" t="s">
        <v>533</v>
      </c>
      <c r="X1244" s="8" t="s">
        <v>754</v>
      </c>
      <c r="Y1244" s="51" t="n">
        <f aca="false">IF(N1244="","",EDATE(N1244,IF(G1244="N",INDEX('Residual Config'!$B$31:$D$31,1,MATCH(D1244,'Residual Config'!$B$27:$D$27,0)),INDEX('Residual Config'!$B$28:$D$30,IF(T1244=1,1,IF(T1244=4,3,2)),MATCH(D1244,'Residual Config'!$B$27:$D$27,0)))))</f>
        <v>46323</v>
      </c>
      <c r="Z1244" s="7" t="str">
        <f aca="false">IF(I1244="N/A","N/A",IF(N1244="","Not tested",IF(W1244="Rejected","Evidence rejected",IF(W1244&lt;&gt;"Accepted","Evidence pending",IF(Y1244&lt;'Residual Config'!$C$4,"Overdue","Current")))))</f>
        <v>Current</v>
      </c>
      <c r="AA1244" s="34" t="n">
        <f aca="false">IF(I1244="N/A","",IF(Z1244&lt;&gt;"Current",4,IF(MAX(M1244,T1244)=0,4,MAX(M1244,T1244))))</f>
        <v>1</v>
      </c>
      <c r="AB1244" s="7" t="str">
        <f aca="false">IF(AA1244="","N/A",IF(Z1244&lt;&gt;"Current","Not tested / overdue",INDEX('Residual Config'!$B$11:$B$14,AA1244)))</f>
        <v>Effective</v>
      </c>
      <c r="AC1244" s="36" t="n">
        <f aca="false">IF(AA1244="","",INDEX('Residual Config'!$D$11:$D$14,AA1244))</f>
        <v>0.6</v>
      </c>
      <c r="AD1244" s="7" t="str">
        <f aca="false">IF(OR(I1244="N/A",P1244="",Q1244=""),"",IF(P1244&gt;=Q1244,"Yes","No"))</f>
        <v>Yes</v>
      </c>
      <c r="AE1244" s="8"/>
    </row>
    <row r="1245" customFormat="false" ht="15" hidden="false" customHeight="false" outlineLevel="0" collapsed="false">
      <c r="A1245" s="12" t="s">
        <v>3842</v>
      </c>
      <c r="B1245" s="26" t="str">
        <f aca="false">Entities!$A$33</f>
        <v>AU</v>
      </c>
      <c r="C1245" s="12" t="str">
        <f aca="false">INDEX(Entities!$B$5:$B$34,MATCH(B1245,Entities!$A$5:$A$34,0))</f>
        <v>Arab Bank Australia</v>
      </c>
      <c r="D1245" s="7" t="str">
        <f aca="false">INDEX(Entities!$F$5:$F$34,MATCH(B1245,Entities!$A$5:$A$34,0))</f>
        <v>Tier 2</v>
      </c>
      <c r="E1245" s="26" t="str">
        <f aca="false">'Control Library'!$A$41</f>
        <v>CTL-OR-02</v>
      </c>
      <c r="F1245" s="12" t="str">
        <f aca="false">INDEX('Control Library'!$B$5:$B$47,MATCH(E1245,'Control Library'!$A$5:$A$47,0))</f>
        <v>Operational loss event capture and RCSA</v>
      </c>
      <c r="G1245" s="7" t="str">
        <f aca="false">INDEX('Control Library'!$F$5:$F$47,MATCH(E1245,'Control Library'!$A$5:$A$47,0))</f>
        <v>N</v>
      </c>
      <c r="H1245" s="12" t="str">
        <f aca="false">INDEX('Control Library'!$E$5:$E$47,MATCH(E1245,'Control Library'!$A$5:$A$47,0))</f>
        <v>Quarterly</v>
      </c>
      <c r="I1245" s="7" t="str">
        <f aca="false">IF(INDEX('Control Library'!$I$5:$I$47,MATCH(E1245,'Control Library'!$A$5:$A$47,0))="All","Y",IF(INDEX('Control Library'!$I$5:$I$47,MATCH(E1245,'Control Library'!$A$5:$A$47,0))="Banks only",IF(COUNTIF('Residual Config'!$L$28:$L$30,INDEX(Entities!$E$5:$E$34,MATCH(B1245,Entities!$A$5:$A$34,0)))&gt;0,"N/A","Y"),IF(INDEX(Entities!$G$5:$G$34,MATCH(B1245,Entities!$A$5:$A$34,0))="Y","Y","N/A")))</f>
        <v>Y</v>
      </c>
      <c r="J1245" s="8" t="s">
        <v>3832</v>
      </c>
      <c r="K1245" s="8" t="s">
        <v>3752</v>
      </c>
      <c r="L1245" s="7" t="str">
        <f aca="false">IF(OR(J1245="",K1245=""),"",IF(J1245=K1245,"Breach","OK"))</f>
        <v>OK</v>
      </c>
      <c r="M1245" s="24" t="n">
        <v>1</v>
      </c>
      <c r="N1245" s="50" t="n">
        <v>46216</v>
      </c>
      <c r="O1245" s="8" t="s">
        <v>546</v>
      </c>
      <c r="P1245" s="24" t="n">
        <v>2</v>
      </c>
      <c r="Q1245" s="31" t="n">
        <f aca="false">IF(I1245="N/A","",IFERROR(INDEX('Residual Config'!$B$35:$B$42,MATCH(H1245,'Residual Config'!$A$35:$A$42,0)),""))</f>
        <v>2</v>
      </c>
      <c r="R1245" s="24" t="n">
        <v>1</v>
      </c>
      <c r="S1245" s="8" t="s">
        <v>521</v>
      </c>
      <c r="T1245" s="31" t="n">
        <f aca="false">IF(S1245="","",MATCH(S1245,'Residual Config'!$L$9:$L$12,0))</f>
        <v>2</v>
      </c>
      <c r="U1245" s="8" t="s">
        <v>3843</v>
      </c>
      <c r="V1245" s="24" t="n">
        <v>5</v>
      </c>
      <c r="W1245" s="33" t="s">
        <v>533</v>
      </c>
      <c r="X1245" s="8" t="s">
        <v>760</v>
      </c>
      <c r="Y1245" s="51" t="n">
        <f aca="false">IF(N1245="","",EDATE(N1245,IF(G1245="N",INDEX('Residual Config'!$B$31:$D$31,1,MATCH(D1245,'Residual Config'!$B$27:$D$27,0)),INDEX('Residual Config'!$B$28:$D$30,IF(T1245=1,1,IF(T1245=4,3,2)),MATCH(D1245,'Residual Config'!$B$27:$D$27,0)))))</f>
        <v>46581</v>
      </c>
      <c r="Z1245" s="7" t="str">
        <f aca="false">IF(I1245="N/A","N/A",IF(N1245="","Not tested",IF(W1245="Rejected","Evidence rejected",IF(W1245&lt;&gt;"Accepted","Evidence pending",IF(Y1245&lt;'Residual Config'!$C$4,"Overdue","Current")))))</f>
        <v>Current</v>
      </c>
      <c r="AA1245" s="34" t="n">
        <f aca="false">IF(I1245="N/A","",IF(Z1245&lt;&gt;"Current",4,IF(MAX(M1245,T1245)=0,4,MAX(M1245,T1245))))</f>
        <v>2</v>
      </c>
      <c r="AB1245" s="7" t="str">
        <f aca="false">IF(AA1245="","N/A",IF(Z1245&lt;&gt;"Current","Not tested / overdue",INDEX('Residual Config'!$B$11:$B$14,AA1245)))</f>
        <v>Largely effective</v>
      </c>
      <c r="AC1245" s="36" t="n">
        <f aca="false">IF(AA1245="","",INDEX('Residual Config'!$D$11:$D$14,AA1245))</f>
        <v>0.4</v>
      </c>
      <c r="AD1245" s="7" t="str">
        <f aca="false">IF(OR(I1245="N/A",P1245="",Q1245=""),"",IF(P1245&gt;=Q1245,"Yes","No"))</f>
        <v>Yes</v>
      </c>
      <c r="AE1245" s="8"/>
    </row>
    <row r="1246" customFormat="false" ht="15" hidden="false" customHeight="false" outlineLevel="0" collapsed="false">
      <c r="A1246" s="12" t="s">
        <v>3844</v>
      </c>
      <c r="B1246" s="26" t="str">
        <f aca="false">Entities!$A$33</f>
        <v>AU</v>
      </c>
      <c r="C1246" s="12" t="str">
        <f aca="false">INDEX(Entities!$B$5:$B$34,MATCH(B1246,Entities!$A$5:$A$34,0))</f>
        <v>Arab Bank Australia</v>
      </c>
      <c r="D1246" s="7" t="str">
        <f aca="false">INDEX(Entities!$F$5:$F$34,MATCH(B1246,Entities!$A$5:$A$34,0))</f>
        <v>Tier 2</v>
      </c>
      <c r="E1246" s="26" t="str">
        <f aca="false">'Control Library'!$A$42</f>
        <v>CTL-CY-01</v>
      </c>
      <c r="F1246" s="12" t="str">
        <f aca="false">INDEX('Control Library'!$B$5:$B$47,MATCH(E1246,'Control Library'!$A$5:$A$47,0))</f>
        <v>Vulnerability and patch management</v>
      </c>
      <c r="G1246" s="7" t="str">
        <f aca="false">INDEX('Control Library'!$F$5:$F$47,MATCH(E1246,'Control Library'!$A$5:$A$47,0))</f>
        <v>Y</v>
      </c>
      <c r="H1246" s="12" t="str">
        <f aca="false">INDEX('Control Library'!$E$5:$E$47,MATCH(E1246,'Control Library'!$A$5:$A$47,0))</f>
        <v>Monthly</v>
      </c>
      <c r="I1246" s="7" t="str">
        <f aca="false">IF(INDEX('Control Library'!$I$5:$I$47,MATCH(E1246,'Control Library'!$A$5:$A$47,0))="All","Y",IF(INDEX('Control Library'!$I$5:$I$47,MATCH(E1246,'Control Library'!$A$5:$A$47,0))="Banks only",IF(COUNTIF('Residual Config'!$L$28:$L$30,INDEX(Entities!$E$5:$E$34,MATCH(B1246,Entities!$A$5:$A$34,0)))&gt;0,"N/A","Y"),IF(INDEX(Entities!$G$5:$G$34,MATCH(B1246,Entities!$A$5:$A$34,0))="Y","Y","N/A")))</f>
        <v>Y</v>
      </c>
      <c r="J1246" s="8" t="s">
        <v>3776</v>
      </c>
      <c r="K1246" s="8" t="s">
        <v>3752</v>
      </c>
      <c r="L1246" s="7" t="str">
        <f aca="false">IF(OR(J1246="",K1246=""),"",IF(J1246=K1246,"Breach","OK"))</f>
        <v>OK</v>
      </c>
      <c r="M1246" s="24" t="n">
        <v>1</v>
      </c>
      <c r="N1246" s="50" t="n">
        <v>46144</v>
      </c>
      <c r="O1246" s="8" t="s">
        <v>545</v>
      </c>
      <c r="P1246" s="24" t="n">
        <v>3</v>
      </c>
      <c r="Q1246" s="31" t="n">
        <f aca="false">IF(I1246="N/A","",IFERROR(INDEX('Residual Config'!$B$35:$B$42,MATCH(H1246,'Residual Config'!$A$35:$A$42,0)),""))</f>
        <v>3</v>
      </c>
      <c r="R1246" s="24" t="n">
        <v>0</v>
      </c>
      <c r="S1246" s="8" t="s">
        <v>516</v>
      </c>
      <c r="T1246" s="31" t="n">
        <f aca="false">IF(S1246="","",MATCH(S1246,'Residual Config'!$L$9:$L$12,0))</f>
        <v>1</v>
      </c>
      <c r="U1246" s="8" t="s">
        <v>3845</v>
      </c>
      <c r="V1246" s="24" t="n">
        <v>5</v>
      </c>
      <c r="W1246" s="33" t="s">
        <v>533</v>
      </c>
      <c r="X1246" s="8" t="s">
        <v>754</v>
      </c>
      <c r="Y1246" s="51" t="n">
        <f aca="false">IF(N1246="","",EDATE(N1246,IF(G1246="N",INDEX('Residual Config'!$B$31:$D$31,1,MATCH(D1246,'Residual Config'!$B$27:$D$27,0)),INDEX('Residual Config'!$B$28:$D$30,IF(T1246=1,1,IF(T1246=4,3,2)),MATCH(D1246,'Residual Config'!$B$27:$D$27,0)))))</f>
        <v>46509</v>
      </c>
      <c r="Z1246" s="7" t="str">
        <f aca="false">IF(I1246="N/A","N/A",IF(N1246="","Not tested",IF(W1246="Rejected","Evidence rejected",IF(W1246&lt;&gt;"Accepted","Evidence pending",IF(Y1246&lt;'Residual Config'!$C$4,"Overdue","Current")))))</f>
        <v>Current</v>
      </c>
      <c r="AA1246" s="34" t="n">
        <f aca="false">IF(I1246="N/A","",IF(Z1246&lt;&gt;"Current",4,IF(MAX(M1246,T1246)=0,4,MAX(M1246,T1246))))</f>
        <v>1</v>
      </c>
      <c r="AB1246" s="7" t="str">
        <f aca="false">IF(AA1246="","N/A",IF(Z1246&lt;&gt;"Current","Not tested / overdue",INDEX('Residual Config'!$B$11:$B$14,AA1246)))</f>
        <v>Effective</v>
      </c>
      <c r="AC1246" s="36" t="n">
        <f aca="false">IF(AA1246="","",INDEX('Residual Config'!$D$11:$D$14,AA1246))</f>
        <v>0.6</v>
      </c>
      <c r="AD1246" s="7" t="str">
        <f aca="false">IF(OR(I1246="N/A",P1246="",Q1246=""),"",IF(P1246&gt;=Q1246,"Yes","No"))</f>
        <v>Yes</v>
      </c>
      <c r="AE1246" s="8"/>
    </row>
    <row r="1247" customFormat="false" ht="15" hidden="false" customHeight="false" outlineLevel="0" collapsed="false">
      <c r="A1247" s="12" t="s">
        <v>3846</v>
      </c>
      <c r="B1247" s="26" t="str">
        <f aca="false">Entities!$A$33</f>
        <v>AU</v>
      </c>
      <c r="C1247" s="12" t="str">
        <f aca="false">INDEX(Entities!$B$5:$B$34,MATCH(B1247,Entities!$A$5:$A$34,0))</f>
        <v>Arab Bank Australia</v>
      </c>
      <c r="D1247" s="7" t="str">
        <f aca="false">INDEX(Entities!$F$5:$F$34,MATCH(B1247,Entities!$A$5:$A$34,0))</f>
        <v>Tier 2</v>
      </c>
      <c r="E1247" s="26" t="str">
        <f aca="false">'Control Library'!$A$43</f>
        <v>CTL-CY-02</v>
      </c>
      <c r="F1247" s="12" t="str">
        <f aca="false">INDEX('Control Library'!$B$5:$B$47,MATCH(E1247,'Control Library'!$A$5:$A$47,0))</f>
        <v>Privileged access management and SOC monitoring</v>
      </c>
      <c r="G1247" s="7" t="str">
        <f aca="false">INDEX('Control Library'!$F$5:$F$47,MATCH(E1247,'Control Library'!$A$5:$A$47,0))</f>
        <v>Y</v>
      </c>
      <c r="H1247" s="12" t="str">
        <f aca="false">INDEX('Control Library'!$E$5:$E$47,MATCH(E1247,'Control Library'!$A$5:$A$47,0))</f>
        <v>Continuous</v>
      </c>
      <c r="I1247" s="7" t="str">
        <f aca="false">IF(INDEX('Control Library'!$I$5:$I$47,MATCH(E1247,'Control Library'!$A$5:$A$47,0))="All","Y",IF(INDEX('Control Library'!$I$5:$I$47,MATCH(E1247,'Control Library'!$A$5:$A$47,0))="Banks only",IF(COUNTIF('Residual Config'!$L$28:$L$30,INDEX(Entities!$E$5:$E$34,MATCH(B1247,Entities!$A$5:$A$34,0)))&gt;0,"N/A","Y"),IF(INDEX(Entities!$G$5:$G$34,MATCH(B1247,Entities!$A$5:$A$34,0))="Y","Y","N/A")))</f>
        <v>Y</v>
      </c>
      <c r="J1247" s="8" t="s">
        <v>3825</v>
      </c>
      <c r="K1247" s="8" t="s">
        <v>3752</v>
      </c>
      <c r="L1247" s="7" t="str">
        <f aca="false">IF(OR(J1247="",K1247=""),"",IF(J1247=K1247,"Breach","OK"))</f>
        <v>OK</v>
      </c>
      <c r="M1247" s="24" t="n">
        <v>2</v>
      </c>
      <c r="N1247" s="50" t="n">
        <v>46001</v>
      </c>
      <c r="O1247" s="8" t="s">
        <v>546</v>
      </c>
      <c r="P1247" s="24" t="n">
        <v>1</v>
      </c>
      <c r="Q1247" s="31" t="n">
        <f aca="false">IF(I1247="N/A","",IFERROR(INDEX('Residual Config'!$B$35:$B$42,MATCH(H1247,'Residual Config'!$A$35:$A$42,0)),""))</f>
        <v>1</v>
      </c>
      <c r="R1247" s="24" t="n">
        <v>0</v>
      </c>
      <c r="S1247" s="8" t="s">
        <v>516</v>
      </c>
      <c r="T1247" s="31" t="n">
        <f aca="false">IF(S1247="","",MATCH(S1247,'Residual Config'!$L$9:$L$12,0))</f>
        <v>1</v>
      </c>
      <c r="U1247" s="8" t="s">
        <v>3847</v>
      </c>
      <c r="V1247" s="24" t="n">
        <v>4</v>
      </c>
      <c r="W1247" s="33" t="s">
        <v>533</v>
      </c>
      <c r="X1247" s="8" t="s">
        <v>760</v>
      </c>
      <c r="Y1247" s="51" t="n">
        <f aca="false">IF(N1247="","",EDATE(N1247,IF(G1247="N",INDEX('Residual Config'!$B$31:$D$31,1,MATCH(D1247,'Residual Config'!$B$27:$D$27,0)),INDEX('Residual Config'!$B$28:$D$30,IF(T1247=1,1,IF(T1247=4,3,2)),MATCH(D1247,'Residual Config'!$B$27:$D$27,0)))))</f>
        <v>46366</v>
      </c>
      <c r="Z1247" s="7" t="str">
        <f aca="false">IF(I1247="N/A","N/A",IF(N1247="","Not tested",IF(W1247="Rejected","Evidence rejected",IF(W1247&lt;&gt;"Accepted","Evidence pending",IF(Y1247&lt;'Residual Config'!$C$4,"Overdue","Current")))))</f>
        <v>Current</v>
      </c>
      <c r="AA1247" s="34" t="n">
        <f aca="false">IF(I1247="N/A","",IF(Z1247&lt;&gt;"Current",4,IF(MAX(M1247,T1247)=0,4,MAX(M1247,T1247))))</f>
        <v>2</v>
      </c>
      <c r="AB1247" s="7" t="str">
        <f aca="false">IF(AA1247="","N/A",IF(Z1247&lt;&gt;"Current","Not tested / overdue",INDEX('Residual Config'!$B$11:$B$14,AA1247)))</f>
        <v>Largely effective</v>
      </c>
      <c r="AC1247" s="36" t="n">
        <f aca="false">IF(AA1247="","",INDEX('Residual Config'!$D$11:$D$14,AA1247))</f>
        <v>0.4</v>
      </c>
      <c r="AD1247" s="7" t="str">
        <f aca="false">IF(OR(I1247="N/A",P1247="",Q1247=""),"",IF(P1247&gt;=Q1247,"Yes","No"))</f>
        <v>Yes</v>
      </c>
      <c r="AE1247" s="8"/>
    </row>
    <row r="1248" customFormat="false" ht="15" hidden="false" customHeight="false" outlineLevel="0" collapsed="false">
      <c r="A1248" s="12" t="s">
        <v>3848</v>
      </c>
      <c r="B1248" s="26" t="str">
        <f aca="false">Entities!$A$33</f>
        <v>AU</v>
      </c>
      <c r="C1248" s="12" t="str">
        <f aca="false">INDEX(Entities!$B$5:$B$34,MATCH(B1248,Entities!$A$5:$A$34,0))</f>
        <v>Arab Bank Australia</v>
      </c>
      <c r="D1248" s="7" t="str">
        <f aca="false">INDEX(Entities!$F$5:$F$34,MATCH(B1248,Entities!$A$5:$A$34,0))</f>
        <v>Tier 2</v>
      </c>
      <c r="E1248" s="26" t="str">
        <f aca="false">'Control Library'!$A$44</f>
        <v>CTL-TP-01</v>
      </c>
      <c r="F1248" s="12" t="str">
        <f aca="false">INDEX('Control Library'!$B$5:$B$47,MATCH(E1248,'Control Library'!$A$5:$A$47,0))</f>
        <v>Critical vendor due diligence and tested exit plans</v>
      </c>
      <c r="G1248" s="7" t="str">
        <f aca="false">INDEX('Control Library'!$F$5:$F$47,MATCH(E1248,'Control Library'!$A$5:$A$47,0))</f>
        <v>Y</v>
      </c>
      <c r="H1248" s="12" t="str">
        <f aca="false">INDEX('Control Library'!$E$5:$E$47,MATCH(E1248,'Control Library'!$A$5:$A$47,0))</f>
        <v>Annual</v>
      </c>
      <c r="I1248" s="7" t="str">
        <f aca="false">IF(INDEX('Control Library'!$I$5:$I$47,MATCH(E1248,'Control Library'!$A$5:$A$47,0))="All","Y",IF(INDEX('Control Library'!$I$5:$I$47,MATCH(E1248,'Control Library'!$A$5:$A$47,0))="Banks only",IF(COUNTIF('Residual Config'!$L$28:$L$30,INDEX(Entities!$E$5:$E$34,MATCH(B1248,Entities!$A$5:$A$34,0)))&gt;0,"N/A","Y"),IF(INDEX(Entities!$G$5:$G$34,MATCH(B1248,Entities!$A$5:$A$34,0))="Y","Y","N/A")))</f>
        <v>Y</v>
      </c>
      <c r="J1248" s="8" t="s">
        <v>3793</v>
      </c>
      <c r="K1248" s="8" t="s">
        <v>3752</v>
      </c>
      <c r="L1248" s="7" t="str">
        <f aca="false">IF(OR(J1248="",K1248=""),"",IF(J1248=K1248,"Breach","OK"))</f>
        <v>OK</v>
      </c>
      <c r="M1248" s="24" t="n">
        <v>1</v>
      </c>
      <c r="N1248" s="50" t="n">
        <v>46064</v>
      </c>
      <c r="O1248" s="8" t="s">
        <v>545</v>
      </c>
      <c r="P1248" s="24" t="n">
        <v>1</v>
      </c>
      <c r="Q1248" s="31" t="n">
        <f aca="false">IF(I1248="N/A","",IFERROR(INDEX('Residual Config'!$B$35:$B$42,MATCH(H1248,'Residual Config'!$A$35:$A$42,0)),""))</f>
        <v>1</v>
      </c>
      <c r="R1248" s="24" t="n">
        <v>0</v>
      </c>
      <c r="S1248" s="8" t="s">
        <v>516</v>
      </c>
      <c r="T1248" s="31" t="n">
        <f aca="false">IF(S1248="","",MATCH(S1248,'Residual Config'!$L$9:$L$12,0))</f>
        <v>1</v>
      </c>
      <c r="U1248" s="8" t="s">
        <v>3849</v>
      </c>
      <c r="V1248" s="24" t="n">
        <v>3</v>
      </c>
      <c r="W1248" s="33" t="s">
        <v>533</v>
      </c>
      <c r="X1248" s="8" t="s">
        <v>760</v>
      </c>
      <c r="Y1248" s="51" t="n">
        <f aca="false">IF(N1248="","",EDATE(N1248,IF(G1248="N",INDEX('Residual Config'!$B$31:$D$31,1,MATCH(D1248,'Residual Config'!$B$27:$D$27,0)),INDEX('Residual Config'!$B$28:$D$30,IF(T1248=1,1,IF(T1248=4,3,2)),MATCH(D1248,'Residual Config'!$B$27:$D$27,0)))))</f>
        <v>46429</v>
      </c>
      <c r="Z1248" s="7" t="str">
        <f aca="false">IF(I1248="N/A","N/A",IF(N1248="","Not tested",IF(W1248="Rejected","Evidence rejected",IF(W1248&lt;&gt;"Accepted","Evidence pending",IF(Y1248&lt;'Residual Config'!$C$4,"Overdue","Current")))))</f>
        <v>Current</v>
      </c>
      <c r="AA1248" s="34" t="n">
        <f aca="false">IF(I1248="N/A","",IF(Z1248&lt;&gt;"Current",4,IF(MAX(M1248,T1248)=0,4,MAX(M1248,T1248))))</f>
        <v>1</v>
      </c>
      <c r="AB1248" s="7" t="str">
        <f aca="false">IF(AA1248="","N/A",IF(Z1248&lt;&gt;"Current","Not tested / overdue",INDEX('Residual Config'!$B$11:$B$14,AA1248)))</f>
        <v>Effective</v>
      </c>
      <c r="AC1248" s="36" t="n">
        <f aca="false">IF(AA1248="","",INDEX('Residual Config'!$D$11:$D$14,AA1248))</f>
        <v>0.6</v>
      </c>
      <c r="AD1248" s="7" t="str">
        <f aca="false">IF(OR(I1248="N/A",P1248="",Q1248=""),"",IF(P1248&gt;=Q1248,"Yes","No"))</f>
        <v>Yes</v>
      </c>
      <c r="AE1248" s="8"/>
    </row>
    <row r="1249" customFormat="false" ht="15" hidden="false" customHeight="false" outlineLevel="0" collapsed="false">
      <c r="A1249" s="12" t="s">
        <v>3850</v>
      </c>
      <c r="B1249" s="26" t="str">
        <f aca="false">Entities!$A$33</f>
        <v>AU</v>
      </c>
      <c r="C1249" s="12" t="str">
        <f aca="false">INDEX(Entities!$B$5:$B$34,MATCH(B1249,Entities!$A$5:$A$34,0))</f>
        <v>Arab Bank Australia</v>
      </c>
      <c r="D1249" s="7" t="str">
        <f aca="false">INDEX(Entities!$F$5:$F$34,MATCH(B1249,Entities!$A$5:$A$34,0))</f>
        <v>Tier 2</v>
      </c>
      <c r="E1249" s="26" t="str">
        <f aca="false">'Control Library'!$A$45</f>
        <v>CTL-LG-01</v>
      </c>
      <c r="F1249" s="12" t="str">
        <f aca="false">INDEX('Control Library'!$B$5:$B$47,MATCH(E1249,'Control Library'!$A$5:$A$47,0))</f>
        <v>Legal review of contracts and litigation register</v>
      </c>
      <c r="G1249" s="7" t="str">
        <f aca="false">INDEX('Control Library'!$F$5:$F$47,MATCH(E1249,'Control Library'!$A$5:$A$47,0))</f>
        <v>Y</v>
      </c>
      <c r="H1249" s="12" t="str">
        <f aca="false">INDEX('Control Library'!$E$5:$E$47,MATCH(E1249,'Control Library'!$A$5:$A$47,0))</f>
        <v>Event-driven</v>
      </c>
      <c r="I1249" s="7" t="str">
        <f aca="false">IF(INDEX('Control Library'!$I$5:$I$47,MATCH(E1249,'Control Library'!$A$5:$A$47,0))="All","Y",IF(INDEX('Control Library'!$I$5:$I$47,MATCH(E1249,'Control Library'!$A$5:$A$47,0))="Banks only",IF(COUNTIF('Residual Config'!$L$28:$L$30,INDEX(Entities!$E$5:$E$34,MATCH(B1249,Entities!$A$5:$A$34,0)))&gt;0,"N/A","Y"),IF(INDEX(Entities!$G$5:$G$34,MATCH(B1249,Entities!$A$5:$A$34,0))="Y","Y","N/A")))</f>
        <v>Y</v>
      </c>
      <c r="J1249" s="8" t="s">
        <v>3851</v>
      </c>
      <c r="K1249" s="8" t="s">
        <v>3752</v>
      </c>
      <c r="L1249" s="7" t="str">
        <f aca="false">IF(OR(J1249="",K1249=""),"",IF(J1249=K1249,"Breach","OK"))</f>
        <v>OK</v>
      </c>
      <c r="M1249" s="24" t="n">
        <v>2</v>
      </c>
      <c r="N1249" s="50" t="n">
        <v>46238</v>
      </c>
      <c r="O1249" s="8" t="s">
        <v>545</v>
      </c>
      <c r="P1249" s="24" t="n">
        <v>35</v>
      </c>
      <c r="Q1249" s="31" t="n">
        <f aca="false">IF(I1249="N/A","",IFERROR(INDEX('Residual Config'!$B$35:$B$42,MATCH(H1249,'Residual Config'!$A$35:$A$42,0)),""))</f>
        <v>25</v>
      </c>
      <c r="R1249" s="24" t="n">
        <v>1</v>
      </c>
      <c r="S1249" s="8" t="s">
        <v>521</v>
      </c>
      <c r="T1249" s="31" t="n">
        <f aca="false">IF(S1249="","",MATCH(S1249,'Residual Config'!$L$9:$L$12,0))</f>
        <v>2</v>
      </c>
      <c r="U1249" s="8" t="s">
        <v>3852</v>
      </c>
      <c r="V1249" s="24" t="n">
        <v>4</v>
      </c>
      <c r="W1249" s="33" t="s">
        <v>533</v>
      </c>
      <c r="X1249" s="8" t="s">
        <v>760</v>
      </c>
      <c r="Y1249" s="51" t="n">
        <f aca="false">IF(N1249="","",EDATE(N1249,IF(G1249="N",INDEX('Residual Config'!$B$31:$D$31,1,MATCH(D1249,'Residual Config'!$B$27:$D$27,0)),INDEX('Residual Config'!$B$28:$D$30,IF(T1249=1,1,IF(T1249=4,3,2)),MATCH(D1249,'Residual Config'!$B$27:$D$27,0)))))</f>
        <v>46422</v>
      </c>
      <c r="Z1249" s="7" t="str">
        <f aca="false">IF(I1249="N/A","N/A",IF(N1249="","Not tested",IF(W1249="Rejected","Evidence rejected",IF(W1249&lt;&gt;"Accepted","Evidence pending",IF(Y1249&lt;'Residual Config'!$C$4,"Overdue","Current")))))</f>
        <v>Current</v>
      </c>
      <c r="AA1249" s="34" t="n">
        <f aca="false">IF(I1249="N/A","",IF(Z1249&lt;&gt;"Current",4,IF(MAX(M1249,T1249)=0,4,MAX(M1249,T1249))))</f>
        <v>2</v>
      </c>
      <c r="AB1249" s="7" t="str">
        <f aca="false">IF(AA1249="","N/A",IF(Z1249&lt;&gt;"Current","Not tested / overdue",INDEX('Residual Config'!$B$11:$B$14,AA1249)))</f>
        <v>Largely effective</v>
      </c>
      <c r="AC1249" s="36" t="n">
        <f aca="false">IF(AA1249="","",INDEX('Residual Config'!$D$11:$D$14,AA1249))</f>
        <v>0.4</v>
      </c>
      <c r="AD1249" s="7" t="str">
        <f aca="false">IF(OR(I1249="N/A",P1249="",Q1249=""),"",IF(P1249&gt;=Q1249,"Yes","No"))</f>
        <v>Yes</v>
      </c>
      <c r="AE1249" s="8"/>
    </row>
    <row r="1250" customFormat="false" ht="15" hidden="false" customHeight="false" outlineLevel="0" collapsed="false">
      <c r="A1250" s="12" t="s">
        <v>3853</v>
      </c>
      <c r="B1250" s="26" t="str">
        <f aca="false">Entities!$A$33</f>
        <v>AU</v>
      </c>
      <c r="C1250" s="12" t="str">
        <f aca="false">INDEX(Entities!$B$5:$B$34,MATCH(B1250,Entities!$A$5:$A$34,0))</f>
        <v>Arab Bank Australia</v>
      </c>
      <c r="D1250" s="7" t="str">
        <f aca="false">INDEX(Entities!$F$5:$F$34,MATCH(B1250,Entities!$A$5:$A$34,0))</f>
        <v>Tier 2</v>
      </c>
      <c r="E1250" s="26" t="str">
        <f aca="false">'Control Library'!$A$46</f>
        <v>CTL-RP-01</v>
      </c>
      <c r="F1250" s="12" t="str">
        <f aca="false">INDEX('Control Library'!$B$5:$B$47,MATCH(E1250,'Control Library'!$A$5:$A$47,0))</f>
        <v>Media monitoring and reputational-risk escalation</v>
      </c>
      <c r="G1250" s="7" t="str">
        <f aca="false">INDEX('Control Library'!$F$5:$F$47,MATCH(E1250,'Control Library'!$A$5:$A$47,0))</f>
        <v>Y</v>
      </c>
      <c r="H1250" s="12" t="str">
        <f aca="false">INDEX('Control Library'!$E$5:$E$47,MATCH(E1250,'Control Library'!$A$5:$A$47,0))</f>
        <v>Daily</v>
      </c>
      <c r="I1250" s="7" t="str">
        <f aca="false">IF(INDEX('Control Library'!$I$5:$I$47,MATCH(E1250,'Control Library'!$A$5:$A$47,0))="All","Y",IF(INDEX('Control Library'!$I$5:$I$47,MATCH(E1250,'Control Library'!$A$5:$A$47,0))="Banks only",IF(COUNTIF('Residual Config'!$L$28:$L$30,INDEX(Entities!$E$5:$E$34,MATCH(B1250,Entities!$A$5:$A$34,0)))&gt;0,"N/A","Y"),IF(INDEX(Entities!$G$5:$G$34,MATCH(B1250,Entities!$A$5:$A$34,0))="Y","Y","N/A")))</f>
        <v>Y</v>
      </c>
      <c r="J1250" s="8" t="s">
        <v>3854</v>
      </c>
      <c r="K1250" s="8" t="s">
        <v>3752</v>
      </c>
      <c r="L1250" s="7" t="str">
        <f aca="false">IF(OR(J1250="",K1250=""),"",IF(J1250=K1250,"Breach","OK"))</f>
        <v>OK</v>
      </c>
      <c r="M1250" s="24" t="n">
        <v>1</v>
      </c>
      <c r="N1250" s="50" t="n">
        <v>46286</v>
      </c>
      <c r="O1250" s="8" t="s">
        <v>545</v>
      </c>
      <c r="P1250" s="24" t="n">
        <v>25</v>
      </c>
      <c r="Q1250" s="31" t="n">
        <f aca="false">IF(I1250="N/A","",IFERROR(INDEX('Residual Config'!$B$35:$B$42,MATCH(H1250,'Residual Config'!$A$35:$A$42,0)),""))</f>
        <v>25</v>
      </c>
      <c r="R1250" s="24" t="n">
        <v>1</v>
      </c>
      <c r="S1250" s="8" t="s">
        <v>521</v>
      </c>
      <c r="T1250" s="31" t="n">
        <f aca="false">IF(S1250="","",MATCH(S1250,'Residual Config'!$L$9:$L$12,0))</f>
        <v>2</v>
      </c>
      <c r="U1250" s="8" t="s">
        <v>3855</v>
      </c>
      <c r="V1250" s="24" t="n">
        <v>2</v>
      </c>
      <c r="W1250" s="33" t="s">
        <v>533</v>
      </c>
      <c r="X1250" s="8" t="s">
        <v>760</v>
      </c>
      <c r="Y1250" s="51" t="n">
        <f aca="false">IF(N1250="","",EDATE(N1250,IF(G1250="N",INDEX('Residual Config'!$B$31:$D$31,1,MATCH(D1250,'Residual Config'!$B$27:$D$27,0)),INDEX('Residual Config'!$B$28:$D$30,IF(T1250=1,1,IF(T1250=4,3,2)),MATCH(D1250,'Residual Config'!$B$27:$D$27,0)))))</f>
        <v>46467</v>
      </c>
      <c r="Z1250" s="7" t="str">
        <f aca="false">IF(I1250="N/A","N/A",IF(N1250="","Not tested",IF(W1250="Rejected","Evidence rejected",IF(W1250&lt;&gt;"Accepted","Evidence pending",IF(Y1250&lt;'Residual Config'!$C$4,"Overdue","Current")))))</f>
        <v>Current</v>
      </c>
      <c r="AA1250" s="34" t="n">
        <f aca="false">IF(I1250="N/A","",IF(Z1250&lt;&gt;"Current",4,IF(MAX(M1250,T1250)=0,4,MAX(M1250,T1250))))</f>
        <v>2</v>
      </c>
      <c r="AB1250" s="7" t="str">
        <f aca="false">IF(AA1250="","N/A",IF(Z1250&lt;&gt;"Current","Not tested / overdue",INDEX('Residual Config'!$B$11:$B$14,AA1250)))</f>
        <v>Largely effective</v>
      </c>
      <c r="AC1250" s="36" t="n">
        <f aca="false">IF(AA1250="","",INDEX('Residual Config'!$D$11:$D$14,AA1250))</f>
        <v>0.4</v>
      </c>
      <c r="AD1250" s="7" t="str">
        <f aca="false">IF(OR(I1250="N/A",P1250="",Q1250=""),"",IF(P1250&gt;=Q1250,"Yes","No"))</f>
        <v>Yes</v>
      </c>
      <c r="AE1250" s="8"/>
    </row>
    <row r="1251" customFormat="false" ht="15" hidden="false" customHeight="false" outlineLevel="0" collapsed="false">
      <c r="A1251" s="12" t="s">
        <v>3856</v>
      </c>
      <c r="B1251" s="26" t="str">
        <f aca="false">Entities!$A$33</f>
        <v>AU</v>
      </c>
      <c r="C1251" s="12" t="str">
        <f aca="false">INDEX(Entities!$B$5:$B$34,MATCH(B1251,Entities!$A$5:$A$34,0))</f>
        <v>Arab Bank Australia</v>
      </c>
      <c r="D1251" s="7" t="str">
        <f aca="false">INDEX(Entities!$F$5:$F$34,MATCH(B1251,Entities!$A$5:$A$34,0))</f>
        <v>Tier 2</v>
      </c>
      <c r="E1251" s="26" t="str">
        <f aca="false">'Control Library'!$A$47</f>
        <v>CTL-ST-01</v>
      </c>
      <c r="F1251" s="12" t="str">
        <f aca="false">INDEX('Control Library'!$B$5:$B$47,MATCH(E1251,'Control Library'!$A$5:$A$47,0))</f>
        <v>Strategy execution monitoring and E&amp;S screening of lending</v>
      </c>
      <c r="G1251" s="7" t="str">
        <f aca="false">INDEX('Control Library'!$F$5:$F$47,MATCH(E1251,'Control Library'!$A$5:$A$47,0))</f>
        <v>Y</v>
      </c>
      <c r="H1251" s="12" t="str">
        <f aca="false">INDEX('Control Library'!$E$5:$E$47,MATCH(E1251,'Control Library'!$A$5:$A$47,0))</f>
        <v>Quarterly</v>
      </c>
      <c r="I1251" s="7" t="str">
        <f aca="false">IF(INDEX('Control Library'!$I$5:$I$47,MATCH(E1251,'Control Library'!$A$5:$A$47,0))="All","Y",IF(INDEX('Control Library'!$I$5:$I$47,MATCH(E1251,'Control Library'!$A$5:$A$47,0))="Banks only",IF(COUNTIF('Residual Config'!$L$28:$L$30,INDEX(Entities!$E$5:$E$34,MATCH(B1251,Entities!$A$5:$A$34,0)))&gt;0,"N/A","Y"),IF(INDEX(Entities!$G$5:$G$34,MATCH(B1251,Entities!$A$5:$A$34,0))="Y","Y","N/A")))</f>
        <v>Y</v>
      </c>
      <c r="J1251" s="8" t="s">
        <v>3857</v>
      </c>
      <c r="K1251" s="8" t="s">
        <v>3752</v>
      </c>
      <c r="L1251" s="7" t="str">
        <f aca="false">IF(OR(J1251="",K1251=""),"",IF(J1251=K1251,"Breach","OK"))</f>
        <v>OK</v>
      </c>
      <c r="M1251" s="24" t="n">
        <v>1</v>
      </c>
      <c r="N1251" s="50" t="n">
        <v>46256</v>
      </c>
      <c r="O1251" s="8" t="s">
        <v>545</v>
      </c>
      <c r="P1251" s="24" t="n">
        <v>2</v>
      </c>
      <c r="Q1251" s="31" t="n">
        <f aca="false">IF(I1251="N/A","",IFERROR(INDEX('Residual Config'!$B$35:$B$42,MATCH(H1251,'Residual Config'!$A$35:$A$42,0)),""))</f>
        <v>2</v>
      </c>
      <c r="R1251" s="24" t="n">
        <v>1</v>
      </c>
      <c r="S1251" s="8" t="s">
        <v>521</v>
      </c>
      <c r="T1251" s="31" t="n">
        <f aca="false">IF(S1251="","",MATCH(S1251,'Residual Config'!$L$9:$L$12,0))</f>
        <v>2</v>
      </c>
      <c r="U1251" s="8" t="s">
        <v>3858</v>
      </c>
      <c r="V1251" s="24" t="n">
        <v>1</v>
      </c>
      <c r="W1251" s="33" t="s">
        <v>533</v>
      </c>
      <c r="X1251" s="8" t="s">
        <v>754</v>
      </c>
      <c r="Y1251" s="51" t="n">
        <f aca="false">IF(N1251="","",EDATE(N1251,IF(G1251="N",INDEX('Residual Config'!$B$31:$D$31,1,MATCH(D1251,'Residual Config'!$B$27:$D$27,0)),INDEX('Residual Config'!$B$28:$D$30,IF(T1251=1,1,IF(T1251=4,3,2)),MATCH(D1251,'Residual Config'!$B$27:$D$27,0)))))</f>
        <v>46440</v>
      </c>
      <c r="Z1251" s="7" t="str">
        <f aca="false">IF(I1251="N/A","N/A",IF(N1251="","Not tested",IF(W1251="Rejected","Evidence rejected",IF(W1251&lt;&gt;"Accepted","Evidence pending",IF(Y1251&lt;'Residual Config'!$C$4,"Overdue","Current")))))</f>
        <v>Current</v>
      </c>
      <c r="AA1251" s="34" t="n">
        <f aca="false">IF(I1251="N/A","",IF(Z1251&lt;&gt;"Current",4,IF(MAX(M1251,T1251)=0,4,MAX(M1251,T1251))))</f>
        <v>2</v>
      </c>
      <c r="AB1251" s="7" t="str">
        <f aca="false">IF(AA1251="","N/A",IF(Z1251&lt;&gt;"Current","Not tested / overdue",INDEX('Residual Config'!$B$11:$B$14,AA1251)))</f>
        <v>Largely effective</v>
      </c>
      <c r="AC1251" s="36" t="n">
        <f aca="false">IF(AA1251="","",INDEX('Residual Config'!$D$11:$D$14,AA1251))</f>
        <v>0.4</v>
      </c>
      <c r="AD1251" s="7" t="str">
        <f aca="false">IF(OR(I1251="N/A",P1251="",Q1251=""),"",IF(P1251&gt;=Q1251,"Yes","No"))</f>
        <v>Yes</v>
      </c>
      <c r="AE1251" s="8"/>
    </row>
    <row r="1252" customFormat="false" ht="15" hidden="false" customHeight="false" outlineLevel="0" collapsed="false">
      <c r="A1252" s="12" t="s">
        <v>3859</v>
      </c>
      <c r="B1252" s="26" t="str">
        <f aca="false">Entities!$A$34</f>
        <v>US</v>
      </c>
      <c r="C1252" s="12" t="str">
        <f aca="false">INDEX(Entities!$B$5:$B$34,MATCH(B1252,Entities!$A$5:$A$34,0))</f>
        <v>Arab Bank – United States (if retained)</v>
      </c>
      <c r="D1252" s="7" t="str">
        <f aca="false">INDEX(Entities!$F$5:$F$34,MATCH(B1252,Entities!$A$5:$A$34,0))</f>
        <v>Tier 3</v>
      </c>
      <c r="E1252" s="26" t="str">
        <f aca="false">'Control Library'!$A$5</f>
        <v>CTL-KYC-01</v>
      </c>
      <c r="F1252" s="12" t="str">
        <f aca="false">INDEX('Control Library'!$B$5:$B$47,MATCH(E1252,'Control Library'!$A$5:$A$47,0))</f>
        <v>Customer due diligence and ID verification at onboarding</v>
      </c>
      <c r="G1252" s="7" t="str">
        <f aca="false">INDEX('Control Library'!$F$5:$F$47,MATCH(E1252,'Control Library'!$A$5:$A$47,0))</f>
        <v>Y</v>
      </c>
      <c r="H1252" s="12" t="str">
        <f aca="false">INDEX('Control Library'!$E$5:$E$47,MATCH(E1252,'Control Library'!$A$5:$A$47,0))</f>
        <v>Event-driven</v>
      </c>
      <c r="I1252" s="7" t="str">
        <f aca="false">IF(INDEX('Control Library'!$I$5:$I$47,MATCH(E1252,'Control Library'!$A$5:$A$47,0))="All","Y",IF(INDEX('Control Library'!$I$5:$I$47,MATCH(E1252,'Control Library'!$A$5:$A$47,0))="Banks only",IF(COUNTIF('Residual Config'!$L$28:$L$30,INDEX(Entities!$E$5:$E$34,MATCH(B1252,Entities!$A$5:$A$34,0)))&gt;0,"N/A","Y"),IF(INDEX(Entities!$G$5:$G$34,MATCH(B1252,Entities!$A$5:$A$34,0))="Y","Y","N/A")))</f>
        <v>Y</v>
      </c>
      <c r="J1252" s="8" t="s">
        <v>3860</v>
      </c>
      <c r="K1252" s="8" t="s">
        <v>3861</v>
      </c>
      <c r="L1252" s="7" t="str">
        <f aca="false">IF(OR(J1252="",K1252=""),"",IF(J1252=K1252,"Breach","OK"))</f>
        <v>OK</v>
      </c>
      <c r="M1252" s="24" t="n">
        <v>2</v>
      </c>
      <c r="N1252" s="50" t="n">
        <v>46084</v>
      </c>
      <c r="O1252" s="8" t="s">
        <v>545</v>
      </c>
      <c r="P1252" s="24" t="n">
        <v>30</v>
      </c>
      <c r="Q1252" s="31" t="n">
        <f aca="false">IF(I1252="N/A","",IFERROR(INDEX('Residual Config'!$B$35:$B$42,MATCH(H1252,'Residual Config'!$A$35:$A$42,0)),""))</f>
        <v>25</v>
      </c>
      <c r="R1252" s="24" t="n">
        <v>0</v>
      </c>
      <c r="S1252" s="8" t="s">
        <v>516</v>
      </c>
      <c r="T1252" s="31" t="n">
        <f aca="false">IF(S1252="","",MATCH(S1252,'Residual Config'!$L$9:$L$12,0))</f>
        <v>1</v>
      </c>
      <c r="U1252" s="8" t="s">
        <v>3862</v>
      </c>
      <c r="V1252" s="24" t="n">
        <v>2</v>
      </c>
      <c r="W1252" s="33" t="s">
        <v>533</v>
      </c>
      <c r="X1252" s="8" t="s">
        <v>754</v>
      </c>
      <c r="Y1252" s="51" t="n">
        <f aca="false">IF(N1252="","",EDATE(N1252,IF(G1252="N",INDEX('Residual Config'!$B$31:$D$31,1,MATCH(D1252,'Residual Config'!$B$27:$D$27,0)),INDEX('Residual Config'!$B$28:$D$30,IF(T1252=1,1,IF(T1252=4,3,2)),MATCH(D1252,'Residual Config'!$B$27:$D$27,0)))))</f>
        <v>46449</v>
      </c>
      <c r="Z1252" s="7" t="str">
        <f aca="false">IF(I1252="N/A","N/A",IF(N1252="","Not tested",IF(W1252="Rejected","Evidence rejected",IF(W1252&lt;&gt;"Accepted","Evidence pending",IF(Y1252&lt;'Residual Config'!$C$4,"Overdue","Current")))))</f>
        <v>Current</v>
      </c>
      <c r="AA1252" s="34" t="n">
        <f aca="false">IF(I1252="N/A","",IF(Z1252&lt;&gt;"Current",4,IF(MAX(M1252,T1252)=0,4,MAX(M1252,T1252))))</f>
        <v>2</v>
      </c>
      <c r="AB1252" s="7" t="str">
        <f aca="false">IF(AA1252="","N/A",IF(Z1252&lt;&gt;"Current","Not tested / overdue",INDEX('Residual Config'!$B$11:$B$14,AA1252)))</f>
        <v>Largely effective</v>
      </c>
      <c r="AC1252" s="36" t="n">
        <f aca="false">IF(AA1252="","",INDEX('Residual Config'!$D$11:$D$14,AA1252))</f>
        <v>0.4</v>
      </c>
      <c r="AD1252" s="7" t="str">
        <f aca="false">IF(OR(I1252="N/A",P1252="",Q1252=""),"",IF(P1252&gt;=Q1252,"Yes","No"))</f>
        <v>Yes</v>
      </c>
      <c r="AE1252" s="8"/>
    </row>
    <row r="1253" customFormat="false" ht="15" hidden="false" customHeight="false" outlineLevel="0" collapsed="false">
      <c r="A1253" s="12" t="s">
        <v>3863</v>
      </c>
      <c r="B1253" s="26" t="str">
        <f aca="false">Entities!$A$34</f>
        <v>US</v>
      </c>
      <c r="C1253" s="12" t="str">
        <f aca="false">INDEX(Entities!$B$5:$B$34,MATCH(B1253,Entities!$A$5:$A$34,0))</f>
        <v>Arab Bank – United States (if retained)</v>
      </c>
      <c r="D1253" s="7" t="str">
        <f aca="false">INDEX(Entities!$F$5:$F$34,MATCH(B1253,Entities!$A$5:$A$34,0))</f>
        <v>Tier 3</v>
      </c>
      <c r="E1253" s="26" t="str">
        <f aca="false">'Control Library'!$A$6</f>
        <v>CTL-KYC-02</v>
      </c>
      <c r="F1253" s="12" t="str">
        <f aca="false">INDEX('Control Library'!$B$5:$B$47,MATCH(E1253,'Control Library'!$A$5:$A$47,0))</f>
        <v>Enhanced due diligence for high-risk customers and PEPs, senior approval</v>
      </c>
      <c r="G1253" s="7" t="str">
        <f aca="false">INDEX('Control Library'!$F$5:$F$47,MATCH(E1253,'Control Library'!$A$5:$A$47,0))</f>
        <v>Y</v>
      </c>
      <c r="H1253" s="12" t="str">
        <f aca="false">INDEX('Control Library'!$E$5:$E$47,MATCH(E1253,'Control Library'!$A$5:$A$47,0))</f>
        <v>Event-driven</v>
      </c>
      <c r="I1253" s="7" t="str">
        <f aca="false">IF(INDEX('Control Library'!$I$5:$I$47,MATCH(E1253,'Control Library'!$A$5:$A$47,0))="All","Y",IF(INDEX('Control Library'!$I$5:$I$47,MATCH(E1253,'Control Library'!$A$5:$A$47,0))="Banks only",IF(COUNTIF('Residual Config'!$L$28:$L$30,INDEX(Entities!$E$5:$E$34,MATCH(B1253,Entities!$A$5:$A$34,0)))&gt;0,"N/A","Y"),IF(INDEX(Entities!$G$5:$G$34,MATCH(B1253,Entities!$A$5:$A$34,0))="Y","Y","N/A")))</f>
        <v>Y</v>
      </c>
      <c r="J1253" s="8" t="s">
        <v>3864</v>
      </c>
      <c r="K1253" s="8" t="s">
        <v>3861</v>
      </c>
      <c r="L1253" s="7" t="str">
        <f aca="false">IF(OR(J1253="",K1253=""),"",IF(J1253=K1253,"Breach","OK"))</f>
        <v>OK</v>
      </c>
      <c r="M1253" s="24" t="n">
        <v>1</v>
      </c>
      <c r="N1253" s="50" t="n">
        <v>46187</v>
      </c>
      <c r="O1253" s="8" t="s">
        <v>546</v>
      </c>
      <c r="P1253" s="24" t="n">
        <v>35</v>
      </c>
      <c r="Q1253" s="31" t="n">
        <f aca="false">IF(I1253="N/A","",IFERROR(INDEX('Residual Config'!$B$35:$B$42,MATCH(H1253,'Residual Config'!$A$35:$A$42,0)),""))</f>
        <v>25</v>
      </c>
      <c r="R1253" s="24" t="n">
        <v>1</v>
      </c>
      <c r="S1253" s="8" t="s">
        <v>521</v>
      </c>
      <c r="T1253" s="31" t="n">
        <f aca="false">IF(S1253="","",MATCH(S1253,'Residual Config'!$L$9:$L$12,0))</f>
        <v>2</v>
      </c>
      <c r="U1253" s="8" t="s">
        <v>3865</v>
      </c>
      <c r="V1253" s="24" t="n">
        <v>4</v>
      </c>
      <c r="W1253" s="33" t="s">
        <v>533</v>
      </c>
      <c r="X1253" s="8" t="s">
        <v>754</v>
      </c>
      <c r="Y1253" s="51" t="n">
        <f aca="false">IF(N1253="","",EDATE(N1253,IF(G1253="N",INDEX('Residual Config'!$B$31:$D$31,1,MATCH(D1253,'Residual Config'!$B$27:$D$27,0)),INDEX('Residual Config'!$B$28:$D$30,IF(T1253=1,1,IF(T1253=4,3,2)),MATCH(D1253,'Residual Config'!$B$27:$D$27,0)))))</f>
        <v>46370</v>
      </c>
      <c r="Z1253" s="7" t="str">
        <f aca="false">IF(I1253="N/A","N/A",IF(N1253="","Not tested",IF(W1253="Rejected","Evidence rejected",IF(W1253&lt;&gt;"Accepted","Evidence pending",IF(Y1253&lt;'Residual Config'!$C$4,"Overdue","Current")))))</f>
        <v>Current</v>
      </c>
      <c r="AA1253" s="34" t="n">
        <f aca="false">IF(I1253="N/A","",IF(Z1253&lt;&gt;"Current",4,IF(MAX(M1253,T1253)=0,4,MAX(M1253,T1253))))</f>
        <v>2</v>
      </c>
      <c r="AB1253" s="7" t="str">
        <f aca="false">IF(AA1253="","N/A",IF(Z1253&lt;&gt;"Current","Not tested / overdue",INDEX('Residual Config'!$B$11:$B$14,AA1253)))</f>
        <v>Largely effective</v>
      </c>
      <c r="AC1253" s="36" t="n">
        <f aca="false">IF(AA1253="","",INDEX('Residual Config'!$D$11:$D$14,AA1253))</f>
        <v>0.4</v>
      </c>
      <c r="AD1253" s="7" t="str">
        <f aca="false">IF(OR(I1253="N/A",P1253="",Q1253=""),"",IF(P1253&gt;=Q1253,"Yes","No"))</f>
        <v>Yes</v>
      </c>
      <c r="AE1253" s="8"/>
    </row>
    <row r="1254" customFormat="false" ht="15" hidden="false" customHeight="false" outlineLevel="0" collapsed="false">
      <c r="A1254" s="12" t="s">
        <v>3866</v>
      </c>
      <c r="B1254" s="26" t="str">
        <f aca="false">Entities!$A$34</f>
        <v>US</v>
      </c>
      <c r="C1254" s="12" t="str">
        <f aca="false">INDEX(Entities!$B$5:$B$34,MATCH(B1254,Entities!$A$5:$A$34,0))</f>
        <v>Arab Bank – United States (if retained)</v>
      </c>
      <c r="D1254" s="7" t="str">
        <f aca="false">INDEX(Entities!$F$5:$F$34,MATCH(B1254,Entities!$A$5:$A$34,0))</f>
        <v>Tier 3</v>
      </c>
      <c r="E1254" s="26" t="str">
        <f aca="false">'Control Library'!$A$7</f>
        <v>CTL-KYC-03</v>
      </c>
      <c r="F1254" s="12" t="str">
        <f aca="false">INDEX('Control Library'!$B$5:$B$47,MATCH(E1254,'Control Library'!$A$5:$A$47,0))</f>
        <v>Ultimate beneficial owner identification and verification</v>
      </c>
      <c r="G1254" s="7" t="str">
        <f aca="false">INDEX('Control Library'!$F$5:$F$47,MATCH(E1254,'Control Library'!$A$5:$A$47,0))</f>
        <v>Y</v>
      </c>
      <c r="H1254" s="12" t="str">
        <f aca="false">INDEX('Control Library'!$E$5:$E$47,MATCH(E1254,'Control Library'!$A$5:$A$47,0))</f>
        <v>Event-driven</v>
      </c>
      <c r="I1254" s="7" t="str">
        <f aca="false">IF(INDEX('Control Library'!$I$5:$I$47,MATCH(E1254,'Control Library'!$A$5:$A$47,0))="All","Y",IF(INDEX('Control Library'!$I$5:$I$47,MATCH(E1254,'Control Library'!$A$5:$A$47,0))="Banks only",IF(COUNTIF('Residual Config'!$L$28:$L$30,INDEX(Entities!$E$5:$E$34,MATCH(B1254,Entities!$A$5:$A$34,0)))&gt;0,"N/A","Y"),IF(INDEX(Entities!$G$5:$G$34,MATCH(B1254,Entities!$A$5:$A$34,0))="Y","Y","N/A")))</f>
        <v>Y</v>
      </c>
      <c r="J1254" s="8" t="s">
        <v>3860</v>
      </c>
      <c r="K1254" s="8" t="s">
        <v>3861</v>
      </c>
      <c r="L1254" s="7" t="str">
        <f aca="false">IF(OR(J1254="",K1254=""),"",IF(J1254=K1254,"Breach","OK"))</f>
        <v>OK</v>
      </c>
      <c r="M1254" s="24" t="n">
        <v>1</v>
      </c>
      <c r="N1254" s="50" t="n">
        <v>46139</v>
      </c>
      <c r="O1254" s="8" t="s">
        <v>545</v>
      </c>
      <c r="P1254" s="24" t="n">
        <v>30</v>
      </c>
      <c r="Q1254" s="31" t="n">
        <f aca="false">IF(I1254="N/A","",IFERROR(INDEX('Residual Config'!$B$35:$B$42,MATCH(H1254,'Residual Config'!$A$35:$A$42,0)),""))</f>
        <v>25</v>
      </c>
      <c r="R1254" s="24" t="n">
        <v>0</v>
      </c>
      <c r="S1254" s="8" t="s">
        <v>516</v>
      </c>
      <c r="T1254" s="31" t="n">
        <f aca="false">IF(S1254="","",MATCH(S1254,'Residual Config'!$L$9:$L$12,0))</f>
        <v>1</v>
      </c>
      <c r="U1254" s="8" t="s">
        <v>3867</v>
      </c>
      <c r="V1254" s="24" t="n">
        <v>6</v>
      </c>
      <c r="W1254" s="33" t="s">
        <v>533</v>
      </c>
      <c r="X1254" s="8" t="s">
        <v>760</v>
      </c>
      <c r="Y1254" s="51" t="n">
        <f aca="false">IF(N1254="","",EDATE(N1254,IF(G1254="N",INDEX('Residual Config'!$B$31:$D$31,1,MATCH(D1254,'Residual Config'!$B$27:$D$27,0)),INDEX('Residual Config'!$B$28:$D$30,IF(T1254=1,1,IF(T1254=4,3,2)),MATCH(D1254,'Residual Config'!$B$27:$D$27,0)))))</f>
        <v>46504</v>
      </c>
      <c r="Z1254" s="7" t="str">
        <f aca="false">IF(I1254="N/A","N/A",IF(N1254="","Not tested",IF(W1254="Rejected","Evidence rejected",IF(W1254&lt;&gt;"Accepted","Evidence pending",IF(Y1254&lt;'Residual Config'!$C$4,"Overdue","Current")))))</f>
        <v>Current</v>
      </c>
      <c r="AA1254" s="34" t="n">
        <f aca="false">IF(I1254="N/A","",IF(Z1254&lt;&gt;"Current",4,IF(MAX(M1254,T1254)=0,4,MAX(M1254,T1254))))</f>
        <v>1</v>
      </c>
      <c r="AB1254" s="7" t="str">
        <f aca="false">IF(AA1254="","N/A",IF(Z1254&lt;&gt;"Current","Not tested / overdue",INDEX('Residual Config'!$B$11:$B$14,AA1254)))</f>
        <v>Effective</v>
      </c>
      <c r="AC1254" s="36" t="n">
        <f aca="false">IF(AA1254="","",INDEX('Residual Config'!$D$11:$D$14,AA1254))</f>
        <v>0.6</v>
      </c>
      <c r="AD1254" s="7" t="str">
        <f aca="false">IF(OR(I1254="N/A",P1254="",Q1254=""),"",IF(P1254&gt;=Q1254,"Yes","No"))</f>
        <v>Yes</v>
      </c>
      <c r="AE1254" s="8"/>
    </row>
    <row r="1255" customFormat="false" ht="15" hidden="false" customHeight="false" outlineLevel="0" collapsed="false">
      <c r="A1255" s="12" t="s">
        <v>3868</v>
      </c>
      <c r="B1255" s="26" t="str">
        <f aca="false">Entities!$A$34</f>
        <v>US</v>
      </c>
      <c r="C1255" s="12" t="str">
        <f aca="false">INDEX(Entities!$B$5:$B$34,MATCH(B1255,Entities!$A$5:$A$34,0))</f>
        <v>Arab Bank – United States (if retained)</v>
      </c>
      <c r="D1255" s="7" t="str">
        <f aca="false">INDEX(Entities!$F$5:$F$34,MATCH(B1255,Entities!$A$5:$A$34,0))</f>
        <v>Tier 3</v>
      </c>
      <c r="E1255" s="26" t="str">
        <f aca="false">'Control Library'!$A$8</f>
        <v>CTL-KYC-04</v>
      </c>
      <c r="F1255" s="12" t="str">
        <f aca="false">INDEX('Control Library'!$B$5:$B$47,MATCH(E1255,'Control Library'!$A$5:$A$47,0))</f>
        <v>Periodic KYC review by customer risk rating</v>
      </c>
      <c r="G1255" s="7" t="str">
        <f aca="false">INDEX('Control Library'!$F$5:$F$47,MATCH(E1255,'Control Library'!$A$5:$A$47,0))</f>
        <v>Y</v>
      </c>
      <c r="H1255" s="12" t="str">
        <f aca="false">INDEX('Control Library'!$E$5:$E$47,MATCH(E1255,'Control Library'!$A$5:$A$47,0))</f>
        <v>Monthly</v>
      </c>
      <c r="I1255" s="7" t="str">
        <f aca="false">IF(INDEX('Control Library'!$I$5:$I$47,MATCH(E1255,'Control Library'!$A$5:$A$47,0))="All","Y",IF(INDEX('Control Library'!$I$5:$I$47,MATCH(E1255,'Control Library'!$A$5:$A$47,0))="Banks only",IF(COUNTIF('Residual Config'!$L$28:$L$30,INDEX(Entities!$E$5:$E$34,MATCH(B1255,Entities!$A$5:$A$34,0)))&gt;0,"N/A","Y"),IF(INDEX(Entities!$G$5:$G$34,MATCH(B1255,Entities!$A$5:$A$34,0))="Y","Y","N/A")))</f>
        <v>Y</v>
      </c>
      <c r="J1255" s="8" t="s">
        <v>3860</v>
      </c>
      <c r="K1255" s="8" t="s">
        <v>3861</v>
      </c>
      <c r="L1255" s="7" t="str">
        <f aca="false">IF(OR(J1255="",K1255=""),"",IF(J1255=K1255,"Breach","OK"))</f>
        <v>OK</v>
      </c>
      <c r="M1255" s="24" t="n">
        <v>1</v>
      </c>
      <c r="N1255" s="50" t="n">
        <v>46220</v>
      </c>
      <c r="O1255" s="8" t="s">
        <v>545</v>
      </c>
      <c r="P1255" s="24" t="n">
        <v>3</v>
      </c>
      <c r="Q1255" s="31" t="n">
        <f aca="false">IF(I1255="N/A","",IFERROR(INDEX('Residual Config'!$B$35:$B$42,MATCH(H1255,'Residual Config'!$A$35:$A$42,0)),""))</f>
        <v>3</v>
      </c>
      <c r="R1255" s="24" t="n">
        <v>1</v>
      </c>
      <c r="S1255" s="8" t="s">
        <v>521</v>
      </c>
      <c r="T1255" s="31" t="n">
        <f aca="false">IF(S1255="","",MATCH(S1255,'Residual Config'!$L$9:$L$12,0))</f>
        <v>2</v>
      </c>
      <c r="U1255" s="8" t="s">
        <v>3869</v>
      </c>
      <c r="V1255" s="24" t="n">
        <v>5</v>
      </c>
      <c r="W1255" s="33" t="s">
        <v>533</v>
      </c>
      <c r="X1255" s="8" t="s">
        <v>754</v>
      </c>
      <c r="Y1255" s="51" t="n">
        <f aca="false">IF(N1255="","",EDATE(N1255,IF(G1255="N",INDEX('Residual Config'!$B$31:$D$31,1,MATCH(D1255,'Residual Config'!$B$27:$D$27,0)),INDEX('Residual Config'!$B$28:$D$30,IF(T1255=1,1,IF(T1255=4,3,2)),MATCH(D1255,'Residual Config'!$B$27:$D$27,0)))))</f>
        <v>46404</v>
      </c>
      <c r="Z1255" s="7" t="str">
        <f aca="false">IF(I1255="N/A","N/A",IF(N1255="","Not tested",IF(W1255="Rejected","Evidence rejected",IF(W1255&lt;&gt;"Accepted","Evidence pending",IF(Y1255&lt;'Residual Config'!$C$4,"Overdue","Current")))))</f>
        <v>Current</v>
      </c>
      <c r="AA1255" s="34" t="n">
        <f aca="false">IF(I1255="N/A","",IF(Z1255&lt;&gt;"Current",4,IF(MAX(M1255,T1255)=0,4,MAX(M1255,T1255))))</f>
        <v>2</v>
      </c>
      <c r="AB1255" s="7" t="str">
        <f aca="false">IF(AA1255="","N/A",IF(Z1255&lt;&gt;"Current","Not tested / overdue",INDEX('Residual Config'!$B$11:$B$14,AA1255)))</f>
        <v>Largely effective</v>
      </c>
      <c r="AC1255" s="36" t="n">
        <f aca="false">IF(AA1255="","",INDEX('Residual Config'!$D$11:$D$14,AA1255))</f>
        <v>0.4</v>
      </c>
      <c r="AD1255" s="7" t="str">
        <f aca="false">IF(OR(I1255="N/A",P1255="",Q1255=""),"",IF(P1255&gt;=Q1255,"Yes","No"))</f>
        <v>Yes</v>
      </c>
      <c r="AE1255" s="8"/>
    </row>
    <row r="1256" customFormat="false" ht="15" hidden="false" customHeight="false" outlineLevel="0" collapsed="false">
      <c r="A1256" s="12" t="s">
        <v>3870</v>
      </c>
      <c r="B1256" s="26" t="str">
        <f aca="false">Entities!$A$34</f>
        <v>US</v>
      </c>
      <c r="C1256" s="12" t="str">
        <f aca="false">INDEX(Entities!$B$5:$B$34,MATCH(B1256,Entities!$A$5:$A$34,0))</f>
        <v>Arab Bank – United States (if retained)</v>
      </c>
      <c r="D1256" s="7" t="str">
        <f aca="false">INDEX(Entities!$F$5:$F$34,MATCH(B1256,Entities!$A$5:$A$34,0))</f>
        <v>Tier 3</v>
      </c>
      <c r="E1256" s="26" t="str">
        <f aca="false">'Control Library'!$A$9</f>
        <v>CTL-CRR-01</v>
      </c>
      <c r="F1256" s="12" t="str">
        <f aca="false">INDEX('Control Library'!$B$5:$B$47,MATCH(E1256,'Control Library'!$A$5:$A$47,0))</f>
        <v>Customer risk rating model and annual validation</v>
      </c>
      <c r="G1256" s="7" t="str">
        <f aca="false">INDEX('Control Library'!$F$5:$F$47,MATCH(E1256,'Control Library'!$A$5:$A$47,0))</f>
        <v>N</v>
      </c>
      <c r="H1256" s="12" t="str">
        <f aca="false">INDEX('Control Library'!$E$5:$E$47,MATCH(E1256,'Control Library'!$A$5:$A$47,0))</f>
        <v>Annual</v>
      </c>
      <c r="I1256" s="7" t="str">
        <f aca="false">IF(INDEX('Control Library'!$I$5:$I$47,MATCH(E1256,'Control Library'!$A$5:$A$47,0))="All","Y",IF(INDEX('Control Library'!$I$5:$I$47,MATCH(E1256,'Control Library'!$A$5:$A$47,0))="Banks only",IF(COUNTIF('Residual Config'!$L$28:$L$30,INDEX(Entities!$E$5:$E$34,MATCH(B1256,Entities!$A$5:$A$34,0)))&gt;0,"N/A","Y"),IF(INDEX(Entities!$G$5:$G$34,MATCH(B1256,Entities!$A$5:$A$34,0))="Y","Y","N/A")))</f>
        <v>Y</v>
      </c>
      <c r="J1256" s="8" t="s">
        <v>3864</v>
      </c>
      <c r="K1256" s="8" t="s">
        <v>3861</v>
      </c>
      <c r="L1256" s="7" t="str">
        <f aca="false">IF(OR(J1256="",K1256=""),"",IF(J1256=K1256,"Breach","OK"))</f>
        <v>OK</v>
      </c>
      <c r="M1256" s="24" t="n">
        <v>2</v>
      </c>
      <c r="N1256" s="50" t="n">
        <v>46052</v>
      </c>
      <c r="O1256" s="8" t="s">
        <v>547</v>
      </c>
      <c r="P1256" s="24" t="n">
        <v>1</v>
      </c>
      <c r="Q1256" s="31" t="n">
        <f aca="false">IF(I1256="N/A","",IFERROR(INDEX('Residual Config'!$B$35:$B$42,MATCH(H1256,'Residual Config'!$A$35:$A$42,0)),""))</f>
        <v>1</v>
      </c>
      <c r="R1256" s="24" t="n">
        <v>1</v>
      </c>
      <c r="S1256" s="8" t="s">
        <v>521</v>
      </c>
      <c r="T1256" s="31" t="n">
        <f aca="false">IF(S1256="","",MATCH(S1256,'Residual Config'!$L$9:$L$12,0))</f>
        <v>2</v>
      </c>
      <c r="U1256" s="8" t="s">
        <v>3871</v>
      </c>
      <c r="V1256" s="24" t="n">
        <v>1</v>
      </c>
      <c r="W1256" s="33" t="s">
        <v>533</v>
      </c>
      <c r="X1256" s="8" t="s">
        <v>754</v>
      </c>
      <c r="Y1256" s="51" t="n">
        <f aca="false">IF(N1256="","",EDATE(N1256,IF(G1256="N",INDEX('Residual Config'!$B$31:$D$31,1,MATCH(D1256,'Residual Config'!$B$27:$D$27,0)),INDEX('Residual Config'!$B$28:$D$30,IF(T1256=1,1,IF(T1256=4,3,2)),MATCH(D1256,'Residual Config'!$B$27:$D$27,0)))))</f>
        <v>46782</v>
      </c>
      <c r="Z1256" s="7" t="str">
        <f aca="false">IF(I1256="N/A","N/A",IF(N1256="","Not tested",IF(W1256="Rejected","Evidence rejected",IF(W1256&lt;&gt;"Accepted","Evidence pending",IF(Y1256&lt;'Residual Config'!$C$4,"Overdue","Current")))))</f>
        <v>Current</v>
      </c>
      <c r="AA1256" s="34" t="n">
        <f aca="false">IF(I1256="N/A","",IF(Z1256&lt;&gt;"Current",4,IF(MAX(M1256,T1256)=0,4,MAX(M1256,T1256))))</f>
        <v>2</v>
      </c>
      <c r="AB1256" s="7" t="str">
        <f aca="false">IF(AA1256="","N/A",IF(Z1256&lt;&gt;"Current","Not tested / overdue",INDEX('Residual Config'!$B$11:$B$14,AA1256)))</f>
        <v>Largely effective</v>
      </c>
      <c r="AC1256" s="36" t="n">
        <f aca="false">IF(AA1256="","",INDEX('Residual Config'!$D$11:$D$14,AA1256))</f>
        <v>0.4</v>
      </c>
      <c r="AD1256" s="7" t="str">
        <f aca="false">IF(OR(I1256="N/A",P1256="",Q1256=""),"",IF(P1256&gt;=Q1256,"Yes","No"))</f>
        <v>Yes</v>
      </c>
      <c r="AE1256" s="8"/>
    </row>
    <row r="1257" customFormat="false" ht="15" hidden="false" customHeight="false" outlineLevel="0" collapsed="false">
      <c r="A1257" s="12" t="s">
        <v>3872</v>
      </c>
      <c r="B1257" s="26" t="str">
        <f aca="false">Entities!$A$34</f>
        <v>US</v>
      </c>
      <c r="C1257" s="12" t="str">
        <f aca="false">INDEX(Entities!$B$5:$B$34,MATCH(B1257,Entities!$A$5:$A$34,0))</f>
        <v>Arab Bank – United States (if retained)</v>
      </c>
      <c r="D1257" s="7" t="str">
        <f aca="false">INDEX(Entities!$F$5:$F$34,MATCH(B1257,Entities!$A$5:$A$34,0))</f>
        <v>Tier 3</v>
      </c>
      <c r="E1257" s="26" t="str">
        <f aca="false">'Control Library'!$A$10</f>
        <v>CTL-TM-01</v>
      </c>
      <c r="F1257" s="12" t="str">
        <f aca="false">INDEX('Control Library'!$B$5:$B$47,MATCH(E1257,'Control Library'!$A$5:$A$47,0))</f>
        <v>Automated transaction monitoring scenarios and annual tuning</v>
      </c>
      <c r="G1257" s="7" t="str">
        <f aca="false">INDEX('Control Library'!$F$5:$F$47,MATCH(E1257,'Control Library'!$A$5:$A$47,0))</f>
        <v>Y</v>
      </c>
      <c r="H1257" s="12" t="str">
        <f aca="false">INDEX('Control Library'!$E$5:$E$47,MATCH(E1257,'Control Library'!$A$5:$A$47,0))</f>
        <v>Continuous</v>
      </c>
      <c r="I1257" s="7" t="str">
        <f aca="false">IF(INDEX('Control Library'!$I$5:$I$47,MATCH(E1257,'Control Library'!$A$5:$A$47,0))="All","Y",IF(INDEX('Control Library'!$I$5:$I$47,MATCH(E1257,'Control Library'!$A$5:$A$47,0))="Banks only",IF(COUNTIF('Residual Config'!$L$28:$L$30,INDEX(Entities!$E$5:$E$34,MATCH(B1257,Entities!$A$5:$A$34,0)))&gt;0,"N/A","Y"),IF(INDEX(Entities!$G$5:$G$34,MATCH(B1257,Entities!$A$5:$A$34,0))="Y","Y","N/A")))</f>
        <v>Y</v>
      </c>
      <c r="J1257" s="8" t="s">
        <v>3873</v>
      </c>
      <c r="K1257" s="8" t="s">
        <v>3861</v>
      </c>
      <c r="L1257" s="7" t="str">
        <f aca="false">IF(OR(J1257="",K1257=""),"",IF(J1257=K1257,"Breach","OK"))</f>
        <v>OK</v>
      </c>
      <c r="M1257" s="24" t="n">
        <v>1</v>
      </c>
      <c r="N1257" s="50" t="n">
        <v>46150</v>
      </c>
      <c r="O1257" s="8" t="s">
        <v>547</v>
      </c>
      <c r="P1257" s="24" t="n">
        <v>1</v>
      </c>
      <c r="Q1257" s="31" t="n">
        <f aca="false">IF(I1257="N/A","",IFERROR(INDEX('Residual Config'!$B$35:$B$42,MATCH(H1257,'Residual Config'!$A$35:$A$42,0)),""))</f>
        <v>1</v>
      </c>
      <c r="R1257" s="24" t="n">
        <v>0</v>
      </c>
      <c r="S1257" s="8" t="s">
        <v>516</v>
      </c>
      <c r="T1257" s="31" t="n">
        <f aca="false">IF(S1257="","",MATCH(S1257,'Residual Config'!$L$9:$L$12,0))</f>
        <v>1</v>
      </c>
      <c r="U1257" s="8" t="s">
        <v>3874</v>
      </c>
      <c r="V1257" s="24" t="n">
        <v>6</v>
      </c>
      <c r="W1257" s="33" t="s">
        <v>533</v>
      </c>
      <c r="X1257" s="8" t="s">
        <v>754</v>
      </c>
      <c r="Y1257" s="51" t="n">
        <f aca="false">IF(N1257="","",EDATE(N1257,IF(G1257="N",INDEX('Residual Config'!$B$31:$D$31,1,MATCH(D1257,'Residual Config'!$B$27:$D$27,0)),INDEX('Residual Config'!$B$28:$D$30,IF(T1257=1,1,IF(T1257=4,3,2)),MATCH(D1257,'Residual Config'!$B$27:$D$27,0)))))</f>
        <v>46515</v>
      </c>
      <c r="Z1257" s="7" t="str">
        <f aca="false">IF(I1257="N/A","N/A",IF(N1257="","Not tested",IF(W1257="Rejected","Evidence rejected",IF(W1257&lt;&gt;"Accepted","Evidence pending",IF(Y1257&lt;'Residual Config'!$C$4,"Overdue","Current")))))</f>
        <v>Current</v>
      </c>
      <c r="AA1257" s="34" t="n">
        <f aca="false">IF(I1257="N/A","",IF(Z1257&lt;&gt;"Current",4,IF(MAX(M1257,T1257)=0,4,MAX(M1257,T1257))))</f>
        <v>1</v>
      </c>
      <c r="AB1257" s="7" t="str">
        <f aca="false">IF(AA1257="","N/A",IF(Z1257&lt;&gt;"Current","Not tested / overdue",INDEX('Residual Config'!$B$11:$B$14,AA1257)))</f>
        <v>Effective</v>
      </c>
      <c r="AC1257" s="36" t="n">
        <f aca="false">IF(AA1257="","",INDEX('Residual Config'!$D$11:$D$14,AA1257))</f>
        <v>0.6</v>
      </c>
      <c r="AD1257" s="7" t="str">
        <f aca="false">IF(OR(I1257="N/A",P1257="",Q1257=""),"",IF(P1257&gt;=Q1257,"Yes","No"))</f>
        <v>Yes</v>
      </c>
      <c r="AE1257" s="8"/>
    </row>
    <row r="1258" customFormat="false" ht="15" hidden="false" customHeight="false" outlineLevel="0" collapsed="false">
      <c r="A1258" s="12" t="s">
        <v>3875</v>
      </c>
      <c r="B1258" s="26" t="str">
        <f aca="false">Entities!$A$34</f>
        <v>US</v>
      </c>
      <c r="C1258" s="12" t="str">
        <f aca="false">INDEX(Entities!$B$5:$B$34,MATCH(B1258,Entities!$A$5:$A$34,0))</f>
        <v>Arab Bank – United States (if retained)</v>
      </c>
      <c r="D1258" s="7" t="str">
        <f aca="false">INDEX(Entities!$F$5:$F$34,MATCH(B1258,Entities!$A$5:$A$34,0))</f>
        <v>Tier 3</v>
      </c>
      <c r="E1258" s="26" t="str">
        <f aca="false">'Control Library'!$A$11</f>
        <v>CTL-TM-02</v>
      </c>
      <c r="F1258" s="12" t="str">
        <f aca="false">INDEX('Control Library'!$B$5:$B$47,MATCH(E1258,'Control Library'!$A$5:$A$47,0))</f>
        <v>Alert investigation and quality assurance within SLA</v>
      </c>
      <c r="G1258" s="7" t="str">
        <f aca="false">INDEX('Control Library'!$F$5:$F$47,MATCH(E1258,'Control Library'!$A$5:$A$47,0))</f>
        <v>Y</v>
      </c>
      <c r="H1258" s="12" t="str">
        <f aca="false">INDEX('Control Library'!$E$5:$E$47,MATCH(E1258,'Control Library'!$A$5:$A$47,0))</f>
        <v>Daily</v>
      </c>
      <c r="I1258" s="7" t="str">
        <f aca="false">IF(INDEX('Control Library'!$I$5:$I$47,MATCH(E1258,'Control Library'!$A$5:$A$47,0))="All","Y",IF(INDEX('Control Library'!$I$5:$I$47,MATCH(E1258,'Control Library'!$A$5:$A$47,0))="Banks only",IF(COUNTIF('Residual Config'!$L$28:$L$30,INDEX(Entities!$E$5:$E$34,MATCH(B1258,Entities!$A$5:$A$34,0)))&gt;0,"N/A","Y"),IF(INDEX(Entities!$G$5:$G$34,MATCH(B1258,Entities!$A$5:$A$34,0))="Y","Y","N/A")))</f>
        <v>Y</v>
      </c>
      <c r="J1258" s="8" t="s">
        <v>3873</v>
      </c>
      <c r="K1258" s="8" t="s">
        <v>3861</v>
      </c>
      <c r="L1258" s="7" t="str">
        <f aca="false">IF(OR(J1258="",K1258=""),"",IF(J1258=K1258,"Breach","OK"))</f>
        <v>OK</v>
      </c>
      <c r="M1258" s="24" t="n">
        <v>2</v>
      </c>
      <c r="N1258" s="50" t="n">
        <v>46099</v>
      </c>
      <c r="O1258" s="8" t="s">
        <v>545</v>
      </c>
      <c r="P1258" s="24" t="n">
        <v>25</v>
      </c>
      <c r="Q1258" s="31" t="n">
        <f aca="false">IF(I1258="N/A","",IFERROR(INDEX('Residual Config'!$B$35:$B$42,MATCH(H1258,'Residual Config'!$A$35:$A$42,0)),""))</f>
        <v>25</v>
      </c>
      <c r="R1258" s="24" t="n">
        <v>0</v>
      </c>
      <c r="S1258" s="8" t="s">
        <v>516</v>
      </c>
      <c r="T1258" s="31" t="n">
        <f aca="false">IF(S1258="","",MATCH(S1258,'Residual Config'!$L$9:$L$12,0))</f>
        <v>1</v>
      </c>
      <c r="U1258" s="8" t="s">
        <v>3876</v>
      </c>
      <c r="V1258" s="24" t="n">
        <v>6</v>
      </c>
      <c r="W1258" s="33" t="s">
        <v>533</v>
      </c>
      <c r="X1258" s="8" t="s">
        <v>754</v>
      </c>
      <c r="Y1258" s="51" t="n">
        <f aca="false">IF(N1258="","",EDATE(N1258,IF(G1258="N",INDEX('Residual Config'!$B$31:$D$31,1,MATCH(D1258,'Residual Config'!$B$27:$D$27,0)),INDEX('Residual Config'!$B$28:$D$30,IF(T1258=1,1,IF(T1258=4,3,2)),MATCH(D1258,'Residual Config'!$B$27:$D$27,0)))))</f>
        <v>46464</v>
      </c>
      <c r="Z1258" s="7" t="str">
        <f aca="false">IF(I1258="N/A","N/A",IF(N1258="","Not tested",IF(W1258="Rejected","Evidence rejected",IF(W1258&lt;&gt;"Accepted","Evidence pending",IF(Y1258&lt;'Residual Config'!$C$4,"Overdue","Current")))))</f>
        <v>Current</v>
      </c>
      <c r="AA1258" s="34" t="n">
        <f aca="false">IF(I1258="N/A","",IF(Z1258&lt;&gt;"Current",4,IF(MAX(M1258,T1258)=0,4,MAX(M1258,T1258))))</f>
        <v>2</v>
      </c>
      <c r="AB1258" s="7" t="str">
        <f aca="false">IF(AA1258="","N/A",IF(Z1258&lt;&gt;"Current","Not tested / overdue",INDEX('Residual Config'!$B$11:$B$14,AA1258)))</f>
        <v>Largely effective</v>
      </c>
      <c r="AC1258" s="36" t="n">
        <f aca="false">IF(AA1258="","",INDEX('Residual Config'!$D$11:$D$14,AA1258))</f>
        <v>0.4</v>
      </c>
      <c r="AD1258" s="7" t="str">
        <f aca="false">IF(OR(I1258="N/A",P1258="",Q1258=""),"",IF(P1258&gt;=Q1258,"Yes","No"))</f>
        <v>Yes</v>
      </c>
      <c r="AE1258" s="8"/>
    </row>
    <row r="1259" customFormat="false" ht="15" hidden="false" customHeight="false" outlineLevel="0" collapsed="false">
      <c r="A1259" s="12" t="s">
        <v>3877</v>
      </c>
      <c r="B1259" s="26" t="str">
        <f aca="false">Entities!$A$34</f>
        <v>US</v>
      </c>
      <c r="C1259" s="12" t="str">
        <f aca="false">INDEX(Entities!$B$5:$B$34,MATCH(B1259,Entities!$A$5:$A$34,0))</f>
        <v>Arab Bank – United States (if retained)</v>
      </c>
      <c r="D1259" s="7" t="str">
        <f aca="false">INDEX(Entities!$F$5:$F$34,MATCH(B1259,Entities!$A$5:$A$34,0))</f>
        <v>Tier 3</v>
      </c>
      <c r="E1259" s="26" t="str">
        <f aca="false">'Control Library'!$A$12</f>
        <v>CTL-STR-01</v>
      </c>
      <c r="F1259" s="12" t="str">
        <f aca="false">INDEX('Control Library'!$B$5:$B$47,MATCH(E1259,'Control Library'!$A$5:$A$47,0))</f>
        <v>STR decision and filing within regulatory deadline</v>
      </c>
      <c r="G1259" s="7" t="str">
        <f aca="false">INDEX('Control Library'!$F$5:$F$47,MATCH(E1259,'Control Library'!$A$5:$A$47,0))</f>
        <v>Y</v>
      </c>
      <c r="H1259" s="12" t="str">
        <f aca="false">INDEX('Control Library'!$E$5:$E$47,MATCH(E1259,'Control Library'!$A$5:$A$47,0))</f>
        <v>Event-driven</v>
      </c>
      <c r="I1259" s="7" t="str">
        <f aca="false">IF(INDEX('Control Library'!$I$5:$I$47,MATCH(E1259,'Control Library'!$A$5:$A$47,0))="All","Y",IF(INDEX('Control Library'!$I$5:$I$47,MATCH(E1259,'Control Library'!$A$5:$A$47,0))="Banks only",IF(COUNTIF('Residual Config'!$L$28:$L$30,INDEX(Entities!$E$5:$E$34,MATCH(B1259,Entities!$A$5:$A$34,0)))&gt;0,"N/A","Y"),IF(INDEX(Entities!$G$5:$G$34,MATCH(B1259,Entities!$A$5:$A$34,0))="Y","Y","N/A")))</f>
        <v>Y</v>
      </c>
      <c r="J1259" s="8" t="s">
        <v>3873</v>
      </c>
      <c r="K1259" s="8" t="s">
        <v>3861</v>
      </c>
      <c r="L1259" s="7" t="str">
        <f aca="false">IF(OR(J1259="",K1259=""),"",IF(J1259=K1259,"Breach","OK"))</f>
        <v>OK</v>
      </c>
      <c r="M1259" s="24" t="n">
        <v>1</v>
      </c>
      <c r="N1259" s="50" t="n">
        <v>46203</v>
      </c>
      <c r="O1259" s="8" t="s">
        <v>546</v>
      </c>
      <c r="P1259" s="24" t="n">
        <v>35</v>
      </c>
      <c r="Q1259" s="31" t="n">
        <f aca="false">IF(I1259="N/A","",IFERROR(INDEX('Residual Config'!$B$35:$B$42,MATCH(H1259,'Residual Config'!$A$35:$A$42,0)),""))</f>
        <v>25</v>
      </c>
      <c r="R1259" s="24" t="n">
        <v>1</v>
      </c>
      <c r="S1259" s="8" t="s">
        <v>521</v>
      </c>
      <c r="T1259" s="31" t="n">
        <f aca="false">IF(S1259="","",MATCH(S1259,'Residual Config'!$L$9:$L$12,0))</f>
        <v>2</v>
      </c>
      <c r="U1259" s="8" t="s">
        <v>3878</v>
      </c>
      <c r="V1259" s="24" t="n">
        <v>3</v>
      </c>
      <c r="W1259" s="33" t="s">
        <v>533</v>
      </c>
      <c r="X1259" s="8" t="s">
        <v>760</v>
      </c>
      <c r="Y1259" s="51" t="n">
        <f aca="false">IF(N1259="","",EDATE(N1259,IF(G1259="N",INDEX('Residual Config'!$B$31:$D$31,1,MATCH(D1259,'Residual Config'!$B$27:$D$27,0)),INDEX('Residual Config'!$B$28:$D$30,IF(T1259=1,1,IF(T1259=4,3,2)),MATCH(D1259,'Residual Config'!$B$27:$D$27,0)))))</f>
        <v>46386</v>
      </c>
      <c r="Z1259" s="7" t="str">
        <f aca="false">IF(I1259="N/A","N/A",IF(N1259="","Not tested",IF(W1259="Rejected","Evidence rejected",IF(W1259&lt;&gt;"Accepted","Evidence pending",IF(Y1259&lt;'Residual Config'!$C$4,"Overdue","Current")))))</f>
        <v>Current</v>
      </c>
      <c r="AA1259" s="34" t="n">
        <f aca="false">IF(I1259="N/A","",IF(Z1259&lt;&gt;"Current",4,IF(MAX(M1259,T1259)=0,4,MAX(M1259,T1259))))</f>
        <v>2</v>
      </c>
      <c r="AB1259" s="7" t="str">
        <f aca="false">IF(AA1259="","N/A",IF(Z1259&lt;&gt;"Current","Not tested / overdue",INDEX('Residual Config'!$B$11:$B$14,AA1259)))</f>
        <v>Largely effective</v>
      </c>
      <c r="AC1259" s="36" t="n">
        <f aca="false">IF(AA1259="","",INDEX('Residual Config'!$D$11:$D$14,AA1259))</f>
        <v>0.4</v>
      </c>
      <c r="AD1259" s="7" t="str">
        <f aca="false">IF(OR(I1259="N/A",P1259="",Q1259=""),"",IF(P1259&gt;=Q1259,"Yes","No"))</f>
        <v>Yes</v>
      </c>
      <c r="AE1259" s="8"/>
    </row>
    <row r="1260" customFormat="false" ht="15" hidden="false" customHeight="false" outlineLevel="0" collapsed="false">
      <c r="A1260" s="12" t="s">
        <v>3879</v>
      </c>
      <c r="B1260" s="26" t="str">
        <f aca="false">Entities!$A$34</f>
        <v>US</v>
      </c>
      <c r="C1260" s="12" t="str">
        <f aca="false">INDEX(Entities!$B$5:$B$34,MATCH(B1260,Entities!$A$5:$A$34,0))</f>
        <v>Arab Bank – United States (if retained)</v>
      </c>
      <c r="D1260" s="7" t="str">
        <f aca="false">INDEX(Entities!$F$5:$F$34,MATCH(B1260,Entities!$A$5:$A$34,0))</f>
        <v>Tier 3</v>
      </c>
      <c r="E1260" s="26" t="str">
        <f aca="false">'Control Library'!$A$13</f>
        <v>CTL-SAN-01</v>
      </c>
      <c r="F1260" s="12" t="str">
        <f aca="false">INDEX('Control Library'!$B$5:$B$47,MATCH(E1260,'Control Library'!$A$5:$A$47,0))</f>
        <v>Real-time payment and transaction sanctions screening</v>
      </c>
      <c r="G1260" s="7" t="str">
        <f aca="false">INDEX('Control Library'!$F$5:$F$47,MATCH(E1260,'Control Library'!$A$5:$A$47,0))</f>
        <v>Y</v>
      </c>
      <c r="H1260" s="12" t="str">
        <f aca="false">INDEX('Control Library'!$E$5:$E$47,MATCH(E1260,'Control Library'!$A$5:$A$47,0))</f>
        <v>Continuous</v>
      </c>
      <c r="I1260" s="7" t="str">
        <f aca="false">IF(INDEX('Control Library'!$I$5:$I$47,MATCH(E1260,'Control Library'!$A$5:$A$47,0))="All","Y",IF(INDEX('Control Library'!$I$5:$I$47,MATCH(E1260,'Control Library'!$A$5:$A$47,0))="Banks only",IF(COUNTIF('Residual Config'!$L$28:$L$30,INDEX(Entities!$E$5:$E$34,MATCH(B1260,Entities!$A$5:$A$34,0)))&gt;0,"N/A","Y"),IF(INDEX(Entities!$G$5:$G$34,MATCH(B1260,Entities!$A$5:$A$34,0))="Y","Y","N/A")))</f>
        <v>Y</v>
      </c>
      <c r="J1260" s="8" t="s">
        <v>3880</v>
      </c>
      <c r="K1260" s="8" t="s">
        <v>3861</v>
      </c>
      <c r="L1260" s="7" t="str">
        <f aca="false">IF(OR(J1260="",K1260=""),"",IF(J1260=K1260,"Breach","OK"))</f>
        <v>OK</v>
      </c>
      <c r="M1260" s="24" t="n">
        <v>1</v>
      </c>
      <c r="N1260" s="50" t="n">
        <v>46132</v>
      </c>
      <c r="O1260" s="8" t="s">
        <v>547</v>
      </c>
      <c r="P1260" s="24" t="n">
        <v>1</v>
      </c>
      <c r="Q1260" s="31" t="n">
        <f aca="false">IF(I1260="N/A","",IFERROR(INDEX('Residual Config'!$B$35:$B$42,MATCH(H1260,'Residual Config'!$A$35:$A$42,0)),""))</f>
        <v>1</v>
      </c>
      <c r="R1260" s="24" t="n">
        <v>1</v>
      </c>
      <c r="S1260" s="8" t="s">
        <v>521</v>
      </c>
      <c r="T1260" s="31" t="n">
        <f aca="false">IF(S1260="","",MATCH(S1260,'Residual Config'!$L$9:$L$12,0))</f>
        <v>2</v>
      </c>
      <c r="U1260" s="8" t="s">
        <v>3881</v>
      </c>
      <c r="V1260" s="24" t="n">
        <v>1</v>
      </c>
      <c r="W1260" s="33" t="s">
        <v>533</v>
      </c>
      <c r="X1260" s="8" t="s">
        <v>760</v>
      </c>
      <c r="Y1260" s="51" t="n">
        <f aca="false">IF(N1260="","",EDATE(N1260,IF(G1260="N",INDEX('Residual Config'!$B$31:$D$31,1,MATCH(D1260,'Residual Config'!$B$27:$D$27,0)),INDEX('Residual Config'!$B$28:$D$30,IF(T1260=1,1,IF(T1260=4,3,2)),MATCH(D1260,'Residual Config'!$B$27:$D$27,0)))))</f>
        <v>46315</v>
      </c>
      <c r="Z1260" s="7" t="str">
        <f aca="false">IF(I1260="N/A","N/A",IF(N1260="","Not tested",IF(W1260="Rejected","Evidence rejected",IF(W1260&lt;&gt;"Accepted","Evidence pending",IF(Y1260&lt;'Residual Config'!$C$4,"Overdue","Current")))))</f>
        <v>Current</v>
      </c>
      <c r="AA1260" s="34" t="n">
        <f aca="false">IF(I1260="N/A","",IF(Z1260&lt;&gt;"Current",4,IF(MAX(M1260,T1260)=0,4,MAX(M1260,T1260))))</f>
        <v>2</v>
      </c>
      <c r="AB1260" s="7" t="str">
        <f aca="false">IF(AA1260="","N/A",IF(Z1260&lt;&gt;"Current","Not tested / overdue",INDEX('Residual Config'!$B$11:$B$14,AA1260)))</f>
        <v>Largely effective</v>
      </c>
      <c r="AC1260" s="36" t="n">
        <f aca="false">IF(AA1260="","",INDEX('Residual Config'!$D$11:$D$14,AA1260))</f>
        <v>0.4</v>
      </c>
      <c r="AD1260" s="7" t="str">
        <f aca="false">IF(OR(I1260="N/A",P1260="",Q1260=""),"",IF(P1260&gt;=Q1260,"Yes","No"))</f>
        <v>Yes</v>
      </c>
      <c r="AE1260" s="8"/>
    </row>
    <row r="1261" customFormat="false" ht="15" hidden="false" customHeight="false" outlineLevel="0" collapsed="false">
      <c r="A1261" s="12" t="s">
        <v>3882</v>
      </c>
      <c r="B1261" s="26" t="str">
        <f aca="false">Entities!$A$34</f>
        <v>US</v>
      </c>
      <c r="C1261" s="12" t="str">
        <f aca="false">INDEX(Entities!$B$5:$B$34,MATCH(B1261,Entities!$A$5:$A$34,0))</f>
        <v>Arab Bank – United States (if retained)</v>
      </c>
      <c r="D1261" s="7" t="str">
        <f aca="false">INDEX(Entities!$F$5:$F$34,MATCH(B1261,Entities!$A$5:$A$34,0))</f>
        <v>Tier 3</v>
      </c>
      <c r="E1261" s="26" t="str">
        <f aca="false">'Control Library'!$A$14</f>
        <v>CTL-SAN-02</v>
      </c>
      <c r="F1261" s="12" t="str">
        <f aca="false">INDEX('Control Library'!$B$5:$B$47,MATCH(E1261,'Control Library'!$A$5:$A$47,0))</f>
        <v>Customer and counterparty screening at onboarding and on list change</v>
      </c>
      <c r="G1261" s="7" t="str">
        <f aca="false">INDEX('Control Library'!$F$5:$F$47,MATCH(E1261,'Control Library'!$A$5:$A$47,0))</f>
        <v>Y</v>
      </c>
      <c r="H1261" s="12" t="str">
        <f aca="false">INDEX('Control Library'!$E$5:$E$47,MATCH(E1261,'Control Library'!$A$5:$A$47,0))</f>
        <v>Continuous</v>
      </c>
      <c r="I1261" s="7" t="str">
        <f aca="false">IF(INDEX('Control Library'!$I$5:$I$47,MATCH(E1261,'Control Library'!$A$5:$A$47,0))="All","Y",IF(INDEX('Control Library'!$I$5:$I$47,MATCH(E1261,'Control Library'!$A$5:$A$47,0))="Banks only",IF(COUNTIF('Residual Config'!$L$28:$L$30,INDEX(Entities!$E$5:$E$34,MATCH(B1261,Entities!$A$5:$A$34,0)))&gt;0,"N/A","Y"),IF(INDEX(Entities!$G$5:$G$34,MATCH(B1261,Entities!$A$5:$A$34,0))="Y","Y","N/A")))</f>
        <v>Y</v>
      </c>
      <c r="J1261" s="8" t="s">
        <v>3880</v>
      </c>
      <c r="K1261" s="8" t="s">
        <v>3861</v>
      </c>
      <c r="L1261" s="7" t="str">
        <f aca="false">IF(OR(J1261="",K1261=""),"",IF(J1261=K1261,"Breach","OK"))</f>
        <v>OK</v>
      </c>
      <c r="M1261" s="24" t="n">
        <v>1</v>
      </c>
      <c r="N1261" s="50" t="n">
        <v>46019</v>
      </c>
      <c r="O1261" s="8" t="s">
        <v>546</v>
      </c>
      <c r="P1261" s="24" t="n">
        <v>1</v>
      </c>
      <c r="Q1261" s="31" t="n">
        <f aca="false">IF(I1261="N/A","",IFERROR(INDEX('Residual Config'!$B$35:$B$42,MATCH(H1261,'Residual Config'!$A$35:$A$42,0)),""))</f>
        <v>1</v>
      </c>
      <c r="R1261" s="24" t="n">
        <v>0</v>
      </c>
      <c r="S1261" s="8" t="s">
        <v>516</v>
      </c>
      <c r="T1261" s="31" t="n">
        <f aca="false">IF(S1261="","",MATCH(S1261,'Residual Config'!$L$9:$L$12,0))</f>
        <v>1</v>
      </c>
      <c r="U1261" s="8" t="s">
        <v>3883</v>
      </c>
      <c r="V1261" s="24" t="n">
        <v>3</v>
      </c>
      <c r="W1261" s="33" t="s">
        <v>533</v>
      </c>
      <c r="X1261" s="8" t="s">
        <v>754</v>
      </c>
      <c r="Y1261" s="51" t="n">
        <f aca="false">IF(N1261="","",EDATE(N1261,IF(G1261="N",INDEX('Residual Config'!$B$31:$D$31,1,MATCH(D1261,'Residual Config'!$B$27:$D$27,0)),INDEX('Residual Config'!$B$28:$D$30,IF(T1261=1,1,IF(T1261=4,3,2)),MATCH(D1261,'Residual Config'!$B$27:$D$27,0)))))</f>
        <v>46384</v>
      </c>
      <c r="Z1261" s="7" t="str">
        <f aca="false">IF(I1261="N/A","N/A",IF(N1261="","Not tested",IF(W1261="Rejected","Evidence rejected",IF(W1261&lt;&gt;"Accepted","Evidence pending",IF(Y1261&lt;'Residual Config'!$C$4,"Overdue","Current")))))</f>
        <v>Current</v>
      </c>
      <c r="AA1261" s="34" t="n">
        <f aca="false">IF(I1261="N/A","",IF(Z1261&lt;&gt;"Current",4,IF(MAX(M1261,T1261)=0,4,MAX(M1261,T1261))))</f>
        <v>1</v>
      </c>
      <c r="AB1261" s="7" t="str">
        <f aca="false">IF(AA1261="","N/A",IF(Z1261&lt;&gt;"Current","Not tested / overdue",INDEX('Residual Config'!$B$11:$B$14,AA1261)))</f>
        <v>Effective</v>
      </c>
      <c r="AC1261" s="36" t="n">
        <f aca="false">IF(AA1261="","",INDEX('Residual Config'!$D$11:$D$14,AA1261))</f>
        <v>0.6</v>
      </c>
      <c r="AD1261" s="7" t="str">
        <f aca="false">IF(OR(I1261="N/A",P1261="",Q1261=""),"",IF(P1261&gt;=Q1261,"Yes","No"))</f>
        <v>Yes</v>
      </c>
      <c r="AE1261" s="8"/>
    </row>
    <row r="1262" customFormat="false" ht="15" hidden="false" customHeight="false" outlineLevel="0" collapsed="false">
      <c r="A1262" s="12" t="s">
        <v>3884</v>
      </c>
      <c r="B1262" s="26" t="str">
        <f aca="false">Entities!$A$34</f>
        <v>US</v>
      </c>
      <c r="C1262" s="12" t="str">
        <f aca="false">INDEX(Entities!$B$5:$B$34,MATCH(B1262,Entities!$A$5:$A$34,0))</f>
        <v>Arab Bank – United States (if retained)</v>
      </c>
      <c r="D1262" s="7" t="str">
        <f aca="false">INDEX(Entities!$F$5:$F$34,MATCH(B1262,Entities!$A$5:$A$34,0))</f>
        <v>Tier 3</v>
      </c>
      <c r="E1262" s="26" t="str">
        <f aca="false">'Control Library'!$A$15</f>
        <v>CTL-SAN-03</v>
      </c>
      <c r="F1262" s="12" t="str">
        <f aca="false">INDEX('Control Library'!$B$5:$B$47,MATCH(E1262,'Control Library'!$A$5:$A$47,0))</f>
        <v>Sanctions list updates applied within 24 hours</v>
      </c>
      <c r="G1262" s="7" t="str">
        <f aca="false">INDEX('Control Library'!$F$5:$F$47,MATCH(E1262,'Control Library'!$A$5:$A$47,0))</f>
        <v>N</v>
      </c>
      <c r="H1262" s="12" t="str">
        <f aca="false">INDEX('Control Library'!$E$5:$E$47,MATCH(E1262,'Control Library'!$A$5:$A$47,0))</f>
        <v>Daily</v>
      </c>
      <c r="I1262" s="7" t="str">
        <f aca="false">IF(INDEX('Control Library'!$I$5:$I$47,MATCH(E1262,'Control Library'!$A$5:$A$47,0))="All","Y",IF(INDEX('Control Library'!$I$5:$I$47,MATCH(E1262,'Control Library'!$A$5:$A$47,0))="Banks only",IF(COUNTIF('Residual Config'!$L$28:$L$30,INDEX(Entities!$E$5:$E$34,MATCH(B1262,Entities!$A$5:$A$34,0)))&gt;0,"N/A","Y"),IF(INDEX(Entities!$G$5:$G$34,MATCH(B1262,Entities!$A$5:$A$34,0))="Y","Y","N/A")))</f>
        <v>Y</v>
      </c>
      <c r="J1262" s="8" t="s">
        <v>3885</v>
      </c>
      <c r="K1262" s="8" t="s">
        <v>3861</v>
      </c>
      <c r="L1262" s="7" t="str">
        <f aca="false">IF(OR(J1262="",K1262=""),"",IF(J1262=K1262,"Breach","OK"))</f>
        <v>OK</v>
      </c>
      <c r="M1262" s="24" t="n">
        <v>2</v>
      </c>
      <c r="N1262" s="50" t="n">
        <v>46056</v>
      </c>
      <c r="O1262" s="8" t="s">
        <v>545</v>
      </c>
      <c r="P1262" s="24" t="n">
        <v>30</v>
      </c>
      <c r="Q1262" s="31" t="n">
        <f aca="false">IF(I1262="N/A","",IFERROR(INDEX('Residual Config'!$B$35:$B$42,MATCH(H1262,'Residual Config'!$A$35:$A$42,0)),""))</f>
        <v>25</v>
      </c>
      <c r="R1262" s="24" t="n">
        <v>0</v>
      </c>
      <c r="S1262" s="8" t="s">
        <v>516</v>
      </c>
      <c r="T1262" s="31" t="n">
        <f aca="false">IF(S1262="","",MATCH(S1262,'Residual Config'!$L$9:$L$12,0))</f>
        <v>1</v>
      </c>
      <c r="U1262" s="8" t="s">
        <v>3886</v>
      </c>
      <c r="V1262" s="24" t="n">
        <v>4</v>
      </c>
      <c r="W1262" s="33" t="s">
        <v>533</v>
      </c>
      <c r="X1262" s="8" t="s">
        <v>760</v>
      </c>
      <c r="Y1262" s="51" t="n">
        <f aca="false">IF(N1262="","",EDATE(N1262,IF(G1262="N",INDEX('Residual Config'!$B$31:$D$31,1,MATCH(D1262,'Residual Config'!$B$27:$D$27,0)),INDEX('Residual Config'!$B$28:$D$30,IF(T1262=1,1,IF(T1262=4,3,2)),MATCH(D1262,'Residual Config'!$B$27:$D$27,0)))))</f>
        <v>46786</v>
      </c>
      <c r="Z1262" s="7" t="str">
        <f aca="false">IF(I1262="N/A","N/A",IF(N1262="","Not tested",IF(W1262="Rejected","Evidence rejected",IF(W1262&lt;&gt;"Accepted","Evidence pending",IF(Y1262&lt;'Residual Config'!$C$4,"Overdue","Current")))))</f>
        <v>Current</v>
      </c>
      <c r="AA1262" s="34" t="n">
        <f aca="false">IF(I1262="N/A","",IF(Z1262&lt;&gt;"Current",4,IF(MAX(M1262,T1262)=0,4,MAX(M1262,T1262))))</f>
        <v>2</v>
      </c>
      <c r="AB1262" s="7" t="str">
        <f aca="false">IF(AA1262="","N/A",IF(Z1262&lt;&gt;"Current","Not tested / overdue",INDEX('Residual Config'!$B$11:$B$14,AA1262)))</f>
        <v>Largely effective</v>
      </c>
      <c r="AC1262" s="36" t="n">
        <f aca="false">IF(AA1262="","",INDEX('Residual Config'!$D$11:$D$14,AA1262))</f>
        <v>0.4</v>
      </c>
      <c r="AD1262" s="7" t="str">
        <f aca="false">IF(OR(I1262="N/A",P1262="",Q1262=""),"",IF(P1262&gt;=Q1262,"Yes","No"))</f>
        <v>Yes</v>
      </c>
      <c r="AE1262" s="8"/>
    </row>
    <row r="1263" customFormat="false" ht="15" hidden="false" customHeight="false" outlineLevel="0" collapsed="false">
      <c r="A1263" s="12" t="s">
        <v>3887</v>
      </c>
      <c r="B1263" s="26" t="str">
        <f aca="false">Entities!$A$34</f>
        <v>US</v>
      </c>
      <c r="C1263" s="12" t="str">
        <f aca="false">INDEX(Entities!$B$5:$B$34,MATCH(B1263,Entities!$A$5:$A$34,0))</f>
        <v>Arab Bank – United States (if retained)</v>
      </c>
      <c r="D1263" s="7" t="str">
        <f aca="false">INDEX(Entities!$F$5:$F$34,MATCH(B1263,Entities!$A$5:$A$34,0))</f>
        <v>Tier 3</v>
      </c>
      <c r="E1263" s="26" t="str">
        <f aca="false">'Control Library'!$A$16</f>
        <v>CTL-TF-01</v>
      </c>
      <c r="F1263" s="12" t="str">
        <f aca="false">INDEX('Control Library'!$B$5:$B$47,MATCH(E1263,'Control Library'!$A$5:$A$47,0))</f>
        <v>NPO and charity enhanced due diligence</v>
      </c>
      <c r="G1263" s="7" t="str">
        <f aca="false">INDEX('Control Library'!$F$5:$F$47,MATCH(E1263,'Control Library'!$A$5:$A$47,0))</f>
        <v>N</v>
      </c>
      <c r="H1263" s="12" t="str">
        <f aca="false">INDEX('Control Library'!$E$5:$E$47,MATCH(E1263,'Control Library'!$A$5:$A$47,0))</f>
        <v>Event-driven</v>
      </c>
      <c r="I1263" s="7" t="str">
        <f aca="false">IF(INDEX('Control Library'!$I$5:$I$47,MATCH(E1263,'Control Library'!$A$5:$A$47,0))="All","Y",IF(INDEX('Control Library'!$I$5:$I$47,MATCH(E1263,'Control Library'!$A$5:$A$47,0))="Banks only",IF(COUNTIF('Residual Config'!$L$28:$L$30,INDEX(Entities!$E$5:$E$34,MATCH(B1263,Entities!$A$5:$A$34,0)))&gt;0,"N/A","Y"),IF(INDEX(Entities!$G$5:$G$34,MATCH(B1263,Entities!$A$5:$A$34,0))="Y","Y","N/A")))</f>
        <v>Y</v>
      </c>
      <c r="J1263" s="8" t="s">
        <v>3888</v>
      </c>
      <c r="K1263" s="8" t="s">
        <v>3861</v>
      </c>
      <c r="L1263" s="7" t="str">
        <f aca="false">IF(OR(J1263="",K1263=""),"",IF(J1263=K1263,"Breach","OK"))</f>
        <v>OK</v>
      </c>
      <c r="M1263" s="24" t="n">
        <v>2</v>
      </c>
      <c r="N1263" s="50" t="n">
        <v>45666</v>
      </c>
      <c r="O1263" s="8" t="s">
        <v>546</v>
      </c>
      <c r="P1263" s="24" t="n">
        <v>25</v>
      </c>
      <c r="Q1263" s="31" t="n">
        <f aca="false">IF(I1263="N/A","",IFERROR(INDEX('Residual Config'!$B$35:$B$42,MATCH(H1263,'Residual Config'!$A$35:$A$42,0)),""))</f>
        <v>25</v>
      </c>
      <c r="R1263" s="24" t="n">
        <v>0</v>
      </c>
      <c r="S1263" s="8" t="s">
        <v>516</v>
      </c>
      <c r="T1263" s="31" t="n">
        <f aca="false">IF(S1263="","",MATCH(S1263,'Residual Config'!$L$9:$L$12,0))</f>
        <v>1</v>
      </c>
      <c r="U1263" s="8" t="s">
        <v>3889</v>
      </c>
      <c r="V1263" s="24" t="n">
        <v>3</v>
      </c>
      <c r="W1263" s="33" t="s">
        <v>533</v>
      </c>
      <c r="X1263" s="8" t="s">
        <v>760</v>
      </c>
      <c r="Y1263" s="51" t="n">
        <f aca="false">IF(N1263="","",EDATE(N1263,IF(G1263="N",INDEX('Residual Config'!$B$31:$D$31,1,MATCH(D1263,'Residual Config'!$B$27:$D$27,0)),INDEX('Residual Config'!$B$28:$D$30,IF(T1263=1,1,IF(T1263=4,3,2)),MATCH(D1263,'Residual Config'!$B$27:$D$27,0)))))</f>
        <v>46396</v>
      </c>
      <c r="Z1263" s="7" t="str">
        <f aca="false">IF(I1263="N/A","N/A",IF(N1263="","Not tested",IF(W1263="Rejected","Evidence rejected",IF(W1263&lt;&gt;"Accepted","Evidence pending",IF(Y1263&lt;'Residual Config'!$C$4,"Overdue","Current")))))</f>
        <v>Current</v>
      </c>
      <c r="AA1263" s="34" t="n">
        <f aca="false">IF(I1263="N/A","",IF(Z1263&lt;&gt;"Current",4,IF(MAX(M1263,T1263)=0,4,MAX(M1263,T1263))))</f>
        <v>2</v>
      </c>
      <c r="AB1263" s="7" t="str">
        <f aca="false">IF(AA1263="","N/A",IF(Z1263&lt;&gt;"Current","Not tested / overdue",INDEX('Residual Config'!$B$11:$B$14,AA1263)))</f>
        <v>Largely effective</v>
      </c>
      <c r="AC1263" s="36" t="n">
        <f aca="false">IF(AA1263="","",INDEX('Residual Config'!$D$11:$D$14,AA1263))</f>
        <v>0.4</v>
      </c>
      <c r="AD1263" s="7" t="str">
        <f aca="false">IF(OR(I1263="N/A",P1263="",Q1263=""),"",IF(P1263&gt;=Q1263,"Yes","No"))</f>
        <v>Yes</v>
      </c>
      <c r="AE1263" s="8"/>
    </row>
    <row r="1264" customFormat="false" ht="15" hidden="false" customHeight="false" outlineLevel="0" collapsed="false">
      <c r="A1264" s="12" t="s">
        <v>3890</v>
      </c>
      <c r="B1264" s="26" t="str">
        <f aca="false">Entities!$A$34</f>
        <v>US</v>
      </c>
      <c r="C1264" s="12" t="str">
        <f aca="false">INDEX(Entities!$B$5:$B$34,MATCH(B1264,Entities!$A$5:$A$34,0))</f>
        <v>Arab Bank – United States (if retained)</v>
      </c>
      <c r="D1264" s="7" t="str">
        <f aca="false">INDEX(Entities!$F$5:$F$34,MATCH(B1264,Entities!$A$5:$A$34,0))</f>
        <v>Tier 3</v>
      </c>
      <c r="E1264" s="26" t="str">
        <f aca="false">'Control Library'!$A$17</f>
        <v>CTL-TBML-01</v>
      </c>
      <c r="F1264" s="12" t="str">
        <f aca="false">INDEX('Control Library'!$B$5:$B$47,MATCH(E1264,'Control Library'!$A$5:$A$47,0))</f>
        <v>Trade-based ML red-flag review and pricing checks</v>
      </c>
      <c r="G1264" s="7" t="str">
        <f aca="false">INDEX('Control Library'!$F$5:$F$47,MATCH(E1264,'Control Library'!$A$5:$A$47,0))</f>
        <v>Y</v>
      </c>
      <c r="H1264" s="12" t="str">
        <f aca="false">INDEX('Control Library'!$E$5:$E$47,MATCH(E1264,'Control Library'!$A$5:$A$47,0))</f>
        <v>Event-driven</v>
      </c>
      <c r="I1264" s="7" t="str">
        <f aca="false">IF(INDEX('Control Library'!$I$5:$I$47,MATCH(E1264,'Control Library'!$A$5:$A$47,0))="All","Y",IF(INDEX('Control Library'!$I$5:$I$47,MATCH(E1264,'Control Library'!$A$5:$A$47,0))="Banks only",IF(COUNTIF('Residual Config'!$L$28:$L$30,INDEX(Entities!$E$5:$E$34,MATCH(B1264,Entities!$A$5:$A$34,0)))&gt;0,"N/A","Y"),IF(INDEX(Entities!$G$5:$G$34,MATCH(B1264,Entities!$A$5:$A$34,0))="Y","Y","N/A")))</f>
        <v>Y</v>
      </c>
      <c r="J1264" s="8" t="s">
        <v>3891</v>
      </c>
      <c r="K1264" s="8" t="s">
        <v>3861</v>
      </c>
      <c r="L1264" s="7" t="str">
        <f aca="false">IF(OR(J1264="",K1264=""),"",IF(J1264=K1264,"Breach","OK"))</f>
        <v>OK</v>
      </c>
      <c r="M1264" s="24" t="n">
        <v>1</v>
      </c>
      <c r="N1264" s="50" t="n">
        <v>46147</v>
      </c>
      <c r="O1264" s="8" t="s">
        <v>545</v>
      </c>
      <c r="P1264" s="24" t="n">
        <v>25</v>
      </c>
      <c r="Q1264" s="31" t="n">
        <f aca="false">IF(I1264="N/A","",IFERROR(INDEX('Residual Config'!$B$35:$B$42,MATCH(H1264,'Residual Config'!$A$35:$A$42,0)),""))</f>
        <v>25</v>
      </c>
      <c r="R1264" s="24" t="n">
        <v>1</v>
      </c>
      <c r="S1264" s="8" t="s">
        <v>521</v>
      </c>
      <c r="T1264" s="31" t="n">
        <f aca="false">IF(S1264="","",MATCH(S1264,'Residual Config'!$L$9:$L$12,0))</f>
        <v>2</v>
      </c>
      <c r="U1264" s="8" t="s">
        <v>3892</v>
      </c>
      <c r="V1264" s="24" t="n">
        <v>2</v>
      </c>
      <c r="W1264" s="33" t="s">
        <v>533</v>
      </c>
      <c r="X1264" s="8" t="s">
        <v>754</v>
      </c>
      <c r="Y1264" s="51" t="n">
        <f aca="false">IF(N1264="","",EDATE(N1264,IF(G1264="N",INDEX('Residual Config'!$B$31:$D$31,1,MATCH(D1264,'Residual Config'!$B$27:$D$27,0)),INDEX('Residual Config'!$B$28:$D$30,IF(T1264=1,1,IF(T1264=4,3,2)),MATCH(D1264,'Residual Config'!$B$27:$D$27,0)))))</f>
        <v>46331</v>
      </c>
      <c r="Z1264" s="7" t="str">
        <f aca="false">IF(I1264="N/A","N/A",IF(N1264="","Not tested",IF(W1264="Rejected","Evidence rejected",IF(W1264&lt;&gt;"Accepted","Evidence pending",IF(Y1264&lt;'Residual Config'!$C$4,"Overdue","Current")))))</f>
        <v>Current</v>
      </c>
      <c r="AA1264" s="34" t="n">
        <f aca="false">IF(I1264="N/A","",IF(Z1264&lt;&gt;"Current",4,IF(MAX(M1264,T1264)=0,4,MAX(M1264,T1264))))</f>
        <v>2</v>
      </c>
      <c r="AB1264" s="7" t="str">
        <f aca="false">IF(AA1264="","N/A",IF(Z1264&lt;&gt;"Current","Not tested / overdue",INDEX('Residual Config'!$B$11:$B$14,AA1264)))</f>
        <v>Largely effective</v>
      </c>
      <c r="AC1264" s="36" t="n">
        <f aca="false">IF(AA1264="","",INDEX('Residual Config'!$D$11:$D$14,AA1264))</f>
        <v>0.4</v>
      </c>
      <c r="AD1264" s="7" t="str">
        <f aca="false">IF(OR(I1264="N/A",P1264="",Q1264=""),"",IF(P1264&gt;=Q1264,"Yes","No"))</f>
        <v>Yes</v>
      </c>
      <c r="AE1264" s="8"/>
    </row>
    <row r="1265" customFormat="false" ht="15" hidden="false" customHeight="false" outlineLevel="0" collapsed="false">
      <c r="A1265" s="12" t="s">
        <v>3893</v>
      </c>
      <c r="B1265" s="26" t="str">
        <f aca="false">Entities!$A$34</f>
        <v>US</v>
      </c>
      <c r="C1265" s="12" t="str">
        <f aca="false">INDEX(Entities!$B$5:$B$34,MATCH(B1265,Entities!$A$5:$A$34,0))</f>
        <v>Arab Bank – United States (if retained)</v>
      </c>
      <c r="D1265" s="7" t="str">
        <f aca="false">INDEX(Entities!$F$5:$F$34,MATCH(B1265,Entities!$A$5:$A$34,0))</f>
        <v>Tier 3</v>
      </c>
      <c r="E1265" s="26" t="str">
        <f aca="false">'Control Library'!$A$18</f>
        <v>CTL-PF-01</v>
      </c>
      <c r="F1265" s="12" t="str">
        <f aca="false">INDEX('Control Library'!$B$5:$B$47,MATCH(E1265,'Control Library'!$A$5:$A$47,0))</f>
        <v>Dual-use goods, vessel and port screening</v>
      </c>
      <c r="G1265" s="7" t="str">
        <f aca="false">INDEX('Control Library'!$F$5:$F$47,MATCH(E1265,'Control Library'!$A$5:$A$47,0))</f>
        <v>Y</v>
      </c>
      <c r="H1265" s="12" t="str">
        <f aca="false">INDEX('Control Library'!$E$5:$E$47,MATCH(E1265,'Control Library'!$A$5:$A$47,0))</f>
        <v>Event-driven</v>
      </c>
      <c r="I1265" s="7" t="str">
        <f aca="false">IF(INDEX('Control Library'!$I$5:$I$47,MATCH(E1265,'Control Library'!$A$5:$A$47,0))="All","Y",IF(INDEX('Control Library'!$I$5:$I$47,MATCH(E1265,'Control Library'!$A$5:$A$47,0))="Banks only",IF(COUNTIF('Residual Config'!$L$28:$L$30,INDEX(Entities!$E$5:$E$34,MATCH(B1265,Entities!$A$5:$A$34,0)))&gt;0,"N/A","Y"),IF(INDEX(Entities!$G$5:$G$34,MATCH(B1265,Entities!$A$5:$A$34,0))="Y","Y","N/A")))</f>
        <v>Y</v>
      </c>
      <c r="J1265" s="8" t="s">
        <v>3891</v>
      </c>
      <c r="K1265" s="8" t="s">
        <v>3861</v>
      </c>
      <c r="L1265" s="7" t="str">
        <f aca="false">IF(OR(J1265="",K1265=""),"",IF(J1265=K1265,"Breach","OK"))</f>
        <v>OK</v>
      </c>
      <c r="M1265" s="24" t="n">
        <v>1</v>
      </c>
      <c r="N1265" s="50" t="n">
        <v>46189</v>
      </c>
      <c r="O1265" s="8" t="s">
        <v>545</v>
      </c>
      <c r="P1265" s="24" t="n">
        <v>30</v>
      </c>
      <c r="Q1265" s="31" t="n">
        <f aca="false">IF(I1265="N/A","",IFERROR(INDEX('Residual Config'!$B$35:$B$42,MATCH(H1265,'Residual Config'!$A$35:$A$42,0)),""))</f>
        <v>25</v>
      </c>
      <c r="R1265" s="24" t="n">
        <v>0</v>
      </c>
      <c r="S1265" s="8" t="s">
        <v>516</v>
      </c>
      <c r="T1265" s="31" t="n">
        <f aca="false">IF(S1265="","",MATCH(S1265,'Residual Config'!$L$9:$L$12,0))</f>
        <v>1</v>
      </c>
      <c r="U1265" s="8" t="s">
        <v>3894</v>
      </c>
      <c r="V1265" s="24" t="n">
        <v>2</v>
      </c>
      <c r="W1265" s="33" t="s">
        <v>533</v>
      </c>
      <c r="X1265" s="8" t="s">
        <v>760</v>
      </c>
      <c r="Y1265" s="51" t="n">
        <f aca="false">IF(N1265="","",EDATE(N1265,IF(G1265="N",INDEX('Residual Config'!$B$31:$D$31,1,MATCH(D1265,'Residual Config'!$B$27:$D$27,0)),INDEX('Residual Config'!$B$28:$D$30,IF(T1265=1,1,IF(T1265=4,3,2)),MATCH(D1265,'Residual Config'!$B$27:$D$27,0)))))</f>
        <v>46554</v>
      </c>
      <c r="Z1265" s="7" t="str">
        <f aca="false">IF(I1265="N/A","N/A",IF(N1265="","Not tested",IF(W1265="Rejected","Evidence rejected",IF(W1265&lt;&gt;"Accepted","Evidence pending",IF(Y1265&lt;'Residual Config'!$C$4,"Overdue","Current")))))</f>
        <v>Current</v>
      </c>
      <c r="AA1265" s="34" t="n">
        <f aca="false">IF(I1265="N/A","",IF(Z1265&lt;&gt;"Current",4,IF(MAX(M1265,T1265)=0,4,MAX(M1265,T1265))))</f>
        <v>1</v>
      </c>
      <c r="AB1265" s="7" t="str">
        <f aca="false">IF(AA1265="","N/A",IF(Z1265&lt;&gt;"Current","Not tested / overdue",INDEX('Residual Config'!$B$11:$B$14,AA1265)))</f>
        <v>Effective</v>
      </c>
      <c r="AC1265" s="36" t="n">
        <f aca="false">IF(AA1265="","",INDEX('Residual Config'!$D$11:$D$14,AA1265))</f>
        <v>0.6</v>
      </c>
      <c r="AD1265" s="7" t="str">
        <f aca="false">IF(OR(I1265="N/A",P1265="",Q1265=""),"",IF(P1265&gt;=Q1265,"Yes","No"))</f>
        <v>Yes</v>
      </c>
      <c r="AE1265" s="8"/>
    </row>
    <row r="1266" customFormat="false" ht="15" hidden="false" customHeight="false" outlineLevel="0" collapsed="false">
      <c r="A1266" s="12" t="s">
        <v>3895</v>
      </c>
      <c r="B1266" s="26" t="str">
        <f aca="false">Entities!$A$34</f>
        <v>US</v>
      </c>
      <c r="C1266" s="12" t="str">
        <f aca="false">INDEX(Entities!$B$5:$B$34,MATCH(B1266,Entities!$A$5:$A$34,0))</f>
        <v>Arab Bank – United States (if retained)</v>
      </c>
      <c r="D1266" s="7" t="str">
        <f aca="false">INDEX(Entities!$F$5:$F$34,MATCH(B1266,Entities!$A$5:$A$34,0))</f>
        <v>Tier 3</v>
      </c>
      <c r="E1266" s="26" t="str">
        <f aca="false">'Control Library'!$A$19</f>
        <v>CTL-CB-01</v>
      </c>
      <c r="F1266" s="12" t="str">
        <f aca="false">INDEX('Control Library'!$B$5:$B$47,MATCH(E1266,'Control Library'!$A$5:$A$47,0))</f>
        <v>Correspondent bank due diligence (CBDDQ) and nesting detection</v>
      </c>
      <c r="G1266" s="7" t="str">
        <f aca="false">INDEX('Control Library'!$F$5:$F$47,MATCH(E1266,'Control Library'!$A$5:$A$47,0))</f>
        <v>Y</v>
      </c>
      <c r="H1266" s="12" t="str">
        <f aca="false">INDEX('Control Library'!$E$5:$E$47,MATCH(E1266,'Control Library'!$A$5:$A$47,0))</f>
        <v>Annual</v>
      </c>
      <c r="I1266" s="7" t="str">
        <f aca="false">IF(INDEX('Control Library'!$I$5:$I$47,MATCH(E1266,'Control Library'!$A$5:$A$47,0))="All","Y",IF(INDEX('Control Library'!$I$5:$I$47,MATCH(E1266,'Control Library'!$A$5:$A$47,0))="Banks only",IF(COUNTIF('Residual Config'!$L$28:$L$30,INDEX(Entities!$E$5:$E$34,MATCH(B1266,Entities!$A$5:$A$34,0)))&gt;0,"N/A","Y"),IF(INDEX(Entities!$G$5:$G$34,MATCH(B1266,Entities!$A$5:$A$34,0))="Y","Y","N/A")))</f>
        <v>Y</v>
      </c>
      <c r="J1266" s="8" t="s">
        <v>3896</v>
      </c>
      <c r="K1266" s="8" t="s">
        <v>3861</v>
      </c>
      <c r="L1266" s="7" t="str">
        <f aca="false">IF(OR(J1266="",K1266=""),"",IF(J1266=K1266,"Breach","OK"))</f>
        <v>OK</v>
      </c>
      <c r="M1266" s="24" t="n">
        <v>1</v>
      </c>
      <c r="N1266" s="50" t="n">
        <v>46030</v>
      </c>
      <c r="O1266" s="8" t="s">
        <v>546</v>
      </c>
      <c r="P1266" s="24" t="n">
        <v>1</v>
      </c>
      <c r="Q1266" s="31" t="n">
        <f aca="false">IF(I1266="N/A","",IFERROR(INDEX('Residual Config'!$B$35:$B$42,MATCH(H1266,'Residual Config'!$A$35:$A$42,0)),""))</f>
        <v>1</v>
      </c>
      <c r="R1266" s="24" t="n">
        <v>0</v>
      </c>
      <c r="S1266" s="8" t="s">
        <v>516</v>
      </c>
      <c r="T1266" s="31" t="n">
        <f aca="false">IF(S1266="","",MATCH(S1266,'Residual Config'!$L$9:$L$12,0))</f>
        <v>1</v>
      </c>
      <c r="U1266" s="8" t="s">
        <v>3897</v>
      </c>
      <c r="V1266" s="24" t="n">
        <v>4</v>
      </c>
      <c r="W1266" s="33" t="s">
        <v>533</v>
      </c>
      <c r="X1266" s="8" t="s">
        <v>760</v>
      </c>
      <c r="Y1266" s="51" t="n">
        <f aca="false">IF(N1266="","",EDATE(N1266,IF(G1266="N",INDEX('Residual Config'!$B$31:$D$31,1,MATCH(D1266,'Residual Config'!$B$27:$D$27,0)),INDEX('Residual Config'!$B$28:$D$30,IF(T1266=1,1,IF(T1266=4,3,2)),MATCH(D1266,'Residual Config'!$B$27:$D$27,0)))))</f>
        <v>46395</v>
      </c>
      <c r="Z1266" s="7" t="str">
        <f aca="false">IF(I1266="N/A","N/A",IF(N1266="","Not tested",IF(W1266="Rejected","Evidence rejected",IF(W1266&lt;&gt;"Accepted","Evidence pending",IF(Y1266&lt;'Residual Config'!$C$4,"Overdue","Current")))))</f>
        <v>Current</v>
      </c>
      <c r="AA1266" s="34" t="n">
        <f aca="false">IF(I1266="N/A","",IF(Z1266&lt;&gt;"Current",4,IF(MAX(M1266,T1266)=0,4,MAX(M1266,T1266))))</f>
        <v>1</v>
      </c>
      <c r="AB1266" s="7" t="str">
        <f aca="false">IF(AA1266="","N/A",IF(Z1266&lt;&gt;"Current","Not tested / overdue",INDEX('Residual Config'!$B$11:$B$14,AA1266)))</f>
        <v>Effective</v>
      </c>
      <c r="AC1266" s="36" t="n">
        <f aca="false">IF(AA1266="","",INDEX('Residual Config'!$D$11:$D$14,AA1266))</f>
        <v>0.6</v>
      </c>
      <c r="AD1266" s="7" t="str">
        <f aca="false">IF(OR(I1266="N/A",P1266="",Q1266=""),"",IF(P1266&gt;=Q1266,"Yes","No"))</f>
        <v>Yes</v>
      </c>
      <c r="AE1266" s="8"/>
    </row>
    <row r="1267" customFormat="false" ht="15" hidden="false" customHeight="false" outlineLevel="0" collapsed="false">
      <c r="A1267" s="12" t="s">
        <v>3898</v>
      </c>
      <c r="B1267" s="26" t="str">
        <f aca="false">Entities!$A$34</f>
        <v>US</v>
      </c>
      <c r="C1267" s="12" t="str">
        <f aca="false">INDEX(Entities!$B$5:$B$34,MATCH(B1267,Entities!$A$5:$A$34,0))</f>
        <v>Arab Bank – United States (if retained)</v>
      </c>
      <c r="D1267" s="7" t="str">
        <f aca="false">INDEX(Entities!$F$5:$F$34,MATCH(B1267,Entities!$A$5:$A$34,0))</f>
        <v>Tier 3</v>
      </c>
      <c r="E1267" s="26" t="str">
        <f aca="false">'Control Library'!$A$20</f>
        <v>CTL-PAY-01</v>
      </c>
      <c r="F1267" s="12" t="str">
        <f aca="false">INDEX('Control Library'!$B$5:$B$47,MATCH(E1267,'Control Library'!$A$5:$A$47,0))</f>
        <v>Payment transparency checks (FATF R.16)</v>
      </c>
      <c r="G1267" s="7" t="str">
        <f aca="false">INDEX('Control Library'!$F$5:$F$47,MATCH(E1267,'Control Library'!$A$5:$A$47,0))</f>
        <v>N</v>
      </c>
      <c r="H1267" s="12" t="str">
        <f aca="false">INDEX('Control Library'!$E$5:$E$47,MATCH(E1267,'Control Library'!$A$5:$A$47,0))</f>
        <v>Continuous</v>
      </c>
      <c r="I1267" s="7" t="str">
        <f aca="false">IF(INDEX('Control Library'!$I$5:$I$47,MATCH(E1267,'Control Library'!$A$5:$A$47,0))="All","Y",IF(INDEX('Control Library'!$I$5:$I$47,MATCH(E1267,'Control Library'!$A$5:$A$47,0))="Banks only",IF(COUNTIF('Residual Config'!$L$28:$L$30,INDEX(Entities!$E$5:$E$34,MATCH(B1267,Entities!$A$5:$A$34,0)))&gt;0,"N/A","Y"),IF(INDEX(Entities!$G$5:$G$34,MATCH(B1267,Entities!$A$5:$A$34,0))="Y","Y","N/A")))</f>
        <v>Y</v>
      </c>
      <c r="J1267" s="8" t="s">
        <v>3899</v>
      </c>
      <c r="K1267" s="8" t="s">
        <v>3861</v>
      </c>
      <c r="L1267" s="7" t="str">
        <f aca="false">IF(OR(J1267="",K1267=""),"",IF(J1267=K1267,"Breach","OK"))</f>
        <v>OK</v>
      </c>
      <c r="M1267" s="24" t="n">
        <v>1</v>
      </c>
      <c r="N1267" s="50" t="n">
        <v>45709</v>
      </c>
      <c r="O1267" s="8" t="s">
        <v>547</v>
      </c>
      <c r="P1267" s="24" t="n">
        <v>1</v>
      </c>
      <c r="Q1267" s="31" t="n">
        <f aca="false">IF(I1267="N/A","",IFERROR(INDEX('Residual Config'!$B$35:$B$42,MATCH(H1267,'Residual Config'!$A$35:$A$42,0)),""))</f>
        <v>1</v>
      </c>
      <c r="R1267" s="24" t="n">
        <v>1</v>
      </c>
      <c r="S1267" s="8" t="s">
        <v>521</v>
      </c>
      <c r="T1267" s="31" t="n">
        <f aca="false">IF(S1267="","",MATCH(S1267,'Residual Config'!$L$9:$L$12,0))</f>
        <v>2</v>
      </c>
      <c r="U1267" s="8" t="s">
        <v>3900</v>
      </c>
      <c r="V1267" s="24" t="n">
        <v>1</v>
      </c>
      <c r="W1267" s="33" t="s">
        <v>533</v>
      </c>
      <c r="X1267" s="8" t="s">
        <v>754</v>
      </c>
      <c r="Y1267" s="51" t="n">
        <f aca="false">IF(N1267="","",EDATE(N1267,IF(G1267="N",INDEX('Residual Config'!$B$31:$D$31,1,MATCH(D1267,'Residual Config'!$B$27:$D$27,0)),INDEX('Residual Config'!$B$28:$D$30,IF(T1267=1,1,IF(T1267=4,3,2)),MATCH(D1267,'Residual Config'!$B$27:$D$27,0)))))</f>
        <v>46439</v>
      </c>
      <c r="Z1267" s="7" t="str">
        <f aca="false">IF(I1267="N/A","N/A",IF(N1267="","Not tested",IF(W1267="Rejected","Evidence rejected",IF(W1267&lt;&gt;"Accepted","Evidence pending",IF(Y1267&lt;'Residual Config'!$C$4,"Overdue","Current")))))</f>
        <v>Current</v>
      </c>
      <c r="AA1267" s="34" t="n">
        <f aca="false">IF(I1267="N/A","",IF(Z1267&lt;&gt;"Current",4,IF(MAX(M1267,T1267)=0,4,MAX(M1267,T1267))))</f>
        <v>2</v>
      </c>
      <c r="AB1267" s="7" t="str">
        <f aca="false">IF(AA1267="","N/A",IF(Z1267&lt;&gt;"Current","Not tested / overdue",INDEX('Residual Config'!$B$11:$B$14,AA1267)))</f>
        <v>Largely effective</v>
      </c>
      <c r="AC1267" s="36" t="n">
        <f aca="false">IF(AA1267="","",INDEX('Residual Config'!$D$11:$D$14,AA1267))</f>
        <v>0.4</v>
      </c>
      <c r="AD1267" s="7" t="str">
        <f aca="false">IF(OR(I1267="N/A",P1267="",Q1267=""),"",IF(P1267&gt;=Q1267,"Yes","No"))</f>
        <v>Yes</v>
      </c>
      <c r="AE1267" s="8"/>
    </row>
    <row r="1268" customFormat="false" ht="15" hidden="false" customHeight="false" outlineLevel="0" collapsed="false">
      <c r="A1268" s="12" t="s">
        <v>3901</v>
      </c>
      <c r="B1268" s="26" t="str">
        <f aca="false">Entities!$A$34</f>
        <v>US</v>
      </c>
      <c r="C1268" s="12" t="str">
        <f aca="false">INDEX(Entities!$B$5:$B$34,MATCH(B1268,Entities!$A$5:$A$34,0))</f>
        <v>Arab Bank – United States (if retained)</v>
      </c>
      <c r="D1268" s="7" t="str">
        <f aca="false">INDEX(Entities!$F$5:$F$34,MATCH(B1268,Entities!$A$5:$A$34,0))</f>
        <v>Tier 3</v>
      </c>
      <c r="E1268" s="26" t="str">
        <f aca="false">'Control Library'!$A$21</f>
        <v>CTL-ABC-01</v>
      </c>
      <c r="F1268" s="12" t="str">
        <f aca="false">INDEX('Control Library'!$B$5:$B$47,MATCH(E1268,'Control Library'!$A$5:$A$47,0))</f>
        <v>Third-party and intermediary anti-bribery due diligence</v>
      </c>
      <c r="G1268" s="7" t="str">
        <f aca="false">INDEX('Control Library'!$F$5:$F$47,MATCH(E1268,'Control Library'!$A$5:$A$47,0))</f>
        <v>Y</v>
      </c>
      <c r="H1268" s="12" t="str">
        <f aca="false">INDEX('Control Library'!$E$5:$E$47,MATCH(E1268,'Control Library'!$A$5:$A$47,0))</f>
        <v>Event-driven</v>
      </c>
      <c r="I1268" s="7" t="str">
        <f aca="false">IF(INDEX('Control Library'!$I$5:$I$47,MATCH(E1268,'Control Library'!$A$5:$A$47,0))="All","Y",IF(INDEX('Control Library'!$I$5:$I$47,MATCH(E1268,'Control Library'!$A$5:$A$47,0))="Banks only",IF(COUNTIF('Residual Config'!$L$28:$L$30,INDEX(Entities!$E$5:$E$34,MATCH(B1268,Entities!$A$5:$A$34,0)))&gt;0,"N/A","Y"),IF(INDEX(Entities!$G$5:$G$34,MATCH(B1268,Entities!$A$5:$A$34,0))="Y","Y","N/A")))</f>
        <v>Y</v>
      </c>
      <c r="J1268" s="8" t="s">
        <v>3902</v>
      </c>
      <c r="K1268" s="8" t="s">
        <v>3861</v>
      </c>
      <c r="L1268" s="7" t="str">
        <f aca="false">IF(OR(J1268="",K1268=""),"",IF(J1268=K1268,"Breach","OK"))</f>
        <v>OK</v>
      </c>
      <c r="M1268" s="24" t="n">
        <v>1</v>
      </c>
      <c r="N1268" s="50" t="n">
        <v>46055</v>
      </c>
      <c r="O1268" s="8" t="s">
        <v>545</v>
      </c>
      <c r="P1268" s="24" t="n">
        <v>25</v>
      </c>
      <c r="Q1268" s="31" t="n">
        <f aca="false">IF(I1268="N/A","",IFERROR(INDEX('Residual Config'!$B$35:$B$42,MATCH(H1268,'Residual Config'!$A$35:$A$42,0)),""))</f>
        <v>25</v>
      </c>
      <c r="R1268" s="24" t="n">
        <v>0</v>
      </c>
      <c r="S1268" s="8" t="s">
        <v>516</v>
      </c>
      <c r="T1268" s="31" t="n">
        <f aca="false">IF(S1268="","",MATCH(S1268,'Residual Config'!$L$9:$L$12,0))</f>
        <v>1</v>
      </c>
      <c r="U1268" s="8" t="s">
        <v>3903</v>
      </c>
      <c r="V1268" s="24" t="n">
        <v>4</v>
      </c>
      <c r="W1268" s="33" t="s">
        <v>535</v>
      </c>
      <c r="X1268" s="8" t="s">
        <v>754</v>
      </c>
      <c r="Y1268" s="51" t="n">
        <f aca="false">IF(N1268="","",EDATE(N1268,IF(G1268="N",INDEX('Residual Config'!$B$31:$D$31,1,MATCH(D1268,'Residual Config'!$B$27:$D$27,0)),INDEX('Residual Config'!$B$28:$D$30,IF(T1268=1,1,IF(T1268=4,3,2)),MATCH(D1268,'Residual Config'!$B$27:$D$27,0)))))</f>
        <v>46420</v>
      </c>
      <c r="Z1268" s="7" t="str">
        <f aca="false">IF(I1268="N/A","N/A",IF(N1268="","Not tested",IF(W1268="Rejected","Evidence rejected",IF(W1268&lt;&gt;"Accepted","Evidence pending",IF(Y1268&lt;'Residual Config'!$C$4,"Overdue","Current")))))</f>
        <v>Evidence rejected</v>
      </c>
      <c r="AA1268" s="34" t="n">
        <f aca="false">IF(I1268="N/A","",IF(Z1268&lt;&gt;"Current",4,IF(MAX(M1268,T1268)=0,4,MAX(M1268,T1268))))</f>
        <v>4</v>
      </c>
      <c r="AB1268" s="7" t="str">
        <f aca="false">IF(AA1268="","N/A",IF(Z1268&lt;&gt;"Current","Not tested / overdue",INDEX('Residual Config'!$B$11:$B$14,AA1268)))</f>
        <v>Not tested / overdue</v>
      </c>
      <c r="AC1268" s="36" t="n">
        <f aca="false">IF(AA1268="","",INDEX('Residual Config'!$D$11:$D$14,AA1268))</f>
        <v>0</v>
      </c>
      <c r="AD1268" s="7" t="str">
        <f aca="false">IF(OR(I1268="N/A",P1268="",Q1268=""),"",IF(P1268&gt;=Q1268,"Yes","No"))</f>
        <v>Yes</v>
      </c>
      <c r="AE1268" s="8"/>
    </row>
    <row r="1269" customFormat="false" ht="15" hidden="false" customHeight="false" outlineLevel="0" collapsed="false">
      <c r="A1269" s="12" t="s">
        <v>3904</v>
      </c>
      <c r="B1269" s="26" t="str">
        <f aca="false">Entities!$A$34</f>
        <v>US</v>
      </c>
      <c r="C1269" s="12" t="str">
        <f aca="false">INDEX(Entities!$B$5:$B$34,MATCH(B1269,Entities!$A$5:$A$34,0))</f>
        <v>Arab Bank – United States (if retained)</v>
      </c>
      <c r="D1269" s="7" t="str">
        <f aca="false">INDEX(Entities!$F$5:$F$34,MATCH(B1269,Entities!$A$5:$A$34,0))</f>
        <v>Tier 3</v>
      </c>
      <c r="E1269" s="26" t="str">
        <f aca="false">'Control Library'!$A$22</f>
        <v>CTL-ABC-02</v>
      </c>
      <c r="F1269" s="12" t="str">
        <f aca="false">INDEX('Control Library'!$B$5:$B$47,MATCH(E1269,'Control Library'!$A$5:$A$47,0))</f>
        <v>Gifts, hospitality and donations register with pre-approval</v>
      </c>
      <c r="G1269" s="7" t="str">
        <f aca="false">INDEX('Control Library'!$F$5:$F$47,MATCH(E1269,'Control Library'!$A$5:$A$47,0))</f>
        <v>N</v>
      </c>
      <c r="H1269" s="12" t="str">
        <f aca="false">INDEX('Control Library'!$E$5:$E$47,MATCH(E1269,'Control Library'!$A$5:$A$47,0))</f>
        <v>Event-driven</v>
      </c>
      <c r="I1269" s="7" t="str">
        <f aca="false">IF(INDEX('Control Library'!$I$5:$I$47,MATCH(E1269,'Control Library'!$A$5:$A$47,0))="All","Y",IF(INDEX('Control Library'!$I$5:$I$47,MATCH(E1269,'Control Library'!$A$5:$A$47,0))="Banks only",IF(COUNTIF('Residual Config'!$L$28:$L$30,INDEX(Entities!$E$5:$E$34,MATCH(B1269,Entities!$A$5:$A$34,0)))&gt;0,"N/A","Y"),IF(INDEX(Entities!$G$5:$G$34,MATCH(B1269,Entities!$A$5:$A$34,0))="Y","Y","N/A")))</f>
        <v>Y</v>
      </c>
      <c r="J1269" s="8" t="s">
        <v>3864</v>
      </c>
      <c r="K1269" s="8" t="s">
        <v>3861</v>
      </c>
      <c r="L1269" s="7" t="str">
        <f aca="false">IF(OR(J1269="",K1269=""),"",IF(J1269=K1269,"Breach","OK"))</f>
        <v>OK</v>
      </c>
      <c r="M1269" s="24" t="n">
        <v>2</v>
      </c>
      <c r="N1269" s="50" t="n">
        <v>45868</v>
      </c>
      <c r="O1269" s="8" t="s">
        <v>545</v>
      </c>
      <c r="P1269" s="24" t="n">
        <v>35</v>
      </c>
      <c r="Q1269" s="31" t="n">
        <f aca="false">IF(I1269="N/A","",IFERROR(INDEX('Residual Config'!$B$35:$B$42,MATCH(H1269,'Residual Config'!$A$35:$A$42,0)),""))</f>
        <v>25</v>
      </c>
      <c r="R1269" s="24" t="n">
        <v>0</v>
      </c>
      <c r="S1269" s="8" t="s">
        <v>516</v>
      </c>
      <c r="T1269" s="31" t="n">
        <f aca="false">IF(S1269="","",MATCH(S1269,'Residual Config'!$L$9:$L$12,0))</f>
        <v>1</v>
      </c>
      <c r="U1269" s="8" t="s">
        <v>3905</v>
      </c>
      <c r="V1269" s="24" t="n">
        <v>1</v>
      </c>
      <c r="W1269" s="33" t="s">
        <v>536</v>
      </c>
      <c r="X1269" s="8"/>
      <c r="Y1269" s="51" t="n">
        <f aca="false">IF(N1269="","",EDATE(N1269,IF(G1269="N",INDEX('Residual Config'!$B$31:$D$31,1,MATCH(D1269,'Residual Config'!$B$27:$D$27,0)),INDEX('Residual Config'!$B$28:$D$30,IF(T1269=1,1,IF(T1269=4,3,2)),MATCH(D1269,'Residual Config'!$B$27:$D$27,0)))))</f>
        <v>46598</v>
      </c>
      <c r="Z1269" s="7" t="str">
        <f aca="false">IF(I1269="N/A","N/A",IF(N1269="","Not tested",IF(W1269="Rejected","Evidence rejected",IF(W1269&lt;&gt;"Accepted","Evidence pending",IF(Y1269&lt;'Residual Config'!$C$4,"Overdue","Current")))))</f>
        <v>Evidence pending</v>
      </c>
      <c r="AA1269" s="34" t="n">
        <f aca="false">IF(I1269="N/A","",IF(Z1269&lt;&gt;"Current",4,IF(MAX(M1269,T1269)=0,4,MAX(M1269,T1269))))</f>
        <v>4</v>
      </c>
      <c r="AB1269" s="7" t="str">
        <f aca="false">IF(AA1269="","N/A",IF(Z1269&lt;&gt;"Current","Not tested / overdue",INDEX('Residual Config'!$B$11:$B$14,AA1269)))</f>
        <v>Not tested / overdue</v>
      </c>
      <c r="AC1269" s="36" t="n">
        <f aca="false">IF(AA1269="","",INDEX('Residual Config'!$D$11:$D$14,AA1269))</f>
        <v>0</v>
      </c>
      <c r="AD1269" s="7" t="str">
        <f aca="false">IF(OR(I1269="N/A",P1269="",Q1269=""),"",IF(P1269&gt;=Q1269,"Yes","No"))</f>
        <v>Yes</v>
      </c>
      <c r="AE1269" s="8"/>
    </row>
    <row r="1270" customFormat="false" ht="15" hidden="false" customHeight="false" outlineLevel="0" collapsed="false">
      <c r="A1270" s="12" t="s">
        <v>3906</v>
      </c>
      <c r="B1270" s="26" t="str">
        <f aca="false">Entities!$A$34</f>
        <v>US</v>
      </c>
      <c r="C1270" s="12" t="str">
        <f aca="false">INDEX(Entities!$B$5:$B$34,MATCH(B1270,Entities!$A$5:$A$34,0))</f>
        <v>Arab Bank – United States (if retained)</v>
      </c>
      <c r="D1270" s="7" t="str">
        <f aca="false">INDEX(Entities!$F$5:$F$34,MATCH(B1270,Entities!$A$5:$A$34,0))</f>
        <v>Tier 3</v>
      </c>
      <c r="E1270" s="26" t="str">
        <f aca="false">'Control Library'!$A$23</f>
        <v>CTL-FRD-01</v>
      </c>
      <c r="F1270" s="12" t="str">
        <f aca="false">INDEX('Control Library'!$B$5:$B$47,MATCH(E1270,'Control Library'!$A$5:$A$47,0))</f>
        <v>Real-time fraud monitoring for cards and digital channels</v>
      </c>
      <c r="G1270" s="7" t="str">
        <f aca="false">INDEX('Control Library'!$F$5:$F$47,MATCH(E1270,'Control Library'!$A$5:$A$47,0))</f>
        <v>Y</v>
      </c>
      <c r="H1270" s="12" t="str">
        <f aca="false">INDEX('Control Library'!$E$5:$E$47,MATCH(E1270,'Control Library'!$A$5:$A$47,0))</f>
        <v>Continuous</v>
      </c>
      <c r="I1270" s="7" t="str">
        <f aca="false">IF(INDEX('Control Library'!$I$5:$I$47,MATCH(E1270,'Control Library'!$A$5:$A$47,0))="All","Y",IF(INDEX('Control Library'!$I$5:$I$47,MATCH(E1270,'Control Library'!$A$5:$A$47,0))="Banks only",IF(COUNTIF('Residual Config'!$L$28:$L$30,INDEX(Entities!$E$5:$E$34,MATCH(B1270,Entities!$A$5:$A$34,0)))&gt;0,"N/A","Y"),IF(INDEX(Entities!$G$5:$G$34,MATCH(B1270,Entities!$A$5:$A$34,0))="Y","Y","N/A")))</f>
        <v>Y</v>
      </c>
      <c r="J1270" s="8" t="s">
        <v>3907</v>
      </c>
      <c r="K1270" s="8" t="s">
        <v>3861</v>
      </c>
      <c r="L1270" s="7" t="str">
        <f aca="false">IF(OR(J1270="",K1270=""),"",IF(J1270=K1270,"Breach","OK"))</f>
        <v>OK</v>
      </c>
      <c r="M1270" s="24" t="n">
        <v>1</v>
      </c>
      <c r="N1270" s="50" t="n">
        <v>46213</v>
      </c>
      <c r="O1270" s="8" t="s">
        <v>546</v>
      </c>
      <c r="P1270" s="24" t="n">
        <v>1</v>
      </c>
      <c r="Q1270" s="31" t="n">
        <f aca="false">IF(I1270="N/A","",IFERROR(INDEX('Residual Config'!$B$35:$B$42,MATCH(H1270,'Residual Config'!$A$35:$A$42,0)),""))</f>
        <v>1</v>
      </c>
      <c r="R1270" s="24" t="n">
        <v>1</v>
      </c>
      <c r="S1270" s="8" t="s">
        <v>521</v>
      </c>
      <c r="T1270" s="31" t="n">
        <f aca="false">IF(S1270="","",MATCH(S1270,'Residual Config'!$L$9:$L$12,0))</f>
        <v>2</v>
      </c>
      <c r="U1270" s="8" t="s">
        <v>3908</v>
      </c>
      <c r="V1270" s="24" t="n">
        <v>6</v>
      </c>
      <c r="W1270" s="33" t="s">
        <v>533</v>
      </c>
      <c r="X1270" s="8" t="s">
        <v>754</v>
      </c>
      <c r="Y1270" s="51" t="n">
        <f aca="false">IF(N1270="","",EDATE(N1270,IF(G1270="N",INDEX('Residual Config'!$B$31:$D$31,1,MATCH(D1270,'Residual Config'!$B$27:$D$27,0)),INDEX('Residual Config'!$B$28:$D$30,IF(T1270=1,1,IF(T1270=4,3,2)),MATCH(D1270,'Residual Config'!$B$27:$D$27,0)))))</f>
        <v>46397</v>
      </c>
      <c r="Z1270" s="7" t="str">
        <f aca="false">IF(I1270="N/A","N/A",IF(N1270="","Not tested",IF(W1270="Rejected","Evidence rejected",IF(W1270&lt;&gt;"Accepted","Evidence pending",IF(Y1270&lt;'Residual Config'!$C$4,"Overdue","Current")))))</f>
        <v>Current</v>
      </c>
      <c r="AA1270" s="34" t="n">
        <f aca="false">IF(I1270="N/A","",IF(Z1270&lt;&gt;"Current",4,IF(MAX(M1270,T1270)=0,4,MAX(M1270,T1270))))</f>
        <v>2</v>
      </c>
      <c r="AB1270" s="7" t="str">
        <f aca="false">IF(AA1270="","N/A",IF(Z1270&lt;&gt;"Current","Not tested / overdue",INDEX('Residual Config'!$B$11:$B$14,AA1270)))</f>
        <v>Largely effective</v>
      </c>
      <c r="AC1270" s="36" t="n">
        <f aca="false">IF(AA1270="","",INDEX('Residual Config'!$D$11:$D$14,AA1270))</f>
        <v>0.4</v>
      </c>
      <c r="AD1270" s="7" t="str">
        <f aca="false">IF(OR(I1270="N/A",P1270="",Q1270=""),"",IF(P1270&gt;=Q1270,"Yes","No"))</f>
        <v>Yes</v>
      </c>
      <c r="AE1270" s="8"/>
    </row>
    <row r="1271" customFormat="false" ht="15" hidden="false" customHeight="false" outlineLevel="0" collapsed="false">
      <c r="A1271" s="12" t="s">
        <v>3909</v>
      </c>
      <c r="B1271" s="26" t="str">
        <f aca="false">Entities!$A$34</f>
        <v>US</v>
      </c>
      <c r="C1271" s="12" t="str">
        <f aca="false">INDEX(Entities!$B$5:$B$34,MATCH(B1271,Entities!$A$5:$A$34,0))</f>
        <v>Arab Bank – United States (if retained)</v>
      </c>
      <c r="D1271" s="7" t="str">
        <f aca="false">INDEX(Entities!$F$5:$F$34,MATCH(B1271,Entities!$A$5:$A$34,0))</f>
        <v>Tier 3</v>
      </c>
      <c r="E1271" s="26" t="str">
        <f aca="false">'Control Library'!$A$24</f>
        <v>CTL-FRD-02</v>
      </c>
      <c r="F1271" s="12" t="str">
        <f aca="false">INDEX('Control Library'!$B$5:$B$47,MATCH(E1271,'Control Library'!$A$5:$A$47,0))</f>
        <v>Maker-checker and dual control on payments and static data</v>
      </c>
      <c r="G1271" s="7" t="str">
        <f aca="false">INDEX('Control Library'!$F$5:$F$47,MATCH(E1271,'Control Library'!$A$5:$A$47,0))</f>
        <v>Y</v>
      </c>
      <c r="H1271" s="12" t="str">
        <f aca="false">INDEX('Control Library'!$E$5:$E$47,MATCH(E1271,'Control Library'!$A$5:$A$47,0))</f>
        <v>Daily</v>
      </c>
      <c r="I1271" s="7" t="str">
        <f aca="false">IF(INDEX('Control Library'!$I$5:$I$47,MATCH(E1271,'Control Library'!$A$5:$A$47,0))="All","Y",IF(INDEX('Control Library'!$I$5:$I$47,MATCH(E1271,'Control Library'!$A$5:$A$47,0))="Banks only",IF(COUNTIF('Residual Config'!$L$28:$L$30,INDEX(Entities!$E$5:$E$34,MATCH(B1271,Entities!$A$5:$A$34,0)))&gt;0,"N/A","Y"),IF(INDEX(Entities!$G$5:$G$34,MATCH(B1271,Entities!$A$5:$A$34,0))="Y","Y","N/A")))</f>
        <v>Y</v>
      </c>
      <c r="J1271" s="8" t="s">
        <v>3860</v>
      </c>
      <c r="K1271" s="8" t="s">
        <v>3861</v>
      </c>
      <c r="L1271" s="7" t="str">
        <f aca="false">IF(OR(J1271="",K1271=""),"",IF(J1271=K1271,"Breach","OK"))</f>
        <v>OK</v>
      </c>
      <c r="M1271" s="24" t="n">
        <v>1</v>
      </c>
      <c r="N1271" s="50" t="n">
        <v>46092</v>
      </c>
      <c r="O1271" s="8" t="s">
        <v>546</v>
      </c>
      <c r="P1271" s="24" t="n">
        <v>25</v>
      </c>
      <c r="Q1271" s="31" t="n">
        <f aca="false">IF(I1271="N/A","",IFERROR(INDEX('Residual Config'!$B$35:$B$42,MATCH(H1271,'Residual Config'!$A$35:$A$42,0)),""))</f>
        <v>25</v>
      </c>
      <c r="R1271" s="24" t="n">
        <v>0</v>
      </c>
      <c r="S1271" s="8" t="s">
        <v>516</v>
      </c>
      <c r="T1271" s="31" t="n">
        <f aca="false">IF(S1271="","",MATCH(S1271,'Residual Config'!$L$9:$L$12,0))</f>
        <v>1</v>
      </c>
      <c r="U1271" s="8" t="s">
        <v>3910</v>
      </c>
      <c r="V1271" s="24" t="n">
        <v>3</v>
      </c>
      <c r="W1271" s="33" t="s">
        <v>536</v>
      </c>
      <c r="X1271" s="8"/>
      <c r="Y1271" s="51" t="n">
        <f aca="false">IF(N1271="","",EDATE(N1271,IF(G1271="N",INDEX('Residual Config'!$B$31:$D$31,1,MATCH(D1271,'Residual Config'!$B$27:$D$27,0)),INDEX('Residual Config'!$B$28:$D$30,IF(T1271=1,1,IF(T1271=4,3,2)),MATCH(D1271,'Residual Config'!$B$27:$D$27,0)))))</f>
        <v>46457</v>
      </c>
      <c r="Z1271" s="7" t="str">
        <f aca="false">IF(I1271="N/A","N/A",IF(N1271="","Not tested",IF(W1271="Rejected","Evidence rejected",IF(W1271&lt;&gt;"Accepted","Evidence pending",IF(Y1271&lt;'Residual Config'!$C$4,"Overdue","Current")))))</f>
        <v>Evidence pending</v>
      </c>
      <c r="AA1271" s="34" t="n">
        <f aca="false">IF(I1271="N/A","",IF(Z1271&lt;&gt;"Current",4,IF(MAX(M1271,T1271)=0,4,MAX(M1271,T1271))))</f>
        <v>4</v>
      </c>
      <c r="AB1271" s="7" t="str">
        <f aca="false">IF(AA1271="","N/A",IF(Z1271&lt;&gt;"Current","Not tested / overdue",INDEX('Residual Config'!$B$11:$B$14,AA1271)))</f>
        <v>Not tested / overdue</v>
      </c>
      <c r="AC1271" s="36" t="n">
        <f aca="false">IF(AA1271="","",INDEX('Residual Config'!$D$11:$D$14,AA1271))</f>
        <v>0</v>
      </c>
      <c r="AD1271" s="7" t="str">
        <f aca="false">IF(OR(I1271="N/A",P1271="",Q1271=""),"",IF(P1271&gt;=Q1271,"Yes","No"))</f>
        <v>Yes</v>
      </c>
      <c r="AE1271" s="8"/>
    </row>
    <row r="1272" customFormat="false" ht="15" hidden="false" customHeight="false" outlineLevel="0" collapsed="false">
      <c r="A1272" s="12" t="s">
        <v>3911</v>
      </c>
      <c r="B1272" s="26" t="str">
        <f aca="false">Entities!$A$34</f>
        <v>US</v>
      </c>
      <c r="C1272" s="12" t="str">
        <f aca="false">INDEX(Entities!$B$5:$B$34,MATCH(B1272,Entities!$A$5:$A$34,0))</f>
        <v>Arab Bank – United States (if retained)</v>
      </c>
      <c r="D1272" s="7" t="str">
        <f aca="false">INDEX(Entities!$F$5:$F$34,MATCH(B1272,Entities!$A$5:$A$34,0))</f>
        <v>Tier 3</v>
      </c>
      <c r="E1272" s="26" t="str">
        <f aca="false">'Control Library'!$A$25</f>
        <v>CTL-FRD-03</v>
      </c>
      <c r="F1272" s="12" t="str">
        <f aca="false">INDEX('Control Library'!$B$5:$B$47,MATCH(E1272,'Control Library'!$A$5:$A$47,0))</f>
        <v>Mandatory consecutive leave and rotation for sensitive roles</v>
      </c>
      <c r="G1272" s="7" t="str">
        <f aca="false">INDEX('Control Library'!$F$5:$F$47,MATCH(E1272,'Control Library'!$A$5:$A$47,0))</f>
        <v>N</v>
      </c>
      <c r="H1272" s="12" t="str">
        <f aca="false">INDEX('Control Library'!$E$5:$E$47,MATCH(E1272,'Control Library'!$A$5:$A$47,0))</f>
        <v>Annual</v>
      </c>
      <c r="I1272" s="7" t="str">
        <f aca="false">IF(INDEX('Control Library'!$I$5:$I$47,MATCH(E1272,'Control Library'!$A$5:$A$47,0))="All","Y",IF(INDEX('Control Library'!$I$5:$I$47,MATCH(E1272,'Control Library'!$A$5:$A$47,0))="Banks only",IF(COUNTIF('Residual Config'!$L$28:$L$30,INDEX(Entities!$E$5:$E$34,MATCH(B1272,Entities!$A$5:$A$34,0)))&gt;0,"N/A","Y"),IF(INDEX(Entities!$G$5:$G$34,MATCH(B1272,Entities!$A$5:$A$34,0))="Y","Y","N/A")))</f>
        <v>Y</v>
      </c>
      <c r="J1272" s="8" t="s">
        <v>3912</v>
      </c>
      <c r="K1272" s="8" t="s">
        <v>3861</v>
      </c>
      <c r="L1272" s="7" t="str">
        <f aca="false">IF(OR(J1272="",K1272=""),"",IF(J1272=K1272,"Breach","OK"))</f>
        <v>OK</v>
      </c>
      <c r="M1272" s="24" t="n">
        <v>1</v>
      </c>
      <c r="N1272" s="50" t="n">
        <v>45873</v>
      </c>
      <c r="O1272" s="8" t="s">
        <v>546</v>
      </c>
      <c r="P1272" s="24" t="n">
        <v>1</v>
      </c>
      <c r="Q1272" s="31" t="n">
        <f aca="false">IF(I1272="N/A","",IFERROR(INDEX('Residual Config'!$B$35:$B$42,MATCH(H1272,'Residual Config'!$A$35:$A$42,0)),""))</f>
        <v>1</v>
      </c>
      <c r="R1272" s="24" t="n">
        <v>0</v>
      </c>
      <c r="S1272" s="8" t="s">
        <v>516</v>
      </c>
      <c r="T1272" s="31" t="n">
        <f aca="false">IF(S1272="","",MATCH(S1272,'Residual Config'!$L$9:$L$12,0))</f>
        <v>1</v>
      </c>
      <c r="U1272" s="8" t="s">
        <v>3913</v>
      </c>
      <c r="V1272" s="24" t="n">
        <v>4</v>
      </c>
      <c r="W1272" s="33" t="s">
        <v>533</v>
      </c>
      <c r="X1272" s="8" t="s">
        <v>760</v>
      </c>
      <c r="Y1272" s="51" t="n">
        <f aca="false">IF(N1272="","",EDATE(N1272,IF(G1272="N",INDEX('Residual Config'!$B$31:$D$31,1,MATCH(D1272,'Residual Config'!$B$27:$D$27,0)),INDEX('Residual Config'!$B$28:$D$30,IF(T1272=1,1,IF(T1272=4,3,2)),MATCH(D1272,'Residual Config'!$B$27:$D$27,0)))))</f>
        <v>46603</v>
      </c>
      <c r="Z1272" s="7" t="str">
        <f aca="false">IF(I1272="N/A","N/A",IF(N1272="","Not tested",IF(W1272="Rejected","Evidence rejected",IF(W1272&lt;&gt;"Accepted","Evidence pending",IF(Y1272&lt;'Residual Config'!$C$4,"Overdue","Current")))))</f>
        <v>Current</v>
      </c>
      <c r="AA1272" s="34" t="n">
        <f aca="false">IF(I1272="N/A","",IF(Z1272&lt;&gt;"Current",4,IF(MAX(M1272,T1272)=0,4,MAX(M1272,T1272))))</f>
        <v>1</v>
      </c>
      <c r="AB1272" s="7" t="str">
        <f aca="false">IF(AA1272="","N/A",IF(Z1272&lt;&gt;"Current","Not tested / overdue",INDEX('Residual Config'!$B$11:$B$14,AA1272)))</f>
        <v>Effective</v>
      </c>
      <c r="AC1272" s="36" t="n">
        <f aca="false">IF(AA1272="","",INDEX('Residual Config'!$D$11:$D$14,AA1272))</f>
        <v>0.6</v>
      </c>
      <c r="AD1272" s="7" t="str">
        <f aca="false">IF(OR(I1272="N/A",P1272="",Q1272=""),"",IF(P1272&gt;=Q1272,"Yes","No"))</f>
        <v>Yes</v>
      </c>
      <c r="AE1272" s="8"/>
    </row>
    <row r="1273" customFormat="false" ht="15" hidden="false" customHeight="false" outlineLevel="0" collapsed="false">
      <c r="A1273" s="12" t="s">
        <v>3914</v>
      </c>
      <c r="B1273" s="26" t="str">
        <f aca="false">Entities!$A$34</f>
        <v>US</v>
      </c>
      <c r="C1273" s="12" t="str">
        <f aca="false">INDEX(Entities!$B$5:$B$34,MATCH(B1273,Entities!$A$5:$A$34,0))</f>
        <v>Arab Bank – United States (if retained)</v>
      </c>
      <c r="D1273" s="7" t="str">
        <f aca="false">INDEX(Entities!$F$5:$F$34,MATCH(B1273,Entities!$A$5:$A$34,0))</f>
        <v>Tier 3</v>
      </c>
      <c r="E1273" s="26" t="str">
        <f aca="false">'Control Library'!$A$26</f>
        <v>CTL-TAX-01</v>
      </c>
      <c r="F1273" s="12" t="str">
        <f aca="false">INDEX('Control Library'!$B$5:$B$47,MATCH(E1273,'Control Library'!$A$5:$A$47,0))</f>
        <v>FATCA/CRS self-certification and classification</v>
      </c>
      <c r="G1273" s="7" t="str">
        <f aca="false">INDEX('Control Library'!$F$5:$F$47,MATCH(E1273,'Control Library'!$A$5:$A$47,0))</f>
        <v>Y</v>
      </c>
      <c r="H1273" s="12" t="str">
        <f aca="false">INDEX('Control Library'!$E$5:$E$47,MATCH(E1273,'Control Library'!$A$5:$A$47,0))</f>
        <v>Event-driven</v>
      </c>
      <c r="I1273" s="7" t="str">
        <f aca="false">IF(INDEX('Control Library'!$I$5:$I$47,MATCH(E1273,'Control Library'!$A$5:$A$47,0))="All","Y",IF(INDEX('Control Library'!$I$5:$I$47,MATCH(E1273,'Control Library'!$A$5:$A$47,0))="Banks only",IF(COUNTIF('Residual Config'!$L$28:$L$30,INDEX(Entities!$E$5:$E$34,MATCH(B1273,Entities!$A$5:$A$34,0)))&gt;0,"N/A","Y"),IF(INDEX(Entities!$G$5:$G$34,MATCH(B1273,Entities!$A$5:$A$34,0))="Y","Y","N/A")))</f>
        <v>Y</v>
      </c>
      <c r="J1273" s="8" t="s">
        <v>3860</v>
      </c>
      <c r="K1273" s="8" t="s">
        <v>3861</v>
      </c>
      <c r="L1273" s="7" t="str">
        <f aca="false">IF(OR(J1273="",K1273=""),"",IF(J1273=K1273,"Breach","OK"))</f>
        <v>OK</v>
      </c>
      <c r="M1273" s="24" t="n">
        <v>1</v>
      </c>
      <c r="N1273" s="50" t="n">
        <v>45953</v>
      </c>
      <c r="O1273" s="8" t="s">
        <v>545</v>
      </c>
      <c r="P1273" s="24" t="n">
        <v>25</v>
      </c>
      <c r="Q1273" s="31" t="n">
        <f aca="false">IF(I1273="N/A","",IFERROR(INDEX('Residual Config'!$B$35:$B$42,MATCH(H1273,'Residual Config'!$A$35:$A$42,0)),""))</f>
        <v>25</v>
      </c>
      <c r="R1273" s="24" t="n">
        <v>0</v>
      </c>
      <c r="S1273" s="8" t="s">
        <v>516</v>
      </c>
      <c r="T1273" s="31" t="n">
        <f aca="false">IF(S1273="","",MATCH(S1273,'Residual Config'!$L$9:$L$12,0))</f>
        <v>1</v>
      </c>
      <c r="U1273" s="8" t="s">
        <v>3915</v>
      </c>
      <c r="V1273" s="24" t="n">
        <v>6</v>
      </c>
      <c r="W1273" s="33" t="s">
        <v>533</v>
      </c>
      <c r="X1273" s="8" t="s">
        <v>760</v>
      </c>
      <c r="Y1273" s="51" t="n">
        <f aca="false">IF(N1273="","",EDATE(N1273,IF(G1273="N",INDEX('Residual Config'!$B$31:$D$31,1,MATCH(D1273,'Residual Config'!$B$27:$D$27,0)),INDEX('Residual Config'!$B$28:$D$30,IF(T1273=1,1,IF(T1273=4,3,2)),MATCH(D1273,'Residual Config'!$B$27:$D$27,0)))))</f>
        <v>46318</v>
      </c>
      <c r="Z1273" s="7" t="str">
        <f aca="false">IF(I1273="N/A","N/A",IF(N1273="","Not tested",IF(W1273="Rejected","Evidence rejected",IF(W1273&lt;&gt;"Accepted","Evidence pending",IF(Y1273&lt;'Residual Config'!$C$4,"Overdue","Current")))))</f>
        <v>Current</v>
      </c>
      <c r="AA1273" s="34" t="n">
        <f aca="false">IF(I1273="N/A","",IF(Z1273&lt;&gt;"Current",4,IF(MAX(M1273,T1273)=0,4,MAX(M1273,T1273))))</f>
        <v>1</v>
      </c>
      <c r="AB1273" s="7" t="str">
        <f aca="false">IF(AA1273="","N/A",IF(Z1273&lt;&gt;"Current","Not tested / overdue",INDEX('Residual Config'!$B$11:$B$14,AA1273)))</f>
        <v>Effective</v>
      </c>
      <c r="AC1273" s="36" t="n">
        <f aca="false">IF(AA1273="","",INDEX('Residual Config'!$D$11:$D$14,AA1273))</f>
        <v>0.6</v>
      </c>
      <c r="AD1273" s="7" t="str">
        <f aca="false">IF(OR(I1273="N/A",P1273="",Q1273=""),"",IF(P1273&gt;=Q1273,"Yes","No"))</f>
        <v>Yes</v>
      </c>
      <c r="AE1273" s="8"/>
    </row>
    <row r="1274" customFormat="false" ht="15" hidden="false" customHeight="false" outlineLevel="0" collapsed="false">
      <c r="A1274" s="12" t="s">
        <v>3916</v>
      </c>
      <c r="B1274" s="26" t="str">
        <f aca="false">Entities!$A$34</f>
        <v>US</v>
      </c>
      <c r="C1274" s="12" t="str">
        <f aca="false">INDEX(Entities!$B$5:$B$34,MATCH(B1274,Entities!$A$5:$A$34,0))</f>
        <v>Arab Bank – United States (if retained)</v>
      </c>
      <c r="D1274" s="7" t="str">
        <f aca="false">INDEX(Entities!$F$5:$F$34,MATCH(B1274,Entities!$A$5:$A$34,0))</f>
        <v>Tier 3</v>
      </c>
      <c r="E1274" s="26" t="str">
        <f aca="false">'Control Library'!$A$27</f>
        <v>CTL-TAX-02</v>
      </c>
      <c r="F1274" s="12" t="str">
        <f aca="false">INDEX('Control Library'!$B$5:$B$47,MATCH(E1274,'Control Library'!$A$5:$A$47,0))</f>
        <v>FATCA/CRS reporting reconciliation and timely filing</v>
      </c>
      <c r="G1274" s="7" t="str">
        <f aca="false">INDEX('Control Library'!$F$5:$F$47,MATCH(E1274,'Control Library'!$A$5:$A$47,0))</f>
        <v>N</v>
      </c>
      <c r="H1274" s="12" t="str">
        <f aca="false">INDEX('Control Library'!$E$5:$E$47,MATCH(E1274,'Control Library'!$A$5:$A$47,0))</f>
        <v>Annual</v>
      </c>
      <c r="I1274" s="7" t="str">
        <f aca="false">IF(INDEX('Control Library'!$I$5:$I$47,MATCH(E1274,'Control Library'!$A$5:$A$47,0))="All","Y",IF(INDEX('Control Library'!$I$5:$I$47,MATCH(E1274,'Control Library'!$A$5:$A$47,0))="Banks only",IF(COUNTIF('Residual Config'!$L$28:$L$30,INDEX(Entities!$E$5:$E$34,MATCH(B1274,Entities!$A$5:$A$34,0)))&gt;0,"N/A","Y"),IF(INDEX(Entities!$G$5:$G$34,MATCH(B1274,Entities!$A$5:$A$34,0))="Y","Y","N/A")))</f>
        <v>Y</v>
      </c>
      <c r="J1274" s="8" t="s">
        <v>3917</v>
      </c>
      <c r="K1274" s="8" t="s">
        <v>3861</v>
      </c>
      <c r="L1274" s="7" t="str">
        <f aca="false">IF(OR(J1274="",K1274=""),"",IF(J1274=K1274,"Breach","OK"))</f>
        <v>OK</v>
      </c>
      <c r="M1274" s="24" t="n">
        <v>2</v>
      </c>
      <c r="N1274" s="50" t="n">
        <v>45973</v>
      </c>
      <c r="O1274" s="8" t="s">
        <v>546</v>
      </c>
      <c r="P1274" s="24" t="n">
        <v>1</v>
      </c>
      <c r="Q1274" s="31" t="n">
        <f aca="false">IF(I1274="N/A","",IFERROR(INDEX('Residual Config'!$B$35:$B$42,MATCH(H1274,'Residual Config'!$A$35:$A$42,0)),""))</f>
        <v>1</v>
      </c>
      <c r="R1274" s="24" t="n">
        <v>0</v>
      </c>
      <c r="S1274" s="8" t="s">
        <v>516</v>
      </c>
      <c r="T1274" s="31" t="n">
        <f aca="false">IF(S1274="","",MATCH(S1274,'Residual Config'!$L$9:$L$12,0))</f>
        <v>1</v>
      </c>
      <c r="U1274" s="8" t="s">
        <v>3918</v>
      </c>
      <c r="V1274" s="24" t="n">
        <v>2</v>
      </c>
      <c r="W1274" s="33" t="s">
        <v>533</v>
      </c>
      <c r="X1274" s="8" t="s">
        <v>754</v>
      </c>
      <c r="Y1274" s="51" t="n">
        <f aca="false">IF(N1274="","",EDATE(N1274,IF(G1274="N",INDEX('Residual Config'!$B$31:$D$31,1,MATCH(D1274,'Residual Config'!$B$27:$D$27,0)),INDEX('Residual Config'!$B$28:$D$30,IF(T1274=1,1,IF(T1274=4,3,2)),MATCH(D1274,'Residual Config'!$B$27:$D$27,0)))))</f>
        <v>46703</v>
      </c>
      <c r="Z1274" s="7" t="str">
        <f aca="false">IF(I1274="N/A","N/A",IF(N1274="","Not tested",IF(W1274="Rejected","Evidence rejected",IF(W1274&lt;&gt;"Accepted","Evidence pending",IF(Y1274&lt;'Residual Config'!$C$4,"Overdue","Current")))))</f>
        <v>Current</v>
      </c>
      <c r="AA1274" s="34" t="n">
        <f aca="false">IF(I1274="N/A","",IF(Z1274&lt;&gt;"Current",4,IF(MAX(M1274,T1274)=0,4,MAX(M1274,T1274))))</f>
        <v>2</v>
      </c>
      <c r="AB1274" s="7" t="str">
        <f aca="false">IF(AA1274="","N/A",IF(Z1274&lt;&gt;"Current","Not tested / overdue",INDEX('Residual Config'!$B$11:$B$14,AA1274)))</f>
        <v>Largely effective</v>
      </c>
      <c r="AC1274" s="36" t="n">
        <f aca="false">IF(AA1274="","",INDEX('Residual Config'!$D$11:$D$14,AA1274))</f>
        <v>0.4</v>
      </c>
      <c r="AD1274" s="7" t="str">
        <f aca="false">IF(OR(I1274="N/A",P1274="",Q1274=""),"",IF(P1274&gt;=Q1274,"Yes","No"))</f>
        <v>Yes</v>
      </c>
      <c r="AE1274" s="8"/>
    </row>
    <row r="1275" customFormat="false" ht="15" hidden="false" customHeight="false" outlineLevel="0" collapsed="false">
      <c r="A1275" s="12" t="s">
        <v>3919</v>
      </c>
      <c r="B1275" s="26" t="str">
        <f aca="false">Entities!$A$34</f>
        <v>US</v>
      </c>
      <c r="C1275" s="12" t="str">
        <f aca="false">INDEX(Entities!$B$5:$B$34,MATCH(B1275,Entities!$A$5:$A$34,0))</f>
        <v>Arab Bank – United States (if retained)</v>
      </c>
      <c r="D1275" s="7" t="str">
        <f aca="false">INDEX(Entities!$F$5:$F$34,MATCH(B1275,Entities!$A$5:$A$34,0))</f>
        <v>Tier 3</v>
      </c>
      <c r="E1275" s="26" t="str">
        <f aca="false">'Control Library'!$A$28</f>
        <v>CTL-TRN-01</v>
      </c>
      <c r="F1275" s="12" t="str">
        <f aca="false">INDEX('Control Library'!$B$5:$B$47,MATCH(E1275,'Control Library'!$A$5:$A$47,0))</f>
        <v>Annual AML, sanctions and anti-bribery training</v>
      </c>
      <c r="G1275" s="7" t="str">
        <f aca="false">INDEX('Control Library'!$F$5:$F$47,MATCH(E1275,'Control Library'!$A$5:$A$47,0))</f>
        <v>N</v>
      </c>
      <c r="H1275" s="12" t="str">
        <f aca="false">INDEX('Control Library'!$E$5:$E$47,MATCH(E1275,'Control Library'!$A$5:$A$47,0))</f>
        <v>Annual</v>
      </c>
      <c r="I1275" s="7" t="str">
        <f aca="false">IF(INDEX('Control Library'!$I$5:$I$47,MATCH(E1275,'Control Library'!$A$5:$A$47,0))="All","Y",IF(INDEX('Control Library'!$I$5:$I$47,MATCH(E1275,'Control Library'!$A$5:$A$47,0))="Banks only",IF(COUNTIF('Residual Config'!$L$28:$L$30,INDEX(Entities!$E$5:$E$34,MATCH(B1275,Entities!$A$5:$A$34,0)))&gt;0,"N/A","Y"),IF(INDEX(Entities!$G$5:$G$34,MATCH(B1275,Entities!$A$5:$A$34,0))="Y","Y","N/A")))</f>
        <v>Y</v>
      </c>
      <c r="J1275" s="8" t="s">
        <v>3864</v>
      </c>
      <c r="K1275" s="8" t="s">
        <v>3861</v>
      </c>
      <c r="L1275" s="7" t="str">
        <f aca="false">IF(OR(J1275="",K1275=""),"",IF(J1275=K1275,"Breach","OK"))</f>
        <v>OK</v>
      </c>
      <c r="M1275" s="24" t="n">
        <v>2</v>
      </c>
      <c r="N1275" s="50" t="n">
        <v>45833</v>
      </c>
      <c r="O1275" s="8" t="s">
        <v>545</v>
      </c>
      <c r="P1275" s="24" t="n">
        <v>1</v>
      </c>
      <c r="Q1275" s="31" t="n">
        <f aca="false">IF(I1275="N/A","",IFERROR(INDEX('Residual Config'!$B$35:$B$42,MATCH(H1275,'Residual Config'!$A$35:$A$42,0)),""))</f>
        <v>1</v>
      </c>
      <c r="R1275" s="24" t="n">
        <v>0</v>
      </c>
      <c r="S1275" s="8" t="s">
        <v>516</v>
      </c>
      <c r="T1275" s="31" t="n">
        <f aca="false">IF(S1275="","",MATCH(S1275,'Residual Config'!$L$9:$L$12,0))</f>
        <v>1</v>
      </c>
      <c r="U1275" s="8" t="s">
        <v>3920</v>
      </c>
      <c r="V1275" s="24" t="n">
        <v>5</v>
      </c>
      <c r="W1275" s="33" t="s">
        <v>533</v>
      </c>
      <c r="X1275" s="8" t="s">
        <v>754</v>
      </c>
      <c r="Y1275" s="51" t="n">
        <f aca="false">IF(N1275="","",EDATE(N1275,IF(G1275="N",INDEX('Residual Config'!$B$31:$D$31,1,MATCH(D1275,'Residual Config'!$B$27:$D$27,0)),INDEX('Residual Config'!$B$28:$D$30,IF(T1275=1,1,IF(T1275=4,3,2)),MATCH(D1275,'Residual Config'!$B$27:$D$27,0)))))</f>
        <v>46563</v>
      </c>
      <c r="Z1275" s="7" t="str">
        <f aca="false">IF(I1275="N/A","N/A",IF(N1275="","Not tested",IF(W1275="Rejected","Evidence rejected",IF(W1275&lt;&gt;"Accepted","Evidence pending",IF(Y1275&lt;'Residual Config'!$C$4,"Overdue","Current")))))</f>
        <v>Current</v>
      </c>
      <c r="AA1275" s="34" t="n">
        <f aca="false">IF(I1275="N/A","",IF(Z1275&lt;&gt;"Current",4,IF(MAX(M1275,T1275)=0,4,MAX(M1275,T1275))))</f>
        <v>2</v>
      </c>
      <c r="AB1275" s="7" t="str">
        <f aca="false">IF(AA1275="","N/A",IF(Z1275&lt;&gt;"Current","Not tested / overdue",INDEX('Residual Config'!$B$11:$B$14,AA1275)))</f>
        <v>Largely effective</v>
      </c>
      <c r="AC1275" s="36" t="n">
        <f aca="false">IF(AA1275="","",INDEX('Residual Config'!$D$11:$D$14,AA1275))</f>
        <v>0.4</v>
      </c>
      <c r="AD1275" s="7" t="str">
        <f aca="false">IF(OR(I1275="N/A",P1275="",Q1275=""),"",IF(P1275&gt;=Q1275,"Yes","No"))</f>
        <v>Yes</v>
      </c>
      <c r="AE1275" s="8"/>
    </row>
    <row r="1276" customFormat="false" ht="15" hidden="false" customHeight="false" outlineLevel="0" collapsed="false">
      <c r="A1276" s="12" t="s">
        <v>3921</v>
      </c>
      <c r="B1276" s="26" t="str">
        <f aca="false">Entities!$A$34</f>
        <v>US</v>
      </c>
      <c r="C1276" s="12" t="str">
        <f aca="false">INDEX(Entities!$B$5:$B$34,MATCH(B1276,Entities!$A$5:$A$34,0))</f>
        <v>Arab Bank – United States (if retained)</v>
      </c>
      <c r="D1276" s="7" t="str">
        <f aca="false">INDEX(Entities!$F$5:$F$34,MATCH(B1276,Entities!$A$5:$A$34,0))</f>
        <v>Tier 3</v>
      </c>
      <c r="E1276" s="26" t="str">
        <f aca="false">'Control Library'!$A$29</f>
        <v>CTL-REG-01</v>
      </c>
      <c r="F1276" s="12" t="str">
        <f aca="false">INDEX('Control Library'!$B$5:$B$47,MATCH(E1276,'Control Library'!$A$5:$A$47,0))</f>
        <v>Regulatory change management and obligations register</v>
      </c>
      <c r="G1276" s="7" t="str">
        <f aca="false">INDEX('Control Library'!$F$5:$F$47,MATCH(E1276,'Control Library'!$A$5:$A$47,0))</f>
        <v>Y</v>
      </c>
      <c r="H1276" s="12" t="str">
        <f aca="false">INDEX('Control Library'!$E$5:$E$47,MATCH(E1276,'Control Library'!$A$5:$A$47,0))</f>
        <v>Monthly</v>
      </c>
      <c r="I1276" s="7" t="str">
        <f aca="false">IF(INDEX('Control Library'!$I$5:$I$47,MATCH(E1276,'Control Library'!$A$5:$A$47,0))="All","Y",IF(INDEX('Control Library'!$I$5:$I$47,MATCH(E1276,'Control Library'!$A$5:$A$47,0))="Banks only",IF(COUNTIF('Residual Config'!$L$28:$L$30,INDEX(Entities!$E$5:$E$34,MATCH(B1276,Entities!$A$5:$A$34,0)))&gt;0,"N/A","Y"),IF(INDEX(Entities!$G$5:$G$34,MATCH(B1276,Entities!$A$5:$A$34,0))="Y","Y","N/A")))</f>
        <v>Y</v>
      </c>
      <c r="J1276" s="8" t="s">
        <v>3864</v>
      </c>
      <c r="K1276" s="8" t="s">
        <v>3861</v>
      </c>
      <c r="L1276" s="7" t="str">
        <f aca="false">IF(OR(J1276="",K1276=""),"",IF(J1276=K1276,"Breach","OK"))</f>
        <v>OK</v>
      </c>
      <c r="M1276" s="24" t="n">
        <v>2</v>
      </c>
      <c r="N1276" s="50" t="n">
        <v>46250</v>
      </c>
      <c r="O1276" s="8" t="s">
        <v>545</v>
      </c>
      <c r="P1276" s="24" t="n">
        <v>3</v>
      </c>
      <c r="Q1276" s="31" t="n">
        <f aca="false">IF(I1276="N/A","",IFERROR(INDEX('Residual Config'!$B$35:$B$42,MATCH(H1276,'Residual Config'!$A$35:$A$42,0)),""))</f>
        <v>3</v>
      </c>
      <c r="R1276" s="24" t="n">
        <v>0</v>
      </c>
      <c r="S1276" s="8" t="s">
        <v>516</v>
      </c>
      <c r="T1276" s="31" t="n">
        <f aca="false">IF(S1276="","",MATCH(S1276,'Residual Config'!$L$9:$L$12,0))</f>
        <v>1</v>
      </c>
      <c r="U1276" s="8" t="s">
        <v>3922</v>
      </c>
      <c r="V1276" s="24" t="n">
        <v>6</v>
      </c>
      <c r="W1276" s="33" t="s">
        <v>533</v>
      </c>
      <c r="X1276" s="8" t="s">
        <v>754</v>
      </c>
      <c r="Y1276" s="51" t="n">
        <f aca="false">IF(N1276="","",EDATE(N1276,IF(G1276="N",INDEX('Residual Config'!$B$31:$D$31,1,MATCH(D1276,'Residual Config'!$B$27:$D$27,0)),INDEX('Residual Config'!$B$28:$D$30,IF(T1276=1,1,IF(T1276=4,3,2)),MATCH(D1276,'Residual Config'!$B$27:$D$27,0)))))</f>
        <v>46615</v>
      </c>
      <c r="Z1276" s="7" t="str">
        <f aca="false">IF(I1276="N/A","N/A",IF(N1276="","Not tested",IF(W1276="Rejected","Evidence rejected",IF(W1276&lt;&gt;"Accepted","Evidence pending",IF(Y1276&lt;'Residual Config'!$C$4,"Overdue","Current")))))</f>
        <v>Current</v>
      </c>
      <c r="AA1276" s="34" t="n">
        <f aca="false">IF(I1276="N/A","",IF(Z1276&lt;&gt;"Current",4,IF(MAX(M1276,T1276)=0,4,MAX(M1276,T1276))))</f>
        <v>2</v>
      </c>
      <c r="AB1276" s="7" t="str">
        <f aca="false">IF(AA1276="","N/A",IF(Z1276&lt;&gt;"Current","Not tested / overdue",INDEX('Residual Config'!$B$11:$B$14,AA1276)))</f>
        <v>Largely effective</v>
      </c>
      <c r="AC1276" s="36" t="n">
        <f aca="false">IF(AA1276="","",INDEX('Residual Config'!$D$11:$D$14,AA1276))</f>
        <v>0.4</v>
      </c>
      <c r="AD1276" s="7" t="str">
        <f aca="false">IF(OR(I1276="N/A",P1276="",Q1276=""),"",IF(P1276&gt;=Q1276,"Yes","No"))</f>
        <v>Yes</v>
      </c>
      <c r="AE1276" s="8"/>
    </row>
    <row r="1277" customFormat="false" ht="15" hidden="false" customHeight="false" outlineLevel="0" collapsed="false">
      <c r="A1277" s="12" t="s">
        <v>3923</v>
      </c>
      <c r="B1277" s="26" t="str">
        <f aca="false">Entities!$A$34</f>
        <v>US</v>
      </c>
      <c r="C1277" s="12" t="str">
        <f aca="false">INDEX(Entities!$B$5:$B$34,MATCH(B1277,Entities!$A$5:$A$34,0))</f>
        <v>Arab Bank – United States (if retained)</v>
      </c>
      <c r="D1277" s="7" t="str">
        <f aca="false">INDEX(Entities!$F$5:$F$34,MATCH(B1277,Entities!$A$5:$A$34,0))</f>
        <v>Tier 3</v>
      </c>
      <c r="E1277" s="26" t="str">
        <f aca="false">'Control Library'!$A$30</f>
        <v>CTL-REG-02</v>
      </c>
      <c r="F1277" s="12" t="str">
        <f aca="false">INDEX('Control Library'!$B$5:$B$47,MATCH(E1277,'Control Library'!$A$5:$A$47,0))</f>
        <v>Regulatory return review and senior sign-off</v>
      </c>
      <c r="G1277" s="7" t="str">
        <f aca="false">INDEX('Control Library'!$F$5:$F$47,MATCH(E1277,'Control Library'!$A$5:$A$47,0))</f>
        <v>Y</v>
      </c>
      <c r="H1277" s="12" t="str">
        <f aca="false">INDEX('Control Library'!$E$5:$E$47,MATCH(E1277,'Control Library'!$A$5:$A$47,0))</f>
        <v>Monthly</v>
      </c>
      <c r="I1277" s="7" t="str">
        <f aca="false">IF(INDEX('Control Library'!$I$5:$I$47,MATCH(E1277,'Control Library'!$A$5:$A$47,0))="All","Y",IF(INDEX('Control Library'!$I$5:$I$47,MATCH(E1277,'Control Library'!$A$5:$A$47,0))="Banks only",IF(COUNTIF('Residual Config'!$L$28:$L$30,INDEX(Entities!$E$5:$E$34,MATCH(B1277,Entities!$A$5:$A$34,0)))&gt;0,"N/A","Y"),IF(INDEX(Entities!$G$5:$G$34,MATCH(B1277,Entities!$A$5:$A$34,0))="Y","Y","N/A")))</f>
        <v>Y</v>
      </c>
      <c r="J1277" s="8" t="s">
        <v>3917</v>
      </c>
      <c r="K1277" s="8" t="s">
        <v>3861</v>
      </c>
      <c r="L1277" s="7" t="str">
        <f aca="false">IF(OR(J1277="",K1277=""),"",IF(J1277=K1277,"Breach","OK"))</f>
        <v>OK</v>
      </c>
      <c r="M1277" s="24" t="n">
        <v>1</v>
      </c>
      <c r="N1277" s="50" t="n">
        <v>46174</v>
      </c>
      <c r="O1277" s="8" t="s">
        <v>545</v>
      </c>
      <c r="P1277" s="24" t="n">
        <v>3</v>
      </c>
      <c r="Q1277" s="31" t="n">
        <f aca="false">IF(I1277="N/A","",IFERROR(INDEX('Residual Config'!$B$35:$B$42,MATCH(H1277,'Residual Config'!$A$35:$A$42,0)),""))</f>
        <v>3</v>
      </c>
      <c r="R1277" s="24" t="n">
        <v>0</v>
      </c>
      <c r="S1277" s="8" t="s">
        <v>516</v>
      </c>
      <c r="T1277" s="31" t="n">
        <f aca="false">IF(S1277="","",MATCH(S1277,'Residual Config'!$L$9:$L$12,0))</f>
        <v>1</v>
      </c>
      <c r="U1277" s="8" t="s">
        <v>3924</v>
      </c>
      <c r="V1277" s="24" t="n">
        <v>3</v>
      </c>
      <c r="W1277" s="33" t="s">
        <v>533</v>
      </c>
      <c r="X1277" s="8" t="s">
        <v>754</v>
      </c>
      <c r="Y1277" s="51" t="n">
        <f aca="false">IF(N1277="","",EDATE(N1277,IF(G1277="N",INDEX('Residual Config'!$B$31:$D$31,1,MATCH(D1277,'Residual Config'!$B$27:$D$27,0)),INDEX('Residual Config'!$B$28:$D$30,IF(T1277=1,1,IF(T1277=4,3,2)),MATCH(D1277,'Residual Config'!$B$27:$D$27,0)))))</f>
        <v>46539</v>
      </c>
      <c r="Z1277" s="7" t="str">
        <f aca="false">IF(I1277="N/A","N/A",IF(N1277="","Not tested",IF(W1277="Rejected","Evidence rejected",IF(W1277&lt;&gt;"Accepted","Evidence pending",IF(Y1277&lt;'Residual Config'!$C$4,"Overdue","Current")))))</f>
        <v>Current</v>
      </c>
      <c r="AA1277" s="34" t="n">
        <f aca="false">IF(I1277="N/A","",IF(Z1277&lt;&gt;"Current",4,IF(MAX(M1277,T1277)=0,4,MAX(M1277,T1277))))</f>
        <v>1</v>
      </c>
      <c r="AB1277" s="7" t="str">
        <f aca="false">IF(AA1277="","N/A",IF(Z1277&lt;&gt;"Current","Not tested / overdue",INDEX('Residual Config'!$B$11:$B$14,AA1277)))</f>
        <v>Effective</v>
      </c>
      <c r="AC1277" s="36" t="n">
        <f aca="false">IF(AA1277="","",INDEX('Residual Config'!$D$11:$D$14,AA1277))</f>
        <v>0.6</v>
      </c>
      <c r="AD1277" s="7" t="str">
        <f aca="false">IF(OR(I1277="N/A",P1277="",Q1277=""),"",IF(P1277&gt;=Q1277,"Yes","No"))</f>
        <v>Yes</v>
      </c>
      <c r="AE1277" s="8"/>
    </row>
    <row r="1278" customFormat="false" ht="15" hidden="false" customHeight="false" outlineLevel="0" collapsed="false">
      <c r="A1278" s="12" t="s">
        <v>3925</v>
      </c>
      <c r="B1278" s="26" t="str">
        <f aca="false">Entities!$A$34</f>
        <v>US</v>
      </c>
      <c r="C1278" s="12" t="str">
        <f aca="false">INDEX(Entities!$B$5:$B$34,MATCH(B1278,Entities!$A$5:$A$34,0))</f>
        <v>Arab Bank – United States (if retained)</v>
      </c>
      <c r="D1278" s="7" t="str">
        <f aca="false">INDEX(Entities!$F$5:$F$34,MATCH(B1278,Entities!$A$5:$A$34,0))</f>
        <v>Tier 3</v>
      </c>
      <c r="E1278" s="26" t="str">
        <f aca="false">'Control Library'!$A$31</f>
        <v>CTL-CON-01</v>
      </c>
      <c r="F1278" s="12" t="str">
        <f aca="false">INDEX('Control Library'!$B$5:$B$47,MATCH(E1278,'Control Library'!$A$5:$A$47,0))</f>
        <v>New product approval and suitability assessment</v>
      </c>
      <c r="G1278" s="7" t="str">
        <f aca="false">INDEX('Control Library'!$F$5:$F$47,MATCH(E1278,'Control Library'!$A$5:$A$47,0))</f>
        <v>Y</v>
      </c>
      <c r="H1278" s="12" t="str">
        <f aca="false">INDEX('Control Library'!$E$5:$E$47,MATCH(E1278,'Control Library'!$A$5:$A$47,0))</f>
        <v>Event-driven</v>
      </c>
      <c r="I1278" s="7" t="str">
        <f aca="false">IF(INDEX('Control Library'!$I$5:$I$47,MATCH(E1278,'Control Library'!$A$5:$A$47,0))="All","Y",IF(INDEX('Control Library'!$I$5:$I$47,MATCH(E1278,'Control Library'!$A$5:$A$47,0))="Banks only",IF(COUNTIF('Residual Config'!$L$28:$L$30,INDEX(Entities!$E$5:$E$34,MATCH(B1278,Entities!$A$5:$A$34,0)))&gt;0,"N/A","Y"),IF(INDEX(Entities!$G$5:$G$34,MATCH(B1278,Entities!$A$5:$A$34,0))="Y","Y","N/A")))</f>
        <v>Y</v>
      </c>
      <c r="J1278" s="8" t="s">
        <v>3864</v>
      </c>
      <c r="K1278" s="8" t="s">
        <v>3861</v>
      </c>
      <c r="L1278" s="7" t="str">
        <f aca="false">IF(OR(J1278="",K1278=""),"",IF(J1278=K1278,"Breach","OK"))</f>
        <v>OK</v>
      </c>
      <c r="M1278" s="24" t="n">
        <v>1</v>
      </c>
      <c r="N1278" s="50" t="n">
        <v>45952</v>
      </c>
      <c r="O1278" s="8" t="s">
        <v>545</v>
      </c>
      <c r="P1278" s="24" t="n">
        <v>35</v>
      </c>
      <c r="Q1278" s="31" t="n">
        <f aca="false">IF(I1278="N/A","",IFERROR(INDEX('Residual Config'!$B$35:$B$42,MATCH(H1278,'Residual Config'!$A$35:$A$42,0)),""))</f>
        <v>25</v>
      </c>
      <c r="R1278" s="24" t="n">
        <v>0</v>
      </c>
      <c r="S1278" s="8" t="s">
        <v>516</v>
      </c>
      <c r="T1278" s="31" t="n">
        <f aca="false">IF(S1278="","",MATCH(S1278,'Residual Config'!$L$9:$L$12,0))</f>
        <v>1</v>
      </c>
      <c r="U1278" s="8" t="s">
        <v>3926</v>
      </c>
      <c r="V1278" s="24" t="n">
        <v>6</v>
      </c>
      <c r="W1278" s="33" t="s">
        <v>533</v>
      </c>
      <c r="X1278" s="8" t="s">
        <v>754</v>
      </c>
      <c r="Y1278" s="51" t="n">
        <f aca="false">IF(N1278="","",EDATE(N1278,IF(G1278="N",INDEX('Residual Config'!$B$31:$D$31,1,MATCH(D1278,'Residual Config'!$B$27:$D$27,0)),INDEX('Residual Config'!$B$28:$D$30,IF(T1278=1,1,IF(T1278=4,3,2)),MATCH(D1278,'Residual Config'!$B$27:$D$27,0)))))</f>
        <v>46317</v>
      </c>
      <c r="Z1278" s="7" t="str">
        <f aca="false">IF(I1278="N/A","N/A",IF(N1278="","Not tested",IF(W1278="Rejected","Evidence rejected",IF(W1278&lt;&gt;"Accepted","Evidence pending",IF(Y1278&lt;'Residual Config'!$C$4,"Overdue","Current")))))</f>
        <v>Current</v>
      </c>
      <c r="AA1278" s="34" t="n">
        <f aca="false">IF(I1278="N/A","",IF(Z1278&lt;&gt;"Current",4,IF(MAX(M1278,T1278)=0,4,MAX(M1278,T1278))))</f>
        <v>1</v>
      </c>
      <c r="AB1278" s="7" t="str">
        <f aca="false">IF(AA1278="","N/A",IF(Z1278&lt;&gt;"Current","Not tested / overdue",INDEX('Residual Config'!$B$11:$B$14,AA1278)))</f>
        <v>Effective</v>
      </c>
      <c r="AC1278" s="36" t="n">
        <f aca="false">IF(AA1278="","",INDEX('Residual Config'!$D$11:$D$14,AA1278))</f>
        <v>0.6</v>
      </c>
      <c r="AD1278" s="7" t="str">
        <f aca="false">IF(OR(I1278="N/A",P1278="",Q1278=""),"",IF(P1278&gt;=Q1278,"Yes","No"))</f>
        <v>Yes</v>
      </c>
      <c r="AE1278" s="8"/>
    </row>
    <row r="1279" customFormat="false" ht="15" hidden="false" customHeight="false" outlineLevel="0" collapsed="false">
      <c r="A1279" s="12" t="s">
        <v>3927</v>
      </c>
      <c r="B1279" s="26" t="str">
        <f aca="false">Entities!$A$34</f>
        <v>US</v>
      </c>
      <c r="C1279" s="12" t="str">
        <f aca="false">INDEX(Entities!$B$5:$B$34,MATCH(B1279,Entities!$A$5:$A$34,0))</f>
        <v>Arab Bank – United States (if retained)</v>
      </c>
      <c r="D1279" s="7" t="str">
        <f aca="false">INDEX(Entities!$F$5:$F$34,MATCH(B1279,Entities!$A$5:$A$34,0))</f>
        <v>Tier 3</v>
      </c>
      <c r="E1279" s="26" t="str">
        <f aca="false">'Control Library'!$A$32</f>
        <v>CTL-CON-02</v>
      </c>
      <c r="F1279" s="12" t="str">
        <f aca="false">INDEX('Control Library'!$B$5:$B$47,MATCH(E1279,'Control Library'!$A$5:$A$47,0))</f>
        <v>Complaints handling and root-cause analysis</v>
      </c>
      <c r="G1279" s="7" t="str">
        <f aca="false">INDEX('Control Library'!$F$5:$F$47,MATCH(E1279,'Control Library'!$A$5:$A$47,0))</f>
        <v>N</v>
      </c>
      <c r="H1279" s="12" t="str">
        <f aca="false">INDEX('Control Library'!$E$5:$E$47,MATCH(E1279,'Control Library'!$A$5:$A$47,0))</f>
        <v>Monthly</v>
      </c>
      <c r="I1279" s="7" t="str">
        <f aca="false">IF(INDEX('Control Library'!$I$5:$I$47,MATCH(E1279,'Control Library'!$A$5:$A$47,0))="All","Y",IF(INDEX('Control Library'!$I$5:$I$47,MATCH(E1279,'Control Library'!$A$5:$A$47,0))="Banks only",IF(COUNTIF('Residual Config'!$L$28:$L$30,INDEX(Entities!$E$5:$E$34,MATCH(B1279,Entities!$A$5:$A$34,0)))&gt;0,"N/A","Y"),IF(INDEX(Entities!$G$5:$G$34,MATCH(B1279,Entities!$A$5:$A$34,0))="Y","Y","N/A")))</f>
        <v>Y</v>
      </c>
      <c r="J1279" s="8" t="s">
        <v>3928</v>
      </c>
      <c r="K1279" s="8" t="s">
        <v>3861</v>
      </c>
      <c r="L1279" s="7" t="str">
        <f aca="false">IF(OR(J1279="",K1279=""),"",IF(J1279=K1279,"Breach","OK"))</f>
        <v>OK</v>
      </c>
      <c r="M1279" s="24" t="n">
        <v>1</v>
      </c>
      <c r="N1279" s="50" t="n">
        <v>45678</v>
      </c>
      <c r="O1279" s="8" t="s">
        <v>546</v>
      </c>
      <c r="P1279" s="24" t="n">
        <v>3</v>
      </c>
      <c r="Q1279" s="31" t="n">
        <f aca="false">IF(I1279="N/A","",IFERROR(INDEX('Residual Config'!$B$35:$B$42,MATCH(H1279,'Residual Config'!$A$35:$A$42,0)),""))</f>
        <v>3</v>
      </c>
      <c r="R1279" s="24" t="n">
        <v>0</v>
      </c>
      <c r="S1279" s="8" t="s">
        <v>516</v>
      </c>
      <c r="T1279" s="31" t="n">
        <f aca="false">IF(S1279="","",MATCH(S1279,'Residual Config'!$L$9:$L$12,0))</f>
        <v>1</v>
      </c>
      <c r="U1279" s="8" t="s">
        <v>3929</v>
      </c>
      <c r="V1279" s="24" t="n">
        <v>3</v>
      </c>
      <c r="W1279" s="33" t="s">
        <v>536</v>
      </c>
      <c r="X1279" s="8"/>
      <c r="Y1279" s="51" t="n">
        <f aca="false">IF(N1279="","",EDATE(N1279,IF(G1279="N",INDEX('Residual Config'!$B$31:$D$31,1,MATCH(D1279,'Residual Config'!$B$27:$D$27,0)),INDEX('Residual Config'!$B$28:$D$30,IF(T1279=1,1,IF(T1279=4,3,2)),MATCH(D1279,'Residual Config'!$B$27:$D$27,0)))))</f>
        <v>46408</v>
      </c>
      <c r="Z1279" s="7" t="str">
        <f aca="false">IF(I1279="N/A","N/A",IF(N1279="","Not tested",IF(W1279="Rejected","Evidence rejected",IF(W1279&lt;&gt;"Accepted","Evidence pending",IF(Y1279&lt;'Residual Config'!$C$4,"Overdue","Current")))))</f>
        <v>Evidence pending</v>
      </c>
      <c r="AA1279" s="34" t="n">
        <f aca="false">IF(I1279="N/A","",IF(Z1279&lt;&gt;"Current",4,IF(MAX(M1279,T1279)=0,4,MAX(M1279,T1279))))</f>
        <v>4</v>
      </c>
      <c r="AB1279" s="7" t="str">
        <f aca="false">IF(AA1279="","N/A",IF(Z1279&lt;&gt;"Current","Not tested / overdue",INDEX('Residual Config'!$B$11:$B$14,AA1279)))</f>
        <v>Not tested / overdue</v>
      </c>
      <c r="AC1279" s="36" t="n">
        <f aca="false">IF(AA1279="","",INDEX('Residual Config'!$D$11:$D$14,AA1279))</f>
        <v>0</v>
      </c>
      <c r="AD1279" s="7" t="str">
        <f aca="false">IF(OR(I1279="N/A",P1279="",Q1279=""),"",IF(P1279&gt;=Q1279,"Yes","No"))</f>
        <v>Yes</v>
      </c>
      <c r="AE1279" s="8"/>
    </row>
    <row r="1280" customFormat="false" ht="15" hidden="false" customHeight="false" outlineLevel="0" collapsed="false">
      <c r="A1280" s="12" t="s">
        <v>3930</v>
      </c>
      <c r="B1280" s="26" t="str">
        <f aca="false">Entities!$A$34</f>
        <v>US</v>
      </c>
      <c r="C1280" s="12" t="str">
        <f aca="false">INDEX(Entities!$B$5:$B$34,MATCH(B1280,Entities!$A$5:$A$34,0))</f>
        <v>Arab Bank – United States (if retained)</v>
      </c>
      <c r="D1280" s="7" t="str">
        <f aca="false">INDEX(Entities!$F$5:$F$34,MATCH(B1280,Entities!$A$5:$A$34,0))</f>
        <v>Tier 3</v>
      </c>
      <c r="E1280" s="26" t="str">
        <f aca="false">'Control Library'!$A$33</f>
        <v>CTL-DP-01</v>
      </c>
      <c r="F1280" s="12" t="str">
        <f aca="false">INDEX('Control Library'!$B$5:$B$47,MATCH(E1280,'Control Library'!$A$5:$A$47,0))</f>
        <v>Data protection impact assessments and processing records</v>
      </c>
      <c r="G1280" s="7" t="str">
        <f aca="false">INDEX('Control Library'!$F$5:$F$47,MATCH(E1280,'Control Library'!$A$5:$A$47,0))</f>
        <v>Y</v>
      </c>
      <c r="H1280" s="12" t="str">
        <f aca="false">INDEX('Control Library'!$E$5:$E$47,MATCH(E1280,'Control Library'!$A$5:$A$47,0))</f>
        <v>Event-driven</v>
      </c>
      <c r="I1280" s="7" t="str">
        <f aca="false">IF(INDEX('Control Library'!$I$5:$I$47,MATCH(E1280,'Control Library'!$A$5:$A$47,0))="All","Y",IF(INDEX('Control Library'!$I$5:$I$47,MATCH(E1280,'Control Library'!$A$5:$A$47,0))="Banks only",IF(COUNTIF('Residual Config'!$L$28:$L$30,INDEX(Entities!$E$5:$E$34,MATCH(B1280,Entities!$A$5:$A$34,0)))&gt;0,"N/A","Y"),IF(INDEX(Entities!$G$5:$G$34,MATCH(B1280,Entities!$A$5:$A$34,0))="Y","Y","N/A")))</f>
        <v>Y</v>
      </c>
      <c r="J1280" s="8" t="s">
        <v>3931</v>
      </c>
      <c r="K1280" s="8" t="s">
        <v>3861</v>
      </c>
      <c r="L1280" s="7" t="str">
        <f aca="false">IF(OR(J1280="",K1280=""),"",IF(J1280=K1280,"Breach","OK"))</f>
        <v>OK</v>
      </c>
      <c r="M1280" s="24" t="n">
        <v>2</v>
      </c>
      <c r="N1280" s="50" t="n">
        <v>46142</v>
      </c>
      <c r="O1280" s="8" t="s">
        <v>545</v>
      </c>
      <c r="P1280" s="24" t="n">
        <v>30</v>
      </c>
      <c r="Q1280" s="31" t="n">
        <f aca="false">IF(I1280="N/A","",IFERROR(INDEX('Residual Config'!$B$35:$B$42,MATCH(H1280,'Residual Config'!$A$35:$A$42,0)),""))</f>
        <v>25</v>
      </c>
      <c r="R1280" s="24" t="n">
        <v>1</v>
      </c>
      <c r="S1280" s="8" t="s">
        <v>521</v>
      </c>
      <c r="T1280" s="31" t="n">
        <f aca="false">IF(S1280="","",MATCH(S1280,'Residual Config'!$L$9:$L$12,0))</f>
        <v>2</v>
      </c>
      <c r="U1280" s="8" t="s">
        <v>3932</v>
      </c>
      <c r="V1280" s="24" t="n">
        <v>1</v>
      </c>
      <c r="W1280" s="33" t="s">
        <v>533</v>
      </c>
      <c r="X1280" s="8" t="s">
        <v>754</v>
      </c>
      <c r="Y1280" s="51" t="n">
        <f aca="false">IF(N1280="","",EDATE(N1280,IF(G1280="N",INDEX('Residual Config'!$B$31:$D$31,1,MATCH(D1280,'Residual Config'!$B$27:$D$27,0)),INDEX('Residual Config'!$B$28:$D$30,IF(T1280=1,1,IF(T1280=4,3,2)),MATCH(D1280,'Residual Config'!$B$27:$D$27,0)))))</f>
        <v>46325</v>
      </c>
      <c r="Z1280" s="7" t="str">
        <f aca="false">IF(I1280="N/A","N/A",IF(N1280="","Not tested",IF(W1280="Rejected","Evidence rejected",IF(W1280&lt;&gt;"Accepted","Evidence pending",IF(Y1280&lt;'Residual Config'!$C$4,"Overdue","Current")))))</f>
        <v>Current</v>
      </c>
      <c r="AA1280" s="34" t="n">
        <f aca="false">IF(I1280="N/A","",IF(Z1280&lt;&gt;"Current",4,IF(MAX(M1280,T1280)=0,4,MAX(M1280,T1280))))</f>
        <v>2</v>
      </c>
      <c r="AB1280" s="7" t="str">
        <f aca="false">IF(AA1280="","N/A",IF(Z1280&lt;&gt;"Current","Not tested / overdue",INDEX('Residual Config'!$B$11:$B$14,AA1280)))</f>
        <v>Largely effective</v>
      </c>
      <c r="AC1280" s="36" t="n">
        <f aca="false">IF(AA1280="","",INDEX('Residual Config'!$D$11:$D$14,AA1280))</f>
        <v>0.4</v>
      </c>
      <c r="AD1280" s="7" t="str">
        <f aca="false">IF(OR(I1280="N/A",P1280="",Q1280=""),"",IF(P1280&gt;=Q1280,"Yes","No"))</f>
        <v>Yes</v>
      </c>
      <c r="AE1280" s="8"/>
    </row>
    <row r="1281" customFormat="false" ht="15" hidden="false" customHeight="false" outlineLevel="0" collapsed="false">
      <c r="A1281" s="12" t="s">
        <v>3933</v>
      </c>
      <c r="B1281" s="26" t="str">
        <f aca="false">Entities!$A$34</f>
        <v>US</v>
      </c>
      <c r="C1281" s="12" t="str">
        <f aca="false">INDEX(Entities!$B$5:$B$34,MATCH(B1281,Entities!$A$5:$A$34,0))</f>
        <v>Arab Bank – United States (if retained)</v>
      </c>
      <c r="D1281" s="7" t="str">
        <f aca="false">INDEX(Entities!$F$5:$F$34,MATCH(B1281,Entities!$A$5:$A$34,0))</f>
        <v>Tier 3</v>
      </c>
      <c r="E1281" s="26" t="str">
        <f aca="false">'Control Library'!$A$34</f>
        <v>CTL-DP-02</v>
      </c>
      <c r="F1281" s="12" t="str">
        <f aca="false">INDEX('Control Library'!$B$5:$B$47,MATCH(E1281,'Control Library'!$A$5:$A$47,0))</f>
        <v>Data loss prevention and quarterly access recertification</v>
      </c>
      <c r="G1281" s="7" t="str">
        <f aca="false">INDEX('Control Library'!$F$5:$F$47,MATCH(E1281,'Control Library'!$A$5:$A$47,0))</f>
        <v>Y</v>
      </c>
      <c r="H1281" s="12" t="str">
        <f aca="false">INDEX('Control Library'!$E$5:$E$47,MATCH(E1281,'Control Library'!$A$5:$A$47,0))</f>
        <v>Quarterly</v>
      </c>
      <c r="I1281" s="7" t="str">
        <f aca="false">IF(INDEX('Control Library'!$I$5:$I$47,MATCH(E1281,'Control Library'!$A$5:$A$47,0))="All","Y",IF(INDEX('Control Library'!$I$5:$I$47,MATCH(E1281,'Control Library'!$A$5:$A$47,0))="Banks only",IF(COUNTIF('Residual Config'!$L$28:$L$30,INDEX(Entities!$E$5:$E$34,MATCH(B1281,Entities!$A$5:$A$34,0)))&gt;0,"N/A","Y"),IF(INDEX(Entities!$G$5:$G$34,MATCH(B1281,Entities!$A$5:$A$34,0))="Y","Y","N/A")))</f>
        <v>Y</v>
      </c>
      <c r="J1281" s="8" t="s">
        <v>3934</v>
      </c>
      <c r="K1281" s="8" t="s">
        <v>3861</v>
      </c>
      <c r="L1281" s="7" t="str">
        <f aca="false">IF(OR(J1281="",K1281=""),"",IF(J1281=K1281,"Breach","OK"))</f>
        <v>OK</v>
      </c>
      <c r="M1281" s="24" t="n">
        <v>1</v>
      </c>
      <c r="N1281" s="50" t="n">
        <v>46205</v>
      </c>
      <c r="O1281" s="8" t="s">
        <v>545</v>
      </c>
      <c r="P1281" s="24" t="n">
        <v>2</v>
      </c>
      <c r="Q1281" s="31" t="n">
        <f aca="false">IF(I1281="N/A","",IFERROR(INDEX('Residual Config'!$B$35:$B$42,MATCH(H1281,'Residual Config'!$A$35:$A$42,0)),""))</f>
        <v>2</v>
      </c>
      <c r="R1281" s="24" t="n">
        <v>0</v>
      </c>
      <c r="S1281" s="8" t="s">
        <v>516</v>
      </c>
      <c r="T1281" s="31" t="n">
        <f aca="false">IF(S1281="","",MATCH(S1281,'Residual Config'!$L$9:$L$12,0))</f>
        <v>1</v>
      </c>
      <c r="U1281" s="8" t="s">
        <v>3935</v>
      </c>
      <c r="V1281" s="24" t="n">
        <v>5</v>
      </c>
      <c r="W1281" s="33" t="s">
        <v>533</v>
      </c>
      <c r="X1281" s="8" t="s">
        <v>760</v>
      </c>
      <c r="Y1281" s="51" t="n">
        <f aca="false">IF(N1281="","",EDATE(N1281,IF(G1281="N",INDEX('Residual Config'!$B$31:$D$31,1,MATCH(D1281,'Residual Config'!$B$27:$D$27,0)),INDEX('Residual Config'!$B$28:$D$30,IF(T1281=1,1,IF(T1281=4,3,2)),MATCH(D1281,'Residual Config'!$B$27:$D$27,0)))))</f>
        <v>46570</v>
      </c>
      <c r="Z1281" s="7" t="str">
        <f aca="false">IF(I1281="N/A","N/A",IF(N1281="","Not tested",IF(W1281="Rejected","Evidence rejected",IF(W1281&lt;&gt;"Accepted","Evidence pending",IF(Y1281&lt;'Residual Config'!$C$4,"Overdue","Current")))))</f>
        <v>Current</v>
      </c>
      <c r="AA1281" s="34" t="n">
        <f aca="false">IF(I1281="N/A","",IF(Z1281&lt;&gt;"Current",4,IF(MAX(M1281,T1281)=0,4,MAX(M1281,T1281))))</f>
        <v>1</v>
      </c>
      <c r="AB1281" s="7" t="str">
        <f aca="false">IF(AA1281="","N/A",IF(Z1281&lt;&gt;"Current","Not tested / overdue",INDEX('Residual Config'!$B$11:$B$14,AA1281)))</f>
        <v>Effective</v>
      </c>
      <c r="AC1281" s="36" t="n">
        <f aca="false">IF(AA1281="","",INDEX('Residual Config'!$D$11:$D$14,AA1281))</f>
        <v>0.6</v>
      </c>
      <c r="AD1281" s="7" t="str">
        <f aca="false">IF(OR(I1281="N/A",P1281="",Q1281=""),"",IF(P1281&gt;=Q1281,"Yes","No"))</f>
        <v>Yes</v>
      </c>
      <c r="AE1281" s="8"/>
    </row>
    <row r="1282" customFormat="false" ht="15" hidden="false" customHeight="false" outlineLevel="0" collapsed="false">
      <c r="A1282" s="12" t="s">
        <v>3936</v>
      </c>
      <c r="B1282" s="26" t="str">
        <f aca="false">Entities!$A$34</f>
        <v>US</v>
      </c>
      <c r="C1282" s="12" t="str">
        <f aca="false">INDEX(Entities!$B$5:$B$34,MATCH(B1282,Entities!$A$5:$A$34,0))</f>
        <v>Arab Bank – United States (if retained)</v>
      </c>
      <c r="D1282" s="7" t="str">
        <f aca="false">INDEX(Entities!$F$5:$F$34,MATCH(B1282,Entities!$A$5:$A$34,0))</f>
        <v>Tier 3</v>
      </c>
      <c r="E1282" s="26" t="str">
        <f aca="false">'Control Library'!$A$35</f>
        <v>CTL-SH-01</v>
      </c>
      <c r="F1282" s="12" t="str">
        <f aca="false">INDEX('Control Library'!$B$5:$B$47,MATCH(E1282,'Control Library'!$A$5:$A$47,0))</f>
        <v>Shariah review of products and income purification</v>
      </c>
      <c r="G1282" s="7" t="str">
        <f aca="false">INDEX('Control Library'!$F$5:$F$47,MATCH(E1282,'Control Library'!$A$5:$A$47,0))</f>
        <v>Y</v>
      </c>
      <c r="H1282" s="12" t="str">
        <f aca="false">INDEX('Control Library'!$E$5:$E$47,MATCH(E1282,'Control Library'!$A$5:$A$47,0))</f>
        <v>Quarterly</v>
      </c>
      <c r="I1282" s="7" t="str">
        <f aca="false">IF(INDEX('Control Library'!$I$5:$I$47,MATCH(E1282,'Control Library'!$A$5:$A$47,0))="All","Y",IF(INDEX('Control Library'!$I$5:$I$47,MATCH(E1282,'Control Library'!$A$5:$A$47,0))="Banks only",IF(COUNTIF('Residual Config'!$L$28:$L$30,INDEX(Entities!$E$5:$E$34,MATCH(B1282,Entities!$A$5:$A$34,0)))&gt;0,"N/A","Y"),IF(INDEX(Entities!$G$5:$G$34,MATCH(B1282,Entities!$A$5:$A$34,0))="Y","Y","N/A")))</f>
        <v>N/A</v>
      </c>
      <c r="J1282" s="8"/>
      <c r="K1282" s="8"/>
      <c r="L1282" s="7" t="str">
        <f aca="false">IF(OR(J1282="",K1282=""),"",IF(J1282=K1282,"Breach","OK"))</f>
        <v/>
      </c>
      <c r="M1282" s="24"/>
      <c r="N1282" s="50"/>
      <c r="O1282" s="8"/>
      <c r="P1282" s="24"/>
      <c r="Q1282" s="31" t="str">
        <f aca="false">IF(I1282="N/A","",IFERROR(INDEX('Residual Config'!$B$35:$B$42,MATCH(H1282,'Residual Config'!$A$35:$A$42,0)),""))</f>
        <v/>
      </c>
      <c r="R1282" s="24"/>
      <c r="S1282" s="8"/>
      <c r="T1282" s="31" t="str">
        <f aca="false">IF(S1282="","",MATCH(S1282,'Residual Config'!$L$9:$L$12,0))</f>
        <v/>
      </c>
      <c r="U1282" s="8"/>
      <c r="V1282" s="24"/>
      <c r="W1282" s="33"/>
      <c r="X1282" s="8"/>
      <c r="Y1282" s="51" t="str">
        <f aca="false">IF(N1282="","",EDATE(N1282,IF(G1282="N",INDEX('Residual Config'!$B$31:$D$31,1,MATCH(D1282,'Residual Config'!$B$27:$D$27,0)),INDEX('Residual Config'!$B$28:$D$30,IF(T1282=1,1,IF(T1282=4,3,2)),MATCH(D1282,'Residual Config'!$B$27:$D$27,0)))))</f>
        <v/>
      </c>
      <c r="Z1282" s="7" t="str">
        <f aca="false">IF(I1282="N/A","N/A",IF(N1282="","Not tested",IF(W1282="Rejected","Evidence rejected",IF(W1282&lt;&gt;"Accepted","Evidence pending",IF(Y1282&lt;'Residual Config'!$C$4,"Overdue","Current")))))</f>
        <v>N/A</v>
      </c>
      <c r="AA1282" s="34" t="str">
        <f aca="false">IF(I1282="N/A","",IF(Z1282&lt;&gt;"Current",4,IF(MAX(M1282,T1282)=0,4,MAX(M1282,T1282))))</f>
        <v/>
      </c>
      <c r="AB1282" s="7" t="str">
        <f aca="false">IF(AA1282="","N/A",IF(Z1282&lt;&gt;"Current","Not tested / overdue",INDEX('Residual Config'!$B$11:$B$14,AA1282)))</f>
        <v>N/A</v>
      </c>
      <c r="AC1282" s="36" t="str">
        <f aca="false">IF(AA1282="","",INDEX('Residual Config'!$D$11:$D$14,AA1282))</f>
        <v/>
      </c>
      <c r="AD1282" s="7" t="str">
        <f aca="false">IF(OR(I1282="N/A",P1282="",Q1282=""),"",IF(P1282&gt;=Q1282,"Yes","No"))</f>
        <v/>
      </c>
      <c r="AE1282" s="8"/>
    </row>
    <row r="1283" customFormat="false" ht="15" hidden="false" customHeight="false" outlineLevel="0" collapsed="false">
      <c r="A1283" s="12" t="s">
        <v>3937</v>
      </c>
      <c r="B1283" s="26" t="str">
        <f aca="false">Entities!$A$34</f>
        <v>US</v>
      </c>
      <c r="C1283" s="12" t="str">
        <f aca="false">INDEX(Entities!$B$5:$B$34,MATCH(B1283,Entities!$A$5:$A$34,0))</f>
        <v>Arab Bank – United States (if retained)</v>
      </c>
      <c r="D1283" s="7" t="str">
        <f aca="false">INDEX(Entities!$F$5:$F$34,MATCH(B1283,Entities!$A$5:$A$34,0))</f>
        <v>Tier 3</v>
      </c>
      <c r="E1283" s="26" t="str">
        <f aca="false">'Control Library'!$A$36</f>
        <v>CTL-CR-01</v>
      </c>
      <c r="F1283" s="12" t="str">
        <f aca="false">INDEX('Control Library'!$B$5:$B$47,MATCH(E1283,'Control Library'!$A$5:$A$47,0))</f>
        <v>Credit approval authorities and committee review</v>
      </c>
      <c r="G1283" s="7" t="str">
        <f aca="false">INDEX('Control Library'!$F$5:$F$47,MATCH(E1283,'Control Library'!$A$5:$A$47,0))</f>
        <v>Y</v>
      </c>
      <c r="H1283" s="12" t="str">
        <f aca="false">INDEX('Control Library'!$E$5:$E$47,MATCH(E1283,'Control Library'!$A$5:$A$47,0))</f>
        <v>Event-driven</v>
      </c>
      <c r="I1283" s="7" t="str">
        <f aca="false">IF(INDEX('Control Library'!$I$5:$I$47,MATCH(E1283,'Control Library'!$A$5:$A$47,0))="All","Y",IF(INDEX('Control Library'!$I$5:$I$47,MATCH(E1283,'Control Library'!$A$5:$A$47,0))="Banks only",IF(COUNTIF('Residual Config'!$L$28:$L$30,INDEX(Entities!$E$5:$E$34,MATCH(B1283,Entities!$A$5:$A$34,0)))&gt;0,"N/A","Y"),IF(INDEX(Entities!$G$5:$G$34,MATCH(B1283,Entities!$A$5:$A$34,0))="Y","Y","N/A")))</f>
        <v>Y</v>
      </c>
      <c r="J1283" s="8" t="s">
        <v>3938</v>
      </c>
      <c r="K1283" s="8" t="s">
        <v>3861</v>
      </c>
      <c r="L1283" s="7" t="str">
        <f aca="false">IF(OR(J1283="",K1283=""),"",IF(J1283=K1283,"Breach","OK"))</f>
        <v>OK</v>
      </c>
      <c r="M1283" s="24" t="n">
        <v>1</v>
      </c>
      <c r="N1283" s="50" t="n">
        <v>46086</v>
      </c>
      <c r="O1283" s="8" t="s">
        <v>546</v>
      </c>
      <c r="P1283" s="24" t="n">
        <v>25</v>
      </c>
      <c r="Q1283" s="31" t="n">
        <f aca="false">IF(I1283="N/A","",IFERROR(INDEX('Residual Config'!$B$35:$B$42,MATCH(H1283,'Residual Config'!$A$35:$A$42,0)),""))</f>
        <v>25</v>
      </c>
      <c r="R1283" s="24" t="n">
        <v>0</v>
      </c>
      <c r="S1283" s="8" t="s">
        <v>516</v>
      </c>
      <c r="T1283" s="31" t="n">
        <f aca="false">IF(S1283="","",MATCH(S1283,'Residual Config'!$L$9:$L$12,0))</f>
        <v>1</v>
      </c>
      <c r="U1283" s="8" t="s">
        <v>3939</v>
      </c>
      <c r="V1283" s="24" t="n">
        <v>4</v>
      </c>
      <c r="W1283" s="33" t="s">
        <v>533</v>
      </c>
      <c r="X1283" s="8" t="s">
        <v>760</v>
      </c>
      <c r="Y1283" s="51" t="n">
        <f aca="false">IF(N1283="","",EDATE(N1283,IF(G1283="N",INDEX('Residual Config'!$B$31:$D$31,1,MATCH(D1283,'Residual Config'!$B$27:$D$27,0)),INDEX('Residual Config'!$B$28:$D$30,IF(T1283=1,1,IF(T1283=4,3,2)),MATCH(D1283,'Residual Config'!$B$27:$D$27,0)))))</f>
        <v>46451</v>
      </c>
      <c r="Z1283" s="7" t="str">
        <f aca="false">IF(I1283="N/A","N/A",IF(N1283="","Not tested",IF(W1283="Rejected","Evidence rejected",IF(W1283&lt;&gt;"Accepted","Evidence pending",IF(Y1283&lt;'Residual Config'!$C$4,"Overdue","Current")))))</f>
        <v>Current</v>
      </c>
      <c r="AA1283" s="34" t="n">
        <f aca="false">IF(I1283="N/A","",IF(Z1283&lt;&gt;"Current",4,IF(MAX(M1283,T1283)=0,4,MAX(M1283,T1283))))</f>
        <v>1</v>
      </c>
      <c r="AB1283" s="7" t="str">
        <f aca="false">IF(AA1283="","N/A",IF(Z1283&lt;&gt;"Current","Not tested / overdue",INDEX('Residual Config'!$B$11:$B$14,AA1283)))</f>
        <v>Effective</v>
      </c>
      <c r="AC1283" s="36" t="n">
        <f aca="false">IF(AA1283="","",INDEX('Residual Config'!$D$11:$D$14,AA1283))</f>
        <v>0.6</v>
      </c>
      <c r="AD1283" s="7" t="str">
        <f aca="false">IF(OR(I1283="N/A",P1283="",Q1283=""),"",IF(P1283&gt;=Q1283,"Yes","No"))</f>
        <v>Yes</v>
      </c>
      <c r="AE1283" s="8"/>
    </row>
    <row r="1284" customFormat="false" ht="15" hidden="false" customHeight="false" outlineLevel="0" collapsed="false">
      <c r="A1284" s="12" t="s">
        <v>3940</v>
      </c>
      <c r="B1284" s="26" t="str">
        <f aca="false">Entities!$A$34</f>
        <v>US</v>
      </c>
      <c r="C1284" s="12" t="str">
        <f aca="false">INDEX(Entities!$B$5:$B$34,MATCH(B1284,Entities!$A$5:$A$34,0))</f>
        <v>Arab Bank – United States (if retained)</v>
      </c>
      <c r="D1284" s="7" t="str">
        <f aca="false">INDEX(Entities!$F$5:$F$34,MATCH(B1284,Entities!$A$5:$A$34,0))</f>
        <v>Tier 3</v>
      </c>
      <c r="E1284" s="26" t="str">
        <f aca="false">'Control Library'!$A$37</f>
        <v>CTL-CR-02</v>
      </c>
      <c r="F1284" s="12" t="str">
        <f aca="false">INDEX('Control Library'!$B$5:$B$47,MATCH(E1284,'Control Library'!$A$5:$A$47,0))</f>
        <v>Collateral valuation and exposure limit monitoring</v>
      </c>
      <c r="G1284" s="7" t="str">
        <f aca="false">INDEX('Control Library'!$F$5:$F$47,MATCH(E1284,'Control Library'!$A$5:$A$47,0))</f>
        <v>N</v>
      </c>
      <c r="H1284" s="12" t="str">
        <f aca="false">INDEX('Control Library'!$E$5:$E$47,MATCH(E1284,'Control Library'!$A$5:$A$47,0))</f>
        <v>Monthly</v>
      </c>
      <c r="I1284" s="7" t="str">
        <f aca="false">IF(INDEX('Control Library'!$I$5:$I$47,MATCH(E1284,'Control Library'!$A$5:$A$47,0))="All","Y",IF(INDEX('Control Library'!$I$5:$I$47,MATCH(E1284,'Control Library'!$A$5:$A$47,0))="Banks only",IF(COUNTIF('Residual Config'!$L$28:$L$30,INDEX(Entities!$E$5:$E$34,MATCH(B1284,Entities!$A$5:$A$34,0)))&gt;0,"N/A","Y"),IF(INDEX(Entities!$G$5:$G$34,MATCH(B1284,Entities!$A$5:$A$34,0))="Y","Y","N/A")))</f>
        <v>Y</v>
      </c>
      <c r="J1284" s="8" t="s">
        <v>3941</v>
      </c>
      <c r="K1284" s="8" t="s">
        <v>3861</v>
      </c>
      <c r="L1284" s="7" t="str">
        <f aca="false">IF(OR(J1284="",K1284=""),"",IF(J1284=K1284,"Breach","OK"))</f>
        <v>OK</v>
      </c>
      <c r="M1284" s="24" t="n">
        <v>2</v>
      </c>
      <c r="N1284" s="50" t="n">
        <v>45743</v>
      </c>
      <c r="O1284" s="8" t="s">
        <v>545</v>
      </c>
      <c r="P1284" s="24" t="n">
        <v>3</v>
      </c>
      <c r="Q1284" s="31" t="n">
        <f aca="false">IF(I1284="N/A","",IFERROR(INDEX('Residual Config'!$B$35:$B$42,MATCH(H1284,'Residual Config'!$A$35:$A$42,0)),""))</f>
        <v>3</v>
      </c>
      <c r="R1284" s="24" t="n">
        <v>0</v>
      </c>
      <c r="S1284" s="8" t="s">
        <v>516</v>
      </c>
      <c r="T1284" s="31" t="n">
        <f aca="false">IF(S1284="","",MATCH(S1284,'Residual Config'!$L$9:$L$12,0))</f>
        <v>1</v>
      </c>
      <c r="U1284" s="8" t="s">
        <v>3942</v>
      </c>
      <c r="V1284" s="24" t="n">
        <v>6</v>
      </c>
      <c r="W1284" s="33" t="s">
        <v>533</v>
      </c>
      <c r="X1284" s="8" t="s">
        <v>760</v>
      </c>
      <c r="Y1284" s="51" t="n">
        <f aca="false">IF(N1284="","",EDATE(N1284,IF(G1284="N",INDEX('Residual Config'!$B$31:$D$31,1,MATCH(D1284,'Residual Config'!$B$27:$D$27,0)),INDEX('Residual Config'!$B$28:$D$30,IF(T1284=1,1,IF(T1284=4,3,2)),MATCH(D1284,'Residual Config'!$B$27:$D$27,0)))))</f>
        <v>46473</v>
      </c>
      <c r="Z1284" s="7" t="str">
        <f aca="false">IF(I1284="N/A","N/A",IF(N1284="","Not tested",IF(W1284="Rejected","Evidence rejected",IF(W1284&lt;&gt;"Accepted","Evidence pending",IF(Y1284&lt;'Residual Config'!$C$4,"Overdue","Current")))))</f>
        <v>Current</v>
      </c>
      <c r="AA1284" s="34" t="n">
        <f aca="false">IF(I1284="N/A","",IF(Z1284&lt;&gt;"Current",4,IF(MAX(M1284,T1284)=0,4,MAX(M1284,T1284))))</f>
        <v>2</v>
      </c>
      <c r="AB1284" s="7" t="str">
        <f aca="false">IF(AA1284="","N/A",IF(Z1284&lt;&gt;"Current","Not tested / overdue",INDEX('Residual Config'!$B$11:$B$14,AA1284)))</f>
        <v>Largely effective</v>
      </c>
      <c r="AC1284" s="36" t="n">
        <f aca="false">IF(AA1284="","",INDEX('Residual Config'!$D$11:$D$14,AA1284))</f>
        <v>0.4</v>
      </c>
      <c r="AD1284" s="7" t="str">
        <f aca="false">IF(OR(I1284="N/A",P1284="",Q1284=""),"",IF(P1284&gt;=Q1284,"Yes","No"))</f>
        <v>Yes</v>
      </c>
      <c r="AE1284" s="8"/>
    </row>
    <row r="1285" customFormat="false" ht="15" hidden="false" customHeight="false" outlineLevel="0" collapsed="false">
      <c r="A1285" s="12" t="s">
        <v>3943</v>
      </c>
      <c r="B1285" s="26" t="str">
        <f aca="false">Entities!$A$34</f>
        <v>US</v>
      </c>
      <c r="C1285" s="12" t="str">
        <f aca="false">INDEX(Entities!$B$5:$B$34,MATCH(B1285,Entities!$A$5:$A$34,0))</f>
        <v>Arab Bank – United States (if retained)</v>
      </c>
      <c r="D1285" s="7" t="str">
        <f aca="false">INDEX(Entities!$F$5:$F$34,MATCH(B1285,Entities!$A$5:$A$34,0))</f>
        <v>Tier 3</v>
      </c>
      <c r="E1285" s="26" t="str">
        <f aca="false">'Control Library'!$A$38</f>
        <v>CTL-MR-01</v>
      </c>
      <c r="F1285" s="12" t="str">
        <f aca="false">INDEX('Control Library'!$B$5:$B$47,MATCH(E1285,'Control Library'!$A$5:$A$47,0))</f>
        <v>Market risk limits and daily VaR monitoring</v>
      </c>
      <c r="G1285" s="7" t="str">
        <f aca="false">INDEX('Control Library'!$F$5:$F$47,MATCH(E1285,'Control Library'!$A$5:$A$47,0))</f>
        <v>Y</v>
      </c>
      <c r="H1285" s="12" t="str">
        <f aca="false">INDEX('Control Library'!$E$5:$E$47,MATCH(E1285,'Control Library'!$A$5:$A$47,0))</f>
        <v>Daily</v>
      </c>
      <c r="I1285" s="7" t="str">
        <f aca="false">IF(INDEX('Control Library'!$I$5:$I$47,MATCH(E1285,'Control Library'!$A$5:$A$47,0))="All","Y",IF(INDEX('Control Library'!$I$5:$I$47,MATCH(E1285,'Control Library'!$A$5:$A$47,0))="Banks only",IF(COUNTIF('Residual Config'!$L$28:$L$30,INDEX(Entities!$E$5:$E$34,MATCH(B1285,Entities!$A$5:$A$34,0)))&gt;0,"N/A","Y"),IF(INDEX(Entities!$G$5:$G$34,MATCH(B1285,Entities!$A$5:$A$34,0))="Y","Y","N/A")))</f>
        <v>Y</v>
      </c>
      <c r="J1285" s="8" t="s">
        <v>3941</v>
      </c>
      <c r="K1285" s="8" t="s">
        <v>3861</v>
      </c>
      <c r="L1285" s="7" t="str">
        <f aca="false">IF(OR(J1285="",K1285=""),"",IF(J1285=K1285,"Breach","OK"))</f>
        <v>OK</v>
      </c>
      <c r="M1285" s="24" t="n">
        <v>1</v>
      </c>
      <c r="N1285" s="50" t="n">
        <v>46273</v>
      </c>
      <c r="O1285" s="8" t="s">
        <v>547</v>
      </c>
      <c r="P1285" s="24" t="n">
        <v>35</v>
      </c>
      <c r="Q1285" s="31" t="n">
        <f aca="false">IF(I1285="N/A","",IFERROR(INDEX('Residual Config'!$B$35:$B$42,MATCH(H1285,'Residual Config'!$A$35:$A$42,0)),""))</f>
        <v>25</v>
      </c>
      <c r="R1285" s="24" t="n">
        <v>1</v>
      </c>
      <c r="S1285" s="8" t="s">
        <v>521</v>
      </c>
      <c r="T1285" s="31" t="n">
        <f aca="false">IF(S1285="","",MATCH(S1285,'Residual Config'!$L$9:$L$12,0))</f>
        <v>2</v>
      </c>
      <c r="U1285" s="8" t="s">
        <v>3944</v>
      </c>
      <c r="V1285" s="24" t="n">
        <v>2</v>
      </c>
      <c r="W1285" s="33" t="s">
        <v>533</v>
      </c>
      <c r="X1285" s="8" t="s">
        <v>754</v>
      </c>
      <c r="Y1285" s="51" t="n">
        <f aca="false">IF(N1285="","",EDATE(N1285,IF(G1285="N",INDEX('Residual Config'!$B$31:$D$31,1,MATCH(D1285,'Residual Config'!$B$27:$D$27,0)),INDEX('Residual Config'!$B$28:$D$30,IF(T1285=1,1,IF(T1285=4,3,2)),MATCH(D1285,'Residual Config'!$B$27:$D$27,0)))))</f>
        <v>46454</v>
      </c>
      <c r="Z1285" s="7" t="str">
        <f aca="false">IF(I1285="N/A","N/A",IF(N1285="","Not tested",IF(W1285="Rejected","Evidence rejected",IF(W1285&lt;&gt;"Accepted","Evidence pending",IF(Y1285&lt;'Residual Config'!$C$4,"Overdue","Current")))))</f>
        <v>Current</v>
      </c>
      <c r="AA1285" s="34" t="n">
        <f aca="false">IF(I1285="N/A","",IF(Z1285&lt;&gt;"Current",4,IF(MAX(M1285,T1285)=0,4,MAX(M1285,T1285))))</f>
        <v>2</v>
      </c>
      <c r="AB1285" s="7" t="str">
        <f aca="false">IF(AA1285="","N/A",IF(Z1285&lt;&gt;"Current","Not tested / overdue",INDEX('Residual Config'!$B$11:$B$14,AA1285)))</f>
        <v>Largely effective</v>
      </c>
      <c r="AC1285" s="36" t="n">
        <f aca="false">IF(AA1285="","",INDEX('Residual Config'!$D$11:$D$14,AA1285))</f>
        <v>0.4</v>
      </c>
      <c r="AD1285" s="7" t="str">
        <f aca="false">IF(OR(I1285="N/A",P1285="",Q1285=""),"",IF(P1285&gt;=Q1285,"Yes","No"))</f>
        <v>Yes</v>
      </c>
      <c r="AE1285" s="8"/>
    </row>
    <row r="1286" customFormat="false" ht="15" hidden="false" customHeight="false" outlineLevel="0" collapsed="false">
      <c r="A1286" s="12" t="s">
        <v>3945</v>
      </c>
      <c r="B1286" s="26" t="str">
        <f aca="false">Entities!$A$34</f>
        <v>US</v>
      </c>
      <c r="C1286" s="12" t="str">
        <f aca="false">INDEX(Entities!$B$5:$B$34,MATCH(B1286,Entities!$A$5:$A$34,0))</f>
        <v>Arab Bank – United States (if retained)</v>
      </c>
      <c r="D1286" s="7" t="str">
        <f aca="false">INDEX(Entities!$F$5:$F$34,MATCH(B1286,Entities!$A$5:$A$34,0))</f>
        <v>Tier 3</v>
      </c>
      <c r="E1286" s="26" t="str">
        <f aca="false">'Control Library'!$A$39</f>
        <v>CTL-LQ-01</v>
      </c>
      <c r="F1286" s="12" t="str">
        <f aca="false">INDEX('Control Library'!$B$5:$B$47,MATCH(E1286,'Control Library'!$A$5:$A$47,0))</f>
        <v>Liquidity buffers, LCR/NSFR monitoring and contingency funding plan</v>
      </c>
      <c r="G1286" s="7" t="str">
        <f aca="false">INDEX('Control Library'!$F$5:$F$47,MATCH(E1286,'Control Library'!$A$5:$A$47,0))</f>
        <v>Y</v>
      </c>
      <c r="H1286" s="12" t="str">
        <f aca="false">INDEX('Control Library'!$E$5:$E$47,MATCH(E1286,'Control Library'!$A$5:$A$47,0))</f>
        <v>Daily</v>
      </c>
      <c r="I1286" s="7" t="str">
        <f aca="false">IF(INDEX('Control Library'!$I$5:$I$47,MATCH(E1286,'Control Library'!$A$5:$A$47,0))="All","Y",IF(INDEX('Control Library'!$I$5:$I$47,MATCH(E1286,'Control Library'!$A$5:$A$47,0))="Banks only",IF(COUNTIF('Residual Config'!$L$28:$L$30,INDEX(Entities!$E$5:$E$34,MATCH(B1286,Entities!$A$5:$A$34,0)))&gt;0,"N/A","Y"),IF(INDEX(Entities!$G$5:$G$34,MATCH(B1286,Entities!$A$5:$A$34,0))="Y","Y","N/A")))</f>
        <v>Y</v>
      </c>
      <c r="J1286" s="8" t="s">
        <v>3946</v>
      </c>
      <c r="K1286" s="8" t="s">
        <v>3861</v>
      </c>
      <c r="L1286" s="7" t="str">
        <f aca="false">IF(OR(J1286="",K1286=""),"",IF(J1286=K1286,"Breach","OK"))</f>
        <v>OK</v>
      </c>
      <c r="M1286" s="24" t="n">
        <v>2</v>
      </c>
      <c r="N1286" s="50" t="n">
        <v>46173</v>
      </c>
      <c r="O1286" s="8" t="s">
        <v>545</v>
      </c>
      <c r="P1286" s="24" t="n">
        <v>35</v>
      </c>
      <c r="Q1286" s="31" t="n">
        <f aca="false">IF(I1286="N/A","",IFERROR(INDEX('Residual Config'!$B$35:$B$42,MATCH(H1286,'Residual Config'!$A$35:$A$42,0)),""))</f>
        <v>25</v>
      </c>
      <c r="R1286" s="24" t="n">
        <v>1</v>
      </c>
      <c r="S1286" s="8" t="s">
        <v>521</v>
      </c>
      <c r="T1286" s="31" t="n">
        <f aca="false">IF(S1286="","",MATCH(S1286,'Residual Config'!$L$9:$L$12,0))</f>
        <v>2</v>
      </c>
      <c r="U1286" s="8" t="s">
        <v>3947</v>
      </c>
      <c r="V1286" s="24" t="n">
        <v>4</v>
      </c>
      <c r="W1286" s="33" t="s">
        <v>533</v>
      </c>
      <c r="X1286" s="8" t="s">
        <v>754</v>
      </c>
      <c r="Y1286" s="51" t="n">
        <f aca="false">IF(N1286="","",EDATE(N1286,IF(G1286="N",INDEX('Residual Config'!$B$31:$D$31,1,MATCH(D1286,'Residual Config'!$B$27:$D$27,0)),INDEX('Residual Config'!$B$28:$D$30,IF(T1286=1,1,IF(T1286=4,3,2)),MATCH(D1286,'Residual Config'!$B$27:$D$27,0)))))</f>
        <v>46356</v>
      </c>
      <c r="Z1286" s="7" t="str">
        <f aca="false">IF(I1286="N/A","N/A",IF(N1286="","Not tested",IF(W1286="Rejected","Evidence rejected",IF(W1286&lt;&gt;"Accepted","Evidence pending",IF(Y1286&lt;'Residual Config'!$C$4,"Overdue","Current")))))</f>
        <v>Current</v>
      </c>
      <c r="AA1286" s="34" t="n">
        <f aca="false">IF(I1286="N/A","",IF(Z1286&lt;&gt;"Current",4,IF(MAX(M1286,T1286)=0,4,MAX(M1286,T1286))))</f>
        <v>2</v>
      </c>
      <c r="AB1286" s="7" t="str">
        <f aca="false">IF(AA1286="","N/A",IF(Z1286&lt;&gt;"Current","Not tested / overdue",INDEX('Residual Config'!$B$11:$B$14,AA1286)))</f>
        <v>Largely effective</v>
      </c>
      <c r="AC1286" s="36" t="n">
        <f aca="false">IF(AA1286="","",INDEX('Residual Config'!$D$11:$D$14,AA1286))</f>
        <v>0.4</v>
      </c>
      <c r="AD1286" s="7" t="str">
        <f aca="false">IF(OR(I1286="N/A",P1286="",Q1286=""),"",IF(P1286&gt;=Q1286,"Yes","No"))</f>
        <v>Yes</v>
      </c>
      <c r="AE1286" s="8"/>
    </row>
    <row r="1287" customFormat="false" ht="15" hidden="false" customHeight="false" outlineLevel="0" collapsed="false">
      <c r="A1287" s="12" t="s">
        <v>3948</v>
      </c>
      <c r="B1287" s="26" t="str">
        <f aca="false">Entities!$A$34</f>
        <v>US</v>
      </c>
      <c r="C1287" s="12" t="str">
        <f aca="false">INDEX(Entities!$B$5:$B$34,MATCH(B1287,Entities!$A$5:$A$34,0))</f>
        <v>Arab Bank – United States (if retained)</v>
      </c>
      <c r="D1287" s="7" t="str">
        <f aca="false">INDEX(Entities!$F$5:$F$34,MATCH(B1287,Entities!$A$5:$A$34,0))</f>
        <v>Tier 3</v>
      </c>
      <c r="E1287" s="26" t="str">
        <f aca="false">'Control Library'!$A$40</f>
        <v>CTL-OR-01</v>
      </c>
      <c r="F1287" s="12" t="str">
        <f aca="false">INDEX('Control Library'!$B$5:$B$47,MATCH(E1287,'Control Library'!$A$5:$A$47,0))</f>
        <v>Business continuity plans and annual testing</v>
      </c>
      <c r="G1287" s="7" t="str">
        <f aca="false">INDEX('Control Library'!$F$5:$F$47,MATCH(E1287,'Control Library'!$A$5:$A$47,0))</f>
        <v>Y</v>
      </c>
      <c r="H1287" s="12" t="str">
        <f aca="false">INDEX('Control Library'!$E$5:$E$47,MATCH(E1287,'Control Library'!$A$5:$A$47,0))</f>
        <v>Annual</v>
      </c>
      <c r="I1287" s="7" t="str">
        <f aca="false">IF(INDEX('Control Library'!$I$5:$I$47,MATCH(E1287,'Control Library'!$A$5:$A$47,0))="All","Y",IF(INDEX('Control Library'!$I$5:$I$47,MATCH(E1287,'Control Library'!$A$5:$A$47,0))="Banks only",IF(COUNTIF('Residual Config'!$L$28:$L$30,INDEX(Entities!$E$5:$E$34,MATCH(B1287,Entities!$A$5:$A$34,0)))&gt;0,"N/A","Y"),IF(INDEX(Entities!$G$5:$G$34,MATCH(B1287,Entities!$A$5:$A$34,0))="Y","Y","N/A")))</f>
        <v>Y</v>
      </c>
      <c r="J1287" s="8" t="s">
        <v>3949</v>
      </c>
      <c r="K1287" s="8" t="s">
        <v>3861</v>
      </c>
      <c r="L1287" s="7" t="str">
        <f aca="false">IF(OR(J1287="",K1287=""),"",IF(J1287=K1287,"Breach","OK"))</f>
        <v>OK</v>
      </c>
      <c r="M1287" s="24" t="n">
        <v>2</v>
      </c>
      <c r="N1287" s="50" t="n">
        <v>45982</v>
      </c>
      <c r="O1287" s="8" t="s">
        <v>545</v>
      </c>
      <c r="P1287" s="24" t="n">
        <v>1</v>
      </c>
      <c r="Q1287" s="31" t="n">
        <f aca="false">IF(I1287="N/A","",IFERROR(INDEX('Residual Config'!$B$35:$B$42,MATCH(H1287,'Residual Config'!$A$35:$A$42,0)),""))</f>
        <v>1</v>
      </c>
      <c r="R1287" s="24" t="n">
        <v>0</v>
      </c>
      <c r="S1287" s="8" t="s">
        <v>516</v>
      </c>
      <c r="T1287" s="31" t="n">
        <f aca="false">IF(S1287="","",MATCH(S1287,'Residual Config'!$L$9:$L$12,0))</f>
        <v>1</v>
      </c>
      <c r="U1287" s="8" t="s">
        <v>3950</v>
      </c>
      <c r="V1287" s="24" t="n">
        <v>5</v>
      </c>
      <c r="W1287" s="33" t="s">
        <v>533</v>
      </c>
      <c r="X1287" s="8" t="s">
        <v>760</v>
      </c>
      <c r="Y1287" s="51" t="n">
        <f aca="false">IF(N1287="","",EDATE(N1287,IF(G1287="N",INDEX('Residual Config'!$B$31:$D$31,1,MATCH(D1287,'Residual Config'!$B$27:$D$27,0)),INDEX('Residual Config'!$B$28:$D$30,IF(T1287=1,1,IF(T1287=4,3,2)),MATCH(D1287,'Residual Config'!$B$27:$D$27,0)))))</f>
        <v>46347</v>
      </c>
      <c r="Z1287" s="7" t="str">
        <f aca="false">IF(I1287="N/A","N/A",IF(N1287="","Not tested",IF(W1287="Rejected","Evidence rejected",IF(W1287&lt;&gt;"Accepted","Evidence pending",IF(Y1287&lt;'Residual Config'!$C$4,"Overdue","Current")))))</f>
        <v>Current</v>
      </c>
      <c r="AA1287" s="34" t="n">
        <f aca="false">IF(I1287="N/A","",IF(Z1287&lt;&gt;"Current",4,IF(MAX(M1287,T1287)=0,4,MAX(M1287,T1287))))</f>
        <v>2</v>
      </c>
      <c r="AB1287" s="7" t="str">
        <f aca="false">IF(AA1287="","N/A",IF(Z1287&lt;&gt;"Current","Not tested / overdue",INDEX('Residual Config'!$B$11:$B$14,AA1287)))</f>
        <v>Largely effective</v>
      </c>
      <c r="AC1287" s="36" t="n">
        <f aca="false">IF(AA1287="","",INDEX('Residual Config'!$D$11:$D$14,AA1287))</f>
        <v>0.4</v>
      </c>
      <c r="AD1287" s="7" t="str">
        <f aca="false">IF(OR(I1287="N/A",P1287="",Q1287=""),"",IF(P1287&gt;=Q1287,"Yes","No"))</f>
        <v>Yes</v>
      </c>
      <c r="AE1287" s="8"/>
    </row>
    <row r="1288" customFormat="false" ht="15" hidden="false" customHeight="false" outlineLevel="0" collapsed="false">
      <c r="A1288" s="12" t="s">
        <v>3951</v>
      </c>
      <c r="B1288" s="26" t="str">
        <f aca="false">Entities!$A$34</f>
        <v>US</v>
      </c>
      <c r="C1288" s="12" t="str">
        <f aca="false">INDEX(Entities!$B$5:$B$34,MATCH(B1288,Entities!$A$5:$A$34,0))</f>
        <v>Arab Bank – United States (if retained)</v>
      </c>
      <c r="D1288" s="7" t="str">
        <f aca="false">INDEX(Entities!$F$5:$F$34,MATCH(B1288,Entities!$A$5:$A$34,0))</f>
        <v>Tier 3</v>
      </c>
      <c r="E1288" s="26" t="str">
        <f aca="false">'Control Library'!$A$41</f>
        <v>CTL-OR-02</v>
      </c>
      <c r="F1288" s="12" t="str">
        <f aca="false">INDEX('Control Library'!$B$5:$B$47,MATCH(E1288,'Control Library'!$A$5:$A$47,0))</f>
        <v>Operational loss event capture and RCSA</v>
      </c>
      <c r="G1288" s="7" t="str">
        <f aca="false">INDEX('Control Library'!$F$5:$F$47,MATCH(E1288,'Control Library'!$A$5:$A$47,0))</f>
        <v>N</v>
      </c>
      <c r="H1288" s="12" t="str">
        <f aca="false">INDEX('Control Library'!$E$5:$E$47,MATCH(E1288,'Control Library'!$A$5:$A$47,0))</f>
        <v>Quarterly</v>
      </c>
      <c r="I1288" s="7" t="str">
        <f aca="false">IF(INDEX('Control Library'!$I$5:$I$47,MATCH(E1288,'Control Library'!$A$5:$A$47,0))="All","Y",IF(INDEX('Control Library'!$I$5:$I$47,MATCH(E1288,'Control Library'!$A$5:$A$47,0))="Banks only",IF(COUNTIF('Residual Config'!$L$28:$L$30,INDEX(Entities!$E$5:$E$34,MATCH(B1288,Entities!$A$5:$A$34,0)))&gt;0,"N/A","Y"),IF(INDEX(Entities!$G$5:$G$34,MATCH(B1288,Entities!$A$5:$A$34,0))="Y","Y","N/A")))</f>
        <v>Y</v>
      </c>
      <c r="J1288" s="8" t="s">
        <v>3941</v>
      </c>
      <c r="K1288" s="8" t="s">
        <v>3861</v>
      </c>
      <c r="L1288" s="7" t="str">
        <f aca="false">IF(OR(J1288="",K1288=""),"",IF(J1288=K1288,"Breach","OK"))</f>
        <v>OK</v>
      </c>
      <c r="M1288" s="24" t="n">
        <v>1</v>
      </c>
      <c r="N1288" s="50" t="n">
        <v>45751</v>
      </c>
      <c r="O1288" s="8" t="s">
        <v>546</v>
      </c>
      <c r="P1288" s="24" t="n">
        <v>2</v>
      </c>
      <c r="Q1288" s="31" t="n">
        <f aca="false">IF(I1288="N/A","",IFERROR(INDEX('Residual Config'!$B$35:$B$42,MATCH(H1288,'Residual Config'!$A$35:$A$42,0)),""))</f>
        <v>2</v>
      </c>
      <c r="R1288" s="24" t="n">
        <v>0</v>
      </c>
      <c r="S1288" s="8" t="s">
        <v>516</v>
      </c>
      <c r="T1288" s="31" t="n">
        <f aca="false">IF(S1288="","",MATCH(S1288,'Residual Config'!$L$9:$L$12,0))</f>
        <v>1</v>
      </c>
      <c r="U1288" s="8" t="s">
        <v>3952</v>
      </c>
      <c r="V1288" s="24" t="n">
        <v>3</v>
      </c>
      <c r="W1288" s="33" t="s">
        <v>533</v>
      </c>
      <c r="X1288" s="8" t="s">
        <v>760</v>
      </c>
      <c r="Y1288" s="51" t="n">
        <f aca="false">IF(N1288="","",EDATE(N1288,IF(G1288="N",INDEX('Residual Config'!$B$31:$D$31,1,MATCH(D1288,'Residual Config'!$B$27:$D$27,0)),INDEX('Residual Config'!$B$28:$D$30,IF(T1288=1,1,IF(T1288=4,3,2)),MATCH(D1288,'Residual Config'!$B$27:$D$27,0)))))</f>
        <v>46481</v>
      </c>
      <c r="Z1288" s="7" t="str">
        <f aca="false">IF(I1288="N/A","N/A",IF(N1288="","Not tested",IF(W1288="Rejected","Evidence rejected",IF(W1288&lt;&gt;"Accepted","Evidence pending",IF(Y1288&lt;'Residual Config'!$C$4,"Overdue","Current")))))</f>
        <v>Current</v>
      </c>
      <c r="AA1288" s="34" t="n">
        <f aca="false">IF(I1288="N/A","",IF(Z1288&lt;&gt;"Current",4,IF(MAX(M1288,T1288)=0,4,MAX(M1288,T1288))))</f>
        <v>1</v>
      </c>
      <c r="AB1288" s="7" t="str">
        <f aca="false">IF(AA1288="","N/A",IF(Z1288&lt;&gt;"Current","Not tested / overdue",INDEX('Residual Config'!$B$11:$B$14,AA1288)))</f>
        <v>Effective</v>
      </c>
      <c r="AC1288" s="36" t="n">
        <f aca="false">IF(AA1288="","",INDEX('Residual Config'!$D$11:$D$14,AA1288))</f>
        <v>0.6</v>
      </c>
      <c r="AD1288" s="7" t="str">
        <f aca="false">IF(OR(I1288="N/A",P1288="",Q1288=""),"",IF(P1288&gt;=Q1288,"Yes","No"))</f>
        <v>Yes</v>
      </c>
      <c r="AE1288" s="8"/>
    </row>
    <row r="1289" customFormat="false" ht="15" hidden="false" customHeight="false" outlineLevel="0" collapsed="false">
      <c r="A1289" s="12" t="s">
        <v>3953</v>
      </c>
      <c r="B1289" s="26" t="str">
        <f aca="false">Entities!$A$34</f>
        <v>US</v>
      </c>
      <c r="C1289" s="12" t="str">
        <f aca="false">INDEX(Entities!$B$5:$B$34,MATCH(B1289,Entities!$A$5:$A$34,0))</f>
        <v>Arab Bank – United States (if retained)</v>
      </c>
      <c r="D1289" s="7" t="str">
        <f aca="false">INDEX(Entities!$F$5:$F$34,MATCH(B1289,Entities!$A$5:$A$34,0))</f>
        <v>Tier 3</v>
      </c>
      <c r="E1289" s="26" t="str">
        <f aca="false">'Control Library'!$A$42</f>
        <v>CTL-CY-01</v>
      </c>
      <c r="F1289" s="12" t="str">
        <f aca="false">INDEX('Control Library'!$B$5:$B$47,MATCH(E1289,'Control Library'!$A$5:$A$47,0))</f>
        <v>Vulnerability and patch management</v>
      </c>
      <c r="G1289" s="7" t="str">
        <f aca="false">INDEX('Control Library'!$F$5:$F$47,MATCH(E1289,'Control Library'!$A$5:$A$47,0))</f>
        <v>Y</v>
      </c>
      <c r="H1289" s="12" t="str">
        <f aca="false">INDEX('Control Library'!$E$5:$E$47,MATCH(E1289,'Control Library'!$A$5:$A$47,0))</f>
        <v>Monthly</v>
      </c>
      <c r="I1289" s="7" t="str">
        <f aca="false">IF(INDEX('Control Library'!$I$5:$I$47,MATCH(E1289,'Control Library'!$A$5:$A$47,0))="All","Y",IF(INDEX('Control Library'!$I$5:$I$47,MATCH(E1289,'Control Library'!$A$5:$A$47,0))="Banks only",IF(COUNTIF('Residual Config'!$L$28:$L$30,INDEX(Entities!$E$5:$E$34,MATCH(B1289,Entities!$A$5:$A$34,0)))&gt;0,"N/A","Y"),IF(INDEX(Entities!$G$5:$G$34,MATCH(B1289,Entities!$A$5:$A$34,0))="Y","Y","N/A")))</f>
        <v>Y</v>
      </c>
      <c r="J1289" s="8" t="s">
        <v>3885</v>
      </c>
      <c r="K1289" s="8" t="s">
        <v>3861</v>
      </c>
      <c r="L1289" s="7" t="str">
        <f aca="false">IF(OR(J1289="",K1289=""),"",IF(J1289=K1289,"Breach","OK"))</f>
        <v>OK</v>
      </c>
      <c r="M1289" s="24" t="n">
        <v>1</v>
      </c>
      <c r="N1289" s="50" t="n">
        <v>46108</v>
      </c>
      <c r="O1289" s="8" t="s">
        <v>546</v>
      </c>
      <c r="P1289" s="24" t="n">
        <v>3</v>
      </c>
      <c r="Q1289" s="31" t="n">
        <f aca="false">IF(I1289="N/A","",IFERROR(INDEX('Residual Config'!$B$35:$B$42,MATCH(H1289,'Residual Config'!$A$35:$A$42,0)),""))</f>
        <v>3</v>
      </c>
      <c r="R1289" s="24" t="n">
        <v>0</v>
      </c>
      <c r="S1289" s="8" t="s">
        <v>516</v>
      </c>
      <c r="T1289" s="31" t="n">
        <f aca="false">IF(S1289="","",MATCH(S1289,'Residual Config'!$L$9:$L$12,0))</f>
        <v>1</v>
      </c>
      <c r="U1289" s="8" t="s">
        <v>3954</v>
      </c>
      <c r="V1289" s="24" t="n">
        <v>3</v>
      </c>
      <c r="W1289" s="33" t="s">
        <v>533</v>
      </c>
      <c r="X1289" s="8" t="s">
        <v>760</v>
      </c>
      <c r="Y1289" s="51" t="n">
        <f aca="false">IF(N1289="","",EDATE(N1289,IF(G1289="N",INDEX('Residual Config'!$B$31:$D$31,1,MATCH(D1289,'Residual Config'!$B$27:$D$27,0)),INDEX('Residual Config'!$B$28:$D$30,IF(T1289=1,1,IF(T1289=4,3,2)),MATCH(D1289,'Residual Config'!$B$27:$D$27,0)))))</f>
        <v>46473</v>
      </c>
      <c r="Z1289" s="7" t="str">
        <f aca="false">IF(I1289="N/A","N/A",IF(N1289="","Not tested",IF(W1289="Rejected","Evidence rejected",IF(W1289&lt;&gt;"Accepted","Evidence pending",IF(Y1289&lt;'Residual Config'!$C$4,"Overdue","Current")))))</f>
        <v>Current</v>
      </c>
      <c r="AA1289" s="34" t="n">
        <f aca="false">IF(I1289="N/A","",IF(Z1289&lt;&gt;"Current",4,IF(MAX(M1289,T1289)=0,4,MAX(M1289,T1289))))</f>
        <v>1</v>
      </c>
      <c r="AB1289" s="7" t="str">
        <f aca="false">IF(AA1289="","N/A",IF(Z1289&lt;&gt;"Current","Not tested / overdue",INDEX('Residual Config'!$B$11:$B$14,AA1289)))</f>
        <v>Effective</v>
      </c>
      <c r="AC1289" s="36" t="n">
        <f aca="false">IF(AA1289="","",INDEX('Residual Config'!$D$11:$D$14,AA1289))</f>
        <v>0.6</v>
      </c>
      <c r="AD1289" s="7" t="str">
        <f aca="false">IF(OR(I1289="N/A",P1289="",Q1289=""),"",IF(P1289&gt;=Q1289,"Yes","No"))</f>
        <v>Yes</v>
      </c>
      <c r="AE1289" s="8"/>
    </row>
    <row r="1290" customFormat="false" ht="15" hidden="false" customHeight="false" outlineLevel="0" collapsed="false">
      <c r="A1290" s="12" t="s">
        <v>3955</v>
      </c>
      <c r="B1290" s="26" t="str">
        <f aca="false">Entities!$A$34</f>
        <v>US</v>
      </c>
      <c r="C1290" s="12" t="str">
        <f aca="false">INDEX(Entities!$B$5:$B$34,MATCH(B1290,Entities!$A$5:$A$34,0))</f>
        <v>Arab Bank – United States (if retained)</v>
      </c>
      <c r="D1290" s="7" t="str">
        <f aca="false">INDEX(Entities!$F$5:$F$34,MATCH(B1290,Entities!$A$5:$A$34,0))</f>
        <v>Tier 3</v>
      </c>
      <c r="E1290" s="26" t="str">
        <f aca="false">'Control Library'!$A$43</f>
        <v>CTL-CY-02</v>
      </c>
      <c r="F1290" s="12" t="str">
        <f aca="false">INDEX('Control Library'!$B$5:$B$47,MATCH(E1290,'Control Library'!$A$5:$A$47,0))</f>
        <v>Privileged access management and SOC monitoring</v>
      </c>
      <c r="G1290" s="7" t="str">
        <f aca="false">INDEX('Control Library'!$F$5:$F$47,MATCH(E1290,'Control Library'!$A$5:$A$47,0))</f>
        <v>Y</v>
      </c>
      <c r="H1290" s="12" t="str">
        <f aca="false">INDEX('Control Library'!$E$5:$E$47,MATCH(E1290,'Control Library'!$A$5:$A$47,0))</f>
        <v>Continuous</v>
      </c>
      <c r="I1290" s="7" t="str">
        <f aca="false">IF(INDEX('Control Library'!$I$5:$I$47,MATCH(E1290,'Control Library'!$A$5:$A$47,0))="All","Y",IF(INDEX('Control Library'!$I$5:$I$47,MATCH(E1290,'Control Library'!$A$5:$A$47,0))="Banks only",IF(COUNTIF('Residual Config'!$L$28:$L$30,INDEX(Entities!$E$5:$E$34,MATCH(B1290,Entities!$A$5:$A$34,0)))&gt;0,"N/A","Y"),IF(INDEX(Entities!$G$5:$G$34,MATCH(B1290,Entities!$A$5:$A$34,0))="Y","Y","N/A")))</f>
        <v>Y</v>
      </c>
      <c r="J1290" s="8" t="s">
        <v>3934</v>
      </c>
      <c r="K1290" s="8" t="s">
        <v>3861</v>
      </c>
      <c r="L1290" s="7" t="str">
        <f aca="false">IF(OR(J1290="",K1290=""),"",IF(J1290=K1290,"Breach","OK"))</f>
        <v>OK</v>
      </c>
      <c r="M1290" s="24" t="n">
        <v>1</v>
      </c>
      <c r="N1290" s="50" t="n">
        <v>46166</v>
      </c>
      <c r="O1290" s="8" t="s">
        <v>547</v>
      </c>
      <c r="P1290" s="24" t="n">
        <v>1</v>
      </c>
      <c r="Q1290" s="31" t="n">
        <f aca="false">IF(I1290="N/A","",IFERROR(INDEX('Residual Config'!$B$35:$B$42,MATCH(H1290,'Residual Config'!$A$35:$A$42,0)),""))</f>
        <v>1</v>
      </c>
      <c r="R1290" s="24" t="n">
        <v>1</v>
      </c>
      <c r="S1290" s="8" t="s">
        <v>521</v>
      </c>
      <c r="T1290" s="31" t="n">
        <f aca="false">IF(S1290="","",MATCH(S1290,'Residual Config'!$L$9:$L$12,0))</f>
        <v>2</v>
      </c>
      <c r="U1290" s="8" t="s">
        <v>3956</v>
      </c>
      <c r="V1290" s="24" t="n">
        <v>2</v>
      </c>
      <c r="W1290" s="33" t="s">
        <v>536</v>
      </c>
      <c r="X1290" s="8"/>
      <c r="Y1290" s="51" t="n">
        <f aca="false">IF(N1290="","",EDATE(N1290,IF(G1290="N",INDEX('Residual Config'!$B$31:$D$31,1,MATCH(D1290,'Residual Config'!$B$27:$D$27,0)),INDEX('Residual Config'!$B$28:$D$30,IF(T1290=1,1,IF(T1290=4,3,2)),MATCH(D1290,'Residual Config'!$B$27:$D$27,0)))))</f>
        <v>46350</v>
      </c>
      <c r="Z1290" s="7" t="str">
        <f aca="false">IF(I1290="N/A","N/A",IF(N1290="","Not tested",IF(W1290="Rejected","Evidence rejected",IF(W1290&lt;&gt;"Accepted","Evidence pending",IF(Y1290&lt;'Residual Config'!$C$4,"Overdue","Current")))))</f>
        <v>Evidence pending</v>
      </c>
      <c r="AA1290" s="34" t="n">
        <f aca="false">IF(I1290="N/A","",IF(Z1290&lt;&gt;"Current",4,IF(MAX(M1290,T1290)=0,4,MAX(M1290,T1290))))</f>
        <v>4</v>
      </c>
      <c r="AB1290" s="7" t="str">
        <f aca="false">IF(AA1290="","N/A",IF(Z1290&lt;&gt;"Current","Not tested / overdue",INDEX('Residual Config'!$B$11:$B$14,AA1290)))</f>
        <v>Not tested / overdue</v>
      </c>
      <c r="AC1290" s="36" t="n">
        <f aca="false">IF(AA1290="","",INDEX('Residual Config'!$D$11:$D$14,AA1290))</f>
        <v>0</v>
      </c>
      <c r="AD1290" s="7" t="str">
        <f aca="false">IF(OR(I1290="N/A",P1290="",Q1290=""),"",IF(P1290&gt;=Q1290,"Yes","No"))</f>
        <v>Yes</v>
      </c>
      <c r="AE1290" s="8"/>
    </row>
    <row r="1291" customFormat="false" ht="15" hidden="false" customHeight="false" outlineLevel="0" collapsed="false">
      <c r="A1291" s="12" t="s">
        <v>3957</v>
      </c>
      <c r="B1291" s="26" t="str">
        <f aca="false">Entities!$A$34</f>
        <v>US</v>
      </c>
      <c r="C1291" s="12" t="str">
        <f aca="false">INDEX(Entities!$B$5:$B$34,MATCH(B1291,Entities!$A$5:$A$34,0))</f>
        <v>Arab Bank – United States (if retained)</v>
      </c>
      <c r="D1291" s="7" t="str">
        <f aca="false">INDEX(Entities!$F$5:$F$34,MATCH(B1291,Entities!$A$5:$A$34,0))</f>
        <v>Tier 3</v>
      </c>
      <c r="E1291" s="26" t="str">
        <f aca="false">'Control Library'!$A$44</f>
        <v>CTL-TP-01</v>
      </c>
      <c r="F1291" s="12" t="str">
        <f aca="false">INDEX('Control Library'!$B$5:$B$47,MATCH(E1291,'Control Library'!$A$5:$A$47,0))</f>
        <v>Critical vendor due diligence and tested exit plans</v>
      </c>
      <c r="G1291" s="7" t="str">
        <f aca="false">INDEX('Control Library'!$F$5:$F$47,MATCH(E1291,'Control Library'!$A$5:$A$47,0))</f>
        <v>Y</v>
      </c>
      <c r="H1291" s="12" t="str">
        <f aca="false">INDEX('Control Library'!$E$5:$E$47,MATCH(E1291,'Control Library'!$A$5:$A$47,0))</f>
        <v>Annual</v>
      </c>
      <c r="I1291" s="7" t="str">
        <f aca="false">IF(INDEX('Control Library'!$I$5:$I$47,MATCH(E1291,'Control Library'!$A$5:$A$47,0))="All","Y",IF(INDEX('Control Library'!$I$5:$I$47,MATCH(E1291,'Control Library'!$A$5:$A$47,0))="Banks only",IF(COUNTIF('Residual Config'!$L$28:$L$30,INDEX(Entities!$E$5:$E$34,MATCH(B1291,Entities!$A$5:$A$34,0)))&gt;0,"N/A","Y"),IF(INDEX(Entities!$G$5:$G$34,MATCH(B1291,Entities!$A$5:$A$34,0))="Y","Y","N/A")))</f>
        <v>Y</v>
      </c>
      <c r="J1291" s="8" t="s">
        <v>3902</v>
      </c>
      <c r="K1291" s="8" t="s">
        <v>3861</v>
      </c>
      <c r="L1291" s="7" t="str">
        <f aca="false">IF(OR(J1291="",K1291=""),"",IF(J1291=K1291,"Breach","OK"))</f>
        <v>OK</v>
      </c>
      <c r="M1291" s="24" t="n">
        <v>1</v>
      </c>
      <c r="N1291" s="50" t="n">
        <v>46085</v>
      </c>
      <c r="O1291" s="8" t="s">
        <v>545</v>
      </c>
      <c r="P1291" s="24" t="n">
        <v>1</v>
      </c>
      <c r="Q1291" s="31" t="n">
        <f aca="false">IF(I1291="N/A","",IFERROR(INDEX('Residual Config'!$B$35:$B$42,MATCH(H1291,'Residual Config'!$A$35:$A$42,0)),""))</f>
        <v>1</v>
      </c>
      <c r="R1291" s="24" t="n">
        <v>0</v>
      </c>
      <c r="S1291" s="8" t="s">
        <v>516</v>
      </c>
      <c r="T1291" s="31" t="n">
        <f aca="false">IF(S1291="","",MATCH(S1291,'Residual Config'!$L$9:$L$12,0))</f>
        <v>1</v>
      </c>
      <c r="U1291" s="8" t="s">
        <v>3958</v>
      </c>
      <c r="V1291" s="24" t="n">
        <v>2</v>
      </c>
      <c r="W1291" s="33" t="s">
        <v>533</v>
      </c>
      <c r="X1291" s="8" t="s">
        <v>754</v>
      </c>
      <c r="Y1291" s="51" t="n">
        <f aca="false">IF(N1291="","",EDATE(N1291,IF(G1291="N",INDEX('Residual Config'!$B$31:$D$31,1,MATCH(D1291,'Residual Config'!$B$27:$D$27,0)),INDEX('Residual Config'!$B$28:$D$30,IF(T1291=1,1,IF(T1291=4,3,2)),MATCH(D1291,'Residual Config'!$B$27:$D$27,0)))))</f>
        <v>46450</v>
      </c>
      <c r="Z1291" s="7" t="str">
        <f aca="false">IF(I1291="N/A","N/A",IF(N1291="","Not tested",IF(W1291="Rejected","Evidence rejected",IF(W1291&lt;&gt;"Accepted","Evidence pending",IF(Y1291&lt;'Residual Config'!$C$4,"Overdue","Current")))))</f>
        <v>Current</v>
      </c>
      <c r="AA1291" s="34" t="n">
        <f aca="false">IF(I1291="N/A","",IF(Z1291&lt;&gt;"Current",4,IF(MAX(M1291,T1291)=0,4,MAX(M1291,T1291))))</f>
        <v>1</v>
      </c>
      <c r="AB1291" s="7" t="str">
        <f aca="false">IF(AA1291="","N/A",IF(Z1291&lt;&gt;"Current","Not tested / overdue",INDEX('Residual Config'!$B$11:$B$14,AA1291)))</f>
        <v>Effective</v>
      </c>
      <c r="AC1291" s="36" t="n">
        <f aca="false">IF(AA1291="","",INDEX('Residual Config'!$D$11:$D$14,AA1291))</f>
        <v>0.6</v>
      </c>
      <c r="AD1291" s="7" t="str">
        <f aca="false">IF(OR(I1291="N/A",P1291="",Q1291=""),"",IF(P1291&gt;=Q1291,"Yes","No"))</f>
        <v>Yes</v>
      </c>
      <c r="AE1291" s="8"/>
    </row>
    <row r="1292" customFormat="false" ht="15" hidden="false" customHeight="false" outlineLevel="0" collapsed="false">
      <c r="A1292" s="12" t="s">
        <v>3959</v>
      </c>
      <c r="B1292" s="26" t="str">
        <f aca="false">Entities!$A$34</f>
        <v>US</v>
      </c>
      <c r="C1292" s="12" t="str">
        <f aca="false">INDEX(Entities!$B$5:$B$34,MATCH(B1292,Entities!$A$5:$A$34,0))</f>
        <v>Arab Bank – United States (if retained)</v>
      </c>
      <c r="D1292" s="7" t="str">
        <f aca="false">INDEX(Entities!$F$5:$F$34,MATCH(B1292,Entities!$A$5:$A$34,0))</f>
        <v>Tier 3</v>
      </c>
      <c r="E1292" s="26" t="str">
        <f aca="false">'Control Library'!$A$45</f>
        <v>CTL-LG-01</v>
      </c>
      <c r="F1292" s="12" t="str">
        <f aca="false">INDEX('Control Library'!$B$5:$B$47,MATCH(E1292,'Control Library'!$A$5:$A$47,0))</f>
        <v>Legal review of contracts and litigation register</v>
      </c>
      <c r="G1292" s="7" t="str">
        <f aca="false">INDEX('Control Library'!$F$5:$F$47,MATCH(E1292,'Control Library'!$A$5:$A$47,0))</f>
        <v>Y</v>
      </c>
      <c r="H1292" s="12" t="str">
        <f aca="false">INDEX('Control Library'!$E$5:$E$47,MATCH(E1292,'Control Library'!$A$5:$A$47,0))</f>
        <v>Event-driven</v>
      </c>
      <c r="I1292" s="7" t="str">
        <f aca="false">IF(INDEX('Control Library'!$I$5:$I$47,MATCH(E1292,'Control Library'!$A$5:$A$47,0))="All","Y",IF(INDEX('Control Library'!$I$5:$I$47,MATCH(E1292,'Control Library'!$A$5:$A$47,0))="Banks only",IF(COUNTIF('Residual Config'!$L$28:$L$30,INDEX(Entities!$E$5:$E$34,MATCH(B1292,Entities!$A$5:$A$34,0)))&gt;0,"N/A","Y"),IF(INDEX(Entities!$G$5:$G$34,MATCH(B1292,Entities!$A$5:$A$34,0))="Y","Y","N/A")))</f>
        <v>Y</v>
      </c>
      <c r="J1292" s="8" t="s">
        <v>3960</v>
      </c>
      <c r="K1292" s="8" t="s">
        <v>3861</v>
      </c>
      <c r="L1292" s="7" t="str">
        <f aca="false">IF(OR(J1292="",K1292=""),"",IF(J1292=K1292,"Breach","OK"))</f>
        <v>OK</v>
      </c>
      <c r="M1292" s="24" t="n">
        <v>2</v>
      </c>
      <c r="N1292" s="50" t="n">
        <v>46118</v>
      </c>
      <c r="O1292" s="8" t="s">
        <v>545</v>
      </c>
      <c r="P1292" s="24" t="n">
        <v>30</v>
      </c>
      <c r="Q1292" s="31" t="n">
        <f aca="false">IF(I1292="N/A","",IFERROR(INDEX('Residual Config'!$B$35:$B$42,MATCH(H1292,'Residual Config'!$A$35:$A$42,0)),""))</f>
        <v>25</v>
      </c>
      <c r="R1292" s="24" t="n">
        <v>0</v>
      </c>
      <c r="S1292" s="8" t="s">
        <v>516</v>
      </c>
      <c r="T1292" s="31" t="n">
        <f aca="false">IF(S1292="","",MATCH(S1292,'Residual Config'!$L$9:$L$12,0))</f>
        <v>1</v>
      </c>
      <c r="U1292" s="8" t="s">
        <v>3961</v>
      </c>
      <c r="V1292" s="24" t="n">
        <v>4</v>
      </c>
      <c r="W1292" s="33" t="s">
        <v>533</v>
      </c>
      <c r="X1292" s="8" t="s">
        <v>754</v>
      </c>
      <c r="Y1292" s="51" t="n">
        <f aca="false">IF(N1292="","",EDATE(N1292,IF(G1292="N",INDEX('Residual Config'!$B$31:$D$31,1,MATCH(D1292,'Residual Config'!$B$27:$D$27,0)),INDEX('Residual Config'!$B$28:$D$30,IF(T1292=1,1,IF(T1292=4,3,2)),MATCH(D1292,'Residual Config'!$B$27:$D$27,0)))))</f>
        <v>46483</v>
      </c>
      <c r="Z1292" s="7" t="str">
        <f aca="false">IF(I1292="N/A","N/A",IF(N1292="","Not tested",IF(W1292="Rejected","Evidence rejected",IF(W1292&lt;&gt;"Accepted","Evidence pending",IF(Y1292&lt;'Residual Config'!$C$4,"Overdue","Current")))))</f>
        <v>Current</v>
      </c>
      <c r="AA1292" s="34" t="n">
        <f aca="false">IF(I1292="N/A","",IF(Z1292&lt;&gt;"Current",4,IF(MAX(M1292,T1292)=0,4,MAX(M1292,T1292))))</f>
        <v>2</v>
      </c>
      <c r="AB1292" s="7" t="str">
        <f aca="false">IF(AA1292="","N/A",IF(Z1292&lt;&gt;"Current","Not tested / overdue",INDEX('Residual Config'!$B$11:$B$14,AA1292)))</f>
        <v>Largely effective</v>
      </c>
      <c r="AC1292" s="36" t="n">
        <f aca="false">IF(AA1292="","",INDEX('Residual Config'!$D$11:$D$14,AA1292))</f>
        <v>0.4</v>
      </c>
      <c r="AD1292" s="7" t="str">
        <f aca="false">IF(OR(I1292="N/A",P1292="",Q1292=""),"",IF(P1292&gt;=Q1292,"Yes","No"))</f>
        <v>Yes</v>
      </c>
      <c r="AE1292" s="8"/>
    </row>
    <row r="1293" customFormat="false" ht="15" hidden="false" customHeight="false" outlineLevel="0" collapsed="false">
      <c r="A1293" s="12" t="s">
        <v>3962</v>
      </c>
      <c r="B1293" s="26" t="str">
        <f aca="false">Entities!$A$34</f>
        <v>US</v>
      </c>
      <c r="C1293" s="12" t="str">
        <f aca="false">INDEX(Entities!$B$5:$B$34,MATCH(B1293,Entities!$A$5:$A$34,0))</f>
        <v>Arab Bank – United States (if retained)</v>
      </c>
      <c r="D1293" s="7" t="str">
        <f aca="false">INDEX(Entities!$F$5:$F$34,MATCH(B1293,Entities!$A$5:$A$34,0))</f>
        <v>Tier 3</v>
      </c>
      <c r="E1293" s="26" t="str">
        <f aca="false">'Control Library'!$A$46</f>
        <v>CTL-RP-01</v>
      </c>
      <c r="F1293" s="12" t="str">
        <f aca="false">INDEX('Control Library'!$B$5:$B$47,MATCH(E1293,'Control Library'!$A$5:$A$47,0))</f>
        <v>Media monitoring and reputational-risk escalation</v>
      </c>
      <c r="G1293" s="7" t="str">
        <f aca="false">INDEX('Control Library'!$F$5:$F$47,MATCH(E1293,'Control Library'!$A$5:$A$47,0))</f>
        <v>Y</v>
      </c>
      <c r="H1293" s="12" t="str">
        <f aca="false">INDEX('Control Library'!$E$5:$E$47,MATCH(E1293,'Control Library'!$A$5:$A$47,0))</f>
        <v>Daily</v>
      </c>
      <c r="I1293" s="7" t="str">
        <f aca="false">IF(INDEX('Control Library'!$I$5:$I$47,MATCH(E1293,'Control Library'!$A$5:$A$47,0))="All","Y",IF(INDEX('Control Library'!$I$5:$I$47,MATCH(E1293,'Control Library'!$A$5:$A$47,0))="Banks only",IF(COUNTIF('Residual Config'!$L$28:$L$30,INDEX(Entities!$E$5:$E$34,MATCH(B1293,Entities!$A$5:$A$34,0)))&gt;0,"N/A","Y"),IF(INDEX(Entities!$G$5:$G$34,MATCH(B1293,Entities!$A$5:$A$34,0))="Y","Y","N/A")))</f>
        <v>Y</v>
      </c>
      <c r="J1293" s="8" t="s">
        <v>3963</v>
      </c>
      <c r="K1293" s="8" t="s">
        <v>3861</v>
      </c>
      <c r="L1293" s="7" t="str">
        <f aca="false">IF(OR(J1293="",K1293=""),"",IF(J1293=K1293,"Breach","OK"))</f>
        <v>OK</v>
      </c>
      <c r="M1293" s="24" t="n">
        <v>1</v>
      </c>
      <c r="N1293" s="50" t="n">
        <v>46288</v>
      </c>
      <c r="O1293" s="8" t="s">
        <v>545</v>
      </c>
      <c r="P1293" s="24" t="n">
        <v>25</v>
      </c>
      <c r="Q1293" s="31" t="n">
        <f aca="false">IF(I1293="N/A","",IFERROR(INDEX('Residual Config'!$B$35:$B$42,MATCH(H1293,'Residual Config'!$A$35:$A$42,0)),""))</f>
        <v>25</v>
      </c>
      <c r="R1293" s="24" t="n">
        <v>1</v>
      </c>
      <c r="S1293" s="8" t="s">
        <v>521</v>
      </c>
      <c r="T1293" s="31" t="n">
        <f aca="false">IF(S1293="","",MATCH(S1293,'Residual Config'!$L$9:$L$12,0))</f>
        <v>2</v>
      </c>
      <c r="U1293" s="8" t="s">
        <v>3964</v>
      </c>
      <c r="V1293" s="24" t="n">
        <v>4</v>
      </c>
      <c r="W1293" s="33" t="s">
        <v>533</v>
      </c>
      <c r="X1293" s="8" t="s">
        <v>760</v>
      </c>
      <c r="Y1293" s="51" t="n">
        <f aca="false">IF(N1293="","",EDATE(N1293,IF(G1293="N",INDEX('Residual Config'!$B$31:$D$31,1,MATCH(D1293,'Residual Config'!$B$27:$D$27,0)),INDEX('Residual Config'!$B$28:$D$30,IF(T1293=1,1,IF(T1293=4,3,2)),MATCH(D1293,'Residual Config'!$B$27:$D$27,0)))))</f>
        <v>46469</v>
      </c>
      <c r="Z1293" s="7" t="str">
        <f aca="false">IF(I1293="N/A","N/A",IF(N1293="","Not tested",IF(W1293="Rejected","Evidence rejected",IF(W1293&lt;&gt;"Accepted","Evidence pending",IF(Y1293&lt;'Residual Config'!$C$4,"Overdue","Current")))))</f>
        <v>Current</v>
      </c>
      <c r="AA1293" s="34" t="n">
        <f aca="false">IF(I1293="N/A","",IF(Z1293&lt;&gt;"Current",4,IF(MAX(M1293,T1293)=0,4,MAX(M1293,T1293))))</f>
        <v>2</v>
      </c>
      <c r="AB1293" s="7" t="str">
        <f aca="false">IF(AA1293="","N/A",IF(Z1293&lt;&gt;"Current","Not tested / overdue",INDEX('Residual Config'!$B$11:$B$14,AA1293)))</f>
        <v>Largely effective</v>
      </c>
      <c r="AC1293" s="36" t="n">
        <f aca="false">IF(AA1293="","",INDEX('Residual Config'!$D$11:$D$14,AA1293))</f>
        <v>0.4</v>
      </c>
      <c r="AD1293" s="7" t="str">
        <f aca="false">IF(OR(I1293="N/A",P1293="",Q1293=""),"",IF(P1293&gt;=Q1293,"Yes","No"))</f>
        <v>Yes</v>
      </c>
      <c r="AE1293" s="8"/>
    </row>
    <row r="1294" customFormat="false" ht="15" hidden="false" customHeight="false" outlineLevel="0" collapsed="false">
      <c r="A1294" s="12" t="s">
        <v>3965</v>
      </c>
      <c r="B1294" s="26" t="str">
        <f aca="false">Entities!$A$34</f>
        <v>US</v>
      </c>
      <c r="C1294" s="12" t="str">
        <f aca="false">INDEX(Entities!$B$5:$B$34,MATCH(B1294,Entities!$A$5:$A$34,0))</f>
        <v>Arab Bank – United States (if retained)</v>
      </c>
      <c r="D1294" s="7" t="str">
        <f aca="false">INDEX(Entities!$F$5:$F$34,MATCH(B1294,Entities!$A$5:$A$34,0))</f>
        <v>Tier 3</v>
      </c>
      <c r="E1294" s="26" t="str">
        <f aca="false">'Control Library'!$A$47</f>
        <v>CTL-ST-01</v>
      </c>
      <c r="F1294" s="12" t="str">
        <f aca="false">INDEX('Control Library'!$B$5:$B$47,MATCH(E1294,'Control Library'!$A$5:$A$47,0))</f>
        <v>Strategy execution monitoring and E&amp;S screening of lending</v>
      </c>
      <c r="G1294" s="7" t="str">
        <f aca="false">INDEX('Control Library'!$F$5:$F$47,MATCH(E1294,'Control Library'!$A$5:$A$47,0))</f>
        <v>Y</v>
      </c>
      <c r="H1294" s="12" t="str">
        <f aca="false">INDEX('Control Library'!$E$5:$E$47,MATCH(E1294,'Control Library'!$A$5:$A$47,0))</f>
        <v>Quarterly</v>
      </c>
      <c r="I1294" s="7" t="str">
        <f aca="false">IF(INDEX('Control Library'!$I$5:$I$47,MATCH(E1294,'Control Library'!$A$5:$A$47,0))="All","Y",IF(INDEX('Control Library'!$I$5:$I$47,MATCH(E1294,'Control Library'!$A$5:$A$47,0))="Banks only",IF(COUNTIF('Residual Config'!$L$28:$L$30,INDEX(Entities!$E$5:$E$34,MATCH(B1294,Entities!$A$5:$A$34,0)))&gt;0,"N/A","Y"),IF(INDEX(Entities!$G$5:$G$34,MATCH(B1294,Entities!$A$5:$A$34,0))="Y","Y","N/A")))</f>
        <v>Y</v>
      </c>
      <c r="J1294" s="8" t="s">
        <v>3966</v>
      </c>
      <c r="K1294" s="8" t="s">
        <v>3861</v>
      </c>
      <c r="L1294" s="7" t="str">
        <f aca="false">IF(OR(J1294="",K1294=""),"",IF(J1294=K1294,"Breach","OK"))</f>
        <v>OK</v>
      </c>
      <c r="M1294" s="24" t="n">
        <v>2</v>
      </c>
      <c r="N1294" s="50" t="n">
        <v>46281</v>
      </c>
      <c r="O1294" s="8" t="s">
        <v>545</v>
      </c>
      <c r="P1294" s="24" t="n">
        <v>2</v>
      </c>
      <c r="Q1294" s="31" t="n">
        <f aca="false">IF(I1294="N/A","",IFERROR(INDEX('Residual Config'!$B$35:$B$42,MATCH(H1294,'Residual Config'!$A$35:$A$42,0)),""))</f>
        <v>2</v>
      </c>
      <c r="R1294" s="24" t="n">
        <v>1</v>
      </c>
      <c r="S1294" s="8" t="s">
        <v>521</v>
      </c>
      <c r="T1294" s="31" t="n">
        <f aca="false">IF(S1294="","",MATCH(S1294,'Residual Config'!$L$9:$L$12,0))</f>
        <v>2</v>
      </c>
      <c r="U1294" s="8" t="s">
        <v>3967</v>
      </c>
      <c r="V1294" s="24" t="n">
        <v>6</v>
      </c>
      <c r="W1294" s="33" t="s">
        <v>533</v>
      </c>
      <c r="X1294" s="8" t="s">
        <v>760</v>
      </c>
      <c r="Y1294" s="51" t="n">
        <f aca="false">IF(N1294="","",EDATE(N1294,IF(G1294="N",INDEX('Residual Config'!$B$31:$D$31,1,MATCH(D1294,'Residual Config'!$B$27:$D$27,0)),INDEX('Residual Config'!$B$28:$D$30,IF(T1294=1,1,IF(T1294=4,3,2)),MATCH(D1294,'Residual Config'!$B$27:$D$27,0)))))</f>
        <v>46462</v>
      </c>
      <c r="Z1294" s="7" t="str">
        <f aca="false">IF(I1294="N/A","N/A",IF(N1294="","Not tested",IF(W1294="Rejected","Evidence rejected",IF(W1294&lt;&gt;"Accepted","Evidence pending",IF(Y1294&lt;'Residual Config'!$C$4,"Overdue","Current")))))</f>
        <v>Current</v>
      </c>
      <c r="AA1294" s="34" t="n">
        <f aca="false">IF(I1294="N/A","",IF(Z1294&lt;&gt;"Current",4,IF(MAX(M1294,T1294)=0,4,MAX(M1294,T1294))))</f>
        <v>2</v>
      </c>
      <c r="AB1294" s="7" t="str">
        <f aca="false">IF(AA1294="","N/A",IF(Z1294&lt;&gt;"Current","Not tested / overdue",INDEX('Residual Config'!$B$11:$B$14,AA1294)))</f>
        <v>Largely effective</v>
      </c>
      <c r="AC1294" s="36" t="n">
        <f aca="false">IF(AA1294="","",INDEX('Residual Config'!$D$11:$D$14,AA1294))</f>
        <v>0.4</v>
      </c>
      <c r="AD1294" s="7" t="str">
        <f aca="false">IF(OR(I1294="N/A",P1294="",Q1294=""),"",IF(P1294&gt;=Q1294,"Yes","No"))</f>
        <v>Yes</v>
      </c>
      <c r="AE1294" s="8"/>
    </row>
  </sheetData>
  <autoFilter ref="A4:AE1294"/>
  <conditionalFormatting sqref="AA5:AA1294">
    <cfRule type="expression" priority="2" aboveAverage="0" equalAverage="0" bottom="0" percent="0" rank="0" text="" dxfId="0">
      <formula>AA5=1</formula>
    </cfRule>
    <cfRule type="expression" priority="3" aboveAverage="0" equalAverage="0" bottom="0" percent="0" rank="0" text="" dxfId="1">
      <formula>AA5=2</formula>
    </cfRule>
    <cfRule type="expression" priority="4" aboveAverage="0" equalAverage="0" bottom="0" percent="0" rank="0" text="" dxfId="3">
      <formula>AA5=3</formula>
    </cfRule>
    <cfRule type="expression" priority="5" aboveAverage="0" equalAverage="0" bottom="0" percent="0" rank="0" text="" dxfId="4">
      <formula>AA5=4</formula>
    </cfRule>
  </conditionalFormatting>
  <conditionalFormatting sqref="Z5:Z1294">
    <cfRule type="expression" priority="6" aboveAverage="0" equalAverage="0" bottom="0" percent="0" rank="0" text="" dxfId="1">
      <formula>Z5="Current"</formula>
    </cfRule>
    <cfRule type="expression" priority="7" aboveAverage="0" equalAverage="0" bottom="0" percent="0" rank="0" text="" dxfId="4">
      <formula>Z5="Overdue"</formula>
    </cfRule>
    <cfRule type="expression" priority="8" aboveAverage="0" equalAverage="0" bottom="0" percent="0" rank="0" text="" dxfId="4">
      <formula>Z5="Not tested"</formula>
    </cfRule>
    <cfRule type="expression" priority="9" aboveAverage="0" equalAverage="0" bottom="0" percent="0" rank="0" text="" dxfId="2">
      <formula>Z5="Evidence pending"</formula>
    </cfRule>
    <cfRule type="expression" priority="10" aboveAverage="0" equalAverage="0" bottom="0" percent="0" rank="0" text="" dxfId="3">
      <formula>Z5="Evidence rejected"</formula>
    </cfRule>
  </conditionalFormatting>
  <conditionalFormatting sqref="L5:L1294">
    <cfRule type="expression" priority="11" aboveAverage="0" equalAverage="0" bottom="0" percent="0" rank="0" text="" dxfId="4">
      <formula>L5="Breach"</formula>
    </cfRule>
  </conditionalFormatting>
  <conditionalFormatting sqref="AD5:AD1294">
    <cfRule type="expression" priority="12" aboveAverage="0" equalAverage="0" bottom="0" percent="0" rank="0" text="" dxfId="2">
      <formula>AD5="No"</formula>
    </cfRule>
  </conditionalFormatting>
  <dataValidations count="5">
    <dataValidation allowBlank="false" errorStyle="stop" operator="between" showDropDown="false" showErrorMessage="false" showInputMessage="false" sqref="S5:S1294" type="list">
      <formula1>'Residual Config'!$L$9:$L$12</formula1>
      <formula2>0</formula2>
    </dataValidation>
    <dataValidation allowBlank="false" errorStyle="stop" operator="between" showDropDown="false" showErrorMessage="false" showInputMessage="false" sqref="W5:W1294" type="list">
      <formula1>'Residual Config'!$L$14:$L$16</formula1>
      <formula2>0</formula2>
    </dataValidation>
    <dataValidation allowBlank="false" errorStyle="stop" operator="between" showDropDown="false" showErrorMessage="false" showInputMessage="false" sqref="O5:O1294" type="list">
      <formula1>'Residual Config'!$L$21:$L$26</formula1>
      <formula2>0</formula2>
    </dataValidation>
    <dataValidation allowBlank="false" errorStyle="stop" operator="between" showDropDown="false" showErrorMessage="false" showInputMessage="false" sqref="M5:M1294" type="whole">
      <formula1>1</formula1>
      <formula2>4</formula2>
    </dataValidation>
    <dataValidation allowBlank="false" errorStyle="stop" operator="greaterThan" showDropDown="false" showErrorMessage="false" showInputMessage="false" sqref="N5:N129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0"/>
    <col collapsed="false" customWidth="true" hidden="false" outlineLevel="0" max="3" min="3" style="0" width="6"/>
    <col collapsed="false" customWidth="true" hidden="false" outlineLevel="0" max="33" min="4" style="0" width="8.5"/>
  </cols>
  <sheetData>
    <row r="1" customFormat="false" ht="17.35" hidden="false" customHeight="false" outlineLevel="0" collapsed="false">
      <c r="A1" s="1" t="s">
        <v>3968</v>
      </c>
    </row>
    <row r="2" customFormat="false" ht="15" hidden="false" customHeight="false" outlineLevel="0" collapsed="false">
      <c r="A2" s="2" t="s">
        <v>3969</v>
      </c>
    </row>
    <row r="4" customFormat="false" ht="27.75" hidden="false" customHeight="true" outlineLevel="0" collapsed="false">
      <c r="A4" s="5" t="s">
        <v>571</v>
      </c>
      <c r="B4" s="5" t="s">
        <v>572</v>
      </c>
      <c r="C4" s="5" t="s">
        <v>729</v>
      </c>
      <c r="D4" s="5" t="str">
        <f aca="false">Entities!A5</f>
        <v>JO-HO</v>
      </c>
      <c r="E4" s="5" t="str">
        <f aca="false">Entities!A6</f>
        <v>JO-IIAB</v>
      </c>
      <c r="F4" s="5" t="str">
        <f aca="false">Entities!A7</f>
        <v>JO-INV</v>
      </c>
      <c r="G4" s="5" t="str">
        <f aca="false">Entities!A8</f>
        <v>JO-INS</v>
      </c>
      <c r="H4" s="5" t="str">
        <f aca="false">Entities!A9</f>
        <v>JO-LSG</v>
      </c>
      <c r="I4" s="5" t="str">
        <f aca="false">Entities!A10</f>
        <v>PS</v>
      </c>
      <c r="J4" s="5" t="str">
        <f aca="false">Entities!A11</f>
        <v>PS-INV</v>
      </c>
      <c r="K4" s="5" t="str">
        <f aca="false">Entities!A12</f>
        <v>LB</v>
      </c>
      <c r="L4" s="5" t="str">
        <f aca="false">Entities!A13</f>
        <v>SY</v>
      </c>
      <c r="M4" s="5" t="str">
        <f aca="false">Entities!A14</f>
        <v>AE</v>
      </c>
      <c r="N4" s="5" t="str">
        <f aca="false">Entities!A15</f>
        <v>BH</v>
      </c>
      <c r="O4" s="5" t="str">
        <f aca="false">Entities!A16</f>
        <v>QA</v>
      </c>
      <c r="P4" s="5" t="str">
        <f aca="false">Entities!A17</f>
        <v>SA</v>
      </c>
      <c r="Q4" s="5" t="str">
        <f aca="false">Entities!A18</f>
        <v>OM</v>
      </c>
      <c r="R4" s="5" t="str">
        <f aca="false">Entities!A19</f>
        <v>IQ</v>
      </c>
      <c r="S4" s="5" t="str">
        <f aca="false">Entities!A20</f>
        <v>YE</v>
      </c>
      <c r="T4" s="5" t="str">
        <f aca="false">Entities!A21</f>
        <v>EG</v>
      </c>
      <c r="U4" s="5" t="str">
        <f aca="false">Entities!A22</f>
        <v>DZ</v>
      </c>
      <c r="V4" s="5" t="str">
        <f aca="false">Entities!A23</f>
        <v>MA</v>
      </c>
      <c r="W4" s="5" t="str">
        <f aca="false">Entities!A24</f>
        <v>TN</v>
      </c>
      <c r="X4" s="5" t="str">
        <f aca="false">Entities!A25</f>
        <v>SD</v>
      </c>
      <c r="Y4" s="5" t="str">
        <f aca="false">Entities!A26</f>
        <v>GB</v>
      </c>
      <c r="Z4" s="5" t="str">
        <f aca="false">Entities!A27</f>
        <v>FR</v>
      </c>
      <c r="AA4" s="5" t="str">
        <f aca="false">Entities!A28</f>
        <v>DE</v>
      </c>
      <c r="AB4" s="5" t="str">
        <f aca="false">Entities!A29</f>
        <v>IT</v>
      </c>
      <c r="AC4" s="5" t="str">
        <f aca="false">Entities!A30</f>
        <v>CH</v>
      </c>
      <c r="AD4" s="5" t="str">
        <f aca="false">Entities!A31</f>
        <v>SG</v>
      </c>
      <c r="AE4" s="5" t="str">
        <f aca="false">Entities!A32</f>
        <v>CN</v>
      </c>
      <c r="AF4" s="5" t="str">
        <f aca="false">Entities!A33</f>
        <v>AU</v>
      </c>
      <c r="AG4" s="5" t="str">
        <f aca="false">Entities!A34</f>
        <v>US</v>
      </c>
    </row>
    <row r="5" customFormat="false" ht="15" hidden="false" customHeight="false" outlineLevel="0" collapsed="false">
      <c r="A5" s="26" t="str">
        <f aca="false">'Control Library'!A5</f>
        <v>CTL-KYC-01</v>
      </c>
      <c r="B5" s="26" t="str">
        <f aca="false">'Control Library'!B5</f>
        <v>Customer due diligence and ID verification at onboarding</v>
      </c>
      <c r="C5" s="52" t="str">
        <f aca="false">'Control Library'!F5</f>
        <v>Y</v>
      </c>
      <c r="D5" s="53" t="n">
        <f aca="false">SUMIFS('Control Testing'!$AA$5:$AA$1294,'Control Testing'!$B$5:$B$1294,D$4,'Control Testing'!$E$5:$E$1294,$A5)</f>
        <v>2</v>
      </c>
      <c r="E5" s="53" t="n">
        <f aca="false">SUMIFS('Control Testing'!$AA$5:$AA$1294,'Control Testing'!$B$5:$B$1294,E$4,'Control Testing'!$E$5:$E$1294,$A5)</f>
        <v>2</v>
      </c>
      <c r="F5" s="53" t="n">
        <f aca="false">SUMIFS('Control Testing'!$AA$5:$AA$1294,'Control Testing'!$B$5:$B$1294,F$4,'Control Testing'!$E$5:$E$1294,$A5)</f>
        <v>2</v>
      </c>
      <c r="G5" s="53" t="n">
        <f aca="false">SUMIFS('Control Testing'!$AA$5:$AA$1294,'Control Testing'!$B$5:$B$1294,G$4,'Control Testing'!$E$5:$E$1294,$A5)</f>
        <v>2</v>
      </c>
      <c r="H5" s="53" t="n">
        <f aca="false">SUMIFS('Control Testing'!$AA$5:$AA$1294,'Control Testing'!$B$5:$B$1294,H$4,'Control Testing'!$E$5:$E$1294,$A5)</f>
        <v>2</v>
      </c>
      <c r="I5" s="53" t="n">
        <f aca="false">SUMIFS('Control Testing'!$AA$5:$AA$1294,'Control Testing'!$B$5:$B$1294,I$4,'Control Testing'!$E$5:$E$1294,$A5)</f>
        <v>3</v>
      </c>
      <c r="J5" s="53" t="n">
        <f aca="false">SUMIFS('Control Testing'!$AA$5:$AA$1294,'Control Testing'!$B$5:$B$1294,J$4,'Control Testing'!$E$5:$E$1294,$A5)</f>
        <v>3</v>
      </c>
      <c r="K5" s="53" t="n">
        <f aca="false">SUMIFS('Control Testing'!$AA$5:$AA$1294,'Control Testing'!$B$5:$B$1294,K$4,'Control Testing'!$E$5:$E$1294,$A5)</f>
        <v>3</v>
      </c>
      <c r="L5" s="53" t="n">
        <f aca="false">SUMIFS('Control Testing'!$AA$5:$AA$1294,'Control Testing'!$B$5:$B$1294,L$4,'Control Testing'!$E$5:$E$1294,$A5)</f>
        <v>2</v>
      </c>
      <c r="M5" s="53" t="n">
        <f aca="false">SUMIFS('Control Testing'!$AA$5:$AA$1294,'Control Testing'!$B$5:$B$1294,M$4,'Control Testing'!$E$5:$E$1294,$A5)</f>
        <v>2</v>
      </c>
      <c r="N5" s="53" t="n">
        <f aca="false">SUMIFS('Control Testing'!$AA$5:$AA$1294,'Control Testing'!$B$5:$B$1294,N$4,'Control Testing'!$E$5:$E$1294,$A5)</f>
        <v>2</v>
      </c>
      <c r="O5" s="53" t="n">
        <f aca="false">SUMIFS('Control Testing'!$AA$5:$AA$1294,'Control Testing'!$B$5:$B$1294,O$4,'Control Testing'!$E$5:$E$1294,$A5)</f>
        <v>4</v>
      </c>
      <c r="P5" s="53" t="n">
        <f aca="false">SUMIFS('Control Testing'!$AA$5:$AA$1294,'Control Testing'!$B$5:$B$1294,P$4,'Control Testing'!$E$5:$E$1294,$A5)</f>
        <v>2</v>
      </c>
      <c r="Q5" s="53" t="n">
        <f aca="false">SUMIFS('Control Testing'!$AA$5:$AA$1294,'Control Testing'!$B$5:$B$1294,Q$4,'Control Testing'!$E$5:$E$1294,$A5)</f>
        <v>3</v>
      </c>
      <c r="R5" s="53" t="n">
        <f aca="false">SUMIFS('Control Testing'!$AA$5:$AA$1294,'Control Testing'!$B$5:$B$1294,R$4,'Control Testing'!$E$5:$E$1294,$A5)</f>
        <v>3</v>
      </c>
      <c r="S5" s="53" t="n">
        <f aca="false">SUMIFS('Control Testing'!$AA$5:$AA$1294,'Control Testing'!$B$5:$B$1294,S$4,'Control Testing'!$E$5:$E$1294,$A5)</f>
        <v>4</v>
      </c>
      <c r="T5" s="53" t="n">
        <f aca="false">SUMIFS('Control Testing'!$AA$5:$AA$1294,'Control Testing'!$B$5:$B$1294,T$4,'Control Testing'!$E$5:$E$1294,$A5)</f>
        <v>2</v>
      </c>
      <c r="U5" s="53" t="n">
        <f aca="false">SUMIFS('Control Testing'!$AA$5:$AA$1294,'Control Testing'!$B$5:$B$1294,U$4,'Control Testing'!$E$5:$E$1294,$A5)</f>
        <v>2</v>
      </c>
      <c r="V5" s="53" t="n">
        <f aca="false">SUMIFS('Control Testing'!$AA$5:$AA$1294,'Control Testing'!$B$5:$B$1294,V$4,'Control Testing'!$E$5:$E$1294,$A5)</f>
        <v>2</v>
      </c>
      <c r="W5" s="53" t="n">
        <f aca="false">SUMIFS('Control Testing'!$AA$5:$AA$1294,'Control Testing'!$B$5:$B$1294,W$4,'Control Testing'!$E$5:$E$1294,$A5)</f>
        <v>2</v>
      </c>
      <c r="X5" s="53" t="n">
        <f aca="false">SUMIFS('Control Testing'!$AA$5:$AA$1294,'Control Testing'!$B$5:$B$1294,X$4,'Control Testing'!$E$5:$E$1294,$A5)</f>
        <v>2</v>
      </c>
      <c r="Y5" s="53" t="n">
        <f aca="false">SUMIFS('Control Testing'!$AA$5:$AA$1294,'Control Testing'!$B$5:$B$1294,Y$4,'Control Testing'!$E$5:$E$1294,$A5)</f>
        <v>1</v>
      </c>
      <c r="Z5" s="53" t="n">
        <f aca="false">SUMIFS('Control Testing'!$AA$5:$AA$1294,'Control Testing'!$B$5:$B$1294,Z$4,'Control Testing'!$E$5:$E$1294,$A5)</f>
        <v>4</v>
      </c>
      <c r="AA5" s="53" t="n">
        <f aca="false">SUMIFS('Control Testing'!$AA$5:$AA$1294,'Control Testing'!$B$5:$B$1294,AA$4,'Control Testing'!$E$5:$E$1294,$A5)</f>
        <v>1</v>
      </c>
      <c r="AB5" s="53" t="n">
        <f aca="false">SUMIFS('Control Testing'!$AA$5:$AA$1294,'Control Testing'!$B$5:$B$1294,AB$4,'Control Testing'!$E$5:$E$1294,$A5)</f>
        <v>2</v>
      </c>
      <c r="AC5" s="53" t="n">
        <f aca="false">SUMIFS('Control Testing'!$AA$5:$AA$1294,'Control Testing'!$B$5:$B$1294,AC$4,'Control Testing'!$E$5:$E$1294,$A5)</f>
        <v>1</v>
      </c>
      <c r="AD5" s="53" t="n">
        <f aca="false">SUMIFS('Control Testing'!$AA$5:$AA$1294,'Control Testing'!$B$5:$B$1294,AD$4,'Control Testing'!$E$5:$E$1294,$A5)</f>
        <v>2</v>
      </c>
      <c r="AE5" s="53" t="n">
        <f aca="false">SUMIFS('Control Testing'!$AA$5:$AA$1294,'Control Testing'!$B$5:$B$1294,AE$4,'Control Testing'!$E$5:$E$1294,$A5)</f>
        <v>1</v>
      </c>
      <c r="AF5" s="53" t="n">
        <f aca="false">SUMIFS('Control Testing'!$AA$5:$AA$1294,'Control Testing'!$B$5:$B$1294,AF$4,'Control Testing'!$E$5:$E$1294,$A5)</f>
        <v>1</v>
      </c>
      <c r="AG5" s="53" t="n">
        <f aca="false">SUMIFS('Control Testing'!$AA$5:$AA$1294,'Control Testing'!$B$5:$B$1294,AG$4,'Control Testing'!$E$5:$E$1294,$A5)</f>
        <v>2</v>
      </c>
    </row>
    <row r="6" customFormat="false" ht="15" hidden="false" customHeight="false" outlineLevel="0" collapsed="false">
      <c r="A6" s="26" t="str">
        <f aca="false">'Control Library'!A6</f>
        <v>CTL-KYC-02</v>
      </c>
      <c r="B6" s="26" t="str">
        <f aca="false">'Control Library'!B6</f>
        <v>Enhanced due diligence for high-risk customers and PEPs, senior approval</v>
      </c>
      <c r="C6" s="52" t="str">
        <f aca="false">'Control Library'!F6</f>
        <v>Y</v>
      </c>
      <c r="D6" s="53" t="n">
        <f aca="false">SUMIFS('Control Testing'!$AA$5:$AA$1294,'Control Testing'!$B$5:$B$1294,D$4,'Control Testing'!$E$5:$E$1294,$A6)</f>
        <v>2</v>
      </c>
      <c r="E6" s="53" t="n">
        <f aca="false">SUMIFS('Control Testing'!$AA$5:$AA$1294,'Control Testing'!$B$5:$B$1294,E$4,'Control Testing'!$E$5:$E$1294,$A6)</f>
        <v>1</v>
      </c>
      <c r="F6" s="53" t="n">
        <f aca="false">SUMIFS('Control Testing'!$AA$5:$AA$1294,'Control Testing'!$B$5:$B$1294,F$4,'Control Testing'!$E$5:$E$1294,$A6)</f>
        <v>2</v>
      </c>
      <c r="G6" s="53" t="n">
        <f aca="false">SUMIFS('Control Testing'!$AA$5:$AA$1294,'Control Testing'!$B$5:$B$1294,G$4,'Control Testing'!$E$5:$E$1294,$A6)</f>
        <v>3</v>
      </c>
      <c r="H6" s="53" t="n">
        <f aca="false">SUMIFS('Control Testing'!$AA$5:$AA$1294,'Control Testing'!$B$5:$B$1294,H$4,'Control Testing'!$E$5:$E$1294,$A6)</f>
        <v>2</v>
      </c>
      <c r="I6" s="53" t="n">
        <f aca="false">SUMIFS('Control Testing'!$AA$5:$AA$1294,'Control Testing'!$B$5:$B$1294,I$4,'Control Testing'!$E$5:$E$1294,$A6)</f>
        <v>3</v>
      </c>
      <c r="J6" s="53" t="n">
        <f aca="false">SUMIFS('Control Testing'!$AA$5:$AA$1294,'Control Testing'!$B$5:$B$1294,J$4,'Control Testing'!$E$5:$E$1294,$A6)</f>
        <v>2</v>
      </c>
      <c r="K6" s="53" t="n">
        <f aca="false">SUMIFS('Control Testing'!$AA$5:$AA$1294,'Control Testing'!$B$5:$B$1294,K$4,'Control Testing'!$E$5:$E$1294,$A6)</f>
        <v>2</v>
      </c>
      <c r="L6" s="53" t="n">
        <f aca="false">SUMIFS('Control Testing'!$AA$5:$AA$1294,'Control Testing'!$B$5:$B$1294,L$4,'Control Testing'!$E$5:$E$1294,$A6)</f>
        <v>2</v>
      </c>
      <c r="M6" s="53" t="n">
        <f aca="false">SUMIFS('Control Testing'!$AA$5:$AA$1294,'Control Testing'!$B$5:$B$1294,M$4,'Control Testing'!$E$5:$E$1294,$A6)</f>
        <v>2</v>
      </c>
      <c r="N6" s="53" t="n">
        <f aca="false">SUMIFS('Control Testing'!$AA$5:$AA$1294,'Control Testing'!$B$5:$B$1294,N$4,'Control Testing'!$E$5:$E$1294,$A6)</f>
        <v>2</v>
      </c>
      <c r="O6" s="53" t="n">
        <f aca="false">SUMIFS('Control Testing'!$AA$5:$AA$1294,'Control Testing'!$B$5:$B$1294,O$4,'Control Testing'!$E$5:$E$1294,$A6)</f>
        <v>2</v>
      </c>
      <c r="P6" s="53" t="n">
        <f aca="false">SUMIFS('Control Testing'!$AA$5:$AA$1294,'Control Testing'!$B$5:$B$1294,P$4,'Control Testing'!$E$5:$E$1294,$A6)</f>
        <v>3</v>
      </c>
      <c r="Q6" s="53" t="n">
        <f aca="false">SUMIFS('Control Testing'!$AA$5:$AA$1294,'Control Testing'!$B$5:$B$1294,Q$4,'Control Testing'!$E$5:$E$1294,$A6)</f>
        <v>2</v>
      </c>
      <c r="R6" s="53" t="n">
        <f aca="false">SUMIFS('Control Testing'!$AA$5:$AA$1294,'Control Testing'!$B$5:$B$1294,R$4,'Control Testing'!$E$5:$E$1294,$A6)</f>
        <v>3</v>
      </c>
      <c r="S6" s="53" t="n">
        <f aca="false">SUMIFS('Control Testing'!$AA$5:$AA$1294,'Control Testing'!$B$5:$B$1294,S$4,'Control Testing'!$E$5:$E$1294,$A6)</f>
        <v>2</v>
      </c>
      <c r="T6" s="53" t="n">
        <f aca="false">SUMIFS('Control Testing'!$AA$5:$AA$1294,'Control Testing'!$B$5:$B$1294,T$4,'Control Testing'!$E$5:$E$1294,$A6)</f>
        <v>2</v>
      </c>
      <c r="U6" s="53" t="n">
        <f aca="false">SUMIFS('Control Testing'!$AA$5:$AA$1294,'Control Testing'!$B$5:$B$1294,U$4,'Control Testing'!$E$5:$E$1294,$A6)</f>
        <v>2</v>
      </c>
      <c r="V6" s="53" t="n">
        <f aca="false">SUMIFS('Control Testing'!$AA$5:$AA$1294,'Control Testing'!$B$5:$B$1294,V$4,'Control Testing'!$E$5:$E$1294,$A6)</f>
        <v>4</v>
      </c>
      <c r="W6" s="53" t="n">
        <f aca="false">SUMIFS('Control Testing'!$AA$5:$AA$1294,'Control Testing'!$B$5:$B$1294,W$4,'Control Testing'!$E$5:$E$1294,$A6)</f>
        <v>3</v>
      </c>
      <c r="X6" s="53" t="n">
        <f aca="false">SUMIFS('Control Testing'!$AA$5:$AA$1294,'Control Testing'!$B$5:$B$1294,X$4,'Control Testing'!$E$5:$E$1294,$A6)</f>
        <v>2</v>
      </c>
      <c r="Y6" s="53" t="n">
        <f aca="false">SUMIFS('Control Testing'!$AA$5:$AA$1294,'Control Testing'!$B$5:$B$1294,Y$4,'Control Testing'!$E$5:$E$1294,$A6)</f>
        <v>2</v>
      </c>
      <c r="Z6" s="53" t="n">
        <f aca="false">SUMIFS('Control Testing'!$AA$5:$AA$1294,'Control Testing'!$B$5:$B$1294,Z$4,'Control Testing'!$E$5:$E$1294,$A6)</f>
        <v>4</v>
      </c>
      <c r="AA6" s="53" t="n">
        <f aca="false">SUMIFS('Control Testing'!$AA$5:$AA$1294,'Control Testing'!$B$5:$B$1294,AA$4,'Control Testing'!$E$5:$E$1294,$A6)</f>
        <v>1</v>
      </c>
      <c r="AB6" s="53" t="n">
        <f aca="false">SUMIFS('Control Testing'!$AA$5:$AA$1294,'Control Testing'!$B$5:$B$1294,AB$4,'Control Testing'!$E$5:$E$1294,$A6)</f>
        <v>1</v>
      </c>
      <c r="AC6" s="53" t="n">
        <f aca="false">SUMIFS('Control Testing'!$AA$5:$AA$1294,'Control Testing'!$B$5:$B$1294,AC$4,'Control Testing'!$E$5:$E$1294,$A6)</f>
        <v>2</v>
      </c>
      <c r="AD6" s="53" t="n">
        <f aca="false">SUMIFS('Control Testing'!$AA$5:$AA$1294,'Control Testing'!$B$5:$B$1294,AD$4,'Control Testing'!$E$5:$E$1294,$A6)</f>
        <v>2</v>
      </c>
      <c r="AE6" s="53" t="n">
        <f aca="false">SUMIFS('Control Testing'!$AA$5:$AA$1294,'Control Testing'!$B$5:$B$1294,AE$4,'Control Testing'!$E$5:$E$1294,$A6)</f>
        <v>1</v>
      </c>
      <c r="AF6" s="53" t="n">
        <f aca="false">SUMIFS('Control Testing'!$AA$5:$AA$1294,'Control Testing'!$B$5:$B$1294,AF$4,'Control Testing'!$E$5:$E$1294,$A6)</f>
        <v>2</v>
      </c>
      <c r="AG6" s="53" t="n">
        <f aca="false">SUMIFS('Control Testing'!$AA$5:$AA$1294,'Control Testing'!$B$5:$B$1294,AG$4,'Control Testing'!$E$5:$E$1294,$A6)</f>
        <v>2</v>
      </c>
    </row>
    <row r="7" customFormat="false" ht="15" hidden="false" customHeight="false" outlineLevel="0" collapsed="false">
      <c r="A7" s="26" t="str">
        <f aca="false">'Control Library'!A7</f>
        <v>CTL-KYC-03</v>
      </c>
      <c r="B7" s="26" t="str">
        <f aca="false">'Control Library'!B7</f>
        <v>Ultimate beneficial owner identification and verification</v>
      </c>
      <c r="C7" s="52" t="str">
        <f aca="false">'Control Library'!F7</f>
        <v>Y</v>
      </c>
      <c r="D7" s="53" t="n">
        <f aca="false">SUMIFS('Control Testing'!$AA$5:$AA$1294,'Control Testing'!$B$5:$B$1294,D$4,'Control Testing'!$E$5:$E$1294,$A7)</f>
        <v>1</v>
      </c>
      <c r="E7" s="53" t="n">
        <f aca="false">SUMIFS('Control Testing'!$AA$5:$AA$1294,'Control Testing'!$B$5:$B$1294,E$4,'Control Testing'!$E$5:$E$1294,$A7)</f>
        <v>4</v>
      </c>
      <c r="F7" s="53" t="n">
        <f aca="false">SUMIFS('Control Testing'!$AA$5:$AA$1294,'Control Testing'!$B$5:$B$1294,F$4,'Control Testing'!$E$5:$E$1294,$A7)</f>
        <v>1</v>
      </c>
      <c r="G7" s="53" t="n">
        <f aca="false">SUMIFS('Control Testing'!$AA$5:$AA$1294,'Control Testing'!$B$5:$B$1294,G$4,'Control Testing'!$E$5:$E$1294,$A7)</f>
        <v>2</v>
      </c>
      <c r="H7" s="53" t="n">
        <f aca="false">SUMIFS('Control Testing'!$AA$5:$AA$1294,'Control Testing'!$B$5:$B$1294,H$4,'Control Testing'!$E$5:$E$1294,$A7)</f>
        <v>2</v>
      </c>
      <c r="I7" s="53" t="n">
        <f aca="false">SUMIFS('Control Testing'!$AA$5:$AA$1294,'Control Testing'!$B$5:$B$1294,I$4,'Control Testing'!$E$5:$E$1294,$A7)</f>
        <v>2</v>
      </c>
      <c r="J7" s="53" t="n">
        <f aca="false">SUMIFS('Control Testing'!$AA$5:$AA$1294,'Control Testing'!$B$5:$B$1294,J$4,'Control Testing'!$E$5:$E$1294,$A7)</f>
        <v>2</v>
      </c>
      <c r="K7" s="53" t="n">
        <f aca="false">SUMIFS('Control Testing'!$AA$5:$AA$1294,'Control Testing'!$B$5:$B$1294,K$4,'Control Testing'!$E$5:$E$1294,$A7)</f>
        <v>4</v>
      </c>
      <c r="L7" s="53" t="n">
        <f aca="false">SUMIFS('Control Testing'!$AA$5:$AA$1294,'Control Testing'!$B$5:$B$1294,L$4,'Control Testing'!$E$5:$E$1294,$A7)</f>
        <v>2</v>
      </c>
      <c r="M7" s="53" t="n">
        <f aca="false">SUMIFS('Control Testing'!$AA$5:$AA$1294,'Control Testing'!$B$5:$B$1294,M$4,'Control Testing'!$E$5:$E$1294,$A7)</f>
        <v>1</v>
      </c>
      <c r="N7" s="53" t="n">
        <f aca="false">SUMIFS('Control Testing'!$AA$5:$AA$1294,'Control Testing'!$B$5:$B$1294,N$4,'Control Testing'!$E$5:$E$1294,$A7)</f>
        <v>2</v>
      </c>
      <c r="O7" s="53" t="n">
        <f aca="false">SUMIFS('Control Testing'!$AA$5:$AA$1294,'Control Testing'!$B$5:$B$1294,O$4,'Control Testing'!$E$5:$E$1294,$A7)</f>
        <v>3</v>
      </c>
      <c r="P7" s="53" t="n">
        <f aca="false">SUMIFS('Control Testing'!$AA$5:$AA$1294,'Control Testing'!$B$5:$B$1294,P$4,'Control Testing'!$E$5:$E$1294,$A7)</f>
        <v>2</v>
      </c>
      <c r="Q7" s="53" t="n">
        <f aca="false">SUMIFS('Control Testing'!$AA$5:$AA$1294,'Control Testing'!$B$5:$B$1294,Q$4,'Control Testing'!$E$5:$E$1294,$A7)</f>
        <v>2</v>
      </c>
      <c r="R7" s="53" t="n">
        <f aca="false">SUMIFS('Control Testing'!$AA$5:$AA$1294,'Control Testing'!$B$5:$B$1294,R$4,'Control Testing'!$E$5:$E$1294,$A7)</f>
        <v>3</v>
      </c>
      <c r="S7" s="53" t="n">
        <f aca="false">SUMIFS('Control Testing'!$AA$5:$AA$1294,'Control Testing'!$B$5:$B$1294,S$4,'Control Testing'!$E$5:$E$1294,$A7)</f>
        <v>4</v>
      </c>
      <c r="T7" s="53" t="n">
        <f aca="false">SUMIFS('Control Testing'!$AA$5:$AA$1294,'Control Testing'!$B$5:$B$1294,T$4,'Control Testing'!$E$5:$E$1294,$A7)</f>
        <v>2</v>
      </c>
      <c r="U7" s="53" t="n">
        <f aca="false">SUMIFS('Control Testing'!$AA$5:$AA$1294,'Control Testing'!$B$5:$B$1294,U$4,'Control Testing'!$E$5:$E$1294,$A7)</f>
        <v>1</v>
      </c>
      <c r="V7" s="53" t="n">
        <f aca="false">SUMIFS('Control Testing'!$AA$5:$AA$1294,'Control Testing'!$B$5:$B$1294,V$4,'Control Testing'!$E$5:$E$1294,$A7)</f>
        <v>2</v>
      </c>
      <c r="W7" s="53" t="n">
        <f aca="false">SUMIFS('Control Testing'!$AA$5:$AA$1294,'Control Testing'!$B$5:$B$1294,W$4,'Control Testing'!$E$5:$E$1294,$A7)</f>
        <v>2</v>
      </c>
      <c r="X7" s="53" t="n">
        <f aca="false">SUMIFS('Control Testing'!$AA$5:$AA$1294,'Control Testing'!$B$5:$B$1294,X$4,'Control Testing'!$E$5:$E$1294,$A7)</f>
        <v>2</v>
      </c>
      <c r="Y7" s="53" t="n">
        <f aca="false">SUMIFS('Control Testing'!$AA$5:$AA$1294,'Control Testing'!$B$5:$B$1294,Y$4,'Control Testing'!$E$5:$E$1294,$A7)</f>
        <v>1</v>
      </c>
      <c r="Z7" s="53" t="n">
        <f aca="false">SUMIFS('Control Testing'!$AA$5:$AA$1294,'Control Testing'!$B$5:$B$1294,Z$4,'Control Testing'!$E$5:$E$1294,$A7)</f>
        <v>1</v>
      </c>
      <c r="AA7" s="53" t="n">
        <f aca="false">SUMIFS('Control Testing'!$AA$5:$AA$1294,'Control Testing'!$B$5:$B$1294,AA$4,'Control Testing'!$E$5:$E$1294,$A7)</f>
        <v>2</v>
      </c>
      <c r="AB7" s="53" t="n">
        <f aca="false">SUMIFS('Control Testing'!$AA$5:$AA$1294,'Control Testing'!$B$5:$B$1294,AB$4,'Control Testing'!$E$5:$E$1294,$A7)</f>
        <v>3</v>
      </c>
      <c r="AC7" s="53" t="n">
        <f aca="false">SUMIFS('Control Testing'!$AA$5:$AA$1294,'Control Testing'!$B$5:$B$1294,AC$4,'Control Testing'!$E$5:$E$1294,$A7)</f>
        <v>1</v>
      </c>
      <c r="AD7" s="53" t="n">
        <f aca="false">SUMIFS('Control Testing'!$AA$5:$AA$1294,'Control Testing'!$B$5:$B$1294,AD$4,'Control Testing'!$E$5:$E$1294,$A7)</f>
        <v>2</v>
      </c>
      <c r="AE7" s="53" t="n">
        <f aca="false">SUMIFS('Control Testing'!$AA$5:$AA$1294,'Control Testing'!$B$5:$B$1294,AE$4,'Control Testing'!$E$5:$E$1294,$A7)</f>
        <v>1</v>
      </c>
      <c r="AF7" s="53" t="n">
        <f aca="false">SUMIFS('Control Testing'!$AA$5:$AA$1294,'Control Testing'!$B$5:$B$1294,AF$4,'Control Testing'!$E$5:$E$1294,$A7)</f>
        <v>1</v>
      </c>
      <c r="AG7" s="53" t="n">
        <f aca="false">SUMIFS('Control Testing'!$AA$5:$AA$1294,'Control Testing'!$B$5:$B$1294,AG$4,'Control Testing'!$E$5:$E$1294,$A7)</f>
        <v>1</v>
      </c>
    </row>
    <row r="8" customFormat="false" ht="15" hidden="false" customHeight="false" outlineLevel="0" collapsed="false">
      <c r="A8" s="26" t="str">
        <f aca="false">'Control Library'!A8</f>
        <v>CTL-KYC-04</v>
      </c>
      <c r="B8" s="26" t="str">
        <f aca="false">'Control Library'!B8</f>
        <v>Periodic KYC review by customer risk rating</v>
      </c>
      <c r="C8" s="52" t="str">
        <f aca="false">'Control Library'!F8</f>
        <v>Y</v>
      </c>
      <c r="D8" s="53" t="n">
        <f aca="false">SUMIFS('Control Testing'!$AA$5:$AA$1294,'Control Testing'!$B$5:$B$1294,D$4,'Control Testing'!$E$5:$E$1294,$A8)</f>
        <v>2</v>
      </c>
      <c r="E8" s="53" t="n">
        <f aca="false">SUMIFS('Control Testing'!$AA$5:$AA$1294,'Control Testing'!$B$5:$B$1294,E$4,'Control Testing'!$E$5:$E$1294,$A8)</f>
        <v>2</v>
      </c>
      <c r="F8" s="53" t="n">
        <f aca="false">SUMIFS('Control Testing'!$AA$5:$AA$1294,'Control Testing'!$B$5:$B$1294,F$4,'Control Testing'!$E$5:$E$1294,$A8)</f>
        <v>3</v>
      </c>
      <c r="G8" s="53" t="n">
        <f aca="false">SUMIFS('Control Testing'!$AA$5:$AA$1294,'Control Testing'!$B$5:$B$1294,G$4,'Control Testing'!$E$5:$E$1294,$A8)</f>
        <v>2</v>
      </c>
      <c r="H8" s="53" t="n">
        <f aca="false">SUMIFS('Control Testing'!$AA$5:$AA$1294,'Control Testing'!$B$5:$B$1294,H$4,'Control Testing'!$E$5:$E$1294,$A8)</f>
        <v>1</v>
      </c>
      <c r="I8" s="53" t="n">
        <f aca="false">SUMIFS('Control Testing'!$AA$5:$AA$1294,'Control Testing'!$B$5:$B$1294,I$4,'Control Testing'!$E$5:$E$1294,$A8)</f>
        <v>3</v>
      </c>
      <c r="J8" s="53" t="n">
        <f aca="false">SUMIFS('Control Testing'!$AA$5:$AA$1294,'Control Testing'!$B$5:$B$1294,J$4,'Control Testing'!$E$5:$E$1294,$A8)</f>
        <v>2</v>
      </c>
      <c r="K8" s="53" t="n">
        <f aca="false">SUMIFS('Control Testing'!$AA$5:$AA$1294,'Control Testing'!$B$5:$B$1294,K$4,'Control Testing'!$E$5:$E$1294,$A8)</f>
        <v>3</v>
      </c>
      <c r="L8" s="53" t="n">
        <f aca="false">SUMIFS('Control Testing'!$AA$5:$AA$1294,'Control Testing'!$B$5:$B$1294,L$4,'Control Testing'!$E$5:$E$1294,$A8)</f>
        <v>2</v>
      </c>
      <c r="M8" s="53" t="n">
        <f aca="false">SUMIFS('Control Testing'!$AA$5:$AA$1294,'Control Testing'!$B$5:$B$1294,M$4,'Control Testing'!$E$5:$E$1294,$A8)</f>
        <v>2</v>
      </c>
      <c r="N8" s="53" t="n">
        <f aca="false">SUMIFS('Control Testing'!$AA$5:$AA$1294,'Control Testing'!$B$5:$B$1294,N$4,'Control Testing'!$E$5:$E$1294,$A8)</f>
        <v>2</v>
      </c>
      <c r="O8" s="53" t="n">
        <f aca="false">SUMIFS('Control Testing'!$AA$5:$AA$1294,'Control Testing'!$B$5:$B$1294,O$4,'Control Testing'!$E$5:$E$1294,$A8)</f>
        <v>1</v>
      </c>
      <c r="P8" s="53" t="n">
        <f aca="false">SUMIFS('Control Testing'!$AA$5:$AA$1294,'Control Testing'!$B$5:$B$1294,P$4,'Control Testing'!$E$5:$E$1294,$A8)</f>
        <v>2</v>
      </c>
      <c r="Q8" s="53" t="n">
        <f aca="false">SUMIFS('Control Testing'!$AA$5:$AA$1294,'Control Testing'!$B$5:$B$1294,Q$4,'Control Testing'!$E$5:$E$1294,$A8)</f>
        <v>2</v>
      </c>
      <c r="R8" s="53" t="n">
        <f aca="false">SUMIFS('Control Testing'!$AA$5:$AA$1294,'Control Testing'!$B$5:$B$1294,R$4,'Control Testing'!$E$5:$E$1294,$A8)</f>
        <v>2</v>
      </c>
      <c r="S8" s="53" t="n">
        <f aca="false">SUMIFS('Control Testing'!$AA$5:$AA$1294,'Control Testing'!$B$5:$B$1294,S$4,'Control Testing'!$E$5:$E$1294,$A8)</f>
        <v>2</v>
      </c>
      <c r="T8" s="53" t="n">
        <f aca="false">SUMIFS('Control Testing'!$AA$5:$AA$1294,'Control Testing'!$B$5:$B$1294,T$4,'Control Testing'!$E$5:$E$1294,$A8)</f>
        <v>2</v>
      </c>
      <c r="U8" s="53" t="n">
        <f aca="false">SUMIFS('Control Testing'!$AA$5:$AA$1294,'Control Testing'!$B$5:$B$1294,U$4,'Control Testing'!$E$5:$E$1294,$A8)</f>
        <v>3</v>
      </c>
      <c r="V8" s="53" t="n">
        <f aca="false">SUMIFS('Control Testing'!$AA$5:$AA$1294,'Control Testing'!$B$5:$B$1294,V$4,'Control Testing'!$E$5:$E$1294,$A8)</f>
        <v>1</v>
      </c>
      <c r="W8" s="53" t="n">
        <f aca="false">SUMIFS('Control Testing'!$AA$5:$AA$1294,'Control Testing'!$B$5:$B$1294,W$4,'Control Testing'!$E$5:$E$1294,$A8)</f>
        <v>4</v>
      </c>
      <c r="X8" s="53" t="n">
        <f aca="false">SUMIFS('Control Testing'!$AA$5:$AA$1294,'Control Testing'!$B$5:$B$1294,X$4,'Control Testing'!$E$5:$E$1294,$A8)</f>
        <v>3</v>
      </c>
      <c r="Y8" s="53" t="n">
        <f aca="false">SUMIFS('Control Testing'!$AA$5:$AA$1294,'Control Testing'!$B$5:$B$1294,Y$4,'Control Testing'!$E$5:$E$1294,$A8)</f>
        <v>1</v>
      </c>
      <c r="Z8" s="53" t="n">
        <f aca="false">SUMIFS('Control Testing'!$AA$5:$AA$1294,'Control Testing'!$B$5:$B$1294,Z$4,'Control Testing'!$E$5:$E$1294,$A8)</f>
        <v>4</v>
      </c>
      <c r="AA8" s="53" t="n">
        <f aca="false">SUMIFS('Control Testing'!$AA$5:$AA$1294,'Control Testing'!$B$5:$B$1294,AA$4,'Control Testing'!$E$5:$E$1294,$A8)</f>
        <v>1</v>
      </c>
      <c r="AB8" s="53" t="n">
        <f aca="false">SUMIFS('Control Testing'!$AA$5:$AA$1294,'Control Testing'!$B$5:$B$1294,AB$4,'Control Testing'!$E$5:$E$1294,$A8)</f>
        <v>2</v>
      </c>
      <c r="AC8" s="53" t="n">
        <f aca="false">SUMIFS('Control Testing'!$AA$5:$AA$1294,'Control Testing'!$B$5:$B$1294,AC$4,'Control Testing'!$E$5:$E$1294,$A8)</f>
        <v>2</v>
      </c>
      <c r="AD8" s="53" t="n">
        <f aca="false">SUMIFS('Control Testing'!$AA$5:$AA$1294,'Control Testing'!$B$5:$B$1294,AD$4,'Control Testing'!$E$5:$E$1294,$A8)</f>
        <v>2</v>
      </c>
      <c r="AE8" s="53" t="n">
        <f aca="false">SUMIFS('Control Testing'!$AA$5:$AA$1294,'Control Testing'!$B$5:$B$1294,AE$4,'Control Testing'!$E$5:$E$1294,$A8)</f>
        <v>1</v>
      </c>
      <c r="AF8" s="53" t="n">
        <f aca="false">SUMIFS('Control Testing'!$AA$5:$AA$1294,'Control Testing'!$B$5:$B$1294,AF$4,'Control Testing'!$E$5:$E$1294,$A8)</f>
        <v>2</v>
      </c>
      <c r="AG8" s="53" t="n">
        <f aca="false">SUMIFS('Control Testing'!$AA$5:$AA$1294,'Control Testing'!$B$5:$B$1294,AG$4,'Control Testing'!$E$5:$E$1294,$A8)</f>
        <v>2</v>
      </c>
    </row>
    <row r="9" customFormat="false" ht="15" hidden="false" customHeight="false" outlineLevel="0" collapsed="false">
      <c r="A9" s="26" t="str">
        <f aca="false">'Control Library'!A9</f>
        <v>CTL-CRR-01</v>
      </c>
      <c r="B9" s="26" t="str">
        <f aca="false">'Control Library'!B9</f>
        <v>Customer risk rating model and annual validation</v>
      </c>
      <c r="C9" s="52" t="str">
        <f aca="false">'Control Library'!F9</f>
        <v>N</v>
      </c>
      <c r="D9" s="53" t="n">
        <f aca="false">SUMIFS('Control Testing'!$AA$5:$AA$1294,'Control Testing'!$B$5:$B$1294,D$4,'Control Testing'!$E$5:$E$1294,$A9)</f>
        <v>3</v>
      </c>
      <c r="E9" s="53" t="n">
        <f aca="false">SUMIFS('Control Testing'!$AA$5:$AA$1294,'Control Testing'!$B$5:$B$1294,E$4,'Control Testing'!$E$5:$E$1294,$A9)</f>
        <v>2</v>
      </c>
      <c r="F9" s="53" t="n">
        <f aca="false">SUMIFS('Control Testing'!$AA$5:$AA$1294,'Control Testing'!$B$5:$B$1294,F$4,'Control Testing'!$E$5:$E$1294,$A9)</f>
        <v>1</v>
      </c>
      <c r="G9" s="53" t="n">
        <f aca="false">SUMIFS('Control Testing'!$AA$5:$AA$1294,'Control Testing'!$B$5:$B$1294,G$4,'Control Testing'!$E$5:$E$1294,$A9)</f>
        <v>2</v>
      </c>
      <c r="H9" s="53" t="n">
        <f aca="false">SUMIFS('Control Testing'!$AA$5:$AA$1294,'Control Testing'!$B$5:$B$1294,H$4,'Control Testing'!$E$5:$E$1294,$A9)</f>
        <v>3</v>
      </c>
      <c r="I9" s="53" t="n">
        <f aca="false">SUMIFS('Control Testing'!$AA$5:$AA$1294,'Control Testing'!$B$5:$B$1294,I$4,'Control Testing'!$E$5:$E$1294,$A9)</f>
        <v>3</v>
      </c>
      <c r="J9" s="53" t="n">
        <f aca="false">SUMIFS('Control Testing'!$AA$5:$AA$1294,'Control Testing'!$B$5:$B$1294,J$4,'Control Testing'!$E$5:$E$1294,$A9)</f>
        <v>1</v>
      </c>
      <c r="K9" s="53" t="n">
        <f aca="false">SUMIFS('Control Testing'!$AA$5:$AA$1294,'Control Testing'!$B$5:$B$1294,K$4,'Control Testing'!$E$5:$E$1294,$A9)</f>
        <v>4</v>
      </c>
      <c r="L9" s="53" t="n">
        <f aca="false">SUMIFS('Control Testing'!$AA$5:$AA$1294,'Control Testing'!$B$5:$B$1294,L$4,'Control Testing'!$E$5:$E$1294,$A9)</f>
        <v>2</v>
      </c>
      <c r="M9" s="53" t="n">
        <f aca="false">SUMIFS('Control Testing'!$AA$5:$AA$1294,'Control Testing'!$B$5:$B$1294,M$4,'Control Testing'!$E$5:$E$1294,$A9)</f>
        <v>1</v>
      </c>
      <c r="N9" s="53" t="n">
        <f aca="false">SUMIFS('Control Testing'!$AA$5:$AA$1294,'Control Testing'!$B$5:$B$1294,N$4,'Control Testing'!$E$5:$E$1294,$A9)</f>
        <v>2</v>
      </c>
      <c r="O9" s="53" t="n">
        <f aca="false">SUMIFS('Control Testing'!$AA$5:$AA$1294,'Control Testing'!$B$5:$B$1294,O$4,'Control Testing'!$E$5:$E$1294,$A9)</f>
        <v>2</v>
      </c>
      <c r="P9" s="53" t="n">
        <f aca="false">SUMIFS('Control Testing'!$AA$5:$AA$1294,'Control Testing'!$B$5:$B$1294,P$4,'Control Testing'!$E$5:$E$1294,$A9)</f>
        <v>3</v>
      </c>
      <c r="Q9" s="53" t="n">
        <f aca="false">SUMIFS('Control Testing'!$AA$5:$AA$1294,'Control Testing'!$B$5:$B$1294,Q$4,'Control Testing'!$E$5:$E$1294,$A9)</f>
        <v>2</v>
      </c>
      <c r="R9" s="53" t="n">
        <f aca="false">SUMIFS('Control Testing'!$AA$5:$AA$1294,'Control Testing'!$B$5:$B$1294,R$4,'Control Testing'!$E$5:$E$1294,$A9)</f>
        <v>3</v>
      </c>
      <c r="S9" s="53" t="n">
        <f aca="false">SUMIFS('Control Testing'!$AA$5:$AA$1294,'Control Testing'!$B$5:$B$1294,S$4,'Control Testing'!$E$5:$E$1294,$A9)</f>
        <v>2</v>
      </c>
      <c r="T9" s="53" t="n">
        <f aca="false">SUMIFS('Control Testing'!$AA$5:$AA$1294,'Control Testing'!$B$5:$B$1294,T$4,'Control Testing'!$E$5:$E$1294,$A9)</f>
        <v>2</v>
      </c>
      <c r="U9" s="53" t="n">
        <f aca="false">SUMIFS('Control Testing'!$AA$5:$AA$1294,'Control Testing'!$B$5:$B$1294,U$4,'Control Testing'!$E$5:$E$1294,$A9)</f>
        <v>2</v>
      </c>
      <c r="V9" s="53" t="n">
        <f aca="false">SUMIFS('Control Testing'!$AA$5:$AA$1294,'Control Testing'!$B$5:$B$1294,V$4,'Control Testing'!$E$5:$E$1294,$A9)</f>
        <v>2</v>
      </c>
      <c r="W9" s="53" t="n">
        <f aca="false">SUMIFS('Control Testing'!$AA$5:$AA$1294,'Control Testing'!$B$5:$B$1294,W$4,'Control Testing'!$E$5:$E$1294,$A9)</f>
        <v>2</v>
      </c>
      <c r="X9" s="53" t="n">
        <f aca="false">SUMIFS('Control Testing'!$AA$5:$AA$1294,'Control Testing'!$B$5:$B$1294,X$4,'Control Testing'!$E$5:$E$1294,$A9)</f>
        <v>4</v>
      </c>
      <c r="Y9" s="53" t="n">
        <f aca="false">SUMIFS('Control Testing'!$AA$5:$AA$1294,'Control Testing'!$B$5:$B$1294,Y$4,'Control Testing'!$E$5:$E$1294,$A9)</f>
        <v>1</v>
      </c>
      <c r="Z9" s="53" t="n">
        <f aca="false">SUMIFS('Control Testing'!$AA$5:$AA$1294,'Control Testing'!$B$5:$B$1294,Z$4,'Control Testing'!$E$5:$E$1294,$A9)</f>
        <v>2</v>
      </c>
      <c r="AA9" s="53" t="n">
        <f aca="false">SUMIFS('Control Testing'!$AA$5:$AA$1294,'Control Testing'!$B$5:$B$1294,AA$4,'Control Testing'!$E$5:$E$1294,$A9)</f>
        <v>1</v>
      </c>
      <c r="AB9" s="53" t="n">
        <f aca="false">SUMIFS('Control Testing'!$AA$5:$AA$1294,'Control Testing'!$B$5:$B$1294,AB$4,'Control Testing'!$E$5:$E$1294,$A9)</f>
        <v>4</v>
      </c>
      <c r="AC9" s="53" t="n">
        <f aca="false">SUMIFS('Control Testing'!$AA$5:$AA$1294,'Control Testing'!$B$5:$B$1294,AC$4,'Control Testing'!$E$5:$E$1294,$A9)</f>
        <v>2</v>
      </c>
      <c r="AD9" s="53" t="n">
        <f aca="false">SUMIFS('Control Testing'!$AA$5:$AA$1294,'Control Testing'!$B$5:$B$1294,AD$4,'Control Testing'!$E$5:$E$1294,$A9)</f>
        <v>2</v>
      </c>
      <c r="AE9" s="53" t="n">
        <f aca="false">SUMIFS('Control Testing'!$AA$5:$AA$1294,'Control Testing'!$B$5:$B$1294,AE$4,'Control Testing'!$E$5:$E$1294,$A9)</f>
        <v>1</v>
      </c>
      <c r="AF9" s="53" t="n">
        <f aca="false">SUMIFS('Control Testing'!$AA$5:$AA$1294,'Control Testing'!$B$5:$B$1294,AF$4,'Control Testing'!$E$5:$E$1294,$A9)</f>
        <v>2</v>
      </c>
      <c r="AG9" s="53" t="n">
        <f aca="false">SUMIFS('Control Testing'!$AA$5:$AA$1294,'Control Testing'!$B$5:$B$1294,AG$4,'Control Testing'!$E$5:$E$1294,$A9)</f>
        <v>2</v>
      </c>
    </row>
    <row r="10" customFormat="false" ht="15" hidden="false" customHeight="false" outlineLevel="0" collapsed="false">
      <c r="A10" s="26" t="str">
        <f aca="false">'Control Library'!A10</f>
        <v>CTL-TM-01</v>
      </c>
      <c r="B10" s="26" t="str">
        <f aca="false">'Control Library'!B10</f>
        <v>Automated transaction monitoring scenarios and annual tuning</v>
      </c>
      <c r="C10" s="52" t="str">
        <f aca="false">'Control Library'!F10</f>
        <v>Y</v>
      </c>
      <c r="D10" s="53" t="n">
        <f aca="false">SUMIFS('Control Testing'!$AA$5:$AA$1294,'Control Testing'!$B$5:$B$1294,D$4,'Control Testing'!$E$5:$E$1294,$A10)</f>
        <v>2</v>
      </c>
      <c r="E10" s="53" t="n">
        <f aca="false">SUMIFS('Control Testing'!$AA$5:$AA$1294,'Control Testing'!$B$5:$B$1294,E$4,'Control Testing'!$E$5:$E$1294,$A10)</f>
        <v>2</v>
      </c>
      <c r="F10" s="53" t="n">
        <f aca="false">SUMIFS('Control Testing'!$AA$5:$AA$1294,'Control Testing'!$B$5:$B$1294,F$4,'Control Testing'!$E$5:$E$1294,$A10)</f>
        <v>0</v>
      </c>
      <c r="G10" s="53" t="n">
        <f aca="false">SUMIFS('Control Testing'!$AA$5:$AA$1294,'Control Testing'!$B$5:$B$1294,G$4,'Control Testing'!$E$5:$E$1294,$A10)</f>
        <v>0</v>
      </c>
      <c r="H10" s="53" t="n">
        <f aca="false">SUMIFS('Control Testing'!$AA$5:$AA$1294,'Control Testing'!$B$5:$B$1294,H$4,'Control Testing'!$E$5:$E$1294,$A10)</f>
        <v>0</v>
      </c>
      <c r="I10" s="53" t="n">
        <f aca="false">SUMIFS('Control Testing'!$AA$5:$AA$1294,'Control Testing'!$B$5:$B$1294,I$4,'Control Testing'!$E$5:$E$1294,$A10)</f>
        <v>3</v>
      </c>
      <c r="J10" s="53" t="n">
        <f aca="false">SUMIFS('Control Testing'!$AA$5:$AA$1294,'Control Testing'!$B$5:$B$1294,J$4,'Control Testing'!$E$5:$E$1294,$A10)</f>
        <v>0</v>
      </c>
      <c r="K10" s="53" t="n">
        <f aca="false">SUMIFS('Control Testing'!$AA$5:$AA$1294,'Control Testing'!$B$5:$B$1294,K$4,'Control Testing'!$E$5:$E$1294,$A10)</f>
        <v>2</v>
      </c>
      <c r="L10" s="53" t="n">
        <f aca="false">SUMIFS('Control Testing'!$AA$5:$AA$1294,'Control Testing'!$B$5:$B$1294,L$4,'Control Testing'!$E$5:$E$1294,$A10)</f>
        <v>2</v>
      </c>
      <c r="M10" s="53" t="n">
        <f aca="false">SUMIFS('Control Testing'!$AA$5:$AA$1294,'Control Testing'!$B$5:$B$1294,M$4,'Control Testing'!$E$5:$E$1294,$A10)</f>
        <v>2</v>
      </c>
      <c r="N10" s="53" t="n">
        <f aca="false">SUMIFS('Control Testing'!$AA$5:$AA$1294,'Control Testing'!$B$5:$B$1294,N$4,'Control Testing'!$E$5:$E$1294,$A10)</f>
        <v>2</v>
      </c>
      <c r="O10" s="53" t="n">
        <f aca="false">SUMIFS('Control Testing'!$AA$5:$AA$1294,'Control Testing'!$B$5:$B$1294,O$4,'Control Testing'!$E$5:$E$1294,$A10)</f>
        <v>2</v>
      </c>
      <c r="P10" s="53" t="n">
        <f aca="false">SUMIFS('Control Testing'!$AA$5:$AA$1294,'Control Testing'!$B$5:$B$1294,P$4,'Control Testing'!$E$5:$E$1294,$A10)</f>
        <v>1</v>
      </c>
      <c r="Q10" s="53" t="n">
        <f aca="false">SUMIFS('Control Testing'!$AA$5:$AA$1294,'Control Testing'!$B$5:$B$1294,Q$4,'Control Testing'!$E$5:$E$1294,$A10)</f>
        <v>2</v>
      </c>
      <c r="R10" s="53" t="n">
        <f aca="false">SUMIFS('Control Testing'!$AA$5:$AA$1294,'Control Testing'!$B$5:$B$1294,R$4,'Control Testing'!$E$5:$E$1294,$A10)</f>
        <v>2</v>
      </c>
      <c r="S10" s="53" t="n">
        <f aca="false">SUMIFS('Control Testing'!$AA$5:$AA$1294,'Control Testing'!$B$5:$B$1294,S$4,'Control Testing'!$E$5:$E$1294,$A10)</f>
        <v>2</v>
      </c>
      <c r="T10" s="53" t="n">
        <f aca="false">SUMIFS('Control Testing'!$AA$5:$AA$1294,'Control Testing'!$B$5:$B$1294,T$4,'Control Testing'!$E$5:$E$1294,$A10)</f>
        <v>2</v>
      </c>
      <c r="U10" s="53" t="n">
        <f aca="false">SUMIFS('Control Testing'!$AA$5:$AA$1294,'Control Testing'!$B$5:$B$1294,U$4,'Control Testing'!$E$5:$E$1294,$A10)</f>
        <v>2</v>
      </c>
      <c r="V10" s="53" t="n">
        <f aca="false">SUMIFS('Control Testing'!$AA$5:$AA$1294,'Control Testing'!$B$5:$B$1294,V$4,'Control Testing'!$E$5:$E$1294,$A10)</f>
        <v>2</v>
      </c>
      <c r="W10" s="53" t="n">
        <f aca="false">SUMIFS('Control Testing'!$AA$5:$AA$1294,'Control Testing'!$B$5:$B$1294,W$4,'Control Testing'!$E$5:$E$1294,$A10)</f>
        <v>2</v>
      </c>
      <c r="X10" s="53" t="n">
        <f aca="false">SUMIFS('Control Testing'!$AA$5:$AA$1294,'Control Testing'!$B$5:$B$1294,X$4,'Control Testing'!$E$5:$E$1294,$A10)</f>
        <v>3</v>
      </c>
      <c r="Y10" s="53" t="n">
        <f aca="false">SUMIFS('Control Testing'!$AA$5:$AA$1294,'Control Testing'!$B$5:$B$1294,Y$4,'Control Testing'!$E$5:$E$1294,$A10)</f>
        <v>2</v>
      </c>
      <c r="Z10" s="53" t="n">
        <f aca="false">SUMIFS('Control Testing'!$AA$5:$AA$1294,'Control Testing'!$B$5:$B$1294,Z$4,'Control Testing'!$E$5:$E$1294,$A10)</f>
        <v>2</v>
      </c>
      <c r="AA10" s="53" t="n">
        <f aca="false">SUMIFS('Control Testing'!$AA$5:$AA$1294,'Control Testing'!$B$5:$B$1294,AA$4,'Control Testing'!$E$5:$E$1294,$A10)</f>
        <v>1</v>
      </c>
      <c r="AB10" s="53" t="n">
        <f aca="false">SUMIFS('Control Testing'!$AA$5:$AA$1294,'Control Testing'!$B$5:$B$1294,AB$4,'Control Testing'!$E$5:$E$1294,$A10)</f>
        <v>2</v>
      </c>
      <c r="AC10" s="53" t="n">
        <f aca="false">SUMIFS('Control Testing'!$AA$5:$AA$1294,'Control Testing'!$B$5:$B$1294,AC$4,'Control Testing'!$E$5:$E$1294,$A10)</f>
        <v>2</v>
      </c>
      <c r="AD10" s="53" t="n">
        <f aca="false">SUMIFS('Control Testing'!$AA$5:$AA$1294,'Control Testing'!$B$5:$B$1294,AD$4,'Control Testing'!$E$5:$E$1294,$A10)</f>
        <v>1</v>
      </c>
      <c r="AE10" s="53" t="n">
        <f aca="false">SUMIFS('Control Testing'!$AA$5:$AA$1294,'Control Testing'!$B$5:$B$1294,AE$4,'Control Testing'!$E$5:$E$1294,$A10)</f>
        <v>1</v>
      </c>
      <c r="AF10" s="53" t="n">
        <f aca="false">SUMIFS('Control Testing'!$AA$5:$AA$1294,'Control Testing'!$B$5:$B$1294,AF$4,'Control Testing'!$E$5:$E$1294,$A10)</f>
        <v>2</v>
      </c>
      <c r="AG10" s="53" t="n">
        <f aca="false">SUMIFS('Control Testing'!$AA$5:$AA$1294,'Control Testing'!$B$5:$B$1294,AG$4,'Control Testing'!$E$5:$E$1294,$A10)</f>
        <v>1</v>
      </c>
    </row>
    <row r="11" customFormat="false" ht="15" hidden="false" customHeight="false" outlineLevel="0" collapsed="false">
      <c r="A11" s="26" t="str">
        <f aca="false">'Control Library'!A11</f>
        <v>CTL-TM-02</v>
      </c>
      <c r="B11" s="26" t="str">
        <f aca="false">'Control Library'!B11</f>
        <v>Alert investigation and quality assurance within SLA</v>
      </c>
      <c r="C11" s="52" t="str">
        <f aca="false">'Control Library'!F11</f>
        <v>Y</v>
      </c>
      <c r="D11" s="53" t="n">
        <f aca="false">SUMIFS('Control Testing'!$AA$5:$AA$1294,'Control Testing'!$B$5:$B$1294,D$4,'Control Testing'!$E$5:$E$1294,$A11)</f>
        <v>2</v>
      </c>
      <c r="E11" s="53" t="n">
        <f aca="false">SUMIFS('Control Testing'!$AA$5:$AA$1294,'Control Testing'!$B$5:$B$1294,E$4,'Control Testing'!$E$5:$E$1294,$A11)</f>
        <v>2</v>
      </c>
      <c r="F11" s="53" t="n">
        <f aca="false">SUMIFS('Control Testing'!$AA$5:$AA$1294,'Control Testing'!$B$5:$B$1294,F$4,'Control Testing'!$E$5:$E$1294,$A11)</f>
        <v>2</v>
      </c>
      <c r="G11" s="53" t="n">
        <f aca="false">SUMIFS('Control Testing'!$AA$5:$AA$1294,'Control Testing'!$B$5:$B$1294,G$4,'Control Testing'!$E$5:$E$1294,$A11)</f>
        <v>1</v>
      </c>
      <c r="H11" s="53" t="n">
        <f aca="false">SUMIFS('Control Testing'!$AA$5:$AA$1294,'Control Testing'!$B$5:$B$1294,H$4,'Control Testing'!$E$5:$E$1294,$A11)</f>
        <v>1</v>
      </c>
      <c r="I11" s="53" t="n">
        <f aca="false">SUMIFS('Control Testing'!$AA$5:$AA$1294,'Control Testing'!$B$5:$B$1294,I$4,'Control Testing'!$E$5:$E$1294,$A11)</f>
        <v>2</v>
      </c>
      <c r="J11" s="53" t="n">
        <f aca="false">SUMIFS('Control Testing'!$AA$5:$AA$1294,'Control Testing'!$B$5:$B$1294,J$4,'Control Testing'!$E$5:$E$1294,$A11)</f>
        <v>4</v>
      </c>
      <c r="K11" s="53" t="n">
        <f aca="false">SUMIFS('Control Testing'!$AA$5:$AA$1294,'Control Testing'!$B$5:$B$1294,K$4,'Control Testing'!$E$5:$E$1294,$A11)</f>
        <v>2</v>
      </c>
      <c r="L11" s="53" t="n">
        <f aca="false">SUMIFS('Control Testing'!$AA$5:$AA$1294,'Control Testing'!$B$5:$B$1294,L$4,'Control Testing'!$E$5:$E$1294,$A11)</f>
        <v>3</v>
      </c>
      <c r="M11" s="53" t="n">
        <f aca="false">SUMIFS('Control Testing'!$AA$5:$AA$1294,'Control Testing'!$B$5:$B$1294,M$4,'Control Testing'!$E$5:$E$1294,$A11)</f>
        <v>2</v>
      </c>
      <c r="N11" s="53" t="n">
        <f aca="false">SUMIFS('Control Testing'!$AA$5:$AA$1294,'Control Testing'!$B$5:$B$1294,N$4,'Control Testing'!$E$5:$E$1294,$A11)</f>
        <v>2</v>
      </c>
      <c r="O11" s="53" t="n">
        <f aca="false">SUMIFS('Control Testing'!$AA$5:$AA$1294,'Control Testing'!$B$5:$B$1294,O$4,'Control Testing'!$E$5:$E$1294,$A11)</f>
        <v>2</v>
      </c>
      <c r="P11" s="53" t="n">
        <f aca="false">SUMIFS('Control Testing'!$AA$5:$AA$1294,'Control Testing'!$B$5:$B$1294,P$4,'Control Testing'!$E$5:$E$1294,$A11)</f>
        <v>2</v>
      </c>
      <c r="Q11" s="53" t="n">
        <f aca="false">SUMIFS('Control Testing'!$AA$5:$AA$1294,'Control Testing'!$B$5:$B$1294,Q$4,'Control Testing'!$E$5:$E$1294,$A11)</f>
        <v>2</v>
      </c>
      <c r="R11" s="53" t="n">
        <f aca="false">SUMIFS('Control Testing'!$AA$5:$AA$1294,'Control Testing'!$B$5:$B$1294,R$4,'Control Testing'!$E$5:$E$1294,$A11)</f>
        <v>2</v>
      </c>
      <c r="S11" s="53" t="n">
        <f aca="false">SUMIFS('Control Testing'!$AA$5:$AA$1294,'Control Testing'!$B$5:$B$1294,S$4,'Control Testing'!$E$5:$E$1294,$A11)</f>
        <v>2</v>
      </c>
      <c r="T11" s="53" t="n">
        <f aca="false">SUMIFS('Control Testing'!$AA$5:$AA$1294,'Control Testing'!$B$5:$B$1294,T$4,'Control Testing'!$E$5:$E$1294,$A11)</f>
        <v>4</v>
      </c>
      <c r="U11" s="53" t="n">
        <f aca="false">SUMIFS('Control Testing'!$AA$5:$AA$1294,'Control Testing'!$B$5:$B$1294,U$4,'Control Testing'!$E$5:$E$1294,$A11)</f>
        <v>2</v>
      </c>
      <c r="V11" s="53" t="n">
        <f aca="false">SUMIFS('Control Testing'!$AA$5:$AA$1294,'Control Testing'!$B$5:$B$1294,V$4,'Control Testing'!$E$5:$E$1294,$A11)</f>
        <v>2</v>
      </c>
      <c r="W11" s="53" t="n">
        <f aca="false">SUMIFS('Control Testing'!$AA$5:$AA$1294,'Control Testing'!$B$5:$B$1294,W$4,'Control Testing'!$E$5:$E$1294,$A11)</f>
        <v>1</v>
      </c>
      <c r="X11" s="53" t="n">
        <f aca="false">SUMIFS('Control Testing'!$AA$5:$AA$1294,'Control Testing'!$B$5:$B$1294,X$4,'Control Testing'!$E$5:$E$1294,$A11)</f>
        <v>4</v>
      </c>
      <c r="Y11" s="53" t="n">
        <f aca="false">SUMIFS('Control Testing'!$AA$5:$AA$1294,'Control Testing'!$B$5:$B$1294,Y$4,'Control Testing'!$E$5:$E$1294,$A11)</f>
        <v>2</v>
      </c>
      <c r="Z11" s="53" t="n">
        <f aca="false">SUMIFS('Control Testing'!$AA$5:$AA$1294,'Control Testing'!$B$5:$B$1294,Z$4,'Control Testing'!$E$5:$E$1294,$A11)</f>
        <v>1</v>
      </c>
      <c r="AA11" s="53" t="n">
        <f aca="false">SUMIFS('Control Testing'!$AA$5:$AA$1294,'Control Testing'!$B$5:$B$1294,AA$4,'Control Testing'!$E$5:$E$1294,$A11)</f>
        <v>2</v>
      </c>
      <c r="AB11" s="53" t="n">
        <f aca="false">SUMIFS('Control Testing'!$AA$5:$AA$1294,'Control Testing'!$B$5:$B$1294,AB$4,'Control Testing'!$E$5:$E$1294,$A11)</f>
        <v>1</v>
      </c>
      <c r="AC11" s="53" t="n">
        <f aca="false">SUMIFS('Control Testing'!$AA$5:$AA$1294,'Control Testing'!$B$5:$B$1294,AC$4,'Control Testing'!$E$5:$E$1294,$A11)</f>
        <v>2</v>
      </c>
      <c r="AD11" s="53" t="n">
        <f aca="false">SUMIFS('Control Testing'!$AA$5:$AA$1294,'Control Testing'!$B$5:$B$1294,AD$4,'Control Testing'!$E$5:$E$1294,$A11)</f>
        <v>1</v>
      </c>
      <c r="AE11" s="53" t="n">
        <f aca="false">SUMIFS('Control Testing'!$AA$5:$AA$1294,'Control Testing'!$B$5:$B$1294,AE$4,'Control Testing'!$E$5:$E$1294,$A11)</f>
        <v>1</v>
      </c>
      <c r="AF11" s="53" t="n">
        <f aca="false">SUMIFS('Control Testing'!$AA$5:$AA$1294,'Control Testing'!$B$5:$B$1294,AF$4,'Control Testing'!$E$5:$E$1294,$A11)</f>
        <v>1</v>
      </c>
      <c r="AG11" s="53" t="n">
        <f aca="false">SUMIFS('Control Testing'!$AA$5:$AA$1294,'Control Testing'!$B$5:$B$1294,AG$4,'Control Testing'!$E$5:$E$1294,$A11)</f>
        <v>2</v>
      </c>
    </row>
    <row r="12" customFormat="false" ht="15" hidden="false" customHeight="false" outlineLevel="0" collapsed="false">
      <c r="A12" s="26" t="str">
        <f aca="false">'Control Library'!A12</f>
        <v>CTL-STR-01</v>
      </c>
      <c r="B12" s="26" t="str">
        <f aca="false">'Control Library'!B12</f>
        <v>STR decision and filing within regulatory deadline</v>
      </c>
      <c r="C12" s="52" t="str">
        <f aca="false">'Control Library'!F12</f>
        <v>Y</v>
      </c>
      <c r="D12" s="53" t="n">
        <f aca="false">SUMIFS('Control Testing'!$AA$5:$AA$1294,'Control Testing'!$B$5:$B$1294,D$4,'Control Testing'!$E$5:$E$1294,$A12)</f>
        <v>3</v>
      </c>
      <c r="E12" s="53" t="n">
        <f aca="false">SUMIFS('Control Testing'!$AA$5:$AA$1294,'Control Testing'!$B$5:$B$1294,E$4,'Control Testing'!$E$5:$E$1294,$A12)</f>
        <v>2</v>
      </c>
      <c r="F12" s="53" t="n">
        <f aca="false">SUMIFS('Control Testing'!$AA$5:$AA$1294,'Control Testing'!$B$5:$B$1294,F$4,'Control Testing'!$E$5:$E$1294,$A12)</f>
        <v>2</v>
      </c>
      <c r="G12" s="53" t="n">
        <f aca="false">SUMIFS('Control Testing'!$AA$5:$AA$1294,'Control Testing'!$B$5:$B$1294,G$4,'Control Testing'!$E$5:$E$1294,$A12)</f>
        <v>4</v>
      </c>
      <c r="H12" s="53" t="n">
        <f aca="false">SUMIFS('Control Testing'!$AA$5:$AA$1294,'Control Testing'!$B$5:$B$1294,H$4,'Control Testing'!$E$5:$E$1294,$A12)</f>
        <v>2</v>
      </c>
      <c r="I12" s="53" t="n">
        <f aca="false">SUMIFS('Control Testing'!$AA$5:$AA$1294,'Control Testing'!$B$5:$B$1294,I$4,'Control Testing'!$E$5:$E$1294,$A12)</f>
        <v>1</v>
      </c>
      <c r="J12" s="53" t="n">
        <f aca="false">SUMIFS('Control Testing'!$AA$5:$AA$1294,'Control Testing'!$B$5:$B$1294,J$4,'Control Testing'!$E$5:$E$1294,$A12)</f>
        <v>3</v>
      </c>
      <c r="K12" s="53" t="n">
        <f aca="false">SUMIFS('Control Testing'!$AA$5:$AA$1294,'Control Testing'!$B$5:$B$1294,K$4,'Control Testing'!$E$5:$E$1294,$A12)</f>
        <v>2</v>
      </c>
      <c r="L12" s="53" t="n">
        <f aca="false">SUMIFS('Control Testing'!$AA$5:$AA$1294,'Control Testing'!$B$5:$B$1294,L$4,'Control Testing'!$E$5:$E$1294,$A12)</f>
        <v>2</v>
      </c>
      <c r="M12" s="53" t="n">
        <f aca="false">SUMIFS('Control Testing'!$AA$5:$AA$1294,'Control Testing'!$B$5:$B$1294,M$4,'Control Testing'!$E$5:$E$1294,$A12)</f>
        <v>2</v>
      </c>
      <c r="N12" s="53" t="n">
        <f aca="false">SUMIFS('Control Testing'!$AA$5:$AA$1294,'Control Testing'!$B$5:$B$1294,N$4,'Control Testing'!$E$5:$E$1294,$A12)</f>
        <v>2</v>
      </c>
      <c r="O12" s="53" t="n">
        <f aca="false">SUMIFS('Control Testing'!$AA$5:$AA$1294,'Control Testing'!$B$5:$B$1294,O$4,'Control Testing'!$E$5:$E$1294,$A12)</f>
        <v>4</v>
      </c>
      <c r="P12" s="53" t="n">
        <f aca="false">SUMIFS('Control Testing'!$AA$5:$AA$1294,'Control Testing'!$B$5:$B$1294,P$4,'Control Testing'!$E$5:$E$1294,$A12)</f>
        <v>2</v>
      </c>
      <c r="Q12" s="53" t="n">
        <f aca="false">SUMIFS('Control Testing'!$AA$5:$AA$1294,'Control Testing'!$B$5:$B$1294,Q$4,'Control Testing'!$E$5:$E$1294,$A12)</f>
        <v>1</v>
      </c>
      <c r="R12" s="53" t="n">
        <f aca="false">SUMIFS('Control Testing'!$AA$5:$AA$1294,'Control Testing'!$B$5:$B$1294,R$4,'Control Testing'!$E$5:$E$1294,$A12)</f>
        <v>2</v>
      </c>
      <c r="S12" s="53" t="n">
        <f aca="false">SUMIFS('Control Testing'!$AA$5:$AA$1294,'Control Testing'!$B$5:$B$1294,S$4,'Control Testing'!$E$5:$E$1294,$A12)</f>
        <v>3</v>
      </c>
      <c r="T12" s="53" t="n">
        <f aca="false">SUMIFS('Control Testing'!$AA$5:$AA$1294,'Control Testing'!$B$5:$B$1294,T$4,'Control Testing'!$E$5:$E$1294,$A12)</f>
        <v>2</v>
      </c>
      <c r="U12" s="53" t="n">
        <f aca="false">SUMIFS('Control Testing'!$AA$5:$AA$1294,'Control Testing'!$B$5:$B$1294,U$4,'Control Testing'!$E$5:$E$1294,$A12)</f>
        <v>2</v>
      </c>
      <c r="V12" s="53" t="n">
        <f aca="false">SUMIFS('Control Testing'!$AA$5:$AA$1294,'Control Testing'!$B$5:$B$1294,V$4,'Control Testing'!$E$5:$E$1294,$A12)</f>
        <v>2</v>
      </c>
      <c r="W12" s="53" t="n">
        <f aca="false">SUMIFS('Control Testing'!$AA$5:$AA$1294,'Control Testing'!$B$5:$B$1294,W$4,'Control Testing'!$E$5:$E$1294,$A12)</f>
        <v>2</v>
      </c>
      <c r="X12" s="53" t="n">
        <f aca="false">SUMIFS('Control Testing'!$AA$5:$AA$1294,'Control Testing'!$B$5:$B$1294,X$4,'Control Testing'!$E$5:$E$1294,$A12)</f>
        <v>2</v>
      </c>
      <c r="Y12" s="53" t="n">
        <f aca="false">SUMIFS('Control Testing'!$AA$5:$AA$1294,'Control Testing'!$B$5:$B$1294,Y$4,'Control Testing'!$E$5:$E$1294,$A12)</f>
        <v>2</v>
      </c>
      <c r="Z12" s="53" t="n">
        <f aca="false">SUMIFS('Control Testing'!$AA$5:$AA$1294,'Control Testing'!$B$5:$B$1294,Z$4,'Control Testing'!$E$5:$E$1294,$A12)</f>
        <v>1</v>
      </c>
      <c r="AA12" s="53" t="n">
        <f aca="false">SUMIFS('Control Testing'!$AA$5:$AA$1294,'Control Testing'!$B$5:$B$1294,AA$4,'Control Testing'!$E$5:$E$1294,$A12)</f>
        <v>1</v>
      </c>
      <c r="AB12" s="53" t="n">
        <f aca="false">SUMIFS('Control Testing'!$AA$5:$AA$1294,'Control Testing'!$B$5:$B$1294,AB$4,'Control Testing'!$E$5:$E$1294,$A12)</f>
        <v>2</v>
      </c>
      <c r="AC12" s="53" t="n">
        <f aca="false">SUMIFS('Control Testing'!$AA$5:$AA$1294,'Control Testing'!$B$5:$B$1294,AC$4,'Control Testing'!$E$5:$E$1294,$A12)</f>
        <v>2</v>
      </c>
      <c r="AD12" s="53" t="n">
        <f aca="false">SUMIFS('Control Testing'!$AA$5:$AA$1294,'Control Testing'!$B$5:$B$1294,AD$4,'Control Testing'!$E$5:$E$1294,$A12)</f>
        <v>1</v>
      </c>
      <c r="AE12" s="53" t="n">
        <f aca="false">SUMIFS('Control Testing'!$AA$5:$AA$1294,'Control Testing'!$B$5:$B$1294,AE$4,'Control Testing'!$E$5:$E$1294,$A12)</f>
        <v>1</v>
      </c>
      <c r="AF12" s="53" t="n">
        <f aca="false">SUMIFS('Control Testing'!$AA$5:$AA$1294,'Control Testing'!$B$5:$B$1294,AF$4,'Control Testing'!$E$5:$E$1294,$A12)</f>
        <v>1</v>
      </c>
      <c r="AG12" s="53" t="n">
        <f aca="false">SUMIFS('Control Testing'!$AA$5:$AA$1294,'Control Testing'!$B$5:$B$1294,AG$4,'Control Testing'!$E$5:$E$1294,$A12)</f>
        <v>2</v>
      </c>
    </row>
    <row r="13" customFormat="false" ht="15" hidden="false" customHeight="false" outlineLevel="0" collapsed="false">
      <c r="A13" s="26" t="str">
        <f aca="false">'Control Library'!A13</f>
        <v>CTL-SAN-01</v>
      </c>
      <c r="B13" s="26" t="str">
        <f aca="false">'Control Library'!B13</f>
        <v>Real-time payment and transaction sanctions screening</v>
      </c>
      <c r="C13" s="52" t="str">
        <f aca="false">'Control Library'!F13</f>
        <v>Y</v>
      </c>
      <c r="D13" s="53" t="n">
        <f aca="false">SUMIFS('Control Testing'!$AA$5:$AA$1294,'Control Testing'!$B$5:$B$1294,D$4,'Control Testing'!$E$5:$E$1294,$A13)</f>
        <v>2</v>
      </c>
      <c r="E13" s="53" t="n">
        <f aca="false">SUMIFS('Control Testing'!$AA$5:$AA$1294,'Control Testing'!$B$5:$B$1294,E$4,'Control Testing'!$E$5:$E$1294,$A13)</f>
        <v>2</v>
      </c>
      <c r="F13" s="53" t="n">
        <f aca="false">SUMIFS('Control Testing'!$AA$5:$AA$1294,'Control Testing'!$B$5:$B$1294,F$4,'Control Testing'!$E$5:$E$1294,$A13)</f>
        <v>4</v>
      </c>
      <c r="G13" s="53" t="n">
        <f aca="false">SUMIFS('Control Testing'!$AA$5:$AA$1294,'Control Testing'!$B$5:$B$1294,G$4,'Control Testing'!$E$5:$E$1294,$A13)</f>
        <v>2</v>
      </c>
      <c r="H13" s="53" t="n">
        <f aca="false">SUMIFS('Control Testing'!$AA$5:$AA$1294,'Control Testing'!$B$5:$B$1294,H$4,'Control Testing'!$E$5:$E$1294,$A13)</f>
        <v>2</v>
      </c>
      <c r="I13" s="53" t="n">
        <f aca="false">SUMIFS('Control Testing'!$AA$5:$AA$1294,'Control Testing'!$B$5:$B$1294,I$4,'Control Testing'!$E$5:$E$1294,$A13)</f>
        <v>2</v>
      </c>
      <c r="J13" s="53" t="n">
        <f aca="false">SUMIFS('Control Testing'!$AA$5:$AA$1294,'Control Testing'!$B$5:$B$1294,J$4,'Control Testing'!$E$5:$E$1294,$A13)</f>
        <v>2</v>
      </c>
      <c r="K13" s="53" t="n">
        <f aca="false">SUMIFS('Control Testing'!$AA$5:$AA$1294,'Control Testing'!$B$5:$B$1294,K$4,'Control Testing'!$E$5:$E$1294,$A13)</f>
        <v>4</v>
      </c>
      <c r="L13" s="53" t="n">
        <f aca="false">SUMIFS('Control Testing'!$AA$5:$AA$1294,'Control Testing'!$B$5:$B$1294,L$4,'Control Testing'!$E$5:$E$1294,$A13)</f>
        <v>2</v>
      </c>
      <c r="M13" s="53" t="n">
        <f aca="false">SUMIFS('Control Testing'!$AA$5:$AA$1294,'Control Testing'!$B$5:$B$1294,M$4,'Control Testing'!$E$5:$E$1294,$A13)</f>
        <v>2</v>
      </c>
      <c r="N13" s="53" t="n">
        <f aca="false">SUMIFS('Control Testing'!$AA$5:$AA$1294,'Control Testing'!$B$5:$B$1294,N$4,'Control Testing'!$E$5:$E$1294,$A13)</f>
        <v>2</v>
      </c>
      <c r="O13" s="53" t="n">
        <f aca="false">SUMIFS('Control Testing'!$AA$5:$AA$1294,'Control Testing'!$B$5:$B$1294,O$4,'Control Testing'!$E$5:$E$1294,$A13)</f>
        <v>2</v>
      </c>
      <c r="P13" s="53" t="n">
        <f aca="false">SUMIFS('Control Testing'!$AA$5:$AA$1294,'Control Testing'!$B$5:$B$1294,P$4,'Control Testing'!$E$5:$E$1294,$A13)</f>
        <v>4</v>
      </c>
      <c r="Q13" s="53" t="n">
        <f aca="false">SUMIFS('Control Testing'!$AA$5:$AA$1294,'Control Testing'!$B$5:$B$1294,Q$4,'Control Testing'!$E$5:$E$1294,$A13)</f>
        <v>2</v>
      </c>
      <c r="R13" s="53" t="n">
        <f aca="false">SUMIFS('Control Testing'!$AA$5:$AA$1294,'Control Testing'!$B$5:$B$1294,R$4,'Control Testing'!$E$5:$E$1294,$A13)</f>
        <v>2</v>
      </c>
      <c r="S13" s="53" t="n">
        <f aca="false">SUMIFS('Control Testing'!$AA$5:$AA$1294,'Control Testing'!$B$5:$B$1294,S$4,'Control Testing'!$E$5:$E$1294,$A13)</f>
        <v>3</v>
      </c>
      <c r="T13" s="53" t="n">
        <f aca="false">SUMIFS('Control Testing'!$AA$5:$AA$1294,'Control Testing'!$B$5:$B$1294,T$4,'Control Testing'!$E$5:$E$1294,$A13)</f>
        <v>2</v>
      </c>
      <c r="U13" s="53" t="n">
        <f aca="false">SUMIFS('Control Testing'!$AA$5:$AA$1294,'Control Testing'!$B$5:$B$1294,U$4,'Control Testing'!$E$5:$E$1294,$A13)</f>
        <v>1</v>
      </c>
      <c r="V13" s="53" t="n">
        <f aca="false">SUMIFS('Control Testing'!$AA$5:$AA$1294,'Control Testing'!$B$5:$B$1294,V$4,'Control Testing'!$E$5:$E$1294,$A13)</f>
        <v>4</v>
      </c>
      <c r="W13" s="53" t="n">
        <f aca="false">SUMIFS('Control Testing'!$AA$5:$AA$1294,'Control Testing'!$B$5:$B$1294,W$4,'Control Testing'!$E$5:$E$1294,$A13)</f>
        <v>3</v>
      </c>
      <c r="X13" s="53" t="n">
        <f aca="false">SUMIFS('Control Testing'!$AA$5:$AA$1294,'Control Testing'!$B$5:$B$1294,X$4,'Control Testing'!$E$5:$E$1294,$A13)</f>
        <v>3</v>
      </c>
      <c r="Y13" s="53" t="n">
        <f aca="false">SUMIFS('Control Testing'!$AA$5:$AA$1294,'Control Testing'!$B$5:$B$1294,Y$4,'Control Testing'!$E$5:$E$1294,$A13)</f>
        <v>2</v>
      </c>
      <c r="Z13" s="53" t="n">
        <f aca="false">SUMIFS('Control Testing'!$AA$5:$AA$1294,'Control Testing'!$B$5:$B$1294,Z$4,'Control Testing'!$E$5:$E$1294,$A13)</f>
        <v>2</v>
      </c>
      <c r="AA13" s="53" t="n">
        <f aca="false">SUMIFS('Control Testing'!$AA$5:$AA$1294,'Control Testing'!$B$5:$B$1294,AA$4,'Control Testing'!$E$5:$E$1294,$A13)</f>
        <v>2</v>
      </c>
      <c r="AB13" s="53" t="n">
        <f aca="false">SUMIFS('Control Testing'!$AA$5:$AA$1294,'Control Testing'!$B$5:$B$1294,AB$4,'Control Testing'!$E$5:$E$1294,$A13)</f>
        <v>1</v>
      </c>
      <c r="AC13" s="53" t="n">
        <f aca="false">SUMIFS('Control Testing'!$AA$5:$AA$1294,'Control Testing'!$B$5:$B$1294,AC$4,'Control Testing'!$E$5:$E$1294,$A13)</f>
        <v>1</v>
      </c>
      <c r="AD13" s="53" t="n">
        <f aca="false">SUMIFS('Control Testing'!$AA$5:$AA$1294,'Control Testing'!$B$5:$B$1294,AD$4,'Control Testing'!$E$5:$E$1294,$A13)</f>
        <v>2</v>
      </c>
      <c r="AE13" s="53" t="n">
        <f aca="false">SUMIFS('Control Testing'!$AA$5:$AA$1294,'Control Testing'!$B$5:$B$1294,AE$4,'Control Testing'!$E$5:$E$1294,$A13)</f>
        <v>1</v>
      </c>
      <c r="AF13" s="53" t="n">
        <f aca="false">SUMIFS('Control Testing'!$AA$5:$AA$1294,'Control Testing'!$B$5:$B$1294,AF$4,'Control Testing'!$E$5:$E$1294,$A13)</f>
        <v>1</v>
      </c>
      <c r="AG13" s="53" t="n">
        <f aca="false">SUMIFS('Control Testing'!$AA$5:$AA$1294,'Control Testing'!$B$5:$B$1294,AG$4,'Control Testing'!$E$5:$E$1294,$A13)</f>
        <v>2</v>
      </c>
    </row>
    <row r="14" customFormat="false" ht="15" hidden="false" customHeight="false" outlineLevel="0" collapsed="false">
      <c r="A14" s="26" t="str">
        <f aca="false">'Control Library'!A14</f>
        <v>CTL-SAN-02</v>
      </c>
      <c r="B14" s="26" t="str">
        <f aca="false">'Control Library'!B14</f>
        <v>Customer and counterparty screening at onboarding and on list change</v>
      </c>
      <c r="C14" s="52" t="str">
        <f aca="false">'Control Library'!F14</f>
        <v>Y</v>
      </c>
      <c r="D14" s="53" t="n">
        <f aca="false">SUMIFS('Control Testing'!$AA$5:$AA$1294,'Control Testing'!$B$5:$B$1294,D$4,'Control Testing'!$E$5:$E$1294,$A14)</f>
        <v>2</v>
      </c>
      <c r="E14" s="53" t="n">
        <f aca="false">SUMIFS('Control Testing'!$AA$5:$AA$1294,'Control Testing'!$B$5:$B$1294,E$4,'Control Testing'!$E$5:$E$1294,$A14)</f>
        <v>4</v>
      </c>
      <c r="F14" s="53" t="n">
        <f aca="false">SUMIFS('Control Testing'!$AA$5:$AA$1294,'Control Testing'!$B$5:$B$1294,F$4,'Control Testing'!$E$5:$E$1294,$A14)</f>
        <v>2</v>
      </c>
      <c r="G14" s="53" t="n">
        <f aca="false">SUMIFS('Control Testing'!$AA$5:$AA$1294,'Control Testing'!$B$5:$B$1294,G$4,'Control Testing'!$E$5:$E$1294,$A14)</f>
        <v>2</v>
      </c>
      <c r="H14" s="53" t="n">
        <f aca="false">SUMIFS('Control Testing'!$AA$5:$AA$1294,'Control Testing'!$B$5:$B$1294,H$4,'Control Testing'!$E$5:$E$1294,$A14)</f>
        <v>2</v>
      </c>
      <c r="I14" s="53" t="n">
        <f aca="false">SUMIFS('Control Testing'!$AA$5:$AA$1294,'Control Testing'!$B$5:$B$1294,I$4,'Control Testing'!$E$5:$E$1294,$A14)</f>
        <v>2</v>
      </c>
      <c r="J14" s="53" t="n">
        <f aca="false">SUMIFS('Control Testing'!$AA$5:$AA$1294,'Control Testing'!$B$5:$B$1294,J$4,'Control Testing'!$E$5:$E$1294,$A14)</f>
        <v>4</v>
      </c>
      <c r="K14" s="53" t="n">
        <f aca="false">SUMIFS('Control Testing'!$AA$5:$AA$1294,'Control Testing'!$B$5:$B$1294,K$4,'Control Testing'!$E$5:$E$1294,$A14)</f>
        <v>2</v>
      </c>
      <c r="L14" s="53" t="n">
        <f aca="false">SUMIFS('Control Testing'!$AA$5:$AA$1294,'Control Testing'!$B$5:$B$1294,L$4,'Control Testing'!$E$5:$E$1294,$A14)</f>
        <v>2</v>
      </c>
      <c r="M14" s="53" t="n">
        <f aca="false">SUMIFS('Control Testing'!$AA$5:$AA$1294,'Control Testing'!$B$5:$B$1294,M$4,'Control Testing'!$E$5:$E$1294,$A14)</f>
        <v>4</v>
      </c>
      <c r="N14" s="53" t="n">
        <f aca="false">SUMIFS('Control Testing'!$AA$5:$AA$1294,'Control Testing'!$B$5:$B$1294,N$4,'Control Testing'!$E$5:$E$1294,$A14)</f>
        <v>2</v>
      </c>
      <c r="O14" s="53" t="n">
        <f aca="false">SUMIFS('Control Testing'!$AA$5:$AA$1294,'Control Testing'!$B$5:$B$1294,O$4,'Control Testing'!$E$5:$E$1294,$A14)</f>
        <v>4</v>
      </c>
      <c r="P14" s="53" t="n">
        <f aca="false">SUMIFS('Control Testing'!$AA$5:$AA$1294,'Control Testing'!$B$5:$B$1294,P$4,'Control Testing'!$E$5:$E$1294,$A14)</f>
        <v>2</v>
      </c>
      <c r="Q14" s="53" t="n">
        <f aca="false">SUMIFS('Control Testing'!$AA$5:$AA$1294,'Control Testing'!$B$5:$B$1294,Q$4,'Control Testing'!$E$5:$E$1294,$A14)</f>
        <v>2</v>
      </c>
      <c r="R14" s="53" t="n">
        <f aca="false">SUMIFS('Control Testing'!$AA$5:$AA$1294,'Control Testing'!$B$5:$B$1294,R$4,'Control Testing'!$E$5:$E$1294,$A14)</f>
        <v>2</v>
      </c>
      <c r="S14" s="53" t="n">
        <f aca="false">SUMIFS('Control Testing'!$AA$5:$AA$1294,'Control Testing'!$B$5:$B$1294,S$4,'Control Testing'!$E$5:$E$1294,$A14)</f>
        <v>2</v>
      </c>
      <c r="T14" s="53" t="n">
        <f aca="false">SUMIFS('Control Testing'!$AA$5:$AA$1294,'Control Testing'!$B$5:$B$1294,T$4,'Control Testing'!$E$5:$E$1294,$A14)</f>
        <v>1</v>
      </c>
      <c r="U14" s="53" t="n">
        <f aca="false">SUMIFS('Control Testing'!$AA$5:$AA$1294,'Control Testing'!$B$5:$B$1294,U$4,'Control Testing'!$E$5:$E$1294,$A14)</f>
        <v>1</v>
      </c>
      <c r="V14" s="53" t="n">
        <f aca="false">SUMIFS('Control Testing'!$AA$5:$AA$1294,'Control Testing'!$B$5:$B$1294,V$4,'Control Testing'!$E$5:$E$1294,$A14)</f>
        <v>2</v>
      </c>
      <c r="W14" s="53" t="n">
        <f aca="false">SUMIFS('Control Testing'!$AA$5:$AA$1294,'Control Testing'!$B$5:$B$1294,W$4,'Control Testing'!$E$5:$E$1294,$A14)</f>
        <v>4</v>
      </c>
      <c r="X14" s="53" t="n">
        <f aca="false">SUMIFS('Control Testing'!$AA$5:$AA$1294,'Control Testing'!$B$5:$B$1294,X$4,'Control Testing'!$E$5:$E$1294,$A14)</f>
        <v>2</v>
      </c>
      <c r="Y14" s="53" t="n">
        <f aca="false">SUMIFS('Control Testing'!$AA$5:$AA$1294,'Control Testing'!$B$5:$B$1294,Y$4,'Control Testing'!$E$5:$E$1294,$A14)</f>
        <v>2</v>
      </c>
      <c r="Z14" s="53" t="n">
        <f aca="false">SUMIFS('Control Testing'!$AA$5:$AA$1294,'Control Testing'!$B$5:$B$1294,Z$4,'Control Testing'!$E$5:$E$1294,$A14)</f>
        <v>1</v>
      </c>
      <c r="AA14" s="53" t="n">
        <f aca="false">SUMIFS('Control Testing'!$AA$5:$AA$1294,'Control Testing'!$B$5:$B$1294,AA$4,'Control Testing'!$E$5:$E$1294,$A14)</f>
        <v>2</v>
      </c>
      <c r="AB14" s="53" t="n">
        <f aca="false">SUMIFS('Control Testing'!$AA$5:$AA$1294,'Control Testing'!$B$5:$B$1294,AB$4,'Control Testing'!$E$5:$E$1294,$A14)</f>
        <v>1</v>
      </c>
      <c r="AC14" s="53" t="n">
        <f aca="false">SUMIFS('Control Testing'!$AA$5:$AA$1294,'Control Testing'!$B$5:$B$1294,AC$4,'Control Testing'!$E$5:$E$1294,$A14)</f>
        <v>4</v>
      </c>
      <c r="AD14" s="53" t="n">
        <f aca="false">SUMIFS('Control Testing'!$AA$5:$AA$1294,'Control Testing'!$B$5:$B$1294,AD$4,'Control Testing'!$E$5:$E$1294,$A14)</f>
        <v>1</v>
      </c>
      <c r="AE14" s="53" t="n">
        <f aca="false">SUMIFS('Control Testing'!$AA$5:$AA$1294,'Control Testing'!$B$5:$B$1294,AE$4,'Control Testing'!$E$5:$E$1294,$A14)</f>
        <v>1</v>
      </c>
      <c r="AF14" s="53" t="n">
        <f aca="false">SUMIFS('Control Testing'!$AA$5:$AA$1294,'Control Testing'!$B$5:$B$1294,AF$4,'Control Testing'!$E$5:$E$1294,$A14)</f>
        <v>2</v>
      </c>
      <c r="AG14" s="53" t="n">
        <f aca="false">SUMIFS('Control Testing'!$AA$5:$AA$1294,'Control Testing'!$B$5:$B$1294,AG$4,'Control Testing'!$E$5:$E$1294,$A14)</f>
        <v>1</v>
      </c>
    </row>
    <row r="15" customFormat="false" ht="15" hidden="false" customHeight="false" outlineLevel="0" collapsed="false">
      <c r="A15" s="26" t="str">
        <f aca="false">'Control Library'!A15</f>
        <v>CTL-SAN-03</v>
      </c>
      <c r="B15" s="26" t="str">
        <f aca="false">'Control Library'!B15</f>
        <v>Sanctions list updates applied within 24 hours</v>
      </c>
      <c r="C15" s="52" t="str">
        <f aca="false">'Control Library'!F15</f>
        <v>N</v>
      </c>
      <c r="D15" s="53" t="n">
        <f aca="false">SUMIFS('Control Testing'!$AA$5:$AA$1294,'Control Testing'!$B$5:$B$1294,D$4,'Control Testing'!$E$5:$E$1294,$A15)</f>
        <v>3</v>
      </c>
      <c r="E15" s="53" t="n">
        <f aca="false">SUMIFS('Control Testing'!$AA$5:$AA$1294,'Control Testing'!$B$5:$B$1294,E$4,'Control Testing'!$E$5:$E$1294,$A15)</f>
        <v>2</v>
      </c>
      <c r="F15" s="53" t="n">
        <f aca="false">SUMIFS('Control Testing'!$AA$5:$AA$1294,'Control Testing'!$B$5:$B$1294,F$4,'Control Testing'!$E$5:$E$1294,$A15)</f>
        <v>2</v>
      </c>
      <c r="G15" s="53" t="n">
        <f aca="false">SUMIFS('Control Testing'!$AA$5:$AA$1294,'Control Testing'!$B$5:$B$1294,G$4,'Control Testing'!$E$5:$E$1294,$A15)</f>
        <v>2</v>
      </c>
      <c r="H15" s="53" t="n">
        <f aca="false">SUMIFS('Control Testing'!$AA$5:$AA$1294,'Control Testing'!$B$5:$B$1294,H$4,'Control Testing'!$E$5:$E$1294,$A15)</f>
        <v>2</v>
      </c>
      <c r="I15" s="53" t="n">
        <f aca="false">SUMIFS('Control Testing'!$AA$5:$AA$1294,'Control Testing'!$B$5:$B$1294,I$4,'Control Testing'!$E$5:$E$1294,$A15)</f>
        <v>3</v>
      </c>
      <c r="J15" s="53" t="n">
        <f aca="false">SUMIFS('Control Testing'!$AA$5:$AA$1294,'Control Testing'!$B$5:$B$1294,J$4,'Control Testing'!$E$5:$E$1294,$A15)</f>
        <v>3</v>
      </c>
      <c r="K15" s="53" t="n">
        <f aca="false">SUMIFS('Control Testing'!$AA$5:$AA$1294,'Control Testing'!$B$5:$B$1294,K$4,'Control Testing'!$E$5:$E$1294,$A15)</f>
        <v>2</v>
      </c>
      <c r="L15" s="53" t="n">
        <f aca="false">SUMIFS('Control Testing'!$AA$5:$AA$1294,'Control Testing'!$B$5:$B$1294,L$4,'Control Testing'!$E$5:$E$1294,$A15)</f>
        <v>3</v>
      </c>
      <c r="M15" s="53" t="n">
        <f aca="false">SUMIFS('Control Testing'!$AA$5:$AA$1294,'Control Testing'!$B$5:$B$1294,M$4,'Control Testing'!$E$5:$E$1294,$A15)</f>
        <v>2</v>
      </c>
      <c r="N15" s="53" t="n">
        <f aca="false">SUMIFS('Control Testing'!$AA$5:$AA$1294,'Control Testing'!$B$5:$B$1294,N$4,'Control Testing'!$E$5:$E$1294,$A15)</f>
        <v>2</v>
      </c>
      <c r="O15" s="53" t="n">
        <f aca="false">SUMIFS('Control Testing'!$AA$5:$AA$1294,'Control Testing'!$B$5:$B$1294,O$4,'Control Testing'!$E$5:$E$1294,$A15)</f>
        <v>2</v>
      </c>
      <c r="P15" s="53" t="n">
        <f aca="false">SUMIFS('Control Testing'!$AA$5:$AA$1294,'Control Testing'!$B$5:$B$1294,P$4,'Control Testing'!$E$5:$E$1294,$A15)</f>
        <v>2</v>
      </c>
      <c r="Q15" s="53" t="n">
        <f aca="false">SUMIFS('Control Testing'!$AA$5:$AA$1294,'Control Testing'!$B$5:$B$1294,Q$4,'Control Testing'!$E$5:$E$1294,$A15)</f>
        <v>2</v>
      </c>
      <c r="R15" s="53" t="n">
        <f aca="false">SUMIFS('Control Testing'!$AA$5:$AA$1294,'Control Testing'!$B$5:$B$1294,R$4,'Control Testing'!$E$5:$E$1294,$A15)</f>
        <v>2</v>
      </c>
      <c r="S15" s="53" t="n">
        <f aca="false">SUMIFS('Control Testing'!$AA$5:$AA$1294,'Control Testing'!$B$5:$B$1294,S$4,'Control Testing'!$E$5:$E$1294,$A15)</f>
        <v>2</v>
      </c>
      <c r="T15" s="53" t="n">
        <f aca="false">SUMIFS('Control Testing'!$AA$5:$AA$1294,'Control Testing'!$B$5:$B$1294,T$4,'Control Testing'!$E$5:$E$1294,$A15)</f>
        <v>2</v>
      </c>
      <c r="U15" s="53" t="n">
        <f aca="false">SUMIFS('Control Testing'!$AA$5:$AA$1294,'Control Testing'!$B$5:$B$1294,U$4,'Control Testing'!$E$5:$E$1294,$A15)</f>
        <v>2</v>
      </c>
      <c r="V15" s="53" t="n">
        <f aca="false">SUMIFS('Control Testing'!$AA$5:$AA$1294,'Control Testing'!$B$5:$B$1294,V$4,'Control Testing'!$E$5:$E$1294,$A15)</f>
        <v>3</v>
      </c>
      <c r="W15" s="53" t="n">
        <f aca="false">SUMIFS('Control Testing'!$AA$5:$AA$1294,'Control Testing'!$B$5:$B$1294,W$4,'Control Testing'!$E$5:$E$1294,$A15)</f>
        <v>2</v>
      </c>
      <c r="X15" s="53" t="n">
        <f aca="false">SUMIFS('Control Testing'!$AA$5:$AA$1294,'Control Testing'!$B$5:$B$1294,X$4,'Control Testing'!$E$5:$E$1294,$A15)</f>
        <v>2</v>
      </c>
      <c r="Y15" s="53" t="n">
        <f aca="false">SUMIFS('Control Testing'!$AA$5:$AA$1294,'Control Testing'!$B$5:$B$1294,Y$4,'Control Testing'!$E$5:$E$1294,$A15)</f>
        <v>1</v>
      </c>
      <c r="Z15" s="53" t="n">
        <f aca="false">SUMIFS('Control Testing'!$AA$5:$AA$1294,'Control Testing'!$B$5:$B$1294,Z$4,'Control Testing'!$E$5:$E$1294,$A15)</f>
        <v>1</v>
      </c>
      <c r="AA15" s="53" t="n">
        <f aca="false">SUMIFS('Control Testing'!$AA$5:$AA$1294,'Control Testing'!$B$5:$B$1294,AA$4,'Control Testing'!$E$5:$E$1294,$A15)</f>
        <v>2</v>
      </c>
      <c r="AB15" s="53" t="n">
        <f aca="false">SUMIFS('Control Testing'!$AA$5:$AA$1294,'Control Testing'!$B$5:$B$1294,AB$4,'Control Testing'!$E$5:$E$1294,$A15)</f>
        <v>4</v>
      </c>
      <c r="AC15" s="53" t="n">
        <f aca="false">SUMIFS('Control Testing'!$AA$5:$AA$1294,'Control Testing'!$B$5:$B$1294,AC$4,'Control Testing'!$E$5:$E$1294,$A15)</f>
        <v>4</v>
      </c>
      <c r="AD15" s="53" t="n">
        <f aca="false">SUMIFS('Control Testing'!$AA$5:$AA$1294,'Control Testing'!$B$5:$B$1294,AD$4,'Control Testing'!$E$5:$E$1294,$A15)</f>
        <v>2</v>
      </c>
      <c r="AE15" s="53" t="n">
        <f aca="false">SUMIFS('Control Testing'!$AA$5:$AA$1294,'Control Testing'!$B$5:$B$1294,AE$4,'Control Testing'!$E$5:$E$1294,$A15)</f>
        <v>2</v>
      </c>
      <c r="AF15" s="53" t="n">
        <f aca="false">SUMIFS('Control Testing'!$AA$5:$AA$1294,'Control Testing'!$B$5:$B$1294,AF$4,'Control Testing'!$E$5:$E$1294,$A15)</f>
        <v>1</v>
      </c>
      <c r="AG15" s="53" t="n">
        <f aca="false">SUMIFS('Control Testing'!$AA$5:$AA$1294,'Control Testing'!$B$5:$B$1294,AG$4,'Control Testing'!$E$5:$E$1294,$A15)</f>
        <v>2</v>
      </c>
    </row>
    <row r="16" customFormat="false" ht="15" hidden="false" customHeight="false" outlineLevel="0" collapsed="false">
      <c r="A16" s="26" t="str">
        <f aca="false">'Control Library'!A16</f>
        <v>CTL-TF-01</v>
      </c>
      <c r="B16" s="26" t="str">
        <f aca="false">'Control Library'!B16</f>
        <v>NPO and charity enhanced due diligence</v>
      </c>
      <c r="C16" s="52" t="str">
        <f aca="false">'Control Library'!F16</f>
        <v>N</v>
      </c>
      <c r="D16" s="53" t="n">
        <f aca="false">SUMIFS('Control Testing'!$AA$5:$AA$1294,'Control Testing'!$B$5:$B$1294,D$4,'Control Testing'!$E$5:$E$1294,$A16)</f>
        <v>2</v>
      </c>
      <c r="E16" s="53" t="n">
        <f aca="false">SUMIFS('Control Testing'!$AA$5:$AA$1294,'Control Testing'!$B$5:$B$1294,E$4,'Control Testing'!$E$5:$E$1294,$A16)</f>
        <v>2</v>
      </c>
      <c r="F16" s="53" t="n">
        <f aca="false">SUMIFS('Control Testing'!$AA$5:$AA$1294,'Control Testing'!$B$5:$B$1294,F$4,'Control Testing'!$E$5:$E$1294,$A16)</f>
        <v>2</v>
      </c>
      <c r="G16" s="53" t="n">
        <f aca="false">SUMIFS('Control Testing'!$AA$5:$AA$1294,'Control Testing'!$B$5:$B$1294,G$4,'Control Testing'!$E$5:$E$1294,$A16)</f>
        <v>2</v>
      </c>
      <c r="H16" s="53" t="n">
        <f aca="false">SUMIFS('Control Testing'!$AA$5:$AA$1294,'Control Testing'!$B$5:$B$1294,H$4,'Control Testing'!$E$5:$E$1294,$A16)</f>
        <v>1</v>
      </c>
      <c r="I16" s="53" t="n">
        <f aca="false">SUMIFS('Control Testing'!$AA$5:$AA$1294,'Control Testing'!$B$5:$B$1294,I$4,'Control Testing'!$E$5:$E$1294,$A16)</f>
        <v>3</v>
      </c>
      <c r="J16" s="53" t="n">
        <f aca="false">SUMIFS('Control Testing'!$AA$5:$AA$1294,'Control Testing'!$B$5:$B$1294,J$4,'Control Testing'!$E$5:$E$1294,$A16)</f>
        <v>2</v>
      </c>
      <c r="K16" s="53" t="n">
        <f aca="false">SUMIFS('Control Testing'!$AA$5:$AA$1294,'Control Testing'!$B$5:$B$1294,K$4,'Control Testing'!$E$5:$E$1294,$A16)</f>
        <v>4</v>
      </c>
      <c r="L16" s="53" t="n">
        <f aca="false">SUMIFS('Control Testing'!$AA$5:$AA$1294,'Control Testing'!$B$5:$B$1294,L$4,'Control Testing'!$E$5:$E$1294,$A16)</f>
        <v>2</v>
      </c>
      <c r="M16" s="53" t="n">
        <f aca="false">SUMIFS('Control Testing'!$AA$5:$AA$1294,'Control Testing'!$B$5:$B$1294,M$4,'Control Testing'!$E$5:$E$1294,$A16)</f>
        <v>2</v>
      </c>
      <c r="N16" s="53" t="n">
        <f aca="false">SUMIFS('Control Testing'!$AA$5:$AA$1294,'Control Testing'!$B$5:$B$1294,N$4,'Control Testing'!$E$5:$E$1294,$A16)</f>
        <v>2</v>
      </c>
      <c r="O16" s="53" t="n">
        <f aca="false">SUMIFS('Control Testing'!$AA$5:$AA$1294,'Control Testing'!$B$5:$B$1294,O$4,'Control Testing'!$E$5:$E$1294,$A16)</f>
        <v>1</v>
      </c>
      <c r="P16" s="53" t="n">
        <f aca="false">SUMIFS('Control Testing'!$AA$5:$AA$1294,'Control Testing'!$B$5:$B$1294,P$4,'Control Testing'!$E$5:$E$1294,$A16)</f>
        <v>1</v>
      </c>
      <c r="Q16" s="53" t="n">
        <f aca="false">SUMIFS('Control Testing'!$AA$5:$AA$1294,'Control Testing'!$B$5:$B$1294,Q$4,'Control Testing'!$E$5:$E$1294,$A16)</f>
        <v>1</v>
      </c>
      <c r="R16" s="53" t="n">
        <f aca="false">SUMIFS('Control Testing'!$AA$5:$AA$1294,'Control Testing'!$B$5:$B$1294,R$4,'Control Testing'!$E$5:$E$1294,$A16)</f>
        <v>3</v>
      </c>
      <c r="S16" s="53" t="n">
        <f aca="false">SUMIFS('Control Testing'!$AA$5:$AA$1294,'Control Testing'!$B$5:$B$1294,S$4,'Control Testing'!$E$5:$E$1294,$A16)</f>
        <v>2</v>
      </c>
      <c r="T16" s="53" t="n">
        <f aca="false">SUMIFS('Control Testing'!$AA$5:$AA$1294,'Control Testing'!$B$5:$B$1294,T$4,'Control Testing'!$E$5:$E$1294,$A16)</f>
        <v>1</v>
      </c>
      <c r="U16" s="53" t="n">
        <f aca="false">SUMIFS('Control Testing'!$AA$5:$AA$1294,'Control Testing'!$B$5:$B$1294,U$4,'Control Testing'!$E$5:$E$1294,$A16)</f>
        <v>2</v>
      </c>
      <c r="V16" s="53" t="n">
        <f aca="false">SUMIFS('Control Testing'!$AA$5:$AA$1294,'Control Testing'!$B$5:$B$1294,V$4,'Control Testing'!$E$5:$E$1294,$A16)</f>
        <v>1</v>
      </c>
      <c r="W16" s="53" t="n">
        <f aca="false">SUMIFS('Control Testing'!$AA$5:$AA$1294,'Control Testing'!$B$5:$B$1294,W$4,'Control Testing'!$E$5:$E$1294,$A16)</f>
        <v>2</v>
      </c>
      <c r="X16" s="53" t="n">
        <f aca="false">SUMIFS('Control Testing'!$AA$5:$AA$1294,'Control Testing'!$B$5:$B$1294,X$4,'Control Testing'!$E$5:$E$1294,$A16)</f>
        <v>3</v>
      </c>
      <c r="Y16" s="53" t="n">
        <f aca="false">SUMIFS('Control Testing'!$AA$5:$AA$1294,'Control Testing'!$B$5:$B$1294,Y$4,'Control Testing'!$E$5:$E$1294,$A16)</f>
        <v>1</v>
      </c>
      <c r="Z16" s="53" t="n">
        <f aca="false">SUMIFS('Control Testing'!$AA$5:$AA$1294,'Control Testing'!$B$5:$B$1294,Z$4,'Control Testing'!$E$5:$E$1294,$A16)</f>
        <v>1</v>
      </c>
      <c r="AA16" s="53" t="n">
        <f aca="false">SUMIFS('Control Testing'!$AA$5:$AA$1294,'Control Testing'!$B$5:$B$1294,AA$4,'Control Testing'!$E$5:$E$1294,$A16)</f>
        <v>2</v>
      </c>
      <c r="AB16" s="53" t="n">
        <f aca="false">SUMIFS('Control Testing'!$AA$5:$AA$1294,'Control Testing'!$B$5:$B$1294,AB$4,'Control Testing'!$E$5:$E$1294,$A16)</f>
        <v>1</v>
      </c>
      <c r="AC16" s="53" t="n">
        <f aca="false">SUMIFS('Control Testing'!$AA$5:$AA$1294,'Control Testing'!$B$5:$B$1294,AC$4,'Control Testing'!$E$5:$E$1294,$A16)</f>
        <v>1</v>
      </c>
      <c r="AD16" s="53" t="n">
        <f aca="false">SUMIFS('Control Testing'!$AA$5:$AA$1294,'Control Testing'!$B$5:$B$1294,AD$4,'Control Testing'!$E$5:$E$1294,$A16)</f>
        <v>1</v>
      </c>
      <c r="AE16" s="53" t="n">
        <f aca="false">SUMIFS('Control Testing'!$AA$5:$AA$1294,'Control Testing'!$B$5:$B$1294,AE$4,'Control Testing'!$E$5:$E$1294,$A16)</f>
        <v>2</v>
      </c>
      <c r="AF16" s="53" t="n">
        <f aca="false">SUMIFS('Control Testing'!$AA$5:$AA$1294,'Control Testing'!$B$5:$B$1294,AF$4,'Control Testing'!$E$5:$E$1294,$A16)</f>
        <v>2</v>
      </c>
      <c r="AG16" s="53" t="n">
        <f aca="false">SUMIFS('Control Testing'!$AA$5:$AA$1294,'Control Testing'!$B$5:$B$1294,AG$4,'Control Testing'!$E$5:$E$1294,$A16)</f>
        <v>2</v>
      </c>
    </row>
    <row r="17" customFormat="false" ht="15" hidden="false" customHeight="false" outlineLevel="0" collapsed="false">
      <c r="A17" s="26" t="str">
        <f aca="false">'Control Library'!A17</f>
        <v>CTL-TBML-01</v>
      </c>
      <c r="B17" s="26" t="str">
        <f aca="false">'Control Library'!B17</f>
        <v>Trade-based ML red-flag review and pricing checks</v>
      </c>
      <c r="C17" s="52" t="str">
        <f aca="false">'Control Library'!F17</f>
        <v>Y</v>
      </c>
      <c r="D17" s="53" t="n">
        <f aca="false">SUMIFS('Control Testing'!$AA$5:$AA$1294,'Control Testing'!$B$5:$B$1294,D$4,'Control Testing'!$E$5:$E$1294,$A17)</f>
        <v>2</v>
      </c>
      <c r="E17" s="53" t="n">
        <f aca="false">SUMIFS('Control Testing'!$AA$5:$AA$1294,'Control Testing'!$B$5:$B$1294,E$4,'Control Testing'!$E$5:$E$1294,$A17)</f>
        <v>2</v>
      </c>
      <c r="F17" s="53" t="n">
        <f aca="false">SUMIFS('Control Testing'!$AA$5:$AA$1294,'Control Testing'!$B$5:$B$1294,F$4,'Control Testing'!$E$5:$E$1294,$A17)</f>
        <v>0</v>
      </c>
      <c r="G17" s="53" t="n">
        <f aca="false">SUMIFS('Control Testing'!$AA$5:$AA$1294,'Control Testing'!$B$5:$B$1294,G$4,'Control Testing'!$E$5:$E$1294,$A17)</f>
        <v>0</v>
      </c>
      <c r="H17" s="53" t="n">
        <f aca="false">SUMIFS('Control Testing'!$AA$5:$AA$1294,'Control Testing'!$B$5:$B$1294,H$4,'Control Testing'!$E$5:$E$1294,$A17)</f>
        <v>0</v>
      </c>
      <c r="I17" s="53" t="n">
        <f aca="false">SUMIFS('Control Testing'!$AA$5:$AA$1294,'Control Testing'!$B$5:$B$1294,I$4,'Control Testing'!$E$5:$E$1294,$A17)</f>
        <v>3</v>
      </c>
      <c r="J17" s="53" t="n">
        <f aca="false">SUMIFS('Control Testing'!$AA$5:$AA$1294,'Control Testing'!$B$5:$B$1294,J$4,'Control Testing'!$E$5:$E$1294,$A17)</f>
        <v>0</v>
      </c>
      <c r="K17" s="53" t="n">
        <f aca="false">SUMIFS('Control Testing'!$AA$5:$AA$1294,'Control Testing'!$B$5:$B$1294,K$4,'Control Testing'!$E$5:$E$1294,$A17)</f>
        <v>2</v>
      </c>
      <c r="L17" s="53" t="n">
        <f aca="false">SUMIFS('Control Testing'!$AA$5:$AA$1294,'Control Testing'!$B$5:$B$1294,L$4,'Control Testing'!$E$5:$E$1294,$A17)</f>
        <v>3</v>
      </c>
      <c r="M17" s="53" t="n">
        <f aca="false">SUMIFS('Control Testing'!$AA$5:$AA$1294,'Control Testing'!$B$5:$B$1294,M$4,'Control Testing'!$E$5:$E$1294,$A17)</f>
        <v>4</v>
      </c>
      <c r="N17" s="53" t="n">
        <f aca="false">SUMIFS('Control Testing'!$AA$5:$AA$1294,'Control Testing'!$B$5:$B$1294,N$4,'Control Testing'!$E$5:$E$1294,$A17)</f>
        <v>2</v>
      </c>
      <c r="O17" s="53" t="n">
        <f aca="false">SUMIFS('Control Testing'!$AA$5:$AA$1294,'Control Testing'!$B$5:$B$1294,O$4,'Control Testing'!$E$5:$E$1294,$A17)</f>
        <v>2</v>
      </c>
      <c r="P17" s="53" t="n">
        <f aca="false">SUMIFS('Control Testing'!$AA$5:$AA$1294,'Control Testing'!$B$5:$B$1294,P$4,'Control Testing'!$E$5:$E$1294,$A17)</f>
        <v>2</v>
      </c>
      <c r="Q17" s="53" t="n">
        <f aca="false">SUMIFS('Control Testing'!$AA$5:$AA$1294,'Control Testing'!$B$5:$B$1294,Q$4,'Control Testing'!$E$5:$E$1294,$A17)</f>
        <v>2</v>
      </c>
      <c r="R17" s="53" t="n">
        <f aca="false">SUMIFS('Control Testing'!$AA$5:$AA$1294,'Control Testing'!$B$5:$B$1294,R$4,'Control Testing'!$E$5:$E$1294,$A17)</f>
        <v>4</v>
      </c>
      <c r="S17" s="53" t="n">
        <f aca="false">SUMIFS('Control Testing'!$AA$5:$AA$1294,'Control Testing'!$B$5:$B$1294,S$4,'Control Testing'!$E$5:$E$1294,$A17)</f>
        <v>3</v>
      </c>
      <c r="T17" s="53" t="n">
        <f aca="false">SUMIFS('Control Testing'!$AA$5:$AA$1294,'Control Testing'!$B$5:$B$1294,T$4,'Control Testing'!$E$5:$E$1294,$A17)</f>
        <v>1</v>
      </c>
      <c r="U17" s="53" t="n">
        <f aca="false">SUMIFS('Control Testing'!$AA$5:$AA$1294,'Control Testing'!$B$5:$B$1294,U$4,'Control Testing'!$E$5:$E$1294,$A17)</f>
        <v>1</v>
      </c>
      <c r="V17" s="53" t="n">
        <f aca="false">SUMIFS('Control Testing'!$AA$5:$AA$1294,'Control Testing'!$B$5:$B$1294,V$4,'Control Testing'!$E$5:$E$1294,$A17)</f>
        <v>1</v>
      </c>
      <c r="W17" s="53" t="n">
        <f aca="false">SUMIFS('Control Testing'!$AA$5:$AA$1294,'Control Testing'!$B$5:$B$1294,W$4,'Control Testing'!$E$5:$E$1294,$A17)</f>
        <v>2</v>
      </c>
      <c r="X17" s="53" t="n">
        <f aca="false">SUMIFS('Control Testing'!$AA$5:$AA$1294,'Control Testing'!$B$5:$B$1294,X$4,'Control Testing'!$E$5:$E$1294,$A17)</f>
        <v>3</v>
      </c>
      <c r="Y17" s="53" t="n">
        <f aca="false">SUMIFS('Control Testing'!$AA$5:$AA$1294,'Control Testing'!$B$5:$B$1294,Y$4,'Control Testing'!$E$5:$E$1294,$A17)</f>
        <v>2</v>
      </c>
      <c r="Z17" s="53" t="n">
        <f aca="false">SUMIFS('Control Testing'!$AA$5:$AA$1294,'Control Testing'!$B$5:$B$1294,Z$4,'Control Testing'!$E$5:$E$1294,$A17)</f>
        <v>4</v>
      </c>
      <c r="AA17" s="53" t="n">
        <f aca="false">SUMIFS('Control Testing'!$AA$5:$AA$1294,'Control Testing'!$B$5:$B$1294,AA$4,'Control Testing'!$E$5:$E$1294,$A17)</f>
        <v>1</v>
      </c>
      <c r="AB17" s="53" t="n">
        <f aca="false">SUMIFS('Control Testing'!$AA$5:$AA$1294,'Control Testing'!$B$5:$B$1294,AB$4,'Control Testing'!$E$5:$E$1294,$A17)</f>
        <v>1</v>
      </c>
      <c r="AC17" s="53" t="n">
        <f aca="false">SUMIFS('Control Testing'!$AA$5:$AA$1294,'Control Testing'!$B$5:$B$1294,AC$4,'Control Testing'!$E$5:$E$1294,$A17)</f>
        <v>1</v>
      </c>
      <c r="AD17" s="53" t="n">
        <f aca="false">SUMIFS('Control Testing'!$AA$5:$AA$1294,'Control Testing'!$B$5:$B$1294,AD$4,'Control Testing'!$E$5:$E$1294,$A17)</f>
        <v>2</v>
      </c>
      <c r="AE17" s="53" t="n">
        <f aca="false">SUMIFS('Control Testing'!$AA$5:$AA$1294,'Control Testing'!$B$5:$B$1294,AE$4,'Control Testing'!$E$5:$E$1294,$A17)</f>
        <v>1</v>
      </c>
      <c r="AF17" s="53" t="n">
        <f aca="false">SUMIFS('Control Testing'!$AA$5:$AA$1294,'Control Testing'!$B$5:$B$1294,AF$4,'Control Testing'!$E$5:$E$1294,$A17)</f>
        <v>2</v>
      </c>
      <c r="AG17" s="53" t="n">
        <f aca="false">SUMIFS('Control Testing'!$AA$5:$AA$1294,'Control Testing'!$B$5:$B$1294,AG$4,'Control Testing'!$E$5:$E$1294,$A17)</f>
        <v>2</v>
      </c>
    </row>
    <row r="18" customFormat="false" ht="15" hidden="false" customHeight="false" outlineLevel="0" collapsed="false">
      <c r="A18" s="26" t="str">
        <f aca="false">'Control Library'!A18</f>
        <v>CTL-PF-01</v>
      </c>
      <c r="B18" s="26" t="str">
        <f aca="false">'Control Library'!B18</f>
        <v>Dual-use goods, vessel and port screening</v>
      </c>
      <c r="C18" s="52" t="str">
        <f aca="false">'Control Library'!F18</f>
        <v>Y</v>
      </c>
      <c r="D18" s="53" t="n">
        <f aca="false">SUMIFS('Control Testing'!$AA$5:$AA$1294,'Control Testing'!$B$5:$B$1294,D$4,'Control Testing'!$E$5:$E$1294,$A18)</f>
        <v>3</v>
      </c>
      <c r="E18" s="53" t="n">
        <f aca="false">SUMIFS('Control Testing'!$AA$5:$AA$1294,'Control Testing'!$B$5:$B$1294,E$4,'Control Testing'!$E$5:$E$1294,$A18)</f>
        <v>2</v>
      </c>
      <c r="F18" s="53" t="n">
        <f aca="false">SUMIFS('Control Testing'!$AA$5:$AA$1294,'Control Testing'!$B$5:$B$1294,F$4,'Control Testing'!$E$5:$E$1294,$A18)</f>
        <v>0</v>
      </c>
      <c r="G18" s="53" t="n">
        <f aca="false">SUMIFS('Control Testing'!$AA$5:$AA$1294,'Control Testing'!$B$5:$B$1294,G$4,'Control Testing'!$E$5:$E$1294,$A18)</f>
        <v>0</v>
      </c>
      <c r="H18" s="53" t="n">
        <f aca="false">SUMIFS('Control Testing'!$AA$5:$AA$1294,'Control Testing'!$B$5:$B$1294,H$4,'Control Testing'!$E$5:$E$1294,$A18)</f>
        <v>0</v>
      </c>
      <c r="I18" s="53" t="n">
        <f aca="false">SUMIFS('Control Testing'!$AA$5:$AA$1294,'Control Testing'!$B$5:$B$1294,I$4,'Control Testing'!$E$5:$E$1294,$A18)</f>
        <v>2</v>
      </c>
      <c r="J18" s="53" t="n">
        <f aca="false">SUMIFS('Control Testing'!$AA$5:$AA$1294,'Control Testing'!$B$5:$B$1294,J$4,'Control Testing'!$E$5:$E$1294,$A18)</f>
        <v>0</v>
      </c>
      <c r="K18" s="53" t="n">
        <f aca="false">SUMIFS('Control Testing'!$AA$5:$AA$1294,'Control Testing'!$B$5:$B$1294,K$4,'Control Testing'!$E$5:$E$1294,$A18)</f>
        <v>2</v>
      </c>
      <c r="L18" s="53" t="n">
        <f aca="false">SUMIFS('Control Testing'!$AA$5:$AA$1294,'Control Testing'!$B$5:$B$1294,L$4,'Control Testing'!$E$5:$E$1294,$A18)</f>
        <v>2</v>
      </c>
      <c r="M18" s="53" t="n">
        <f aca="false">SUMIFS('Control Testing'!$AA$5:$AA$1294,'Control Testing'!$B$5:$B$1294,M$4,'Control Testing'!$E$5:$E$1294,$A18)</f>
        <v>2</v>
      </c>
      <c r="N18" s="53" t="n">
        <f aca="false">SUMIFS('Control Testing'!$AA$5:$AA$1294,'Control Testing'!$B$5:$B$1294,N$4,'Control Testing'!$E$5:$E$1294,$A18)</f>
        <v>2</v>
      </c>
      <c r="O18" s="53" t="n">
        <f aca="false">SUMIFS('Control Testing'!$AA$5:$AA$1294,'Control Testing'!$B$5:$B$1294,O$4,'Control Testing'!$E$5:$E$1294,$A18)</f>
        <v>4</v>
      </c>
      <c r="P18" s="53" t="n">
        <f aca="false">SUMIFS('Control Testing'!$AA$5:$AA$1294,'Control Testing'!$B$5:$B$1294,P$4,'Control Testing'!$E$5:$E$1294,$A18)</f>
        <v>1</v>
      </c>
      <c r="Q18" s="53" t="n">
        <f aca="false">SUMIFS('Control Testing'!$AA$5:$AA$1294,'Control Testing'!$B$5:$B$1294,Q$4,'Control Testing'!$E$5:$E$1294,$A18)</f>
        <v>1</v>
      </c>
      <c r="R18" s="53" t="n">
        <f aca="false">SUMIFS('Control Testing'!$AA$5:$AA$1294,'Control Testing'!$B$5:$B$1294,R$4,'Control Testing'!$E$5:$E$1294,$A18)</f>
        <v>2</v>
      </c>
      <c r="S18" s="53" t="n">
        <f aca="false">SUMIFS('Control Testing'!$AA$5:$AA$1294,'Control Testing'!$B$5:$B$1294,S$4,'Control Testing'!$E$5:$E$1294,$A18)</f>
        <v>2</v>
      </c>
      <c r="T18" s="53" t="n">
        <f aca="false">SUMIFS('Control Testing'!$AA$5:$AA$1294,'Control Testing'!$B$5:$B$1294,T$4,'Control Testing'!$E$5:$E$1294,$A18)</f>
        <v>2</v>
      </c>
      <c r="U18" s="53" t="n">
        <f aca="false">SUMIFS('Control Testing'!$AA$5:$AA$1294,'Control Testing'!$B$5:$B$1294,U$4,'Control Testing'!$E$5:$E$1294,$A18)</f>
        <v>4</v>
      </c>
      <c r="V18" s="53" t="n">
        <f aca="false">SUMIFS('Control Testing'!$AA$5:$AA$1294,'Control Testing'!$B$5:$B$1294,V$4,'Control Testing'!$E$5:$E$1294,$A18)</f>
        <v>3</v>
      </c>
      <c r="W18" s="53" t="n">
        <f aca="false">SUMIFS('Control Testing'!$AA$5:$AA$1294,'Control Testing'!$B$5:$B$1294,W$4,'Control Testing'!$E$5:$E$1294,$A18)</f>
        <v>4</v>
      </c>
      <c r="X18" s="53" t="n">
        <f aca="false">SUMIFS('Control Testing'!$AA$5:$AA$1294,'Control Testing'!$B$5:$B$1294,X$4,'Control Testing'!$E$5:$E$1294,$A18)</f>
        <v>2</v>
      </c>
      <c r="Y18" s="53" t="n">
        <f aca="false">SUMIFS('Control Testing'!$AA$5:$AA$1294,'Control Testing'!$B$5:$B$1294,Y$4,'Control Testing'!$E$5:$E$1294,$A18)</f>
        <v>1</v>
      </c>
      <c r="Z18" s="53" t="n">
        <f aca="false">SUMIFS('Control Testing'!$AA$5:$AA$1294,'Control Testing'!$B$5:$B$1294,Z$4,'Control Testing'!$E$5:$E$1294,$A18)</f>
        <v>1</v>
      </c>
      <c r="AA18" s="53" t="n">
        <f aca="false">SUMIFS('Control Testing'!$AA$5:$AA$1294,'Control Testing'!$B$5:$B$1294,AA$4,'Control Testing'!$E$5:$E$1294,$A18)</f>
        <v>1</v>
      </c>
      <c r="AB18" s="53" t="n">
        <f aca="false">SUMIFS('Control Testing'!$AA$5:$AA$1294,'Control Testing'!$B$5:$B$1294,AB$4,'Control Testing'!$E$5:$E$1294,$A18)</f>
        <v>1</v>
      </c>
      <c r="AC18" s="53" t="n">
        <f aca="false">SUMIFS('Control Testing'!$AA$5:$AA$1294,'Control Testing'!$B$5:$B$1294,AC$4,'Control Testing'!$E$5:$E$1294,$A18)</f>
        <v>2</v>
      </c>
      <c r="AD18" s="53" t="n">
        <f aca="false">SUMIFS('Control Testing'!$AA$5:$AA$1294,'Control Testing'!$B$5:$B$1294,AD$4,'Control Testing'!$E$5:$E$1294,$A18)</f>
        <v>2</v>
      </c>
      <c r="AE18" s="53" t="n">
        <f aca="false">SUMIFS('Control Testing'!$AA$5:$AA$1294,'Control Testing'!$B$5:$B$1294,AE$4,'Control Testing'!$E$5:$E$1294,$A18)</f>
        <v>1</v>
      </c>
      <c r="AF18" s="53" t="n">
        <f aca="false">SUMIFS('Control Testing'!$AA$5:$AA$1294,'Control Testing'!$B$5:$B$1294,AF$4,'Control Testing'!$E$5:$E$1294,$A18)</f>
        <v>2</v>
      </c>
      <c r="AG18" s="53" t="n">
        <f aca="false">SUMIFS('Control Testing'!$AA$5:$AA$1294,'Control Testing'!$B$5:$B$1294,AG$4,'Control Testing'!$E$5:$E$1294,$A18)</f>
        <v>1</v>
      </c>
    </row>
    <row r="19" customFormat="false" ht="15" hidden="false" customHeight="false" outlineLevel="0" collapsed="false">
      <c r="A19" s="26" t="str">
        <f aca="false">'Control Library'!A19</f>
        <v>CTL-CB-01</v>
      </c>
      <c r="B19" s="26" t="str">
        <f aca="false">'Control Library'!B19</f>
        <v>Correspondent bank due diligence (CBDDQ) and nesting detection</v>
      </c>
      <c r="C19" s="52" t="str">
        <f aca="false">'Control Library'!F19</f>
        <v>Y</v>
      </c>
      <c r="D19" s="53" t="n">
        <f aca="false">SUMIFS('Control Testing'!$AA$5:$AA$1294,'Control Testing'!$B$5:$B$1294,D$4,'Control Testing'!$E$5:$E$1294,$A19)</f>
        <v>4</v>
      </c>
      <c r="E19" s="53" t="n">
        <f aca="false">SUMIFS('Control Testing'!$AA$5:$AA$1294,'Control Testing'!$B$5:$B$1294,E$4,'Control Testing'!$E$5:$E$1294,$A19)</f>
        <v>2</v>
      </c>
      <c r="F19" s="53" t="n">
        <f aca="false">SUMIFS('Control Testing'!$AA$5:$AA$1294,'Control Testing'!$B$5:$B$1294,F$4,'Control Testing'!$E$5:$E$1294,$A19)</f>
        <v>0</v>
      </c>
      <c r="G19" s="53" t="n">
        <f aca="false">SUMIFS('Control Testing'!$AA$5:$AA$1294,'Control Testing'!$B$5:$B$1294,G$4,'Control Testing'!$E$5:$E$1294,$A19)</f>
        <v>0</v>
      </c>
      <c r="H19" s="53" t="n">
        <f aca="false">SUMIFS('Control Testing'!$AA$5:$AA$1294,'Control Testing'!$B$5:$B$1294,H$4,'Control Testing'!$E$5:$E$1294,$A19)</f>
        <v>0</v>
      </c>
      <c r="I19" s="53" t="n">
        <f aca="false">SUMIFS('Control Testing'!$AA$5:$AA$1294,'Control Testing'!$B$5:$B$1294,I$4,'Control Testing'!$E$5:$E$1294,$A19)</f>
        <v>2</v>
      </c>
      <c r="J19" s="53" t="n">
        <f aca="false">SUMIFS('Control Testing'!$AA$5:$AA$1294,'Control Testing'!$B$5:$B$1294,J$4,'Control Testing'!$E$5:$E$1294,$A19)</f>
        <v>0</v>
      </c>
      <c r="K19" s="53" t="n">
        <f aca="false">SUMIFS('Control Testing'!$AA$5:$AA$1294,'Control Testing'!$B$5:$B$1294,K$4,'Control Testing'!$E$5:$E$1294,$A19)</f>
        <v>3</v>
      </c>
      <c r="L19" s="53" t="n">
        <f aca="false">SUMIFS('Control Testing'!$AA$5:$AA$1294,'Control Testing'!$B$5:$B$1294,L$4,'Control Testing'!$E$5:$E$1294,$A19)</f>
        <v>3</v>
      </c>
      <c r="M19" s="53" t="n">
        <f aca="false">SUMIFS('Control Testing'!$AA$5:$AA$1294,'Control Testing'!$B$5:$B$1294,M$4,'Control Testing'!$E$5:$E$1294,$A19)</f>
        <v>2</v>
      </c>
      <c r="N19" s="53" t="n">
        <f aca="false">SUMIFS('Control Testing'!$AA$5:$AA$1294,'Control Testing'!$B$5:$B$1294,N$4,'Control Testing'!$E$5:$E$1294,$A19)</f>
        <v>2</v>
      </c>
      <c r="O19" s="53" t="n">
        <f aca="false">SUMIFS('Control Testing'!$AA$5:$AA$1294,'Control Testing'!$B$5:$B$1294,O$4,'Control Testing'!$E$5:$E$1294,$A19)</f>
        <v>1</v>
      </c>
      <c r="P19" s="53" t="n">
        <f aca="false">SUMIFS('Control Testing'!$AA$5:$AA$1294,'Control Testing'!$B$5:$B$1294,P$4,'Control Testing'!$E$5:$E$1294,$A19)</f>
        <v>2</v>
      </c>
      <c r="Q19" s="53" t="n">
        <f aca="false">SUMIFS('Control Testing'!$AA$5:$AA$1294,'Control Testing'!$B$5:$B$1294,Q$4,'Control Testing'!$E$5:$E$1294,$A19)</f>
        <v>2</v>
      </c>
      <c r="R19" s="53" t="n">
        <f aca="false">SUMIFS('Control Testing'!$AA$5:$AA$1294,'Control Testing'!$B$5:$B$1294,R$4,'Control Testing'!$E$5:$E$1294,$A19)</f>
        <v>3</v>
      </c>
      <c r="S19" s="53" t="n">
        <f aca="false">SUMIFS('Control Testing'!$AA$5:$AA$1294,'Control Testing'!$B$5:$B$1294,S$4,'Control Testing'!$E$5:$E$1294,$A19)</f>
        <v>3</v>
      </c>
      <c r="T19" s="53" t="n">
        <f aca="false">SUMIFS('Control Testing'!$AA$5:$AA$1294,'Control Testing'!$B$5:$B$1294,T$4,'Control Testing'!$E$5:$E$1294,$A19)</f>
        <v>2</v>
      </c>
      <c r="U19" s="53" t="n">
        <f aca="false">SUMIFS('Control Testing'!$AA$5:$AA$1294,'Control Testing'!$B$5:$B$1294,U$4,'Control Testing'!$E$5:$E$1294,$A19)</f>
        <v>2</v>
      </c>
      <c r="V19" s="53" t="n">
        <f aca="false">SUMIFS('Control Testing'!$AA$5:$AA$1294,'Control Testing'!$B$5:$B$1294,V$4,'Control Testing'!$E$5:$E$1294,$A19)</f>
        <v>2</v>
      </c>
      <c r="W19" s="53" t="n">
        <f aca="false">SUMIFS('Control Testing'!$AA$5:$AA$1294,'Control Testing'!$B$5:$B$1294,W$4,'Control Testing'!$E$5:$E$1294,$A19)</f>
        <v>2</v>
      </c>
      <c r="X19" s="53" t="n">
        <f aca="false">SUMIFS('Control Testing'!$AA$5:$AA$1294,'Control Testing'!$B$5:$B$1294,X$4,'Control Testing'!$E$5:$E$1294,$A19)</f>
        <v>2</v>
      </c>
      <c r="Y19" s="53" t="n">
        <f aca="false">SUMIFS('Control Testing'!$AA$5:$AA$1294,'Control Testing'!$B$5:$B$1294,Y$4,'Control Testing'!$E$5:$E$1294,$A19)</f>
        <v>2</v>
      </c>
      <c r="Z19" s="53" t="n">
        <f aca="false">SUMIFS('Control Testing'!$AA$5:$AA$1294,'Control Testing'!$B$5:$B$1294,Z$4,'Control Testing'!$E$5:$E$1294,$A19)</f>
        <v>2</v>
      </c>
      <c r="AA19" s="53" t="n">
        <f aca="false">SUMIFS('Control Testing'!$AA$5:$AA$1294,'Control Testing'!$B$5:$B$1294,AA$4,'Control Testing'!$E$5:$E$1294,$A19)</f>
        <v>2</v>
      </c>
      <c r="AB19" s="53" t="n">
        <f aca="false">SUMIFS('Control Testing'!$AA$5:$AA$1294,'Control Testing'!$B$5:$B$1294,AB$4,'Control Testing'!$E$5:$E$1294,$A19)</f>
        <v>2</v>
      </c>
      <c r="AC19" s="53" t="n">
        <f aca="false">SUMIFS('Control Testing'!$AA$5:$AA$1294,'Control Testing'!$B$5:$B$1294,AC$4,'Control Testing'!$E$5:$E$1294,$A19)</f>
        <v>2</v>
      </c>
      <c r="AD19" s="53" t="n">
        <f aca="false">SUMIFS('Control Testing'!$AA$5:$AA$1294,'Control Testing'!$B$5:$B$1294,AD$4,'Control Testing'!$E$5:$E$1294,$A19)</f>
        <v>1</v>
      </c>
      <c r="AE19" s="53" t="n">
        <f aca="false">SUMIFS('Control Testing'!$AA$5:$AA$1294,'Control Testing'!$B$5:$B$1294,AE$4,'Control Testing'!$E$5:$E$1294,$A19)</f>
        <v>2</v>
      </c>
      <c r="AF19" s="53" t="n">
        <f aca="false">SUMIFS('Control Testing'!$AA$5:$AA$1294,'Control Testing'!$B$5:$B$1294,AF$4,'Control Testing'!$E$5:$E$1294,$A19)</f>
        <v>4</v>
      </c>
      <c r="AG19" s="53" t="n">
        <f aca="false">SUMIFS('Control Testing'!$AA$5:$AA$1294,'Control Testing'!$B$5:$B$1294,AG$4,'Control Testing'!$E$5:$E$1294,$A19)</f>
        <v>1</v>
      </c>
    </row>
    <row r="20" customFormat="false" ht="15" hidden="false" customHeight="false" outlineLevel="0" collapsed="false">
      <c r="A20" s="26" t="str">
        <f aca="false">'Control Library'!A20</f>
        <v>CTL-PAY-01</v>
      </c>
      <c r="B20" s="26" t="str">
        <f aca="false">'Control Library'!B20</f>
        <v>Payment transparency checks (FATF R.16)</v>
      </c>
      <c r="C20" s="52" t="str">
        <f aca="false">'Control Library'!F20</f>
        <v>N</v>
      </c>
      <c r="D20" s="53" t="n">
        <f aca="false">SUMIFS('Control Testing'!$AA$5:$AA$1294,'Control Testing'!$B$5:$B$1294,D$4,'Control Testing'!$E$5:$E$1294,$A20)</f>
        <v>2</v>
      </c>
      <c r="E20" s="53" t="n">
        <f aca="false">SUMIFS('Control Testing'!$AA$5:$AA$1294,'Control Testing'!$B$5:$B$1294,E$4,'Control Testing'!$E$5:$E$1294,$A20)</f>
        <v>2</v>
      </c>
      <c r="F20" s="53" t="n">
        <f aca="false">SUMIFS('Control Testing'!$AA$5:$AA$1294,'Control Testing'!$B$5:$B$1294,F$4,'Control Testing'!$E$5:$E$1294,$A20)</f>
        <v>0</v>
      </c>
      <c r="G20" s="53" t="n">
        <f aca="false">SUMIFS('Control Testing'!$AA$5:$AA$1294,'Control Testing'!$B$5:$B$1294,G$4,'Control Testing'!$E$5:$E$1294,$A20)</f>
        <v>0</v>
      </c>
      <c r="H20" s="53" t="n">
        <f aca="false">SUMIFS('Control Testing'!$AA$5:$AA$1294,'Control Testing'!$B$5:$B$1294,H$4,'Control Testing'!$E$5:$E$1294,$A20)</f>
        <v>0</v>
      </c>
      <c r="I20" s="53" t="n">
        <f aca="false">SUMIFS('Control Testing'!$AA$5:$AA$1294,'Control Testing'!$B$5:$B$1294,I$4,'Control Testing'!$E$5:$E$1294,$A20)</f>
        <v>2</v>
      </c>
      <c r="J20" s="53" t="n">
        <f aca="false">SUMIFS('Control Testing'!$AA$5:$AA$1294,'Control Testing'!$B$5:$B$1294,J$4,'Control Testing'!$E$5:$E$1294,$A20)</f>
        <v>0</v>
      </c>
      <c r="K20" s="53" t="n">
        <f aca="false">SUMIFS('Control Testing'!$AA$5:$AA$1294,'Control Testing'!$B$5:$B$1294,K$4,'Control Testing'!$E$5:$E$1294,$A20)</f>
        <v>3</v>
      </c>
      <c r="L20" s="53" t="n">
        <f aca="false">SUMIFS('Control Testing'!$AA$5:$AA$1294,'Control Testing'!$B$5:$B$1294,L$4,'Control Testing'!$E$5:$E$1294,$A20)</f>
        <v>3</v>
      </c>
      <c r="M20" s="53" t="n">
        <f aca="false">SUMIFS('Control Testing'!$AA$5:$AA$1294,'Control Testing'!$B$5:$B$1294,M$4,'Control Testing'!$E$5:$E$1294,$A20)</f>
        <v>1</v>
      </c>
      <c r="N20" s="53" t="n">
        <f aca="false">SUMIFS('Control Testing'!$AA$5:$AA$1294,'Control Testing'!$B$5:$B$1294,N$4,'Control Testing'!$E$5:$E$1294,$A20)</f>
        <v>2</v>
      </c>
      <c r="O20" s="53" t="n">
        <f aca="false">SUMIFS('Control Testing'!$AA$5:$AA$1294,'Control Testing'!$B$5:$B$1294,O$4,'Control Testing'!$E$5:$E$1294,$A20)</f>
        <v>2</v>
      </c>
      <c r="P20" s="53" t="n">
        <f aca="false">SUMIFS('Control Testing'!$AA$5:$AA$1294,'Control Testing'!$B$5:$B$1294,P$4,'Control Testing'!$E$5:$E$1294,$A20)</f>
        <v>2</v>
      </c>
      <c r="Q20" s="53" t="n">
        <f aca="false">SUMIFS('Control Testing'!$AA$5:$AA$1294,'Control Testing'!$B$5:$B$1294,Q$4,'Control Testing'!$E$5:$E$1294,$A20)</f>
        <v>2</v>
      </c>
      <c r="R20" s="53" t="n">
        <f aca="false">SUMIFS('Control Testing'!$AA$5:$AA$1294,'Control Testing'!$B$5:$B$1294,R$4,'Control Testing'!$E$5:$E$1294,$A20)</f>
        <v>2</v>
      </c>
      <c r="S20" s="53" t="n">
        <f aca="false">SUMIFS('Control Testing'!$AA$5:$AA$1294,'Control Testing'!$B$5:$B$1294,S$4,'Control Testing'!$E$5:$E$1294,$A20)</f>
        <v>3</v>
      </c>
      <c r="T20" s="53" t="n">
        <f aca="false">SUMIFS('Control Testing'!$AA$5:$AA$1294,'Control Testing'!$B$5:$B$1294,T$4,'Control Testing'!$E$5:$E$1294,$A20)</f>
        <v>2</v>
      </c>
      <c r="U20" s="53" t="n">
        <f aca="false">SUMIFS('Control Testing'!$AA$5:$AA$1294,'Control Testing'!$B$5:$B$1294,U$4,'Control Testing'!$E$5:$E$1294,$A20)</f>
        <v>2</v>
      </c>
      <c r="V20" s="53" t="n">
        <f aca="false">SUMIFS('Control Testing'!$AA$5:$AA$1294,'Control Testing'!$B$5:$B$1294,V$4,'Control Testing'!$E$5:$E$1294,$A20)</f>
        <v>2</v>
      </c>
      <c r="W20" s="53" t="n">
        <f aca="false">SUMIFS('Control Testing'!$AA$5:$AA$1294,'Control Testing'!$B$5:$B$1294,W$4,'Control Testing'!$E$5:$E$1294,$A20)</f>
        <v>2</v>
      </c>
      <c r="X20" s="53" t="n">
        <f aca="false">SUMIFS('Control Testing'!$AA$5:$AA$1294,'Control Testing'!$B$5:$B$1294,X$4,'Control Testing'!$E$5:$E$1294,$A20)</f>
        <v>3</v>
      </c>
      <c r="Y20" s="53" t="n">
        <f aca="false">SUMIFS('Control Testing'!$AA$5:$AA$1294,'Control Testing'!$B$5:$B$1294,Y$4,'Control Testing'!$E$5:$E$1294,$A20)</f>
        <v>2</v>
      </c>
      <c r="Z20" s="53" t="n">
        <f aca="false">SUMIFS('Control Testing'!$AA$5:$AA$1294,'Control Testing'!$B$5:$B$1294,Z$4,'Control Testing'!$E$5:$E$1294,$A20)</f>
        <v>1</v>
      </c>
      <c r="AA20" s="53" t="n">
        <f aca="false">SUMIFS('Control Testing'!$AA$5:$AA$1294,'Control Testing'!$B$5:$B$1294,AA$4,'Control Testing'!$E$5:$E$1294,$A20)</f>
        <v>1</v>
      </c>
      <c r="AB20" s="53" t="n">
        <f aca="false">SUMIFS('Control Testing'!$AA$5:$AA$1294,'Control Testing'!$B$5:$B$1294,AB$4,'Control Testing'!$E$5:$E$1294,$A20)</f>
        <v>1</v>
      </c>
      <c r="AC20" s="53" t="n">
        <f aca="false">SUMIFS('Control Testing'!$AA$5:$AA$1294,'Control Testing'!$B$5:$B$1294,AC$4,'Control Testing'!$E$5:$E$1294,$A20)</f>
        <v>2</v>
      </c>
      <c r="AD20" s="53" t="n">
        <f aca="false">SUMIFS('Control Testing'!$AA$5:$AA$1294,'Control Testing'!$B$5:$B$1294,AD$4,'Control Testing'!$E$5:$E$1294,$A20)</f>
        <v>1</v>
      </c>
      <c r="AE20" s="53" t="n">
        <f aca="false">SUMIFS('Control Testing'!$AA$5:$AA$1294,'Control Testing'!$B$5:$B$1294,AE$4,'Control Testing'!$E$5:$E$1294,$A20)</f>
        <v>2</v>
      </c>
      <c r="AF20" s="53" t="n">
        <f aca="false">SUMIFS('Control Testing'!$AA$5:$AA$1294,'Control Testing'!$B$5:$B$1294,AF$4,'Control Testing'!$E$5:$E$1294,$A20)</f>
        <v>1</v>
      </c>
      <c r="AG20" s="53" t="n">
        <f aca="false">SUMIFS('Control Testing'!$AA$5:$AA$1294,'Control Testing'!$B$5:$B$1294,AG$4,'Control Testing'!$E$5:$E$1294,$A20)</f>
        <v>2</v>
      </c>
    </row>
    <row r="21" customFormat="false" ht="15" hidden="false" customHeight="false" outlineLevel="0" collapsed="false">
      <c r="A21" s="26" t="str">
        <f aca="false">'Control Library'!A21</f>
        <v>CTL-ABC-01</v>
      </c>
      <c r="B21" s="26" t="str">
        <f aca="false">'Control Library'!B21</f>
        <v>Third-party and intermediary anti-bribery due diligence</v>
      </c>
      <c r="C21" s="52" t="str">
        <f aca="false">'Control Library'!F21</f>
        <v>Y</v>
      </c>
      <c r="D21" s="53" t="n">
        <f aca="false">SUMIFS('Control Testing'!$AA$5:$AA$1294,'Control Testing'!$B$5:$B$1294,D$4,'Control Testing'!$E$5:$E$1294,$A21)</f>
        <v>1</v>
      </c>
      <c r="E21" s="53" t="n">
        <f aca="false">SUMIFS('Control Testing'!$AA$5:$AA$1294,'Control Testing'!$B$5:$B$1294,E$4,'Control Testing'!$E$5:$E$1294,$A21)</f>
        <v>2</v>
      </c>
      <c r="F21" s="53" t="n">
        <f aca="false">SUMIFS('Control Testing'!$AA$5:$AA$1294,'Control Testing'!$B$5:$B$1294,F$4,'Control Testing'!$E$5:$E$1294,$A21)</f>
        <v>2</v>
      </c>
      <c r="G21" s="53" t="n">
        <f aca="false">SUMIFS('Control Testing'!$AA$5:$AA$1294,'Control Testing'!$B$5:$B$1294,G$4,'Control Testing'!$E$5:$E$1294,$A21)</f>
        <v>2</v>
      </c>
      <c r="H21" s="53" t="n">
        <f aca="false">SUMIFS('Control Testing'!$AA$5:$AA$1294,'Control Testing'!$B$5:$B$1294,H$4,'Control Testing'!$E$5:$E$1294,$A21)</f>
        <v>2</v>
      </c>
      <c r="I21" s="53" t="n">
        <f aca="false">SUMIFS('Control Testing'!$AA$5:$AA$1294,'Control Testing'!$B$5:$B$1294,I$4,'Control Testing'!$E$5:$E$1294,$A21)</f>
        <v>2</v>
      </c>
      <c r="J21" s="53" t="n">
        <f aca="false">SUMIFS('Control Testing'!$AA$5:$AA$1294,'Control Testing'!$B$5:$B$1294,J$4,'Control Testing'!$E$5:$E$1294,$A21)</f>
        <v>3</v>
      </c>
      <c r="K21" s="53" t="n">
        <f aca="false">SUMIFS('Control Testing'!$AA$5:$AA$1294,'Control Testing'!$B$5:$B$1294,K$4,'Control Testing'!$E$5:$E$1294,$A21)</f>
        <v>3</v>
      </c>
      <c r="L21" s="53" t="n">
        <f aca="false">SUMIFS('Control Testing'!$AA$5:$AA$1294,'Control Testing'!$B$5:$B$1294,L$4,'Control Testing'!$E$5:$E$1294,$A21)</f>
        <v>2</v>
      </c>
      <c r="M21" s="53" t="n">
        <f aca="false">SUMIFS('Control Testing'!$AA$5:$AA$1294,'Control Testing'!$B$5:$B$1294,M$4,'Control Testing'!$E$5:$E$1294,$A21)</f>
        <v>4</v>
      </c>
      <c r="N21" s="53" t="n">
        <f aca="false">SUMIFS('Control Testing'!$AA$5:$AA$1294,'Control Testing'!$B$5:$B$1294,N$4,'Control Testing'!$E$5:$E$1294,$A21)</f>
        <v>4</v>
      </c>
      <c r="O21" s="53" t="n">
        <f aca="false">SUMIFS('Control Testing'!$AA$5:$AA$1294,'Control Testing'!$B$5:$B$1294,O$4,'Control Testing'!$E$5:$E$1294,$A21)</f>
        <v>2</v>
      </c>
      <c r="P21" s="53" t="n">
        <f aca="false">SUMIFS('Control Testing'!$AA$5:$AA$1294,'Control Testing'!$B$5:$B$1294,P$4,'Control Testing'!$E$5:$E$1294,$A21)</f>
        <v>1</v>
      </c>
      <c r="Q21" s="53" t="n">
        <f aca="false">SUMIFS('Control Testing'!$AA$5:$AA$1294,'Control Testing'!$B$5:$B$1294,Q$4,'Control Testing'!$E$5:$E$1294,$A21)</f>
        <v>2</v>
      </c>
      <c r="R21" s="53" t="n">
        <f aca="false">SUMIFS('Control Testing'!$AA$5:$AA$1294,'Control Testing'!$B$5:$B$1294,R$4,'Control Testing'!$E$5:$E$1294,$A21)</f>
        <v>3</v>
      </c>
      <c r="S21" s="53" t="n">
        <f aca="false">SUMIFS('Control Testing'!$AA$5:$AA$1294,'Control Testing'!$B$5:$B$1294,S$4,'Control Testing'!$E$5:$E$1294,$A21)</f>
        <v>4</v>
      </c>
      <c r="T21" s="53" t="n">
        <f aca="false">SUMIFS('Control Testing'!$AA$5:$AA$1294,'Control Testing'!$B$5:$B$1294,T$4,'Control Testing'!$E$5:$E$1294,$A21)</f>
        <v>1</v>
      </c>
      <c r="U21" s="53" t="n">
        <f aca="false">SUMIFS('Control Testing'!$AA$5:$AA$1294,'Control Testing'!$B$5:$B$1294,U$4,'Control Testing'!$E$5:$E$1294,$A21)</f>
        <v>2</v>
      </c>
      <c r="V21" s="53" t="n">
        <f aca="false">SUMIFS('Control Testing'!$AA$5:$AA$1294,'Control Testing'!$B$5:$B$1294,V$4,'Control Testing'!$E$5:$E$1294,$A21)</f>
        <v>1</v>
      </c>
      <c r="W21" s="53" t="n">
        <f aca="false">SUMIFS('Control Testing'!$AA$5:$AA$1294,'Control Testing'!$B$5:$B$1294,W$4,'Control Testing'!$E$5:$E$1294,$A21)</f>
        <v>2</v>
      </c>
      <c r="X21" s="53" t="n">
        <f aca="false">SUMIFS('Control Testing'!$AA$5:$AA$1294,'Control Testing'!$B$5:$B$1294,X$4,'Control Testing'!$E$5:$E$1294,$A21)</f>
        <v>2</v>
      </c>
      <c r="Y21" s="53" t="n">
        <f aca="false">SUMIFS('Control Testing'!$AA$5:$AA$1294,'Control Testing'!$B$5:$B$1294,Y$4,'Control Testing'!$E$5:$E$1294,$A21)</f>
        <v>1</v>
      </c>
      <c r="Z21" s="53" t="n">
        <f aca="false">SUMIFS('Control Testing'!$AA$5:$AA$1294,'Control Testing'!$B$5:$B$1294,Z$4,'Control Testing'!$E$5:$E$1294,$A21)</f>
        <v>2</v>
      </c>
      <c r="AA21" s="53" t="n">
        <f aca="false">SUMIFS('Control Testing'!$AA$5:$AA$1294,'Control Testing'!$B$5:$B$1294,AA$4,'Control Testing'!$E$5:$E$1294,$A21)</f>
        <v>1</v>
      </c>
      <c r="AB21" s="53" t="n">
        <f aca="false">SUMIFS('Control Testing'!$AA$5:$AA$1294,'Control Testing'!$B$5:$B$1294,AB$4,'Control Testing'!$E$5:$E$1294,$A21)</f>
        <v>4</v>
      </c>
      <c r="AC21" s="53" t="n">
        <f aca="false">SUMIFS('Control Testing'!$AA$5:$AA$1294,'Control Testing'!$B$5:$B$1294,AC$4,'Control Testing'!$E$5:$E$1294,$A21)</f>
        <v>2</v>
      </c>
      <c r="AD21" s="53" t="n">
        <f aca="false">SUMIFS('Control Testing'!$AA$5:$AA$1294,'Control Testing'!$B$5:$B$1294,AD$4,'Control Testing'!$E$5:$E$1294,$A21)</f>
        <v>2</v>
      </c>
      <c r="AE21" s="53" t="n">
        <f aca="false">SUMIFS('Control Testing'!$AA$5:$AA$1294,'Control Testing'!$B$5:$B$1294,AE$4,'Control Testing'!$E$5:$E$1294,$A21)</f>
        <v>1</v>
      </c>
      <c r="AF21" s="53" t="n">
        <f aca="false">SUMIFS('Control Testing'!$AA$5:$AA$1294,'Control Testing'!$B$5:$B$1294,AF$4,'Control Testing'!$E$5:$E$1294,$A21)</f>
        <v>1</v>
      </c>
      <c r="AG21" s="53" t="n">
        <f aca="false">SUMIFS('Control Testing'!$AA$5:$AA$1294,'Control Testing'!$B$5:$B$1294,AG$4,'Control Testing'!$E$5:$E$1294,$A21)</f>
        <v>4</v>
      </c>
    </row>
    <row r="22" customFormat="false" ht="15" hidden="false" customHeight="false" outlineLevel="0" collapsed="false">
      <c r="A22" s="26" t="str">
        <f aca="false">'Control Library'!A22</f>
        <v>CTL-ABC-02</v>
      </c>
      <c r="B22" s="26" t="str">
        <f aca="false">'Control Library'!B22</f>
        <v>Gifts, hospitality and donations register with pre-approval</v>
      </c>
      <c r="C22" s="52" t="str">
        <f aca="false">'Control Library'!F22</f>
        <v>N</v>
      </c>
      <c r="D22" s="53" t="n">
        <f aca="false">SUMIFS('Control Testing'!$AA$5:$AA$1294,'Control Testing'!$B$5:$B$1294,D$4,'Control Testing'!$E$5:$E$1294,$A22)</f>
        <v>2</v>
      </c>
      <c r="E22" s="53" t="n">
        <f aca="false">SUMIFS('Control Testing'!$AA$5:$AA$1294,'Control Testing'!$B$5:$B$1294,E$4,'Control Testing'!$E$5:$E$1294,$A22)</f>
        <v>4</v>
      </c>
      <c r="F22" s="53" t="n">
        <f aca="false">SUMIFS('Control Testing'!$AA$5:$AA$1294,'Control Testing'!$B$5:$B$1294,F$4,'Control Testing'!$E$5:$E$1294,$A22)</f>
        <v>2</v>
      </c>
      <c r="G22" s="53" t="n">
        <f aca="false">SUMIFS('Control Testing'!$AA$5:$AA$1294,'Control Testing'!$B$5:$B$1294,G$4,'Control Testing'!$E$5:$E$1294,$A22)</f>
        <v>3</v>
      </c>
      <c r="H22" s="53" t="n">
        <f aca="false">SUMIFS('Control Testing'!$AA$5:$AA$1294,'Control Testing'!$B$5:$B$1294,H$4,'Control Testing'!$E$5:$E$1294,$A22)</f>
        <v>2</v>
      </c>
      <c r="I22" s="53" t="n">
        <f aca="false">SUMIFS('Control Testing'!$AA$5:$AA$1294,'Control Testing'!$B$5:$B$1294,I$4,'Control Testing'!$E$5:$E$1294,$A22)</f>
        <v>4</v>
      </c>
      <c r="J22" s="53" t="n">
        <f aca="false">SUMIFS('Control Testing'!$AA$5:$AA$1294,'Control Testing'!$B$5:$B$1294,J$4,'Control Testing'!$E$5:$E$1294,$A22)</f>
        <v>4</v>
      </c>
      <c r="K22" s="53" t="n">
        <f aca="false">SUMIFS('Control Testing'!$AA$5:$AA$1294,'Control Testing'!$B$5:$B$1294,K$4,'Control Testing'!$E$5:$E$1294,$A22)</f>
        <v>2</v>
      </c>
      <c r="L22" s="53" t="n">
        <f aca="false">SUMIFS('Control Testing'!$AA$5:$AA$1294,'Control Testing'!$B$5:$B$1294,L$4,'Control Testing'!$E$5:$E$1294,$A22)</f>
        <v>2</v>
      </c>
      <c r="M22" s="53" t="n">
        <f aca="false">SUMIFS('Control Testing'!$AA$5:$AA$1294,'Control Testing'!$B$5:$B$1294,M$4,'Control Testing'!$E$5:$E$1294,$A22)</f>
        <v>2</v>
      </c>
      <c r="N22" s="53" t="n">
        <f aca="false">SUMIFS('Control Testing'!$AA$5:$AA$1294,'Control Testing'!$B$5:$B$1294,N$4,'Control Testing'!$E$5:$E$1294,$A22)</f>
        <v>1</v>
      </c>
      <c r="O22" s="53" t="n">
        <f aca="false">SUMIFS('Control Testing'!$AA$5:$AA$1294,'Control Testing'!$B$5:$B$1294,O$4,'Control Testing'!$E$5:$E$1294,$A22)</f>
        <v>1</v>
      </c>
      <c r="P22" s="53" t="n">
        <f aca="false">SUMIFS('Control Testing'!$AA$5:$AA$1294,'Control Testing'!$B$5:$B$1294,P$4,'Control Testing'!$E$5:$E$1294,$A22)</f>
        <v>2</v>
      </c>
      <c r="Q22" s="53" t="n">
        <f aca="false">SUMIFS('Control Testing'!$AA$5:$AA$1294,'Control Testing'!$B$5:$B$1294,Q$4,'Control Testing'!$E$5:$E$1294,$A22)</f>
        <v>1</v>
      </c>
      <c r="R22" s="53" t="n">
        <f aca="false">SUMIFS('Control Testing'!$AA$5:$AA$1294,'Control Testing'!$B$5:$B$1294,R$4,'Control Testing'!$E$5:$E$1294,$A22)</f>
        <v>1</v>
      </c>
      <c r="S22" s="53" t="n">
        <f aca="false">SUMIFS('Control Testing'!$AA$5:$AA$1294,'Control Testing'!$B$5:$B$1294,S$4,'Control Testing'!$E$5:$E$1294,$A22)</f>
        <v>2</v>
      </c>
      <c r="T22" s="53" t="n">
        <f aca="false">SUMIFS('Control Testing'!$AA$5:$AA$1294,'Control Testing'!$B$5:$B$1294,T$4,'Control Testing'!$E$5:$E$1294,$A22)</f>
        <v>1</v>
      </c>
      <c r="U22" s="53" t="n">
        <f aca="false">SUMIFS('Control Testing'!$AA$5:$AA$1294,'Control Testing'!$B$5:$B$1294,U$4,'Control Testing'!$E$5:$E$1294,$A22)</f>
        <v>2</v>
      </c>
      <c r="V22" s="53" t="n">
        <f aca="false">SUMIFS('Control Testing'!$AA$5:$AA$1294,'Control Testing'!$B$5:$B$1294,V$4,'Control Testing'!$E$5:$E$1294,$A22)</f>
        <v>2</v>
      </c>
      <c r="W22" s="53" t="n">
        <f aca="false">SUMIFS('Control Testing'!$AA$5:$AA$1294,'Control Testing'!$B$5:$B$1294,W$4,'Control Testing'!$E$5:$E$1294,$A22)</f>
        <v>2</v>
      </c>
      <c r="X22" s="53" t="n">
        <f aca="false">SUMIFS('Control Testing'!$AA$5:$AA$1294,'Control Testing'!$B$5:$B$1294,X$4,'Control Testing'!$E$5:$E$1294,$A22)</f>
        <v>4</v>
      </c>
      <c r="Y22" s="53" t="n">
        <f aca="false">SUMIFS('Control Testing'!$AA$5:$AA$1294,'Control Testing'!$B$5:$B$1294,Y$4,'Control Testing'!$E$5:$E$1294,$A22)</f>
        <v>2</v>
      </c>
      <c r="Z22" s="53" t="n">
        <f aca="false">SUMIFS('Control Testing'!$AA$5:$AA$1294,'Control Testing'!$B$5:$B$1294,Z$4,'Control Testing'!$E$5:$E$1294,$A22)</f>
        <v>4</v>
      </c>
      <c r="AA22" s="53" t="n">
        <f aca="false">SUMIFS('Control Testing'!$AA$5:$AA$1294,'Control Testing'!$B$5:$B$1294,AA$4,'Control Testing'!$E$5:$E$1294,$A22)</f>
        <v>2</v>
      </c>
      <c r="AB22" s="53" t="n">
        <f aca="false">SUMIFS('Control Testing'!$AA$5:$AA$1294,'Control Testing'!$B$5:$B$1294,AB$4,'Control Testing'!$E$5:$E$1294,$A22)</f>
        <v>2</v>
      </c>
      <c r="AC22" s="53" t="n">
        <f aca="false">SUMIFS('Control Testing'!$AA$5:$AA$1294,'Control Testing'!$B$5:$B$1294,AC$4,'Control Testing'!$E$5:$E$1294,$A22)</f>
        <v>1</v>
      </c>
      <c r="AD22" s="53" t="n">
        <f aca="false">SUMIFS('Control Testing'!$AA$5:$AA$1294,'Control Testing'!$B$5:$B$1294,AD$4,'Control Testing'!$E$5:$E$1294,$A22)</f>
        <v>1</v>
      </c>
      <c r="AE22" s="53" t="n">
        <f aca="false">SUMIFS('Control Testing'!$AA$5:$AA$1294,'Control Testing'!$B$5:$B$1294,AE$4,'Control Testing'!$E$5:$E$1294,$A22)</f>
        <v>2</v>
      </c>
      <c r="AF22" s="53" t="n">
        <f aca="false">SUMIFS('Control Testing'!$AA$5:$AA$1294,'Control Testing'!$B$5:$B$1294,AF$4,'Control Testing'!$E$5:$E$1294,$A22)</f>
        <v>1</v>
      </c>
      <c r="AG22" s="53" t="n">
        <f aca="false">SUMIFS('Control Testing'!$AA$5:$AA$1294,'Control Testing'!$B$5:$B$1294,AG$4,'Control Testing'!$E$5:$E$1294,$A22)</f>
        <v>4</v>
      </c>
    </row>
    <row r="23" customFormat="false" ht="15" hidden="false" customHeight="false" outlineLevel="0" collapsed="false">
      <c r="A23" s="26" t="str">
        <f aca="false">'Control Library'!A23</f>
        <v>CTL-FRD-01</v>
      </c>
      <c r="B23" s="26" t="str">
        <f aca="false">'Control Library'!B23</f>
        <v>Real-time fraud monitoring for cards and digital channels</v>
      </c>
      <c r="C23" s="52" t="str">
        <f aca="false">'Control Library'!F23</f>
        <v>Y</v>
      </c>
      <c r="D23" s="53" t="n">
        <f aca="false">SUMIFS('Control Testing'!$AA$5:$AA$1294,'Control Testing'!$B$5:$B$1294,D$4,'Control Testing'!$E$5:$E$1294,$A23)</f>
        <v>2</v>
      </c>
      <c r="E23" s="53" t="n">
        <f aca="false">SUMIFS('Control Testing'!$AA$5:$AA$1294,'Control Testing'!$B$5:$B$1294,E$4,'Control Testing'!$E$5:$E$1294,$A23)</f>
        <v>2</v>
      </c>
      <c r="F23" s="53" t="n">
        <f aca="false">SUMIFS('Control Testing'!$AA$5:$AA$1294,'Control Testing'!$B$5:$B$1294,F$4,'Control Testing'!$E$5:$E$1294,$A23)</f>
        <v>0</v>
      </c>
      <c r="G23" s="53" t="n">
        <f aca="false">SUMIFS('Control Testing'!$AA$5:$AA$1294,'Control Testing'!$B$5:$B$1294,G$4,'Control Testing'!$E$5:$E$1294,$A23)</f>
        <v>0</v>
      </c>
      <c r="H23" s="53" t="n">
        <f aca="false">SUMIFS('Control Testing'!$AA$5:$AA$1294,'Control Testing'!$B$5:$B$1294,H$4,'Control Testing'!$E$5:$E$1294,$A23)</f>
        <v>0</v>
      </c>
      <c r="I23" s="53" t="n">
        <f aca="false">SUMIFS('Control Testing'!$AA$5:$AA$1294,'Control Testing'!$B$5:$B$1294,I$4,'Control Testing'!$E$5:$E$1294,$A23)</f>
        <v>2</v>
      </c>
      <c r="J23" s="53" t="n">
        <f aca="false">SUMIFS('Control Testing'!$AA$5:$AA$1294,'Control Testing'!$B$5:$B$1294,J$4,'Control Testing'!$E$5:$E$1294,$A23)</f>
        <v>0</v>
      </c>
      <c r="K23" s="53" t="n">
        <f aca="false">SUMIFS('Control Testing'!$AA$5:$AA$1294,'Control Testing'!$B$5:$B$1294,K$4,'Control Testing'!$E$5:$E$1294,$A23)</f>
        <v>1</v>
      </c>
      <c r="L23" s="53" t="n">
        <f aca="false">SUMIFS('Control Testing'!$AA$5:$AA$1294,'Control Testing'!$B$5:$B$1294,L$4,'Control Testing'!$E$5:$E$1294,$A23)</f>
        <v>3</v>
      </c>
      <c r="M23" s="53" t="n">
        <f aca="false">SUMIFS('Control Testing'!$AA$5:$AA$1294,'Control Testing'!$B$5:$B$1294,M$4,'Control Testing'!$E$5:$E$1294,$A23)</f>
        <v>2</v>
      </c>
      <c r="N23" s="53" t="n">
        <f aca="false">SUMIFS('Control Testing'!$AA$5:$AA$1294,'Control Testing'!$B$5:$B$1294,N$4,'Control Testing'!$E$5:$E$1294,$A23)</f>
        <v>4</v>
      </c>
      <c r="O23" s="53" t="n">
        <f aca="false">SUMIFS('Control Testing'!$AA$5:$AA$1294,'Control Testing'!$B$5:$B$1294,O$4,'Control Testing'!$E$5:$E$1294,$A23)</f>
        <v>2</v>
      </c>
      <c r="P23" s="53" t="n">
        <f aca="false">SUMIFS('Control Testing'!$AA$5:$AA$1294,'Control Testing'!$B$5:$B$1294,P$4,'Control Testing'!$E$5:$E$1294,$A23)</f>
        <v>4</v>
      </c>
      <c r="Q23" s="53" t="n">
        <f aca="false">SUMIFS('Control Testing'!$AA$5:$AA$1294,'Control Testing'!$B$5:$B$1294,Q$4,'Control Testing'!$E$5:$E$1294,$A23)</f>
        <v>2</v>
      </c>
      <c r="R23" s="53" t="n">
        <f aca="false">SUMIFS('Control Testing'!$AA$5:$AA$1294,'Control Testing'!$B$5:$B$1294,R$4,'Control Testing'!$E$5:$E$1294,$A23)</f>
        <v>2</v>
      </c>
      <c r="S23" s="53" t="n">
        <f aca="false">SUMIFS('Control Testing'!$AA$5:$AA$1294,'Control Testing'!$B$5:$B$1294,S$4,'Control Testing'!$E$5:$E$1294,$A23)</f>
        <v>3</v>
      </c>
      <c r="T23" s="53" t="n">
        <f aca="false">SUMIFS('Control Testing'!$AA$5:$AA$1294,'Control Testing'!$B$5:$B$1294,T$4,'Control Testing'!$E$5:$E$1294,$A23)</f>
        <v>3</v>
      </c>
      <c r="U23" s="53" t="n">
        <f aca="false">SUMIFS('Control Testing'!$AA$5:$AA$1294,'Control Testing'!$B$5:$B$1294,U$4,'Control Testing'!$E$5:$E$1294,$A23)</f>
        <v>1</v>
      </c>
      <c r="V23" s="53" t="n">
        <f aca="false">SUMIFS('Control Testing'!$AA$5:$AA$1294,'Control Testing'!$B$5:$B$1294,V$4,'Control Testing'!$E$5:$E$1294,$A23)</f>
        <v>1</v>
      </c>
      <c r="W23" s="53" t="n">
        <f aca="false">SUMIFS('Control Testing'!$AA$5:$AA$1294,'Control Testing'!$B$5:$B$1294,W$4,'Control Testing'!$E$5:$E$1294,$A23)</f>
        <v>2</v>
      </c>
      <c r="X23" s="53" t="n">
        <f aca="false">SUMIFS('Control Testing'!$AA$5:$AA$1294,'Control Testing'!$B$5:$B$1294,X$4,'Control Testing'!$E$5:$E$1294,$A23)</f>
        <v>2</v>
      </c>
      <c r="Y23" s="53" t="n">
        <f aca="false">SUMIFS('Control Testing'!$AA$5:$AA$1294,'Control Testing'!$B$5:$B$1294,Y$4,'Control Testing'!$E$5:$E$1294,$A23)</f>
        <v>1</v>
      </c>
      <c r="Z23" s="53" t="n">
        <f aca="false">SUMIFS('Control Testing'!$AA$5:$AA$1294,'Control Testing'!$B$5:$B$1294,Z$4,'Control Testing'!$E$5:$E$1294,$A23)</f>
        <v>1</v>
      </c>
      <c r="AA23" s="53" t="n">
        <f aca="false">SUMIFS('Control Testing'!$AA$5:$AA$1294,'Control Testing'!$B$5:$B$1294,AA$4,'Control Testing'!$E$5:$E$1294,$A23)</f>
        <v>2</v>
      </c>
      <c r="AB23" s="53" t="n">
        <f aca="false">SUMIFS('Control Testing'!$AA$5:$AA$1294,'Control Testing'!$B$5:$B$1294,AB$4,'Control Testing'!$E$5:$E$1294,$A23)</f>
        <v>1</v>
      </c>
      <c r="AC23" s="53" t="n">
        <f aca="false">SUMIFS('Control Testing'!$AA$5:$AA$1294,'Control Testing'!$B$5:$B$1294,AC$4,'Control Testing'!$E$5:$E$1294,$A23)</f>
        <v>1</v>
      </c>
      <c r="AD23" s="53" t="n">
        <f aca="false">SUMIFS('Control Testing'!$AA$5:$AA$1294,'Control Testing'!$B$5:$B$1294,AD$4,'Control Testing'!$E$5:$E$1294,$A23)</f>
        <v>1</v>
      </c>
      <c r="AE23" s="53" t="n">
        <f aca="false">SUMIFS('Control Testing'!$AA$5:$AA$1294,'Control Testing'!$B$5:$B$1294,AE$4,'Control Testing'!$E$5:$E$1294,$A23)</f>
        <v>2</v>
      </c>
      <c r="AF23" s="53" t="n">
        <f aca="false">SUMIFS('Control Testing'!$AA$5:$AA$1294,'Control Testing'!$B$5:$B$1294,AF$4,'Control Testing'!$E$5:$E$1294,$A23)</f>
        <v>2</v>
      </c>
      <c r="AG23" s="53" t="n">
        <f aca="false">SUMIFS('Control Testing'!$AA$5:$AA$1294,'Control Testing'!$B$5:$B$1294,AG$4,'Control Testing'!$E$5:$E$1294,$A23)</f>
        <v>2</v>
      </c>
    </row>
    <row r="24" customFormat="false" ht="15" hidden="false" customHeight="false" outlineLevel="0" collapsed="false">
      <c r="A24" s="26" t="str">
        <f aca="false">'Control Library'!A24</f>
        <v>CTL-FRD-02</v>
      </c>
      <c r="B24" s="26" t="str">
        <f aca="false">'Control Library'!B24</f>
        <v>Maker-checker and dual control on payments and static data</v>
      </c>
      <c r="C24" s="52" t="str">
        <f aca="false">'Control Library'!F24</f>
        <v>Y</v>
      </c>
      <c r="D24" s="53" t="n">
        <f aca="false">SUMIFS('Control Testing'!$AA$5:$AA$1294,'Control Testing'!$B$5:$B$1294,D$4,'Control Testing'!$E$5:$E$1294,$A24)</f>
        <v>1</v>
      </c>
      <c r="E24" s="53" t="n">
        <f aca="false">SUMIFS('Control Testing'!$AA$5:$AA$1294,'Control Testing'!$B$5:$B$1294,E$4,'Control Testing'!$E$5:$E$1294,$A24)</f>
        <v>2</v>
      </c>
      <c r="F24" s="53" t="n">
        <f aca="false">SUMIFS('Control Testing'!$AA$5:$AA$1294,'Control Testing'!$B$5:$B$1294,F$4,'Control Testing'!$E$5:$E$1294,$A24)</f>
        <v>2</v>
      </c>
      <c r="G24" s="53" t="n">
        <f aca="false">SUMIFS('Control Testing'!$AA$5:$AA$1294,'Control Testing'!$B$5:$B$1294,G$4,'Control Testing'!$E$5:$E$1294,$A24)</f>
        <v>2</v>
      </c>
      <c r="H24" s="53" t="n">
        <f aca="false">SUMIFS('Control Testing'!$AA$5:$AA$1294,'Control Testing'!$B$5:$B$1294,H$4,'Control Testing'!$E$5:$E$1294,$A24)</f>
        <v>1</v>
      </c>
      <c r="I24" s="53" t="n">
        <f aca="false">SUMIFS('Control Testing'!$AA$5:$AA$1294,'Control Testing'!$B$5:$B$1294,I$4,'Control Testing'!$E$5:$E$1294,$A24)</f>
        <v>2</v>
      </c>
      <c r="J24" s="53" t="n">
        <f aca="false">SUMIFS('Control Testing'!$AA$5:$AA$1294,'Control Testing'!$B$5:$B$1294,J$4,'Control Testing'!$E$5:$E$1294,$A24)</f>
        <v>2</v>
      </c>
      <c r="K24" s="53" t="n">
        <f aca="false">SUMIFS('Control Testing'!$AA$5:$AA$1294,'Control Testing'!$B$5:$B$1294,K$4,'Control Testing'!$E$5:$E$1294,$A24)</f>
        <v>2</v>
      </c>
      <c r="L24" s="53" t="n">
        <f aca="false">SUMIFS('Control Testing'!$AA$5:$AA$1294,'Control Testing'!$B$5:$B$1294,L$4,'Control Testing'!$E$5:$E$1294,$A24)</f>
        <v>2</v>
      </c>
      <c r="M24" s="53" t="n">
        <f aca="false">SUMIFS('Control Testing'!$AA$5:$AA$1294,'Control Testing'!$B$5:$B$1294,M$4,'Control Testing'!$E$5:$E$1294,$A24)</f>
        <v>2</v>
      </c>
      <c r="N24" s="53" t="n">
        <f aca="false">SUMIFS('Control Testing'!$AA$5:$AA$1294,'Control Testing'!$B$5:$B$1294,N$4,'Control Testing'!$E$5:$E$1294,$A24)</f>
        <v>1</v>
      </c>
      <c r="O24" s="53" t="n">
        <f aca="false">SUMIFS('Control Testing'!$AA$5:$AA$1294,'Control Testing'!$B$5:$B$1294,O$4,'Control Testing'!$E$5:$E$1294,$A24)</f>
        <v>2</v>
      </c>
      <c r="P24" s="53" t="n">
        <f aca="false">SUMIFS('Control Testing'!$AA$5:$AA$1294,'Control Testing'!$B$5:$B$1294,P$4,'Control Testing'!$E$5:$E$1294,$A24)</f>
        <v>2</v>
      </c>
      <c r="Q24" s="53" t="n">
        <f aca="false">SUMIFS('Control Testing'!$AA$5:$AA$1294,'Control Testing'!$B$5:$B$1294,Q$4,'Control Testing'!$E$5:$E$1294,$A24)</f>
        <v>4</v>
      </c>
      <c r="R24" s="53" t="n">
        <f aca="false">SUMIFS('Control Testing'!$AA$5:$AA$1294,'Control Testing'!$B$5:$B$1294,R$4,'Control Testing'!$E$5:$E$1294,$A24)</f>
        <v>4</v>
      </c>
      <c r="S24" s="53" t="n">
        <f aca="false">SUMIFS('Control Testing'!$AA$5:$AA$1294,'Control Testing'!$B$5:$B$1294,S$4,'Control Testing'!$E$5:$E$1294,$A24)</f>
        <v>2</v>
      </c>
      <c r="T24" s="53" t="n">
        <f aca="false">SUMIFS('Control Testing'!$AA$5:$AA$1294,'Control Testing'!$B$5:$B$1294,T$4,'Control Testing'!$E$5:$E$1294,$A24)</f>
        <v>4</v>
      </c>
      <c r="U24" s="53" t="n">
        <f aca="false">SUMIFS('Control Testing'!$AA$5:$AA$1294,'Control Testing'!$B$5:$B$1294,U$4,'Control Testing'!$E$5:$E$1294,$A24)</f>
        <v>4</v>
      </c>
      <c r="V24" s="53" t="n">
        <f aca="false">SUMIFS('Control Testing'!$AA$5:$AA$1294,'Control Testing'!$B$5:$B$1294,V$4,'Control Testing'!$E$5:$E$1294,$A24)</f>
        <v>1</v>
      </c>
      <c r="W24" s="53" t="n">
        <f aca="false">SUMIFS('Control Testing'!$AA$5:$AA$1294,'Control Testing'!$B$5:$B$1294,W$4,'Control Testing'!$E$5:$E$1294,$A24)</f>
        <v>1</v>
      </c>
      <c r="X24" s="53" t="n">
        <f aca="false">SUMIFS('Control Testing'!$AA$5:$AA$1294,'Control Testing'!$B$5:$B$1294,X$4,'Control Testing'!$E$5:$E$1294,$A24)</f>
        <v>4</v>
      </c>
      <c r="Y24" s="53" t="n">
        <f aca="false">SUMIFS('Control Testing'!$AA$5:$AA$1294,'Control Testing'!$B$5:$B$1294,Y$4,'Control Testing'!$E$5:$E$1294,$A24)</f>
        <v>1</v>
      </c>
      <c r="Z24" s="53" t="n">
        <f aca="false">SUMIFS('Control Testing'!$AA$5:$AA$1294,'Control Testing'!$B$5:$B$1294,Z$4,'Control Testing'!$E$5:$E$1294,$A24)</f>
        <v>1</v>
      </c>
      <c r="AA24" s="53" t="n">
        <f aca="false">SUMIFS('Control Testing'!$AA$5:$AA$1294,'Control Testing'!$B$5:$B$1294,AA$4,'Control Testing'!$E$5:$E$1294,$A24)</f>
        <v>2</v>
      </c>
      <c r="AB24" s="53" t="n">
        <f aca="false">SUMIFS('Control Testing'!$AA$5:$AA$1294,'Control Testing'!$B$5:$B$1294,AB$4,'Control Testing'!$E$5:$E$1294,$A24)</f>
        <v>1</v>
      </c>
      <c r="AC24" s="53" t="n">
        <f aca="false">SUMIFS('Control Testing'!$AA$5:$AA$1294,'Control Testing'!$B$5:$B$1294,AC$4,'Control Testing'!$E$5:$E$1294,$A24)</f>
        <v>2</v>
      </c>
      <c r="AD24" s="53" t="n">
        <f aca="false">SUMIFS('Control Testing'!$AA$5:$AA$1294,'Control Testing'!$B$5:$B$1294,AD$4,'Control Testing'!$E$5:$E$1294,$A24)</f>
        <v>2</v>
      </c>
      <c r="AE24" s="53" t="n">
        <f aca="false">SUMIFS('Control Testing'!$AA$5:$AA$1294,'Control Testing'!$B$5:$B$1294,AE$4,'Control Testing'!$E$5:$E$1294,$A24)</f>
        <v>1</v>
      </c>
      <c r="AF24" s="53" t="n">
        <f aca="false">SUMIFS('Control Testing'!$AA$5:$AA$1294,'Control Testing'!$B$5:$B$1294,AF$4,'Control Testing'!$E$5:$E$1294,$A24)</f>
        <v>1</v>
      </c>
      <c r="AG24" s="53" t="n">
        <f aca="false">SUMIFS('Control Testing'!$AA$5:$AA$1294,'Control Testing'!$B$5:$B$1294,AG$4,'Control Testing'!$E$5:$E$1294,$A24)</f>
        <v>4</v>
      </c>
    </row>
    <row r="25" customFormat="false" ht="15" hidden="false" customHeight="false" outlineLevel="0" collapsed="false">
      <c r="A25" s="26" t="str">
        <f aca="false">'Control Library'!A25</f>
        <v>CTL-FRD-03</v>
      </c>
      <c r="B25" s="26" t="str">
        <f aca="false">'Control Library'!B25</f>
        <v>Mandatory consecutive leave and rotation for sensitive roles</v>
      </c>
      <c r="C25" s="52" t="str">
        <f aca="false">'Control Library'!F25</f>
        <v>N</v>
      </c>
      <c r="D25" s="53" t="n">
        <f aca="false">SUMIFS('Control Testing'!$AA$5:$AA$1294,'Control Testing'!$B$5:$B$1294,D$4,'Control Testing'!$E$5:$E$1294,$A25)</f>
        <v>2</v>
      </c>
      <c r="E25" s="53" t="n">
        <f aca="false">SUMIFS('Control Testing'!$AA$5:$AA$1294,'Control Testing'!$B$5:$B$1294,E$4,'Control Testing'!$E$5:$E$1294,$A25)</f>
        <v>2</v>
      </c>
      <c r="F25" s="53" t="n">
        <f aca="false">SUMIFS('Control Testing'!$AA$5:$AA$1294,'Control Testing'!$B$5:$B$1294,F$4,'Control Testing'!$E$5:$E$1294,$A25)</f>
        <v>2</v>
      </c>
      <c r="G25" s="53" t="n">
        <f aca="false">SUMIFS('Control Testing'!$AA$5:$AA$1294,'Control Testing'!$B$5:$B$1294,G$4,'Control Testing'!$E$5:$E$1294,$A25)</f>
        <v>3</v>
      </c>
      <c r="H25" s="53" t="n">
        <f aca="false">SUMIFS('Control Testing'!$AA$5:$AA$1294,'Control Testing'!$B$5:$B$1294,H$4,'Control Testing'!$E$5:$E$1294,$A25)</f>
        <v>2</v>
      </c>
      <c r="I25" s="53" t="n">
        <f aca="false">SUMIFS('Control Testing'!$AA$5:$AA$1294,'Control Testing'!$B$5:$B$1294,I$4,'Control Testing'!$E$5:$E$1294,$A25)</f>
        <v>2</v>
      </c>
      <c r="J25" s="53" t="n">
        <f aca="false">SUMIFS('Control Testing'!$AA$5:$AA$1294,'Control Testing'!$B$5:$B$1294,J$4,'Control Testing'!$E$5:$E$1294,$A25)</f>
        <v>3</v>
      </c>
      <c r="K25" s="53" t="n">
        <f aca="false">SUMIFS('Control Testing'!$AA$5:$AA$1294,'Control Testing'!$B$5:$B$1294,K$4,'Control Testing'!$E$5:$E$1294,$A25)</f>
        <v>2</v>
      </c>
      <c r="L25" s="53" t="n">
        <f aca="false">SUMIFS('Control Testing'!$AA$5:$AA$1294,'Control Testing'!$B$5:$B$1294,L$4,'Control Testing'!$E$5:$E$1294,$A25)</f>
        <v>3</v>
      </c>
      <c r="M25" s="53" t="n">
        <f aca="false">SUMIFS('Control Testing'!$AA$5:$AA$1294,'Control Testing'!$B$5:$B$1294,M$4,'Control Testing'!$E$5:$E$1294,$A25)</f>
        <v>2</v>
      </c>
      <c r="N25" s="53" t="n">
        <f aca="false">SUMIFS('Control Testing'!$AA$5:$AA$1294,'Control Testing'!$B$5:$B$1294,N$4,'Control Testing'!$E$5:$E$1294,$A25)</f>
        <v>1</v>
      </c>
      <c r="O25" s="53" t="n">
        <f aca="false">SUMIFS('Control Testing'!$AA$5:$AA$1294,'Control Testing'!$B$5:$B$1294,O$4,'Control Testing'!$E$5:$E$1294,$A25)</f>
        <v>2</v>
      </c>
      <c r="P25" s="53" t="n">
        <f aca="false">SUMIFS('Control Testing'!$AA$5:$AA$1294,'Control Testing'!$B$5:$B$1294,P$4,'Control Testing'!$E$5:$E$1294,$A25)</f>
        <v>2</v>
      </c>
      <c r="Q25" s="53" t="n">
        <f aca="false">SUMIFS('Control Testing'!$AA$5:$AA$1294,'Control Testing'!$B$5:$B$1294,Q$4,'Control Testing'!$E$5:$E$1294,$A25)</f>
        <v>3</v>
      </c>
      <c r="R25" s="53" t="n">
        <f aca="false">SUMIFS('Control Testing'!$AA$5:$AA$1294,'Control Testing'!$B$5:$B$1294,R$4,'Control Testing'!$E$5:$E$1294,$A25)</f>
        <v>2</v>
      </c>
      <c r="S25" s="53" t="n">
        <f aca="false">SUMIFS('Control Testing'!$AA$5:$AA$1294,'Control Testing'!$B$5:$B$1294,S$4,'Control Testing'!$E$5:$E$1294,$A25)</f>
        <v>2</v>
      </c>
      <c r="T25" s="53" t="n">
        <f aca="false">SUMIFS('Control Testing'!$AA$5:$AA$1294,'Control Testing'!$B$5:$B$1294,T$4,'Control Testing'!$E$5:$E$1294,$A25)</f>
        <v>1</v>
      </c>
      <c r="U25" s="53" t="n">
        <f aca="false">SUMIFS('Control Testing'!$AA$5:$AA$1294,'Control Testing'!$B$5:$B$1294,U$4,'Control Testing'!$E$5:$E$1294,$A25)</f>
        <v>2</v>
      </c>
      <c r="V25" s="53" t="n">
        <f aca="false">SUMIFS('Control Testing'!$AA$5:$AA$1294,'Control Testing'!$B$5:$B$1294,V$4,'Control Testing'!$E$5:$E$1294,$A25)</f>
        <v>3</v>
      </c>
      <c r="W25" s="53" t="n">
        <f aca="false">SUMIFS('Control Testing'!$AA$5:$AA$1294,'Control Testing'!$B$5:$B$1294,W$4,'Control Testing'!$E$5:$E$1294,$A25)</f>
        <v>2</v>
      </c>
      <c r="X25" s="53" t="n">
        <f aca="false">SUMIFS('Control Testing'!$AA$5:$AA$1294,'Control Testing'!$B$5:$B$1294,X$4,'Control Testing'!$E$5:$E$1294,$A25)</f>
        <v>2</v>
      </c>
      <c r="Y25" s="53" t="n">
        <f aca="false">SUMIFS('Control Testing'!$AA$5:$AA$1294,'Control Testing'!$B$5:$B$1294,Y$4,'Control Testing'!$E$5:$E$1294,$A25)</f>
        <v>2</v>
      </c>
      <c r="Z25" s="53" t="n">
        <f aca="false">SUMIFS('Control Testing'!$AA$5:$AA$1294,'Control Testing'!$B$5:$B$1294,Z$4,'Control Testing'!$E$5:$E$1294,$A25)</f>
        <v>2</v>
      </c>
      <c r="AA25" s="53" t="n">
        <f aca="false">SUMIFS('Control Testing'!$AA$5:$AA$1294,'Control Testing'!$B$5:$B$1294,AA$4,'Control Testing'!$E$5:$E$1294,$A25)</f>
        <v>2</v>
      </c>
      <c r="AB25" s="53" t="n">
        <f aca="false">SUMIFS('Control Testing'!$AA$5:$AA$1294,'Control Testing'!$B$5:$B$1294,AB$4,'Control Testing'!$E$5:$E$1294,$A25)</f>
        <v>1</v>
      </c>
      <c r="AC25" s="53" t="n">
        <f aca="false">SUMIFS('Control Testing'!$AA$5:$AA$1294,'Control Testing'!$B$5:$B$1294,AC$4,'Control Testing'!$E$5:$E$1294,$A25)</f>
        <v>2</v>
      </c>
      <c r="AD25" s="53" t="n">
        <f aca="false">SUMIFS('Control Testing'!$AA$5:$AA$1294,'Control Testing'!$B$5:$B$1294,AD$4,'Control Testing'!$E$5:$E$1294,$A25)</f>
        <v>1</v>
      </c>
      <c r="AE25" s="53" t="n">
        <f aca="false">SUMIFS('Control Testing'!$AA$5:$AA$1294,'Control Testing'!$B$5:$B$1294,AE$4,'Control Testing'!$E$5:$E$1294,$A25)</f>
        <v>2</v>
      </c>
      <c r="AF25" s="53" t="n">
        <f aca="false">SUMIFS('Control Testing'!$AA$5:$AA$1294,'Control Testing'!$B$5:$B$1294,AF$4,'Control Testing'!$E$5:$E$1294,$A25)</f>
        <v>2</v>
      </c>
      <c r="AG25" s="53" t="n">
        <f aca="false">SUMIFS('Control Testing'!$AA$5:$AA$1294,'Control Testing'!$B$5:$B$1294,AG$4,'Control Testing'!$E$5:$E$1294,$A25)</f>
        <v>1</v>
      </c>
    </row>
    <row r="26" customFormat="false" ht="15" hidden="false" customHeight="false" outlineLevel="0" collapsed="false">
      <c r="A26" s="26" t="str">
        <f aca="false">'Control Library'!A26</f>
        <v>CTL-TAX-01</v>
      </c>
      <c r="B26" s="26" t="str">
        <f aca="false">'Control Library'!B26</f>
        <v>FATCA/CRS self-certification and classification</v>
      </c>
      <c r="C26" s="52" t="str">
        <f aca="false">'Control Library'!F26</f>
        <v>Y</v>
      </c>
      <c r="D26" s="53" t="n">
        <f aca="false">SUMIFS('Control Testing'!$AA$5:$AA$1294,'Control Testing'!$B$5:$B$1294,D$4,'Control Testing'!$E$5:$E$1294,$A26)</f>
        <v>2</v>
      </c>
      <c r="E26" s="53" t="n">
        <f aca="false">SUMIFS('Control Testing'!$AA$5:$AA$1294,'Control Testing'!$B$5:$B$1294,E$4,'Control Testing'!$E$5:$E$1294,$A26)</f>
        <v>1</v>
      </c>
      <c r="F26" s="53" t="n">
        <f aca="false">SUMIFS('Control Testing'!$AA$5:$AA$1294,'Control Testing'!$B$5:$B$1294,F$4,'Control Testing'!$E$5:$E$1294,$A26)</f>
        <v>2</v>
      </c>
      <c r="G26" s="53" t="n">
        <f aca="false">SUMIFS('Control Testing'!$AA$5:$AA$1294,'Control Testing'!$B$5:$B$1294,G$4,'Control Testing'!$E$5:$E$1294,$A26)</f>
        <v>4</v>
      </c>
      <c r="H26" s="53" t="n">
        <f aca="false">SUMIFS('Control Testing'!$AA$5:$AA$1294,'Control Testing'!$B$5:$B$1294,H$4,'Control Testing'!$E$5:$E$1294,$A26)</f>
        <v>1</v>
      </c>
      <c r="I26" s="53" t="n">
        <f aca="false">SUMIFS('Control Testing'!$AA$5:$AA$1294,'Control Testing'!$B$5:$B$1294,I$4,'Control Testing'!$E$5:$E$1294,$A26)</f>
        <v>3</v>
      </c>
      <c r="J26" s="53" t="n">
        <f aca="false">SUMIFS('Control Testing'!$AA$5:$AA$1294,'Control Testing'!$B$5:$B$1294,J$4,'Control Testing'!$E$5:$E$1294,$A26)</f>
        <v>3</v>
      </c>
      <c r="K26" s="53" t="n">
        <f aca="false">SUMIFS('Control Testing'!$AA$5:$AA$1294,'Control Testing'!$B$5:$B$1294,K$4,'Control Testing'!$E$5:$E$1294,$A26)</f>
        <v>3</v>
      </c>
      <c r="L26" s="53" t="n">
        <f aca="false">SUMIFS('Control Testing'!$AA$5:$AA$1294,'Control Testing'!$B$5:$B$1294,L$4,'Control Testing'!$E$5:$E$1294,$A26)</f>
        <v>3</v>
      </c>
      <c r="M26" s="53" t="n">
        <f aca="false">SUMIFS('Control Testing'!$AA$5:$AA$1294,'Control Testing'!$B$5:$B$1294,M$4,'Control Testing'!$E$5:$E$1294,$A26)</f>
        <v>1</v>
      </c>
      <c r="N26" s="53" t="n">
        <f aca="false">SUMIFS('Control Testing'!$AA$5:$AA$1294,'Control Testing'!$B$5:$B$1294,N$4,'Control Testing'!$E$5:$E$1294,$A26)</f>
        <v>2</v>
      </c>
      <c r="O26" s="53" t="n">
        <f aca="false">SUMIFS('Control Testing'!$AA$5:$AA$1294,'Control Testing'!$B$5:$B$1294,O$4,'Control Testing'!$E$5:$E$1294,$A26)</f>
        <v>2</v>
      </c>
      <c r="P26" s="53" t="n">
        <f aca="false">SUMIFS('Control Testing'!$AA$5:$AA$1294,'Control Testing'!$B$5:$B$1294,P$4,'Control Testing'!$E$5:$E$1294,$A26)</f>
        <v>2</v>
      </c>
      <c r="Q26" s="53" t="n">
        <f aca="false">SUMIFS('Control Testing'!$AA$5:$AA$1294,'Control Testing'!$B$5:$B$1294,Q$4,'Control Testing'!$E$5:$E$1294,$A26)</f>
        <v>2</v>
      </c>
      <c r="R26" s="53" t="n">
        <f aca="false">SUMIFS('Control Testing'!$AA$5:$AA$1294,'Control Testing'!$B$5:$B$1294,R$4,'Control Testing'!$E$5:$E$1294,$A26)</f>
        <v>3</v>
      </c>
      <c r="S26" s="53" t="n">
        <f aca="false">SUMIFS('Control Testing'!$AA$5:$AA$1294,'Control Testing'!$B$5:$B$1294,S$4,'Control Testing'!$E$5:$E$1294,$A26)</f>
        <v>2</v>
      </c>
      <c r="T26" s="53" t="n">
        <f aca="false">SUMIFS('Control Testing'!$AA$5:$AA$1294,'Control Testing'!$B$5:$B$1294,T$4,'Control Testing'!$E$5:$E$1294,$A26)</f>
        <v>1</v>
      </c>
      <c r="U26" s="53" t="n">
        <f aca="false">SUMIFS('Control Testing'!$AA$5:$AA$1294,'Control Testing'!$B$5:$B$1294,U$4,'Control Testing'!$E$5:$E$1294,$A26)</f>
        <v>1</v>
      </c>
      <c r="V26" s="53" t="n">
        <f aca="false">SUMIFS('Control Testing'!$AA$5:$AA$1294,'Control Testing'!$B$5:$B$1294,V$4,'Control Testing'!$E$5:$E$1294,$A26)</f>
        <v>2</v>
      </c>
      <c r="W26" s="53" t="n">
        <f aca="false">SUMIFS('Control Testing'!$AA$5:$AA$1294,'Control Testing'!$B$5:$B$1294,W$4,'Control Testing'!$E$5:$E$1294,$A26)</f>
        <v>1</v>
      </c>
      <c r="X26" s="53" t="n">
        <f aca="false">SUMIFS('Control Testing'!$AA$5:$AA$1294,'Control Testing'!$B$5:$B$1294,X$4,'Control Testing'!$E$5:$E$1294,$A26)</f>
        <v>2</v>
      </c>
      <c r="Y26" s="53" t="n">
        <f aca="false">SUMIFS('Control Testing'!$AA$5:$AA$1294,'Control Testing'!$B$5:$B$1294,Y$4,'Control Testing'!$E$5:$E$1294,$A26)</f>
        <v>1</v>
      </c>
      <c r="Z26" s="53" t="n">
        <f aca="false">SUMIFS('Control Testing'!$AA$5:$AA$1294,'Control Testing'!$B$5:$B$1294,Z$4,'Control Testing'!$E$5:$E$1294,$A26)</f>
        <v>2</v>
      </c>
      <c r="AA26" s="53" t="n">
        <f aca="false">SUMIFS('Control Testing'!$AA$5:$AA$1294,'Control Testing'!$B$5:$B$1294,AA$4,'Control Testing'!$E$5:$E$1294,$A26)</f>
        <v>2</v>
      </c>
      <c r="AB26" s="53" t="n">
        <f aca="false">SUMIFS('Control Testing'!$AA$5:$AA$1294,'Control Testing'!$B$5:$B$1294,AB$4,'Control Testing'!$E$5:$E$1294,$A26)</f>
        <v>4</v>
      </c>
      <c r="AC26" s="53" t="n">
        <f aca="false">SUMIFS('Control Testing'!$AA$5:$AA$1294,'Control Testing'!$B$5:$B$1294,AC$4,'Control Testing'!$E$5:$E$1294,$A26)</f>
        <v>2</v>
      </c>
      <c r="AD26" s="53" t="n">
        <f aca="false">SUMIFS('Control Testing'!$AA$5:$AA$1294,'Control Testing'!$B$5:$B$1294,AD$4,'Control Testing'!$E$5:$E$1294,$A26)</f>
        <v>2</v>
      </c>
      <c r="AE26" s="53" t="n">
        <f aca="false">SUMIFS('Control Testing'!$AA$5:$AA$1294,'Control Testing'!$B$5:$B$1294,AE$4,'Control Testing'!$E$5:$E$1294,$A26)</f>
        <v>4</v>
      </c>
      <c r="AF26" s="53" t="n">
        <f aca="false">SUMIFS('Control Testing'!$AA$5:$AA$1294,'Control Testing'!$B$5:$B$1294,AF$4,'Control Testing'!$E$5:$E$1294,$A26)</f>
        <v>1</v>
      </c>
      <c r="AG26" s="53" t="n">
        <f aca="false">SUMIFS('Control Testing'!$AA$5:$AA$1294,'Control Testing'!$B$5:$B$1294,AG$4,'Control Testing'!$E$5:$E$1294,$A26)</f>
        <v>1</v>
      </c>
    </row>
    <row r="27" customFormat="false" ht="15" hidden="false" customHeight="false" outlineLevel="0" collapsed="false">
      <c r="A27" s="26" t="str">
        <f aca="false">'Control Library'!A27</f>
        <v>CTL-TAX-02</v>
      </c>
      <c r="B27" s="26" t="str">
        <f aca="false">'Control Library'!B27</f>
        <v>FATCA/CRS reporting reconciliation and timely filing</v>
      </c>
      <c r="C27" s="52" t="str">
        <f aca="false">'Control Library'!F27</f>
        <v>N</v>
      </c>
      <c r="D27" s="53" t="n">
        <f aca="false">SUMIFS('Control Testing'!$AA$5:$AA$1294,'Control Testing'!$B$5:$B$1294,D$4,'Control Testing'!$E$5:$E$1294,$A27)</f>
        <v>2</v>
      </c>
      <c r="E27" s="53" t="n">
        <f aca="false">SUMIFS('Control Testing'!$AA$5:$AA$1294,'Control Testing'!$B$5:$B$1294,E$4,'Control Testing'!$E$5:$E$1294,$A27)</f>
        <v>2</v>
      </c>
      <c r="F27" s="53" t="n">
        <f aca="false">SUMIFS('Control Testing'!$AA$5:$AA$1294,'Control Testing'!$B$5:$B$1294,F$4,'Control Testing'!$E$5:$E$1294,$A27)</f>
        <v>2</v>
      </c>
      <c r="G27" s="53" t="n">
        <f aca="false">SUMIFS('Control Testing'!$AA$5:$AA$1294,'Control Testing'!$B$5:$B$1294,G$4,'Control Testing'!$E$5:$E$1294,$A27)</f>
        <v>2</v>
      </c>
      <c r="H27" s="53" t="n">
        <f aca="false">SUMIFS('Control Testing'!$AA$5:$AA$1294,'Control Testing'!$B$5:$B$1294,H$4,'Control Testing'!$E$5:$E$1294,$A27)</f>
        <v>2</v>
      </c>
      <c r="I27" s="53" t="n">
        <f aca="false">SUMIFS('Control Testing'!$AA$5:$AA$1294,'Control Testing'!$B$5:$B$1294,I$4,'Control Testing'!$E$5:$E$1294,$A27)</f>
        <v>3</v>
      </c>
      <c r="J27" s="53" t="n">
        <f aca="false">SUMIFS('Control Testing'!$AA$5:$AA$1294,'Control Testing'!$B$5:$B$1294,J$4,'Control Testing'!$E$5:$E$1294,$A27)</f>
        <v>3</v>
      </c>
      <c r="K27" s="53" t="n">
        <f aca="false">SUMIFS('Control Testing'!$AA$5:$AA$1294,'Control Testing'!$B$5:$B$1294,K$4,'Control Testing'!$E$5:$E$1294,$A27)</f>
        <v>2</v>
      </c>
      <c r="L27" s="53" t="n">
        <f aca="false">SUMIFS('Control Testing'!$AA$5:$AA$1294,'Control Testing'!$B$5:$B$1294,L$4,'Control Testing'!$E$5:$E$1294,$A27)</f>
        <v>3</v>
      </c>
      <c r="M27" s="53" t="n">
        <f aca="false">SUMIFS('Control Testing'!$AA$5:$AA$1294,'Control Testing'!$B$5:$B$1294,M$4,'Control Testing'!$E$5:$E$1294,$A27)</f>
        <v>2</v>
      </c>
      <c r="N27" s="53" t="n">
        <f aca="false">SUMIFS('Control Testing'!$AA$5:$AA$1294,'Control Testing'!$B$5:$B$1294,N$4,'Control Testing'!$E$5:$E$1294,$A27)</f>
        <v>2</v>
      </c>
      <c r="O27" s="53" t="n">
        <f aca="false">SUMIFS('Control Testing'!$AA$5:$AA$1294,'Control Testing'!$B$5:$B$1294,O$4,'Control Testing'!$E$5:$E$1294,$A27)</f>
        <v>2</v>
      </c>
      <c r="P27" s="53" t="n">
        <f aca="false">SUMIFS('Control Testing'!$AA$5:$AA$1294,'Control Testing'!$B$5:$B$1294,P$4,'Control Testing'!$E$5:$E$1294,$A27)</f>
        <v>2</v>
      </c>
      <c r="Q27" s="53" t="n">
        <f aca="false">SUMIFS('Control Testing'!$AA$5:$AA$1294,'Control Testing'!$B$5:$B$1294,Q$4,'Control Testing'!$E$5:$E$1294,$A27)</f>
        <v>1</v>
      </c>
      <c r="R27" s="53" t="n">
        <f aca="false">SUMIFS('Control Testing'!$AA$5:$AA$1294,'Control Testing'!$B$5:$B$1294,R$4,'Control Testing'!$E$5:$E$1294,$A27)</f>
        <v>2</v>
      </c>
      <c r="S27" s="53" t="n">
        <f aca="false">SUMIFS('Control Testing'!$AA$5:$AA$1294,'Control Testing'!$B$5:$B$1294,S$4,'Control Testing'!$E$5:$E$1294,$A27)</f>
        <v>2</v>
      </c>
      <c r="T27" s="53" t="n">
        <f aca="false">SUMIFS('Control Testing'!$AA$5:$AA$1294,'Control Testing'!$B$5:$B$1294,T$4,'Control Testing'!$E$5:$E$1294,$A27)</f>
        <v>2</v>
      </c>
      <c r="U27" s="53" t="n">
        <f aca="false">SUMIFS('Control Testing'!$AA$5:$AA$1294,'Control Testing'!$B$5:$B$1294,U$4,'Control Testing'!$E$5:$E$1294,$A27)</f>
        <v>4</v>
      </c>
      <c r="V27" s="53" t="n">
        <f aca="false">SUMIFS('Control Testing'!$AA$5:$AA$1294,'Control Testing'!$B$5:$B$1294,V$4,'Control Testing'!$E$5:$E$1294,$A27)</f>
        <v>2</v>
      </c>
      <c r="W27" s="53" t="n">
        <f aca="false">SUMIFS('Control Testing'!$AA$5:$AA$1294,'Control Testing'!$B$5:$B$1294,W$4,'Control Testing'!$E$5:$E$1294,$A27)</f>
        <v>1</v>
      </c>
      <c r="X27" s="53" t="n">
        <f aca="false">SUMIFS('Control Testing'!$AA$5:$AA$1294,'Control Testing'!$B$5:$B$1294,X$4,'Control Testing'!$E$5:$E$1294,$A27)</f>
        <v>2</v>
      </c>
      <c r="Y27" s="53" t="n">
        <f aca="false">SUMIFS('Control Testing'!$AA$5:$AA$1294,'Control Testing'!$B$5:$B$1294,Y$4,'Control Testing'!$E$5:$E$1294,$A27)</f>
        <v>1</v>
      </c>
      <c r="Z27" s="53" t="n">
        <f aca="false">SUMIFS('Control Testing'!$AA$5:$AA$1294,'Control Testing'!$B$5:$B$1294,Z$4,'Control Testing'!$E$5:$E$1294,$A27)</f>
        <v>1</v>
      </c>
      <c r="AA27" s="53" t="n">
        <f aca="false">SUMIFS('Control Testing'!$AA$5:$AA$1294,'Control Testing'!$B$5:$B$1294,AA$4,'Control Testing'!$E$5:$E$1294,$A27)</f>
        <v>1</v>
      </c>
      <c r="AB27" s="53" t="n">
        <f aca="false">SUMIFS('Control Testing'!$AA$5:$AA$1294,'Control Testing'!$B$5:$B$1294,AB$4,'Control Testing'!$E$5:$E$1294,$A27)</f>
        <v>2</v>
      </c>
      <c r="AC27" s="53" t="n">
        <f aca="false">SUMIFS('Control Testing'!$AA$5:$AA$1294,'Control Testing'!$B$5:$B$1294,AC$4,'Control Testing'!$E$5:$E$1294,$A27)</f>
        <v>2</v>
      </c>
      <c r="AD27" s="53" t="n">
        <f aca="false">SUMIFS('Control Testing'!$AA$5:$AA$1294,'Control Testing'!$B$5:$B$1294,AD$4,'Control Testing'!$E$5:$E$1294,$A27)</f>
        <v>2</v>
      </c>
      <c r="AE27" s="53" t="n">
        <f aca="false">SUMIFS('Control Testing'!$AA$5:$AA$1294,'Control Testing'!$B$5:$B$1294,AE$4,'Control Testing'!$E$5:$E$1294,$A27)</f>
        <v>1</v>
      </c>
      <c r="AF27" s="53" t="n">
        <f aca="false">SUMIFS('Control Testing'!$AA$5:$AA$1294,'Control Testing'!$B$5:$B$1294,AF$4,'Control Testing'!$E$5:$E$1294,$A27)</f>
        <v>1</v>
      </c>
      <c r="AG27" s="53" t="n">
        <f aca="false">SUMIFS('Control Testing'!$AA$5:$AA$1294,'Control Testing'!$B$5:$B$1294,AG$4,'Control Testing'!$E$5:$E$1294,$A27)</f>
        <v>2</v>
      </c>
    </row>
    <row r="28" customFormat="false" ht="15" hidden="false" customHeight="false" outlineLevel="0" collapsed="false">
      <c r="A28" s="26" t="str">
        <f aca="false">'Control Library'!A28</f>
        <v>CTL-TRN-01</v>
      </c>
      <c r="B28" s="26" t="str">
        <f aca="false">'Control Library'!B28</f>
        <v>Annual AML, sanctions and anti-bribery training</v>
      </c>
      <c r="C28" s="52" t="str">
        <f aca="false">'Control Library'!F28</f>
        <v>N</v>
      </c>
      <c r="D28" s="53" t="n">
        <f aca="false">SUMIFS('Control Testing'!$AA$5:$AA$1294,'Control Testing'!$B$5:$B$1294,D$4,'Control Testing'!$E$5:$E$1294,$A28)</f>
        <v>4</v>
      </c>
      <c r="E28" s="53" t="n">
        <f aca="false">SUMIFS('Control Testing'!$AA$5:$AA$1294,'Control Testing'!$B$5:$B$1294,E$4,'Control Testing'!$E$5:$E$1294,$A28)</f>
        <v>2</v>
      </c>
      <c r="F28" s="53" t="n">
        <f aca="false">SUMIFS('Control Testing'!$AA$5:$AA$1294,'Control Testing'!$B$5:$B$1294,F$4,'Control Testing'!$E$5:$E$1294,$A28)</f>
        <v>2</v>
      </c>
      <c r="G28" s="53" t="n">
        <f aca="false">SUMIFS('Control Testing'!$AA$5:$AA$1294,'Control Testing'!$B$5:$B$1294,G$4,'Control Testing'!$E$5:$E$1294,$A28)</f>
        <v>2</v>
      </c>
      <c r="H28" s="53" t="n">
        <f aca="false">SUMIFS('Control Testing'!$AA$5:$AA$1294,'Control Testing'!$B$5:$B$1294,H$4,'Control Testing'!$E$5:$E$1294,$A28)</f>
        <v>2</v>
      </c>
      <c r="I28" s="53" t="n">
        <f aca="false">SUMIFS('Control Testing'!$AA$5:$AA$1294,'Control Testing'!$B$5:$B$1294,I$4,'Control Testing'!$E$5:$E$1294,$A28)</f>
        <v>2</v>
      </c>
      <c r="J28" s="53" t="n">
        <f aca="false">SUMIFS('Control Testing'!$AA$5:$AA$1294,'Control Testing'!$B$5:$B$1294,J$4,'Control Testing'!$E$5:$E$1294,$A28)</f>
        <v>2</v>
      </c>
      <c r="K28" s="53" t="n">
        <f aca="false">SUMIFS('Control Testing'!$AA$5:$AA$1294,'Control Testing'!$B$5:$B$1294,K$4,'Control Testing'!$E$5:$E$1294,$A28)</f>
        <v>2</v>
      </c>
      <c r="L28" s="53" t="n">
        <f aca="false">SUMIFS('Control Testing'!$AA$5:$AA$1294,'Control Testing'!$B$5:$B$1294,L$4,'Control Testing'!$E$5:$E$1294,$A28)</f>
        <v>4</v>
      </c>
      <c r="M28" s="53" t="n">
        <f aca="false">SUMIFS('Control Testing'!$AA$5:$AA$1294,'Control Testing'!$B$5:$B$1294,M$4,'Control Testing'!$E$5:$E$1294,$A28)</f>
        <v>2</v>
      </c>
      <c r="N28" s="53" t="n">
        <f aca="false">SUMIFS('Control Testing'!$AA$5:$AA$1294,'Control Testing'!$B$5:$B$1294,N$4,'Control Testing'!$E$5:$E$1294,$A28)</f>
        <v>3</v>
      </c>
      <c r="O28" s="53" t="n">
        <f aca="false">SUMIFS('Control Testing'!$AA$5:$AA$1294,'Control Testing'!$B$5:$B$1294,O$4,'Control Testing'!$E$5:$E$1294,$A28)</f>
        <v>2</v>
      </c>
      <c r="P28" s="53" t="n">
        <f aca="false">SUMIFS('Control Testing'!$AA$5:$AA$1294,'Control Testing'!$B$5:$B$1294,P$4,'Control Testing'!$E$5:$E$1294,$A28)</f>
        <v>2</v>
      </c>
      <c r="Q28" s="53" t="n">
        <f aca="false">SUMIFS('Control Testing'!$AA$5:$AA$1294,'Control Testing'!$B$5:$B$1294,Q$4,'Control Testing'!$E$5:$E$1294,$A28)</f>
        <v>2</v>
      </c>
      <c r="R28" s="53" t="n">
        <f aca="false">SUMIFS('Control Testing'!$AA$5:$AA$1294,'Control Testing'!$B$5:$B$1294,R$4,'Control Testing'!$E$5:$E$1294,$A28)</f>
        <v>2</v>
      </c>
      <c r="S28" s="53" t="n">
        <f aca="false">SUMIFS('Control Testing'!$AA$5:$AA$1294,'Control Testing'!$B$5:$B$1294,S$4,'Control Testing'!$E$5:$E$1294,$A28)</f>
        <v>2</v>
      </c>
      <c r="T28" s="53" t="n">
        <f aca="false">SUMIFS('Control Testing'!$AA$5:$AA$1294,'Control Testing'!$B$5:$B$1294,T$4,'Control Testing'!$E$5:$E$1294,$A28)</f>
        <v>4</v>
      </c>
      <c r="U28" s="53" t="n">
        <f aca="false">SUMIFS('Control Testing'!$AA$5:$AA$1294,'Control Testing'!$B$5:$B$1294,U$4,'Control Testing'!$E$5:$E$1294,$A28)</f>
        <v>2</v>
      </c>
      <c r="V28" s="53" t="n">
        <f aca="false">SUMIFS('Control Testing'!$AA$5:$AA$1294,'Control Testing'!$B$5:$B$1294,V$4,'Control Testing'!$E$5:$E$1294,$A28)</f>
        <v>2</v>
      </c>
      <c r="W28" s="53" t="n">
        <f aca="false">SUMIFS('Control Testing'!$AA$5:$AA$1294,'Control Testing'!$B$5:$B$1294,W$4,'Control Testing'!$E$5:$E$1294,$A28)</f>
        <v>2</v>
      </c>
      <c r="X28" s="53" t="n">
        <f aca="false">SUMIFS('Control Testing'!$AA$5:$AA$1294,'Control Testing'!$B$5:$B$1294,X$4,'Control Testing'!$E$5:$E$1294,$A28)</f>
        <v>2</v>
      </c>
      <c r="Y28" s="53" t="n">
        <f aca="false">SUMIFS('Control Testing'!$AA$5:$AA$1294,'Control Testing'!$B$5:$B$1294,Y$4,'Control Testing'!$E$5:$E$1294,$A28)</f>
        <v>2</v>
      </c>
      <c r="Z28" s="53" t="n">
        <f aca="false">SUMIFS('Control Testing'!$AA$5:$AA$1294,'Control Testing'!$B$5:$B$1294,Z$4,'Control Testing'!$E$5:$E$1294,$A28)</f>
        <v>2</v>
      </c>
      <c r="AA28" s="53" t="n">
        <f aca="false">SUMIFS('Control Testing'!$AA$5:$AA$1294,'Control Testing'!$B$5:$B$1294,AA$4,'Control Testing'!$E$5:$E$1294,$A28)</f>
        <v>1</v>
      </c>
      <c r="AB28" s="53" t="n">
        <f aca="false">SUMIFS('Control Testing'!$AA$5:$AA$1294,'Control Testing'!$B$5:$B$1294,AB$4,'Control Testing'!$E$5:$E$1294,$A28)</f>
        <v>1</v>
      </c>
      <c r="AC28" s="53" t="n">
        <f aca="false">SUMIFS('Control Testing'!$AA$5:$AA$1294,'Control Testing'!$B$5:$B$1294,AC$4,'Control Testing'!$E$5:$E$1294,$A28)</f>
        <v>3</v>
      </c>
      <c r="AD28" s="53" t="n">
        <f aca="false">SUMIFS('Control Testing'!$AA$5:$AA$1294,'Control Testing'!$B$5:$B$1294,AD$4,'Control Testing'!$E$5:$E$1294,$A28)</f>
        <v>1</v>
      </c>
      <c r="AE28" s="53" t="n">
        <f aca="false">SUMIFS('Control Testing'!$AA$5:$AA$1294,'Control Testing'!$B$5:$B$1294,AE$4,'Control Testing'!$E$5:$E$1294,$A28)</f>
        <v>2</v>
      </c>
      <c r="AF28" s="53" t="n">
        <f aca="false">SUMIFS('Control Testing'!$AA$5:$AA$1294,'Control Testing'!$B$5:$B$1294,AF$4,'Control Testing'!$E$5:$E$1294,$A28)</f>
        <v>4</v>
      </c>
      <c r="AG28" s="53" t="n">
        <f aca="false">SUMIFS('Control Testing'!$AA$5:$AA$1294,'Control Testing'!$B$5:$B$1294,AG$4,'Control Testing'!$E$5:$E$1294,$A28)</f>
        <v>2</v>
      </c>
    </row>
    <row r="29" customFormat="false" ht="15" hidden="false" customHeight="false" outlineLevel="0" collapsed="false">
      <c r="A29" s="26" t="str">
        <f aca="false">'Control Library'!A29</f>
        <v>CTL-REG-01</v>
      </c>
      <c r="B29" s="26" t="str">
        <f aca="false">'Control Library'!B29</f>
        <v>Regulatory change management and obligations register</v>
      </c>
      <c r="C29" s="52" t="str">
        <f aca="false">'Control Library'!F29</f>
        <v>Y</v>
      </c>
      <c r="D29" s="53" t="n">
        <f aca="false">SUMIFS('Control Testing'!$AA$5:$AA$1294,'Control Testing'!$B$5:$B$1294,D$4,'Control Testing'!$E$5:$E$1294,$A29)</f>
        <v>2</v>
      </c>
      <c r="E29" s="53" t="n">
        <f aca="false">SUMIFS('Control Testing'!$AA$5:$AA$1294,'Control Testing'!$B$5:$B$1294,E$4,'Control Testing'!$E$5:$E$1294,$A29)</f>
        <v>1</v>
      </c>
      <c r="F29" s="53" t="n">
        <f aca="false">SUMIFS('Control Testing'!$AA$5:$AA$1294,'Control Testing'!$B$5:$B$1294,F$4,'Control Testing'!$E$5:$E$1294,$A29)</f>
        <v>2</v>
      </c>
      <c r="G29" s="53" t="n">
        <f aca="false">SUMIFS('Control Testing'!$AA$5:$AA$1294,'Control Testing'!$B$5:$B$1294,G$4,'Control Testing'!$E$5:$E$1294,$A29)</f>
        <v>1</v>
      </c>
      <c r="H29" s="53" t="n">
        <f aca="false">SUMIFS('Control Testing'!$AA$5:$AA$1294,'Control Testing'!$B$5:$B$1294,H$4,'Control Testing'!$E$5:$E$1294,$A29)</f>
        <v>2</v>
      </c>
      <c r="I29" s="53" t="n">
        <f aca="false">SUMIFS('Control Testing'!$AA$5:$AA$1294,'Control Testing'!$B$5:$B$1294,I$4,'Control Testing'!$E$5:$E$1294,$A29)</f>
        <v>3</v>
      </c>
      <c r="J29" s="53" t="n">
        <f aca="false">SUMIFS('Control Testing'!$AA$5:$AA$1294,'Control Testing'!$B$5:$B$1294,J$4,'Control Testing'!$E$5:$E$1294,$A29)</f>
        <v>3</v>
      </c>
      <c r="K29" s="53" t="n">
        <f aca="false">SUMIFS('Control Testing'!$AA$5:$AA$1294,'Control Testing'!$B$5:$B$1294,K$4,'Control Testing'!$E$5:$E$1294,$A29)</f>
        <v>2</v>
      </c>
      <c r="L29" s="53" t="n">
        <f aca="false">SUMIFS('Control Testing'!$AA$5:$AA$1294,'Control Testing'!$B$5:$B$1294,L$4,'Control Testing'!$E$5:$E$1294,$A29)</f>
        <v>4</v>
      </c>
      <c r="M29" s="53" t="n">
        <f aca="false">SUMIFS('Control Testing'!$AA$5:$AA$1294,'Control Testing'!$B$5:$B$1294,M$4,'Control Testing'!$E$5:$E$1294,$A29)</f>
        <v>2</v>
      </c>
      <c r="N29" s="53" t="n">
        <f aca="false">SUMIFS('Control Testing'!$AA$5:$AA$1294,'Control Testing'!$B$5:$B$1294,N$4,'Control Testing'!$E$5:$E$1294,$A29)</f>
        <v>2</v>
      </c>
      <c r="O29" s="53" t="n">
        <f aca="false">SUMIFS('Control Testing'!$AA$5:$AA$1294,'Control Testing'!$B$5:$B$1294,O$4,'Control Testing'!$E$5:$E$1294,$A29)</f>
        <v>1</v>
      </c>
      <c r="P29" s="53" t="n">
        <f aca="false">SUMIFS('Control Testing'!$AA$5:$AA$1294,'Control Testing'!$B$5:$B$1294,P$4,'Control Testing'!$E$5:$E$1294,$A29)</f>
        <v>2</v>
      </c>
      <c r="Q29" s="53" t="n">
        <f aca="false">SUMIFS('Control Testing'!$AA$5:$AA$1294,'Control Testing'!$B$5:$B$1294,Q$4,'Control Testing'!$E$5:$E$1294,$A29)</f>
        <v>2</v>
      </c>
      <c r="R29" s="53" t="n">
        <f aca="false">SUMIFS('Control Testing'!$AA$5:$AA$1294,'Control Testing'!$B$5:$B$1294,R$4,'Control Testing'!$E$5:$E$1294,$A29)</f>
        <v>3</v>
      </c>
      <c r="S29" s="53" t="n">
        <f aca="false">SUMIFS('Control Testing'!$AA$5:$AA$1294,'Control Testing'!$B$5:$B$1294,S$4,'Control Testing'!$E$5:$E$1294,$A29)</f>
        <v>3</v>
      </c>
      <c r="T29" s="53" t="n">
        <f aca="false">SUMIFS('Control Testing'!$AA$5:$AA$1294,'Control Testing'!$B$5:$B$1294,T$4,'Control Testing'!$E$5:$E$1294,$A29)</f>
        <v>2</v>
      </c>
      <c r="U29" s="53" t="n">
        <f aca="false">SUMIFS('Control Testing'!$AA$5:$AA$1294,'Control Testing'!$B$5:$B$1294,U$4,'Control Testing'!$E$5:$E$1294,$A29)</f>
        <v>2</v>
      </c>
      <c r="V29" s="53" t="n">
        <f aca="false">SUMIFS('Control Testing'!$AA$5:$AA$1294,'Control Testing'!$B$5:$B$1294,V$4,'Control Testing'!$E$5:$E$1294,$A29)</f>
        <v>4</v>
      </c>
      <c r="W29" s="53" t="n">
        <f aca="false">SUMIFS('Control Testing'!$AA$5:$AA$1294,'Control Testing'!$B$5:$B$1294,W$4,'Control Testing'!$E$5:$E$1294,$A29)</f>
        <v>2</v>
      </c>
      <c r="X29" s="53" t="n">
        <f aca="false">SUMIFS('Control Testing'!$AA$5:$AA$1294,'Control Testing'!$B$5:$B$1294,X$4,'Control Testing'!$E$5:$E$1294,$A29)</f>
        <v>2</v>
      </c>
      <c r="Y29" s="53" t="n">
        <f aca="false">SUMIFS('Control Testing'!$AA$5:$AA$1294,'Control Testing'!$B$5:$B$1294,Y$4,'Control Testing'!$E$5:$E$1294,$A29)</f>
        <v>2</v>
      </c>
      <c r="Z29" s="53" t="n">
        <f aca="false">SUMIFS('Control Testing'!$AA$5:$AA$1294,'Control Testing'!$B$5:$B$1294,Z$4,'Control Testing'!$E$5:$E$1294,$A29)</f>
        <v>1</v>
      </c>
      <c r="AA29" s="53" t="n">
        <f aca="false">SUMIFS('Control Testing'!$AA$5:$AA$1294,'Control Testing'!$B$5:$B$1294,AA$4,'Control Testing'!$E$5:$E$1294,$A29)</f>
        <v>2</v>
      </c>
      <c r="AB29" s="53" t="n">
        <f aca="false">SUMIFS('Control Testing'!$AA$5:$AA$1294,'Control Testing'!$B$5:$B$1294,AB$4,'Control Testing'!$E$5:$E$1294,$A29)</f>
        <v>4</v>
      </c>
      <c r="AC29" s="53" t="n">
        <f aca="false">SUMIFS('Control Testing'!$AA$5:$AA$1294,'Control Testing'!$B$5:$B$1294,AC$4,'Control Testing'!$E$5:$E$1294,$A29)</f>
        <v>2</v>
      </c>
      <c r="AD29" s="53" t="n">
        <f aca="false">SUMIFS('Control Testing'!$AA$5:$AA$1294,'Control Testing'!$B$5:$B$1294,AD$4,'Control Testing'!$E$5:$E$1294,$A29)</f>
        <v>2</v>
      </c>
      <c r="AE29" s="53" t="n">
        <f aca="false">SUMIFS('Control Testing'!$AA$5:$AA$1294,'Control Testing'!$B$5:$B$1294,AE$4,'Control Testing'!$E$5:$E$1294,$A29)</f>
        <v>2</v>
      </c>
      <c r="AF29" s="53" t="n">
        <f aca="false">SUMIFS('Control Testing'!$AA$5:$AA$1294,'Control Testing'!$B$5:$B$1294,AF$4,'Control Testing'!$E$5:$E$1294,$A29)</f>
        <v>2</v>
      </c>
      <c r="AG29" s="53" t="n">
        <f aca="false">SUMIFS('Control Testing'!$AA$5:$AA$1294,'Control Testing'!$B$5:$B$1294,AG$4,'Control Testing'!$E$5:$E$1294,$A29)</f>
        <v>2</v>
      </c>
    </row>
    <row r="30" customFormat="false" ht="15" hidden="false" customHeight="false" outlineLevel="0" collapsed="false">
      <c r="A30" s="26" t="str">
        <f aca="false">'Control Library'!A30</f>
        <v>CTL-REG-02</v>
      </c>
      <c r="B30" s="26" t="str">
        <f aca="false">'Control Library'!B30</f>
        <v>Regulatory return review and senior sign-off</v>
      </c>
      <c r="C30" s="52" t="str">
        <f aca="false">'Control Library'!F30</f>
        <v>Y</v>
      </c>
      <c r="D30" s="53" t="n">
        <f aca="false">SUMIFS('Control Testing'!$AA$5:$AA$1294,'Control Testing'!$B$5:$B$1294,D$4,'Control Testing'!$E$5:$E$1294,$A30)</f>
        <v>2</v>
      </c>
      <c r="E30" s="53" t="n">
        <f aca="false">SUMIFS('Control Testing'!$AA$5:$AA$1294,'Control Testing'!$B$5:$B$1294,E$4,'Control Testing'!$E$5:$E$1294,$A30)</f>
        <v>3</v>
      </c>
      <c r="F30" s="53" t="n">
        <f aca="false">SUMIFS('Control Testing'!$AA$5:$AA$1294,'Control Testing'!$B$5:$B$1294,F$4,'Control Testing'!$E$5:$E$1294,$A30)</f>
        <v>2</v>
      </c>
      <c r="G30" s="53" t="n">
        <f aca="false">SUMIFS('Control Testing'!$AA$5:$AA$1294,'Control Testing'!$B$5:$B$1294,G$4,'Control Testing'!$E$5:$E$1294,$A30)</f>
        <v>2</v>
      </c>
      <c r="H30" s="53" t="n">
        <f aca="false">SUMIFS('Control Testing'!$AA$5:$AA$1294,'Control Testing'!$B$5:$B$1294,H$4,'Control Testing'!$E$5:$E$1294,$A30)</f>
        <v>2</v>
      </c>
      <c r="I30" s="53" t="n">
        <f aca="false">SUMIFS('Control Testing'!$AA$5:$AA$1294,'Control Testing'!$B$5:$B$1294,I$4,'Control Testing'!$E$5:$E$1294,$A30)</f>
        <v>2</v>
      </c>
      <c r="J30" s="53" t="n">
        <f aca="false">SUMIFS('Control Testing'!$AA$5:$AA$1294,'Control Testing'!$B$5:$B$1294,J$4,'Control Testing'!$E$5:$E$1294,$A30)</f>
        <v>2</v>
      </c>
      <c r="K30" s="53" t="n">
        <f aca="false">SUMIFS('Control Testing'!$AA$5:$AA$1294,'Control Testing'!$B$5:$B$1294,K$4,'Control Testing'!$E$5:$E$1294,$A30)</f>
        <v>3</v>
      </c>
      <c r="L30" s="53" t="n">
        <f aca="false">SUMIFS('Control Testing'!$AA$5:$AA$1294,'Control Testing'!$B$5:$B$1294,L$4,'Control Testing'!$E$5:$E$1294,$A30)</f>
        <v>2</v>
      </c>
      <c r="M30" s="53" t="n">
        <f aca="false">SUMIFS('Control Testing'!$AA$5:$AA$1294,'Control Testing'!$B$5:$B$1294,M$4,'Control Testing'!$E$5:$E$1294,$A30)</f>
        <v>4</v>
      </c>
      <c r="N30" s="53" t="n">
        <f aca="false">SUMIFS('Control Testing'!$AA$5:$AA$1294,'Control Testing'!$B$5:$B$1294,N$4,'Control Testing'!$E$5:$E$1294,$A30)</f>
        <v>2</v>
      </c>
      <c r="O30" s="53" t="n">
        <f aca="false">SUMIFS('Control Testing'!$AA$5:$AA$1294,'Control Testing'!$B$5:$B$1294,O$4,'Control Testing'!$E$5:$E$1294,$A30)</f>
        <v>1</v>
      </c>
      <c r="P30" s="53" t="n">
        <f aca="false">SUMIFS('Control Testing'!$AA$5:$AA$1294,'Control Testing'!$B$5:$B$1294,P$4,'Control Testing'!$E$5:$E$1294,$A30)</f>
        <v>2</v>
      </c>
      <c r="Q30" s="53" t="n">
        <f aca="false">SUMIFS('Control Testing'!$AA$5:$AA$1294,'Control Testing'!$B$5:$B$1294,Q$4,'Control Testing'!$E$5:$E$1294,$A30)</f>
        <v>2</v>
      </c>
      <c r="R30" s="53" t="n">
        <f aca="false">SUMIFS('Control Testing'!$AA$5:$AA$1294,'Control Testing'!$B$5:$B$1294,R$4,'Control Testing'!$E$5:$E$1294,$A30)</f>
        <v>2</v>
      </c>
      <c r="S30" s="53" t="n">
        <f aca="false">SUMIFS('Control Testing'!$AA$5:$AA$1294,'Control Testing'!$B$5:$B$1294,S$4,'Control Testing'!$E$5:$E$1294,$A30)</f>
        <v>2</v>
      </c>
      <c r="T30" s="53" t="n">
        <f aca="false">SUMIFS('Control Testing'!$AA$5:$AA$1294,'Control Testing'!$B$5:$B$1294,T$4,'Control Testing'!$E$5:$E$1294,$A30)</f>
        <v>1</v>
      </c>
      <c r="U30" s="53" t="n">
        <f aca="false">SUMIFS('Control Testing'!$AA$5:$AA$1294,'Control Testing'!$B$5:$B$1294,U$4,'Control Testing'!$E$5:$E$1294,$A30)</f>
        <v>2</v>
      </c>
      <c r="V30" s="53" t="n">
        <f aca="false">SUMIFS('Control Testing'!$AA$5:$AA$1294,'Control Testing'!$B$5:$B$1294,V$4,'Control Testing'!$E$5:$E$1294,$A30)</f>
        <v>1</v>
      </c>
      <c r="W30" s="53" t="n">
        <f aca="false">SUMIFS('Control Testing'!$AA$5:$AA$1294,'Control Testing'!$B$5:$B$1294,W$4,'Control Testing'!$E$5:$E$1294,$A30)</f>
        <v>3</v>
      </c>
      <c r="X30" s="53" t="n">
        <f aca="false">SUMIFS('Control Testing'!$AA$5:$AA$1294,'Control Testing'!$B$5:$B$1294,X$4,'Control Testing'!$E$5:$E$1294,$A30)</f>
        <v>3</v>
      </c>
      <c r="Y30" s="53" t="n">
        <f aca="false">SUMIFS('Control Testing'!$AA$5:$AA$1294,'Control Testing'!$B$5:$B$1294,Y$4,'Control Testing'!$E$5:$E$1294,$A30)</f>
        <v>4</v>
      </c>
      <c r="Z30" s="53" t="n">
        <f aca="false">SUMIFS('Control Testing'!$AA$5:$AA$1294,'Control Testing'!$B$5:$B$1294,Z$4,'Control Testing'!$E$5:$E$1294,$A30)</f>
        <v>1</v>
      </c>
      <c r="AA30" s="53" t="n">
        <f aca="false">SUMIFS('Control Testing'!$AA$5:$AA$1294,'Control Testing'!$B$5:$B$1294,AA$4,'Control Testing'!$E$5:$E$1294,$A30)</f>
        <v>1</v>
      </c>
      <c r="AB30" s="53" t="n">
        <f aca="false">SUMIFS('Control Testing'!$AA$5:$AA$1294,'Control Testing'!$B$5:$B$1294,AB$4,'Control Testing'!$E$5:$E$1294,$A30)</f>
        <v>1</v>
      </c>
      <c r="AC30" s="53" t="n">
        <f aca="false">SUMIFS('Control Testing'!$AA$5:$AA$1294,'Control Testing'!$B$5:$B$1294,AC$4,'Control Testing'!$E$5:$E$1294,$A30)</f>
        <v>1</v>
      </c>
      <c r="AD30" s="53" t="n">
        <f aca="false">SUMIFS('Control Testing'!$AA$5:$AA$1294,'Control Testing'!$B$5:$B$1294,AD$4,'Control Testing'!$E$5:$E$1294,$A30)</f>
        <v>2</v>
      </c>
      <c r="AE30" s="53" t="n">
        <f aca="false">SUMIFS('Control Testing'!$AA$5:$AA$1294,'Control Testing'!$B$5:$B$1294,AE$4,'Control Testing'!$E$5:$E$1294,$A30)</f>
        <v>4</v>
      </c>
      <c r="AF30" s="53" t="n">
        <f aca="false">SUMIFS('Control Testing'!$AA$5:$AA$1294,'Control Testing'!$B$5:$B$1294,AF$4,'Control Testing'!$E$5:$E$1294,$A30)</f>
        <v>1</v>
      </c>
      <c r="AG30" s="53" t="n">
        <f aca="false">SUMIFS('Control Testing'!$AA$5:$AA$1294,'Control Testing'!$B$5:$B$1294,AG$4,'Control Testing'!$E$5:$E$1294,$A30)</f>
        <v>1</v>
      </c>
    </row>
    <row r="31" customFormat="false" ht="15" hidden="false" customHeight="false" outlineLevel="0" collapsed="false">
      <c r="A31" s="26" t="str">
        <f aca="false">'Control Library'!A31</f>
        <v>CTL-CON-01</v>
      </c>
      <c r="B31" s="26" t="str">
        <f aca="false">'Control Library'!B31</f>
        <v>New product approval and suitability assessment</v>
      </c>
      <c r="C31" s="52" t="str">
        <f aca="false">'Control Library'!F31</f>
        <v>Y</v>
      </c>
      <c r="D31" s="53" t="n">
        <f aca="false">SUMIFS('Control Testing'!$AA$5:$AA$1294,'Control Testing'!$B$5:$B$1294,D$4,'Control Testing'!$E$5:$E$1294,$A31)</f>
        <v>1</v>
      </c>
      <c r="E31" s="53" t="n">
        <f aca="false">SUMIFS('Control Testing'!$AA$5:$AA$1294,'Control Testing'!$B$5:$B$1294,E$4,'Control Testing'!$E$5:$E$1294,$A31)</f>
        <v>2</v>
      </c>
      <c r="F31" s="53" t="n">
        <f aca="false">SUMIFS('Control Testing'!$AA$5:$AA$1294,'Control Testing'!$B$5:$B$1294,F$4,'Control Testing'!$E$5:$E$1294,$A31)</f>
        <v>2</v>
      </c>
      <c r="G31" s="53" t="n">
        <f aca="false">SUMIFS('Control Testing'!$AA$5:$AA$1294,'Control Testing'!$B$5:$B$1294,G$4,'Control Testing'!$E$5:$E$1294,$A31)</f>
        <v>2</v>
      </c>
      <c r="H31" s="53" t="n">
        <f aca="false">SUMIFS('Control Testing'!$AA$5:$AA$1294,'Control Testing'!$B$5:$B$1294,H$4,'Control Testing'!$E$5:$E$1294,$A31)</f>
        <v>3</v>
      </c>
      <c r="I31" s="53" t="n">
        <f aca="false">SUMIFS('Control Testing'!$AA$5:$AA$1294,'Control Testing'!$B$5:$B$1294,I$4,'Control Testing'!$E$5:$E$1294,$A31)</f>
        <v>3</v>
      </c>
      <c r="J31" s="53" t="n">
        <f aca="false">SUMIFS('Control Testing'!$AA$5:$AA$1294,'Control Testing'!$B$5:$B$1294,J$4,'Control Testing'!$E$5:$E$1294,$A31)</f>
        <v>2</v>
      </c>
      <c r="K31" s="53" t="n">
        <f aca="false">SUMIFS('Control Testing'!$AA$5:$AA$1294,'Control Testing'!$B$5:$B$1294,K$4,'Control Testing'!$E$5:$E$1294,$A31)</f>
        <v>2</v>
      </c>
      <c r="L31" s="53" t="n">
        <f aca="false">SUMIFS('Control Testing'!$AA$5:$AA$1294,'Control Testing'!$B$5:$B$1294,L$4,'Control Testing'!$E$5:$E$1294,$A31)</f>
        <v>2</v>
      </c>
      <c r="M31" s="53" t="n">
        <f aca="false">SUMIFS('Control Testing'!$AA$5:$AA$1294,'Control Testing'!$B$5:$B$1294,M$4,'Control Testing'!$E$5:$E$1294,$A31)</f>
        <v>4</v>
      </c>
      <c r="N31" s="53" t="n">
        <f aca="false">SUMIFS('Control Testing'!$AA$5:$AA$1294,'Control Testing'!$B$5:$B$1294,N$4,'Control Testing'!$E$5:$E$1294,$A31)</f>
        <v>3</v>
      </c>
      <c r="O31" s="53" t="n">
        <f aca="false">SUMIFS('Control Testing'!$AA$5:$AA$1294,'Control Testing'!$B$5:$B$1294,O$4,'Control Testing'!$E$5:$E$1294,$A31)</f>
        <v>2</v>
      </c>
      <c r="P31" s="53" t="n">
        <f aca="false">SUMIFS('Control Testing'!$AA$5:$AA$1294,'Control Testing'!$B$5:$B$1294,P$4,'Control Testing'!$E$5:$E$1294,$A31)</f>
        <v>3</v>
      </c>
      <c r="Q31" s="53" t="n">
        <f aca="false">SUMIFS('Control Testing'!$AA$5:$AA$1294,'Control Testing'!$B$5:$B$1294,Q$4,'Control Testing'!$E$5:$E$1294,$A31)</f>
        <v>2</v>
      </c>
      <c r="R31" s="53" t="n">
        <f aca="false">SUMIFS('Control Testing'!$AA$5:$AA$1294,'Control Testing'!$B$5:$B$1294,R$4,'Control Testing'!$E$5:$E$1294,$A31)</f>
        <v>2</v>
      </c>
      <c r="S31" s="53" t="n">
        <f aca="false">SUMIFS('Control Testing'!$AA$5:$AA$1294,'Control Testing'!$B$5:$B$1294,S$4,'Control Testing'!$E$5:$E$1294,$A31)</f>
        <v>2</v>
      </c>
      <c r="T31" s="53" t="n">
        <f aca="false">SUMIFS('Control Testing'!$AA$5:$AA$1294,'Control Testing'!$B$5:$B$1294,T$4,'Control Testing'!$E$5:$E$1294,$A31)</f>
        <v>1</v>
      </c>
      <c r="U31" s="53" t="n">
        <f aca="false">SUMIFS('Control Testing'!$AA$5:$AA$1294,'Control Testing'!$B$5:$B$1294,U$4,'Control Testing'!$E$5:$E$1294,$A31)</f>
        <v>2</v>
      </c>
      <c r="V31" s="53" t="n">
        <f aca="false">SUMIFS('Control Testing'!$AA$5:$AA$1294,'Control Testing'!$B$5:$B$1294,V$4,'Control Testing'!$E$5:$E$1294,$A31)</f>
        <v>2</v>
      </c>
      <c r="W31" s="53" t="n">
        <f aca="false">SUMIFS('Control Testing'!$AA$5:$AA$1294,'Control Testing'!$B$5:$B$1294,W$4,'Control Testing'!$E$5:$E$1294,$A31)</f>
        <v>2</v>
      </c>
      <c r="X31" s="53" t="n">
        <f aca="false">SUMIFS('Control Testing'!$AA$5:$AA$1294,'Control Testing'!$B$5:$B$1294,X$4,'Control Testing'!$E$5:$E$1294,$A31)</f>
        <v>3</v>
      </c>
      <c r="Y31" s="53" t="n">
        <f aca="false">SUMIFS('Control Testing'!$AA$5:$AA$1294,'Control Testing'!$B$5:$B$1294,Y$4,'Control Testing'!$E$5:$E$1294,$A31)</f>
        <v>1</v>
      </c>
      <c r="Z31" s="53" t="n">
        <f aca="false">SUMIFS('Control Testing'!$AA$5:$AA$1294,'Control Testing'!$B$5:$B$1294,Z$4,'Control Testing'!$E$5:$E$1294,$A31)</f>
        <v>1</v>
      </c>
      <c r="AA31" s="53" t="n">
        <f aca="false">SUMIFS('Control Testing'!$AA$5:$AA$1294,'Control Testing'!$B$5:$B$1294,AA$4,'Control Testing'!$E$5:$E$1294,$A31)</f>
        <v>2</v>
      </c>
      <c r="AB31" s="53" t="n">
        <f aca="false">SUMIFS('Control Testing'!$AA$5:$AA$1294,'Control Testing'!$B$5:$B$1294,AB$4,'Control Testing'!$E$5:$E$1294,$A31)</f>
        <v>1</v>
      </c>
      <c r="AC31" s="53" t="n">
        <f aca="false">SUMIFS('Control Testing'!$AA$5:$AA$1294,'Control Testing'!$B$5:$B$1294,AC$4,'Control Testing'!$E$5:$E$1294,$A31)</f>
        <v>1</v>
      </c>
      <c r="AD31" s="53" t="n">
        <f aca="false">SUMIFS('Control Testing'!$AA$5:$AA$1294,'Control Testing'!$B$5:$B$1294,AD$4,'Control Testing'!$E$5:$E$1294,$A31)</f>
        <v>1</v>
      </c>
      <c r="AE31" s="53" t="n">
        <f aca="false">SUMIFS('Control Testing'!$AA$5:$AA$1294,'Control Testing'!$B$5:$B$1294,AE$4,'Control Testing'!$E$5:$E$1294,$A31)</f>
        <v>1</v>
      </c>
      <c r="AF31" s="53" t="n">
        <f aca="false">SUMIFS('Control Testing'!$AA$5:$AA$1294,'Control Testing'!$B$5:$B$1294,AF$4,'Control Testing'!$E$5:$E$1294,$A31)</f>
        <v>1</v>
      </c>
      <c r="AG31" s="53" t="n">
        <f aca="false">SUMIFS('Control Testing'!$AA$5:$AA$1294,'Control Testing'!$B$5:$B$1294,AG$4,'Control Testing'!$E$5:$E$1294,$A31)</f>
        <v>1</v>
      </c>
    </row>
    <row r="32" customFormat="false" ht="15" hidden="false" customHeight="false" outlineLevel="0" collapsed="false">
      <c r="A32" s="26" t="str">
        <f aca="false">'Control Library'!A32</f>
        <v>CTL-CON-02</v>
      </c>
      <c r="B32" s="26" t="str">
        <f aca="false">'Control Library'!B32</f>
        <v>Complaints handling and root-cause analysis</v>
      </c>
      <c r="C32" s="52" t="str">
        <f aca="false">'Control Library'!F32</f>
        <v>N</v>
      </c>
      <c r="D32" s="53" t="n">
        <f aca="false">SUMIFS('Control Testing'!$AA$5:$AA$1294,'Control Testing'!$B$5:$B$1294,D$4,'Control Testing'!$E$5:$E$1294,$A32)</f>
        <v>2</v>
      </c>
      <c r="E32" s="53" t="n">
        <f aca="false">SUMIFS('Control Testing'!$AA$5:$AA$1294,'Control Testing'!$B$5:$B$1294,E$4,'Control Testing'!$E$5:$E$1294,$A32)</f>
        <v>2</v>
      </c>
      <c r="F32" s="53" t="n">
        <f aca="false">SUMIFS('Control Testing'!$AA$5:$AA$1294,'Control Testing'!$B$5:$B$1294,F$4,'Control Testing'!$E$5:$E$1294,$A32)</f>
        <v>2</v>
      </c>
      <c r="G32" s="53" t="n">
        <f aca="false">SUMIFS('Control Testing'!$AA$5:$AA$1294,'Control Testing'!$B$5:$B$1294,G$4,'Control Testing'!$E$5:$E$1294,$A32)</f>
        <v>1</v>
      </c>
      <c r="H32" s="53" t="n">
        <f aca="false">SUMIFS('Control Testing'!$AA$5:$AA$1294,'Control Testing'!$B$5:$B$1294,H$4,'Control Testing'!$E$5:$E$1294,$A32)</f>
        <v>2</v>
      </c>
      <c r="I32" s="53" t="n">
        <f aca="false">SUMIFS('Control Testing'!$AA$5:$AA$1294,'Control Testing'!$B$5:$B$1294,I$4,'Control Testing'!$E$5:$E$1294,$A32)</f>
        <v>2</v>
      </c>
      <c r="J32" s="53" t="n">
        <f aca="false">SUMIFS('Control Testing'!$AA$5:$AA$1294,'Control Testing'!$B$5:$B$1294,J$4,'Control Testing'!$E$5:$E$1294,$A32)</f>
        <v>4</v>
      </c>
      <c r="K32" s="53" t="n">
        <f aca="false">SUMIFS('Control Testing'!$AA$5:$AA$1294,'Control Testing'!$B$5:$B$1294,K$4,'Control Testing'!$E$5:$E$1294,$A32)</f>
        <v>2</v>
      </c>
      <c r="L32" s="53" t="n">
        <f aca="false">SUMIFS('Control Testing'!$AA$5:$AA$1294,'Control Testing'!$B$5:$B$1294,L$4,'Control Testing'!$E$5:$E$1294,$A32)</f>
        <v>2</v>
      </c>
      <c r="M32" s="53" t="n">
        <f aca="false">SUMIFS('Control Testing'!$AA$5:$AA$1294,'Control Testing'!$B$5:$B$1294,M$4,'Control Testing'!$E$5:$E$1294,$A32)</f>
        <v>1</v>
      </c>
      <c r="N32" s="53" t="n">
        <f aca="false">SUMIFS('Control Testing'!$AA$5:$AA$1294,'Control Testing'!$B$5:$B$1294,N$4,'Control Testing'!$E$5:$E$1294,$A32)</f>
        <v>2</v>
      </c>
      <c r="O32" s="53" t="n">
        <f aca="false">SUMIFS('Control Testing'!$AA$5:$AA$1294,'Control Testing'!$B$5:$B$1294,O$4,'Control Testing'!$E$5:$E$1294,$A32)</f>
        <v>2</v>
      </c>
      <c r="P32" s="53" t="n">
        <f aca="false">SUMIFS('Control Testing'!$AA$5:$AA$1294,'Control Testing'!$B$5:$B$1294,P$4,'Control Testing'!$E$5:$E$1294,$A32)</f>
        <v>2</v>
      </c>
      <c r="Q32" s="53" t="n">
        <f aca="false">SUMIFS('Control Testing'!$AA$5:$AA$1294,'Control Testing'!$B$5:$B$1294,Q$4,'Control Testing'!$E$5:$E$1294,$A32)</f>
        <v>2</v>
      </c>
      <c r="R32" s="53" t="n">
        <f aca="false">SUMIFS('Control Testing'!$AA$5:$AA$1294,'Control Testing'!$B$5:$B$1294,R$4,'Control Testing'!$E$5:$E$1294,$A32)</f>
        <v>3</v>
      </c>
      <c r="S32" s="53" t="n">
        <f aca="false">SUMIFS('Control Testing'!$AA$5:$AA$1294,'Control Testing'!$B$5:$B$1294,S$4,'Control Testing'!$E$5:$E$1294,$A32)</f>
        <v>1</v>
      </c>
      <c r="T32" s="53" t="n">
        <f aca="false">SUMIFS('Control Testing'!$AA$5:$AA$1294,'Control Testing'!$B$5:$B$1294,T$4,'Control Testing'!$E$5:$E$1294,$A32)</f>
        <v>2</v>
      </c>
      <c r="U32" s="53" t="n">
        <f aca="false">SUMIFS('Control Testing'!$AA$5:$AA$1294,'Control Testing'!$B$5:$B$1294,U$4,'Control Testing'!$E$5:$E$1294,$A32)</f>
        <v>2</v>
      </c>
      <c r="V32" s="53" t="n">
        <f aca="false">SUMIFS('Control Testing'!$AA$5:$AA$1294,'Control Testing'!$B$5:$B$1294,V$4,'Control Testing'!$E$5:$E$1294,$A32)</f>
        <v>2</v>
      </c>
      <c r="W32" s="53" t="n">
        <f aca="false">SUMIFS('Control Testing'!$AA$5:$AA$1294,'Control Testing'!$B$5:$B$1294,W$4,'Control Testing'!$E$5:$E$1294,$A32)</f>
        <v>2</v>
      </c>
      <c r="X32" s="53" t="n">
        <f aca="false">SUMIFS('Control Testing'!$AA$5:$AA$1294,'Control Testing'!$B$5:$B$1294,X$4,'Control Testing'!$E$5:$E$1294,$A32)</f>
        <v>2</v>
      </c>
      <c r="Y32" s="53" t="n">
        <f aca="false">SUMIFS('Control Testing'!$AA$5:$AA$1294,'Control Testing'!$B$5:$B$1294,Y$4,'Control Testing'!$E$5:$E$1294,$A32)</f>
        <v>2</v>
      </c>
      <c r="Z32" s="53" t="n">
        <f aca="false">SUMIFS('Control Testing'!$AA$5:$AA$1294,'Control Testing'!$B$5:$B$1294,Z$4,'Control Testing'!$E$5:$E$1294,$A32)</f>
        <v>1</v>
      </c>
      <c r="AA32" s="53" t="n">
        <f aca="false">SUMIFS('Control Testing'!$AA$5:$AA$1294,'Control Testing'!$B$5:$B$1294,AA$4,'Control Testing'!$E$5:$E$1294,$A32)</f>
        <v>1</v>
      </c>
      <c r="AB32" s="53" t="n">
        <f aca="false">SUMIFS('Control Testing'!$AA$5:$AA$1294,'Control Testing'!$B$5:$B$1294,AB$4,'Control Testing'!$E$5:$E$1294,$A32)</f>
        <v>1</v>
      </c>
      <c r="AC32" s="53" t="n">
        <f aca="false">SUMIFS('Control Testing'!$AA$5:$AA$1294,'Control Testing'!$B$5:$B$1294,AC$4,'Control Testing'!$E$5:$E$1294,$A32)</f>
        <v>2</v>
      </c>
      <c r="AD32" s="53" t="n">
        <f aca="false">SUMIFS('Control Testing'!$AA$5:$AA$1294,'Control Testing'!$B$5:$B$1294,AD$4,'Control Testing'!$E$5:$E$1294,$A32)</f>
        <v>1</v>
      </c>
      <c r="AE32" s="53" t="n">
        <f aca="false">SUMIFS('Control Testing'!$AA$5:$AA$1294,'Control Testing'!$B$5:$B$1294,AE$4,'Control Testing'!$E$5:$E$1294,$A32)</f>
        <v>2</v>
      </c>
      <c r="AF32" s="53" t="n">
        <f aca="false">SUMIFS('Control Testing'!$AA$5:$AA$1294,'Control Testing'!$B$5:$B$1294,AF$4,'Control Testing'!$E$5:$E$1294,$A32)</f>
        <v>1</v>
      </c>
      <c r="AG32" s="53" t="n">
        <f aca="false">SUMIFS('Control Testing'!$AA$5:$AA$1294,'Control Testing'!$B$5:$B$1294,AG$4,'Control Testing'!$E$5:$E$1294,$A32)</f>
        <v>4</v>
      </c>
    </row>
    <row r="33" customFormat="false" ht="15" hidden="false" customHeight="false" outlineLevel="0" collapsed="false">
      <c r="A33" s="26" t="str">
        <f aca="false">'Control Library'!A33</f>
        <v>CTL-DP-01</v>
      </c>
      <c r="B33" s="26" t="str">
        <f aca="false">'Control Library'!B33</f>
        <v>Data protection impact assessments and processing records</v>
      </c>
      <c r="C33" s="52" t="str">
        <f aca="false">'Control Library'!F33</f>
        <v>Y</v>
      </c>
      <c r="D33" s="53" t="n">
        <f aca="false">SUMIFS('Control Testing'!$AA$5:$AA$1294,'Control Testing'!$B$5:$B$1294,D$4,'Control Testing'!$E$5:$E$1294,$A33)</f>
        <v>2</v>
      </c>
      <c r="E33" s="53" t="n">
        <f aca="false">SUMIFS('Control Testing'!$AA$5:$AA$1294,'Control Testing'!$B$5:$B$1294,E$4,'Control Testing'!$E$5:$E$1294,$A33)</f>
        <v>1</v>
      </c>
      <c r="F33" s="53" t="n">
        <f aca="false">SUMIFS('Control Testing'!$AA$5:$AA$1294,'Control Testing'!$B$5:$B$1294,F$4,'Control Testing'!$E$5:$E$1294,$A33)</f>
        <v>2</v>
      </c>
      <c r="G33" s="53" t="n">
        <f aca="false">SUMIFS('Control Testing'!$AA$5:$AA$1294,'Control Testing'!$B$5:$B$1294,G$4,'Control Testing'!$E$5:$E$1294,$A33)</f>
        <v>2</v>
      </c>
      <c r="H33" s="53" t="n">
        <f aca="false">SUMIFS('Control Testing'!$AA$5:$AA$1294,'Control Testing'!$B$5:$B$1294,H$4,'Control Testing'!$E$5:$E$1294,$A33)</f>
        <v>1</v>
      </c>
      <c r="I33" s="53" t="n">
        <f aca="false">SUMIFS('Control Testing'!$AA$5:$AA$1294,'Control Testing'!$B$5:$B$1294,I$4,'Control Testing'!$E$5:$E$1294,$A33)</f>
        <v>3</v>
      </c>
      <c r="J33" s="53" t="n">
        <f aca="false">SUMIFS('Control Testing'!$AA$5:$AA$1294,'Control Testing'!$B$5:$B$1294,J$4,'Control Testing'!$E$5:$E$1294,$A33)</f>
        <v>2</v>
      </c>
      <c r="K33" s="53" t="n">
        <f aca="false">SUMIFS('Control Testing'!$AA$5:$AA$1294,'Control Testing'!$B$5:$B$1294,K$4,'Control Testing'!$E$5:$E$1294,$A33)</f>
        <v>3</v>
      </c>
      <c r="L33" s="53" t="n">
        <f aca="false">SUMIFS('Control Testing'!$AA$5:$AA$1294,'Control Testing'!$B$5:$B$1294,L$4,'Control Testing'!$E$5:$E$1294,$A33)</f>
        <v>2</v>
      </c>
      <c r="M33" s="53" t="n">
        <f aca="false">SUMIFS('Control Testing'!$AA$5:$AA$1294,'Control Testing'!$B$5:$B$1294,M$4,'Control Testing'!$E$5:$E$1294,$A33)</f>
        <v>3</v>
      </c>
      <c r="N33" s="53" t="n">
        <f aca="false">SUMIFS('Control Testing'!$AA$5:$AA$1294,'Control Testing'!$B$5:$B$1294,N$4,'Control Testing'!$E$5:$E$1294,$A33)</f>
        <v>2</v>
      </c>
      <c r="O33" s="53" t="n">
        <f aca="false">SUMIFS('Control Testing'!$AA$5:$AA$1294,'Control Testing'!$B$5:$B$1294,O$4,'Control Testing'!$E$5:$E$1294,$A33)</f>
        <v>3</v>
      </c>
      <c r="P33" s="53" t="n">
        <f aca="false">SUMIFS('Control Testing'!$AA$5:$AA$1294,'Control Testing'!$B$5:$B$1294,P$4,'Control Testing'!$E$5:$E$1294,$A33)</f>
        <v>2</v>
      </c>
      <c r="Q33" s="53" t="n">
        <f aca="false">SUMIFS('Control Testing'!$AA$5:$AA$1294,'Control Testing'!$B$5:$B$1294,Q$4,'Control Testing'!$E$5:$E$1294,$A33)</f>
        <v>2</v>
      </c>
      <c r="R33" s="53" t="n">
        <f aca="false">SUMIFS('Control Testing'!$AA$5:$AA$1294,'Control Testing'!$B$5:$B$1294,R$4,'Control Testing'!$E$5:$E$1294,$A33)</f>
        <v>3</v>
      </c>
      <c r="S33" s="53" t="n">
        <f aca="false">SUMIFS('Control Testing'!$AA$5:$AA$1294,'Control Testing'!$B$5:$B$1294,S$4,'Control Testing'!$E$5:$E$1294,$A33)</f>
        <v>3</v>
      </c>
      <c r="T33" s="53" t="n">
        <f aca="false">SUMIFS('Control Testing'!$AA$5:$AA$1294,'Control Testing'!$B$5:$B$1294,T$4,'Control Testing'!$E$5:$E$1294,$A33)</f>
        <v>1</v>
      </c>
      <c r="U33" s="53" t="n">
        <f aca="false">SUMIFS('Control Testing'!$AA$5:$AA$1294,'Control Testing'!$B$5:$B$1294,U$4,'Control Testing'!$E$5:$E$1294,$A33)</f>
        <v>4</v>
      </c>
      <c r="V33" s="53" t="n">
        <f aca="false">SUMIFS('Control Testing'!$AA$5:$AA$1294,'Control Testing'!$B$5:$B$1294,V$4,'Control Testing'!$E$5:$E$1294,$A33)</f>
        <v>1</v>
      </c>
      <c r="W33" s="53" t="n">
        <f aca="false">SUMIFS('Control Testing'!$AA$5:$AA$1294,'Control Testing'!$B$5:$B$1294,W$4,'Control Testing'!$E$5:$E$1294,$A33)</f>
        <v>2</v>
      </c>
      <c r="X33" s="53" t="n">
        <f aca="false">SUMIFS('Control Testing'!$AA$5:$AA$1294,'Control Testing'!$B$5:$B$1294,X$4,'Control Testing'!$E$5:$E$1294,$A33)</f>
        <v>3</v>
      </c>
      <c r="Y33" s="53" t="n">
        <f aca="false">SUMIFS('Control Testing'!$AA$5:$AA$1294,'Control Testing'!$B$5:$B$1294,Y$4,'Control Testing'!$E$5:$E$1294,$A33)</f>
        <v>4</v>
      </c>
      <c r="Z33" s="53" t="n">
        <f aca="false">SUMIFS('Control Testing'!$AA$5:$AA$1294,'Control Testing'!$B$5:$B$1294,Z$4,'Control Testing'!$E$5:$E$1294,$A33)</f>
        <v>1</v>
      </c>
      <c r="AA33" s="53" t="n">
        <f aca="false">SUMIFS('Control Testing'!$AA$5:$AA$1294,'Control Testing'!$B$5:$B$1294,AA$4,'Control Testing'!$E$5:$E$1294,$A33)</f>
        <v>1</v>
      </c>
      <c r="AB33" s="53" t="n">
        <f aca="false">SUMIFS('Control Testing'!$AA$5:$AA$1294,'Control Testing'!$B$5:$B$1294,AB$4,'Control Testing'!$E$5:$E$1294,$A33)</f>
        <v>2</v>
      </c>
      <c r="AC33" s="53" t="n">
        <f aca="false">SUMIFS('Control Testing'!$AA$5:$AA$1294,'Control Testing'!$B$5:$B$1294,AC$4,'Control Testing'!$E$5:$E$1294,$A33)</f>
        <v>1</v>
      </c>
      <c r="AD33" s="53" t="n">
        <f aca="false">SUMIFS('Control Testing'!$AA$5:$AA$1294,'Control Testing'!$B$5:$B$1294,AD$4,'Control Testing'!$E$5:$E$1294,$A33)</f>
        <v>2</v>
      </c>
      <c r="AE33" s="53" t="n">
        <f aca="false">SUMIFS('Control Testing'!$AA$5:$AA$1294,'Control Testing'!$B$5:$B$1294,AE$4,'Control Testing'!$E$5:$E$1294,$A33)</f>
        <v>1</v>
      </c>
      <c r="AF33" s="53" t="n">
        <f aca="false">SUMIFS('Control Testing'!$AA$5:$AA$1294,'Control Testing'!$B$5:$B$1294,AF$4,'Control Testing'!$E$5:$E$1294,$A33)</f>
        <v>3</v>
      </c>
      <c r="AG33" s="53" t="n">
        <f aca="false">SUMIFS('Control Testing'!$AA$5:$AA$1294,'Control Testing'!$B$5:$B$1294,AG$4,'Control Testing'!$E$5:$E$1294,$A33)</f>
        <v>2</v>
      </c>
    </row>
    <row r="34" customFormat="false" ht="15" hidden="false" customHeight="false" outlineLevel="0" collapsed="false">
      <c r="A34" s="26" t="str">
        <f aca="false">'Control Library'!A34</f>
        <v>CTL-DP-02</v>
      </c>
      <c r="B34" s="26" t="str">
        <f aca="false">'Control Library'!B34</f>
        <v>Data loss prevention and quarterly access recertification</v>
      </c>
      <c r="C34" s="52" t="str">
        <f aca="false">'Control Library'!F34</f>
        <v>Y</v>
      </c>
      <c r="D34" s="53" t="n">
        <f aca="false">SUMIFS('Control Testing'!$AA$5:$AA$1294,'Control Testing'!$B$5:$B$1294,D$4,'Control Testing'!$E$5:$E$1294,$A34)</f>
        <v>2</v>
      </c>
      <c r="E34" s="53" t="n">
        <f aca="false">SUMIFS('Control Testing'!$AA$5:$AA$1294,'Control Testing'!$B$5:$B$1294,E$4,'Control Testing'!$E$5:$E$1294,$A34)</f>
        <v>2</v>
      </c>
      <c r="F34" s="53" t="n">
        <f aca="false">SUMIFS('Control Testing'!$AA$5:$AA$1294,'Control Testing'!$B$5:$B$1294,F$4,'Control Testing'!$E$5:$E$1294,$A34)</f>
        <v>2</v>
      </c>
      <c r="G34" s="53" t="n">
        <f aca="false">SUMIFS('Control Testing'!$AA$5:$AA$1294,'Control Testing'!$B$5:$B$1294,G$4,'Control Testing'!$E$5:$E$1294,$A34)</f>
        <v>2</v>
      </c>
      <c r="H34" s="53" t="n">
        <f aca="false">SUMIFS('Control Testing'!$AA$5:$AA$1294,'Control Testing'!$B$5:$B$1294,H$4,'Control Testing'!$E$5:$E$1294,$A34)</f>
        <v>1</v>
      </c>
      <c r="I34" s="53" t="n">
        <f aca="false">SUMIFS('Control Testing'!$AA$5:$AA$1294,'Control Testing'!$B$5:$B$1294,I$4,'Control Testing'!$E$5:$E$1294,$A34)</f>
        <v>2</v>
      </c>
      <c r="J34" s="53" t="n">
        <f aca="false">SUMIFS('Control Testing'!$AA$5:$AA$1294,'Control Testing'!$B$5:$B$1294,J$4,'Control Testing'!$E$5:$E$1294,$A34)</f>
        <v>3</v>
      </c>
      <c r="K34" s="53" t="n">
        <f aca="false">SUMIFS('Control Testing'!$AA$5:$AA$1294,'Control Testing'!$B$5:$B$1294,K$4,'Control Testing'!$E$5:$E$1294,$A34)</f>
        <v>2</v>
      </c>
      <c r="L34" s="53" t="n">
        <f aca="false">SUMIFS('Control Testing'!$AA$5:$AA$1294,'Control Testing'!$B$5:$B$1294,L$4,'Control Testing'!$E$5:$E$1294,$A34)</f>
        <v>3</v>
      </c>
      <c r="M34" s="53" t="n">
        <f aca="false">SUMIFS('Control Testing'!$AA$5:$AA$1294,'Control Testing'!$B$5:$B$1294,M$4,'Control Testing'!$E$5:$E$1294,$A34)</f>
        <v>4</v>
      </c>
      <c r="N34" s="53" t="n">
        <f aca="false">SUMIFS('Control Testing'!$AA$5:$AA$1294,'Control Testing'!$B$5:$B$1294,N$4,'Control Testing'!$E$5:$E$1294,$A34)</f>
        <v>1</v>
      </c>
      <c r="O34" s="53" t="n">
        <f aca="false">SUMIFS('Control Testing'!$AA$5:$AA$1294,'Control Testing'!$B$5:$B$1294,O$4,'Control Testing'!$E$5:$E$1294,$A34)</f>
        <v>2</v>
      </c>
      <c r="P34" s="53" t="n">
        <f aca="false">SUMIFS('Control Testing'!$AA$5:$AA$1294,'Control Testing'!$B$5:$B$1294,P$4,'Control Testing'!$E$5:$E$1294,$A34)</f>
        <v>2</v>
      </c>
      <c r="Q34" s="53" t="n">
        <f aca="false">SUMIFS('Control Testing'!$AA$5:$AA$1294,'Control Testing'!$B$5:$B$1294,Q$4,'Control Testing'!$E$5:$E$1294,$A34)</f>
        <v>1</v>
      </c>
      <c r="R34" s="53" t="n">
        <f aca="false">SUMIFS('Control Testing'!$AA$5:$AA$1294,'Control Testing'!$B$5:$B$1294,R$4,'Control Testing'!$E$5:$E$1294,$A34)</f>
        <v>3</v>
      </c>
      <c r="S34" s="53" t="n">
        <f aca="false">SUMIFS('Control Testing'!$AA$5:$AA$1294,'Control Testing'!$B$5:$B$1294,S$4,'Control Testing'!$E$5:$E$1294,$A34)</f>
        <v>2</v>
      </c>
      <c r="T34" s="53" t="n">
        <f aca="false">SUMIFS('Control Testing'!$AA$5:$AA$1294,'Control Testing'!$B$5:$B$1294,T$4,'Control Testing'!$E$5:$E$1294,$A34)</f>
        <v>3</v>
      </c>
      <c r="U34" s="53" t="n">
        <f aca="false">SUMIFS('Control Testing'!$AA$5:$AA$1294,'Control Testing'!$B$5:$B$1294,U$4,'Control Testing'!$E$5:$E$1294,$A34)</f>
        <v>2</v>
      </c>
      <c r="V34" s="53" t="n">
        <f aca="false">SUMIFS('Control Testing'!$AA$5:$AA$1294,'Control Testing'!$B$5:$B$1294,V$4,'Control Testing'!$E$5:$E$1294,$A34)</f>
        <v>1</v>
      </c>
      <c r="W34" s="53" t="n">
        <f aca="false">SUMIFS('Control Testing'!$AA$5:$AA$1294,'Control Testing'!$B$5:$B$1294,W$4,'Control Testing'!$E$5:$E$1294,$A34)</f>
        <v>2</v>
      </c>
      <c r="X34" s="53" t="n">
        <f aca="false">SUMIFS('Control Testing'!$AA$5:$AA$1294,'Control Testing'!$B$5:$B$1294,X$4,'Control Testing'!$E$5:$E$1294,$A34)</f>
        <v>3</v>
      </c>
      <c r="Y34" s="53" t="n">
        <f aca="false">SUMIFS('Control Testing'!$AA$5:$AA$1294,'Control Testing'!$B$5:$B$1294,Y$4,'Control Testing'!$E$5:$E$1294,$A34)</f>
        <v>2</v>
      </c>
      <c r="Z34" s="53" t="n">
        <f aca="false">SUMIFS('Control Testing'!$AA$5:$AA$1294,'Control Testing'!$B$5:$B$1294,Z$4,'Control Testing'!$E$5:$E$1294,$A34)</f>
        <v>4</v>
      </c>
      <c r="AA34" s="53" t="n">
        <f aca="false">SUMIFS('Control Testing'!$AA$5:$AA$1294,'Control Testing'!$B$5:$B$1294,AA$4,'Control Testing'!$E$5:$E$1294,$A34)</f>
        <v>1</v>
      </c>
      <c r="AB34" s="53" t="n">
        <f aca="false">SUMIFS('Control Testing'!$AA$5:$AA$1294,'Control Testing'!$B$5:$B$1294,AB$4,'Control Testing'!$E$5:$E$1294,$A34)</f>
        <v>4</v>
      </c>
      <c r="AC34" s="53" t="n">
        <f aca="false">SUMIFS('Control Testing'!$AA$5:$AA$1294,'Control Testing'!$B$5:$B$1294,AC$4,'Control Testing'!$E$5:$E$1294,$A34)</f>
        <v>2</v>
      </c>
      <c r="AD34" s="53" t="n">
        <f aca="false">SUMIFS('Control Testing'!$AA$5:$AA$1294,'Control Testing'!$B$5:$B$1294,AD$4,'Control Testing'!$E$5:$E$1294,$A34)</f>
        <v>2</v>
      </c>
      <c r="AE34" s="53" t="n">
        <f aca="false">SUMIFS('Control Testing'!$AA$5:$AA$1294,'Control Testing'!$B$5:$B$1294,AE$4,'Control Testing'!$E$5:$E$1294,$A34)</f>
        <v>2</v>
      </c>
      <c r="AF34" s="53" t="n">
        <f aca="false">SUMIFS('Control Testing'!$AA$5:$AA$1294,'Control Testing'!$B$5:$B$1294,AF$4,'Control Testing'!$E$5:$E$1294,$A34)</f>
        <v>2</v>
      </c>
      <c r="AG34" s="53" t="n">
        <f aca="false">SUMIFS('Control Testing'!$AA$5:$AA$1294,'Control Testing'!$B$5:$B$1294,AG$4,'Control Testing'!$E$5:$E$1294,$A34)</f>
        <v>1</v>
      </c>
    </row>
    <row r="35" customFormat="false" ht="15" hidden="false" customHeight="false" outlineLevel="0" collapsed="false">
      <c r="A35" s="26" t="str">
        <f aca="false">'Control Library'!A35</f>
        <v>CTL-SH-01</v>
      </c>
      <c r="B35" s="26" t="str">
        <f aca="false">'Control Library'!B35</f>
        <v>Shariah review of products and income purification</v>
      </c>
      <c r="C35" s="52" t="str">
        <f aca="false">'Control Library'!F35</f>
        <v>Y</v>
      </c>
      <c r="D35" s="53" t="n">
        <f aca="false">SUMIFS('Control Testing'!$AA$5:$AA$1294,'Control Testing'!$B$5:$B$1294,D$4,'Control Testing'!$E$5:$E$1294,$A35)</f>
        <v>0</v>
      </c>
      <c r="E35" s="53" t="n">
        <f aca="false">SUMIFS('Control Testing'!$AA$5:$AA$1294,'Control Testing'!$B$5:$B$1294,E$4,'Control Testing'!$E$5:$E$1294,$A35)</f>
        <v>1</v>
      </c>
      <c r="F35" s="53" t="n">
        <f aca="false">SUMIFS('Control Testing'!$AA$5:$AA$1294,'Control Testing'!$B$5:$B$1294,F$4,'Control Testing'!$E$5:$E$1294,$A35)</f>
        <v>0</v>
      </c>
      <c r="G35" s="53" t="n">
        <f aca="false">SUMIFS('Control Testing'!$AA$5:$AA$1294,'Control Testing'!$B$5:$B$1294,G$4,'Control Testing'!$E$5:$E$1294,$A35)</f>
        <v>0</v>
      </c>
      <c r="H35" s="53" t="n">
        <f aca="false">SUMIFS('Control Testing'!$AA$5:$AA$1294,'Control Testing'!$B$5:$B$1294,H$4,'Control Testing'!$E$5:$E$1294,$A35)</f>
        <v>0</v>
      </c>
      <c r="I35" s="53" t="n">
        <f aca="false">SUMIFS('Control Testing'!$AA$5:$AA$1294,'Control Testing'!$B$5:$B$1294,I$4,'Control Testing'!$E$5:$E$1294,$A35)</f>
        <v>0</v>
      </c>
      <c r="J35" s="53" t="n">
        <f aca="false">SUMIFS('Control Testing'!$AA$5:$AA$1294,'Control Testing'!$B$5:$B$1294,J$4,'Control Testing'!$E$5:$E$1294,$A35)</f>
        <v>0</v>
      </c>
      <c r="K35" s="53" t="n">
        <f aca="false">SUMIFS('Control Testing'!$AA$5:$AA$1294,'Control Testing'!$B$5:$B$1294,K$4,'Control Testing'!$E$5:$E$1294,$A35)</f>
        <v>0</v>
      </c>
      <c r="L35" s="53" t="n">
        <f aca="false">SUMIFS('Control Testing'!$AA$5:$AA$1294,'Control Testing'!$B$5:$B$1294,L$4,'Control Testing'!$E$5:$E$1294,$A35)</f>
        <v>0</v>
      </c>
      <c r="M35" s="53" t="n">
        <f aca="false">SUMIFS('Control Testing'!$AA$5:$AA$1294,'Control Testing'!$B$5:$B$1294,M$4,'Control Testing'!$E$5:$E$1294,$A35)</f>
        <v>0</v>
      </c>
      <c r="N35" s="53" t="n">
        <f aca="false">SUMIFS('Control Testing'!$AA$5:$AA$1294,'Control Testing'!$B$5:$B$1294,N$4,'Control Testing'!$E$5:$E$1294,$A35)</f>
        <v>0</v>
      </c>
      <c r="O35" s="53" t="n">
        <f aca="false">SUMIFS('Control Testing'!$AA$5:$AA$1294,'Control Testing'!$B$5:$B$1294,O$4,'Control Testing'!$E$5:$E$1294,$A35)</f>
        <v>0</v>
      </c>
      <c r="P35" s="53" t="n">
        <f aca="false">SUMIFS('Control Testing'!$AA$5:$AA$1294,'Control Testing'!$B$5:$B$1294,P$4,'Control Testing'!$E$5:$E$1294,$A35)</f>
        <v>0</v>
      </c>
      <c r="Q35" s="53" t="n">
        <f aca="false">SUMIFS('Control Testing'!$AA$5:$AA$1294,'Control Testing'!$B$5:$B$1294,Q$4,'Control Testing'!$E$5:$E$1294,$A35)</f>
        <v>0</v>
      </c>
      <c r="R35" s="53" t="n">
        <f aca="false">SUMIFS('Control Testing'!$AA$5:$AA$1294,'Control Testing'!$B$5:$B$1294,R$4,'Control Testing'!$E$5:$E$1294,$A35)</f>
        <v>0</v>
      </c>
      <c r="S35" s="53" t="n">
        <f aca="false">SUMIFS('Control Testing'!$AA$5:$AA$1294,'Control Testing'!$B$5:$B$1294,S$4,'Control Testing'!$E$5:$E$1294,$A35)</f>
        <v>0</v>
      </c>
      <c r="T35" s="53" t="n">
        <f aca="false">SUMIFS('Control Testing'!$AA$5:$AA$1294,'Control Testing'!$B$5:$B$1294,T$4,'Control Testing'!$E$5:$E$1294,$A35)</f>
        <v>0</v>
      </c>
      <c r="U35" s="53" t="n">
        <f aca="false">SUMIFS('Control Testing'!$AA$5:$AA$1294,'Control Testing'!$B$5:$B$1294,U$4,'Control Testing'!$E$5:$E$1294,$A35)</f>
        <v>0</v>
      </c>
      <c r="V35" s="53" t="n">
        <f aca="false">SUMIFS('Control Testing'!$AA$5:$AA$1294,'Control Testing'!$B$5:$B$1294,V$4,'Control Testing'!$E$5:$E$1294,$A35)</f>
        <v>0</v>
      </c>
      <c r="W35" s="53" t="n">
        <f aca="false">SUMIFS('Control Testing'!$AA$5:$AA$1294,'Control Testing'!$B$5:$B$1294,W$4,'Control Testing'!$E$5:$E$1294,$A35)</f>
        <v>0</v>
      </c>
      <c r="X35" s="53" t="n">
        <f aca="false">SUMIFS('Control Testing'!$AA$5:$AA$1294,'Control Testing'!$B$5:$B$1294,X$4,'Control Testing'!$E$5:$E$1294,$A35)</f>
        <v>0</v>
      </c>
      <c r="Y35" s="53" t="n">
        <f aca="false">SUMIFS('Control Testing'!$AA$5:$AA$1294,'Control Testing'!$B$5:$B$1294,Y$4,'Control Testing'!$E$5:$E$1294,$A35)</f>
        <v>0</v>
      </c>
      <c r="Z35" s="53" t="n">
        <f aca="false">SUMIFS('Control Testing'!$AA$5:$AA$1294,'Control Testing'!$B$5:$B$1294,Z$4,'Control Testing'!$E$5:$E$1294,$A35)</f>
        <v>0</v>
      </c>
      <c r="AA35" s="53" t="n">
        <f aca="false">SUMIFS('Control Testing'!$AA$5:$AA$1294,'Control Testing'!$B$5:$B$1294,AA$4,'Control Testing'!$E$5:$E$1294,$A35)</f>
        <v>0</v>
      </c>
      <c r="AB35" s="53" t="n">
        <f aca="false">SUMIFS('Control Testing'!$AA$5:$AA$1294,'Control Testing'!$B$5:$B$1294,AB$4,'Control Testing'!$E$5:$E$1294,$A35)</f>
        <v>0</v>
      </c>
      <c r="AC35" s="53" t="n">
        <f aca="false">SUMIFS('Control Testing'!$AA$5:$AA$1294,'Control Testing'!$B$5:$B$1294,AC$4,'Control Testing'!$E$5:$E$1294,$A35)</f>
        <v>0</v>
      </c>
      <c r="AD35" s="53" t="n">
        <f aca="false">SUMIFS('Control Testing'!$AA$5:$AA$1294,'Control Testing'!$B$5:$B$1294,AD$4,'Control Testing'!$E$5:$E$1294,$A35)</f>
        <v>0</v>
      </c>
      <c r="AE35" s="53" t="n">
        <f aca="false">SUMIFS('Control Testing'!$AA$5:$AA$1294,'Control Testing'!$B$5:$B$1294,AE$4,'Control Testing'!$E$5:$E$1294,$A35)</f>
        <v>0</v>
      </c>
      <c r="AF35" s="53" t="n">
        <f aca="false">SUMIFS('Control Testing'!$AA$5:$AA$1294,'Control Testing'!$B$5:$B$1294,AF$4,'Control Testing'!$E$5:$E$1294,$A35)</f>
        <v>0</v>
      </c>
      <c r="AG35" s="53" t="n">
        <f aca="false">SUMIFS('Control Testing'!$AA$5:$AA$1294,'Control Testing'!$B$5:$B$1294,AG$4,'Control Testing'!$E$5:$E$1294,$A35)</f>
        <v>0</v>
      </c>
    </row>
    <row r="36" customFormat="false" ht="15" hidden="false" customHeight="false" outlineLevel="0" collapsed="false">
      <c r="A36" s="26" t="str">
        <f aca="false">'Control Library'!A36</f>
        <v>CTL-CR-01</v>
      </c>
      <c r="B36" s="26" t="str">
        <f aca="false">'Control Library'!B36</f>
        <v>Credit approval authorities and committee review</v>
      </c>
      <c r="C36" s="52" t="str">
        <f aca="false">'Control Library'!F36</f>
        <v>Y</v>
      </c>
      <c r="D36" s="53" t="n">
        <f aca="false">SUMIFS('Control Testing'!$AA$5:$AA$1294,'Control Testing'!$B$5:$B$1294,D$4,'Control Testing'!$E$5:$E$1294,$A36)</f>
        <v>1</v>
      </c>
      <c r="E36" s="53" t="n">
        <f aca="false">SUMIFS('Control Testing'!$AA$5:$AA$1294,'Control Testing'!$B$5:$B$1294,E$4,'Control Testing'!$E$5:$E$1294,$A36)</f>
        <v>1</v>
      </c>
      <c r="F36" s="53" t="n">
        <f aca="false">SUMIFS('Control Testing'!$AA$5:$AA$1294,'Control Testing'!$B$5:$B$1294,F$4,'Control Testing'!$E$5:$E$1294,$A36)</f>
        <v>2</v>
      </c>
      <c r="G36" s="53" t="n">
        <f aca="false">SUMIFS('Control Testing'!$AA$5:$AA$1294,'Control Testing'!$B$5:$B$1294,G$4,'Control Testing'!$E$5:$E$1294,$A36)</f>
        <v>2</v>
      </c>
      <c r="H36" s="53" t="n">
        <f aca="false">SUMIFS('Control Testing'!$AA$5:$AA$1294,'Control Testing'!$B$5:$B$1294,H$4,'Control Testing'!$E$5:$E$1294,$A36)</f>
        <v>2</v>
      </c>
      <c r="I36" s="53" t="n">
        <f aca="false">SUMIFS('Control Testing'!$AA$5:$AA$1294,'Control Testing'!$B$5:$B$1294,I$4,'Control Testing'!$E$5:$E$1294,$A36)</f>
        <v>2</v>
      </c>
      <c r="J36" s="53" t="n">
        <f aca="false">SUMIFS('Control Testing'!$AA$5:$AA$1294,'Control Testing'!$B$5:$B$1294,J$4,'Control Testing'!$E$5:$E$1294,$A36)</f>
        <v>2</v>
      </c>
      <c r="K36" s="53" t="n">
        <f aca="false">SUMIFS('Control Testing'!$AA$5:$AA$1294,'Control Testing'!$B$5:$B$1294,K$4,'Control Testing'!$E$5:$E$1294,$A36)</f>
        <v>2</v>
      </c>
      <c r="L36" s="53" t="n">
        <f aca="false">SUMIFS('Control Testing'!$AA$5:$AA$1294,'Control Testing'!$B$5:$B$1294,L$4,'Control Testing'!$E$5:$E$1294,$A36)</f>
        <v>3</v>
      </c>
      <c r="M36" s="53" t="n">
        <f aca="false">SUMIFS('Control Testing'!$AA$5:$AA$1294,'Control Testing'!$B$5:$B$1294,M$4,'Control Testing'!$E$5:$E$1294,$A36)</f>
        <v>2</v>
      </c>
      <c r="N36" s="53" t="n">
        <f aca="false">SUMIFS('Control Testing'!$AA$5:$AA$1294,'Control Testing'!$B$5:$B$1294,N$4,'Control Testing'!$E$5:$E$1294,$A36)</f>
        <v>2</v>
      </c>
      <c r="O36" s="53" t="n">
        <f aca="false">SUMIFS('Control Testing'!$AA$5:$AA$1294,'Control Testing'!$B$5:$B$1294,O$4,'Control Testing'!$E$5:$E$1294,$A36)</f>
        <v>2</v>
      </c>
      <c r="P36" s="53" t="n">
        <f aca="false">SUMIFS('Control Testing'!$AA$5:$AA$1294,'Control Testing'!$B$5:$B$1294,P$4,'Control Testing'!$E$5:$E$1294,$A36)</f>
        <v>2</v>
      </c>
      <c r="Q36" s="53" t="n">
        <f aca="false">SUMIFS('Control Testing'!$AA$5:$AA$1294,'Control Testing'!$B$5:$B$1294,Q$4,'Control Testing'!$E$5:$E$1294,$A36)</f>
        <v>2</v>
      </c>
      <c r="R36" s="53" t="n">
        <f aca="false">SUMIFS('Control Testing'!$AA$5:$AA$1294,'Control Testing'!$B$5:$B$1294,R$4,'Control Testing'!$E$5:$E$1294,$A36)</f>
        <v>4</v>
      </c>
      <c r="S36" s="53" t="n">
        <f aca="false">SUMIFS('Control Testing'!$AA$5:$AA$1294,'Control Testing'!$B$5:$B$1294,S$4,'Control Testing'!$E$5:$E$1294,$A36)</f>
        <v>3</v>
      </c>
      <c r="T36" s="53" t="n">
        <f aca="false">SUMIFS('Control Testing'!$AA$5:$AA$1294,'Control Testing'!$B$5:$B$1294,T$4,'Control Testing'!$E$5:$E$1294,$A36)</f>
        <v>2</v>
      </c>
      <c r="U36" s="53" t="n">
        <f aca="false">SUMIFS('Control Testing'!$AA$5:$AA$1294,'Control Testing'!$B$5:$B$1294,U$4,'Control Testing'!$E$5:$E$1294,$A36)</f>
        <v>2</v>
      </c>
      <c r="V36" s="53" t="n">
        <f aca="false">SUMIFS('Control Testing'!$AA$5:$AA$1294,'Control Testing'!$B$5:$B$1294,V$4,'Control Testing'!$E$5:$E$1294,$A36)</f>
        <v>2</v>
      </c>
      <c r="W36" s="53" t="n">
        <f aca="false">SUMIFS('Control Testing'!$AA$5:$AA$1294,'Control Testing'!$B$5:$B$1294,W$4,'Control Testing'!$E$5:$E$1294,$A36)</f>
        <v>1</v>
      </c>
      <c r="X36" s="53" t="n">
        <f aca="false">SUMIFS('Control Testing'!$AA$5:$AA$1294,'Control Testing'!$B$5:$B$1294,X$4,'Control Testing'!$E$5:$E$1294,$A36)</f>
        <v>4</v>
      </c>
      <c r="Y36" s="53" t="n">
        <f aca="false">SUMIFS('Control Testing'!$AA$5:$AA$1294,'Control Testing'!$B$5:$B$1294,Y$4,'Control Testing'!$E$5:$E$1294,$A36)</f>
        <v>2</v>
      </c>
      <c r="Z36" s="53" t="n">
        <f aca="false">SUMIFS('Control Testing'!$AA$5:$AA$1294,'Control Testing'!$B$5:$B$1294,Z$4,'Control Testing'!$E$5:$E$1294,$A36)</f>
        <v>1</v>
      </c>
      <c r="AA36" s="53" t="n">
        <f aca="false">SUMIFS('Control Testing'!$AA$5:$AA$1294,'Control Testing'!$B$5:$B$1294,AA$4,'Control Testing'!$E$5:$E$1294,$A36)</f>
        <v>2</v>
      </c>
      <c r="AB36" s="53" t="n">
        <f aca="false">SUMIFS('Control Testing'!$AA$5:$AA$1294,'Control Testing'!$B$5:$B$1294,AB$4,'Control Testing'!$E$5:$E$1294,$A36)</f>
        <v>2</v>
      </c>
      <c r="AC36" s="53" t="n">
        <f aca="false">SUMIFS('Control Testing'!$AA$5:$AA$1294,'Control Testing'!$B$5:$B$1294,AC$4,'Control Testing'!$E$5:$E$1294,$A36)</f>
        <v>1</v>
      </c>
      <c r="AD36" s="53" t="n">
        <f aca="false">SUMIFS('Control Testing'!$AA$5:$AA$1294,'Control Testing'!$B$5:$B$1294,AD$4,'Control Testing'!$E$5:$E$1294,$A36)</f>
        <v>2</v>
      </c>
      <c r="AE36" s="53" t="n">
        <f aca="false">SUMIFS('Control Testing'!$AA$5:$AA$1294,'Control Testing'!$B$5:$B$1294,AE$4,'Control Testing'!$E$5:$E$1294,$A36)</f>
        <v>1</v>
      </c>
      <c r="AF36" s="53" t="n">
        <f aca="false">SUMIFS('Control Testing'!$AA$5:$AA$1294,'Control Testing'!$B$5:$B$1294,AF$4,'Control Testing'!$E$5:$E$1294,$A36)</f>
        <v>1</v>
      </c>
      <c r="AG36" s="53" t="n">
        <f aca="false">SUMIFS('Control Testing'!$AA$5:$AA$1294,'Control Testing'!$B$5:$B$1294,AG$4,'Control Testing'!$E$5:$E$1294,$A36)</f>
        <v>1</v>
      </c>
    </row>
    <row r="37" customFormat="false" ht="15" hidden="false" customHeight="false" outlineLevel="0" collapsed="false">
      <c r="A37" s="26" t="str">
        <f aca="false">'Control Library'!A37</f>
        <v>CTL-CR-02</v>
      </c>
      <c r="B37" s="26" t="str">
        <f aca="false">'Control Library'!B37</f>
        <v>Collateral valuation and exposure limit monitoring</v>
      </c>
      <c r="C37" s="52" t="str">
        <f aca="false">'Control Library'!F37</f>
        <v>N</v>
      </c>
      <c r="D37" s="53" t="n">
        <f aca="false">SUMIFS('Control Testing'!$AA$5:$AA$1294,'Control Testing'!$B$5:$B$1294,D$4,'Control Testing'!$E$5:$E$1294,$A37)</f>
        <v>2</v>
      </c>
      <c r="E37" s="53" t="n">
        <f aca="false">SUMIFS('Control Testing'!$AA$5:$AA$1294,'Control Testing'!$B$5:$B$1294,E$4,'Control Testing'!$E$5:$E$1294,$A37)</f>
        <v>2</v>
      </c>
      <c r="F37" s="53" t="n">
        <f aca="false">SUMIFS('Control Testing'!$AA$5:$AA$1294,'Control Testing'!$B$5:$B$1294,F$4,'Control Testing'!$E$5:$E$1294,$A37)</f>
        <v>2</v>
      </c>
      <c r="G37" s="53" t="n">
        <f aca="false">SUMIFS('Control Testing'!$AA$5:$AA$1294,'Control Testing'!$B$5:$B$1294,G$4,'Control Testing'!$E$5:$E$1294,$A37)</f>
        <v>1</v>
      </c>
      <c r="H37" s="53" t="n">
        <f aca="false">SUMIFS('Control Testing'!$AA$5:$AA$1294,'Control Testing'!$B$5:$B$1294,H$4,'Control Testing'!$E$5:$E$1294,$A37)</f>
        <v>1</v>
      </c>
      <c r="I37" s="53" t="n">
        <f aca="false">SUMIFS('Control Testing'!$AA$5:$AA$1294,'Control Testing'!$B$5:$B$1294,I$4,'Control Testing'!$E$5:$E$1294,$A37)</f>
        <v>2</v>
      </c>
      <c r="J37" s="53" t="n">
        <f aca="false">SUMIFS('Control Testing'!$AA$5:$AA$1294,'Control Testing'!$B$5:$B$1294,J$4,'Control Testing'!$E$5:$E$1294,$A37)</f>
        <v>2</v>
      </c>
      <c r="K37" s="53" t="n">
        <f aca="false">SUMIFS('Control Testing'!$AA$5:$AA$1294,'Control Testing'!$B$5:$B$1294,K$4,'Control Testing'!$E$5:$E$1294,$A37)</f>
        <v>3</v>
      </c>
      <c r="L37" s="53" t="n">
        <f aca="false">SUMIFS('Control Testing'!$AA$5:$AA$1294,'Control Testing'!$B$5:$B$1294,L$4,'Control Testing'!$E$5:$E$1294,$A37)</f>
        <v>2</v>
      </c>
      <c r="M37" s="53" t="n">
        <f aca="false">SUMIFS('Control Testing'!$AA$5:$AA$1294,'Control Testing'!$B$5:$B$1294,M$4,'Control Testing'!$E$5:$E$1294,$A37)</f>
        <v>1</v>
      </c>
      <c r="N37" s="53" t="n">
        <f aca="false">SUMIFS('Control Testing'!$AA$5:$AA$1294,'Control Testing'!$B$5:$B$1294,N$4,'Control Testing'!$E$5:$E$1294,$A37)</f>
        <v>2</v>
      </c>
      <c r="O37" s="53" t="n">
        <f aca="false">SUMIFS('Control Testing'!$AA$5:$AA$1294,'Control Testing'!$B$5:$B$1294,O$4,'Control Testing'!$E$5:$E$1294,$A37)</f>
        <v>2</v>
      </c>
      <c r="P37" s="53" t="n">
        <f aca="false">SUMIFS('Control Testing'!$AA$5:$AA$1294,'Control Testing'!$B$5:$B$1294,P$4,'Control Testing'!$E$5:$E$1294,$A37)</f>
        <v>2</v>
      </c>
      <c r="Q37" s="53" t="n">
        <f aca="false">SUMIFS('Control Testing'!$AA$5:$AA$1294,'Control Testing'!$B$5:$B$1294,Q$4,'Control Testing'!$E$5:$E$1294,$A37)</f>
        <v>1</v>
      </c>
      <c r="R37" s="53" t="n">
        <f aca="false">SUMIFS('Control Testing'!$AA$5:$AA$1294,'Control Testing'!$B$5:$B$1294,R$4,'Control Testing'!$E$5:$E$1294,$A37)</f>
        <v>2</v>
      </c>
      <c r="S37" s="53" t="n">
        <f aca="false">SUMIFS('Control Testing'!$AA$5:$AA$1294,'Control Testing'!$B$5:$B$1294,S$4,'Control Testing'!$E$5:$E$1294,$A37)</f>
        <v>2</v>
      </c>
      <c r="T37" s="53" t="n">
        <f aca="false">SUMIFS('Control Testing'!$AA$5:$AA$1294,'Control Testing'!$B$5:$B$1294,T$4,'Control Testing'!$E$5:$E$1294,$A37)</f>
        <v>1</v>
      </c>
      <c r="U37" s="53" t="n">
        <f aca="false">SUMIFS('Control Testing'!$AA$5:$AA$1294,'Control Testing'!$B$5:$B$1294,U$4,'Control Testing'!$E$5:$E$1294,$A37)</f>
        <v>2</v>
      </c>
      <c r="V37" s="53" t="n">
        <f aca="false">SUMIFS('Control Testing'!$AA$5:$AA$1294,'Control Testing'!$B$5:$B$1294,V$4,'Control Testing'!$E$5:$E$1294,$A37)</f>
        <v>2</v>
      </c>
      <c r="W37" s="53" t="n">
        <f aca="false">SUMIFS('Control Testing'!$AA$5:$AA$1294,'Control Testing'!$B$5:$B$1294,W$4,'Control Testing'!$E$5:$E$1294,$A37)</f>
        <v>4</v>
      </c>
      <c r="X37" s="53" t="n">
        <f aca="false">SUMIFS('Control Testing'!$AA$5:$AA$1294,'Control Testing'!$B$5:$B$1294,X$4,'Control Testing'!$E$5:$E$1294,$A37)</f>
        <v>3</v>
      </c>
      <c r="Y37" s="53" t="n">
        <f aca="false">SUMIFS('Control Testing'!$AA$5:$AA$1294,'Control Testing'!$B$5:$B$1294,Y$4,'Control Testing'!$E$5:$E$1294,$A37)</f>
        <v>2</v>
      </c>
      <c r="Z37" s="53" t="n">
        <f aca="false">SUMIFS('Control Testing'!$AA$5:$AA$1294,'Control Testing'!$B$5:$B$1294,Z$4,'Control Testing'!$E$5:$E$1294,$A37)</f>
        <v>2</v>
      </c>
      <c r="AA37" s="53" t="n">
        <f aca="false">SUMIFS('Control Testing'!$AA$5:$AA$1294,'Control Testing'!$B$5:$B$1294,AA$4,'Control Testing'!$E$5:$E$1294,$A37)</f>
        <v>2</v>
      </c>
      <c r="AB37" s="53" t="n">
        <f aca="false">SUMIFS('Control Testing'!$AA$5:$AA$1294,'Control Testing'!$B$5:$B$1294,AB$4,'Control Testing'!$E$5:$E$1294,$A37)</f>
        <v>2</v>
      </c>
      <c r="AC37" s="53" t="n">
        <f aca="false">SUMIFS('Control Testing'!$AA$5:$AA$1294,'Control Testing'!$B$5:$B$1294,AC$4,'Control Testing'!$E$5:$E$1294,$A37)</f>
        <v>1</v>
      </c>
      <c r="AD37" s="53" t="n">
        <f aca="false">SUMIFS('Control Testing'!$AA$5:$AA$1294,'Control Testing'!$B$5:$B$1294,AD$4,'Control Testing'!$E$5:$E$1294,$A37)</f>
        <v>2</v>
      </c>
      <c r="AE37" s="53" t="n">
        <f aca="false">SUMIFS('Control Testing'!$AA$5:$AA$1294,'Control Testing'!$B$5:$B$1294,AE$4,'Control Testing'!$E$5:$E$1294,$A37)</f>
        <v>2</v>
      </c>
      <c r="AF37" s="53" t="n">
        <f aca="false">SUMIFS('Control Testing'!$AA$5:$AA$1294,'Control Testing'!$B$5:$B$1294,AF$4,'Control Testing'!$E$5:$E$1294,$A37)</f>
        <v>2</v>
      </c>
      <c r="AG37" s="53" t="n">
        <f aca="false">SUMIFS('Control Testing'!$AA$5:$AA$1294,'Control Testing'!$B$5:$B$1294,AG$4,'Control Testing'!$E$5:$E$1294,$A37)</f>
        <v>2</v>
      </c>
    </row>
    <row r="38" customFormat="false" ht="15" hidden="false" customHeight="false" outlineLevel="0" collapsed="false">
      <c r="A38" s="26" t="str">
        <f aca="false">'Control Library'!A38</f>
        <v>CTL-MR-01</v>
      </c>
      <c r="B38" s="26" t="str">
        <f aca="false">'Control Library'!B38</f>
        <v>Market risk limits and daily VaR monitoring</v>
      </c>
      <c r="C38" s="52" t="str">
        <f aca="false">'Control Library'!F38</f>
        <v>Y</v>
      </c>
      <c r="D38" s="53" t="n">
        <f aca="false">SUMIFS('Control Testing'!$AA$5:$AA$1294,'Control Testing'!$B$5:$B$1294,D$4,'Control Testing'!$E$5:$E$1294,$A38)</f>
        <v>2</v>
      </c>
      <c r="E38" s="53" t="n">
        <f aca="false">SUMIFS('Control Testing'!$AA$5:$AA$1294,'Control Testing'!$B$5:$B$1294,E$4,'Control Testing'!$E$5:$E$1294,$A38)</f>
        <v>3</v>
      </c>
      <c r="F38" s="53" t="n">
        <f aca="false">SUMIFS('Control Testing'!$AA$5:$AA$1294,'Control Testing'!$B$5:$B$1294,F$4,'Control Testing'!$E$5:$E$1294,$A38)</f>
        <v>2</v>
      </c>
      <c r="G38" s="53" t="n">
        <f aca="false">SUMIFS('Control Testing'!$AA$5:$AA$1294,'Control Testing'!$B$5:$B$1294,G$4,'Control Testing'!$E$5:$E$1294,$A38)</f>
        <v>2</v>
      </c>
      <c r="H38" s="53" t="n">
        <f aca="false">SUMIFS('Control Testing'!$AA$5:$AA$1294,'Control Testing'!$B$5:$B$1294,H$4,'Control Testing'!$E$5:$E$1294,$A38)</f>
        <v>3</v>
      </c>
      <c r="I38" s="53" t="n">
        <f aca="false">SUMIFS('Control Testing'!$AA$5:$AA$1294,'Control Testing'!$B$5:$B$1294,I$4,'Control Testing'!$E$5:$E$1294,$A38)</f>
        <v>3</v>
      </c>
      <c r="J38" s="53" t="n">
        <f aca="false">SUMIFS('Control Testing'!$AA$5:$AA$1294,'Control Testing'!$B$5:$B$1294,J$4,'Control Testing'!$E$5:$E$1294,$A38)</f>
        <v>2</v>
      </c>
      <c r="K38" s="53" t="n">
        <f aca="false">SUMIFS('Control Testing'!$AA$5:$AA$1294,'Control Testing'!$B$5:$B$1294,K$4,'Control Testing'!$E$5:$E$1294,$A38)</f>
        <v>2</v>
      </c>
      <c r="L38" s="53" t="n">
        <f aca="false">SUMIFS('Control Testing'!$AA$5:$AA$1294,'Control Testing'!$B$5:$B$1294,L$4,'Control Testing'!$E$5:$E$1294,$A38)</f>
        <v>2</v>
      </c>
      <c r="M38" s="53" t="n">
        <f aca="false">SUMIFS('Control Testing'!$AA$5:$AA$1294,'Control Testing'!$B$5:$B$1294,M$4,'Control Testing'!$E$5:$E$1294,$A38)</f>
        <v>2</v>
      </c>
      <c r="N38" s="53" t="n">
        <f aca="false">SUMIFS('Control Testing'!$AA$5:$AA$1294,'Control Testing'!$B$5:$B$1294,N$4,'Control Testing'!$E$5:$E$1294,$A38)</f>
        <v>3</v>
      </c>
      <c r="O38" s="53" t="n">
        <f aca="false">SUMIFS('Control Testing'!$AA$5:$AA$1294,'Control Testing'!$B$5:$B$1294,O$4,'Control Testing'!$E$5:$E$1294,$A38)</f>
        <v>2</v>
      </c>
      <c r="P38" s="53" t="n">
        <f aca="false">SUMIFS('Control Testing'!$AA$5:$AA$1294,'Control Testing'!$B$5:$B$1294,P$4,'Control Testing'!$E$5:$E$1294,$A38)</f>
        <v>2</v>
      </c>
      <c r="Q38" s="53" t="n">
        <f aca="false">SUMIFS('Control Testing'!$AA$5:$AA$1294,'Control Testing'!$B$5:$B$1294,Q$4,'Control Testing'!$E$5:$E$1294,$A38)</f>
        <v>2</v>
      </c>
      <c r="R38" s="53" t="n">
        <f aca="false">SUMIFS('Control Testing'!$AA$5:$AA$1294,'Control Testing'!$B$5:$B$1294,R$4,'Control Testing'!$E$5:$E$1294,$A38)</f>
        <v>4</v>
      </c>
      <c r="S38" s="53" t="n">
        <f aca="false">SUMIFS('Control Testing'!$AA$5:$AA$1294,'Control Testing'!$B$5:$B$1294,S$4,'Control Testing'!$E$5:$E$1294,$A38)</f>
        <v>3</v>
      </c>
      <c r="T38" s="53" t="n">
        <f aca="false">SUMIFS('Control Testing'!$AA$5:$AA$1294,'Control Testing'!$B$5:$B$1294,T$4,'Control Testing'!$E$5:$E$1294,$A38)</f>
        <v>2</v>
      </c>
      <c r="U38" s="53" t="n">
        <f aca="false">SUMIFS('Control Testing'!$AA$5:$AA$1294,'Control Testing'!$B$5:$B$1294,U$4,'Control Testing'!$E$5:$E$1294,$A38)</f>
        <v>4</v>
      </c>
      <c r="V38" s="53" t="n">
        <f aca="false">SUMIFS('Control Testing'!$AA$5:$AA$1294,'Control Testing'!$B$5:$B$1294,V$4,'Control Testing'!$E$5:$E$1294,$A38)</f>
        <v>2</v>
      </c>
      <c r="W38" s="53" t="n">
        <f aca="false">SUMIFS('Control Testing'!$AA$5:$AA$1294,'Control Testing'!$B$5:$B$1294,W$4,'Control Testing'!$E$5:$E$1294,$A38)</f>
        <v>2</v>
      </c>
      <c r="X38" s="53" t="n">
        <f aca="false">SUMIFS('Control Testing'!$AA$5:$AA$1294,'Control Testing'!$B$5:$B$1294,X$4,'Control Testing'!$E$5:$E$1294,$A38)</f>
        <v>2</v>
      </c>
      <c r="Y38" s="53" t="n">
        <f aca="false">SUMIFS('Control Testing'!$AA$5:$AA$1294,'Control Testing'!$B$5:$B$1294,Y$4,'Control Testing'!$E$5:$E$1294,$A38)</f>
        <v>2</v>
      </c>
      <c r="Z38" s="53" t="n">
        <f aca="false">SUMIFS('Control Testing'!$AA$5:$AA$1294,'Control Testing'!$B$5:$B$1294,Z$4,'Control Testing'!$E$5:$E$1294,$A38)</f>
        <v>1</v>
      </c>
      <c r="AA38" s="53" t="n">
        <f aca="false">SUMIFS('Control Testing'!$AA$5:$AA$1294,'Control Testing'!$B$5:$B$1294,AA$4,'Control Testing'!$E$5:$E$1294,$A38)</f>
        <v>2</v>
      </c>
      <c r="AB38" s="53" t="n">
        <f aca="false">SUMIFS('Control Testing'!$AA$5:$AA$1294,'Control Testing'!$B$5:$B$1294,AB$4,'Control Testing'!$E$5:$E$1294,$A38)</f>
        <v>2</v>
      </c>
      <c r="AC38" s="53" t="n">
        <f aca="false">SUMIFS('Control Testing'!$AA$5:$AA$1294,'Control Testing'!$B$5:$B$1294,AC$4,'Control Testing'!$E$5:$E$1294,$A38)</f>
        <v>2</v>
      </c>
      <c r="AD38" s="53" t="n">
        <f aca="false">SUMIFS('Control Testing'!$AA$5:$AA$1294,'Control Testing'!$B$5:$B$1294,AD$4,'Control Testing'!$E$5:$E$1294,$A38)</f>
        <v>2</v>
      </c>
      <c r="AE38" s="53" t="n">
        <f aca="false">SUMIFS('Control Testing'!$AA$5:$AA$1294,'Control Testing'!$B$5:$B$1294,AE$4,'Control Testing'!$E$5:$E$1294,$A38)</f>
        <v>1</v>
      </c>
      <c r="AF38" s="53" t="n">
        <f aca="false">SUMIFS('Control Testing'!$AA$5:$AA$1294,'Control Testing'!$B$5:$B$1294,AF$4,'Control Testing'!$E$5:$E$1294,$A38)</f>
        <v>1</v>
      </c>
      <c r="AG38" s="53" t="n">
        <f aca="false">SUMIFS('Control Testing'!$AA$5:$AA$1294,'Control Testing'!$B$5:$B$1294,AG$4,'Control Testing'!$E$5:$E$1294,$A38)</f>
        <v>2</v>
      </c>
    </row>
    <row r="39" customFormat="false" ht="15" hidden="false" customHeight="false" outlineLevel="0" collapsed="false">
      <c r="A39" s="26" t="str">
        <f aca="false">'Control Library'!A39</f>
        <v>CTL-LQ-01</v>
      </c>
      <c r="B39" s="26" t="str">
        <f aca="false">'Control Library'!B39</f>
        <v>Liquidity buffers, LCR/NSFR monitoring and contingency funding plan</v>
      </c>
      <c r="C39" s="52" t="str">
        <f aca="false">'Control Library'!F39</f>
        <v>Y</v>
      </c>
      <c r="D39" s="53" t="n">
        <f aca="false">SUMIFS('Control Testing'!$AA$5:$AA$1294,'Control Testing'!$B$5:$B$1294,D$4,'Control Testing'!$E$5:$E$1294,$A39)</f>
        <v>2</v>
      </c>
      <c r="E39" s="53" t="n">
        <f aca="false">SUMIFS('Control Testing'!$AA$5:$AA$1294,'Control Testing'!$B$5:$B$1294,E$4,'Control Testing'!$E$5:$E$1294,$A39)</f>
        <v>2</v>
      </c>
      <c r="F39" s="53" t="n">
        <f aca="false">SUMIFS('Control Testing'!$AA$5:$AA$1294,'Control Testing'!$B$5:$B$1294,F$4,'Control Testing'!$E$5:$E$1294,$A39)</f>
        <v>2</v>
      </c>
      <c r="G39" s="53" t="n">
        <f aca="false">SUMIFS('Control Testing'!$AA$5:$AA$1294,'Control Testing'!$B$5:$B$1294,G$4,'Control Testing'!$E$5:$E$1294,$A39)</f>
        <v>1</v>
      </c>
      <c r="H39" s="53" t="n">
        <f aca="false">SUMIFS('Control Testing'!$AA$5:$AA$1294,'Control Testing'!$B$5:$B$1294,H$4,'Control Testing'!$E$5:$E$1294,$A39)</f>
        <v>2</v>
      </c>
      <c r="I39" s="53" t="n">
        <f aca="false">SUMIFS('Control Testing'!$AA$5:$AA$1294,'Control Testing'!$B$5:$B$1294,I$4,'Control Testing'!$E$5:$E$1294,$A39)</f>
        <v>2</v>
      </c>
      <c r="J39" s="53" t="n">
        <f aca="false">SUMIFS('Control Testing'!$AA$5:$AA$1294,'Control Testing'!$B$5:$B$1294,J$4,'Control Testing'!$E$5:$E$1294,$A39)</f>
        <v>2</v>
      </c>
      <c r="K39" s="53" t="n">
        <f aca="false">SUMIFS('Control Testing'!$AA$5:$AA$1294,'Control Testing'!$B$5:$B$1294,K$4,'Control Testing'!$E$5:$E$1294,$A39)</f>
        <v>4</v>
      </c>
      <c r="L39" s="53" t="n">
        <f aca="false">SUMIFS('Control Testing'!$AA$5:$AA$1294,'Control Testing'!$B$5:$B$1294,L$4,'Control Testing'!$E$5:$E$1294,$A39)</f>
        <v>2</v>
      </c>
      <c r="M39" s="53" t="n">
        <f aca="false">SUMIFS('Control Testing'!$AA$5:$AA$1294,'Control Testing'!$B$5:$B$1294,M$4,'Control Testing'!$E$5:$E$1294,$A39)</f>
        <v>1</v>
      </c>
      <c r="N39" s="53" t="n">
        <f aca="false">SUMIFS('Control Testing'!$AA$5:$AA$1294,'Control Testing'!$B$5:$B$1294,N$4,'Control Testing'!$E$5:$E$1294,$A39)</f>
        <v>2</v>
      </c>
      <c r="O39" s="53" t="n">
        <f aca="false">SUMIFS('Control Testing'!$AA$5:$AA$1294,'Control Testing'!$B$5:$B$1294,O$4,'Control Testing'!$E$5:$E$1294,$A39)</f>
        <v>2</v>
      </c>
      <c r="P39" s="53" t="n">
        <f aca="false">SUMIFS('Control Testing'!$AA$5:$AA$1294,'Control Testing'!$B$5:$B$1294,P$4,'Control Testing'!$E$5:$E$1294,$A39)</f>
        <v>1</v>
      </c>
      <c r="Q39" s="53" t="n">
        <f aca="false">SUMIFS('Control Testing'!$AA$5:$AA$1294,'Control Testing'!$B$5:$B$1294,Q$4,'Control Testing'!$E$5:$E$1294,$A39)</f>
        <v>2</v>
      </c>
      <c r="R39" s="53" t="n">
        <f aca="false">SUMIFS('Control Testing'!$AA$5:$AA$1294,'Control Testing'!$B$5:$B$1294,R$4,'Control Testing'!$E$5:$E$1294,$A39)</f>
        <v>2</v>
      </c>
      <c r="S39" s="53" t="n">
        <f aca="false">SUMIFS('Control Testing'!$AA$5:$AA$1294,'Control Testing'!$B$5:$B$1294,S$4,'Control Testing'!$E$5:$E$1294,$A39)</f>
        <v>2</v>
      </c>
      <c r="T39" s="53" t="n">
        <f aca="false">SUMIFS('Control Testing'!$AA$5:$AA$1294,'Control Testing'!$B$5:$B$1294,T$4,'Control Testing'!$E$5:$E$1294,$A39)</f>
        <v>1</v>
      </c>
      <c r="U39" s="53" t="n">
        <f aca="false">SUMIFS('Control Testing'!$AA$5:$AA$1294,'Control Testing'!$B$5:$B$1294,U$4,'Control Testing'!$E$5:$E$1294,$A39)</f>
        <v>2</v>
      </c>
      <c r="V39" s="53" t="n">
        <f aca="false">SUMIFS('Control Testing'!$AA$5:$AA$1294,'Control Testing'!$B$5:$B$1294,V$4,'Control Testing'!$E$5:$E$1294,$A39)</f>
        <v>2</v>
      </c>
      <c r="W39" s="53" t="n">
        <f aca="false">SUMIFS('Control Testing'!$AA$5:$AA$1294,'Control Testing'!$B$5:$B$1294,W$4,'Control Testing'!$E$5:$E$1294,$A39)</f>
        <v>2</v>
      </c>
      <c r="X39" s="53" t="n">
        <f aca="false">SUMIFS('Control Testing'!$AA$5:$AA$1294,'Control Testing'!$B$5:$B$1294,X$4,'Control Testing'!$E$5:$E$1294,$A39)</f>
        <v>3</v>
      </c>
      <c r="Y39" s="53" t="n">
        <f aca="false">SUMIFS('Control Testing'!$AA$5:$AA$1294,'Control Testing'!$B$5:$B$1294,Y$4,'Control Testing'!$E$5:$E$1294,$A39)</f>
        <v>2</v>
      </c>
      <c r="Z39" s="53" t="n">
        <f aca="false">SUMIFS('Control Testing'!$AA$5:$AA$1294,'Control Testing'!$B$5:$B$1294,Z$4,'Control Testing'!$E$5:$E$1294,$A39)</f>
        <v>4</v>
      </c>
      <c r="AA39" s="53" t="n">
        <f aca="false">SUMIFS('Control Testing'!$AA$5:$AA$1294,'Control Testing'!$B$5:$B$1294,AA$4,'Control Testing'!$E$5:$E$1294,$A39)</f>
        <v>1</v>
      </c>
      <c r="AB39" s="53" t="n">
        <f aca="false">SUMIFS('Control Testing'!$AA$5:$AA$1294,'Control Testing'!$B$5:$B$1294,AB$4,'Control Testing'!$E$5:$E$1294,$A39)</f>
        <v>2</v>
      </c>
      <c r="AC39" s="53" t="n">
        <f aca="false">SUMIFS('Control Testing'!$AA$5:$AA$1294,'Control Testing'!$B$5:$B$1294,AC$4,'Control Testing'!$E$5:$E$1294,$A39)</f>
        <v>1</v>
      </c>
      <c r="AD39" s="53" t="n">
        <f aca="false">SUMIFS('Control Testing'!$AA$5:$AA$1294,'Control Testing'!$B$5:$B$1294,AD$4,'Control Testing'!$E$5:$E$1294,$A39)</f>
        <v>1</v>
      </c>
      <c r="AE39" s="53" t="n">
        <f aca="false">SUMIFS('Control Testing'!$AA$5:$AA$1294,'Control Testing'!$B$5:$B$1294,AE$4,'Control Testing'!$E$5:$E$1294,$A39)</f>
        <v>2</v>
      </c>
      <c r="AF39" s="53" t="n">
        <f aca="false">SUMIFS('Control Testing'!$AA$5:$AA$1294,'Control Testing'!$B$5:$B$1294,AF$4,'Control Testing'!$E$5:$E$1294,$A39)</f>
        <v>2</v>
      </c>
      <c r="AG39" s="53" t="n">
        <f aca="false">SUMIFS('Control Testing'!$AA$5:$AA$1294,'Control Testing'!$B$5:$B$1294,AG$4,'Control Testing'!$E$5:$E$1294,$A39)</f>
        <v>2</v>
      </c>
    </row>
    <row r="40" customFormat="false" ht="15" hidden="false" customHeight="false" outlineLevel="0" collapsed="false">
      <c r="A40" s="26" t="str">
        <f aca="false">'Control Library'!A40</f>
        <v>CTL-OR-01</v>
      </c>
      <c r="B40" s="26" t="str">
        <f aca="false">'Control Library'!B40</f>
        <v>Business continuity plans and annual testing</v>
      </c>
      <c r="C40" s="52" t="str">
        <f aca="false">'Control Library'!F40</f>
        <v>Y</v>
      </c>
      <c r="D40" s="53" t="n">
        <f aca="false">SUMIFS('Control Testing'!$AA$5:$AA$1294,'Control Testing'!$B$5:$B$1294,D$4,'Control Testing'!$E$5:$E$1294,$A40)</f>
        <v>2</v>
      </c>
      <c r="E40" s="53" t="n">
        <f aca="false">SUMIFS('Control Testing'!$AA$5:$AA$1294,'Control Testing'!$B$5:$B$1294,E$4,'Control Testing'!$E$5:$E$1294,$A40)</f>
        <v>1</v>
      </c>
      <c r="F40" s="53" t="n">
        <f aca="false">SUMIFS('Control Testing'!$AA$5:$AA$1294,'Control Testing'!$B$5:$B$1294,F$4,'Control Testing'!$E$5:$E$1294,$A40)</f>
        <v>2</v>
      </c>
      <c r="G40" s="53" t="n">
        <f aca="false">SUMIFS('Control Testing'!$AA$5:$AA$1294,'Control Testing'!$B$5:$B$1294,G$4,'Control Testing'!$E$5:$E$1294,$A40)</f>
        <v>2</v>
      </c>
      <c r="H40" s="53" t="n">
        <f aca="false">SUMIFS('Control Testing'!$AA$5:$AA$1294,'Control Testing'!$B$5:$B$1294,H$4,'Control Testing'!$E$5:$E$1294,$A40)</f>
        <v>2</v>
      </c>
      <c r="I40" s="53" t="n">
        <f aca="false">SUMIFS('Control Testing'!$AA$5:$AA$1294,'Control Testing'!$B$5:$B$1294,I$4,'Control Testing'!$E$5:$E$1294,$A40)</f>
        <v>3</v>
      </c>
      <c r="J40" s="53" t="n">
        <f aca="false">SUMIFS('Control Testing'!$AA$5:$AA$1294,'Control Testing'!$B$5:$B$1294,J$4,'Control Testing'!$E$5:$E$1294,$A40)</f>
        <v>3</v>
      </c>
      <c r="K40" s="53" t="n">
        <f aca="false">SUMIFS('Control Testing'!$AA$5:$AA$1294,'Control Testing'!$B$5:$B$1294,K$4,'Control Testing'!$E$5:$E$1294,$A40)</f>
        <v>3</v>
      </c>
      <c r="L40" s="53" t="n">
        <f aca="false">SUMIFS('Control Testing'!$AA$5:$AA$1294,'Control Testing'!$B$5:$B$1294,L$4,'Control Testing'!$E$5:$E$1294,$A40)</f>
        <v>2</v>
      </c>
      <c r="M40" s="53" t="n">
        <f aca="false">SUMIFS('Control Testing'!$AA$5:$AA$1294,'Control Testing'!$B$5:$B$1294,M$4,'Control Testing'!$E$5:$E$1294,$A40)</f>
        <v>2</v>
      </c>
      <c r="N40" s="53" t="n">
        <f aca="false">SUMIFS('Control Testing'!$AA$5:$AA$1294,'Control Testing'!$B$5:$B$1294,N$4,'Control Testing'!$E$5:$E$1294,$A40)</f>
        <v>2</v>
      </c>
      <c r="O40" s="53" t="n">
        <f aca="false">SUMIFS('Control Testing'!$AA$5:$AA$1294,'Control Testing'!$B$5:$B$1294,O$4,'Control Testing'!$E$5:$E$1294,$A40)</f>
        <v>4</v>
      </c>
      <c r="P40" s="53" t="n">
        <f aca="false">SUMIFS('Control Testing'!$AA$5:$AA$1294,'Control Testing'!$B$5:$B$1294,P$4,'Control Testing'!$E$5:$E$1294,$A40)</f>
        <v>3</v>
      </c>
      <c r="Q40" s="53" t="n">
        <f aca="false">SUMIFS('Control Testing'!$AA$5:$AA$1294,'Control Testing'!$B$5:$B$1294,Q$4,'Control Testing'!$E$5:$E$1294,$A40)</f>
        <v>2</v>
      </c>
      <c r="R40" s="53" t="n">
        <f aca="false">SUMIFS('Control Testing'!$AA$5:$AA$1294,'Control Testing'!$B$5:$B$1294,R$4,'Control Testing'!$E$5:$E$1294,$A40)</f>
        <v>2</v>
      </c>
      <c r="S40" s="53" t="n">
        <f aca="false">SUMIFS('Control Testing'!$AA$5:$AA$1294,'Control Testing'!$B$5:$B$1294,S$4,'Control Testing'!$E$5:$E$1294,$A40)</f>
        <v>2</v>
      </c>
      <c r="T40" s="53" t="n">
        <f aca="false">SUMIFS('Control Testing'!$AA$5:$AA$1294,'Control Testing'!$B$5:$B$1294,T$4,'Control Testing'!$E$5:$E$1294,$A40)</f>
        <v>1</v>
      </c>
      <c r="U40" s="53" t="n">
        <f aca="false">SUMIFS('Control Testing'!$AA$5:$AA$1294,'Control Testing'!$B$5:$B$1294,U$4,'Control Testing'!$E$5:$E$1294,$A40)</f>
        <v>2</v>
      </c>
      <c r="V40" s="53" t="n">
        <f aca="false">SUMIFS('Control Testing'!$AA$5:$AA$1294,'Control Testing'!$B$5:$B$1294,V$4,'Control Testing'!$E$5:$E$1294,$A40)</f>
        <v>2</v>
      </c>
      <c r="W40" s="53" t="n">
        <f aca="false">SUMIFS('Control Testing'!$AA$5:$AA$1294,'Control Testing'!$B$5:$B$1294,W$4,'Control Testing'!$E$5:$E$1294,$A40)</f>
        <v>1</v>
      </c>
      <c r="X40" s="53" t="n">
        <f aca="false">SUMIFS('Control Testing'!$AA$5:$AA$1294,'Control Testing'!$B$5:$B$1294,X$4,'Control Testing'!$E$5:$E$1294,$A40)</f>
        <v>3</v>
      </c>
      <c r="Y40" s="53" t="n">
        <f aca="false">SUMIFS('Control Testing'!$AA$5:$AA$1294,'Control Testing'!$B$5:$B$1294,Y$4,'Control Testing'!$E$5:$E$1294,$A40)</f>
        <v>1</v>
      </c>
      <c r="Z40" s="53" t="n">
        <f aca="false">SUMIFS('Control Testing'!$AA$5:$AA$1294,'Control Testing'!$B$5:$B$1294,Z$4,'Control Testing'!$E$5:$E$1294,$A40)</f>
        <v>2</v>
      </c>
      <c r="AA40" s="53" t="n">
        <f aca="false">SUMIFS('Control Testing'!$AA$5:$AA$1294,'Control Testing'!$B$5:$B$1294,AA$4,'Control Testing'!$E$5:$E$1294,$A40)</f>
        <v>1</v>
      </c>
      <c r="AB40" s="53" t="n">
        <f aca="false">SUMIFS('Control Testing'!$AA$5:$AA$1294,'Control Testing'!$B$5:$B$1294,AB$4,'Control Testing'!$E$5:$E$1294,$A40)</f>
        <v>1</v>
      </c>
      <c r="AC40" s="53" t="n">
        <f aca="false">SUMIFS('Control Testing'!$AA$5:$AA$1294,'Control Testing'!$B$5:$B$1294,AC$4,'Control Testing'!$E$5:$E$1294,$A40)</f>
        <v>2</v>
      </c>
      <c r="AD40" s="53" t="n">
        <f aca="false">SUMIFS('Control Testing'!$AA$5:$AA$1294,'Control Testing'!$B$5:$B$1294,AD$4,'Control Testing'!$E$5:$E$1294,$A40)</f>
        <v>2</v>
      </c>
      <c r="AE40" s="53" t="n">
        <f aca="false">SUMIFS('Control Testing'!$AA$5:$AA$1294,'Control Testing'!$B$5:$B$1294,AE$4,'Control Testing'!$E$5:$E$1294,$A40)</f>
        <v>2</v>
      </c>
      <c r="AF40" s="53" t="n">
        <f aca="false">SUMIFS('Control Testing'!$AA$5:$AA$1294,'Control Testing'!$B$5:$B$1294,AF$4,'Control Testing'!$E$5:$E$1294,$A40)</f>
        <v>1</v>
      </c>
      <c r="AG40" s="53" t="n">
        <f aca="false">SUMIFS('Control Testing'!$AA$5:$AA$1294,'Control Testing'!$B$5:$B$1294,AG$4,'Control Testing'!$E$5:$E$1294,$A40)</f>
        <v>2</v>
      </c>
    </row>
    <row r="41" customFormat="false" ht="15" hidden="false" customHeight="false" outlineLevel="0" collapsed="false">
      <c r="A41" s="26" t="str">
        <f aca="false">'Control Library'!A41</f>
        <v>CTL-OR-02</v>
      </c>
      <c r="B41" s="26" t="str">
        <f aca="false">'Control Library'!B41</f>
        <v>Operational loss event capture and RCSA</v>
      </c>
      <c r="C41" s="52" t="str">
        <f aca="false">'Control Library'!F41</f>
        <v>N</v>
      </c>
      <c r="D41" s="53" t="n">
        <f aca="false">SUMIFS('Control Testing'!$AA$5:$AA$1294,'Control Testing'!$B$5:$B$1294,D$4,'Control Testing'!$E$5:$E$1294,$A41)</f>
        <v>2</v>
      </c>
      <c r="E41" s="53" t="n">
        <f aca="false">SUMIFS('Control Testing'!$AA$5:$AA$1294,'Control Testing'!$B$5:$B$1294,E$4,'Control Testing'!$E$5:$E$1294,$A41)</f>
        <v>2</v>
      </c>
      <c r="F41" s="53" t="n">
        <f aca="false">SUMIFS('Control Testing'!$AA$5:$AA$1294,'Control Testing'!$B$5:$B$1294,F$4,'Control Testing'!$E$5:$E$1294,$A41)</f>
        <v>3</v>
      </c>
      <c r="G41" s="53" t="n">
        <f aca="false">SUMIFS('Control Testing'!$AA$5:$AA$1294,'Control Testing'!$B$5:$B$1294,G$4,'Control Testing'!$E$5:$E$1294,$A41)</f>
        <v>2</v>
      </c>
      <c r="H41" s="53" t="n">
        <f aca="false">SUMIFS('Control Testing'!$AA$5:$AA$1294,'Control Testing'!$B$5:$B$1294,H$4,'Control Testing'!$E$5:$E$1294,$A41)</f>
        <v>2</v>
      </c>
      <c r="I41" s="53" t="n">
        <f aca="false">SUMIFS('Control Testing'!$AA$5:$AA$1294,'Control Testing'!$B$5:$B$1294,I$4,'Control Testing'!$E$5:$E$1294,$A41)</f>
        <v>4</v>
      </c>
      <c r="J41" s="53" t="n">
        <f aca="false">SUMIFS('Control Testing'!$AA$5:$AA$1294,'Control Testing'!$B$5:$B$1294,J$4,'Control Testing'!$E$5:$E$1294,$A41)</f>
        <v>2</v>
      </c>
      <c r="K41" s="53" t="n">
        <f aca="false">SUMIFS('Control Testing'!$AA$5:$AA$1294,'Control Testing'!$B$5:$B$1294,K$4,'Control Testing'!$E$5:$E$1294,$A41)</f>
        <v>3</v>
      </c>
      <c r="L41" s="53" t="n">
        <f aca="false">SUMIFS('Control Testing'!$AA$5:$AA$1294,'Control Testing'!$B$5:$B$1294,L$4,'Control Testing'!$E$5:$E$1294,$A41)</f>
        <v>2</v>
      </c>
      <c r="M41" s="53" t="n">
        <f aca="false">SUMIFS('Control Testing'!$AA$5:$AA$1294,'Control Testing'!$B$5:$B$1294,M$4,'Control Testing'!$E$5:$E$1294,$A41)</f>
        <v>3</v>
      </c>
      <c r="N41" s="53" t="n">
        <f aca="false">SUMIFS('Control Testing'!$AA$5:$AA$1294,'Control Testing'!$B$5:$B$1294,N$4,'Control Testing'!$E$5:$E$1294,$A41)</f>
        <v>4</v>
      </c>
      <c r="O41" s="53" t="n">
        <f aca="false">SUMIFS('Control Testing'!$AA$5:$AA$1294,'Control Testing'!$B$5:$B$1294,O$4,'Control Testing'!$E$5:$E$1294,$A41)</f>
        <v>1</v>
      </c>
      <c r="P41" s="53" t="n">
        <f aca="false">SUMIFS('Control Testing'!$AA$5:$AA$1294,'Control Testing'!$B$5:$B$1294,P$4,'Control Testing'!$E$5:$E$1294,$A41)</f>
        <v>2</v>
      </c>
      <c r="Q41" s="53" t="n">
        <f aca="false">SUMIFS('Control Testing'!$AA$5:$AA$1294,'Control Testing'!$B$5:$B$1294,Q$4,'Control Testing'!$E$5:$E$1294,$A41)</f>
        <v>2</v>
      </c>
      <c r="R41" s="53" t="n">
        <f aca="false">SUMIFS('Control Testing'!$AA$5:$AA$1294,'Control Testing'!$B$5:$B$1294,R$4,'Control Testing'!$E$5:$E$1294,$A41)</f>
        <v>2</v>
      </c>
      <c r="S41" s="53" t="n">
        <f aca="false">SUMIFS('Control Testing'!$AA$5:$AA$1294,'Control Testing'!$B$5:$B$1294,S$4,'Control Testing'!$E$5:$E$1294,$A41)</f>
        <v>2</v>
      </c>
      <c r="T41" s="53" t="n">
        <f aca="false">SUMIFS('Control Testing'!$AA$5:$AA$1294,'Control Testing'!$B$5:$B$1294,T$4,'Control Testing'!$E$5:$E$1294,$A41)</f>
        <v>2</v>
      </c>
      <c r="U41" s="53" t="n">
        <f aca="false">SUMIFS('Control Testing'!$AA$5:$AA$1294,'Control Testing'!$B$5:$B$1294,U$4,'Control Testing'!$E$5:$E$1294,$A41)</f>
        <v>2</v>
      </c>
      <c r="V41" s="53" t="n">
        <f aca="false">SUMIFS('Control Testing'!$AA$5:$AA$1294,'Control Testing'!$B$5:$B$1294,V$4,'Control Testing'!$E$5:$E$1294,$A41)</f>
        <v>1</v>
      </c>
      <c r="W41" s="53" t="n">
        <f aca="false">SUMIFS('Control Testing'!$AA$5:$AA$1294,'Control Testing'!$B$5:$B$1294,W$4,'Control Testing'!$E$5:$E$1294,$A41)</f>
        <v>2</v>
      </c>
      <c r="X41" s="53" t="n">
        <f aca="false">SUMIFS('Control Testing'!$AA$5:$AA$1294,'Control Testing'!$B$5:$B$1294,X$4,'Control Testing'!$E$5:$E$1294,$A41)</f>
        <v>2</v>
      </c>
      <c r="Y41" s="53" t="n">
        <f aca="false">SUMIFS('Control Testing'!$AA$5:$AA$1294,'Control Testing'!$B$5:$B$1294,Y$4,'Control Testing'!$E$5:$E$1294,$A41)</f>
        <v>1</v>
      </c>
      <c r="Z41" s="53" t="n">
        <f aca="false">SUMIFS('Control Testing'!$AA$5:$AA$1294,'Control Testing'!$B$5:$B$1294,Z$4,'Control Testing'!$E$5:$E$1294,$A41)</f>
        <v>2</v>
      </c>
      <c r="AA41" s="53" t="n">
        <f aca="false">SUMIFS('Control Testing'!$AA$5:$AA$1294,'Control Testing'!$B$5:$B$1294,AA$4,'Control Testing'!$E$5:$E$1294,$A41)</f>
        <v>1</v>
      </c>
      <c r="AB41" s="53" t="n">
        <f aca="false">SUMIFS('Control Testing'!$AA$5:$AA$1294,'Control Testing'!$B$5:$B$1294,AB$4,'Control Testing'!$E$5:$E$1294,$A41)</f>
        <v>4</v>
      </c>
      <c r="AC41" s="53" t="n">
        <f aca="false">SUMIFS('Control Testing'!$AA$5:$AA$1294,'Control Testing'!$B$5:$B$1294,AC$4,'Control Testing'!$E$5:$E$1294,$A41)</f>
        <v>2</v>
      </c>
      <c r="AD41" s="53" t="n">
        <f aca="false">SUMIFS('Control Testing'!$AA$5:$AA$1294,'Control Testing'!$B$5:$B$1294,AD$4,'Control Testing'!$E$5:$E$1294,$A41)</f>
        <v>2</v>
      </c>
      <c r="AE41" s="53" t="n">
        <f aca="false">SUMIFS('Control Testing'!$AA$5:$AA$1294,'Control Testing'!$B$5:$B$1294,AE$4,'Control Testing'!$E$5:$E$1294,$A41)</f>
        <v>1</v>
      </c>
      <c r="AF41" s="53" t="n">
        <f aca="false">SUMIFS('Control Testing'!$AA$5:$AA$1294,'Control Testing'!$B$5:$B$1294,AF$4,'Control Testing'!$E$5:$E$1294,$A41)</f>
        <v>2</v>
      </c>
      <c r="AG41" s="53" t="n">
        <f aca="false">SUMIFS('Control Testing'!$AA$5:$AA$1294,'Control Testing'!$B$5:$B$1294,AG$4,'Control Testing'!$E$5:$E$1294,$A41)</f>
        <v>1</v>
      </c>
    </row>
    <row r="42" customFormat="false" ht="15" hidden="false" customHeight="false" outlineLevel="0" collapsed="false">
      <c r="A42" s="26" t="str">
        <f aca="false">'Control Library'!A42</f>
        <v>CTL-CY-01</v>
      </c>
      <c r="B42" s="26" t="str">
        <f aca="false">'Control Library'!B42</f>
        <v>Vulnerability and patch management</v>
      </c>
      <c r="C42" s="52" t="str">
        <f aca="false">'Control Library'!F42</f>
        <v>Y</v>
      </c>
      <c r="D42" s="53" t="n">
        <f aca="false">SUMIFS('Control Testing'!$AA$5:$AA$1294,'Control Testing'!$B$5:$B$1294,D$4,'Control Testing'!$E$5:$E$1294,$A42)</f>
        <v>2</v>
      </c>
      <c r="E42" s="53" t="n">
        <f aca="false">SUMIFS('Control Testing'!$AA$5:$AA$1294,'Control Testing'!$B$5:$B$1294,E$4,'Control Testing'!$E$5:$E$1294,$A42)</f>
        <v>2</v>
      </c>
      <c r="F42" s="53" t="n">
        <f aca="false">SUMIFS('Control Testing'!$AA$5:$AA$1294,'Control Testing'!$B$5:$B$1294,F$4,'Control Testing'!$E$5:$E$1294,$A42)</f>
        <v>2</v>
      </c>
      <c r="G42" s="53" t="n">
        <f aca="false">SUMIFS('Control Testing'!$AA$5:$AA$1294,'Control Testing'!$B$5:$B$1294,G$4,'Control Testing'!$E$5:$E$1294,$A42)</f>
        <v>2</v>
      </c>
      <c r="H42" s="53" t="n">
        <f aca="false">SUMIFS('Control Testing'!$AA$5:$AA$1294,'Control Testing'!$B$5:$B$1294,H$4,'Control Testing'!$E$5:$E$1294,$A42)</f>
        <v>2</v>
      </c>
      <c r="I42" s="53" t="n">
        <f aca="false">SUMIFS('Control Testing'!$AA$5:$AA$1294,'Control Testing'!$B$5:$B$1294,I$4,'Control Testing'!$E$5:$E$1294,$A42)</f>
        <v>3</v>
      </c>
      <c r="J42" s="53" t="n">
        <f aca="false">SUMIFS('Control Testing'!$AA$5:$AA$1294,'Control Testing'!$B$5:$B$1294,J$4,'Control Testing'!$E$5:$E$1294,$A42)</f>
        <v>2</v>
      </c>
      <c r="K42" s="53" t="n">
        <f aca="false">SUMIFS('Control Testing'!$AA$5:$AA$1294,'Control Testing'!$B$5:$B$1294,K$4,'Control Testing'!$E$5:$E$1294,$A42)</f>
        <v>2</v>
      </c>
      <c r="L42" s="53" t="n">
        <f aca="false">SUMIFS('Control Testing'!$AA$5:$AA$1294,'Control Testing'!$B$5:$B$1294,L$4,'Control Testing'!$E$5:$E$1294,$A42)</f>
        <v>3</v>
      </c>
      <c r="M42" s="53" t="n">
        <f aca="false">SUMIFS('Control Testing'!$AA$5:$AA$1294,'Control Testing'!$B$5:$B$1294,M$4,'Control Testing'!$E$5:$E$1294,$A42)</f>
        <v>2</v>
      </c>
      <c r="N42" s="53" t="n">
        <f aca="false">SUMIFS('Control Testing'!$AA$5:$AA$1294,'Control Testing'!$B$5:$B$1294,N$4,'Control Testing'!$E$5:$E$1294,$A42)</f>
        <v>3</v>
      </c>
      <c r="O42" s="53" t="n">
        <f aca="false">SUMIFS('Control Testing'!$AA$5:$AA$1294,'Control Testing'!$B$5:$B$1294,O$4,'Control Testing'!$E$5:$E$1294,$A42)</f>
        <v>2</v>
      </c>
      <c r="P42" s="53" t="n">
        <f aca="false">SUMIFS('Control Testing'!$AA$5:$AA$1294,'Control Testing'!$B$5:$B$1294,P$4,'Control Testing'!$E$5:$E$1294,$A42)</f>
        <v>1</v>
      </c>
      <c r="Q42" s="53" t="n">
        <f aca="false">SUMIFS('Control Testing'!$AA$5:$AA$1294,'Control Testing'!$B$5:$B$1294,Q$4,'Control Testing'!$E$5:$E$1294,$A42)</f>
        <v>2</v>
      </c>
      <c r="R42" s="53" t="n">
        <f aca="false">SUMIFS('Control Testing'!$AA$5:$AA$1294,'Control Testing'!$B$5:$B$1294,R$4,'Control Testing'!$E$5:$E$1294,$A42)</f>
        <v>2</v>
      </c>
      <c r="S42" s="53" t="n">
        <f aca="false">SUMIFS('Control Testing'!$AA$5:$AA$1294,'Control Testing'!$B$5:$B$1294,S$4,'Control Testing'!$E$5:$E$1294,$A42)</f>
        <v>3</v>
      </c>
      <c r="T42" s="53" t="n">
        <f aca="false">SUMIFS('Control Testing'!$AA$5:$AA$1294,'Control Testing'!$B$5:$B$1294,T$4,'Control Testing'!$E$5:$E$1294,$A42)</f>
        <v>1</v>
      </c>
      <c r="U42" s="53" t="n">
        <f aca="false">SUMIFS('Control Testing'!$AA$5:$AA$1294,'Control Testing'!$B$5:$B$1294,U$4,'Control Testing'!$E$5:$E$1294,$A42)</f>
        <v>2</v>
      </c>
      <c r="V42" s="53" t="n">
        <f aca="false">SUMIFS('Control Testing'!$AA$5:$AA$1294,'Control Testing'!$B$5:$B$1294,V$4,'Control Testing'!$E$5:$E$1294,$A42)</f>
        <v>2</v>
      </c>
      <c r="W42" s="53" t="n">
        <f aca="false">SUMIFS('Control Testing'!$AA$5:$AA$1294,'Control Testing'!$B$5:$B$1294,W$4,'Control Testing'!$E$5:$E$1294,$A42)</f>
        <v>2</v>
      </c>
      <c r="X42" s="53" t="n">
        <f aca="false">SUMIFS('Control Testing'!$AA$5:$AA$1294,'Control Testing'!$B$5:$B$1294,X$4,'Control Testing'!$E$5:$E$1294,$A42)</f>
        <v>2</v>
      </c>
      <c r="Y42" s="53" t="n">
        <f aca="false">SUMIFS('Control Testing'!$AA$5:$AA$1294,'Control Testing'!$B$5:$B$1294,Y$4,'Control Testing'!$E$5:$E$1294,$A42)</f>
        <v>2</v>
      </c>
      <c r="Z42" s="53" t="n">
        <f aca="false">SUMIFS('Control Testing'!$AA$5:$AA$1294,'Control Testing'!$B$5:$B$1294,Z$4,'Control Testing'!$E$5:$E$1294,$A42)</f>
        <v>2</v>
      </c>
      <c r="AA42" s="53" t="n">
        <f aca="false">SUMIFS('Control Testing'!$AA$5:$AA$1294,'Control Testing'!$B$5:$B$1294,AA$4,'Control Testing'!$E$5:$E$1294,$A42)</f>
        <v>1</v>
      </c>
      <c r="AB42" s="53" t="n">
        <f aca="false">SUMIFS('Control Testing'!$AA$5:$AA$1294,'Control Testing'!$B$5:$B$1294,AB$4,'Control Testing'!$E$5:$E$1294,$A42)</f>
        <v>1</v>
      </c>
      <c r="AC42" s="53" t="n">
        <f aca="false">SUMIFS('Control Testing'!$AA$5:$AA$1294,'Control Testing'!$B$5:$B$1294,AC$4,'Control Testing'!$E$5:$E$1294,$A42)</f>
        <v>1</v>
      </c>
      <c r="AD42" s="53" t="n">
        <f aca="false">SUMIFS('Control Testing'!$AA$5:$AA$1294,'Control Testing'!$B$5:$B$1294,AD$4,'Control Testing'!$E$5:$E$1294,$A42)</f>
        <v>2</v>
      </c>
      <c r="AE42" s="53" t="n">
        <f aca="false">SUMIFS('Control Testing'!$AA$5:$AA$1294,'Control Testing'!$B$5:$B$1294,AE$4,'Control Testing'!$E$5:$E$1294,$A42)</f>
        <v>2</v>
      </c>
      <c r="AF42" s="53" t="n">
        <f aca="false">SUMIFS('Control Testing'!$AA$5:$AA$1294,'Control Testing'!$B$5:$B$1294,AF$4,'Control Testing'!$E$5:$E$1294,$A42)</f>
        <v>1</v>
      </c>
      <c r="AG42" s="53" t="n">
        <f aca="false">SUMIFS('Control Testing'!$AA$5:$AA$1294,'Control Testing'!$B$5:$B$1294,AG$4,'Control Testing'!$E$5:$E$1294,$A42)</f>
        <v>1</v>
      </c>
    </row>
    <row r="43" customFormat="false" ht="15" hidden="false" customHeight="false" outlineLevel="0" collapsed="false">
      <c r="A43" s="26" t="str">
        <f aca="false">'Control Library'!A43</f>
        <v>CTL-CY-02</v>
      </c>
      <c r="B43" s="26" t="str">
        <f aca="false">'Control Library'!B43</f>
        <v>Privileged access management and SOC monitoring</v>
      </c>
      <c r="C43" s="52" t="str">
        <f aca="false">'Control Library'!F43</f>
        <v>Y</v>
      </c>
      <c r="D43" s="53" t="n">
        <f aca="false">SUMIFS('Control Testing'!$AA$5:$AA$1294,'Control Testing'!$B$5:$B$1294,D$4,'Control Testing'!$E$5:$E$1294,$A43)</f>
        <v>2</v>
      </c>
      <c r="E43" s="53" t="n">
        <f aca="false">SUMIFS('Control Testing'!$AA$5:$AA$1294,'Control Testing'!$B$5:$B$1294,E$4,'Control Testing'!$E$5:$E$1294,$A43)</f>
        <v>2</v>
      </c>
      <c r="F43" s="53" t="n">
        <f aca="false">SUMIFS('Control Testing'!$AA$5:$AA$1294,'Control Testing'!$B$5:$B$1294,F$4,'Control Testing'!$E$5:$E$1294,$A43)</f>
        <v>2</v>
      </c>
      <c r="G43" s="53" t="n">
        <f aca="false">SUMIFS('Control Testing'!$AA$5:$AA$1294,'Control Testing'!$B$5:$B$1294,G$4,'Control Testing'!$E$5:$E$1294,$A43)</f>
        <v>2</v>
      </c>
      <c r="H43" s="53" t="n">
        <f aca="false">SUMIFS('Control Testing'!$AA$5:$AA$1294,'Control Testing'!$B$5:$B$1294,H$4,'Control Testing'!$E$5:$E$1294,$A43)</f>
        <v>2</v>
      </c>
      <c r="I43" s="53" t="n">
        <f aca="false">SUMIFS('Control Testing'!$AA$5:$AA$1294,'Control Testing'!$B$5:$B$1294,I$4,'Control Testing'!$E$5:$E$1294,$A43)</f>
        <v>3</v>
      </c>
      <c r="J43" s="53" t="n">
        <f aca="false">SUMIFS('Control Testing'!$AA$5:$AA$1294,'Control Testing'!$B$5:$B$1294,J$4,'Control Testing'!$E$5:$E$1294,$A43)</f>
        <v>2</v>
      </c>
      <c r="K43" s="53" t="n">
        <f aca="false">SUMIFS('Control Testing'!$AA$5:$AA$1294,'Control Testing'!$B$5:$B$1294,K$4,'Control Testing'!$E$5:$E$1294,$A43)</f>
        <v>3</v>
      </c>
      <c r="L43" s="53" t="n">
        <f aca="false">SUMIFS('Control Testing'!$AA$5:$AA$1294,'Control Testing'!$B$5:$B$1294,L$4,'Control Testing'!$E$5:$E$1294,$A43)</f>
        <v>2</v>
      </c>
      <c r="M43" s="53" t="n">
        <f aca="false">SUMIFS('Control Testing'!$AA$5:$AA$1294,'Control Testing'!$B$5:$B$1294,M$4,'Control Testing'!$E$5:$E$1294,$A43)</f>
        <v>2</v>
      </c>
      <c r="N43" s="53" t="n">
        <f aca="false">SUMIFS('Control Testing'!$AA$5:$AA$1294,'Control Testing'!$B$5:$B$1294,N$4,'Control Testing'!$E$5:$E$1294,$A43)</f>
        <v>2</v>
      </c>
      <c r="O43" s="53" t="n">
        <f aca="false">SUMIFS('Control Testing'!$AA$5:$AA$1294,'Control Testing'!$B$5:$B$1294,O$4,'Control Testing'!$E$5:$E$1294,$A43)</f>
        <v>1</v>
      </c>
      <c r="P43" s="53" t="n">
        <f aca="false">SUMIFS('Control Testing'!$AA$5:$AA$1294,'Control Testing'!$B$5:$B$1294,P$4,'Control Testing'!$E$5:$E$1294,$A43)</f>
        <v>2</v>
      </c>
      <c r="Q43" s="53" t="n">
        <f aca="false">SUMIFS('Control Testing'!$AA$5:$AA$1294,'Control Testing'!$B$5:$B$1294,Q$4,'Control Testing'!$E$5:$E$1294,$A43)</f>
        <v>2</v>
      </c>
      <c r="R43" s="53" t="n">
        <f aca="false">SUMIFS('Control Testing'!$AA$5:$AA$1294,'Control Testing'!$B$5:$B$1294,R$4,'Control Testing'!$E$5:$E$1294,$A43)</f>
        <v>3</v>
      </c>
      <c r="S43" s="53" t="n">
        <f aca="false">SUMIFS('Control Testing'!$AA$5:$AA$1294,'Control Testing'!$B$5:$B$1294,S$4,'Control Testing'!$E$5:$E$1294,$A43)</f>
        <v>3</v>
      </c>
      <c r="T43" s="53" t="n">
        <f aca="false">SUMIFS('Control Testing'!$AA$5:$AA$1294,'Control Testing'!$B$5:$B$1294,T$4,'Control Testing'!$E$5:$E$1294,$A43)</f>
        <v>2</v>
      </c>
      <c r="U43" s="53" t="n">
        <f aca="false">SUMIFS('Control Testing'!$AA$5:$AA$1294,'Control Testing'!$B$5:$B$1294,U$4,'Control Testing'!$E$5:$E$1294,$A43)</f>
        <v>2</v>
      </c>
      <c r="V43" s="53" t="n">
        <f aca="false">SUMIFS('Control Testing'!$AA$5:$AA$1294,'Control Testing'!$B$5:$B$1294,V$4,'Control Testing'!$E$5:$E$1294,$A43)</f>
        <v>2</v>
      </c>
      <c r="W43" s="53" t="n">
        <f aca="false">SUMIFS('Control Testing'!$AA$5:$AA$1294,'Control Testing'!$B$5:$B$1294,W$4,'Control Testing'!$E$5:$E$1294,$A43)</f>
        <v>2</v>
      </c>
      <c r="X43" s="53" t="n">
        <f aca="false">SUMIFS('Control Testing'!$AA$5:$AA$1294,'Control Testing'!$B$5:$B$1294,X$4,'Control Testing'!$E$5:$E$1294,$A43)</f>
        <v>2</v>
      </c>
      <c r="Y43" s="53" t="n">
        <f aca="false">SUMIFS('Control Testing'!$AA$5:$AA$1294,'Control Testing'!$B$5:$B$1294,Y$4,'Control Testing'!$E$5:$E$1294,$A43)</f>
        <v>1</v>
      </c>
      <c r="Z43" s="53" t="n">
        <f aca="false">SUMIFS('Control Testing'!$AA$5:$AA$1294,'Control Testing'!$B$5:$B$1294,Z$4,'Control Testing'!$E$5:$E$1294,$A43)</f>
        <v>2</v>
      </c>
      <c r="AA43" s="53" t="n">
        <f aca="false">SUMIFS('Control Testing'!$AA$5:$AA$1294,'Control Testing'!$B$5:$B$1294,AA$4,'Control Testing'!$E$5:$E$1294,$A43)</f>
        <v>1</v>
      </c>
      <c r="AB43" s="53" t="n">
        <f aca="false">SUMIFS('Control Testing'!$AA$5:$AA$1294,'Control Testing'!$B$5:$B$1294,AB$4,'Control Testing'!$E$5:$E$1294,$A43)</f>
        <v>1</v>
      </c>
      <c r="AC43" s="53" t="n">
        <f aca="false">SUMIFS('Control Testing'!$AA$5:$AA$1294,'Control Testing'!$B$5:$B$1294,AC$4,'Control Testing'!$E$5:$E$1294,$A43)</f>
        <v>2</v>
      </c>
      <c r="AD43" s="53" t="n">
        <f aca="false">SUMIFS('Control Testing'!$AA$5:$AA$1294,'Control Testing'!$B$5:$B$1294,AD$4,'Control Testing'!$E$5:$E$1294,$A43)</f>
        <v>2</v>
      </c>
      <c r="AE43" s="53" t="n">
        <f aca="false">SUMIFS('Control Testing'!$AA$5:$AA$1294,'Control Testing'!$B$5:$B$1294,AE$4,'Control Testing'!$E$5:$E$1294,$A43)</f>
        <v>2</v>
      </c>
      <c r="AF43" s="53" t="n">
        <f aca="false">SUMIFS('Control Testing'!$AA$5:$AA$1294,'Control Testing'!$B$5:$B$1294,AF$4,'Control Testing'!$E$5:$E$1294,$A43)</f>
        <v>2</v>
      </c>
      <c r="AG43" s="53" t="n">
        <f aca="false">SUMIFS('Control Testing'!$AA$5:$AA$1294,'Control Testing'!$B$5:$B$1294,AG$4,'Control Testing'!$E$5:$E$1294,$A43)</f>
        <v>4</v>
      </c>
    </row>
    <row r="44" customFormat="false" ht="15" hidden="false" customHeight="false" outlineLevel="0" collapsed="false">
      <c r="A44" s="26" t="str">
        <f aca="false">'Control Library'!A44</f>
        <v>CTL-TP-01</v>
      </c>
      <c r="B44" s="26" t="str">
        <f aca="false">'Control Library'!B44</f>
        <v>Critical vendor due diligence and tested exit plans</v>
      </c>
      <c r="C44" s="52" t="str">
        <f aca="false">'Control Library'!F44</f>
        <v>Y</v>
      </c>
      <c r="D44" s="53" t="n">
        <f aca="false">SUMIFS('Control Testing'!$AA$5:$AA$1294,'Control Testing'!$B$5:$B$1294,D$4,'Control Testing'!$E$5:$E$1294,$A44)</f>
        <v>2</v>
      </c>
      <c r="E44" s="53" t="n">
        <f aca="false">SUMIFS('Control Testing'!$AA$5:$AA$1294,'Control Testing'!$B$5:$B$1294,E$4,'Control Testing'!$E$5:$E$1294,$A44)</f>
        <v>2</v>
      </c>
      <c r="F44" s="53" t="n">
        <f aca="false">SUMIFS('Control Testing'!$AA$5:$AA$1294,'Control Testing'!$B$5:$B$1294,F$4,'Control Testing'!$E$5:$E$1294,$A44)</f>
        <v>2</v>
      </c>
      <c r="G44" s="53" t="n">
        <f aca="false">SUMIFS('Control Testing'!$AA$5:$AA$1294,'Control Testing'!$B$5:$B$1294,G$4,'Control Testing'!$E$5:$E$1294,$A44)</f>
        <v>2</v>
      </c>
      <c r="H44" s="53" t="n">
        <f aca="false">SUMIFS('Control Testing'!$AA$5:$AA$1294,'Control Testing'!$B$5:$B$1294,H$4,'Control Testing'!$E$5:$E$1294,$A44)</f>
        <v>3</v>
      </c>
      <c r="I44" s="53" t="n">
        <f aca="false">SUMIFS('Control Testing'!$AA$5:$AA$1294,'Control Testing'!$B$5:$B$1294,I$4,'Control Testing'!$E$5:$E$1294,$A44)</f>
        <v>3</v>
      </c>
      <c r="J44" s="53" t="n">
        <f aca="false">SUMIFS('Control Testing'!$AA$5:$AA$1294,'Control Testing'!$B$5:$B$1294,J$4,'Control Testing'!$E$5:$E$1294,$A44)</f>
        <v>2</v>
      </c>
      <c r="K44" s="53" t="n">
        <f aca="false">SUMIFS('Control Testing'!$AA$5:$AA$1294,'Control Testing'!$B$5:$B$1294,K$4,'Control Testing'!$E$5:$E$1294,$A44)</f>
        <v>3</v>
      </c>
      <c r="L44" s="53" t="n">
        <f aca="false">SUMIFS('Control Testing'!$AA$5:$AA$1294,'Control Testing'!$B$5:$B$1294,L$4,'Control Testing'!$E$5:$E$1294,$A44)</f>
        <v>2</v>
      </c>
      <c r="M44" s="53" t="n">
        <f aca="false">SUMIFS('Control Testing'!$AA$5:$AA$1294,'Control Testing'!$B$5:$B$1294,M$4,'Control Testing'!$E$5:$E$1294,$A44)</f>
        <v>2</v>
      </c>
      <c r="N44" s="53" t="n">
        <f aca="false">SUMIFS('Control Testing'!$AA$5:$AA$1294,'Control Testing'!$B$5:$B$1294,N$4,'Control Testing'!$E$5:$E$1294,$A44)</f>
        <v>2</v>
      </c>
      <c r="O44" s="53" t="n">
        <f aca="false">SUMIFS('Control Testing'!$AA$5:$AA$1294,'Control Testing'!$B$5:$B$1294,O$4,'Control Testing'!$E$5:$E$1294,$A44)</f>
        <v>2</v>
      </c>
      <c r="P44" s="53" t="n">
        <f aca="false">SUMIFS('Control Testing'!$AA$5:$AA$1294,'Control Testing'!$B$5:$B$1294,P$4,'Control Testing'!$E$5:$E$1294,$A44)</f>
        <v>2</v>
      </c>
      <c r="Q44" s="53" t="n">
        <f aca="false">SUMIFS('Control Testing'!$AA$5:$AA$1294,'Control Testing'!$B$5:$B$1294,Q$4,'Control Testing'!$E$5:$E$1294,$A44)</f>
        <v>2</v>
      </c>
      <c r="R44" s="53" t="n">
        <f aca="false">SUMIFS('Control Testing'!$AA$5:$AA$1294,'Control Testing'!$B$5:$B$1294,R$4,'Control Testing'!$E$5:$E$1294,$A44)</f>
        <v>2</v>
      </c>
      <c r="S44" s="53" t="n">
        <f aca="false">SUMIFS('Control Testing'!$AA$5:$AA$1294,'Control Testing'!$B$5:$B$1294,S$4,'Control Testing'!$E$5:$E$1294,$A44)</f>
        <v>3</v>
      </c>
      <c r="T44" s="53" t="n">
        <f aca="false">SUMIFS('Control Testing'!$AA$5:$AA$1294,'Control Testing'!$B$5:$B$1294,T$4,'Control Testing'!$E$5:$E$1294,$A44)</f>
        <v>1</v>
      </c>
      <c r="U44" s="53" t="n">
        <f aca="false">SUMIFS('Control Testing'!$AA$5:$AA$1294,'Control Testing'!$B$5:$B$1294,U$4,'Control Testing'!$E$5:$E$1294,$A44)</f>
        <v>4</v>
      </c>
      <c r="V44" s="53" t="n">
        <f aca="false">SUMIFS('Control Testing'!$AA$5:$AA$1294,'Control Testing'!$B$5:$B$1294,V$4,'Control Testing'!$E$5:$E$1294,$A44)</f>
        <v>4</v>
      </c>
      <c r="W44" s="53" t="n">
        <f aca="false">SUMIFS('Control Testing'!$AA$5:$AA$1294,'Control Testing'!$B$5:$B$1294,W$4,'Control Testing'!$E$5:$E$1294,$A44)</f>
        <v>4</v>
      </c>
      <c r="X44" s="53" t="n">
        <f aca="false">SUMIFS('Control Testing'!$AA$5:$AA$1294,'Control Testing'!$B$5:$B$1294,X$4,'Control Testing'!$E$5:$E$1294,$A44)</f>
        <v>3</v>
      </c>
      <c r="Y44" s="53" t="n">
        <f aca="false">SUMIFS('Control Testing'!$AA$5:$AA$1294,'Control Testing'!$B$5:$B$1294,Y$4,'Control Testing'!$E$5:$E$1294,$A44)</f>
        <v>2</v>
      </c>
      <c r="Z44" s="53" t="n">
        <f aca="false">SUMIFS('Control Testing'!$AA$5:$AA$1294,'Control Testing'!$B$5:$B$1294,Z$4,'Control Testing'!$E$5:$E$1294,$A44)</f>
        <v>1</v>
      </c>
      <c r="AA44" s="53" t="n">
        <f aca="false">SUMIFS('Control Testing'!$AA$5:$AA$1294,'Control Testing'!$B$5:$B$1294,AA$4,'Control Testing'!$E$5:$E$1294,$A44)</f>
        <v>1</v>
      </c>
      <c r="AB44" s="53" t="n">
        <f aca="false">SUMIFS('Control Testing'!$AA$5:$AA$1294,'Control Testing'!$B$5:$B$1294,AB$4,'Control Testing'!$E$5:$E$1294,$A44)</f>
        <v>2</v>
      </c>
      <c r="AC44" s="53" t="n">
        <f aca="false">SUMIFS('Control Testing'!$AA$5:$AA$1294,'Control Testing'!$B$5:$B$1294,AC$4,'Control Testing'!$E$5:$E$1294,$A44)</f>
        <v>1</v>
      </c>
      <c r="AD44" s="53" t="n">
        <f aca="false">SUMIFS('Control Testing'!$AA$5:$AA$1294,'Control Testing'!$B$5:$B$1294,AD$4,'Control Testing'!$E$5:$E$1294,$A44)</f>
        <v>1</v>
      </c>
      <c r="AE44" s="53" t="n">
        <f aca="false">SUMIFS('Control Testing'!$AA$5:$AA$1294,'Control Testing'!$B$5:$B$1294,AE$4,'Control Testing'!$E$5:$E$1294,$A44)</f>
        <v>2</v>
      </c>
      <c r="AF44" s="53" t="n">
        <f aca="false">SUMIFS('Control Testing'!$AA$5:$AA$1294,'Control Testing'!$B$5:$B$1294,AF$4,'Control Testing'!$E$5:$E$1294,$A44)</f>
        <v>1</v>
      </c>
      <c r="AG44" s="53" t="n">
        <f aca="false">SUMIFS('Control Testing'!$AA$5:$AA$1294,'Control Testing'!$B$5:$B$1294,AG$4,'Control Testing'!$E$5:$E$1294,$A44)</f>
        <v>1</v>
      </c>
    </row>
    <row r="45" customFormat="false" ht="15" hidden="false" customHeight="false" outlineLevel="0" collapsed="false">
      <c r="A45" s="26" t="str">
        <f aca="false">'Control Library'!A45</f>
        <v>CTL-LG-01</v>
      </c>
      <c r="B45" s="26" t="str">
        <f aca="false">'Control Library'!B45</f>
        <v>Legal review of contracts and litigation register</v>
      </c>
      <c r="C45" s="52" t="str">
        <f aca="false">'Control Library'!F45</f>
        <v>Y</v>
      </c>
      <c r="D45" s="53" t="n">
        <f aca="false">SUMIFS('Control Testing'!$AA$5:$AA$1294,'Control Testing'!$B$5:$B$1294,D$4,'Control Testing'!$E$5:$E$1294,$A45)</f>
        <v>2</v>
      </c>
      <c r="E45" s="53" t="n">
        <f aca="false">SUMIFS('Control Testing'!$AA$5:$AA$1294,'Control Testing'!$B$5:$B$1294,E$4,'Control Testing'!$E$5:$E$1294,$A45)</f>
        <v>1</v>
      </c>
      <c r="F45" s="53" t="n">
        <f aca="false">SUMIFS('Control Testing'!$AA$5:$AA$1294,'Control Testing'!$B$5:$B$1294,F$4,'Control Testing'!$E$5:$E$1294,$A45)</f>
        <v>1</v>
      </c>
      <c r="G45" s="53" t="n">
        <f aca="false">SUMIFS('Control Testing'!$AA$5:$AA$1294,'Control Testing'!$B$5:$B$1294,G$4,'Control Testing'!$E$5:$E$1294,$A45)</f>
        <v>2</v>
      </c>
      <c r="H45" s="53" t="n">
        <f aca="false">SUMIFS('Control Testing'!$AA$5:$AA$1294,'Control Testing'!$B$5:$B$1294,H$4,'Control Testing'!$E$5:$E$1294,$A45)</f>
        <v>2</v>
      </c>
      <c r="I45" s="53" t="n">
        <f aca="false">SUMIFS('Control Testing'!$AA$5:$AA$1294,'Control Testing'!$B$5:$B$1294,I$4,'Control Testing'!$E$5:$E$1294,$A45)</f>
        <v>3</v>
      </c>
      <c r="J45" s="53" t="n">
        <f aca="false">SUMIFS('Control Testing'!$AA$5:$AA$1294,'Control Testing'!$B$5:$B$1294,J$4,'Control Testing'!$E$5:$E$1294,$A45)</f>
        <v>4</v>
      </c>
      <c r="K45" s="53" t="n">
        <f aca="false">SUMIFS('Control Testing'!$AA$5:$AA$1294,'Control Testing'!$B$5:$B$1294,K$4,'Control Testing'!$E$5:$E$1294,$A45)</f>
        <v>3</v>
      </c>
      <c r="L45" s="53" t="n">
        <f aca="false">SUMIFS('Control Testing'!$AA$5:$AA$1294,'Control Testing'!$B$5:$B$1294,L$4,'Control Testing'!$E$5:$E$1294,$A45)</f>
        <v>2</v>
      </c>
      <c r="M45" s="53" t="n">
        <f aca="false">SUMIFS('Control Testing'!$AA$5:$AA$1294,'Control Testing'!$B$5:$B$1294,M$4,'Control Testing'!$E$5:$E$1294,$A45)</f>
        <v>3</v>
      </c>
      <c r="N45" s="53" t="n">
        <f aca="false">SUMIFS('Control Testing'!$AA$5:$AA$1294,'Control Testing'!$B$5:$B$1294,N$4,'Control Testing'!$E$5:$E$1294,$A45)</f>
        <v>2</v>
      </c>
      <c r="O45" s="53" t="n">
        <f aca="false">SUMIFS('Control Testing'!$AA$5:$AA$1294,'Control Testing'!$B$5:$B$1294,O$4,'Control Testing'!$E$5:$E$1294,$A45)</f>
        <v>1</v>
      </c>
      <c r="P45" s="53" t="n">
        <f aca="false">SUMIFS('Control Testing'!$AA$5:$AA$1294,'Control Testing'!$B$5:$B$1294,P$4,'Control Testing'!$E$5:$E$1294,$A45)</f>
        <v>2</v>
      </c>
      <c r="Q45" s="53" t="n">
        <f aca="false">SUMIFS('Control Testing'!$AA$5:$AA$1294,'Control Testing'!$B$5:$B$1294,Q$4,'Control Testing'!$E$5:$E$1294,$A45)</f>
        <v>2</v>
      </c>
      <c r="R45" s="53" t="n">
        <f aca="false">SUMIFS('Control Testing'!$AA$5:$AA$1294,'Control Testing'!$B$5:$B$1294,R$4,'Control Testing'!$E$5:$E$1294,$A45)</f>
        <v>4</v>
      </c>
      <c r="S45" s="53" t="n">
        <f aca="false">SUMIFS('Control Testing'!$AA$5:$AA$1294,'Control Testing'!$B$5:$B$1294,S$4,'Control Testing'!$E$5:$E$1294,$A45)</f>
        <v>2</v>
      </c>
      <c r="T45" s="53" t="n">
        <f aca="false">SUMIFS('Control Testing'!$AA$5:$AA$1294,'Control Testing'!$B$5:$B$1294,T$4,'Control Testing'!$E$5:$E$1294,$A45)</f>
        <v>2</v>
      </c>
      <c r="U45" s="53" t="n">
        <f aca="false">SUMIFS('Control Testing'!$AA$5:$AA$1294,'Control Testing'!$B$5:$B$1294,U$4,'Control Testing'!$E$5:$E$1294,$A45)</f>
        <v>1</v>
      </c>
      <c r="V45" s="53" t="n">
        <f aca="false">SUMIFS('Control Testing'!$AA$5:$AA$1294,'Control Testing'!$B$5:$B$1294,V$4,'Control Testing'!$E$5:$E$1294,$A45)</f>
        <v>2</v>
      </c>
      <c r="W45" s="53" t="n">
        <f aca="false">SUMIFS('Control Testing'!$AA$5:$AA$1294,'Control Testing'!$B$5:$B$1294,W$4,'Control Testing'!$E$5:$E$1294,$A45)</f>
        <v>1</v>
      </c>
      <c r="X45" s="53" t="n">
        <f aca="false">SUMIFS('Control Testing'!$AA$5:$AA$1294,'Control Testing'!$B$5:$B$1294,X$4,'Control Testing'!$E$5:$E$1294,$A45)</f>
        <v>3</v>
      </c>
      <c r="Y45" s="53" t="n">
        <f aca="false">SUMIFS('Control Testing'!$AA$5:$AA$1294,'Control Testing'!$B$5:$B$1294,Y$4,'Control Testing'!$E$5:$E$1294,$A45)</f>
        <v>4</v>
      </c>
      <c r="Z45" s="53" t="n">
        <f aca="false">SUMIFS('Control Testing'!$AA$5:$AA$1294,'Control Testing'!$B$5:$B$1294,Z$4,'Control Testing'!$E$5:$E$1294,$A45)</f>
        <v>2</v>
      </c>
      <c r="AA45" s="53" t="n">
        <f aca="false">SUMIFS('Control Testing'!$AA$5:$AA$1294,'Control Testing'!$B$5:$B$1294,AA$4,'Control Testing'!$E$5:$E$1294,$A45)</f>
        <v>1</v>
      </c>
      <c r="AB45" s="53" t="n">
        <f aca="false">SUMIFS('Control Testing'!$AA$5:$AA$1294,'Control Testing'!$B$5:$B$1294,AB$4,'Control Testing'!$E$5:$E$1294,$A45)</f>
        <v>2</v>
      </c>
      <c r="AC45" s="53" t="n">
        <f aca="false">SUMIFS('Control Testing'!$AA$5:$AA$1294,'Control Testing'!$B$5:$B$1294,AC$4,'Control Testing'!$E$5:$E$1294,$A45)</f>
        <v>1</v>
      </c>
      <c r="AD45" s="53" t="n">
        <f aca="false">SUMIFS('Control Testing'!$AA$5:$AA$1294,'Control Testing'!$B$5:$B$1294,AD$4,'Control Testing'!$E$5:$E$1294,$A45)</f>
        <v>1</v>
      </c>
      <c r="AE45" s="53" t="n">
        <f aca="false">SUMIFS('Control Testing'!$AA$5:$AA$1294,'Control Testing'!$B$5:$B$1294,AE$4,'Control Testing'!$E$5:$E$1294,$A45)</f>
        <v>1</v>
      </c>
      <c r="AF45" s="53" t="n">
        <f aca="false">SUMIFS('Control Testing'!$AA$5:$AA$1294,'Control Testing'!$B$5:$B$1294,AF$4,'Control Testing'!$E$5:$E$1294,$A45)</f>
        <v>2</v>
      </c>
      <c r="AG45" s="53" t="n">
        <f aca="false">SUMIFS('Control Testing'!$AA$5:$AA$1294,'Control Testing'!$B$5:$B$1294,AG$4,'Control Testing'!$E$5:$E$1294,$A45)</f>
        <v>2</v>
      </c>
    </row>
    <row r="46" customFormat="false" ht="15" hidden="false" customHeight="false" outlineLevel="0" collapsed="false">
      <c r="A46" s="26" t="str">
        <f aca="false">'Control Library'!A46</f>
        <v>CTL-RP-01</v>
      </c>
      <c r="B46" s="26" t="str">
        <f aca="false">'Control Library'!B46</f>
        <v>Media monitoring and reputational-risk escalation</v>
      </c>
      <c r="C46" s="52" t="str">
        <f aca="false">'Control Library'!F46</f>
        <v>Y</v>
      </c>
      <c r="D46" s="53" t="n">
        <f aca="false">SUMIFS('Control Testing'!$AA$5:$AA$1294,'Control Testing'!$B$5:$B$1294,D$4,'Control Testing'!$E$5:$E$1294,$A46)</f>
        <v>2</v>
      </c>
      <c r="E46" s="53" t="n">
        <f aca="false">SUMIFS('Control Testing'!$AA$5:$AA$1294,'Control Testing'!$B$5:$B$1294,E$4,'Control Testing'!$E$5:$E$1294,$A46)</f>
        <v>1</v>
      </c>
      <c r="F46" s="53" t="n">
        <f aca="false">SUMIFS('Control Testing'!$AA$5:$AA$1294,'Control Testing'!$B$5:$B$1294,F$4,'Control Testing'!$E$5:$E$1294,$A46)</f>
        <v>2</v>
      </c>
      <c r="G46" s="53" t="n">
        <f aca="false">SUMIFS('Control Testing'!$AA$5:$AA$1294,'Control Testing'!$B$5:$B$1294,G$4,'Control Testing'!$E$5:$E$1294,$A46)</f>
        <v>3</v>
      </c>
      <c r="H46" s="53" t="n">
        <f aca="false">SUMIFS('Control Testing'!$AA$5:$AA$1294,'Control Testing'!$B$5:$B$1294,H$4,'Control Testing'!$E$5:$E$1294,$A46)</f>
        <v>2</v>
      </c>
      <c r="I46" s="53" t="n">
        <f aca="false">SUMIFS('Control Testing'!$AA$5:$AA$1294,'Control Testing'!$B$5:$B$1294,I$4,'Control Testing'!$E$5:$E$1294,$A46)</f>
        <v>4</v>
      </c>
      <c r="J46" s="53" t="n">
        <f aca="false">SUMIFS('Control Testing'!$AA$5:$AA$1294,'Control Testing'!$B$5:$B$1294,J$4,'Control Testing'!$E$5:$E$1294,$A46)</f>
        <v>3</v>
      </c>
      <c r="K46" s="53" t="n">
        <f aca="false">SUMIFS('Control Testing'!$AA$5:$AA$1294,'Control Testing'!$B$5:$B$1294,K$4,'Control Testing'!$E$5:$E$1294,$A46)</f>
        <v>4</v>
      </c>
      <c r="L46" s="53" t="n">
        <f aca="false">SUMIFS('Control Testing'!$AA$5:$AA$1294,'Control Testing'!$B$5:$B$1294,L$4,'Control Testing'!$E$5:$E$1294,$A46)</f>
        <v>2</v>
      </c>
      <c r="M46" s="53" t="n">
        <f aca="false">SUMIFS('Control Testing'!$AA$5:$AA$1294,'Control Testing'!$B$5:$B$1294,M$4,'Control Testing'!$E$5:$E$1294,$A46)</f>
        <v>2</v>
      </c>
      <c r="N46" s="53" t="n">
        <f aca="false">SUMIFS('Control Testing'!$AA$5:$AA$1294,'Control Testing'!$B$5:$B$1294,N$4,'Control Testing'!$E$5:$E$1294,$A46)</f>
        <v>1</v>
      </c>
      <c r="O46" s="53" t="n">
        <f aca="false">SUMIFS('Control Testing'!$AA$5:$AA$1294,'Control Testing'!$B$5:$B$1294,O$4,'Control Testing'!$E$5:$E$1294,$A46)</f>
        <v>2</v>
      </c>
      <c r="P46" s="53" t="n">
        <f aca="false">SUMIFS('Control Testing'!$AA$5:$AA$1294,'Control Testing'!$B$5:$B$1294,P$4,'Control Testing'!$E$5:$E$1294,$A46)</f>
        <v>1</v>
      </c>
      <c r="Q46" s="53" t="n">
        <f aca="false">SUMIFS('Control Testing'!$AA$5:$AA$1294,'Control Testing'!$B$5:$B$1294,Q$4,'Control Testing'!$E$5:$E$1294,$A46)</f>
        <v>2</v>
      </c>
      <c r="R46" s="53" t="n">
        <f aca="false">SUMIFS('Control Testing'!$AA$5:$AA$1294,'Control Testing'!$B$5:$B$1294,R$4,'Control Testing'!$E$5:$E$1294,$A46)</f>
        <v>4</v>
      </c>
      <c r="S46" s="53" t="n">
        <f aca="false">SUMIFS('Control Testing'!$AA$5:$AA$1294,'Control Testing'!$B$5:$B$1294,S$4,'Control Testing'!$E$5:$E$1294,$A46)</f>
        <v>2</v>
      </c>
      <c r="T46" s="53" t="n">
        <f aca="false">SUMIFS('Control Testing'!$AA$5:$AA$1294,'Control Testing'!$B$5:$B$1294,T$4,'Control Testing'!$E$5:$E$1294,$A46)</f>
        <v>1</v>
      </c>
      <c r="U46" s="53" t="n">
        <f aca="false">SUMIFS('Control Testing'!$AA$5:$AA$1294,'Control Testing'!$B$5:$B$1294,U$4,'Control Testing'!$E$5:$E$1294,$A46)</f>
        <v>2</v>
      </c>
      <c r="V46" s="53" t="n">
        <f aca="false">SUMIFS('Control Testing'!$AA$5:$AA$1294,'Control Testing'!$B$5:$B$1294,V$4,'Control Testing'!$E$5:$E$1294,$A46)</f>
        <v>2</v>
      </c>
      <c r="W46" s="53" t="n">
        <f aca="false">SUMIFS('Control Testing'!$AA$5:$AA$1294,'Control Testing'!$B$5:$B$1294,W$4,'Control Testing'!$E$5:$E$1294,$A46)</f>
        <v>2</v>
      </c>
      <c r="X46" s="53" t="n">
        <f aca="false">SUMIFS('Control Testing'!$AA$5:$AA$1294,'Control Testing'!$B$5:$B$1294,X$4,'Control Testing'!$E$5:$E$1294,$A46)</f>
        <v>4</v>
      </c>
      <c r="Y46" s="53" t="n">
        <f aca="false">SUMIFS('Control Testing'!$AA$5:$AA$1294,'Control Testing'!$B$5:$B$1294,Y$4,'Control Testing'!$E$5:$E$1294,$A46)</f>
        <v>1</v>
      </c>
      <c r="Z46" s="53" t="n">
        <f aca="false">SUMIFS('Control Testing'!$AA$5:$AA$1294,'Control Testing'!$B$5:$B$1294,Z$4,'Control Testing'!$E$5:$E$1294,$A46)</f>
        <v>1</v>
      </c>
      <c r="AA46" s="53" t="n">
        <f aca="false">SUMIFS('Control Testing'!$AA$5:$AA$1294,'Control Testing'!$B$5:$B$1294,AA$4,'Control Testing'!$E$5:$E$1294,$A46)</f>
        <v>1</v>
      </c>
      <c r="AB46" s="53" t="n">
        <f aca="false">SUMIFS('Control Testing'!$AA$5:$AA$1294,'Control Testing'!$B$5:$B$1294,AB$4,'Control Testing'!$E$5:$E$1294,$A46)</f>
        <v>2</v>
      </c>
      <c r="AC46" s="53" t="n">
        <f aca="false">SUMIFS('Control Testing'!$AA$5:$AA$1294,'Control Testing'!$B$5:$B$1294,AC$4,'Control Testing'!$E$5:$E$1294,$A46)</f>
        <v>2</v>
      </c>
      <c r="AD46" s="53" t="n">
        <f aca="false">SUMIFS('Control Testing'!$AA$5:$AA$1294,'Control Testing'!$B$5:$B$1294,AD$4,'Control Testing'!$E$5:$E$1294,$A46)</f>
        <v>1</v>
      </c>
      <c r="AE46" s="53" t="n">
        <f aca="false">SUMIFS('Control Testing'!$AA$5:$AA$1294,'Control Testing'!$B$5:$B$1294,AE$4,'Control Testing'!$E$5:$E$1294,$A46)</f>
        <v>1</v>
      </c>
      <c r="AF46" s="53" t="n">
        <f aca="false">SUMIFS('Control Testing'!$AA$5:$AA$1294,'Control Testing'!$B$5:$B$1294,AF$4,'Control Testing'!$E$5:$E$1294,$A46)</f>
        <v>2</v>
      </c>
      <c r="AG46" s="53" t="n">
        <f aca="false">SUMIFS('Control Testing'!$AA$5:$AA$1294,'Control Testing'!$B$5:$B$1294,AG$4,'Control Testing'!$E$5:$E$1294,$A46)</f>
        <v>2</v>
      </c>
    </row>
    <row r="47" customFormat="false" ht="15" hidden="false" customHeight="false" outlineLevel="0" collapsed="false">
      <c r="A47" s="26" t="str">
        <f aca="false">'Control Library'!A47</f>
        <v>CTL-ST-01</v>
      </c>
      <c r="B47" s="26" t="str">
        <f aca="false">'Control Library'!B47</f>
        <v>Strategy execution monitoring and E&amp;S screening of lending</v>
      </c>
      <c r="C47" s="52" t="str">
        <f aca="false">'Control Library'!F47</f>
        <v>Y</v>
      </c>
      <c r="D47" s="53" t="n">
        <f aca="false">SUMIFS('Control Testing'!$AA$5:$AA$1294,'Control Testing'!$B$5:$B$1294,D$4,'Control Testing'!$E$5:$E$1294,$A47)</f>
        <v>4</v>
      </c>
      <c r="E47" s="53" t="n">
        <f aca="false">SUMIFS('Control Testing'!$AA$5:$AA$1294,'Control Testing'!$B$5:$B$1294,E$4,'Control Testing'!$E$5:$E$1294,$A47)</f>
        <v>2</v>
      </c>
      <c r="F47" s="53" t="n">
        <f aca="false">SUMIFS('Control Testing'!$AA$5:$AA$1294,'Control Testing'!$B$5:$B$1294,F$4,'Control Testing'!$E$5:$E$1294,$A47)</f>
        <v>2</v>
      </c>
      <c r="G47" s="53" t="n">
        <f aca="false">SUMIFS('Control Testing'!$AA$5:$AA$1294,'Control Testing'!$B$5:$B$1294,G$4,'Control Testing'!$E$5:$E$1294,$A47)</f>
        <v>2</v>
      </c>
      <c r="H47" s="53" t="n">
        <f aca="false">SUMIFS('Control Testing'!$AA$5:$AA$1294,'Control Testing'!$B$5:$B$1294,H$4,'Control Testing'!$E$5:$E$1294,$A47)</f>
        <v>2</v>
      </c>
      <c r="I47" s="53" t="n">
        <f aca="false">SUMIFS('Control Testing'!$AA$5:$AA$1294,'Control Testing'!$B$5:$B$1294,I$4,'Control Testing'!$E$5:$E$1294,$A47)</f>
        <v>2</v>
      </c>
      <c r="J47" s="53" t="n">
        <f aca="false">SUMIFS('Control Testing'!$AA$5:$AA$1294,'Control Testing'!$B$5:$B$1294,J$4,'Control Testing'!$E$5:$E$1294,$A47)</f>
        <v>3</v>
      </c>
      <c r="K47" s="53" t="n">
        <f aca="false">SUMIFS('Control Testing'!$AA$5:$AA$1294,'Control Testing'!$B$5:$B$1294,K$4,'Control Testing'!$E$5:$E$1294,$A47)</f>
        <v>2</v>
      </c>
      <c r="L47" s="53" t="n">
        <f aca="false">SUMIFS('Control Testing'!$AA$5:$AA$1294,'Control Testing'!$B$5:$B$1294,L$4,'Control Testing'!$E$5:$E$1294,$A47)</f>
        <v>3</v>
      </c>
      <c r="M47" s="53" t="n">
        <f aca="false">SUMIFS('Control Testing'!$AA$5:$AA$1294,'Control Testing'!$B$5:$B$1294,M$4,'Control Testing'!$E$5:$E$1294,$A47)</f>
        <v>2</v>
      </c>
      <c r="N47" s="53" t="n">
        <f aca="false">SUMIFS('Control Testing'!$AA$5:$AA$1294,'Control Testing'!$B$5:$B$1294,N$4,'Control Testing'!$E$5:$E$1294,$A47)</f>
        <v>2</v>
      </c>
      <c r="O47" s="53" t="n">
        <f aca="false">SUMIFS('Control Testing'!$AA$5:$AA$1294,'Control Testing'!$B$5:$B$1294,O$4,'Control Testing'!$E$5:$E$1294,$A47)</f>
        <v>2</v>
      </c>
      <c r="P47" s="53" t="n">
        <f aca="false">SUMIFS('Control Testing'!$AA$5:$AA$1294,'Control Testing'!$B$5:$B$1294,P$4,'Control Testing'!$E$5:$E$1294,$A47)</f>
        <v>2</v>
      </c>
      <c r="Q47" s="53" t="n">
        <f aca="false">SUMIFS('Control Testing'!$AA$5:$AA$1294,'Control Testing'!$B$5:$B$1294,Q$4,'Control Testing'!$E$5:$E$1294,$A47)</f>
        <v>1</v>
      </c>
      <c r="R47" s="53" t="n">
        <f aca="false">SUMIFS('Control Testing'!$AA$5:$AA$1294,'Control Testing'!$B$5:$B$1294,R$4,'Control Testing'!$E$5:$E$1294,$A47)</f>
        <v>4</v>
      </c>
      <c r="S47" s="53" t="n">
        <f aca="false">SUMIFS('Control Testing'!$AA$5:$AA$1294,'Control Testing'!$B$5:$B$1294,S$4,'Control Testing'!$E$5:$E$1294,$A47)</f>
        <v>2</v>
      </c>
      <c r="T47" s="53" t="n">
        <f aca="false">SUMIFS('Control Testing'!$AA$5:$AA$1294,'Control Testing'!$B$5:$B$1294,T$4,'Control Testing'!$E$5:$E$1294,$A47)</f>
        <v>2</v>
      </c>
      <c r="U47" s="53" t="n">
        <f aca="false">SUMIFS('Control Testing'!$AA$5:$AA$1294,'Control Testing'!$B$5:$B$1294,U$4,'Control Testing'!$E$5:$E$1294,$A47)</f>
        <v>3</v>
      </c>
      <c r="V47" s="53" t="n">
        <f aca="false">SUMIFS('Control Testing'!$AA$5:$AA$1294,'Control Testing'!$B$5:$B$1294,V$4,'Control Testing'!$E$5:$E$1294,$A47)</f>
        <v>2</v>
      </c>
      <c r="W47" s="53" t="n">
        <f aca="false">SUMIFS('Control Testing'!$AA$5:$AA$1294,'Control Testing'!$B$5:$B$1294,W$4,'Control Testing'!$E$5:$E$1294,$A47)</f>
        <v>2</v>
      </c>
      <c r="X47" s="53" t="n">
        <f aca="false">SUMIFS('Control Testing'!$AA$5:$AA$1294,'Control Testing'!$B$5:$B$1294,X$4,'Control Testing'!$E$5:$E$1294,$A47)</f>
        <v>4</v>
      </c>
      <c r="Y47" s="53" t="n">
        <f aca="false">SUMIFS('Control Testing'!$AA$5:$AA$1294,'Control Testing'!$B$5:$B$1294,Y$4,'Control Testing'!$E$5:$E$1294,$A47)</f>
        <v>1</v>
      </c>
      <c r="Z47" s="53" t="n">
        <f aca="false">SUMIFS('Control Testing'!$AA$5:$AA$1294,'Control Testing'!$B$5:$B$1294,Z$4,'Control Testing'!$E$5:$E$1294,$A47)</f>
        <v>2</v>
      </c>
      <c r="AA47" s="53" t="n">
        <f aca="false">SUMIFS('Control Testing'!$AA$5:$AA$1294,'Control Testing'!$B$5:$B$1294,AA$4,'Control Testing'!$E$5:$E$1294,$A47)</f>
        <v>1</v>
      </c>
      <c r="AB47" s="53" t="n">
        <f aca="false">SUMIFS('Control Testing'!$AA$5:$AA$1294,'Control Testing'!$B$5:$B$1294,AB$4,'Control Testing'!$E$5:$E$1294,$A47)</f>
        <v>1</v>
      </c>
      <c r="AC47" s="53" t="n">
        <f aca="false">SUMIFS('Control Testing'!$AA$5:$AA$1294,'Control Testing'!$B$5:$B$1294,AC$4,'Control Testing'!$E$5:$E$1294,$A47)</f>
        <v>1</v>
      </c>
      <c r="AD47" s="53" t="n">
        <f aca="false">SUMIFS('Control Testing'!$AA$5:$AA$1294,'Control Testing'!$B$5:$B$1294,AD$4,'Control Testing'!$E$5:$E$1294,$A47)</f>
        <v>1</v>
      </c>
      <c r="AE47" s="53" t="n">
        <f aca="false">SUMIFS('Control Testing'!$AA$5:$AA$1294,'Control Testing'!$B$5:$B$1294,AE$4,'Control Testing'!$E$5:$E$1294,$A47)</f>
        <v>1</v>
      </c>
      <c r="AF47" s="53" t="n">
        <f aca="false">SUMIFS('Control Testing'!$AA$5:$AA$1294,'Control Testing'!$B$5:$B$1294,AF$4,'Control Testing'!$E$5:$E$1294,$A47)</f>
        <v>2</v>
      </c>
      <c r="AG47" s="53" t="n">
        <f aca="false">SUMIFS('Control Testing'!$AA$5:$AA$1294,'Control Testing'!$B$5:$B$1294,AG$4,'Control Testing'!$E$5:$E$1294,$A47)</f>
        <v>2</v>
      </c>
    </row>
  </sheetData>
  <conditionalFormatting sqref="D5:AG47">
    <cfRule type="expression" priority="2" aboveAverage="0" equalAverage="0" bottom="0" percent="0" rank="0" text="" dxfId="0">
      <formula>D5=1</formula>
    </cfRule>
    <cfRule type="expression" priority="3" aboveAverage="0" equalAverage="0" bottom="0" percent="0" rank="0" text="" dxfId="1">
      <formula>D5=2</formula>
    </cfRule>
    <cfRule type="expression" priority="4" aboveAverage="0" equalAverage="0" bottom="0" percent="0" rank="0" text="" dxfId="3">
      <formula>D5=3</formula>
    </cfRule>
    <cfRule type="expression" priority="5" aboveAverage="0" equalAverage="0" bottom="0" percent="0" rank="0" text="" dxfId="4">
      <formula>D5=4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6"/>
    <col collapsed="false" customWidth="true" hidden="false" outlineLevel="0" max="36" min="7" style="0" width="8.5"/>
  </cols>
  <sheetData>
    <row r="1" customFormat="false" ht="17.35" hidden="false" customHeight="false" outlineLevel="0" collapsed="false">
      <c r="A1" s="1" t="s">
        <v>3970</v>
      </c>
    </row>
    <row r="2" customFormat="false" ht="15" hidden="false" customHeight="false" outlineLevel="0" collapsed="false">
      <c r="A2" s="2" t="s">
        <v>3971</v>
      </c>
    </row>
    <row r="4" customFormat="false" ht="30" hidden="false" customHeight="true" outlineLevel="0" collapsed="false">
      <c r="A4" s="5" t="s">
        <v>571</v>
      </c>
      <c r="B4" s="5" t="s">
        <v>572</v>
      </c>
      <c r="C4" s="5" t="s">
        <v>444</v>
      </c>
      <c r="D4" s="5" t="s">
        <v>327</v>
      </c>
      <c r="E4" s="5" t="s">
        <v>3972</v>
      </c>
      <c r="F4" s="5" t="s">
        <v>729</v>
      </c>
      <c r="G4" s="5" t="str">
        <f aca="false">Entities!A5</f>
        <v>JO-HO</v>
      </c>
      <c r="H4" s="5" t="str">
        <f aca="false">Entities!A6</f>
        <v>JO-IIAB</v>
      </c>
      <c r="I4" s="5" t="str">
        <f aca="false">Entities!A7</f>
        <v>JO-INV</v>
      </c>
      <c r="J4" s="5" t="str">
        <f aca="false">Entities!A8</f>
        <v>JO-INS</v>
      </c>
      <c r="K4" s="5" t="str">
        <f aca="false">Entities!A9</f>
        <v>JO-LSG</v>
      </c>
      <c r="L4" s="5" t="str">
        <f aca="false">Entities!A10</f>
        <v>PS</v>
      </c>
      <c r="M4" s="5" t="str">
        <f aca="false">Entities!A11</f>
        <v>PS-INV</v>
      </c>
      <c r="N4" s="5" t="str">
        <f aca="false">Entities!A12</f>
        <v>LB</v>
      </c>
      <c r="O4" s="5" t="str">
        <f aca="false">Entities!A13</f>
        <v>SY</v>
      </c>
      <c r="P4" s="5" t="str">
        <f aca="false">Entities!A14</f>
        <v>AE</v>
      </c>
      <c r="Q4" s="5" t="str">
        <f aca="false">Entities!A15</f>
        <v>BH</v>
      </c>
      <c r="R4" s="5" t="str">
        <f aca="false">Entities!A16</f>
        <v>QA</v>
      </c>
      <c r="S4" s="5" t="str">
        <f aca="false">Entities!A17</f>
        <v>SA</v>
      </c>
      <c r="T4" s="5" t="str">
        <f aca="false">Entities!A18</f>
        <v>OM</v>
      </c>
      <c r="U4" s="5" t="str">
        <f aca="false">Entities!A19</f>
        <v>IQ</v>
      </c>
      <c r="V4" s="5" t="str">
        <f aca="false">Entities!A20</f>
        <v>YE</v>
      </c>
      <c r="W4" s="5" t="str">
        <f aca="false">Entities!A21</f>
        <v>EG</v>
      </c>
      <c r="X4" s="5" t="str">
        <f aca="false">Entities!A22</f>
        <v>DZ</v>
      </c>
      <c r="Y4" s="5" t="str">
        <f aca="false">Entities!A23</f>
        <v>MA</v>
      </c>
      <c r="Z4" s="5" t="str">
        <f aca="false">Entities!A24</f>
        <v>TN</v>
      </c>
      <c r="AA4" s="5" t="str">
        <f aca="false">Entities!A25</f>
        <v>SD</v>
      </c>
      <c r="AB4" s="5" t="str">
        <f aca="false">Entities!A26</f>
        <v>GB</v>
      </c>
      <c r="AC4" s="5" t="str">
        <f aca="false">Entities!A27</f>
        <v>FR</v>
      </c>
      <c r="AD4" s="5" t="str">
        <f aca="false">Entities!A28</f>
        <v>DE</v>
      </c>
      <c r="AE4" s="5" t="str">
        <f aca="false">Entities!A29</f>
        <v>IT</v>
      </c>
      <c r="AF4" s="5" t="str">
        <f aca="false">Entities!A30</f>
        <v>CH</v>
      </c>
      <c r="AG4" s="5" t="str">
        <f aca="false">Entities!A31</f>
        <v>SG</v>
      </c>
      <c r="AH4" s="5" t="str">
        <f aca="false">Entities!A32</f>
        <v>CN</v>
      </c>
      <c r="AI4" s="5" t="str">
        <f aca="false">Entities!A33</f>
        <v>AU</v>
      </c>
      <c r="AJ4" s="5" t="str">
        <f aca="false">Entities!A34</f>
        <v>US</v>
      </c>
    </row>
    <row r="5" customFormat="false" ht="15" hidden="false" customHeight="false" outlineLevel="0" collapsed="false">
      <c r="A5" s="8" t="s">
        <v>581</v>
      </c>
      <c r="B5" s="12" t="str">
        <f aca="false">INDEX('Control Library'!$B$5:$B$47,MATCH(A5,'Control Library'!$A$5:$A$47,0))</f>
        <v>Customer due diligence and ID verification at onboarding</v>
      </c>
      <c r="C5" s="33" t="s">
        <v>260</v>
      </c>
      <c r="D5" s="12" t="str">
        <f aca="false">INDEX('Risk Taxonomy'!$B$5:$B$24,MATCH(C5,'Risk Taxonomy'!$A$5:$A$24,0))</f>
        <v>Money laundering</v>
      </c>
      <c r="E5" s="24" t="n">
        <v>3</v>
      </c>
      <c r="F5" s="7" t="str">
        <f aca="false">INDEX('Control Library'!$F$5:$F$47,MATCH(A5,'Control Library'!$A$5:$A$47,0))</f>
        <v>Y</v>
      </c>
      <c r="G5" s="53" t="n">
        <f aca="false">IFERROR(INDEX('Control Effectiveness'!$D$5:$D$47,MATCH($A5,'Control Effectiveness'!$A$5:$A$47,0)),0)</f>
        <v>2</v>
      </c>
      <c r="H5" s="53" t="n">
        <f aca="false">IFERROR(INDEX('Control Effectiveness'!$E$5:$E$47,MATCH($A5,'Control Effectiveness'!$A$5:$A$47,0)),0)</f>
        <v>2</v>
      </c>
      <c r="I5" s="53" t="n">
        <f aca="false">IFERROR(INDEX('Control Effectiveness'!$F$5:$F$47,MATCH($A5,'Control Effectiveness'!$A$5:$A$47,0)),0)</f>
        <v>2</v>
      </c>
      <c r="J5" s="53" t="n">
        <f aca="false">IFERROR(INDEX('Control Effectiveness'!$G$5:$G$47,MATCH($A5,'Control Effectiveness'!$A$5:$A$47,0)),0)</f>
        <v>2</v>
      </c>
      <c r="K5" s="53" t="n">
        <f aca="false">IFERROR(INDEX('Control Effectiveness'!$H$5:$H$47,MATCH($A5,'Control Effectiveness'!$A$5:$A$47,0)),0)</f>
        <v>2</v>
      </c>
      <c r="L5" s="53" t="n">
        <f aca="false">IFERROR(INDEX('Control Effectiveness'!$I$5:$I$47,MATCH($A5,'Control Effectiveness'!$A$5:$A$47,0)),0)</f>
        <v>3</v>
      </c>
      <c r="M5" s="53" t="n">
        <f aca="false">IFERROR(INDEX('Control Effectiveness'!$J$5:$J$47,MATCH($A5,'Control Effectiveness'!$A$5:$A$47,0)),0)</f>
        <v>3</v>
      </c>
      <c r="N5" s="53" t="n">
        <f aca="false">IFERROR(INDEX('Control Effectiveness'!$K$5:$K$47,MATCH($A5,'Control Effectiveness'!$A$5:$A$47,0)),0)</f>
        <v>3</v>
      </c>
      <c r="O5" s="53" t="n">
        <f aca="false">IFERROR(INDEX('Control Effectiveness'!$L$5:$L$47,MATCH($A5,'Control Effectiveness'!$A$5:$A$47,0)),0)</f>
        <v>2</v>
      </c>
      <c r="P5" s="53" t="n">
        <f aca="false">IFERROR(INDEX('Control Effectiveness'!$M$5:$M$47,MATCH($A5,'Control Effectiveness'!$A$5:$A$47,0)),0)</f>
        <v>2</v>
      </c>
      <c r="Q5" s="53" t="n">
        <f aca="false">IFERROR(INDEX('Control Effectiveness'!$N$5:$N$47,MATCH($A5,'Control Effectiveness'!$A$5:$A$47,0)),0)</f>
        <v>2</v>
      </c>
      <c r="R5" s="53" t="n">
        <f aca="false">IFERROR(INDEX('Control Effectiveness'!$O$5:$O$47,MATCH($A5,'Control Effectiveness'!$A$5:$A$47,0)),0)</f>
        <v>4</v>
      </c>
      <c r="S5" s="53" t="n">
        <f aca="false">IFERROR(INDEX('Control Effectiveness'!$P$5:$P$47,MATCH($A5,'Control Effectiveness'!$A$5:$A$47,0)),0)</f>
        <v>2</v>
      </c>
      <c r="T5" s="53" t="n">
        <f aca="false">IFERROR(INDEX('Control Effectiveness'!$Q$5:$Q$47,MATCH($A5,'Control Effectiveness'!$A$5:$A$47,0)),0)</f>
        <v>3</v>
      </c>
      <c r="U5" s="53" t="n">
        <f aca="false">IFERROR(INDEX('Control Effectiveness'!$R$5:$R$47,MATCH($A5,'Control Effectiveness'!$A$5:$A$47,0)),0)</f>
        <v>3</v>
      </c>
      <c r="V5" s="53" t="n">
        <f aca="false">IFERROR(INDEX('Control Effectiveness'!$S$5:$S$47,MATCH($A5,'Control Effectiveness'!$A$5:$A$47,0)),0)</f>
        <v>4</v>
      </c>
      <c r="W5" s="53" t="n">
        <f aca="false">IFERROR(INDEX('Control Effectiveness'!$T$5:$T$47,MATCH($A5,'Control Effectiveness'!$A$5:$A$47,0)),0)</f>
        <v>2</v>
      </c>
      <c r="X5" s="53" t="n">
        <f aca="false">IFERROR(INDEX('Control Effectiveness'!$U$5:$U$47,MATCH($A5,'Control Effectiveness'!$A$5:$A$47,0)),0)</f>
        <v>2</v>
      </c>
      <c r="Y5" s="53" t="n">
        <f aca="false">IFERROR(INDEX('Control Effectiveness'!$V$5:$V$47,MATCH($A5,'Control Effectiveness'!$A$5:$A$47,0)),0)</f>
        <v>2</v>
      </c>
      <c r="Z5" s="53" t="n">
        <f aca="false">IFERROR(INDEX('Control Effectiveness'!$W$5:$W$47,MATCH($A5,'Control Effectiveness'!$A$5:$A$47,0)),0)</f>
        <v>2</v>
      </c>
      <c r="AA5" s="53" t="n">
        <f aca="false">IFERROR(INDEX('Control Effectiveness'!$X$5:$X$47,MATCH($A5,'Control Effectiveness'!$A$5:$A$47,0)),0)</f>
        <v>2</v>
      </c>
      <c r="AB5" s="53" t="n">
        <f aca="false">IFERROR(INDEX('Control Effectiveness'!$Y$5:$Y$47,MATCH($A5,'Control Effectiveness'!$A$5:$A$47,0)),0)</f>
        <v>1</v>
      </c>
      <c r="AC5" s="53" t="n">
        <f aca="false">IFERROR(INDEX('Control Effectiveness'!$Z$5:$Z$47,MATCH($A5,'Control Effectiveness'!$A$5:$A$47,0)),0)</f>
        <v>4</v>
      </c>
      <c r="AD5" s="53" t="n">
        <f aca="false">IFERROR(INDEX('Control Effectiveness'!$AA$5:$AA$47,MATCH($A5,'Control Effectiveness'!$A$5:$A$47,0)),0)</f>
        <v>1</v>
      </c>
      <c r="AE5" s="53" t="n">
        <f aca="false">IFERROR(INDEX('Control Effectiveness'!$AB$5:$AB$47,MATCH($A5,'Control Effectiveness'!$A$5:$A$47,0)),0)</f>
        <v>2</v>
      </c>
      <c r="AF5" s="53" t="n">
        <f aca="false">IFERROR(INDEX('Control Effectiveness'!$AC$5:$AC$47,MATCH($A5,'Control Effectiveness'!$A$5:$A$47,0)),0)</f>
        <v>1</v>
      </c>
      <c r="AG5" s="53" t="n">
        <f aca="false">IFERROR(INDEX('Control Effectiveness'!$AD$5:$AD$47,MATCH($A5,'Control Effectiveness'!$A$5:$A$47,0)),0)</f>
        <v>2</v>
      </c>
      <c r="AH5" s="53" t="n">
        <f aca="false">IFERROR(INDEX('Control Effectiveness'!$AE$5:$AE$47,MATCH($A5,'Control Effectiveness'!$A$5:$A$47,0)),0)</f>
        <v>1</v>
      </c>
      <c r="AI5" s="53" t="n">
        <f aca="false">IFERROR(INDEX('Control Effectiveness'!$AF$5:$AF$47,MATCH($A5,'Control Effectiveness'!$A$5:$A$47,0)),0)</f>
        <v>1</v>
      </c>
      <c r="AJ5" s="53" t="n">
        <f aca="false">IFERROR(INDEX('Control Effectiveness'!$AG$5:$AG$47,MATCH($A5,'Control Effectiveness'!$A$5:$A$47,0)),0)</f>
        <v>2</v>
      </c>
    </row>
    <row r="6" customFormat="false" ht="15" hidden="false" customHeight="false" outlineLevel="0" collapsed="false">
      <c r="A6" s="8" t="s">
        <v>581</v>
      </c>
      <c r="B6" s="12" t="str">
        <f aca="false">INDEX('Control Library'!$B$5:$B$47,MATCH(A6,'Control Library'!$A$5:$A$47,0))</f>
        <v>Customer due diligence and ID verification at onboarding</v>
      </c>
      <c r="C6" s="33" t="s">
        <v>267</v>
      </c>
      <c r="D6" s="12" t="str">
        <f aca="false">INDEX('Risk Taxonomy'!$B$5:$B$24,MATCH(C6,'Risk Taxonomy'!$A$5:$A$24,0))</f>
        <v>Terrorist financing</v>
      </c>
      <c r="E6" s="24" t="n">
        <v>2</v>
      </c>
      <c r="F6" s="7" t="str">
        <f aca="false">INDEX('Control Library'!$F$5:$F$47,MATCH(A6,'Control Library'!$A$5:$A$47,0))</f>
        <v>Y</v>
      </c>
      <c r="G6" s="53" t="n">
        <f aca="false">IFERROR(INDEX('Control Effectiveness'!$D$5:$D$47,MATCH($A6,'Control Effectiveness'!$A$5:$A$47,0)),0)</f>
        <v>2</v>
      </c>
      <c r="H6" s="53" t="n">
        <f aca="false">IFERROR(INDEX('Control Effectiveness'!$E$5:$E$47,MATCH($A6,'Control Effectiveness'!$A$5:$A$47,0)),0)</f>
        <v>2</v>
      </c>
      <c r="I6" s="53" t="n">
        <f aca="false">IFERROR(INDEX('Control Effectiveness'!$F$5:$F$47,MATCH($A6,'Control Effectiveness'!$A$5:$A$47,0)),0)</f>
        <v>2</v>
      </c>
      <c r="J6" s="53" t="n">
        <f aca="false">IFERROR(INDEX('Control Effectiveness'!$G$5:$G$47,MATCH($A6,'Control Effectiveness'!$A$5:$A$47,0)),0)</f>
        <v>2</v>
      </c>
      <c r="K6" s="53" t="n">
        <f aca="false">IFERROR(INDEX('Control Effectiveness'!$H$5:$H$47,MATCH($A6,'Control Effectiveness'!$A$5:$A$47,0)),0)</f>
        <v>2</v>
      </c>
      <c r="L6" s="53" t="n">
        <f aca="false">IFERROR(INDEX('Control Effectiveness'!$I$5:$I$47,MATCH($A6,'Control Effectiveness'!$A$5:$A$47,0)),0)</f>
        <v>3</v>
      </c>
      <c r="M6" s="53" t="n">
        <f aca="false">IFERROR(INDEX('Control Effectiveness'!$J$5:$J$47,MATCH($A6,'Control Effectiveness'!$A$5:$A$47,0)),0)</f>
        <v>3</v>
      </c>
      <c r="N6" s="53" t="n">
        <f aca="false">IFERROR(INDEX('Control Effectiveness'!$K$5:$K$47,MATCH($A6,'Control Effectiveness'!$A$5:$A$47,0)),0)</f>
        <v>3</v>
      </c>
      <c r="O6" s="53" t="n">
        <f aca="false">IFERROR(INDEX('Control Effectiveness'!$L$5:$L$47,MATCH($A6,'Control Effectiveness'!$A$5:$A$47,0)),0)</f>
        <v>2</v>
      </c>
      <c r="P6" s="53" t="n">
        <f aca="false">IFERROR(INDEX('Control Effectiveness'!$M$5:$M$47,MATCH($A6,'Control Effectiveness'!$A$5:$A$47,0)),0)</f>
        <v>2</v>
      </c>
      <c r="Q6" s="53" t="n">
        <f aca="false">IFERROR(INDEX('Control Effectiveness'!$N$5:$N$47,MATCH($A6,'Control Effectiveness'!$A$5:$A$47,0)),0)</f>
        <v>2</v>
      </c>
      <c r="R6" s="53" t="n">
        <f aca="false">IFERROR(INDEX('Control Effectiveness'!$O$5:$O$47,MATCH($A6,'Control Effectiveness'!$A$5:$A$47,0)),0)</f>
        <v>4</v>
      </c>
      <c r="S6" s="53" t="n">
        <f aca="false">IFERROR(INDEX('Control Effectiveness'!$P$5:$P$47,MATCH($A6,'Control Effectiveness'!$A$5:$A$47,0)),0)</f>
        <v>2</v>
      </c>
      <c r="T6" s="53" t="n">
        <f aca="false">IFERROR(INDEX('Control Effectiveness'!$Q$5:$Q$47,MATCH($A6,'Control Effectiveness'!$A$5:$A$47,0)),0)</f>
        <v>3</v>
      </c>
      <c r="U6" s="53" t="n">
        <f aca="false">IFERROR(INDEX('Control Effectiveness'!$R$5:$R$47,MATCH($A6,'Control Effectiveness'!$A$5:$A$47,0)),0)</f>
        <v>3</v>
      </c>
      <c r="V6" s="53" t="n">
        <f aca="false">IFERROR(INDEX('Control Effectiveness'!$S$5:$S$47,MATCH($A6,'Control Effectiveness'!$A$5:$A$47,0)),0)</f>
        <v>4</v>
      </c>
      <c r="W6" s="53" t="n">
        <f aca="false">IFERROR(INDEX('Control Effectiveness'!$T$5:$T$47,MATCH($A6,'Control Effectiveness'!$A$5:$A$47,0)),0)</f>
        <v>2</v>
      </c>
      <c r="X6" s="53" t="n">
        <f aca="false">IFERROR(INDEX('Control Effectiveness'!$U$5:$U$47,MATCH($A6,'Control Effectiveness'!$A$5:$A$47,0)),0)</f>
        <v>2</v>
      </c>
      <c r="Y6" s="53" t="n">
        <f aca="false">IFERROR(INDEX('Control Effectiveness'!$V$5:$V$47,MATCH($A6,'Control Effectiveness'!$A$5:$A$47,0)),0)</f>
        <v>2</v>
      </c>
      <c r="Z6" s="53" t="n">
        <f aca="false">IFERROR(INDEX('Control Effectiveness'!$W$5:$W$47,MATCH($A6,'Control Effectiveness'!$A$5:$A$47,0)),0)</f>
        <v>2</v>
      </c>
      <c r="AA6" s="53" t="n">
        <f aca="false">IFERROR(INDEX('Control Effectiveness'!$X$5:$X$47,MATCH($A6,'Control Effectiveness'!$A$5:$A$47,0)),0)</f>
        <v>2</v>
      </c>
      <c r="AB6" s="53" t="n">
        <f aca="false">IFERROR(INDEX('Control Effectiveness'!$Y$5:$Y$47,MATCH($A6,'Control Effectiveness'!$A$5:$A$47,0)),0)</f>
        <v>1</v>
      </c>
      <c r="AC6" s="53" t="n">
        <f aca="false">IFERROR(INDEX('Control Effectiveness'!$Z$5:$Z$47,MATCH($A6,'Control Effectiveness'!$A$5:$A$47,0)),0)</f>
        <v>4</v>
      </c>
      <c r="AD6" s="53" t="n">
        <f aca="false">IFERROR(INDEX('Control Effectiveness'!$AA$5:$AA$47,MATCH($A6,'Control Effectiveness'!$A$5:$A$47,0)),0)</f>
        <v>1</v>
      </c>
      <c r="AE6" s="53" t="n">
        <f aca="false">IFERROR(INDEX('Control Effectiveness'!$AB$5:$AB$47,MATCH($A6,'Control Effectiveness'!$A$5:$A$47,0)),0)</f>
        <v>2</v>
      </c>
      <c r="AF6" s="53" t="n">
        <f aca="false">IFERROR(INDEX('Control Effectiveness'!$AC$5:$AC$47,MATCH($A6,'Control Effectiveness'!$A$5:$A$47,0)),0)</f>
        <v>1</v>
      </c>
      <c r="AG6" s="53" t="n">
        <f aca="false">IFERROR(INDEX('Control Effectiveness'!$AD$5:$AD$47,MATCH($A6,'Control Effectiveness'!$A$5:$A$47,0)),0)</f>
        <v>2</v>
      </c>
      <c r="AH6" s="53" t="n">
        <f aca="false">IFERROR(INDEX('Control Effectiveness'!$AE$5:$AE$47,MATCH($A6,'Control Effectiveness'!$A$5:$A$47,0)),0)</f>
        <v>1</v>
      </c>
      <c r="AI6" s="53" t="n">
        <f aca="false">IFERROR(INDEX('Control Effectiveness'!$AF$5:$AF$47,MATCH($A6,'Control Effectiveness'!$A$5:$A$47,0)),0)</f>
        <v>1</v>
      </c>
      <c r="AJ6" s="53" t="n">
        <f aca="false">IFERROR(INDEX('Control Effectiveness'!$AG$5:$AG$47,MATCH($A6,'Control Effectiveness'!$A$5:$A$47,0)),0)</f>
        <v>2</v>
      </c>
    </row>
    <row r="7" customFormat="false" ht="15" hidden="false" customHeight="false" outlineLevel="0" collapsed="false">
      <c r="A7" s="8" t="s">
        <v>581</v>
      </c>
      <c r="B7" s="12" t="str">
        <f aca="false">INDEX('Control Library'!$B$5:$B$47,MATCH(A7,'Control Library'!$A$5:$A$47,0))</f>
        <v>Customer due diligence and ID verification at onboarding</v>
      </c>
      <c r="C7" s="33" t="s">
        <v>278</v>
      </c>
      <c r="D7" s="12" t="str">
        <f aca="false">INDEX('Risk Taxonomy'!$B$5:$B$24,MATCH(C7,'Risk Taxonomy'!$A$5:$A$24,0))</f>
        <v>Fraud</v>
      </c>
      <c r="E7" s="24" t="n">
        <v>2</v>
      </c>
      <c r="F7" s="7" t="str">
        <f aca="false">INDEX('Control Library'!$F$5:$F$47,MATCH(A7,'Control Library'!$A$5:$A$47,0))</f>
        <v>Y</v>
      </c>
      <c r="G7" s="53" t="n">
        <f aca="false">IFERROR(INDEX('Control Effectiveness'!$D$5:$D$47,MATCH($A7,'Control Effectiveness'!$A$5:$A$47,0)),0)</f>
        <v>2</v>
      </c>
      <c r="H7" s="53" t="n">
        <f aca="false">IFERROR(INDEX('Control Effectiveness'!$E$5:$E$47,MATCH($A7,'Control Effectiveness'!$A$5:$A$47,0)),0)</f>
        <v>2</v>
      </c>
      <c r="I7" s="53" t="n">
        <f aca="false">IFERROR(INDEX('Control Effectiveness'!$F$5:$F$47,MATCH($A7,'Control Effectiveness'!$A$5:$A$47,0)),0)</f>
        <v>2</v>
      </c>
      <c r="J7" s="53" t="n">
        <f aca="false">IFERROR(INDEX('Control Effectiveness'!$G$5:$G$47,MATCH($A7,'Control Effectiveness'!$A$5:$A$47,0)),0)</f>
        <v>2</v>
      </c>
      <c r="K7" s="53" t="n">
        <f aca="false">IFERROR(INDEX('Control Effectiveness'!$H$5:$H$47,MATCH($A7,'Control Effectiveness'!$A$5:$A$47,0)),0)</f>
        <v>2</v>
      </c>
      <c r="L7" s="53" t="n">
        <f aca="false">IFERROR(INDEX('Control Effectiveness'!$I$5:$I$47,MATCH($A7,'Control Effectiveness'!$A$5:$A$47,0)),0)</f>
        <v>3</v>
      </c>
      <c r="M7" s="53" t="n">
        <f aca="false">IFERROR(INDEX('Control Effectiveness'!$J$5:$J$47,MATCH($A7,'Control Effectiveness'!$A$5:$A$47,0)),0)</f>
        <v>3</v>
      </c>
      <c r="N7" s="53" t="n">
        <f aca="false">IFERROR(INDEX('Control Effectiveness'!$K$5:$K$47,MATCH($A7,'Control Effectiveness'!$A$5:$A$47,0)),0)</f>
        <v>3</v>
      </c>
      <c r="O7" s="53" t="n">
        <f aca="false">IFERROR(INDEX('Control Effectiveness'!$L$5:$L$47,MATCH($A7,'Control Effectiveness'!$A$5:$A$47,0)),0)</f>
        <v>2</v>
      </c>
      <c r="P7" s="53" t="n">
        <f aca="false">IFERROR(INDEX('Control Effectiveness'!$M$5:$M$47,MATCH($A7,'Control Effectiveness'!$A$5:$A$47,0)),0)</f>
        <v>2</v>
      </c>
      <c r="Q7" s="53" t="n">
        <f aca="false">IFERROR(INDEX('Control Effectiveness'!$N$5:$N$47,MATCH($A7,'Control Effectiveness'!$A$5:$A$47,0)),0)</f>
        <v>2</v>
      </c>
      <c r="R7" s="53" t="n">
        <f aca="false">IFERROR(INDEX('Control Effectiveness'!$O$5:$O$47,MATCH($A7,'Control Effectiveness'!$A$5:$A$47,0)),0)</f>
        <v>4</v>
      </c>
      <c r="S7" s="53" t="n">
        <f aca="false">IFERROR(INDEX('Control Effectiveness'!$P$5:$P$47,MATCH($A7,'Control Effectiveness'!$A$5:$A$47,0)),0)</f>
        <v>2</v>
      </c>
      <c r="T7" s="53" t="n">
        <f aca="false">IFERROR(INDEX('Control Effectiveness'!$Q$5:$Q$47,MATCH($A7,'Control Effectiveness'!$A$5:$A$47,0)),0)</f>
        <v>3</v>
      </c>
      <c r="U7" s="53" t="n">
        <f aca="false">IFERROR(INDEX('Control Effectiveness'!$R$5:$R$47,MATCH($A7,'Control Effectiveness'!$A$5:$A$47,0)),0)</f>
        <v>3</v>
      </c>
      <c r="V7" s="53" t="n">
        <f aca="false">IFERROR(INDEX('Control Effectiveness'!$S$5:$S$47,MATCH($A7,'Control Effectiveness'!$A$5:$A$47,0)),0)</f>
        <v>4</v>
      </c>
      <c r="W7" s="53" t="n">
        <f aca="false">IFERROR(INDEX('Control Effectiveness'!$T$5:$T$47,MATCH($A7,'Control Effectiveness'!$A$5:$A$47,0)),0)</f>
        <v>2</v>
      </c>
      <c r="X7" s="53" t="n">
        <f aca="false">IFERROR(INDEX('Control Effectiveness'!$U$5:$U$47,MATCH($A7,'Control Effectiveness'!$A$5:$A$47,0)),0)</f>
        <v>2</v>
      </c>
      <c r="Y7" s="53" t="n">
        <f aca="false">IFERROR(INDEX('Control Effectiveness'!$V$5:$V$47,MATCH($A7,'Control Effectiveness'!$A$5:$A$47,0)),0)</f>
        <v>2</v>
      </c>
      <c r="Z7" s="53" t="n">
        <f aca="false">IFERROR(INDEX('Control Effectiveness'!$W$5:$W$47,MATCH($A7,'Control Effectiveness'!$A$5:$A$47,0)),0)</f>
        <v>2</v>
      </c>
      <c r="AA7" s="53" t="n">
        <f aca="false">IFERROR(INDEX('Control Effectiveness'!$X$5:$X$47,MATCH($A7,'Control Effectiveness'!$A$5:$A$47,0)),0)</f>
        <v>2</v>
      </c>
      <c r="AB7" s="53" t="n">
        <f aca="false">IFERROR(INDEX('Control Effectiveness'!$Y$5:$Y$47,MATCH($A7,'Control Effectiveness'!$A$5:$A$47,0)),0)</f>
        <v>1</v>
      </c>
      <c r="AC7" s="53" t="n">
        <f aca="false">IFERROR(INDEX('Control Effectiveness'!$Z$5:$Z$47,MATCH($A7,'Control Effectiveness'!$A$5:$A$47,0)),0)</f>
        <v>4</v>
      </c>
      <c r="AD7" s="53" t="n">
        <f aca="false">IFERROR(INDEX('Control Effectiveness'!$AA$5:$AA$47,MATCH($A7,'Control Effectiveness'!$A$5:$A$47,0)),0)</f>
        <v>1</v>
      </c>
      <c r="AE7" s="53" t="n">
        <f aca="false">IFERROR(INDEX('Control Effectiveness'!$AB$5:$AB$47,MATCH($A7,'Control Effectiveness'!$A$5:$A$47,0)),0)</f>
        <v>2</v>
      </c>
      <c r="AF7" s="53" t="n">
        <f aca="false">IFERROR(INDEX('Control Effectiveness'!$AC$5:$AC$47,MATCH($A7,'Control Effectiveness'!$A$5:$A$47,0)),0)</f>
        <v>1</v>
      </c>
      <c r="AG7" s="53" t="n">
        <f aca="false">IFERROR(INDEX('Control Effectiveness'!$AD$5:$AD$47,MATCH($A7,'Control Effectiveness'!$A$5:$A$47,0)),0)</f>
        <v>2</v>
      </c>
      <c r="AH7" s="53" t="n">
        <f aca="false">IFERROR(INDEX('Control Effectiveness'!$AE$5:$AE$47,MATCH($A7,'Control Effectiveness'!$A$5:$A$47,0)),0)</f>
        <v>1</v>
      </c>
      <c r="AI7" s="53" t="n">
        <f aca="false">IFERROR(INDEX('Control Effectiveness'!$AF$5:$AF$47,MATCH($A7,'Control Effectiveness'!$A$5:$A$47,0)),0)</f>
        <v>1</v>
      </c>
      <c r="AJ7" s="53" t="n">
        <f aca="false">IFERROR(INDEX('Control Effectiveness'!$AG$5:$AG$47,MATCH($A7,'Control Effectiveness'!$A$5:$A$47,0)),0)</f>
        <v>2</v>
      </c>
    </row>
    <row r="8" customFormat="false" ht="15" hidden="false" customHeight="false" outlineLevel="0" collapsed="false">
      <c r="A8" s="8" t="s">
        <v>581</v>
      </c>
      <c r="B8" s="12" t="str">
        <f aca="false">INDEX('Control Library'!$B$5:$B$47,MATCH(A8,'Control Library'!$A$5:$A$47,0))</f>
        <v>Customer due diligence and ID verification at onboarding</v>
      </c>
      <c r="C8" s="33" t="s">
        <v>281</v>
      </c>
      <c r="D8" s="12" t="str">
        <f aca="false">INDEX('Risk Taxonomy'!$B$5:$B$24,MATCH(C8,'Risk Taxonomy'!$A$5:$A$24,0))</f>
        <v>Tax evasion and tax transparency</v>
      </c>
      <c r="E8" s="24" t="n">
        <v>1</v>
      </c>
      <c r="F8" s="7" t="str">
        <f aca="false">INDEX('Control Library'!$F$5:$F$47,MATCH(A8,'Control Library'!$A$5:$A$47,0))</f>
        <v>Y</v>
      </c>
      <c r="G8" s="53" t="n">
        <f aca="false">IFERROR(INDEX('Control Effectiveness'!$D$5:$D$47,MATCH($A8,'Control Effectiveness'!$A$5:$A$47,0)),0)</f>
        <v>2</v>
      </c>
      <c r="H8" s="53" t="n">
        <f aca="false">IFERROR(INDEX('Control Effectiveness'!$E$5:$E$47,MATCH($A8,'Control Effectiveness'!$A$5:$A$47,0)),0)</f>
        <v>2</v>
      </c>
      <c r="I8" s="53" t="n">
        <f aca="false">IFERROR(INDEX('Control Effectiveness'!$F$5:$F$47,MATCH($A8,'Control Effectiveness'!$A$5:$A$47,0)),0)</f>
        <v>2</v>
      </c>
      <c r="J8" s="53" t="n">
        <f aca="false">IFERROR(INDEX('Control Effectiveness'!$G$5:$G$47,MATCH($A8,'Control Effectiveness'!$A$5:$A$47,0)),0)</f>
        <v>2</v>
      </c>
      <c r="K8" s="53" t="n">
        <f aca="false">IFERROR(INDEX('Control Effectiveness'!$H$5:$H$47,MATCH($A8,'Control Effectiveness'!$A$5:$A$47,0)),0)</f>
        <v>2</v>
      </c>
      <c r="L8" s="53" t="n">
        <f aca="false">IFERROR(INDEX('Control Effectiveness'!$I$5:$I$47,MATCH($A8,'Control Effectiveness'!$A$5:$A$47,0)),0)</f>
        <v>3</v>
      </c>
      <c r="M8" s="53" t="n">
        <f aca="false">IFERROR(INDEX('Control Effectiveness'!$J$5:$J$47,MATCH($A8,'Control Effectiveness'!$A$5:$A$47,0)),0)</f>
        <v>3</v>
      </c>
      <c r="N8" s="53" t="n">
        <f aca="false">IFERROR(INDEX('Control Effectiveness'!$K$5:$K$47,MATCH($A8,'Control Effectiveness'!$A$5:$A$47,0)),0)</f>
        <v>3</v>
      </c>
      <c r="O8" s="53" t="n">
        <f aca="false">IFERROR(INDEX('Control Effectiveness'!$L$5:$L$47,MATCH($A8,'Control Effectiveness'!$A$5:$A$47,0)),0)</f>
        <v>2</v>
      </c>
      <c r="P8" s="53" t="n">
        <f aca="false">IFERROR(INDEX('Control Effectiveness'!$M$5:$M$47,MATCH($A8,'Control Effectiveness'!$A$5:$A$47,0)),0)</f>
        <v>2</v>
      </c>
      <c r="Q8" s="53" t="n">
        <f aca="false">IFERROR(INDEX('Control Effectiveness'!$N$5:$N$47,MATCH($A8,'Control Effectiveness'!$A$5:$A$47,0)),0)</f>
        <v>2</v>
      </c>
      <c r="R8" s="53" t="n">
        <f aca="false">IFERROR(INDEX('Control Effectiveness'!$O$5:$O$47,MATCH($A8,'Control Effectiveness'!$A$5:$A$47,0)),0)</f>
        <v>4</v>
      </c>
      <c r="S8" s="53" t="n">
        <f aca="false">IFERROR(INDEX('Control Effectiveness'!$P$5:$P$47,MATCH($A8,'Control Effectiveness'!$A$5:$A$47,0)),0)</f>
        <v>2</v>
      </c>
      <c r="T8" s="53" t="n">
        <f aca="false">IFERROR(INDEX('Control Effectiveness'!$Q$5:$Q$47,MATCH($A8,'Control Effectiveness'!$A$5:$A$47,0)),0)</f>
        <v>3</v>
      </c>
      <c r="U8" s="53" t="n">
        <f aca="false">IFERROR(INDEX('Control Effectiveness'!$R$5:$R$47,MATCH($A8,'Control Effectiveness'!$A$5:$A$47,0)),0)</f>
        <v>3</v>
      </c>
      <c r="V8" s="53" t="n">
        <f aca="false">IFERROR(INDEX('Control Effectiveness'!$S$5:$S$47,MATCH($A8,'Control Effectiveness'!$A$5:$A$47,0)),0)</f>
        <v>4</v>
      </c>
      <c r="W8" s="53" t="n">
        <f aca="false">IFERROR(INDEX('Control Effectiveness'!$T$5:$T$47,MATCH($A8,'Control Effectiveness'!$A$5:$A$47,0)),0)</f>
        <v>2</v>
      </c>
      <c r="X8" s="53" t="n">
        <f aca="false">IFERROR(INDEX('Control Effectiveness'!$U$5:$U$47,MATCH($A8,'Control Effectiveness'!$A$5:$A$47,0)),0)</f>
        <v>2</v>
      </c>
      <c r="Y8" s="53" t="n">
        <f aca="false">IFERROR(INDEX('Control Effectiveness'!$V$5:$V$47,MATCH($A8,'Control Effectiveness'!$A$5:$A$47,0)),0)</f>
        <v>2</v>
      </c>
      <c r="Z8" s="53" t="n">
        <f aca="false">IFERROR(INDEX('Control Effectiveness'!$W$5:$W$47,MATCH($A8,'Control Effectiveness'!$A$5:$A$47,0)),0)</f>
        <v>2</v>
      </c>
      <c r="AA8" s="53" t="n">
        <f aca="false">IFERROR(INDEX('Control Effectiveness'!$X$5:$X$47,MATCH($A8,'Control Effectiveness'!$A$5:$A$47,0)),0)</f>
        <v>2</v>
      </c>
      <c r="AB8" s="53" t="n">
        <f aca="false">IFERROR(INDEX('Control Effectiveness'!$Y$5:$Y$47,MATCH($A8,'Control Effectiveness'!$A$5:$A$47,0)),0)</f>
        <v>1</v>
      </c>
      <c r="AC8" s="53" t="n">
        <f aca="false">IFERROR(INDEX('Control Effectiveness'!$Z$5:$Z$47,MATCH($A8,'Control Effectiveness'!$A$5:$A$47,0)),0)</f>
        <v>4</v>
      </c>
      <c r="AD8" s="53" t="n">
        <f aca="false">IFERROR(INDEX('Control Effectiveness'!$AA$5:$AA$47,MATCH($A8,'Control Effectiveness'!$A$5:$A$47,0)),0)</f>
        <v>1</v>
      </c>
      <c r="AE8" s="53" t="n">
        <f aca="false">IFERROR(INDEX('Control Effectiveness'!$AB$5:$AB$47,MATCH($A8,'Control Effectiveness'!$A$5:$A$47,0)),0)</f>
        <v>2</v>
      </c>
      <c r="AF8" s="53" t="n">
        <f aca="false">IFERROR(INDEX('Control Effectiveness'!$AC$5:$AC$47,MATCH($A8,'Control Effectiveness'!$A$5:$A$47,0)),0)</f>
        <v>1</v>
      </c>
      <c r="AG8" s="53" t="n">
        <f aca="false">IFERROR(INDEX('Control Effectiveness'!$AD$5:$AD$47,MATCH($A8,'Control Effectiveness'!$A$5:$A$47,0)),0)</f>
        <v>2</v>
      </c>
      <c r="AH8" s="53" t="n">
        <f aca="false">IFERROR(INDEX('Control Effectiveness'!$AE$5:$AE$47,MATCH($A8,'Control Effectiveness'!$A$5:$A$47,0)),0)</f>
        <v>1</v>
      </c>
      <c r="AI8" s="53" t="n">
        <f aca="false">IFERROR(INDEX('Control Effectiveness'!$AF$5:$AF$47,MATCH($A8,'Control Effectiveness'!$A$5:$A$47,0)),0)</f>
        <v>1</v>
      </c>
      <c r="AJ8" s="53" t="n">
        <f aca="false">IFERROR(INDEX('Control Effectiveness'!$AG$5:$AG$47,MATCH($A8,'Control Effectiveness'!$A$5:$A$47,0)),0)</f>
        <v>2</v>
      </c>
    </row>
    <row r="9" customFormat="false" ht="15" hidden="false" customHeight="false" outlineLevel="0" collapsed="false">
      <c r="A9" s="8" t="s">
        <v>590</v>
      </c>
      <c r="B9" s="12" t="str">
        <f aca="false">INDEX('Control Library'!$B$5:$B$47,MATCH(A9,'Control Library'!$A$5:$A$47,0))</f>
        <v>Enhanced due diligence for high-risk customers and PEPs, senior approval</v>
      </c>
      <c r="C9" s="33" t="s">
        <v>260</v>
      </c>
      <c r="D9" s="12" t="str">
        <f aca="false">INDEX('Risk Taxonomy'!$B$5:$B$24,MATCH(C9,'Risk Taxonomy'!$A$5:$A$24,0))</f>
        <v>Money laundering</v>
      </c>
      <c r="E9" s="24" t="n">
        <v>3</v>
      </c>
      <c r="F9" s="7" t="str">
        <f aca="false">INDEX('Control Library'!$F$5:$F$47,MATCH(A9,'Control Library'!$A$5:$A$47,0))</f>
        <v>Y</v>
      </c>
      <c r="G9" s="53" t="n">
        <f aca="false">IFERROR(INDEX('Control Effectiveness'!$D$5:$D$47,MATCH($A9,'Control Effectiveness'!$A$5:$A$47,0)),0)</f>
        <v>2</v>
      </c>
      <c r="H9" s="53" t="n">
        <f aca="false">IFERROR(INDEX('Control Effectiveness'!$E$5:$E$47,MATCH($A9,'Control Effectiveness'!$A$5:$A$47,0)),0)</f>
        <v>1</v>
      </c>
      <c r="I9" s="53" t="n">
        <f aca="false">IFERROR(INDEX('Control Effectiveness'!$F$5:$F$47,MATCH($A9,'Control Effectiveness'!$A$5:$A$47,0)),0)</f>
        <v>2</v>
      </c>
      <c r="J9" s="53" t="n">
        <f aca="false">IFERROR(INDEX('Control Effectiveness'!$G$5:$G$47,MATCH($A9,'Control Effectiveness'!$A$5:$A$47,0)),0)</f>
        <v>3</v>
      </c>
      <c r="K9" s="53" t="n">
        <f aca="false">IFERROR(INDEX('Control Effectiveness'!$H$5:$H$47,MATCH($A9,'Control Effectiveness'!$A$5:$A$47,0)),0)</f>
        <v>2</v>
      </c>
      <c r="L9" s="53" t="n">
        <f aca="false">IFERROR(INDEX('Control Effectiveness'!$I$5:$I$47,MATCH($A9,'Control Effectiveness'!$A$5:$A$47,0)),0)</f>
        <v>3</v>
      </c>
      <c r="M9" s="53" t="n">
        <f aca="false">IFERROR(INDEX('Control Effectiveness'!$J$5:$J$47,MATCH($A9,'Control Effectiveness'!$A$5:$A$47,0)),0)</f>
        <v>2</v>
      </c>
      <c r="N9" s="53" t="n">
        <f aca="false">IFERROR(INDEX('Control Effectiveness'!$K$5:$K$47,MATCH($A9,'Control Effectiveness'!$A$5:$A$47,0)),0)</f>
        <v>2</v>
      </c>
      <c r="O9" s="53" t="n">
        <f aca="false">IFERROR(INDEX('Control Effectiveness'!$L$5:$L$47,MATCH($A9,'Control Effectiveness'!$A$5:$A$47,0)),0)</f>
        <v>2</v>
      </c>
      <c r="P9" s="53" t="n">
        <f aca="false">IFERROR(INDEX('Control Effectiveness'!$M$5:$M$47,MATCH($A9,'Control Effectiveness'!$A$5:$A$47,0)),0)</f>
        <v>2</v>
      </c>
      <c r="Q9" s="53" t="n">
        <f aca="false">IFERROR(INDEX('Control Effectiveness'!$N$5:$N$47,MATCH($A9,'Control Effectiveness'!$A$5:$A$47,0)),0)</f>
        <v>2</v>
      </c>
      <c r="R9" s="53" t="n">
        <f aca="false">IFERROR(INDEX('Control Effectiveness'!$O$5:$O$47,MATCH($A9,'Control Effectiveness'!$A$5:$A$47,0)),0)</f>
        <v>2</v>
      </c>
      <c r="S9" s="53" t="n">
        <f aca="false">IFERROR(INDEX('Control Effectiveness'!$P$5:$P$47,MATCH($A9,'Control Effectiveness'!$A$5:$A$47,0)),0)</f>
        <v>3</v>
      </c>
      <c r="T9" s="53" t="n">
        <f aca="false">IFERROR(INDEX('Control Effectiveness'!$Q$5:$Q$47,MATCH($A9,'Control Effectiveness'!$A$5:$A$47,0)),0)</f>
        <v>2</v>
      </c>
      <c r="U9" s="53" t="n">
        <f aca="false">IFERROR(INDEX('Control Effectiveness'!$R$5:$R$47,MATCH($A9,'Control Effectiveness'!$A$5:$A$47,0)),0)</f>
        <v>3</v>
      </c>
      <c r="V9" s="53" t="n">
        <f aca="false">IFERROR(INDEX('Control Effectiveness'!$S$5:$S$47,MATCH($A9,'Control Effectiveness'!$A$5:$A$47,0)),0)</f>
        <v>2</v>
      </c>
      <c r="W9" s="53" t="n">
        <f aca="false">IFERROR(INDEX('Control Effectiveness'!$T$5:$T$47,MATCH($A9,'Control Effectiveness'!$A$5:$A$47,0)),0)</f>
        <v>2</v>
      </c>
      <c r="X9" s="53" t="n">
        <f aca="false">IFERROR(INDEX('Control Effectiveness'!$U$5:$U$47,MATCH($A9,'Control Effectiveness'!$A$5:$A$47,0)),0)</f>
        <v>2</v>
      </c>
      <c r="Y9" s="53" t="n">
        <f aca="false">IFERROR(INDEX('Control Effectiveness'!$V$5:$V$47,MATCH($A9,'Control Effectiveness'!$A$5:$A$47,0)),0)</f>
        <v>4</v>
      </c>
      <c r="Z9" s="53" t="n">
        <f aca="false">IFERROR(INDEX('Control Effectiveness'!$W$5:$W$47,MATCH($A9,'Control Effectiveness'!$A$5:$A$47,0)),0)</f>
        <v>3</v>
      </c>
      <c r="AA9" s="53" t="n">
        <f aca="false">IFERROR(INDEX('Control Effectiveness'!$X$5:$X$47,MATCH($A9,'Control Effectiveness'!$A$5:$A$47,0)),0)</f>
        <v>2</v>
      </c>
      <c r="AB9" s="53" t="n">
        <f aca="false">IFERROR(INDEX('Control Effectiveness'!$Y$5:$Y$47,MATCH($A9,'Control Effectiveness'!$A$5:$A$47,0)),0)</f>
        <v>2</v>
      </c>
      <c r="AC9" s="53" t="n">
        <f aca="false">IFERROR(INDEX('Control Effectiveness'!$Z$5:$Z$47,MATCH($A9,'Control Effectiveness'!$A$5:$A$47,0)),0)</f>
        <v>4</v>
      </c>
      <c r="AD9" s="53" t="n">
        <f aca="false">IFERROR(INDEX('Control Effectiveness'!$AA$5:$AA$47,MATCH($A9,'Control Effectiveness'!$A$5:$A$47,0)),0)</f>
        <v>1</v>
      </c>
      <c r="AE9" s="53" t="n">
        <f aca="false">IFERROR(INDEX('Control Effectiveness'!$AB$5:$AB$47,MATCH($A9,'Control Effectiveness'!$A$5:$A$47,0)),0)</f>
        <v>1</v>
      </c>
      <c r="AF9" s="53" t="n">
        <f aca="false">IFERROR(INDEX('Control Effectiveness'!$AC$5:$AC$47,MATCH($A9,'Control Effectiveness'!$A$5:$A$47,0)),0)</f>
        <v>2</v>
      </c>
      <c r="AG9" s="53" t="n">
        <f aca="false">IFERROR(INDEX('Control Effectiveness'!$AD$5:$AD$47,MATCH($A9,'Control Effectiveness'!$A$5:$A$47,0)),0)</f>
        <v>2</v>
      </c>
      <c r="AH9" s="53" t="n">
        <f aca="false">IFERROR(INDEX('Control Effectiveness'!$AE$5:$AE$47,MATCH($A9,'Control Effectiveness'!$A$5:$A$47,0)),0)</f>
        <v>1</v>
      </c>
      <c r="AI9" s="53" t="n">
        <f aca="false">IFERROR(INDEX('Control Effectiveness'!$AF$5:$AF$47,MATCH($A9,'Control Effectiveness'!$A$5:$A$47,0)),0)</f>
        <v>2</v>
      </c>
      <c r="AJ9" s="53" t="n">
        <f aca="false">IFERROR(INDEX('Control Effectiveness'!$AG$5:$AG$47,MATCH($A9,'Control Effectiveness'!$A$5:$A$47,0)),0)</f>
        <v>2</v>
      </c>
    </row>
    <row r="10" customFormat="false" ht="15" hidden="false" customHeight="false" outlineLevel="0" collapsed="false">
      <c r="A10" s="8" t="s">
        <v>590</v>
      </c>
      <c r="B10" s="12" t="str">
        <f aca="false">INDEX('Control Library'!$B$5:$B$47,MATCH(A10,'Control Library'!$A$5:$A$47,0))</f>
        <v>Enhanced due diligence for high-risk customers and PEPs, senior approval</v>
      </c>
      <c r="C10" s="33" t="s">
        <v>267</v>
      </c>
      <c r="D10" s="12" t="str">
        <f aca="false">INDEX('Risk Taxonomy'!$B$5:$B$24,MATCH(C10,'Risk Taxonomy'!$A$5:$A$24,0))</f>
        <v>Terrorist financing</v>
      </c>
      <c r="E10" s="24" t="n">
        <v>2</v>
      </c>
      <c r="F10" s="7" t="str">
        <f aca="false">INDEX('Control Library'!$F$5:$F$47,MATCH(A10,'Control Library'!$A$5:$A$47,0))</f>
        <v>Y</v>
      </c>
      <c r="G10" s="53" t="n">
        <f aca="false">IFERROR(INDEX('Control Effectiveness'!$D$5:$D$47,MATCH($A10,'Control Effectiveness'!$A$5:$A$47,0)),0)</f>
        <v>2</v>
      </c>
      <c r="H10" s="53" t="n">
        <f aca="false">IFERROR(INDEX('Control Effectiveness'!$E$5:$E$47,MATCH($A10,'Control Effectiveness'!$A$5:$A$47,0)),0)</f>
        <v>1</v>
      </c>
      <c r="I10" s="53" t="n">
        <f aca="false">IFERROR(INDEX('Control Effectiveness'!$F$5:$F$47,MATCH($A10,'Control Effectiveness'!$A$5:$A$47,0)),0)</f>
        <v>2</v>
      </c>
      <c r="J10" s="53" t="n">
        <f aca="false">IFERROR(INDEX('Control Effectiveness'!$G$5:$G$47,MATCH($A10,'Control Effectiveness'!$A$5:$A$47,0)),0)</f>
        <v>3</v>
      </c>
      <c r="K10" s="53" t="n">
        <f aca="false">IFERROR(INDEX('Control Effectiveness'!$H$5:$H$47,MATCH($A10,'Control Effectiveness'!$A$5:$A$47,0)),0)</f>
        <v>2</v>
      </c>
      <c r="L10" s="53" t="n">
        <f aca="false">IFERROR(INDEX('Control Effectiveness'!$I$5:$I$47,MATCH($A10,'Control Effectiveness'!$A$5:$A$47,0)),0)</f>
        <v>3</v>
      </c>
      <c r="M10" s="53" t="n">
        <f aca="false">IFERROR(INDEX('Control Effectiveness'!$J$5:$J$47,MATCH($A10,'Control Effectiveness'!$A$5:$A$47,0)),0)</f>
        <v>2</v>
      </c>
      <c r="N10" s="53" t="n">
        <f aca="false">IFERROR(INDEX('Control Effectiveness'!$K$5:$K$47,MATCH($A10,'Control Effectiveness'!$A$5:$A$47,0)),0)</f>
        <v>2</v>
      </c>
      <c r="O10" s="53" t="n">
        <f aca="false">IFERROR(INDEX('Control Effectiveness'!$L$5:$L$47,MATCH($A10,'Control Effectiveness'!$A$5:$A$47,0)),0)</f>
        <v>2</v>
      </c>
      <c r="P10" s="53" t="n">
        <f aca="false">IFERROR(INDEX('Control Effectiveness'!$M$5:$M$47,MATCH($A10,'Control Effectiveness'!$A$5:$A$47,0)),0)</f>
        <v>2</v>
      </c>
      <c r="Q10" s="53" t="n">
        <f aca="false">IFERROR(INDEX('Control Effectiveness'!$N$5:$N$47,MATCH($A10,'Control Effectiveness'!$A$5:$A$47,0)),0)</f>
        <v>2</v>
      </c>
      <c r="R10" s="53" t="n">
        <f aca="false">IFERROR(INDEX('Control Effectiveness'!$O$5:$O$47,MATCH($A10,'Control Effectiveness'!$A$5:$A$47,0)),0)</f>
        <v>2</v>
      </c>
      <c r="S10" s="53" t="n">
        <f aca="false">IFERROR(INDEX('Control Effectiveness'!$P$5:$P$47,MATCH($A10,'Control Effectiveness'!$A$5:$A$47,0)),0)</f>
        <v>3</v>
      </c>
      <c r="T10" s="53" t="n">
        <f aca="false">IFERROR(INDEX('Control Effectiveness'!$Q$5:$Q$47,MATCH($A10,'Control Effectiveness'!$A$5:$A$47,0)),0)</f>
        <v>2</v>
      </c>
      <c r="U10" s="53" t="n">
        <f aca="false">IFERROR(INDEX('Control Effectiveness'!$R$5:$R$47,MATCH($A10,'Control Effectiveness'!$A$5:$A$47,0)),0)</f>
        <v>3</v>
      </c>
      <c r="V10" s="53" t="n">
        <f aca="false">IFERROR(INDEX('Control Effectiveness'!$S$5:$S$47,MATCH($A10,'Control Effectiveness'!$A$5:$A$47,0)),0)</f>
        <v>2</v>
      </c>
      <c r="W10" s="53" t="n">
        <f aca="false">IFERROR(INDEX('Control Effectiveness'!$T$5:$T$47,MATCH($A10,'Control Effectiveness'!$A$5:$A$47,0)),0)</f>
        <v>2</v>
      </c>
      <c r="X10" s="53" t="n">
        <f aca="false">IFERROR(INDEX('Control Effectiveness'!$U$5:$U$47,MATCH($A10,'Control Effectiveness'!$A$5:$A$47,0)),0)</f>
        <v>2</v>
      </c>
      <c r="Y10" s="53" t="n">
        <f aca="false">IFERROR(INDEX('Control Effectiveness'!$V$5:$V$47,MATCH($A10,'Control Effectiveness'!$A$5:$A$47,0)),0)</f>
        <v>4</v>
      </c>
      <c r="Z10" s="53" t="n">
        <f aca="false">IFERROR(INDEX('Control Effectiveness'!$W$5:$W$47,MATCH($A10,'Control Effectiveness'!$A$5:$A$47,0)),0)</f>
        <v>3</v>
      </c>
      <c r="AA10" s="53" t="n">
        <f aca="false">IFERROR(INDEX('Control Effectiveness'!$X$5:$X$47,MATCH($A10,'Control Effectiveness'!$A$5:$A$47,0)),0)</f>
        <v>2</v>
      </c>
      <c r="AB10" s="53" t="n">
        <f aca="false">IFERROR(INDEX('Control Effectiveness'!$Y$5:$Y$47,MATCH($A10,'Control Effectiveness'!$A$5:$A$47,0)),0)</f>
        <v>2</v>
      </c>
      <c r="AC10" s="53" t="n">
        <f aca="false">IFERROR(INDEX('Control Effectiveness'!$Z$5:$Z$47,MATCH($A10,'Control Effectiveness'!$A$5:$A$47,0)),0)</f>
        <v>4</v>
      </c>
      <c r="AD10" s="53" t="n">
        <f aca="false">IFERROR(INDEX('Control Effectiveness'!$AA$5:$AA$47,MATCH($A10,'Control Effectiveness'!$A$5:$A$47,0)),0)</f>
        <v>1</v>
      </c>
      <c r="AE10" s="53" t="n">
        <f aca="false">IFERROR(INDEX('Control Effectiveness'!$AB$5:$AB$47,MATCH($A10,'Control Effectiveness'!$A$5:$A$47,0)),0)</f>
        <v>1</v>
      </c>
      <c r="AF10" s="53" t="n">
        <f aca="false">IFERROR(INDEX('Control Effectiveness'!$AC$5:$AC$47,MATCH($A10,'Control Effectiveness'!$A$5:$A$47,0)),0)</f>
        <v>2</v>
      </c>
      <c r="AG10" s="53" t="n">
        <f aca="false">IFERROR(INDEX('Control Effectiveness'!$AD$5:$AD$47,MATCH($A10,'Control Effectiveness'!$A$5:$A$47,0)),0)</f>
        <v>2</v>
      </c>
      <c r="AH10" s="53" t="n">
        <f aca="false">IFERROR(INDEX('Control Effectiveness'!$AE$5:$AE$47,MATCH($A10,'Control Effectiveness'!$A$5:$A$47,0)),0)</f>
        <v>1</v>
      </c>
      <c r="AI10" s="53" t="n">
        <f aca="false">IFERROR(INDEX('Control Effectiveness'!$AF$5:$AF$47,MATCH($A10,'Control Effectiveness'!$A$5:$A$47,0)),0)</f>
        <v>2</v>
      </c>
      <c r="AJ10" s="53" t="n">
        <f aca="false">IFERROR(INDEX('Control Effectiveness'!$AG$5:$AG$47,MATCH($A10,'Control Effectiveness'!$A$5:$A$47,0)),0)</f>
        <v>2</v>
      </c>
    </row>
    <row r="11" customFormat="false" ht="15" hidden="false" customHeight="false" outlineLevel="0" collapsed="false">
      <c r="A11" s="8" t="s">
        <v>590</v>
      </c>
      <c r="B11" s="12" t="str">
        <f aca="false">INDEX('Control Library'!$B$5:$B$47,MATCH(A11,'Control Library'!$A$5:$A$47,0))</f>
        <v>Enhanced due diligence for high-risk customers and PEPs, senior approval</v>
      </c>
      <c r="C11" s="33" t="s">
        <v>275</v>
      </c>
      <c r="D11" s="12" t="str">
        <f aca="false">INDEX('Risk Taxonomy'!$B$5:$B$24,MATCH(C11,'Risk Taxonomy'!$A$5:$A$24,0))</f>
        <v>Bribery and corruption</v>
      </c>
      <c r="E11" s="24" t="n">
        <v>2</v>
      </c>
      <c r="F11" s="7" t="str">
        <f aca="false">INDEX('Control Library'!$F$5:$F$47,MATCH(A11,'Control Library'!$A$5:$A$47,0))</f>
        <v>Y</v>
      </c>
      <c r="G11" s="53" t="n">
        <f aca="false">IFERROR(INDEX('Control Effectiveness'!$D$5:$D$47,MATCH($A11,'Control Effectiveness'!$A$5:$A$47,0)),0)</f>
        <v>2</v>
      </c>
      <c r="H11" s="53" t="n">
        <f aca="false">IFERROR(INDEX('Control Effectiveness'!$E$5:$E$47,MATCH($A11,'Control Effectiveness'!$A$5:$A$47,0)),0)</f>
        <v>1</v>
      </c>
      <c r="I11" s="53" t="n">
        <f aca="false">IFERROR(INDEX('Control Effectiveness'!$F$5:$F$47,MATCH($A11,'Control Effectiveness'!$A$5:$A$47,0)),0)</f>
        <v>2</v>
      </c>
      <c r="J11" s="53" t="n">
        <f aca="false">IFERROR(INDEX('Control Effectiveness'!$G$5:$G$47,MATCH($A11,'Control Effectiveness'!$A$5:$A$47,0)),0)</f>
        <v>3</v>
      </c>
      <c r="K11" s="53" t="n">
        <f aca="false">IFERROR(INDEX('Control Effectiveness'!$H$5:$H$47,MATCH($A11,'Control Effectiveness'!$A$5:$A$47,0)),0)</f>
        <v>2</v>
      </c>
      <c r="L11" s="53" t="n">
        <f aca="false">IFERROR(INDEX('Control Effectiveness'!$I$5:$I$47,MATCH($A11,'Control Effectiveness'!$A$5:$A$47,0)),0)</f>
        <v>3</v>
      </c>
      <c r="M11" s="53" t="n">
        <f aca="false">IFERROR(INDEX('Control Effectiveness'!$J$5:$J$47,MATCH($A11,'Control Effectiveness'!$A$5:$A$47,0)),0)</f>
        <v>2</v>
      </c>
      <c r="N11" s="53" t="n">
        <f aca="false">IFERROR(INDEX('Control Effectiveness'!$K$5:$K$47,MATCH($A11,'Control Effectiveness'!$A$5:$A$47,0)),0)</f>
        <v>2</v>
      </c>
      <c r="O11" s="53" t="n">
        <f aca="false">IFERROR(INDEX('Control Effectiveness'!$L$5:$L$47,MATCH($A11,'Control Effectiveness'!$A$5:$A$47,0)),0)</f>
        <v>2</v>
      </c>
      <c r="P11" s="53" t="n">
        <f aca="false">IFERROR(INDEX('Control Effectiveness'!$M$5:$M$47,MATCH($A11,'Control Effectiveness'!$A$5:$A$47,0)),0)</f>
        <v>2</v>
      </c>
      <c r="Q11" s="53" t="n">
        <f aca="false">IFERROR(INDEX('Control Effectiveness'!$N$5:$N$47,MATCH($A11,'Control Effectiveness'!$A$5:$A$47,0)),0)</f>
        <v>2</v>
      </c>
      <c r="R11" s="53" t="n">
        <f aca="false">IFERROR(INDEX('Control Effectiveness'!$O$5:$O$47,MATCH($A11,'Control Effectiveness'!$A$5:$A$47,0)),0)</f>
        <v>2</v>
      </c>
      <c r="S11" s="53" t="n">
        <f aca="false">IFERROR(INDEX('Control Effectiveness'!$P$5:$P$47,MATCH($A11,'Control Effectiveness'!$A$5:$A$47,0)),0)</f>
        <v>3</v>
      </c>
      <c r="T11" s="53" t="n">
        <f aca="false">IFERROR(INDEX('Control Effectiveness'!$Q$5:$Q$47,MATCH($A11,'Control Effectiveness'!$A$5:$A$47,0)),0)</f>
        <v>2</v>
      </c>
      <c r="U11" s="53" t="n">
        <f aca="false">IFERROR(INDEX('Control Effectiveness'!$R$5:$R$47,MATCH($A11,'Control Effectiveness'!$A$5:$A$47,0)),0)</f>
        <v>3</v>
      </c>
      <c r="V11" s="53" t="n">
        <f aca="false">IFERROR(INDEX('Control Effectiveness'!$S$5:$S$47,MATCH($A11,'Control Effectiveness'!$A$5:$A$47,0)),0)</f>
        <v>2</v>
      </c>
      <c r="W11" s="53" t="n">
        <f aca="false">IFERROR(INDEX('Control Effectiveness'!$T$5:$T$47,MATCH($A11,'Control Effectiveness'!$A$5:$A$47,0)),0)</f>
        <v>2</v>
      </c>
      <c r="X11" s="53" t="n">
        <f aca="false">IFERROR(INDEX('Control Effectiveness'!$U$5:$U$47,MATCH($A11,'Control Effectiveness'!$A$5:$A$47,0)),0)</f>
        <v>2</v>
      </c>
      <c r="Y11" s="53" t="n">
        <f aca="false">IFERROR(INDEX('Control Effectiveness'!$V$5:$V$47,MATCH($A11,'Control Effectiveness'!$A$5:$A$47,0)),0)</f>
        <v>4</v>
      </c>
      <c r="Z11" s="53" t="n">
        <f aca="false">IFERROR(INDEX('Control Effectiveness'!$W$5:$W$47,MATCH($A11,'Control Effectiveness'!$A$5:$A$47,0)),0)</f>
        <v>3</v>
      </c>
      <c r="AA11" s="53" t="n">
        <f aca="false">IFERROR(INDEX('Control Effectiveness'!$X$5:$X$47,MATCH($A11,'Control Effectiveness'!$A$5:$A$47,0)),0)</f>
        <v>2</v>
      </c>
      <c r="AB11" s="53" t="n">
        <f aca="false">IFERROR(INDEX('Control Effectiveness'!$Y$5:$Y$47,MATCH($A11,'Control Effectiveness'!$A$5:$A$47,0)),0)</f>
        <v>2</v>
      </c>
      <c r="AC11" s="53" t="n">
        <f aca="false">IFERROR(INDEX('Control Effectiveness'!$Z$5:$Z$47,MATCH($A11,'Control Effectiveness'!$A$5:$A$47,0)),0)</f>
        <v>4</v>
      </c>
      <c r="AD11" s="53" t="n">
        <f aca="false">IFERROR(INDEX('Control Effectiveness'!$AA$5:$AA$47,MATCH($A11,'Control Effectiveness'!$A$5:$A$47,0)),0)</f>
        <v>1</v>
      </c>
      <c r="AE11" s="53" t="n">
        <f aca="false">IFERROR(INDEX('Control Effectiveness'!$AB$5:$AB$47,MATCH($A11,'Control Effectiveness'!$A$5:$A$47,0)),0)</f>
        <v>1</v>
      </c>
      <c r="AF11" s="53" t="n">
        <f aca="false">IFERROR(INDEX('Control Effectiveness'!$AC$5:$AC$47,MATCH($A11,'Control Effectiveness'!$A$5:$A$47,0)),0)</f>
        <v>2</v>
      </c>
      <c r="AG11" s="53" t="n">
        <f aca="false">IFERROR(INDEX('Control Effectiveness'!$AD$5:$AD$47,MATCH($A11,'Control Effectiveness'!$A$5:$A$47,0)),0)</f>
        <v>2</v>
      </c>
      <c r="AH11" s="53" t="n">
        <f aca="false">IFERROR(INDEX('Control Effectiveness'!$AE$5:$AE$47,MATCH($A11,'Control Effectiveness'!$A$5:$A$47,0)),0)</f>
        <v>1</v>
      </c>
      <c r="AI11" s="53" t="n">
        <f aca="false">IFERROR(INDEX('Control Effectiveness'!$AF$5:$AF$47,MATCH($A11,'Control Effectiveness'!$A$5:$A$47,0)),0)</f>
        <v>2</v>
      </c>
      <c r="AJ11" s="53" t="n">
        <f aca="false">IFERROR(INDEX('Control Effectiveness'!$AG$5:$AG$47,MATCH($A11,'Control Effectiveness'!$A$5:$A$47,0)),0)</f>
        <v>2</v>
      </c>
    </row>
    <row r="12" customFormat="false" ht="15" hidden="false" customHeight="false" outlineLevel="0" collapsed="false">
      <c r="A12" s="8" t="s">
        <v>596</v>
      </c>
      <c r="B12" s="12" t="str">
        <f aca="false">INDEX('Control Library'!$B$5:$B$47,MATCH(A12,'Control Library'!$A$5:$A$47,0))</f>
        <v>Ultimate beneficial owner identification and verification</v>
      </c>
      <c r="C12" s="33" t="s">
        <v>260</v>
      </c>
      <c r="D12" s="12" t="str">
        <f aca="false">INDEX('Risk Taxonomy'!$B$5:$B$24,MATCH(C12,'Risk Taxonomy'!$A$5:$A$24,0))</f>
        <v>Money laundering</v>
      </c>
      <c r="E12" s="24" t="n">
        <v>2</v>
      </c>
      <c r="F12" s="7" t="str">
        <f aca="false">INDEX('Control Library'!$F$5:$F$47,MATCH(A12,'Control Library'!$A$5:$A$47,0))</f>
        <v>Y</v>
      </c>
      <c r="G12" s="53" t="n">
        <f aca="false">IFERROR(INDEX('Control Effectiveness'!$D$5:$D$47,MATCH($A12,'Control Effectiveness'!$A$5:$A$47,0)),0)</f>
        <v>1</v>
      </c>
      <c r="H12" s="53" t="n">
        <f aca="false">IFERROR(INDEX('Control Effectiveness'!$E$5:$E$47,MATCH($A12,'Control Effectiveness'!$A$5:$A$47,0)),0)</f>
        <v>4</v>
      </c>
      <c r="I12" s="53" t="n">
        <f aca="false">IFERROR(INDEX('Control Effectiveness'!$F$5:$F$47,MATCH($A12,'Control Effectiveness'!$A$5:$A$47,0)),0)</f>
        <v>1</v>
      </c>
      <c r="J12" s="53" t="n">
        <f aca="false">IFERROR(INDEX('Control Effectiveness'!$G$5:$G$47,MATCH($A12,'Control Effectiveness'!$A$5:$A$47,0)),0)</f>
        <v>2</v>
      </c>
      <c r="K12" s="53" t="n">
        <f aca="false">IFERROR(INDEX('Control Effectiveness'!$H$5:$H$47,MATCH($A12,'Control Effectiveness'!$A$5:$A$47,0)),0)</f>
        <v>2</v>
      </c>
      <c r="L12" s="53" t="n">
        <f aca="false">IFERROR(INDEX('Control Effectiveness'!$I$5:$I$47,MATCH($A12,'Control Effectiveness'!$A$5:$A$47,0)),0)</f>
        <v>2</v>
      </c>
      <c r="M12" s="53" t="n">
        <f aca="false">IFERROR(INDEX('Control Effectiveness'!$J$5:$J$47,MATCH($A12,'Control Effectiveness'!$A$5:$A$47,0)),0)</f>
        <v>2</v>
      </c>
      <c r="N12" s="53" t="n">
        <f aca="false">IFERROR(INDEX('Control Effectiveness'!$K$5:$K$47,MATCH($A12,'Control Effectiveness'!$A$5:$A$47,0)),0)</f>
        <v>4</v>
      </c>
      <c r="O12" s="53" t="n">
        <f aca="false">IFERROR(INDEX('Control Effectiveness'!$L$5:$L$47,MATCH($A12,'Control Effectiveness'!$A$5:$A$47,0)),0)</f>
        <v>2</v>
      </c>
      <c r="P12" s="53" t="n">
        <f aca="false">IFERROR(INDEX('Control Effectiveness'!$M$5:$M$47,MATCH($A12,'Control Effectiveness'!$A$5:$A$47,0)),0)</f>
        <v>1</v>
      </c>
      <c r="Q12" s="53" t="n">
        <f aca="false">IFERROR(INDEX('Control Effectiveness'!$N$5:$N$47,MATCH($A12,'Control Effectiveness'!$A$5:$A$47,0)),0)</f>
        <v>2</v>
      </c>
      <c r="R12" s="53" t="n">
        <f aca="false">IFERROR(INDEX('Control Effectiveness'!$O$5:$O$47,MATCH($A12,'Control Effectiveness'!$A$5:$A$47,0)),0)</f>
        <v>3</v>
      </c>
      <c r="S12" s="53" t="n">
        <f aca="false">IFERROR(INDEX('Control Effectiveness'!$P$5:$P$47,MATCH($A12,'Control Effectiveness'!$A$5:$A$47,0)),0)</f>
        <v>2</v>
      </c>
      <c r="T12" s="53" t="n">
        <f aca="false">IFERROR(INDEX('Control Effectiveness'!$Q$5:$Q$47,MATCH($A12,'Control Effectiveness'!$A$5:$A$47,0)),0)</f>
        <v>2</v>
      </c>
      <c r="U12" s="53" t="n">
        <f aca="false">IFERROR(INDEX('Control Effectiveness'!$R$5:$R$47,MATCH($A12,'Control Effectiveness'!$A$5:$A$47,0)),0)</f>
        <v>3</v>
      </c>
      <c r="V12" s="53" t="n">
        <f aca="false">IFERROR(INDEX('Control Effectiveness'!$S$5:$S$47,MATCH($A12,'Control Effectiveness'!$A$5:$A$47,0)),0)</f>
        <v>4</v>
      </c>
      <c r="W12" s="53" t="n">
        <f aca="false">IFERROR(INDEX('Control Effectiveness'!$T$5:$T$47,MATCH($A12,'Control Effectiveness'!$A$5:$A$47,0)),0)</f>
        <v>2</v>
      </c>
      <c r="X12" s="53" t="n">
        <f aca="false">IFERROR(INDEX('Control Effectiveness'!$U$5:$U$47,MATCH($A12,'Control Effectiveness'!$A$5:$A$47,0)),0)</f>
        <v>1</v>
      </c>
      <c r="Y12" s="53" t="n">
        <f aca="false">IFERROR(INDEX('Control Effectiveness'!$V$5:$V$47,MATCH($A12,'Control Effectiveness'!$A$5:$A$47,0)),0)</f>
        <v>2</v>
      </c>
      <c r="Z12" s="53" t="n">
        <f aca="false">IFERROR(INDEX('Control Effectiveness'!$W$5:$W$47,MATCH($A12,'Control Effectiveness'!$A$5:$A$47,0)),0)</f>
        <v>2</v>
      </c>
      <c r="AA12" s="53" t="n">
        <f aca="false">IFERROR(INDEX('Control Effectiveness'!$X$5:$X$47,MATCH($A12,'Control Effectiveness'!$A$5:$A$47,0)),0)</f>
        <v>2</v>
      </c>
      <c r="AB12" s="53" t="n">
        <f aca="false">IFERROR(INDEX('Control Effectiveness'!$Y$5:$Y$47,MATCH($A12,'Control Effectiveness'!$A$5:$A$47,0)),0)</f>
        <v>1</v>
      </c>
      <c r="AC12" s="53" t="n">
        <f aca="false">IFERROR(INDEX('Control Effectiveness'!$Z$5:$Z$47,MATCH($A12,'Control Effectiveness'!$A$5:$A$47,0)),0)</f>
        <v>1</v>
      </c>
      <c r="AD12" s="53" t="n">
        <f aca="false">IFERROR(INDEX('Control Effectiveness'!$AA$5:$AA$47,MATCH($A12,'Control Effectiveness'!$A$5:$A$47,0)),0)</f>
        <v>2</v>
      </c>
      <c r="AE12" s="53" t="n">
        <f aca="false">IFERROR(INDEX('Control Effectiveness'!$AB$5:$AB$47,MATCH($A12,'Control Effectiveness'!$A$5:$A$47,0)),0)</f>
        <v>3</v>
      </c>
      <c r="AF12" s="53" t="n">
        <f aca="false">IFERROR(INDEX('Control Effectiveness'!$AC$5:$AC$47,MATCH($A12,'Control Effectiveness'!$A$5:$A$47,0)),0)</f>
        <v>1</v>
      </c>
      <c r="AG12" s="53" t="n">
        <f aca="false">IFERROR(INDEX('Control Effectiveness'!$AD$5:$AD$47,MATCH($A12,'Control Effectiveness'!$A$5:$A$47,0)),0)</f>
        <v>2</v>
      </c>
      <c r="AH12" s="53" t="n">
        <f aca="false">IFERROR(INDEX('Control Effectiveness'!$AE$5:$AE$47,MATCH($A12,'Control Effectiveness'!$A$5:$A$47,0)),0)</f>
        <v>1</v>
      </c>
      <c r="AI12" s="53" t="n">
        <f aca="false">IFERROR(INDEX('Control Effectiveness'!$AF$5:$AF$47,MATCH($A12,'Control Effectiveness'!$A$5:$A$47,0)),0)</f>
        <v>1</v>
      </c>
      <c r="AJ12" s="53" t="n">
        <f aca="false">IFERROR(INDEX('Control Effectiveness'!$AG$5:$AG$47,MATCH($A12,'Control Effectiveness'!$A$5:$A$47,0)),0)</f>
        <v>1</v>
      </c>
    </row>
    <row r="13" customFormat="false" ht="15" hidden="false" customHeight="false" outlineLevel="0" collapsed="false">
      <c r="A13" s="8" t="s">
        <v>596</v>
      </c>
      <c r="B13" s="12" t="str">
        <f aca="false">INDEX('Control Library'!$B$5:$B$47,MATCH(A13,'Control Library'!$A$5:$A$47,0))</f>
        <v>Ultimate beneficial owner identification and verification</v>
      </c>
      <c r="C13" s="33" t="s">
        <v>270</v>
      </c>
      <c r="D13" s="12" t="str">
        <f aca="false">INDEX('Risk Taxonomy'!$B$5:$B$24,MATCH(C13,'Risk Taxonomy'!$A$5:$A$24,0))</f>
        <v>Proliferation financing</v>
      </c>
      <c r="E13" s="24" t="n">
        <v>2</v>
      </c>
      <c r="F13" s="7" t="str">
        <f aca="false">INDEX('Control Library'!$F$5:$F$47,MATCH(A13,'Control Library'!$A$5:$A$47,0))</f>
        <v>Y</v>
      </c>
      <c r="G13" s="53" t="n">
        <f aca="false">IFERROR(INDEX('Control Effectiveness'!$D$5:$D$47,MATCH($A13,'Control Effectiveness'!$A$5:$A$47,0)),0)</f>
        <v>1</v>
      </c>
      <c r="H13" s="53" t="n">
        <f aca="false">IFERROR(INDEX('Control Effectiveness'!$E$5:$E$47,MATCH($A13,'Control Effectiveness'!$A$5:$A$47,0)),0)</f>
        <v>4</v>
      </c>
      <c r="I13" s="53" t="n">
        <f aca="false">IFERROR(INDEX('Control Effectiveness'!$F$5:$F$47,MATCH($A13,'Control Effectiveness'!$A$5:$A$47,0)),0)</f>
        <v>1</v>
      </c>
      <c r="J13" s="53" t="n">
        <f aca="false">IFERROR(INDEX('Control Effectiveness'!$G$5:$G$47,MATCH($A13,'Control Effectiveness'!$A$5:$A$47,0)),0)</f>
        <v>2</v>
      </c>
      <c r="K13" s="53" t="n">
        <f aca="false">IFERROR(INDEX('Control Effectiveness'!$H$5:$H$47,MATCH($A13,'Control Effectiveness'!$A$5:$A$47,0)),0)</f>
        <v>2</v>
      </c>
      <c r="L13" s="53" t="n">
        <f aca="false">IFERROR(INDEX('Control Effectiveness'!$I$5:$I$47,MATCH($A13,'Control Effectiveness'!$A$5:$A$47,0)),0)</f>
        <v>2</v>
      </c>
      <c r="M13" s="53" t="n">
        <f aca="false">IFERROR(INDEX('Control Effectiveness'!$J$5:$J$47,MATCH($A13,'Control Effectiveness'!$A$5:$A$47,0)),0)</f>
        <v>2</v>
      </c>
      <c r="N13" s="53" t="n">
        <f aca="false">IFERROR(INDEX('Control Effectiveness'!$K$5:$K$47,MATCH($A13,'Control Effectiveness'!$A$5:$A$47,0)),0)</f>
        <v>4</v>
      </c>
      <c r="O13" s="53" t="n">
        <f aca="false">IFERROR(INDEX('Control Effectiveness'!$L$5:$L$47,MATCH($A13,'Control Effectiveness'!$A$5:$A$47,0)),0)</f>
        <v>2</v>
      </c>
      <c r="P13" s="53" t="n">
        <f aca="false">IFERROR(INDEX('Control Effectiveness'!$M$5:$M$47,MATCH($A13,'Control Effectiveness'!$A$5:$A$47,0)),0)</f>
        <v>1</v>
      </c>
      <c r="Q13" s="53" t="n">
        <f aca="false">IFERROR(INDEX('Control Effectiveness'!$N$5:$N$47,MATCH($A13,'Control Effectiveness'!$A$5:$A$47,0)),0)</f>
        <v>2</v>
      </c>
      <c r="R13" s="53" t="n">
        <f aca="false">IFERROR(INDEX('Control Effectiveness'!$O$5:$O$47,MATCH($A13,'Control Effectiveness'!$A$5:$A$47,0)),0)</f>
        <v>3</v>
      </c>
      <c r="S13" s="53" t="n">
        <f aca="false">IFERROR(INDEX('Control Effectiveness'!$P$5:$P$47,MATCH($A13,'Control Effectiveness'!$A$5:$A$47,0)),0)</f>
        <v>2</v>
      </c>
      <c r="T13" s="53" t="n">
        <f aca="false">IFERROR(INDEX('Control Effectiveness'!$Q$5:$Q$47,MATCH($A13,'Control Effectiveness'!$A$5:$A$47,0)),0)</f>
        <v>2</v>
      </c>
      <c r="U13" s="53" t="n">
        <f aca="false">IFERROR(INDEX('Control Effectiveness'!$R$5:$R$47,MATCH($A13,'Control Effectiveness'!$A$5:$A$47,0)),0)</f>
        <v>3</v>
      </c>
      <c r="V13" s="53" t="n">
        <f aca="false">IFERROR(INDEX('Control Effectiveness'!$S$5:$S$47,MATCH($A13,'Control Effectiveness'!$A$5:$A$47,0)),0)</f>
        <v>4</v>
      </c>
      <c r="W13" s="53" t="n">
        <f aca="false">IFERROR(INDEX('Control Effectiveness'!$T$5:$T$47,MATCH($A13,'Control Effectiveness'!$A$5:$A$47,0)),0)</f>
        <v>2</v>
      </c>
      <c r="X13" s="53" t="n">
        <f aca="false">IFERROR(INDEX('Control Effectiveness'!$U$5:$U$47,MATCH($A13,'Control Effectiveness'!$A$5:$A$47,0)),0)</f>
        <v>1</v>
      </c>
      <c r="Y13" s="53" t="n">
        <f aca="false">IFERROR(INDEX('Control Effectiveness'!$V$5:$V$47,MATCH($A13,'Control Effectiveness'!$A$5:$A$47,0)),0)</f>
        <v>2</v>
      </c>
      <c r="Z13" s="53" t="n">
        <f aca="false">IFERROR(INDEX('Control Effectiveness'!$W$5:$W$47,MATCH($A13,'Control Effectiveness'!$A$5:$A$47,0)),0)</f>
        <v>2</v>
      </c>
      <c r="AA13" s="53" t="n">
        <f aca="false">IFERROR(INDEX('Control Effectiveness'!$X$5:$X$47,MATCH($A13,'Control Effectiveness'!$A$5:$A$47,0)),0)</f>
        <v>2</v>
      </c>
      <c r="AB13" s="53" t="n">
        <f aca="false">IFERROR(INDEX('Control Effectiveness'!$Y$5:$Y$47,MATCH($A13,'Control Effectiveness'!$A$5:$A$47,0)),0)</f>
        <v>1</v>
      </c>
      <c r="AC13" s="53" t="n">
        <f aca="false">IFERROR(INDEX('Control Effectiveness'!$Z$5:$Z$47,MATCH($A13,'Control Effectiveness'!$A$5:$A$47,0)),0)</f>
        <v>1</v>
      </c>
      <c r="AD13" s="53" t="n">
        <f aca="false">IFERROR(INDEX('Control Effectiveness'!$AA$5:$AA$47,MATCH($A13,'Control Effectiveness'!$A$5:$A$47,0)),0)</f>
        <v>2</v>
      </c>
      <c r="AE13" s="53" t="n">
        <f aca="false">IFERROR(INDEX('Control Effectiveness'!$AB$5:$AB$47,MATCH($A13,'Control Effectiveness'!$A$5:$A$47,0)),0)</f>
        <v>3</v>
      </c>
      <c r="AF13" s="53" t="n">
        <f aca="false">IFERROR(INDEX('Control Effectiveness'!$AC$5:$AC$47,MATCH($A13,'Control Effectiveness'!$A$5:$A$47,0)),0)</f>
        <v>1</v>
      </c>
      <c r="AG13" s="53" t="n">
        <f aca="false">IFERROR(INDEX('Control Effectiveness'!$AD$5:$AD$47,MATCH($A13,'Control Effectiveness'!$A$5:$A$47,0)),0)</f>
        <v>2</v>
      </c>
      <c r="AH13" s="53" t="n">
        <f aca="false">IFERROR(INDEX('Control Effectiveness'!$AE$5:$AE$47,MATCH($A13,'Control Effectiveness'!$A$5:$A$47,0)),0)</f>
        <v>1</v>
      </c>
      <c r="AI13" s="53" t="n">
        <f aca="false">IFERROR(INDEX('Control Effectiveness'!$AF$5:$AF$47,MATCH($A13,'Control Effectiveness'!$A$5:$A$47,0)),0)</f>
        <v>1</v>
      </c>
      <c r="AJ13" s="53" t="n">
        <f aca="false">IFERROR(INDEX('Control Effectiveness'!$AG$5:$AG$47,MATCH($A13,'Control Effectiveness'!$A$5:$A$47,0)),0)</f>
        <v>1</v>
      </c>
    </row>
    <row r="14" customFormat="false" ht="15" hidden="false" customHeight="false" outlineLevel="0" collapsed="false">
      <c r="A14" s="8" t="s">
        <v>596</v>
      </c>
      <c r="B14" s="12" t="str">
        <f aca="false">INDEX('Control Library'!$B$5:$B$47,MATCH(A14,'Control Library'!$A$5:$A$47,0))</f>
        <v>Ultimate beneficial owner identification and verification</v>
      </c>
      <c r="C14" s="33" t="s">
        <v>272</v>
      </c>
      <c r="D14" s="12" t="str">
        <f aca="false">INDEX('Risk Taxonomy'!$B$5:$B$24,MATCH(C14,'Risk Taxonomy'!$A$5:$A$24,0))</f>
        <v>Sanctions</v>
      </c>
      <c r="E14" s="24" t="n">
        <v>1</v>
      </c>
      <c r="F14" s="7" t="str">
        <f aca="false">INDEX('Control Library'!$F$5:$F$47,MATCH(A14,'Control Library'!$A$5:$A$47,0))</f>
        <v>Y</v>
      </c>
      <c r="G14" s="53" t="n">
        <f aca="false">IFERROR(INDEX('Control Effectiveness'!$D$5:$D$47,MATCH($A14,'Control Effectiveness'!$A$5:$A$47,0)),0)</f>
        <v>1</v>
      </c>
      <c r="H14" s="53" t="n">
        <f aca="false">IFERROR(INDEX('Control Effectiveness'!$E$5:$E$47,MATCH($A14,'Control Effectiveness'!$A$5:$A$47,0)),0)</f>
        <v>4</v>
      </c>
      <c r="I14" s="53" t="n">
        <f aca="false">IFERROR(INDEX('Control Effectiveness'!$F$5:$F$47,MATCH($A14,'Control Effectiveness'!$A$5:$A$47,0)),0)</f>
        <v>1</v>
      </c>
      <c r="J14" s="53" t="n">
        <f aca="false">IFERROR(INDEX('Control Effectiveness'!$G$5:$G$47,MATCH($A14,'Control Effectiveness'!$A$5:$A$47,0)),0)</f>
        <v>2</v>
      </c>
      <c r="K14" s="53" t="n">
        <f aca="false">IFERROR(INDEX('Control Effectiveness'!$H$5:$H$47,MATCH($A14,'Control Effectiveness'!$A$5:$A$47,0)),0)</f>
        <v>2</v>
      </c>
      <c r="L14" s="53" t="n">
        <f aca="false">IFERROR(INDEX('Control Effectiveness'!$I$5:$I$47,MATCH($A14,'Control Effectiveness'!$A$5:$A$47,0)),0)</f>
        <v>2</v>
      </c>
      <c r="M14" s="53" t="n">
        <f aca="false">IFERROR(INDEX('Control Effectiveness'!$J$5:$J$47,MATCH($A14,'Control Effectiveness'!$A$5:$A$47,0)),0)</f>
        <v>2</v>
      </c>
      <c r="N14" s="53" t="n">
        <f aca="false">IFERROR(INDEX('Control Effectiveness'!$K$5:$K$47,MATCH($A14,'Control Effectiveness'!$A$5:$A$47,0)),0)</f>
        <v>4</v>
      </c>
      <c r="O14" s="53" t="n">
        <f aca="false">IFERROR(INDEX('Control Effectiveness'!$L$5:$L$47,MATCH($A14,'Control Effectiveness'!$A$5:$A$47,0)),0)</f>
        <v>2</v>
      </c>
      <c r="P14" s="53" t="n">
        <f aca="false">IFERROR(INDEX('Control Effectiveness'!$M$5:$M$47,MATCH($A14,'Control Effectiveness'!$A$5:$A$47,0)),0)</f>
        <v>1</v>
      </c>
      <c r="Q14" s="53" t="n">
        <f aca="false">IFERROR(INDEX('Control Effectiveness'!$N$5:$N$47,MATCH($A14,'Control Effectiveness'!$A$5:$A$47,0)),0)</f>
        <v>2</v>
      </c>
      <c r="R14" s="53" t="n">
        <f aca="false">IFERROR(INDEX('Control Effectiveness'!$O$5:$O$47,MATCH($A14,'Control Effectiveness'!$A$5:$A$47,0)),0)</f>
        <v>3</v>
      </c>
      <c r="S14" s="53" t="n">
        <f aca="false">IFERROR(INDEX('Control Effectiveness'!$P$5:$P$47,MATCH($A14,'Control Effectiveness'!$A$5:$A$47,0)),0)</f>
        <v>2</v>
      </c>
      <c r="T14" s="53" t="n">
        <f aca="false">IFERROR(INDEX('Control Effectiveness'!$Q$5:$Q$47,MATCH($A14,'Control Effectiveness'!$A$5:$A$47,0)),0)</f>
        <v>2</v>
      </c>
      <c r="U14" s="53" t="n">
        <f aca="false">IFERROR(INDEX('Control Effectiveness'!$R$5:$R$47,MATCH($A14,'Control Effectiveness'!$A$5:$A$47,0)),0)</f>
        <v>3</v>
      </c>
      <c r="V14" s="53" t="n">
        <f aca="false">IFERROR(INDEX('Control Effectiveness'!$S$5:$S$47,MATCH($A14,'Control Effectiveness'!$A$5:$A$47,0)),0)</f>
        <v>4</v>
      </c>
      <c r="W14" s="53" t="n">
        <f aca="false">IFERROR(INDEX('Control Effectiveness'!$T$5:$T$47,MATCH($A14,'Control Effectiveness'!$A$5:$A$47,0)),0)</f>
        <v>2</v>
      </c>
      <c r="X14" s="53" t="n">
        <f aca="false">IFERROR(INDEX('Control Effectiveness'!$U$5:$U$47,MATCH($A14,'Control Effectiveness'!$A$5:$A$47,0)),0)</f>
        <v>1</v>
      </c>
      <c r="Y14" s="53" t="n">
        <f aca="false">IFERROR(INDEX('Control Effectiveness'!$V$5:$V$47,MATCH($A14,'Control Effectiveness'!$A$5:$A$47,0)),0)</f>
        <v>2</v>
      </c>
      <c r="Z14" s="53" t="n">
        <f aca="false">IFERROR(INDEX('Control Effectiveness'!$W$5:$W$47,MATCH($A14,'Control Effectiveness'!$A$5:$A$47,0)),0)</f>
        <v>2</v>
      </c>
      <c r="AA14" s="53" t="n">
        <f aca="false">IFERROR(INDEX('Control Effectiveness'!$X$5:$X$47,MATCH($A14,'Control Effectiveness'!$A$5:$A$47,0)),0)</f>
        <v>2</v>
      </c>
      <c r="AB14" s="53" t="n">
        <f aca="false">IFERROR(INDEX('Control Effectiveness'!$Y$5:$Y$47,MATCH($A14,'Control Effectiveness'!$A$5:$A$47,0)),0)</f>
        <v>1</v>
      </c>
      <c r="AC14" s="53" t="n">
        <f aca="false">IFERROR(INDEX('Control Effectiveness'!$Z$5:$Z$47,MATCH($A14,'Control Effectiveness'!$A$5:$A$47,0)),0)</f>
        <v>1</v>
      </c>
      <c r="AD14" s="53" t="n">
        <f aca="false">IFERROR(INDEX('Control Effectiveness'!$AA$5:$AA$47,MATCH($A14,'Control Effectiveness'!$A$5:$A$47,0)),0)</f>
        <v>2</v>
      </c>
      <c r="AE14" s="53" t="n">
        <f aca="false">IFERROR(INDEX('Control Effectiveness'!$AB$5:$AB$47,MATCH($A14,'Control Effectiveness'!$A$5:$A$47,0)),0)</f>
        <v>3</v>
      </c>
      <c r="AF14" s="53" t="n">
        <f aca="false">IFERROR(INDEX('Control Effectiveness'!$AC$5:$AC$47,MATCH($A14,'Control Effectiveness'!$A$5:$A$47,0)),0)</f>
        <v>1</v>
      </c>
      <c r="AG14" s="53" t="n">
        <f aca="false">IFERROR(INDEX('Control Effectiveness'!$AD$5:$AD$47,MATCH($A14,'Control Effectiveness'!$A$5:$A$47,0)),0)</f>
        <v>2</v>
      </c>
      <c r="AH14" s="53" t="n">
        <f aca="false">IFERROR(INDEX('Control Effectiveness'!$AE$5:$AE$47,MATCH($A14,'Control Effectiveness'!$A$5:$A$47,0)),0)</f>
        <v>1</v>
      </c>
      <c r="AI14" s="53" t="n">
        <f aca="false">IFERROR(INDEX('Control Effectiveness'!$AF$5:$AF$47,MATCH($A14,'Control Effectiveness'!$A$5:$A$47,0)),0)</f>
        <v>1</v>
      </c>
      <c r="AJ14" s="53" t="n">
        <f aca="false">IFERROR(INDEX('Control Effectiveness'!$AG$5:$AG$47,MATCH($A14,'Control Effectiveness'!$A$5:$A$47,0)),0)</f>
        <v>1</v>
      </c>
    </row>
    <row r="15" customFormat="false" ht="15" hidden="false" customHeight="false" outlineLevel="0" collapsed="false">
      <c r="A15" s="8" t="s">
        <v>596</v>
      </c>
      <c r="B15" s="12" t="str">
        <f aca="false">INDEX('Control Library'!$B$5:$B$47,MATCH(A15,'Control Library'!$A$5:$A$47,0))</f>
        <v>Ultimate beneficial owner identification and verification</v>
      </c>
      <c r="C15" s="33" t="s">
        <v>281</v>
      </c>
      <c r="D15" s="12" t="str">
        <f aca="false">INDEX('Risk Taxonomy'!$B$5:$B$24,MATCH(C15,'Risk Taxonomy'!$A$5:$A$24,0))</f>
        <v>Tax evasion and tax transparency</v>
      </c>
      <c r="E15" s="24" t="n">
        <v>2</v>
      </c>
      <c r="F15" s="7" t="str">
        <f aca="false">INDEX('Control Library'!$F$5:$F$47,MATCH(A15,'Control Library'!$A$5:$A$47,0))</f>
        <v>Y</v>
      </c>
      <c r="G15" s="53" t="n">
        <f aca="false">IFERROR(INDEX('Control Effectiveness'!$D$5:$D$47,MATCH($A15,'Control Effectiveness'!$A$5:$A$47,0)),0)</f>
        <v>1</v>
      </c>
      <c r="H15" s="53" t="n">
        <f aca="false">IFERROR(INDEX('Control Effectiveness'!$E$5:$E$47,MATCH($A15,'Control Effectiveness'!$A$5:$A$47,0)),0)</f>
        <v>4</v>
      </c>
      <c r="I15" s="53" t="n">
        <f aca="false">IFERROR(INDEX('Control Effectiveness'!$F$5:$F$47,MATCH($A15,'Control Effectiveness'!$A$5:$A$47,0)),0)</f>
        <v>1</v>
      </c>
      <c r="J15" s="53" t="n">
        <f aca="false">IFERROR(INDEX('Control Effectiveness'!$G$5:$G$47,MATCH($A15,'Control Effectiveness'!$A$5:$A$47,0)),0)</f>
        <v>2</v>
      </c>
      <c r="K15" s="53" t="n">
        <f aca="false">IFERROR(INDEX('Control Effectiveness'!$H$5:$H$47,MATCH($A15,'Control Effectiveness'!$A$5:$A$47,0)),0)</f>
        <v>2</v>
      </c>
      <c r="L15" s="53" t="n">
        <f aca="false">IFERROR(INDEX('Control Effectiveness'!$I$5:$I$47,MATCH($A15,'Control Effectiveness'!$A$5:$A$47,0)),0)</f>
        <v>2</v>
      </c>
      <c r="M15" s="53" t="n">
        <f aca="false">IFERROR(INDEX('Control Effectiveness'!$J$5:$J$47,MATCH($A15,'Control Effectiveness'!$A$5:$A$47,0)),0)</f>
        <v>2</v>
      </c>
      <c r="N15" s="53" t="n">
        <f aca="false">IFERROR(INDEX('Control Effectiveness'!$K$5:$K$47,MATCH($A15,'Control Effectiveness'!$A$5:$A$47,0)),0)</f>
        <v>4</v>
      </c>
      <c r="O15" s="53" t="n">
        <f aca="false">IFERROR(INDEX('Control Effectiveness'!$L$5:$L$47,MATCH($A15,'Control Effectiveness'!$A$5:$A$47,0)),0)</f>
        <v>2</v>
      </c>
      <c r="P15" s="53" t="n">
        <f aca="false">IFERROR(INDEX('Control Effectiveness'!$M$5:$M$47,MATCH($A15,'Control Effectiveness'!$A$5:$A$47,0)),0)</f>
        <v>1</v>
      </c>
      <c r="Q15" s="53" t="n">
        <f aca="false">IFERROR(INDEX('Control Effectiveness'!$N$5:$N$47,MATCH($A15,'Control Effectiveness'!$A$5:$A$47,0)),0)</f>
        <v>2</v>
      </c>
      <c r="R15" s="53" t="n">
        <f aca="false">IFERROR(INDEX('Control Effectiveness'!$O$5:$O$47,MATCH($A15,'Control Effectiveness'!$A$5:$A$47,0)),0)</f>
        <v>3</v>
      </c>
      <c r="S15" s="53" t="n">
        <f aca="false">IFERROR(INDEX('Control Effectiveness'!$P$5:$P$47,MATCH($A15,'Control Effectiveness'!$A$5:$A$47,0)),0)</f>
        <v>2</v>
      </c>
      <c r="T15" s="53" t="n">
        <f aca="false">IFERROR(INDEX('Control Effectiveness'!$Q$5:$Q$47,MATCH($A15,'Control Effectiveness'!$A$5:$A$47,0)),0)</f>
        <v>2</v>
      </c>
      <c r="U15" s="53" t="n">
        <f aca="false">IFERROR(INDEX('Control Effectiveness'!$R$5:$R$47,MATCH($A15,'Control Effectiveness'!$A$5:$A$47,0)),0)</f>
        <v>3</v>
      </c>
      <c r="V15" s="53" t="n">
        <f aca="false">IFERROR(INDEX('Control Effectiveness'!$S$5:$S$47,MATCH($A15,'Control Effectiveness'!$A$5:$A$47,0)),0)</f>
        <v>4</v>
      </c>
      <c r="W15" s="53" t="n">
        <f aca="false">IFERROR(INDEX('Control Effectiveness'!$T$5:$T$47,MATCH($A15,'Control Effectiveness'!$A$5:$A$47,0)),0)</f>
        <v>2</v>
      </c>
      <c r="X15" s="53" t="n">
        <f aca="false">IFERROR(INDEX('Control Effectiveness'!$U$5:$U$47,MATCH($A15,'Control Effectiveness'!$A$5:$A$47,0)),0)</f>
        <v>1</v>
      </c>
      <c r="Y15" s="53" t="n">
        <f aca="false">IFERROR(INDEX('Control Effectiveness'!$V$5:$V$47,MATCH($A15,'Control Effectiveness'!$A$5:$A$47,0)),0)</f>
        <v>2</v>
      </c>
      <c r="Z15" s="53" t="n">
        <f aca="false">IFERROR(INDEX('Control Effectiveness'!$W$5:$W$47,MATCH($A15,'Control Effectiveness'!$A$5:$A$47,0)),0)</f>
        <v>2</v>
      </c>
      <c r="AA15" s="53" t="n">
        <f aca="false">IFERROR(INDEX('Control Effectiveness'!$X$5:$X$47,MATCH($A15,'Control Effectiveness'!$A$5:$A$47,0)),0)</f>
        <v>2</v>
      </c>
      <c r="AB15" s="53" t="n">
        <f aca="false">IFERROR(INDEX('Control Effectiveness'!$Y$5:$Y$47,MATCH($A15,'Control Effectiveness'!$A$5:$A$47,0)),0)</f>
        <v>1</v>
      </c>
      <c r="AC15" s="53" t="n">
        <f aca="false">IFERROR(INDEX('Control Effectiveness'!$Z$5:$Z$47,MATCH($A15,'Control Effectiveness'!$A$5:$A$47,0)),0)</f>
        <v>1</v>
      </c>
      <c r="AD15" s="53" t="n">
        <f aca="false">IFERROR(INDEX('Control Effectiveness'!$AA$5:$AA$47,MATCH($A15,'Control Effectiveness'!$A$5:$A$47,0)),0)</f>
        <v>2</v>
      </c>
      <c r="AE15" s="53" t="n">
        <f aca="false">IFERROR(INDEX('Control Effectiveness'!$AB$5:$AB$47,MATCH($A15,'Control Effectiveness'!$A$5:$A$47,0)),0)</f>
        <v>3</v>
      </c>
      <c r="AF15" s="53" t="n">
        <f aca="false">IFERROR(INDEX('Control Effectiveness'!$AC$5:$AC$47,MATCH($A15,'Control Effectiveness'!$A$5:$A$47,0)),0)</f>
        <v>1</v>
      </c>
      <c r="AG15" s="53" t="n">
        <f aca="false">IFERROR(INDEX('Control Effectiveness'!$AD$5:$AD$47,MATCH($A15,'Control Effectiveness'!$A$5:$A$47,0)),0)</f>
        <v>2</v>
      </c>
      <c r="AH15" s="53" t="n">
        <f aca="false">IFERROR(INDEX('Control Effectiveness'!$AE$5:$AE$47,MATCH($A15,'Control Effectiveness'!$A$5:$A$47,0)),0)</f>
        <v>1</v>
      </c>
      <c r="AI15" s="53" t="n">
        <f aca="false">IFERROR(INDEX('Control Effectiveness'!$AF$5:$AF$47,MATCH($A15,'Control Effectiveness'!$A$5:$A$47,0)),0)</f>
        <v>1</v>
      </c>
      <c r="AJ15" s="53" t="n">
        <f aca="false">IFERROR(INDEX('Control Effectiveness'!$AG$5:$AG$47,MATCH($A15,'Control Effectiveness'!$A$5:$A$47,0)),0)</f>
        <v>1</v>
      </c>
    </row>
    <row r="16" customFormat="false" ht="15" hidden="false" customHeight="false" outlineLevel="0" collapsed="false">
      <c r="A16" s="8" t="s">
        <v>599</v>
      </c>
      <c r="B16" s="12" t="str">
        <f aca="false">INDEX('Control Library'!$B$5:$B$47,MATCH(A16,'Control Library'!$A$5:$A$47,0))</f>
        <v>Periodic KYC review by customer risk rating</v>
      </c>
      <c r="C16" s="33" t="s">
        <v>260</v>
      </c>
      <c r="D16" s="12" t="str">
        <f aca="false">INDEX('Risk Taxonomy'!$B$5:$B$24,MATCH(C16,'Risk Taxonomy'!$A$5:$A$24,0))</f>
        <v>Money laundering</v>
      </c>
      <c r="E16" s="24" t="n">
        <v>2</v>
      </c>
      <c r="F16" s="7" t="str">
        <f aca="false">INDEX('Control Library'!$F$5:$F$47,MATCH(A16,'Control Library'!$A$5:$A$47,0))</f>
        <v>Y</v>
      </c>
      <c r="G16" s="53" t="n">
        <f aca="false">IFERROR(INDEX('Control Effectiveness'!$D$5:$D$47,MATCH($A16,'Control Effectiveness'!$A$5:$A$47,0)),0)</f>
        <v>2</v>
      </c>
      <c r="H16" s="53" t="n">
        <f aca="false">IFERROR(INDEX('Control Effectiveness'!$E$5:$E$47,MATCH($A16,'Control Effectiveness'!$A$5:$A$47,0)),0)</f>
        <v>2</v>
      </c>
      <c r="I16" s="53" t="n">
        <f aca="false">IFERROR(INDEX('Control Effectiveness'!$F$5:$F$47,MATCH($A16,'Control Effectiveness'!$A$5:$A$47,0)),0)</f>
        <v>3</v>
      </c>
      <c r="J16" s="53" t="n">
        <f aca="false">IFERROR(INDEX('Control Effectiveness'!$G$5:$G$47,MATCH($A16,'Control Effectiveness'!$A$5:$A$47,0)),0)</f>
        <v>2</v>
      </c>
      <c r="K16" s="53" t="n">
        <f aca="false">IFERROR(INDEX('Control Effectiveness'!$H$5:$H$47,MATCH($A16,'Control Effectiveness'!$A$5:$A$47,0)),0)</f>
        <v>1</v>
      </c>
      <c r="L16" s="53" t="n">
        <f aca="false">IFERROR(INDEX('Control Effectiveness'!$I$5:$I$47,MATCH($A16,'Control Effectiveness'!$A$5:$A$47,0)),0)</f>
        <v>3</v>
      </c>
      <c r="M16" s="53" t="n">
        <f aca="false">IFERROR(INDEX('Control Effectiveness'!$J$5:$J$47,MATCH($A16,'Control Effectiveness'!$A$5:$A$47,0)),0)</f>
        <v>2</v>
      </c>
      <c r="N16" s="53" t="n">
        <f aca="false">IFERROR(INDEX('Control Effectiveness'!$K$5:$K$47,MATCH($A16,'Control Effectiveness'!$A$5:$A$47,0)),0)</f>
        <v>3</v>
      </c>
      <c r="O16" s="53" t="n">
        <f aca="false">IFERROR(INDEX('Control Effectiveness'!$L$5:$L$47,MATCH($A16,'Control Effectiveness'!$A$5:$A$47,0)),0)</f>
        <v>2</v>
      </c>
      <c r="P16" s="53" t="n">
        <f aca="false">IFERROR(INDEX('Control Effectiveness'!$M$5:$M$47,MATCH($A16,'Control Effectiveness'!$A$5:$A$47,0)),0)</f>
        <v>2</v>
      </c>
      <c r="Q16" s="53" t="n">
        <f aca="false">IFERROR(INDEX('Control Effectiveness'!$N$5:$N$47,MATCH($A16,'Control Effectiveness'!$A$5:$A$47,0)),0)</f>
        <v>2</v>
      </c>
      <c r="R16" s="53" t="n">
        <f aca="false">IFERROR(INDEX('Control Effectiveness'!$O$5:$O$47,MATCH($A16,'Control Effectiveness'!$A$5:$A$47,0)),0)</f>
        <v>1</v>
      </c>
      <c r="S16" s="53" t="n">
        <f aca="false">IFERROR(INDEX('Control Effectiveness'!$P$5:$P$47,MATCH($A16,'Control Effectiveness'!$A$5:$A$47,0)),0)</f>
        <v>2</v>
      </c>
      <c r="T16" s="53" t="n">
        <f aca="false">IFERROR(INDEX('Control Effectiveness'!$Q$5:$Q$47,MATCH($A16,'Control Effectiveness'!$A$5:$A$47,0)),0)</f>
        <v>2</v>
      </c>
      <c r="U16" s="53" t="n">
        <f aca="false">IFERROR(INDEX('Control Effectiveness'!$R$5:$R$47,MATCH($A16,'Control Effectiveness'!$A$5:$A$47,0)),0)</f>
        <v>2</v>
      </c>
      <c r="V16" s="53" t="n">
        <f aca="false">IFERROR(INDEX('Control Effectiveness'!$S$5:$S$47,MATCH($A16,'Control Effectiveness'!$A$5:$A$47,0)),0)</f>
        <v>2</v>
      </c>
      <c r="W16" s="53" t="n">
        <f aca="false">IFERROR(INDEX('Control Effectiveness'!$T$5:$T$47,MATCH($A16,'Control Effectiveness'!$A$5:$A$47,0)),0)</f>
        <v>2</v>
      </c>
      <c r="X16" s="53" t="n">
        <f aca="false">IFERROR(INDEX('Control Effectiveness'!$U$5:$U$47,MATCH($A16,'Control Effectiveness'!$A$5:$A$47,0)),0)</f>
        <v>3</v>
      </c>
      <c r="Y16" s="53" t="n">
        <f aca="false">IFERROR(INDEX('Control Effectiveness'!$V$5:$V$47,MATCH($A16,'Control Effectiveness'!$A$5:$A$47,0)),0)</f>
        <v>1</v>
      </c>
      <c r="Z16" s="53" t="n">
        <f aca="false">IFERROR(INDEX('Control Effectiveness'!$W$5:$W$47,MATCH($A16,'Control Effectiveness'!$A$5:$A$47,0)),0)</f>
        <v>4</v>
      </c>
      <c r="AA16" s="53" t="n">
        <f aca="false">IFERROR(INDEX('Control Effectiveness'!$X$5:$X$47,MATCH($A16,'Control Effectiveness'!$A$5:$A$47,0)),0)</f>
        <v>3</v>
      </c>
      <c r="AB16" s="53" t="n">
        <f aca="false">IFERROR(INDEX('Control Effectiveness'!$Y$5:$Y$47,MATCH($A16,'Control Effectiveness'!$A$5:$A$47,0)),0)</f>
        <v>1</v>
      </c>
      <c r="AC16" s="53" t="n">
        <f aca="false">IFERROR(INDEX('Control Effectiveness'!$Z$5:$Z$47,MATCH($A16,'Control Effectiveness'!$A$5:$A$47,0)),0)</f>
        <v>4</v>
      </c>
      <c r="AD16" s="53" t="n">
        <f aca="false">IFERROR(INDEX('Control Effectiveness'!$AA$5:$AA$47,MATCH($A16,'Control Effectiveness'!$A$5:$A$47,0)),0)</f>
        <v>1</v>
      </c>
      <c r="AE16" s="53" t="n">
        <f aca="false">IFERROR(INDEX('Control Effectiveness'!$AB$5:$AB$47,MATCH($A16,'Control Effectiveness'!$A$5:$A$47,0)),0)</f>
        <v>2</v>
      </c>
      <c r="AF16" s="53" t="n">
        <f aca="false">IFERROR(INDEX('Control Effectiveness'!$AC$5:$AC$47,MATCH($A16,'Control Effectiveness'!$A$5:$A$47,0)),0)</f>
        <v>2</v>
      </c>
      <c r="AG16" s="53" t="n">
        <f aca="false">IFERROR(INDEX('Control Effectiveness'!$AD$5:$AD$47,MATCH($A16,'Control Effectiveness'!$A$5:$A$47,0)),0)</f>
        <v>2</v>
      </c>
      <c r="AH16" s="53" t="n">
        <f aca="false">IFERROR(INDEX('Control Effectiveness'!$AE$5:$AE$47,MATCH($A16,'Control Effectiveness'!$A$5:$A$47,0)),0)</f>
        <v>1</v>
      </c>
      <c r="AI16" s="53" t="n">
        <f aca="false">IFERROR(INDEX('Control Effectiveness'!$AF$5:$AF$47,MATCH($A16,'Control Effectiveness'!$A$5:$A$47,0)),0)</f>
        <v>2</v>
      </c>
      <c r="AJ16" s="53" t="n">
        <f aca="false">IFERROR(INDEX('Control Effectiveness'!$AG$5:$AG$47,MATCH($A16,'Control Effectiveness'!$A$5:$A$47,0)),0)</f>
        <v>2</v>
      </c>
    </row>
    <row r="17" customFormat="false" ht="15" hidden="false" customHeight="false" outlineLevel="0" collapsed="false">
      <c r="A17" s="8" t="s">
        <v>599</v>
      </c>
      <c r="B17" s="12" t="str">
        <f aca="false">INDEX('Control Library'!$B$5:$B$47,MATCH(A17,'Control Library'!$A$5:$A$47,0))</f>
        <v>Periodic KYC review by customer risk rating</v>
      </c>
      <c r="C17" s="33" t="s">
        <v>267</v>
      </c>
      <c r="D17" s="12" t="str">
        <f aca="false">INDEX('Risk Taxonomy'!$B$5:$B$24,MATCH(C17,'Risk Taxonomy'!$A$5:$A$24,0))</f>
        <v>Terrorist financing</v>
      </c>
      <c r="E17" s="24" t="n">
        <v>1</v>
      </c>
      <c r="F17" s="7" t="str">
        <f aca="false">INDEX('Control Library'!$F$5:$F$47,MATCH(A17,'Control Library'!$A$5:$A$47,0))</f>
        <v>Y</v>
      </c>
      <c r="G17" s="53" t="n">
        <f aca="false">IFERROR(INDEX('Control Effectiveness'!$D$5:$D$47,MATCH($A17,'Control Effectiveness'!$A$5:$A$47,0)),0)</f>
        <v>2</v>
      </c>
      <c r="H17" s="53" t="n">
        <f aca="false">IFERROR(INDEX('Control Effectiveness'!$E$5:$E$47,MATCH($A17,'Control Effectiveness'!$A$5:$A$47,0)),0)</f>
        <v>2</v>
      </c>
      <c r="I17" s="53" t="n">
        <f aca="false">IFERROR(INDEX('Control Effectiveness'!$F$5:$F$47,MATCH($A17,'Control Effectiveness'!$A$5:$A$47,0)),0)</f>
        <v>3</v>
      </c>
      <c r="J17" s="53" t="n">
        <f aca="false">IFERROR(INDEX('Control Effectiveness'!$G$5:$G$47,MATCH($A17,'Control Effectiveness'!$A$5:$A$47,0)),0)</f>
        <v>2</v>
      </c>
      <c r="K17" s="53" t="n">
        <f aca="false">IFERROR(INDEX('Control Effectiveness'!$H$5:$H$47,MATCH($A17,'Control Effectiveness'!$A$5:$A$47,0)),0)</f>
        <v>1</v>
      </c>
      <c r="L17" s="53" t="n">
        <f aca="false">IFERROR(INDEX('Control Effectiveness'!$I$5:$I$47,MATCH($A17,'Control Effectiveness'!$A$5:$A$47,0)),0)</f>
        <v>3</v>
      </c>
      <c r="M17" s="53" t="n">
        <f aca="false">IFERROR(INDEX('Control Effectiveness'!$J$5:$J$47,MATCH($A17,'Control Effectiveness'!$A$5:$A$47,0)),0)</f>
        <v>2</v>
      </c>
      <c r="N17" s="53" t="n">
        <f aca="false">IFERROR(INDEX('Control Effectiveness'!$K$5:$K$47,MATCH($A17,'Control Effectiveness'!$A$5:$A$47,0)),0)</f>
        <v>3</v>
      </c>
      <c r="O17" s="53" t="n">
        <f aca="false">IFERROR(INDEX('Control Effectiveness'!$L$5:$L$47,MATCH($A17,'Control Effectiveness'!$A$5:$A$47,0)),0)</f>
        <v>2</v>
      </c>
      <c r="P17" s="53" t="n">
        <f aca="false">IFERROR(INDEX('Control Effectiveness'!$M$5:$M$47,MATCH($A17,'Control Effectiveness'!$A$5:$A$47,0)),0)</f>
        <v>2</v>
      </c>
      <c r="Q17" s="53" t="n">
        <f aca="false">IFERROR(INDEX('Control Effectiveness'!$N$5:$N$47,MATCH($A17,'Control Effectiveness'!$A$5:$A$47,0)),0)</f>
        <v>2</v>
      </c>
      <c r="R17" s="53" t="n">
        <f aca="false">IFERROR(INDEX('Control Effectiveness'!$O$5:$O$47,MATCH($A17,'Control Effectiveness'!$A$5:$A$47,0)),0)</f>
        <v>1</v>
      </c>
      <c r="S17" s="53" t="n">
        <f aca="false">IFERROR(INDEX('Control Effectiveness'!$P$5:$P$47,MATCH($A17,'Control Effectiveness'!$A$5:$A$47,0)),0)</f>
        <v>2</v>
      </c>
      <c r="T17" s="53" t="n">
        <f aca="false">IFERROR(INDEX('Control Effectiveness'!$Q$5:$Q$47,MATCH($A17,'Control Effectiveness'!$A$5:$A$47,0)),0)</f>
        <v>2</v>
      </c>
      <c r="U17" s="53" t="n">
        <f aca="false">IFERROR(INDEX('Control Effectiveness'!$R$5:$R$47,MATCH($A17,'Control Effectiveness'!$A$5:$A$47,0)),0)</f>
        <v>2</v>
      </c>
      <c r="V17" s="53" t="n">
        <f aca="false">IFERROR(INDEX('Control Effectiveness'!$S$5:$S$47,MATCH($A17,'Control Effectiveness'!$A$5:$A$47,0)),0)</f>
        <v>2</v>
      </c>
      <c r="W17" s="53" t="n">
        <f aca="false">IFERROR(INDEX('Control Effectiveness'!$T$5:$T$47,MATCH($A17,'Control Effectiveness'!$A$5:$A$47,0)),0)</f>
        <v>2</v>
      </c>
      <c r="X17" s="53" t="n">
        <f aca="false">IFERROR(INDEX('Control Effectiveness'!$U$5:$U$47,MATCH($A17,'Control Effectiveness'!$A$5:$A$47,0)),0)</f>
        <v>3</v>
      </c>
      <c r="Y17" s="53" t="n">
        <f aca="false">IFERROR(INDEX('Control Effectiveness'!$V$5:$V$47,MATCH($A17,'Control Effectiveness'!$A$5:$A$47,0)),0)</f>
        <v>1</v>
      </c>
      <c r="Z17" s="53" t="n">
        <f aca="false">IFERROR(INDEX('Control Effectiveness'!$W$5:$W$47,MATCH($A17,'Control Effectiveness'!$A$5:$A$47,0)),0)</f>
        <v>4</v>
      </c>
      <c r="AA17" s="53" t="n">
        <f aca="false">IFERROR(INDEX('Control Effectiveness'!$X$5:$X$47,MATCH($A17,'Control Effectiveness'!$A$5:$A$47,0)),0)</f>
        <v>3</v>
      </c>
      <c r="AB17" s="53" t="n">
        <f aca="false">IFERROR(INDEX('Control Effectiveness'!$Y$5:$Y$47,MATCH($A17,'Control Effectiveness'!$A$5:$A$47,0)),0)</f>
        <v>1</v>
      </c>
      <c r="AC17" s="53" t="n">
        <f aca="false">IFERROR(INDEX('Control Effectiveness'!$Z$5:$Z$47,MATCH($A17,'Control Effectiveness'!$A$5:$A$47,0)),0)</f>
        <v>4</v>
      </c>
      <c r="AD17" s="53" t="n">
        <f aca="false">IFERROR(INDEX('Control Effectiveness'!$AA$5:$AA$47,MATCH($A17,'Control Effectiveness'!$A$5:$A$47,0)),0)</f>
        <v>1</v>
      </c>
      <c r="AE17" s="53" t="n">
        <f aca="false">IFERROR(INDEX('Control Effectiveness'!$AB$5:$AB$47,MATCH($A17,'Control Effectiveness'!$A$5:$A$47,0)),0)</f>
        <v>2</v>
      </c>
      <c r="AF17" s="53" t="n">
        <f aca="false">IFERROR(INDEX('Control Effectiveness'!$AC$5:$AC$47,MATCH($A17,'Control Effectiveness'!$A$5:$A$47,0)),0)</f>
        <v>2</v>
      </c>
      <c r="AG17" s="53" t="n">
        <f aca="false">IFERROR(INDEX('Control Effectiveness'!$AD$5:$AD$47,MATCH($A17,'Control Effectiveness'!$A$5:$A$47,0)),0)</f>
        <v>2</v>
      </c>
      <c r="AH17" s="53" t="n">
        <f aca="false">IFERROR(INDEX('Control Effectiveness'!$AE$5:$AE$47,MATCH($A17,'Control Effectiveness'!$A$5:$A$47,0)),0)</f>
        <v>1</v>
      </c>
      <c r="AI17" s="53" t="n">
        <f aca="false">IFERROR(INDEX('Control Effectiveness'!$AF$5:$AF$47,MATCH($A17,'Control Effectiveness'!$A$5:$A$47,0)),0)</f>
        <v>2</v>
      </c>
      <c r="AJ17" s="53" t="n">
        <f aca="false">IFERROR(INDEX('Control Effectiveness'!$AG$5:$AG$47,MATCH($A17,'Control Effectiveness'!$A$5:$A$47,0)),0)</f>
        <v>2</v>
      </c>
    </row>
    <row r="18" customFormat="false" ht="15" hidden="false" customHeight="false" outlineLevel="0" collapsed="false">
      <c r="A18" s="8" t="s">
        <v>599</v>
      </c>
      <c r="B18" s="12" t="str">
        <f aca="false">INDEX('Control Library'!$B$5:$B$47,MATCH(A18,'Control Library'!$A$5:$A$47,0))</f>
        <v>Periodic KYC review by customer risk rating</v>
      </c>
      <c r="C18" s="33" t="s">
        <v>281</v>
      </c>
      <c r="D18" s="12" t="str">
        <f aca="false">INDEX('Risk Taxonomy'!$B$5:$B$24,MATCH(C18,'Risk Taxonomy'!$A$5:$A$24,0))</f>
        <v>Tax evasion and tax transparency</v>
      </c>
      <c r="E18" s="24" t="n">
        <v>1</v>
      </c>
      <c r="F18" s="7" t="str">
        <f aca="false">INDEX('Control Library'!$F$5:$F$47,MATCH(A18,'Control Library'!$A$5:$A$47,0))</f>
        <v>Y</v>
      </c>
      <c r="G18" s="53" t="n">
        <f aca="false">IFERROR(INDEX('Control Effectiveness'!$D$5:$D$47,MATCH($A18,'Control Effectiveness'!$A$5:$A$47,0)),0)</f>
        <v>2</v>
      </c>
      <c r="H18" s="53" t="n">
        <f aca="false">IFERROR(INDEX('Control Effectiveness'!$E$5:$E$47,MATCH($A18,'Control Effectiveness'!$A$5:$A$47,0)),0)</f>
        <v>2</v>
      </c>
      <c r="I18" s="53" t="n">
        <f aca="false">IFERROR(INDEX('Control Effectiveness'!$F$5:$F$47,MATCH($A18,'Control Effectiveness'!$A$5:$A$47,0)),0)</f>
        <v>3</v>
      </c>
      <c r="J18" s="53" t="n">
        <f aca="false">IFERROR(INDEX('Control Effectiveness'!$G$5:$G$47,MATCH($A18,'Control Effectiveness'!$A$5:$A$47,0)),0)</f>
        <v>2</v>
      </c>
      <c r="K18" s="53" t="n">
        <f aca="false">IFERROR(INDEX('Control Effectiveness'!$H$5:$H$47,MATCH($A18,'Control Effectiveness'!$A$5:$A$47,0)),0)</f>
        <v>1</v>
      </c>
      <c r="L18" s="53" t="n">
        <f aca="false">IFERROR(INDEX('Control Effectiveness'!$I$5:$I$47,MATCH($A18,'Control Effectiveness'!$A$5:$A$47,0)),0)</f>
        <v>3</v>
      </c>
      <c r="M18" s="53" t="n">
        <f aca="false">IFERROR(INDEX('Control Effectiveness'!$J$5:$J$47,MATCH($A18,'Control Effectiveness'!$A$5:$A$47,0)),0)</f>
        <v>2</v>
      </c>
      <c r="N18" s="53" t="n">
        <f aca="false">IFERROR(INDEX('Control Effectiveness'!$K$5:$K$47,MATCH($A18,'Control Effectiveness'!$A$5:$A$47,0)),0)</f>
        <v>3</v>
      </c>
      <c r="O18" s="53" t="n">
        <f aca="false">IFERROR(INDEX('Control Effectiveness'!$L$5:$L$47,MATCH($A18,'Control Effectiveness'!$A$5:$A$47,0)),0)</f>
        <v>2</v>
      </c>
      <c r="P18" s="53" t="n">
        <f aca="false">IFERROR(INDEX('Control Effectiveness'!$M$5:$M$47,MATCH($A18,'Control Effectiveness'!$A$5:$A$47,0)),0)</f>
        <v>2</v>
      </c>
      <c r="Q18" s="53" t="n">
        <f aca="false">IFERROR(INDEX('Control Effectiveness'!$N$5:$N$47,MATCH($A18,'Control Effectiveness'!$A$5:$A$47,0)),0)</f>
        <v>2</v>
      </c>
      <c r="R18" s="53" t="n">
        <f aca="false">IFERROR(INDEX('Control Effectiveness'!$O$5:$O$47,MATCH($A18,'Control Effectiveness'!$A$5:$A$47,0)),0)</f>
        <v>1</v>
      </c>
      <c r="S18" s="53" t="n">
        <f aca="false">IFERROR(INDEX('Control Effectiveness'!$P$5:$P$47,MATCH($A18,'Control Effectiveness'!$A$5:$A$47,0)),0)</f>
        <v>2</v>
      </c>
      <c r="T18" s="53" t="n">
        <f aca="false">IFERROR(INDEX('Control Effectiveness'!$Q$5:$Q$47,MATCH($A18,'Control Effectiveness'!$A$5:$A$47,0)),0)</f>
        <v>2</v>
      </c>
      <c r="U18" s="53" t="n">
        <f aca="false">IFERROR(INDEX('Control Effectiveness'!$R$5:$R$47,MATCH($A18,'Control Effectiveness'!$A$5:$A$47,0)),0)</f>
        <v>2</v>
      </c>
      <c r="V18" s="53" t="n">
        <f aca="false">IFERROR(INDEX('Control Effectiveness'!$S$5:$S$47,MATCH($A18,'Control Effectiveness'!$A$5:$A$47,0)),0)</f>
        <v>2</v>
      </c>
      <c r="W18" s="53" t="n">
        <f aca="false">IFERROR(INDEX('Control Effectiveness'!$T$5:$T$47,MATCH($A18,'Control Effectiveness'!$A$5:$A$47,0)),0)</f>
        <v>2</v>
      </c>
      <c r="X18" s="53" t="n">
        <f aca="false">IFERROR(INDEX('Control Effectiveness'!$U$5:$U$47,MATCH($A18,'Control Effectiveness'!$A$5:$A$47,0)),0)</f>
        <v>3</v>
      </c>
      <c r="Y18" s="53" t="n">
        <f aca="false">IFERROR(INDEX('Control Effectiveness'!$V$5:$V$47,MATCH($A18,'Control Effectiveness'!$A$5:$A$47,0)),0)</f>
        <v>1</v>
      </c>
      <c r="Z18" s="53" t="n">
        <f aca="false">IFERROR(INDEX('Control Effectiveness'!$W$5:$W$47,MATCH($A18,'Control Effectiveness'!$A$5:$A$47,0)),0)</f>
        <v>4</v>
      </c>
      <c r="AA18" s="53" t="n">
        <f aca="false">IFERROR(INDEX('Control Effectiveness'!$X$5:$X$47,MATCH($A18,'Control Effectiveness'!$A$5:$A$47,0)),0)</f>
        <v>3</v>
      </c>
      <c r="AB18" s="53" t="n">
        <f aca="false">IFERROR(INDEX('Control Effectiveness'!$Y$5:$Y$47,MATCH($A18,'Control Effectiveness'!$A$5:$A$47,0)),0)</f>
        <v>1</v>
      </c>
      <c r="AC18" s="53" t="n">
        <f aca="false">IFERROR(INDEX('Control Effectiveness'!$Z$5:$Z$47,MATCH($A18,'Control Effectiveness'!$A$5:$A$47,0)),0)</f>
        <v>4</v>
      </c>
      <c r="AD18" s="53" t="n">
        <f aca="false">IFERROR(INDEX('Control Effectiveness'!$AA$5:$AA$47,MATCH($A18,'Control Effectiveness'!$A$5:$A$47,0)),0)</f>
        <v>1</v>
      </c>
      <c r="AE18" s="53" t="n">
        <f aca="false">IFERROR(INDEX('Control Effectiveness'!$AB$5:$AB$47,MATCH($A18,'Control Effectiveness'!$A$5:$A$47,0)),0)</f>
        <v>2</v>
      </c>
      <c r="AF18" s="53" t="n">
        <f aca="false">IFERROR(INDEX('Control Effectiveness'!$AC$5:$AC$47,MATCH($A18,'Control Effectiveness'!$A$5:$A$47,0)),0)</f>
        <v>2</v>
      </c>
      <c r="AG18" s="53" t="n">
        <f aca="false">IFERROR(INDEX('Control Effectiveness'!$AD$5:$AD$47,MATCH($A18,'Control Effectiveness'!$A$5:$A$47,0)),0)</f>
        <v>2</v>
      </c>
      <c r="AH18" s="53" t="n">
        <f aca="false">IFERROR(INDEX('Control Effectiveness'!$AE$5:$AE$47,MATCH($A18,'Control Effectiveness'!$A$5:$A$47,0)),0)</f>
        <v>1</v>
      </c>
      <c r="AI18" s="53" t="n">
        <f aca="false">IFERROR(INDEX('Control Effectiveness'!$AF$5:$AF$47,MATCH($A18,'Control Effectiveness'!$A$5:$A$47,0)),0)</f>
        <v>2</v>
      </c>
      <c r="AJ18" s="53" t="n">
        <f aca="false">IFERROR(INDEX('Control Effectiveness'!$AG$5:$AG$47,MATCH($A18,'Control Effectiveness'!$A$5:$A$47,0)),0)</f>
        <v>2</v>
      </c>
    </row>
    <row r="19" customFormat="false" ht="15" hidden="false" customHeight="false" outlineLevel="0" collapsed="false">
      <c r="A19" s="8" t="s">
        <v>603</v>
      </c>
      <c r="B19" s="12" t="str">
        <f aca="false">INDEX('Control Library'!$B$5:$B$47,MATCH(A19,'Control Library'!$A$5:$A$47,0))</f>
        <v>Customer risk rating model and annual validation</v>
      </c>
      <c r="C19" s="33" t="s">
        <v>260</v>
      </c>
      <c r="D19" s="12" t="str">
        <f aca="false">INDEX('Risk Taxonomy'!$B$5:$B$24,MATCH(C19,'Risk Taxonomy'!$A$5:$A$24,0))</f>
        <v>Money laundering</v>
      </c>
      <c r="E19" s="24" t="n">
        <v>1</v>
      </c>
      <c r="F19" s="7" t="str">
        <f aca="false">INDEX('Control Library'!$F$5:$F$47,MATCH(A19,'Control Library'!$A$5:$A$47,0))</f>
        <v>N</v>
      </c>
      <c r="G19" s="53" t="n">
        <f aca="false">IFERROR(INDEX('Control Effectiveness'!$D$5:$D$47,MATCH($A19,'Control Effectiveness'!$A$5:$A$47,0)),0)</f>
        <v>3</v>
      </c>
      <c r="H19" s="53" t="n">
        <f aca="false">IFERROR(INDEX('Control Effectiveness'!$E$5:$E$47,MATCH($A19,'Control Effectiveness'!$A$5:$A$47,0)),0)</f>
        <v>2</v>
      </c>
      <c r="I19" s="53" t="n">
        <f aca="false">IFERROR(INDEX('Control Effectiveness'!$F$5:$F$47,MATCH($A19,'Control Effectiveness'!$A$5:$A$47,0)),0)</f>
        <v>1</v>
      </c>
      <c r="J19" s="53" t="n">
        <f aca="false">IFERROR(INDEX('Control Effectiveness'!$G$5:$G$47,MATCH($A19,'Control Effectiveness'!$A$5:$A$47,0)),0)</f>
        <v>2</v>
      </c>
      <c r="K19" s="53" t="n">
        <f aca="false">IFERROR(INDEX('Control Effectiveness'!$H$5:$H$47,MATCH($A19,'Control Effectiveness'!$A$5:$A$47,0)),0)</f>
        <v>3</v>
      </c>
      <c r="L19" s="53" t="n">
        <f aca="false">IFERROR(INDEX('Control Effectiveness'!$I$5:$I$47,MATCH($A19,'Control Effectiveness'!$A$5:$A$47,0)),0)</f>
        <v>3</v>
      </c>
      <c r="M19" s="53" t="n">
        <f aca="false">IFERROR(INDEX('Control Effectiveness'!$J$5:$J$47,MATCH($A19,'Control Effectiveness'!$A$5:$A$47,0)),0)</f>
        <v>1</v>
      </c>
      <c r="N19" s="53" t="n">
        <f aca="false">IFERROR(INDEX('Control Effectiveness'!$K$5:$K$47,MATCH($A19,'Control Effectiveness'!$A$5:$A$47,0)),0)</f>
        <v>4</v>
      </c>
      <c r="O19" s="53" t="n">
        <f aca="false">IFERROR(INDEX('Control Effectiveness'!$L$5:$L$47,MATCH($A19,'Control Effectiveness'!$A$5:$A$47,0)),0)</f>
        <v>2</v>
      </c>
      <c r="P19" s="53" t="n">
        <f aca="false">IFERROR(INDEX('Control Effectiveness'!$M$5:$M$47,MATCH($A19,'Control Effectiveness'!$A$5:$A$47,0)),0)</f>
        <v>1</v>
      </c>
      <c r="Q19" s="53" t="n">
        <f aca="false">IFERROR(INDEX('Control Effectiveness'!$N$5:$N$47,MATCH($A19,'Control Effectiveness'!$A$5:$A$47,0)),0)</f>
        <v>2</v>
      </c>
      <c r="R19" s="53" t="n">
        <f aca="false">IFERROR(INDEX('Control Effectiveness'!$O$5:$O$47,MATCH($A19,'Control Effectiveness'!$A$5:$A$47,0)),0)</f>
        <v>2</v>
      </c>
      <c r="S19" s="53" t="n">
        <f aca="false">IFERROR(INDEX('Control Effectiveness'!$P$5:$P$47,MATCH($A19,'Control Effectiveness'!$A$5:$A$47,0)),0)</f>
        <v>3</v>
      </c>
      <c r="T19" s="53" t="n">
        <f aca="false">IFERROR(INDEX('Control Effectiveness'!$Q$5:$Q$47,MATCH($A19,'Control Effectiveness'!$A$5:$A$47,0)),0)</f>
        <v>2</v>
      </c>
      <c r="U19" s="53" t="n">
        <f aca="false">IFERROR(INDEX('Control Effectiveness'!$R$5:$R$47,MATCH($A19,'Control Effectiveness'!$A$5:$A$47,0)),0)</f>
        <v>3</v>
      </c>
      <c r="V19" s="53" t="n">
        <f aca="false">IFERROR(INDEX('Control Effectiveness'!$S$5:$S$47,MATCH($A19,'Control Effectiveness'!$A$5:$A$47,0)),0)</f>
        <v>2</v>
      </c>
      <c r="W19" s="53" t="n">
        <f aca="false">IFERROR(INDEX('Control Effectiveness'!$T$5:$T$47,MATCH($A19,'Control Effectiveness'!$A$5:$A$47,0)),0)</f>
        <v>2</v>
      </c>
      <c r="X19" s="53" t="n">
        <f aca="false">IFERROR(INDEX('Control Effectiveness'!$U$5:$U$47,MATCH($A19,'Control Effectiveness'!$A$5:$A$47,0)),0)</f>
        <v>2</v>
      </c>
      <c r="Y19" s="53" t="n">
        <f aca="false">IFERROR(INDEX('Control Effectiveness'!$V$5:$V$47,MATCH($A19,'Control Effectiveness'!$A$5:$A$47,0)),0)</f>
        <v>2</v>
      </c>
      <c r="Z19" s="53" t="n">
        <f aca="false">IFERROR(INDEX('Control Effectiveness'!$W$5:$W$47,MATCH($A19,'Control Effectiveness'!$A$5:$A$47,0)),0)</f>
        <v>2</v>
      </c>
      <c r="AA19" s="53" t="n">
        <f aca="false">IFERROR(INDEX('Control Effectiveness'!$X$5:$X$47,MATCH($A19,'Control Effectiveness'!$A$5:$A$47,0)),0)</f>
        <v>4</v>
      </c>
      <c r="AB19" s="53" t="n">
        <f aca="false">IFERROR(INDEX('Control Effectiveness'!$Y$5:$Y$47,MATCH($A19,'Control Effectiveness'!$A$5:$A$47,0)),0)</f>
        <v>1</v>
      </c>
      <c r="AC19" s="53" t="n">
        <f aca="false">IFERROR(INDEX('Control Effectiveness'!$Z$5:$Z$47,MATCH($A19,'Control Effectiveness'!$A$5:$A$47,0)),0)</f>
        <v>2</v>
      </c>
      <c r="AD19" s="53" t="n">
        <f aca="false">IFERROR(INDEX('Control Effectiveness'!$AA$5:$AA$47,MATCH($A19,'Control Effectiveness'!$A$5:$A$47,0)),0)</f>
        <v>1</v>
      </c>
      <c r="AE19" s="53" t="n">
        <f aca="false">IFERROR(INDEX('Control Effectiveness'!$AB$5:$AB$47,MATCH($A19,'Control Effectiveness'!$A$5:$A$47,0)),0)</f>
        <v>4</v>
      </c>
      <c r="AF19" s="53" t="n">
        <f aca="false">IFERROR(INDEX('Control Effectiveness'!$AC$5:$AC$47,MATCH($A19,'Control Effectiveness'!$A$5:$A$47,0)),0)</f>
        <v>2</v>
      </c>
      <c r="AG19" s="53" t="n">
        <f aca="false">IFERROR(INDEX('Control Effectiveness'!$AD$5:$AD$47,MATCH($A19,'Control Effectiveness'!$A$5:$A$47,0)),0)</f>
        <v>2</v>
      </c>
      <c r="AH19" s="53" t="n">
        <f aca="false">IFERROR(INDEX('Control Effectiveness'!$AE$5:$AE$47,MATCH($A19,'Control Effectiveness'!$A$5:$A$47,0)),0)</f>
        <v>1</v>
      </c>
      <c r="AI19" s="53" t="n">
        <f aca="false">IFERROR(INDEX('Control Effectiveness'!$AF$5:$AF$47,MATCH($A19,'Control Effectiveness'!$A$5:$A$47,0)),0)</f>
        <v>2</v>
      </c>
      <c r="AJ19" s="53" t="n">
        <f aca="false">IFERROR(INDEX('Control Effectiveness'!$AG$5:$AG$47,MATCH($A19,'Control Effectiveness'!$A$5:$A$47,0)),0)</f>
        <v>2</v>
      </c>
    </row>
    <row r="20" customFormat="false" ht="15" hidden="false" customHeight="false" outlineLevel="0" collapsed="false">
      <c r="A20" s="8" t="s">
        <v>603</v>
      </c>
      <c r="B20" s="12" t="str">
        <f aca="false">INDEX('Control Library'!$B$5:$B$47,MATCH(A20,'Control Library'!$A$5:$A$47,0))</f>
        <v>Customer risk rating model and annual validation</v>
      </c>
      <c r="C20" s="33" t="s">
        <v>267</v>
      </c>
      <c r="D20" s="12" t="str">
        <f aca="false">INDEX('Risk Taxonomy'!$B$5:$B$24,MATCH(C20,'Risk Taxonomy'!$A$5:$A$24,0))</f>
        <v>Terrorist financing</v>
      </c>
      <c r="E20" s="24" t="n">
        <v>1</v>
      </c>
      <c r="F20" s="7" t="str">
        <f aca="false">INDEX('Control Library'!$F$5:$F$47,MATCH(A20,'Control Library'!$A$5:$A$47,0))</f>
        <v>N</v>
      </c>
      <c r="G20" s="53" t="n">
        <f aca="false">IFERROR(INDEX('Control Effectiveness'!$D$5:$D$47,MATCH($A20,'Control Effectiveness'!$A$5:$A$47,0)),0)</f>
        <v>3</v>
      </c>
      <c r="H20" s="53" t="n">
        <f aca="false">IFERROR(INDEX('Control Effectiveness'!$E$5:$E$47,MATCH($A20,'Control Effectiveness'!$A$5:$A$47,0)),0)</f>
        <v>2</v>
      </c>
      <c r="I20" s="53" t="n">
        <f aca="false">IFERROR(INDEX('Control Effectiveness'!$F$5:$F$47,MATCH($A20,'Control Effectiveness'!$A$5:$A$47,0)),0)</f>
        <v>1</v>
      </c>
      <c r="J20" s="53" t="n">
        <f aca="false">IFERROR(INDEX('Control Effectiveness'!$G$5:$G$47,MATCH($A20,'Control Effectiveness'!$A$5:$A$47,0)),0)</f>
        <v>2</v>
      </c>
      <c r="K20" s="53" t="n">
        <f aca="false">IFERROR(INDEX('Control Effectiveness'!$H$5:$H$47,MATCH($A20,'Control Effectiveness'!$A$5:$A$47,0)),0)</f>
        <v>3</v>
      </c>
      <c r="L20" s="53" t="n">
        <f aca="false">IFERROR(INDEX('Control Effectiveness'!$I$5:$I$47,MATCH($A20,'Control Effectiveness'!$A$5:$A$47,0)),0)</f>
        <v>3</v>
      </c>
      <c r="M20" s="53" t="n">
        <f aca="false">IFERROR(INDEX('Control Effectiveness'!$J$5:$J$47,MATCH($A20,'Control Effectiveness'!$A$5:$A$47,0)),0)</f>
        <v>1</v>
      </c>
      <c r="N20" s="53" t="n">
        <f aca="false">IFERROR(INDEX('Control Effectiveness'!$K$5:$K$47,MATCH($A20,'Control Effectiveness'!$A$5:$A$47,0)),0)</f>
        <v>4</v>
      </c>
      <c r="O20" s="53" t="n">
        <f aca="false">IFERROR(INDEX('Control Effectiveness'!$L$5:$L$47,MATCH($A20,'Control Effectiveness'!$A$5:$A$47,0)),0)</f>
        <v>2</v>
      </c>
      <c r="P20" s="53" t="n">
        <f aca="false">IFERROR(INDEX('Control Effectiveness'!$M$5:$M$47,MATCH($A20,'Control Effectiveness'!$A$5:$A$47,0)),0)</f>
        <v>1</v>
      </c>
      <c r="Q20" s="53" t="n">
        <f aca="false">IFERROR(INDEX('Control Effectiveness'!$N$5:$N$47,MATCH($A20,'Control Effectiveness'!$A$5:$A$47,0)),0)</f>
        <v>2</v>
      </c>
      <c r="R20" s="53" t="n">
        <f aca="false">IFERROR(INDEX('Control Effectiveness'!$O$5:$O$47,MATCH($A20,'Control Effectiveness'!$A$5:$A$47,0)),0)</f>
        <v>2</v>
      </c>
      <c r="S20" s="53" t="n">
        <f aca="false">IFERROR(INDEX('Control Effectiveness'!$P$5:$P$47,MATCH($A20,'Control Effectiveness'!$A$5:$A$47,0)),0)</f>
        <v>3</v>
      </c>
      <c r="T20" s="53" t="n">
        <f aca="false">IFERROR(INDEX('Control Effectiveness'!$Q$5:$Q$47,MATCH($A20,'Control Effectiveness'!$A$5:$A$47,0)),0)</f>
        <v>2</v>
      </c>
      <c r="U20" s="53" t="n">
        <f aca="false">IFERROR(INDEX('Control Effectiveness'!$R$5:$R$47,MATCH($A20,'Control Effectiveness'!$A$5:$A$47,0)),0)</f>
        <v>3</v>
      </c>
      <c r="V20" s="53" t="n">
        <f aca="false">IFERROR(INDEX('Control Effectiveness'!$S$5:$S$47,MATCH($A20,'Control Effectiveness'!$A$5:$A$47,0)),0)</f>
        <v>2</v>
      </c>
      <c r="W20" s="53" t="n">
        <f aca="false">IFERROR(INDEX('Control Effectiveness'!$T$5:$T$47,MATCH($A20,'Control Effectiveness'!$A$5:$A$47,0)),0)</f>
        <v>2</v>
      </c>
      <c r="X20" s="53" t="n">
        <f aca="false">IFERROR(INDEX('Control Effectiveness'!$U$5:$U$47,MATCH($A20,'Control Effectiveness'!$A$5:$A$47,0)),0)</f>
        <v>2</v>
      </c>
      <c r="Y20" s="53" t="n">
        <f aca="false">IFERROR(INDEX('Control Effectiveness'!$V$5:$V$47,MATCH($A20,'Control Effectiveness'!$A$5:$A$47,0)),0)</f>
        <v>2</v>
      </c>
      <c r="Z20" s="53" t="n">
        <f aca="false">IFERROR(INDEX('Control Effectiveness'!$W$5:$W$47,MATCH($A20,'Control Effectiveness'!$A$5:$A$47,0)),0)</f>
        <v>2</v>
      </c>
      <c r="AA20" s="53" t="n">
        <f aca="false">IFERROR(INDEX('Control Effectiveness'!$X$5:$X$47,MATCH($A20,'Control Effectiveness'!$A$5:$A$47,0)),0)</f>
        <v>4</v>
      </c>
      <c r="AB20" s="53" t="n">
        <f aca="false">IFERROR(INDEX('Control Effectiveness'!$Y$5:$Y$47,MATCH($A20,'Control Effectiveness'!$A$5:$A$47,0)),0)</f>
        <v>1</v>
      </c>
      <c r="AC20" s="53" t="n">
        <f aca="false">IFERROR(INDEX('Control Effectiveness'!$Z$5:$Z$47,MATCH($A20,'Control Effectiveness'!$A$5:$A$47,0)),0)</f>
        <v>2</v>
      </c>
      <c r="AD20" s="53" t="n">
        <f aca="false">IFERROR(INDEX('Control Effectiveness'!$AA$5:$AA$47,MATCH($A20,'Control Effectiveness'!$A$5:$A$47,0)),0)</f>
        <v>1</v>
      </c>
      <c r="AE20" s="53" t="n">
        <f aca="false">IFERROR(INDEX('Control Effectiveness'!$AB$5:$AB$47,MATCH($A20,'Control Effectiveness'!$A$5:$A$47,0)),0)</f>
        <v>4</v>
      </c>
      <c r="AF20" s="53" t="n">
        <f aca="false">IFERROR(INDEX('Control Effectiveness'!$AC$5:$AC$47,MATCH($A20,'Control Effectiveness'!$A$5:$A$47,0)),0)</f>
        <v>2</v>
      </c>
      <c r="AG20" s="53" t="n">
        <f aca="false">IFERROR(INDEX('Control Effectiveness'!$AD$5:$AD$47,MATCH($A20,'Control Effectiveness'!$A$5:$A$47,0)),0)</f>
        <v>2</v>
      </c>
      <c r="AH20" s="53" t="n">
        <f aca="false">IFERROR(INDEX('Control Effectiveness'!$AE$5:$AE$47,MATCH($A20,'Control Effectiveness'!$A$5:$A$47,0)),0)</f>
        <v>1</v>
      </c>
      <c r="AI20" s="53" t="n">
        <f aca="false">IFERROR(INDEX('Control Effectiveness'!$AF$5:$AF$47,MATCH($A20,'Control Effectiveness'!$A$5:$A$47,0)),0)</f>
        <v>2</v>
      </c>
      <c r="AJ20" s="53" t="n">
        <f aca="false">IFERROR(INDEX('Control Effectiveness'!$AG$5:$AG$47,MATCH($A20,'Control Effectiveness'!$A$5:$A$47,0)),0)</f>
        <v>2</v>
      </c>
    </row>
    <row r="21" customFormat="false" ht="15" hidden="false" customHeight="false" outlineLevel="0" collapsed="false">
      <c r="A21" s="8" t="s">
        <v>610</v>
      </c>
      <c r="B21" s="12" t="str">
        <f aca="false">INDEX('Control Library'!$B$5:$B$47,MATCH(A21,'Control Library'!$A$5:$A$47,0))</f>
        <v>Automated transaction monitoring scenarios and annual tuning</v>
      </c>
      <c r="C21" s="33" t="s">
        <v>260</v>
      </c>
      <c r="D21" s="12" t="str">
        <f aca="false">INDEX('Risk Taxonomy'!$B$5:$B$24,MATCH(C21,'Risk Taxonomy'!$A$5:$A$24,0))</f>
        <v>Money laundering</v>
      </c>
      <c r="E21" s="24" t="n">
        <v>3</v>
      </c>
      <c r="F21" s="7" t="str">
        <f aca="false">INDEX('Control Library'!$F$5:$F$47,MATCH(A21,'Control Library'!$A$5:$A$47,0))</f>
        <v>Y</v>
      </c>
      <c r="G21" s="53" t="n">
        <f aca="false">IFERROR(INDEX('Control Effectiveness'!$D$5:$D$47,MATCH($A21,'Control Effectiveness'!$A$5:$A$47,0)),0)</f>
        <v>2</v>
      </c>
      <c r="H21" s="53" t="n">
        <f aca="false">IFERROR(INDEX('Control Effectiveness'!$E$5:$E$47,MATCH($A21,'Control Effectiveness'!$A$5:$A$47,0)),0)</f>
        <v>2</v>
      </c>
      <c r="I21" s="53" t="n">
        <f aca="false">IFERROR(INDEX('Control Effectiveness'!$F$5:$F$47,MATCH($A21,'Control Effectiveness'!$A$5:$A$47,0)),0)</f>
        <v>0</v>
      </c>
      <c r="J21" s="53" t="n">
        <f aca="false">IFERROR(INDEX('Control Effectiveness'!$G$5:$G$47,MATCH($A21,'Control Effectiveness'!$A$5:$A$47,0)),0)</f>
        <v>0</v>
      </c>
      <c r="K21" s="53" t="n">
        <f aca="false">IFERROR(INDEX('Control Effectiveness'!$H$5:$H$47,MATCH($A21,'Control Effectiveness'!$A$5:$A$47,0)),0)</f>
        <v>0</v>
      </c>
      <c r="L21" s="53" t="n">
        <f aca="false">IFERROR(INDEX('Control Effectiveness'!$I$5:$I$47,MATCH($A21,'Control Effectiveness'!$A$5:$A$47,0)),0)</f>
        <v>3</v>
      </c>
      <c r="M21" s="53" t="n">
        <f aca="false">IFERROR(INDEX('Control Effectiveness'!$J$5:$J$47,MATCH($A21,'Control Effectiveness'!$A$5:$A$47,0)),0)</f>
        <v>0</v>
      </c>
      <c r="N21" s="53" t="n">
        <f aca="false">IFERROR(INDEX('Control Effectiveness'!$K$5:$K$47,MATCH($A21,'Control Effectiveness'!$A$5:$A$47,0)),0)</f>
        <v>2</v>
      </c>
      <c r="O21" s="53" t="n">
        <f aca="false">IFERROR(INDEX('Control Effectiveness'!$L$5:$L$47,MATCH($A21,'Control Effectiveness'!$A$5:$A$47,0)),0)</f>
        <v>2</v>
      </c>
      <c r="P21" s="53" t="n">
        <f aca="false">IFERROR(INDEX('Control Effectiveness'!$M$5:$M$47,MATCH($A21,'Control Effectiveness'!$A$5:$A$47,0)),0)</f>
        <v>2</v>
      </c>
      <c r="Q21" s="53" t="n">
        <f aca="false">IFERROR(INDEX('Control Effectiveness'!$N$5:$N$47,MATCH($A21,'Control Effectiveness'!$A$5:$A$47,0)),0)</f>
        <v>2</v>
      </c>
      <c r="R21" s="53" t="n">
        <f aca="false">IFERROR(INDEX('Control Effectiveness'!$O$5:$O$47,MATCH($A21,'Control Effectiveness'!$A$5:$A$47,0)),0)</f>
        <v>2</v>
      </c>
      <c r="S21" s="53" t="n">
        <f aca="false">IFERROR(INDEX('Control Effectiveness'!$P$5:$P$47,MATCH($A21,'Control Effectiveness'!$A$5:$A$47,0)),0)</f>
        <v>1</v>
      </c>
      <c r="T21" s="53" t="n">
        <f aca="false">IFERROR(INDEX('Control Effectiveness'!$Q$5:$Q$47,MATCH($A21,'Control Effectiveness'!$A$5:$A$47,0)),0)</f>
        <v>2</v>
      </c>
      <c r="U21" s="53" t="n">
        <f aca="false">IFERROR(INDEX('Control Effectiveness'!$R$5:$R$47,MATCH($A21,'Control Effectiveness'!$A$5:$A$47,0)),0)</f>
        <v>2</v>
      </c>
      <c r="V21" s="53" t="n">
        <f aca="false">IFERROR(INDEX('Control Effectiveness'!$S$5:$S$47,MATCH($A21,'Control Effectiveness'!$A$5:$A$47,0)),0)</f>
        <v>2</v>
      </c>
      <c r="W21" s="53" t="n">
        <f aca="false">IFERROR(INDEX('Control Effectiveness'!$T$5:$T$47,MATCH($A21,'Control Effectiveness'!$A$5:$A$47,0)),0)</f>
        <v>2</v>
      </c>
      <c r="X21" s="53" t="n">
        <f aca="false">IFERROR(INDEX('Control Effectiveness'!$U$5:$U$47,MATCH($A21,'Control Effectiveness'!$A$5:$A$47,0)),0)</f>
        <v>2</v>
      </c>
      <c r="Y21" s="53" t="n">
        <f aca="false">IFERROR(INDEX('Control Effectiveness'!$V$5:$V$47,MATCH($A21,'Control Effectiveness'!$A$5:$A$47,0)),0)</f>
        <v>2</v>
      </c>
      <c r="Z21" s="53" t="n">
        <f aca="false">IFERROR(INDEX('Control Effectiveness'!$W$5:$W$47,MATCH($A21,'Control Effectiveness'!$A$5:$A$47,0)),0)</f>
        <v>2</v>
      </c>
      <c r="AA21" s="53" t="n">
        <f aca="false">IFERROR(INDEX('Control Effectiveness'!$X$5:$X$47,MATCH($A21,'Control Effectiveness'!$A$5:$A$47,0)),0)</f>
        <v>3</v>
      </c>
      <c r="AB21" s="53" t="n">
        <f aca="false">IFERROR(INDEX('Control Effectiveness'!$Y$5:$Y$47,MATCH($A21,'Control Effectiveness'!$A$5:$A$47,0)),0)</f>
        <v>2</v>
      </c>
      <c r="AC21" s="53" t="n">
        <f aca="false">IFERROR(INDEX('Control Effectiveness'!$Z$5:$Z$47,MATCH($A21,'Control Effectiveness'!$A$5:$A$47,0)),0)</f>
        <v>2</v>
      </c>
      <c r="AD21" s="53" t="n">
        <f aca="false">IFERROR(INDEX('Control Effectiveness'!$AA$5:$AA$47,MATCH($A21,'Control Effectiveness'!$A$5:$A$47,0)),0)</f>
        <v>1</v>
      </c>
      <c r="AE21" s="53" t="n">
        <f aca="false">IFERROR(INDEX('Control Effectiveness'!$AB$5:$AB$47,MATCH($A21,'Control Effectiveness'!$A$5:$A$47,0)),0)</f>
        <v>2</v>
      </c>
      <c r="AF21" s="53" t="n">
        <f aca="false">IFERROR(INDEX('Control Effectiveness'!$AC$5:$AC$47,MATCH($A21,'Control Effectiveness'!$A$5:$A$47,0)),0)</f>
        <v>2</v>
      </c>
      <c r="AG21" s="53" t="n">
        <f aca="false">IFERROR(INDEX('Control Effectiveness'!$AD$5:$AD$47,MATCH($A21,'Control Effectiveness'!$A$5:$A$47,0)),0)</f>
        <v>1</v>
      </c>
      <c r="AH21" s="53" t="n">
        <f aca="false">IFERROR(INDEX('Control Effectiveness'!$AE$5:$AE$47,MATCH($A21,'Control Effectiveness'!$A$5:$A$47,0)),0)</f>
        <v>1</v>
      </c>
      <c r="AI21" s="53" t="n">
        <f aca="false">IFERROR(INDEX('Control Effectiveness'!$AF$5:$AF$47,MATCH($A21,'Control Effectiveness'!$A$5:$A$47,0)),0)</f>
        <v>2</v>
      </c>
      <c r="AJ21" s="53" t="n">
        <f aca="false">IFERROR(INDEX('Control Effectiveness'!$AG$5:$AG$47,MATCH($A21,'Control Effectiveness'!$A$5:$A$47,0)),0)</f>
        <v>1</v>
      </c>
    </row>
    <row r="22" customFormat="false" ht="15" hidden="false" customHeight="false" outlineLevel="0" collapsed="false">
      <c r="A22" s="8" t="s">
        <v>610</v>
      </c>
      <c r="B22" s="12" t="str">
        <f aca="false">INDEX('Control Library'!$B$5:$B$47,MATCH(A22,'Control Library'!$A$5:$A$47,0))</f>
        <v>Automated transaction monitoring scenarios and annual tuning</v>
      </c>
      <c r="C22" s="33" t="s">
        <v>267</v>
      </c>
      <c r="D22" s="12" t="str">
        <f aca="false">INDEX('Risk Taxonomy'!$B$5:$B$24,MATCH(C22,'Risk Taxonomy'!$A$5:$A$24,0))</f>
        <v>Terrorist financing</v>
      </c>
      <c r="E22" s="24" t="n">
        <v>2</v>
      </c>
      <c r="F22" s="7" t="str">
        <f aca="false">INDEX('Control Library'!$F$5:$F$47,MATCH(A22,'Control Library'!$A$5:$A$47,0))</f>
        <v>Y</v>
      </c>
      <c r="G22" s="53" t="n">
        <f aca="false">IFERROR(INDEX('Control Effectiveness'!$D$5:$D$47,MATCH($A22,'Control Effectiveness'!$A$5:$A$47,0)),0)</f>
        <v>2</v>
      </c>
      <c r="H22" s="53" t="n">
        <f aca="false">IFERROR(INDEX('Control Effectiveness'!$E$5:$E$47,MATCH($A22,'Control Effectiveness'!$A$5:$A$47,0)),0)</f>
        <v>2</v>
      </c>
      <c r="I22" s="53" t="n">
        <f aca="false">IFERROR(INDEX('Control Effectiveness'!$F$5:$F$47,MATCH($A22,'Control Effectiveness'!$A$5:$A$47,0)),0)</f>
        <v>0</v>
      </c>
      <c r="J22" s="53" t="n">
        <f aca="false">IFERROR(INDEX('Control Effectiveness'!$G$5:$G$47,MATCH($A22,'Control Effectiveness'!$A$5:$A$47,0)),0)</f>
        <v>0</v>
      </c>
      <c r="K22" s="53" t="n">
        <f aca="false">IFERROR(INDEX('Control Effectiveness'!$H$5:$H$47,MATCH($A22,'Control Effectiveness'!$A$5:$A$47,0)),0)</f>
        <v>0</v>
      </c>
      <c r="L22" s="53" t="n">
        <f aca="false">IFERROR(INDEX('Control Effectiveness'!$I$5:$I$47,MATCH($A22,'Control Effectiveness'!$A$5:$A$47,0)),0)</f>
        <v>3</v>
      </c>
      <c r="M22" s="53" t="n">
        <f aca="false">IFERROR(INDEX('Control Effectiveness'!$J$5:$J$47,MATCH($A22,'Control Effectiveness'!$A$5:$A$47,0)),0)</f>
        <v>0</v>
      </c>
      <c r="N22" s="53" t="n">
        <f aca="false">IFERROR(INDEX('Control Effectiveness'!$K$5:$K$47,MATCH($A22,'Control Effectiveness'!$A$5:$A$47,0)),0)</f>
        <v>2</v>
      </c>
      <c r="O22" s="53" t="n">
        <f aca="false">IFERROR(INDEX('Control Effectiveness'!$L$5:$L$47,MATCH($A22,'Control Effectiveness'!$A$5:$A$47,0)),0)</f>
        <v>2</v>
      </c>
      <c r="P22" s="53" t="n">
        <f aca="false">IFERROR(INDEX('Control Effectiveness'!$M$5:$M$47,MATCH($A22,'Control Effectiveness'!$A$5:$A$47,0)),0)</f>
        <v>2</v>
      </c>
      <c r="Q22" s="53" t="n">
        <f aca="false">IFERROR(INDEX('Control Effectiveness'!$N$5:$N$47,MATCH($A22,'Control Effectiveness'!$A$5:$A$47,0)),0)</f>
        <v>2</v>
      </c>
      <c r="R22" s="53" t="n">
        <f aca="false">IFERROR(INDEX('Control Effectiveness'!$O$5:$O$47,MATCH($A22,'Control Effectiveness'!$A$5:$A$47,0)),0)</f>
        <v>2</v>
      </c>
      <c r="S22" s="53" t="n">
        <f aca="false">IFERROR(INDEX('Control Effectiveness'!$P$5:$P$47,MATCH($A22,'Control Effectiveness'!$A$5:$A$47,0)),0)</f>
        <v>1</v>
      </c>
      <c r="T22" s="53" t="n">
        <f aca="false">IFERROR(INDEX('Control Effectiveness'!$Q$5:$Q$47,MATCH($A22,'Control Effectiveness'!$A$5:$A$47,0)),0)</f>
        <v>2</v>
      </c>
      <c r="U22" s="53" t="n">
        <f aca="false">IFERROR(INDEX('Control Effectiveness'!$R$5:$R$47,MATCH($A22,'Control Effectiveness'!$A$5:$A$47,0)),0)</f>
        <v>2</v>
      </c>
      <c r="V22" s="53" t="n">
        <f aca="false">IFERROR(INDEX('Control Effectiveness'!$S$5:$S$47,MATCH($A22,'Control Effectiveness'!$A$5:$A$47,0)),0)</f>
        <v>2</v>
      </c>
      <c r="W22" s="53" t="n">
        <f aca="false">IFERROR(INDEX('Control Effectiveness'!$T$5:$T$47,MATCH($A22,'Control Effectiveness'!$A$5:$A$47,0)),0)</f>
        <v>2</v>
      </c>
      <c r="X22" s="53" t="n">
        <f aca="false">IFERROR(INDEX('Control Effectiveness'!$U$5:$U$47,MATCH($A22,'Control Effectiveness'!$A$5:$A$47,0)),0)</f>
        <v>2</v>
      </c>
      <c r="Y22" s="53" t="n">
        <f aca="false">IFERROR(INDEX('Control Effectiveness'!$V$5:$V$47,MATCH($A22,'Control Effectiveness'!$A$5:$A$47,0)),0)</f>
        <v>2</v>
      </c>
      <c r="Z22" s="53" t="n">
        <f aca="false">IFERROR(INDEX('Control Effectiveness'!$W$5:$W$47,MATCH($A22,'Control Effectiveness'!$A$5:$A$47,0)),0)</f>
        <v>2</v>
      </c>
      <c r="AA22" s="53" t="n">
        <f aca="false">IFERROR(INDEX('Control Effectiveness'!$X$5:$X$47,MATCH($A22,'Control Effectiveness'!$A$5:$A$47,0)),0)</f>
        <v>3</v>
      </c>
      <c r="AB22" s="53" t="n">
        <f aca="false">IFERROR(INDEX('Control Effectiveness'!$Y$5:$Y$47,MATCH($A22,'Control Effectiveness'!$A$5:$A$47,0)),0)</f>
        <v>2</v>
      </c>
      <c r="AC22" s="53" t="n">
        <f aca="false">IFERROR(INDEX('Control Effectiveness'!$Z$5:$Z$47,MATCH($A22,'Control Effectiveness'!$A$5:$A$47,0)),0)</f>
        <v>2</v>
      </c>
      <c r="AD22" s="53" t="n">
        <f aca="false">IFERROR(INDEX('Control Effectiveness'!$AA$5:$AA$47,MATCH($A22,'Control Effectiveness'!$A$5:$A$47,0)),0)</f>
        <v>1</v>
      </c>
      <c r="AE22" s="53" t="n">
        <f aca="false">IFERROR(INDEX('Control Effectiveness'!$AB$5:$AB$47,MATCH($A22,'Control Effectiveness'!$A$5:$A$47,0)),0)</f>
        <v>2</v>
      </c>
      <c r="AF22" s="53" t="n">
        <f aca="false">IFERROR(INDEX('Control Effectiveness'!$AC$5:$AC$47,MATCH($A22,'Control Effectiveness'!$A$5:$A$47,0)),0)</f>
        <v>2</v>
      </c>
      <c r="AG22" s="53" t="n">
        <f aca="false">IFERROR(INDEX('Control Effectiveness'!$AD$5:$AD$47,MATCH($A22,'Control Effectiveness'!$A$5:$A$47,0)),0)</f>
        <v>1</v>
      </c>
      <c r="AH22" s="53" t="n">
        <f aca="false">IFERROR(INDEX('Control Effectiveness'!$AE$5:$AE$47,MATCH($A22,'Control Effectiveness'!$A$5:$A$47,0)),0)</f>
        <v>1</v>
      </c>
      <c r="AI22" s="53" t="n">
        <f aca="false">IFERROR(INDEX('Control Effectiveness'!$AF$5:$AF$47,MATCH($A22,'Control Effectiveness'!$A$5:$A$47,0)),0)</f>
        <v>2</v>
      </c>
      <c r="AJ22" s="53" t="n">
        <f aca="false">IFERROR(INDEX('Control Effectiveness'!$AG$5:$AG$47,MATCH($A22,'Control Effectiveness'!$A$5:$A$47,0)),0)</f>
        <v>1</v>
      </c>
    </row>
    <row r="23" customFormat="false" ht="15" hidden="false" customHeight="false" outlineLevel="0" collapsed="false">
      <c r="A23" s="8" t="s">
        <v>610</v>
      </c>
      <c r="B23" s="12" t="str">
        <f aca="false">INDEX('Control Library'!$B$5:$B$47,MATCH(A23,'Control Library'!$A$5:$A$47,0))</f>
        <v>Automated transaction monitoring scenarios and annual tuning</v>
      </c>
      <c r="C23" s="33" t="s">
        <v>278</v>
      </c>
      <c r="D23" s="12" t="str">
        <f aca="false">INDEX('Risk Taxonomy'!$B$5:$B$24,MATCH(C23,'Risk Taxonomy'!$A$5:$A$24,0))</f>
        <v>Fraud</v>
      </c>
      <c r="E23" s="24" t="n">
        <v>1</v>
      </c>
      <c r="F23" s="7" t="str">
        <f aca="false">INDEX('Control Library'!$F$5:$F$47,MATCH(A23,'Control Library'!$A$5:$A$47,0))</f>
        <v>Y</v>
      </c>
      <c r="G23" s="53" t="n">
        <f aca="false">IFERROR(INDEX('Control Effectiveness'!$D$5:$D$47,MATCH($A23,'Control Effectiveness'!$A$5:$A$47,0)),0)</f>
        <v>2</v>
      </c>
      <c r="H23" s="53" t="n">
        <f aca="false">IFERROR(INDEX('Control Effectiveness'!$E$5:$E$47,MATCH($A23,'Control Effectiveness'!$A$5:$A$47,0)),0)</f>
        <v>2</v>
      </c>
      <c r="I23" s="53" t="n">
        <f aca="false">IFERROR(INDEX('Control Effectiveness'!$F$5:$F$47,MATCH($A23,'Control Effectiveness'!$A$5:$A$47,0)),0)</f>
        <v>0</v>
      </c>
      <c r="J23" s="53" t="n">
        <f aca="false">IFERROR(INDEX('Control Effectiveness'!$G$5:$G$47,MATCH($A23,'Control Effectiveness'!$A$5:$A$47,0)),0)</f>
        <v>0</v>
      </c>
      <c r="K23" s="53" t="n">
        <f aca="false">IFERROR(INDEX('Control Effectiveness'!$H$5:$H$47,MATCH($A23,'Control Effectiveness'!$A$5:$A$47,0)),0)</f>
        <v>0</v>
      </c>
      <c r="L23" s="53" t="n">
        <f aca="false">IFERROR(INDEX('Control Effectiveness'!$I$5:$I$47,MATCH($A23,'Control Effectiveness'!$A$5:$A$47,0)),0)</f>
        <v>3</v>
      </c>
      <c r="M23" s="53" t="n">
        <f aca="false">IFERROR(INDEX('Control Effectiveness'!$J$5:$J$47,MATCH($A23,'Control Effectiveness'!$A$5:$A$47,0)),0)</f>
        <v>0</v>
      </c>
      <c r="N23" s="53" t="n">
        <f aca="false">IFERROR(INDEX('Control Effectiveness'!$K$5:$K$47,MATCH($A23,'Control Effectiveness'!$A$5:$A$47,0)),0)</f>
        <v>2</v>
      </c>
      <c r="O23" s="53" t="n">
        <f aca="false">IFERROR(INDEX('Control Effectiveness'!$L$5:$L$47,MATCH($A23,'Control Effectiveness'!$A$5:$A$47,0)),0)</f>
        <v>2</v>
      </c>
      <c r="P23" s="53" t="n">
        <f aca="false">IFERROR(INDEX('Control Effectiveness'!$M$5:$M$47,MATCH($A23,'Control Effectiveness'!$A$5:$A$47,0)),0)</f>
        <v>2</v>
      </c>
      <c r="Q23" s="53" t="n">
        <f aca="false">IFERROR(INDEX('Control Effectiveness'!$N$5:$N$47,MATCH($A23,'Control Effectiveness'!$A$5:$A$47,0)),0)</f>
        <v>2</v>
      </c>
      <c r="R23" s="53" t="n">
        <f aca="false">IFERROR(INDEX('Control Effectiveness'!$O$5:$O$47,MATCH($A23,'Control Effectiveness'!$A$5:$A$47,0)),0)</f>
        <v>2</v>
      </c>
      <c r="S23" s="53" t="n">
        <f aca="false">IFERROR(INDEX('Control Effectiveness'!$P$5:$P$47,MATCH($A23,'Control Effectiveness'!$A$5:$A$47,0)),0)</f>
        <v>1</v>
      </c>
      <c r="T23" s="53" t="n">
        <f aca="false">IFERROR(INDEX('Control Effectiveness'!$Q$5:$Q$47,MATCH($A23,'Control Effectiveness'!$A$5:$A$47,0)),0)</f>
        <v>2</v>
      </c>
      <c r="U23" s="53" t="n">
        <f aca="false">IFERROR(INDEX('Control Effectiveness'!$R$5:$R$47,MATCH($A23,'Control Effectiveness'!$A$5:$A$47,0)),0)</f>
        <v>2</v>
      </c>
      <c r="V23" s="53" t="n">
        <f aca="false">IFERROR(INDEX('Control Effectiveness'!$S$5:$S$47,MATCH($A23,'Control Effectiveness'!$A$5:$A$47,0)),0)</f>
        <v>2</v>
      </c>
      <c r="W23" s="53" t="n">
        <f aca="false">IFERROR(INDEX('Control Effectiveness'!$T$5:$T$47,MATCH($A23,'Control Effectiveness'!$A$5:$A$47,0)),0)</f>
        <v>2</v>
      </c>
      <c r="X23" s="53" t="n">
        <f aca="false">IFERROR(INDEX('Control Effectiveness'!$U$5:$U$47,MATCH($A23,'Control Effectiveness'!$A$5:$A$47,0)),0)</f>
        <v>2</v>
      </c>
      <c r="Y23" s="53" t="n">
        <f aca="false">IFERROR(INDEX('Control Effectiveness'!$V$5:$V$47,MATCH($A23,'Control Effectiveness'!$A$5:$A$47,0)),0)</f>
        <v>2</v>
      </c>
      <c r="Z23" s="53" t="n">
        <f aca="false">IFERROR(INDEX('Control Effectiveness'!$W$5:$W$47,MATCH($A23,'Control Effectiveness'!$A$5:$A$47,0)),0)</f>
        <v>2</v>
      </c>
      <c r="AA23" s="53" t="n">
        <f aca="false">IFERROR(INDEX('Control Effectiveness'!$X$5:$X$47,MATCH($A23,'Control Effectiveness'!$A$5:$A$47,0)),0)</f>
        <v>3</v>
      </c>
      <c r="AB23" s="53" t="n">
        <f aca="false">IFERROR(INDEX('Control Effectiveness'!$Y$5:$Y$47,MATCH($A23,'Control Effectiveness'!$A$5:$A$47,0)),0)</f>
        <v>2</v>
      </c>
      <c r="AC23" s="53" t="n">
        <f aca="false">IFERROR(INDEX('Control Effectiveness'!$Z$5:$Z$47,MATCH($A23,'Control Effectiveness'!$A$5:$A$47,0)),0)</f>
        <v>2</v>
      </c>
      <c r="AD23" s="53" t="n">
        <f aca="false">IFERROR(INDEX('Control Effectiveness'!$AA$5:$AA$47,MATCH($A23,'Control Effectiveness'!$A$5:$A$47,0)),0)</f>
        <v>1</v>
      </c>
      <c r="AE23" s="53" t="n">
        <f aca="false">IFERROR(INDEX('Control Effectiveness'!$AB$5:$AB$47,MATCH($A23,'Control Effectiveness'!$A$5:$A$47,0)),0)</f>
        <v>2</v>
      </c>
      <c r="AF23" s="53" t="n">
        <f aca="false">IFERROR(INDEX('Control Effectiveness'!$AC$5:$AC$47,MATCH($A23,'Control Effectiveness'!$A$5:$A$47,0)),0)</f>
        <v>2</v>
      </c>
      <c r="AG23" s="53" t="n">
        <f aca="false">IFERROR(INDEX('Control Effectiveness'!$AD$5:$AD$47,MATCH($A23,'Control Effectiveness'!$A$5:$A$47,0)),0)</f>
        <v>1</v>
      </c>
      <c r="AH23" s="53" t="n">
        <f aca="false">IFERROR(INDEX('Control Effectiveness'!$AE$5:$AE$47,MATCH($A23,'Control Effectiveness'!$A$5:$A$47,0)),0)</f>
        <v>1</v>
      </c>
      <c r="AI23" s="53" t="n">
        <f aca="false">IFERROR(INDEX('Control Effectiveness'!$AF$5:$AF$47,MATCH($A23,'Control Effectiveness'!$A$5:$A$47,0)),0)</f>
        <v>2</v>
      </c>
      <c r="AJ23" s="53" t="n">
        <f aca="false">IFERROR(INDEX('Control Effectiveness'!$AG$5:$AG$47,MATCH($A23,'Control Effectiveness'!$A$5:$A$47,0)),0)</f>
        <v>1</v>
      </c>
    </row>
    <row r="24" customFormat="false" ht="15" hidden="false" customHeight="false" outlineLevel="0" collapsed="false">
      <c r="A24" s="8" t="s">
        <v>615</v>
      </c>
      <c r="B24" s="12" t="str">
        <f aca="false">INDEX('Control Library'!$B$5:$B$47,MATCH(A24,'Control Library'!$A$5:$A$47,0))</f>
        <v>Alert investigation and quality assurance within SLA</v>
      </c>
      <c r="C24" s="33" t="s">
        <v>260</v>
      </c>
      <c r="D24" s="12" t="str">
        <f aca="false">INDEX('Risk Taxonomy'!$B$5:$B$24,MATCH(C24,'Risk Taxonomy'!$A$5:$A$24,0))</f>
        <v>Money laundering</v>
      </c>
      <c r="E24" s="24" t="n">
        <v>2</v>
      </c>
      <c r="F24" s="7" t="str">
        <f aca="false">INDEX('Control Library'!$F$5:$F$47,MATCH(A24,'Control Library'!$A$5:$A$47,0))</f>
        <v>Y</v>
      </c>
      <c r="G24" s="53" t="n">
        <f aca="false">IFERROR(INDEX('Control Effectiveness'!$D$5:$D$47,MATCH($A24,'Control Effectiveness'!$A$5:$A$47,0)),0)</f>
        <v>2</v>
      </c>
      <c r="H24" s="53" t="n">
        <f aca="false">IFERROR(INDEX('Control Effectiveness'!$E$5:$E$47,MATCH($A24,'Control Effectiveness'!$A$5:$A$47,0)),0)</f>
        <v>2</v>
      </c>
      <c r="I24" s="53" t="n">
        <f aca="false">IFERROR(INDEX('Control Effectiveness'!$F$5:$F$47,MATCH($A24,'Control Effectiveness'!$A$5:$A$47,0)),0)</f>
        <v>2</v>
      </c>
      <c r="J24" s="53" t="n">
        <f aca="false">IFERROR(INDEX('Control Effectiveness'!$G$5:$G$47,MATCH($A24,'Control Effectiveness'!$A$5:$A$47,0)),0)</f>
        <v>1</v>
      </c>
      <c r="K24" s="53" t="n">
        <f aca="false">IFERROR(INDEX('Control Effectiveness'!$H$5:$H$47,MATCH($A24,'Control Effectiveness'!$A$5:$A$47,0)),0)</f>
        <v>1</v>
      </c>
      <c r="L24" s="53" t="n">
        <f aca="false">IFERROR(INDEX('Control Effectiveness'!$I$5:$I$47,MATCH($A24,'Control Effectiveness'!$A$5:$A$47,0)),0)</f>
        <v>2</v>
      </c>
      <c r="M24" s="53" t="n">
        <f aca="false">IFERROR(INDEX('Control Effectiveness'!$J$5:$J$47,MATCH($A24,'Control Effectiveness'!$A$5:$A$47,0)),0)</f>
        <v>4</v>
      </c>
      <c r="N24" s="53" t="n">
        <f aca="false">IFERROR(INDEX('Control Effectiveness'!$K$5:$K$47,MATCH($A24,'Control Effectiveness'!$A$5:$A$47,0)),0)</f>
        <v>2</v>
      </c>
      <c r="O24" s="53" t="n">
        <f aca="false">IFERROR(INDEX('Control Effectiveness'!$L$5:$L$47,MATCH($A24,'Control Effectiveness'!$A$5:$A$47,0)),0)</f>
        <v>3</v>
      </c>
      <c r="P24" s="53" t="n">
        <f aca="false">IFERROR(INDEX('Control Effectiveness'!$M$5:$M$47,MATCH($A24,'Control Effectiveness'!$A$5:$A$47,0)),0)</f>
        <v>2</v>
      </c>
      <c r="Q24" s="53" t="n">
        <f aca="false">IFERROR(INDEX('Control Effectiveness'!$N$5:$N$47,MATCH($A24,'Control Effectiveness'!$A$5:$A$47,0)),0)</f>
        <v>2</v>
      </c>
      <c r="R24" s="53" t="n">
        <f aca="false">IFERROR(INDEX('Control Effectiveness'!$O$5:$O$47,MATCH($A24,'Control Effectiveness'!$A$5:$A$47,0)),0)</f>
        <v>2</v>
      </c>
      <c r="S24" s="53" t="n">
        <f aca="false">IFERROR(INDEX('Control Effectiveness'!$P$5:$P$47,MATCH($A24,'Control Effectiveness'!$A$5:$A$47,0)),0)</f>
        <v>2</v>
      </c>
      <c r="T24" s="53" t="n">
        <f aca="false">IFERROR(INDEX('Control Effectiveness'!$Q$5:$Q$47,MATCH($A24,'Control Effectiveness'!$A$5:$A$47,0)),0)</f>
        <v>2</v>
      </c>
      <c r="U24" s="53" t="n">
        <f aca="false">IFERROR(INDEX('Control Effectiveness'!$R$5:$R$47,MATCH($A24,'Control Effectiveness'!$A$5:$A$47,0)),0)</f>
        <v>2</v>
      </c>
      <c r="V24" s="53" t="n">
        <f aca="false">IFERROR(INDEX('Control Effectiveness'!$S$5:$S$47,MATCH($A24,'Control Effectiveness'!$A$5:$A$47,0)),0)</f>
        <v>2</v>
      </c>
      <c r="W24" s="53" t="n">
        <f aca="false">IFERROR(INDEX('Control Effectiveness'!$T$5:$T$47,MATCH($A24,'Control Effectiveness'!$A$5:$A$47,0)),0)</f>
        <v>4</v>
      </c>
      <c r="X24" s="53" t="n">
        <f aca="false">IFERROR(INDEX('Control Effectiveness'!$U$5:$U$47,MATCH($A24,'Control Effectiveness'!$A$5:$A$47,0)),0)</f>
        <v>2</v>
      </c>
      <c r="Y24" s="53" t="n">
        <f aca="false">IFERROR(INDEX('Control Effectiveness'!$V$5:$V$47,MATCH($A24,'Control Effectiveness'!$A$5:$A$47,0)),0)</f>
        <v>2</v>
      </c>
      <c r="Z24" s="53" t="n">
        <f aca="false">IFERROR(INDEX('Control Effectiveness'!$W$5:$W$47,MATCH($A24,'Control Effectiveness'!$A$5:$A$47,0)),0)</f>
        <v>1</v>
      </c>
      <c r="AA24" s="53" t="n">
        <f aca="false">IFERROR(INDEX('Control Effectiveness'!$X$5:$X$47,MATCH($A24,'Control Effectiveness'!$A$5:$A$47,0)),0)</f>
        <v>4</v>
      </c>
      <c r="AB24" s="53" t="n">
        <f aca="false">IFERROR(INDEX('Control Effectiveness'!$Y$5:$Y$47,MATCH($A24,'Control Effectiveness'!$A$5:$A$47,0)),0)</f>
        <v>2</v>
      </c>
      <c r="AC24" s="53" t="n">
        <f aca="false">IFERROR(INDEX('Control Effectiveness'!$Z$5:$Z$47,MATCH($A24,'Control Effectiveness'!$A$5:$A$47,0)),0)</f>
        <v>1</v>
      </c>
      <c r="AD24" s="53" t="n">
        <f aca="false">IFERROR(INDEX('Control Effectiveness'!$AA$5:$AA$47,MATCH($A24,'Control Effectiveness'!$A$5:$A$47,0)),0)</f>
        <v>2</v>
      </c>
      <c r="AE24" s="53" t="n">
        <f aca="false">IFERROR(INDEX('Control Effectiveness'!$AB$5:$AB$47,MATCH($A24,'Control Effectiveness'!$A$5:$A$47,0)),0)</f>
        <v>1</v>
      </c>
      <c r="AF24" s="53" t="n">
        <f aca="false">IFERROR(INDEX('Control Effectiveness'!$AC$5:$AC$47,MATCH($A24,'Control Effectiveness'!$A$5:$A$47,0)),0)</f>
        <v>2</v>
      </c>
      <c r="AG24" s="53" t="n">
        <f aca="false">IFERROR(INDEX('Control Effectiveness'!$AD$5:$AD$47,MATCH($A24,'Control Effectiveness'!$A$5:$A$47,0)),0)</f>
        <v>1</v>
      </c>
      <c r="AH24" s="53" t="n">
        <f aca="false">IFERROR(INDEX('Control Effectiveness'!$AE$5:$AE$47,MATCH($A24,'Control Effectiveness'!$A$5:$A$47,0)),0)</f>
        <v>1</v>
      </c>
      <c r="AI24" s="53" t="n">
        <f aca="false">IFERROR(INDEX('Control Effectiveness'!$AF$5:$AF$47,MATCH($A24,'Control Effectiveness'!$A$5:$A$47,0)),0)</f>
        <v>1</v>
      </c>
      <c r="AJ24" s="53" t="n">
        <f aca="false">IFERROR(INDEX('Control Effectiveness'!$AG$5:$AG$47,MATCH($A24,'Control Effectiveness'!$A$5:$A$47,0)),0)</f>
        <v>2</v>
      </c>
    </row>
    <row r="25" customFormat="false" ht="15" hidden="false" customHeight="false" outlineLevel="0" collapsed="false">
      <c r="A25" s="8" t="s">
        <v>615</v>
      </c>
      <c r="B25" s="12" t="str">
        <f aca="false">INDEX('Control Library'!$B$5:$B$47,MATCH(A25,'Control Library'!$A$5:$A$47,0))</f>
        <v>Alert investigation and quality assurance within SLA</v>
      </c>
      <c r="C25" s="33" t="s">
        <v>267</v>
      </c>
      <c r="D25" s="12" t="str">
        <f aca="false">INDEX('Risk Taxonomy'!$B$5:$B$24,MATCH(C25,'Risk Taxonomy'!$A$5:$A$24,0))</f>
        <v>Terrorist financing</v>
      </c>
      <c r="E25" s="24" t="n">
        <v>2</v>
      </c>
      <c r="F25" s="7" t="str">
        <f aca="false">INDEX('Control Library'!$F$5:$F$47,MATCH(A25,'Control Library'!$A$5:$A$47,0))</f>
        <v>Y</v>
      </c>
      <c r="G25" s="53" t="n">
        <f aca="false">IFERROR(INDEX('Control Effectiveness'!$D$5:$D$47,MATCH($A25,'Control Effectiveness'!$A$5:$A$47,0)),0)</f>
        <v>2</v>
      </c>
      <c r="H25" s="53" t="n">
        <f aca="false">IFERROR(INDEX('Control Effectiveness'!$E$5:$E$47,MATCH($A25,'Control Effectiveness'!$A$5:$A$47,0)),0)</f>
        <v>2</v>
      </c>
      <c r="I25" s="53" t="n">
        <f aca="false">IFERROR(INDEX('Control Effectiveness'!$F$5:$F$47,MATCH($A25,'Control Effectiveness'!$A$5:$A$47,0)),0)</f>
        <v>2</v>
      </c>
      <c r="J25" s="53" t="n">
        <f aca="false">IFERROR(INDEX('Control Effectiveness'!$G$5:$G$47,MATCH($A25,'Control Effectiveness'!$A$5:$A$47,0)),0)</f>
        <v>1</v>
      </c>
      <c r="K25" s="53" t="n">
        <f aca="false">IFERROR(INDEX('Control Effectiveness'!$H$5:$H$47,MATCH($A25,'Control Effectiveness'!$A$5:$A$47,0)),0)</f>
        <v>1</v>
      </c>
      <c r="L25" s="53" t="n">
        <f aca="false">IFERROR(INDEX('Control Effectiveness'!$I$5:$I$47,MATCH($A25,'Control Effectiveness'!$A$5:$A$47,0)),0)</f>
        <v>2</v>
      </c>
      <c r="M25" s="53" t="n">
        <f aca="false">IFERROR(INDEX('Control Effectiveness'!$J$5:$J$47,MATCH($A25,'Control Effectiveness'!$A$5:$A$47,0)),0)</f>
        <v>4</v>
      </c>
      <c r="N25" s="53" t="n">
        <f aca="false">IFERROR(INDEX('Control Effectiveness'!$K$5:$K$47,MATCH($A25,'Control Effectiveness'!$A$5:$A$47,0)),0)</f>
        <v>2</v>
      </c>
      <c r="O25" s="53" t="n">
        <f aca="false">IFERROR(INDEX('Control Effectiveness'!$L$5:$L$47,MATCH($A25,'Control Effectiveness'!$A$5:$A$47,0)),0)</f>
        <v>3</v>
      </c>
      <c r="P25" s="53" t="n">
        <f aca="false">IFERROR(INDEX('Control Effectiveness'!$M$5:$M$47,MATCH($A25,'Control Effectiveness'!$A$5:$A$47,0)),0)</f>
        <v>2</v>
      </c>
      <c r="Q25" s="53" t="n">
        <f aca="false">IFERROR(INDEX('Control Effectiveness'!$N$5:$N$47,MATCH($A25,'Control Effectiveness'!$A$5:$A$47,0)),0)</f>
        <v>2</v>
      </c>
      <c r="R25" s="53" t="n">
        <f aca="false">IFERROR(INDEX('Control Effectiveness'!$O$5:$O$47,MATCH($A25,'Control Effectiveness'!$A$5:$A$47,0)),0)</f>
        <v>2</v>
      </c>
      <c r="S25" s="53" t="n">
        <f aca="false">IFERROR(INDEX('Control Effectiveness'!$P$5:$P$47,MATCH($A25,'Control Effectiveness'!$A$5:$A$47,0)),0)</f>
        <v>2</v>
      </c>
      <c r="T25" s="53" t="n">
        <f aca="false">IFERROR(INDEX('Control Effectiveness'!$Q$5:$Q$47,MATCH($A25,'Control Effectiveness'!$A$5:$A$47,0)),0)</f>
        <v>2</v>
      </c>
      <c r="U25" s="53" t="n">
        <f aca="false">IFERROR(INDEX('Control Effectiveness'!$R$5:$R$47,MATCH($A25,'Control Effectiveness'!$A$5:$A$47,0)),0)</f>
        <v>2</v>
      </c>
      <c r="V25" s="53" t="n">
        <f aca="false">IFERROR(INDEX('Control Effectiveness'!$S$5:$S$47,MATCH($A25,'Control Effectiveness'!$A$5:$A$47,0)),0)</f>
        <v>2</v>
      </c>
      <c r="W25" s="53" t="n">
        <f aca="false">IFERROR(INDEX('Control Effectiveness'!$T$5:$T$47,MATCH($A25,'Control Effectiveness'!$A$5:$A$47,0)),0)</f>
        <v>4</v>
      </c>
      <c r="X25" s="53" t="n">
        <f aca="false">IFERROR(INDEX('Control Effectiveness'!$U$5:$U$47,MATCH($A25,'Control Effectiveness'!$A$5:$A$47,0)),0)</f>
        <v>2</v>
      </c>
      <c r="Y25" s="53" t="n">
        <f aca="false">IFERROR(INDEX('Control Effectiveness'!$V$5:$V$47,MATCH($A25,'Control Effectiveness'!$A$5:$A$47,0)),0)</f>
        <v>2</v>
      </c>
      <c r="Z25" s="53" t="n">
        <f aca="false">IFERROR(INDEX('Control Effectiveness'!$W$5:$W$47,MATCH($A25,'Control Effectiveness'!$A$5:$A$47,0)),0)</f>
        <v>1</v>
      </c>
      <c r="AA25" s="53" t="n">
        <f aca="false">IFERROR(INDEX('Control Effectiveness'!$X$5:$X$47,MATCH($A25,'Control Effectiveness'!$A$5:$A$47,0)),0)</f>
        <v>4</v>
      </c>
      <c r="AB25" s="53" t="n">
        <f aca="false">IFERROR(INDEX('Control Effectiveness'!$Y$5:$Y$47,MATCH($A25,'Control Effectiveness'!$A$5:$A$47,0)),0)</f>
        <v>2</v>
      </c>
      <c r="AC25" s="53" t="n">
        <f aca="false">IFERROR(INDEX('Control Effectiveness'!$Z$5:$Z$47,MATCH($A25,'Control Effectiveness'!$A$5:$A$47,0)),0)</f>
        <v>1</v>
      </c>
      <c r="AD25" s="53" t="n">
        <f aca="false">IFERROR(INDEX('Control Effectiveness'!$AA$5:$AA$47,MATCH($A25,'Control Effectiveness'!$A$5:$A$47,0)),0)</f>
        <v>2</v>
      </c>
      <c r="AE25" s="53" t="n">
        <f aca="false">IFERROR(INDEX('Control Effectiveness'!$AB$5:$AB$47,MATCH($A25,'Control Effectiveness'!$A$5:$A$47,0)),0)</f>
        <v>1</v>
      </c>
      <c r="AF25" s="53" t="n">
        <f aca="false">IFERROR(INDEX('Control Effectiveness'!$AC$5:$AC$47,MATCH($A25,'Control Effectiveness'!$A$5:$A$47,0)),0)</f>
        <v>2</v>
      </c>
      <c r="AG25" s="53" t="n">
        <f aca="false">IFERROR(INDEX('Control Effectiveness'!$AD$5:$AD$47,MATCH($A25,'Control Effectiveness'!$A$5:$A$47,0)),0)</f>
        <v>1</v>
      </c>
      <c r="AH25" s="53" t="n">
        <f aca="false">IFERROR(INDEX('Control Effectiveness'!$AE$5:$AE$47,MATCH($A25,'Control Effectiveness'!$A$5:$A$47,0)),0)</f>
        <v>1</v>
      </c>
      <c r="AI25" s="53" t="n">
        <f aca="false">IFERROR(INDEX('Control Effectiveness'!$AF$5:$AF$47,MATCH($A25,'Control Effectiveness'!$A$5:$A$47,0)),0)</f>
        <v>1</v>
      </c>
      <c r="AJ25" s="53" t="n">
        <f aca="false">IFERROR(INDEX('Control Effectiveness'!$AG$5:$AG$47,MATCH($A25,'Control Effectiveness'!$A$5:$A$47,0)),0)</f>
        <v>2</v>
      </c>
    </row>
    <row r="26" customFormat="false" ht="15" hidden="false" customHeight="false" outlineLevel="0" collapsed="false">
      <c r="A26" s="8" t="s">
        <v>617</v>
      </c>
      <c r="B26" s="12" t="str">
        <f aca="false">INDEX('Control Library'!$B$5:$B$47,MATCH(A26,'Control Library'!$A$5:$A$47,0))</f>
        <v>STR decision and filing within regulatory deadline</v>
      </c>
      <c r="C26" s="33" t="s">
        <v>260</v>
      </c>
      <c r="D26" s="12" t="str">
        <f aca="false">INDEX('Risk Taxonomy'!$B$5:$B$24,MATCH(C26,'Risk Taxonomy'!$A$5:$A$24,0))</f>
        <v>Money laundering</v>
      </c>
      <c r="E26" s="24" t="n">
        <v>2</v>
      </c>
      <c r="F26" s="7" t="str">
        <f aca="false">INDEX('Control Library'!$F$5:$F$47,MATCH(A26,'Control Library'!$A$5:$A$47,0))</f>
        <v>Y</v>
      </c>
      <c r="G26" s="53" t="n">
        <f aca="false">IFERROR(INDEX('Control Effectiveness'!$D$5:$D$47,MATCH($A26,'Control Effectiveness'!$A$5:$A$47,0)),0)</f>
        <v>3</v>
      </c>
      <c r="H26" s="53" t="n">
        <f aca="false">IFERROR(INDEX('Control Effectiveness'!$E$5:$E$47,MATCH($A26,'Control Effectiveness'!$A$5:$A$47,0)),0)</f>
        <v>2</v>
      </c>
      <c r="I26" s="53" t="n">
        <f aca="false">IFERROR(INDEX('Control Effectiveness'!$F$5:$F$47,MATCH($A26,'Control Effectiveness'!$A$5:$A$47,0)),0)</f>
        <v>2</v>
      </c>
      <c r="J26" s="53" t="n">
        <f aca="false">IFERROR(INDEX('Control Effectiveness'!$G$5:$G$47,MATCH($A26,'Control Effectiveness'!$A$5:$A$47,0)),0)</f>
        <v>4</v>
      </c>
      <c r="K26" s="53" t="n">
        <f aca="false">IFERROR(INDEX('Control Effectiveness'!$H$5:$H$47,MATCH($A26,'Control Effectiveness'!$A$5:$A$47,0)),0)</f>
        <v>2</v>
      </c>
      <c r="L26" s="53" t="n">
        <f aca="false">IFERROR(INDEX('Control Effectiveness'!$I$5:$I$47,MATCH($A26,'Control Effectiveness'!$A$5:$A$47,0)),0)</f>
        <v>1</v>
      </c>
      <c r="M26" s="53" t="n">
        <f aca="false">IFERROR(INDEX('Control Effectiveness'!$J$5:$J$47,MATCH($A26,'Control Effectiveness'!$A$5:$A$47,0)),0)</f>
        <v>3</v>
      </c>
      <c r="N26" s="53" t="n">
        <f aca="false">IFERROR(INDEX('Control Effectiveness'!$K$5:$K$47,MATCH($A26,'Control Effectiveness'!$A$5:$A$47,0)),0)</f>
        <v>2</v>
      </c>
      <c r="O26" s="53" t="n">
        <f aca="false">IFERROR(INDEX('Control Effectiveness'!$L$5:$L$47,MATCH($A26,'Control Effectiveness'!$A$5:$A$47,0)),0)</f>
        <v>2</v>
      </c>
      <c r="P26" s="53" t="n">
        <f aca="false">IFERROR(INDEX('Control Effectiveness'!$M$5:$M$47,MATCH($A26,'Control Effectiveness'!$A$5:$A$47,0)),0)</f>
        <v>2</v>
      </c>
      <c r="Q26" s="53" t="n">
        <f aca="false">IFERROR(INDEX('Control Effectiveness'!$N$5:$N$47,MATCH($A26,'Control Effectiveness'!$A$5:$A$47,0)),0)</f>
        <v>2</v>
      </c>
      <c r="R26" s="53" t="n">
        <f aca="false">IFERROR(INDEX('Control Effectiveness'!$O$5:$O$47,MATCH($A26,'Control Effectiveness'!$A$5:$A$47,0)),0)</f>
        <v>4</v>
      </c>
      <c r="S26" s="53" t="n">
        <f aca="false">IFERROR(INDEX('Control Effectiveness'!$P$5:$P$47,MATCH($A26,'Control Effectiveness'!$A$5:$A$47,0)),0)</f>
        <v>2</v>
      </c>
      <c r="T26" s="53" t="n">
        <f aca="false">IFERROR(INDEX('Control Effectiveness'!$Q$5:$Q$47,MATCH($A26,'Control Effectiveness'!$A$5:$A$47,0)),0)</f>
        <v>1</v>
      </c>
      <c r="U26" s="53" t="n">
        <f aca="false">IFERROR(INDEX('Control Effectiveness'!$R$5:$R$47,MATCH($A26,'Control Effectiveness'!$A$5:$A$47,0)),0)</f>
        <v>2</v>
      </c>
      <c r="V26" s="53" t="n">
        <f aca="false">IFERROR(INDEX('Control Effectiveness'!$S$5:$S$47,MATCH($A26,'Control Effectiveness'!$A$5:$A$47,0)),0)</f>
        <v>3</v>
      </c>
      <c r="W26" s="53" t="n">
        <f aca="false">IFERROR(INDEX('Control Effectiveness'!$T$5:$T$47,MATCH($A26,'Control Effectiveness'!$A$5:$A$47,0)),0)</f>
        <v>2</v>
      </c>
      <c r="X26" s="53" t="n">
        <f aca="false">IFERROR(INDEX('Control Effectiveness'!$U$5:$U$47,MATCH($A26,'Control Effectiveness'!$A$5:$A$47,0)),0)</f>
        <v>2</v>
      </c>
      <c r="Y26" s="53" t="n">
        <f aca="false">IFERROR(INDEX('Control Effectiveness'!$V$5:$V$47,MATCH($A26,'Control Effectiveness'!$A$5:$A$47,0)),0)</f>
        <v>2</v>
      </c>
      <c r="Z26" s="53" t="n">
        <f aca="false">IFERROR(INDEX('Control Effectiveness'!$W$5:$W$47,MATCH($A26,'Control Effectiveness'!$A$5:$A$47,0)),0)</f>
        <v>2</v>
      </c>
      <c r="AA26" s="53" t="n">
        <f aca="false">IFERROR(INDEX('Control Effectiveness'!$X$5:$X$47,MATCH($A26,'Control Effectiveness'!$A$5:$A$47,0)),0)</f>
        <v>2</v>
      </c>
      <c r="AB26" s="53" t="n">
        <f aca="false">IFERROR(INDEX('Control Effectiveness'!$Y$5:$Y$47,MATCH($A26,'Control Effectiveness'!$A$5:$A$47,0)),0)</f>
        <v>2</v>
      </c>
      <c r="AC26" s="53" t="n">
        <f aca="false">IFERROR(INDEX('Control Effectiveness'!$Z$5:$Z$47,MATCH($A26,'Control Effectiveness'!$A$5:$A$47,0)),0)</f>
        <v>1</v>
      </c>
      <c r="AD26" s="53" t="n">
        <f aca="false">IFERROR(INDEX('Control Effectiveness'!$AA$5:$AA$47,MATCH($A26,'Control Effectiveness'!$A$5:$A$47,0)),0)</f>
        <v>1</v>
      </c>
      <c r="AE26" s="53" t="n">
        <f aca="false">IFERROR(INDEX('Control Effectiveness'!$AB$5:$AB$47,MATCH($A26,'Control Effectiveness'!$A$5:$A$47,0)),0)</f>
        <v>2</v>
      </c>
      <c r="AF26" s="53" t="n">
        <f aca="false">IFERROR(INDEX('Control Effectiveness'!$AC$5:$AC$47,MATCH($A26,'Control Effectiveness'!$A$5:$A$47,0)),0)</f>
        <v>2</v>
      </c>
      <c r="AG26" s="53" t="n">
        <f aca="false">IFERROR(INDEX('Control Effectiveness'!$AD$5:$AD$47,MATCH($A26,'Control Effectiveness'!$A$5:$A$47,0)),0)</f>
        <v>1</v>
      </c>
      <c r="AH26" s="53" t="n">
        <f aca="false">IFERROR(INDEX('Control Effectiveness'!$AE$5:$AE$47,MATCH($A26,'Control Effectiveness'!$A$5:$A$47,0)),0)</f>
        <v>1</v>
      </c>
      <c r="AI26" s="53" t="n">
        <f aca="false">IFERROR(INDEX('Control Effectiveness'!$AF$5:$AF$47,MATCH($A26,'Control Effectiveness'!$A$5:$A$47,0)),0)</f>
        <v>1</v>
      </c>
      <c r="AJ26" s="53" t="n">
        <f aca="false">IFERROR(INDEX('Control Effectiveness'!$AG$5:$AG$47,MATCH($A26,'Control Effectiveness'!$A$5:$A$47,0)),0)</f>
        <v>2</v>
      </c>
    </row>
    <row r="27" customFormat="false" ht="15" hidden="false" customHeight="false" outlineLevel="0" collapsed="false">
      <c r="A27" s="8" t="s">
        <v>617</v>
      </c>
      <c r="B27" s="12" t="str">
        <f aca="false">INDEX('Control Library'!$B$5:$B$47,MATCH(A27,'Control Library'!$A$5:$A$47,0))</f>
        <v>STR decision and filing within regulatory deadline</v>
      </c>
      <c r="C27" s="33" t="s">
        <v>267</v>
      </c>
      <c r="D27" s="12" t="str">
        <f aca="false">INDEX('Risk Taxonomy'!$B$5:$B$24,MATCH(C27,'Risk Taxonomy'!$A$5:$A$24,0))</f>
        <v>Terrorist financing</v>
      </c>
      <c r="E27" s="24" t="n">
        <v>2</v>
      </c>
      <c r="F27" s="7" t="str">
        <f aca="false">INDEX('Control Library'!$F$5:$F$47,MATCH(A27,'Control Library'!$A$5:$A$47,0))</f>
        <v>Y</v>
      </c>
      <c r="G27" s="53" t="n">
        <f aca="false">IFERROR(INDEX('Control Effectiveness'!$D$5:$D$47,MATCH($A27,'Control Effectiveness'!$A$5:$A$47,0)),0)</f>
        <v>3</v>
      </c>
      <c r="H27" s="53" t="n">
        <f aca="false">IFERROR(INDEX('Control Effectiveness'!$E$5:$E$47,MATCH($A27,'Control Effectiveness'!$A$5:$A$47,0)),0)</f>
        <v>2</v>
      </c>
      <c r="I27" s="53" t="n">
        <f aca="false">IFERROR(INDEX('Control Effectiveness'!$F$5:$F$47,MATCH($A27,'Control Effectiveness'!$A$5:$A$47,0)),0)</f>
        <v>2</v>
      </c>
      <c r="J27" s="53" t="n">
        <f aca="false">IFERROR(INDEX('Control Effectiveness'!$G$5:$G$47,MATCH($A27,'Control Effectiveness'!$A$5:$A$47,0)),0)</f>
        <v>4</v>
      </c>
      <c r="K27" s="53" t="n">
        <f aca="false">IFERROR(INDEX('Control Effectiveness'!$H$5:$H$47,MATCH($A27,'Control Effectiveness'!$A$5:$A$47,0)),0)</f>
        <v>2</v>
      </c>
      <c r="L27" s="53" t="n">
        <f aca="false">IFERROR(INDEX('Control Effectiveness'!$I$5:$I$47,MATCH($A27,'Control Effectiveness'!$A$5:$A$47,0)),0)</f>
        <v>1</v>
      </c>
      <c r="M27" s="53" t="n">
        <f aca="false">IFERROR(INDEX('Control Effectiveness'!$J$5:$J$47,MATCH($A27,'Control Effectiveness'!$A$5:$A$47,0)),0)</f>
        <v>3</v>
      </c>
      <c r="N27" s="53" t="n">
        <f aca="false">IFERROR(INDEX('Control Effectiveness'!$K$5:$K$47,MATCH($A27,'Control Effectiveness'!$A$5:$A$47,0)),0)</f>
        <v>2</v>
      </c>
      <c r="O27" s="53" t="n">
        <f aca="false">IFERROR(INDEX('Control Effectiveness'!$L$5:$L$47,MATCH($A27,'Control Effectiveness'!$A$5:$A$47,0)),0)</f>
        <v>2</v>
      </c>
      <c r="P27" s="53" t="n">
        <f aca="false">IFERROR(INDEX('Control Effectiveness'!$M$5:$M$47,MATCH($A27,'Control Effectiveness'!$A$5:$A$47,0)),0)</f>
        <v>2</v>
      </c>
      <c r="Q27" s="53" t="n">
        <f aca="false">IFERROR(INDEX('Control Effectiveness'!$N$5:$N$47,MATCH($A27,'Control Effectiveness'!$A$5:$A$47,0)),0)</f>
        <v>2</v>
      </c>
      <c r="R27" s="53" t="n">
        <f aca="false">IFERROR(INDEX('Control Effectiveness'!$O$5:$O$47,MATCH($A27,'Control Effectiveness'!$A$5:$A$47,0)),0)</f>
        <v>4</v>
      </c>
      <c r="S27" s="53" t="n">
        <f aca="false">IFERROR(INDEX('Control Effectiveness'!$P$5:$P$47,MATCH($A27,'Control Effectiveness'!$A$5:$A$47,0)),0)</f>
        <v>2</v>
      </c>
      <c r="T27" s="53" t="n">
        <f aca="false">IFERROR(INDEX('Control Effectiveness'!$Q$5:$Q$47,MATCH($A27,'Control Effectiveness'!$A$5:$A$47,0)),0)</f>
        <v>1</v>
      </c>
      <c r="U27" s="53" t="n">
        <f aca="false">IFERROR(INDEX('Control Effectiveness'!$R$5:$R$47,MATCH($A27,'Control Effectiveness'!$A$5:$A$47,0)),0)</f>
        <v>2</v>
      </c>
      <c r="V27" s="53" t="n">
        <f aca="false">IFERROR(INDEX('Control Effectiveness'!$S$5:$S$47,MATCH($A27,'Control Effectiveness'!$A$5:$A$47,0)),0)</f>
        <v>3</v>
      </c>
      <c r="W27" s="53" t="n">
        <f aca="false">IFERROR(INDEX('Control Effectiveness'!$T$5:$T$47,MATCH($A27,'Control Effectiveness'!$A$5:$A$47,0)),0)</f>
        <v>2</v>
      </c>
      <c r="X27" s="53" t="n">
        <f aca="false">IFERROR(INDEX('Control Effectiveness'!$U$5:$U$47,MATCH($A27,'Control Effectiveness'!$A$5:$A$47,0)),0)</f>
        <v>2</v>
      </c>
      <c r="Y27" s="53" t="n">
        <f aca="false">IFERROR(INDEX('Control Effectiveness'!$V$5:$V$47,MATCH($A27,'Control Effectiveness'!$A$5:$A$47,0)),0)</f>
        <v>2</v>
      </c>
      <c r="Z27" s="53" t="n">
        <f aca="false">IFERROR(INDEX('Control Effectiveness'!$W$5:$W$47,MATCH($A27,'Control Effectiveness'!$A$5:$A$47,0)),0)</f>
        <v>2</v>
      </c>
      <c r="AA27" s="53" t="n">
        <f aca="false">IFERROR(INDEX('Control Effectiveness'!$X$5:$X$47,MATCH($A27,'Control Effectiveness'!$A$5:$A$47,0)),0)</f>
        <v>2</v>
      </c>
      <c r="AB27" s="53" t="n">
        <f aca="false">IFERROR(INDEX('Control Effectiveness'!$Y$5:$Y$47,MATCH($A27,'Control Effectiveness'!$A$5:$A$47,0)),0)</f>
        <v>2</v>
      </c>
      <c r="AC27" s="53" t="n">
        <f aca="false">IFERROR(INDEX('Control Effectiveness'!$Z$5:$Z$47,MATCH($A27,'Control Effectiveness'!$A$5:$A$47,0)),0)</f>
        <v>1</v>
      </c>
      <c r="AD27" s="53" t="n">
        <f aca="false">IFERROR(INDEX('Control Effectiveness'!$AA$5:$AA$47,MATCH($A27,'Control Effectiveness'!$A$5:$A$47,0)),0)</f>
        <v>1</v>
      </c>
      <c r="AE27" s="53" t="n">
        <f aca="false">IFERROR(INDEX('Control Effectiveness'!$AB$5:$AB$47,MATCH($A27,'Control Effectiveness'!$A$5:$A$47,0)),0)</f>
        <v>2</v>
      </c>
      <c r="AF27" s="53" t="n">
        <f aca="false">IFERROR(INDEX('Control Effectiveness'!$AC$5:$AC$47,MATCH($A27,'Control Effectiveness'!$A$5:$A$47,0)),0)</f>
        <v>2</v>
      </c>
      <c r="AG27" s="53" t="n">
        <f aca="false">IFERROR(INDEX('Control Effectiveness'!$AD$5:$AD$47,MATCH($A27,'Control Effectiveness'!$A$5:$A$47,0)),0)</f>
        <v>1</v>
      </c>
      <c r="AH27" s="53" t="n">
        <f aca="false">IFERROR(INDEX('Control Effectiveness'!$AE$5:$AE$47,MATCH($A27,'Control Effectiveness'!$A$5:$A$47,0)),0)</f>
        <v>1</v>
      </c>
      <c r="AI27" s="53" t="n">
        <f aca="false">IFERROR(INDEX('Control Effectiveness'!$AF$5:$AF$47,MATCH($A27,'Control Effectiveness'!$A$5:$A$47,0)),0)</f>
        <v>1</v>
      </c>
      <c r="AJ27" s="53" t="n">
        <f aca="false">IFERROR(INDEX('Control Effectiveness'!$AG$5:$AG$47,MATCH($A27,'Control Effectiveness'!$A$5:$A$47,0)),0)</f>
        <v>2</v>
      </c>
    </row>
    <row r="28" customFormat="false" ht="15" hidden="false" customHeight="false" outlineLevel="0" collapsed="false">
      <c r="A28" s="8" t="s">
        <v>617</v>
      </c>
      <c r="B28" s="12" t="str">
        <f aca="false">INDEX('Control Library'!$B$5:$B$47,MATCH(A28,'Control Library'!$A$5:$A$47,0))</f>
        <v>STR decision and filing within regulatory deadline</v>
      </c>
      <c r="C28" s="33" t="s">
        <v>284</v>
      </c>
      <c r="D28" s="12" t="str">
        <f aca="false">INDEX('Risk Taxonomy'!$B$5:$B$24,MATCH(C28,'Risk Taxonomy'!$A$5:$A$24,0))</f>
        <v>Regulatory compliance</v>
      </c>
      <c r="E28" s="24" t="n">
        <v>1</v>
      </c>
      <c r="F28" s="7" t="str">
        <f aca="false">INDEX('Control Library'!$F$5:$F$47,MATCH(A28,'Control Library'!$A$5:$A$47,0))</f>
        <v>Y</v>
      </c>
      <c r="G28" s="53" t="n">
        <f aca="false">IFERROR(INDEX('Control Effectiveness'!$D$5:$D$47,MATCH($A28,'Control Effectiveness'!$A$5:$A$47,0)),0)</f>
        <v>3</v>
      </c>
      <c r="H28" s="53" t="n">
        <f aca="false">IFERROR(INDEX('Control Effectiveness'!$E$5:$E$47,MATCH($A28,'Control Effectiveness'!$A$5:$A$47,0)),0)</f>
        <v>2</v>
      </c>
      <c r="I28" s="53" t="n">
        <f aca="false">IFERROR(INDEX('Control Effectiveness'!$F$5:$F$47,MATCH($A28,'Control Effectiveness'!$A$5:$A$47,0)),0)</f>
        <v>2</v>
      </c>
      <c r="J28" s="53" t="n">
        <f aca="false">IFERROR(INDEX('Control Effectiveness'!$G$5:$G$47,MATCH($A28,'Control Effectiveness'!$A$5:$A$47,0)),0)</f>
        <v>4</v>
      </c>
      <c r="K28" s="53" t="n">
        <f aca="false">IFERROR(INDEX('Control Effectiveness'!$H$5:$H$47,MATCH($A28,'Control Effectiveness'!$A$5:$A$47,0)),0)</f>
        <v>2</v>
      </c>
      <c r="L28" s="53" t="n">
        <f aca="false">IFERROR(INDEX('Control Effectiveness'!$I$5:$I$47,MATCH($A28,'Control Effectiveness'!$A$5:$A$47,0)),0)</f>
        <v>1</v>
      </c>
      <c r="M28" s="53" t="n">
        <f aca="false">IFERROR(INDEX('Control Effectiveness'!$J$5:$J$47,MATCH($A28,'Control Effectiveness'!$A$5:$A$47,0)),0)</f>
        <v>3</v>
      </c>
      <c r="N28" s="53" t="n">
        <f aca="false">IFERROR(INDEX('Control Effectiveness'!$K$5:$K$47,MATCH($A28,'Control Effectiveness'!$A$5:$A$47,0)),0)</f>
        <v>2</v>
      </c>
      <c r="O28" s="53" t="n">
        <f aca="false">IFERROR(INDEX('Control Effectiveness'!$L$5:$L$47,MATCH($A28,'Control Effectiveness'!$A$5:$A$47,0)),0)</f>
        <v>2</v>
      </c>
      <c r="P28" s="53" t="n">
        <f aca="false">IFERROR(INDEX('Control Effectiveness'!$M$5:$M$47,MATCH($A28,'Control Effectiveness'!$A$5:$A$47,0)),0)</f>
        <v>2</v>
      </c>
      <c r="Q28" s="53" t="n">
        <f aca="false">IFERROR(INDEX('Control Effectiveness'!$N$5:$N$47,MATCH($A28,'Control Effectiveness'!$A$5:$A$47,0)),0)</f>
        <v>2</v>
      </c>
      <c r="R28" s="53" t="n">
        <f aca="false">IFERROR(INDEX('Control Effectiveness'!$O$5:$O$47,MATCH($A28,'Control Effectiveness'!$A$5:$A$47,0)),0)</f>
        <v>4</v>
      </c>
      <c r="S28" s="53" t="n">
        <f aca="false">IFERROR(INDEX('Control Effectiveness'!$P$5:$P$47,MATCH($A28,'Control Effectiveness'!$A$5:$A$47,0)),0)</f>
        <v>2</v>
      </c>
      <c r="T28" s="53" t="n">
        <f aca="false">IFERROR(INDEX('Control Effectiveness'!$Q$5:$Q$47,MATCH($A28,'Control Effectiveness'!$A$5:$A$47,0)),0)</f>
        <v>1</v>
      </c>
      <c r="U28" s="53" t="n">
        <f aca="false">IFERROR(INDEX('Control Effectiveness'!$R$5:$R$47,MATCH($A28,'Control Effectiveness'!$A$5:$A$47,0)),0)</f>
        <v>2</v>
      </c>
      <c r="V28" s="53" t="n">
        <f aca="false">IFERROR(INDEX('Control Effectiveness'!$S$5:$S$47,MATCH($A28,'Control Effectiveness'!$A$5:$A$47,0)),0)</f>
        <v>3</v>
      </c>
      <c r="W28" s="53" t="n">
        <f aca="false">IFERROR(INDEX('Control Effectiveness'!$T$5:$T$47,MATCH($A28,'Control Effectiveness'!$A$5:$A$47,0)),0)</f>
        <v>2</v>
      </c>
      <c r="X28" s="53" t="n">
        <f aca="false">IFERROR(INDEX('Control Effectiveness'!$U$5:$U$47,MATCH($A28,'Control Effectiveness'!$A$5:$A$47,0)),0)</f>
        <v>2</v>
      </c>
      <c r="Y28" s="53" t="n">
        <f aca="false">IFERROR(INDEX('Control Effectiveness'!$V$5:$V$47,MATCH($A28,'Control Effectiveness'!$A$5:$A$47,0)),0)</f>
        <v>2</v>
      </c>
      <c r="Z28" s="53" t="n">
        <f aca="false">IFERROR(INDEX('Control Effectiveness'!$W$5:$W$47,MATCH($A28,'Control Effectiveness'!$A$5:$A$47,0)),0)</f>
        <v>2</v>
      </c>
      <c r="AA28" s="53" t="n">
        <f aca="false">IFERROR(INDEX('Control Effectiveness'!$X$5:$X$47,MATCH($A28,'Control Effectiveness'!$A$5:$A$47,0)),0)</f>
        <v>2</v>
      </c>
      <c r="AB28" s="53" t="n">
        <f aca="false">IFERROR(INDEX('Control Effectiveness'!$Y$5:$Y$47,MATCH($A28,'Control Effectiveness'!$A$5:$A$47,0)),0)</f>
        <v>2</v>
      </c>
      <c r="AC28" s="53" t="n">
        <f aca="false">IFERROR(INDEX('Control Effectiveness'!$Z$5:$Z$47,MATCH($A28,'Control Effectiveness'!$A$5:$A$47,0)),0)</f>
        <v>1</v>
      </c>
      <c r="AD28" s="53" t="n">
        <f aca="false">IFERROR(INDEX('Control Effectiveness'!$AA$5:$AA$47,MATCH($A28,'Control Effectiveness'!$A$5:$A$47,0)),0)</f>
        <v>1</v>
      </c>
      <c r="AE28" s="53" t="n">
        <f aca="false">IFERROR(INDEX('Control Effectiveness'!$AB$5:$AB$47,MATCH($A28,'Control Effectiveness'!$A$5:$A$47,0)),0)</f>
        <v>2</v>
      </c>
      <c r="AF28" s="53" t="n">
        <f aca="false">IFERROR(INDEX('Control Effectiveness'!$AC$5:$AC$47,MATCH($A28,'Control Effectiveness'!$A$5:$A$47,0)),0)</f>
        <v>2</v>
      </c>
      <c r="AG28" s="53" t="n">
        <f aca="false">IFERROR(INDEX('Control Effectiveness'!$AD$5:$AD$47,MATCH($A28,'Control Effectiveness'!$A$5:$A$47,0)),0)</f>
        <v>1</v>
      </c>
      <c r="AH28" s="53" t="n">
        <f aca="false">IFERROR(INDEX('Control Effectiveness'!$AE$5:$AE$47,MATCH($A28,'Control Effectiveness'!$A$5:$A$47,0)),0)</f>
        <v>1</v>
      </c>
      <c r="AI28" s="53" t="n">
        <f aca="false">IFERROR(INDEX('Control Effectiveness'!$AF$5:$AF$47,MATCH($A28,'Control Effectiveness'!$A$5:$A$47,0)),0)</f>
        <v>1</v>
      </c>
      <c r="AJ28" s="53" t="n">
        <f aca="false">IFERROR(INDEX('Control Effectiveness'!$AG$5:$AG$47,MATCH($A28,'Control Effectiveness'!$A$5:$A$47,0)),0)</f>
        <v>2</v>
      </c>
    </row>
    <row r="29" customFormat="false" ht="15" hidden="false" customHeight="false" outlineLevel="0" collapsed="false">
      <c r="A29" s="8" t="s">
        <v>621</v>
      </c>
      <c r="B29" s="12" t="str">
        <f aca="false">INDEX('Control Library'!$B$5:$B$47,MATCH(A29,'Control Library'!$A$5:$A$47,0))</f>
        <v>Real-time payment and transaction sanctions screening</v>
      </c>
      <c r="C29" s="33" t="s">
        <v>272</v>
      </c>
      <c r="D29" s="12" t="str">
        <f aca="false">INDEX('Risk Taxonomy'!$B$5:$B$24,MATCH(C29,'Risk Taxonomy'!$A$5:$A$24,0))</f>
        <v>Sanctions</v>
      </c>
      <c r="E29" s="24" t="n">
        <v>3</v>
      </c>
      <c r="F29" s="7" t="str">
        <f aca="false">INDEX('Control Library'!$F$5:$F$47,MATCH(A29,'Control Library'!$A$5:$A$47,0))</f>
        <v>Y</v>
      </c>
      <c r="G29" s="53" t="n">
        <f aca="false">IFERROR(INDEX('Control Effectiveness'!$D$5:$D$47,MATCH($A29,'Control Effectiveness'!$A$5:$A$47,0)),0)</f>
        <v>2</v>
      </c>
      <c r="H29" s="53" t="n">
        <f aca="false">IFERROR(INDEX('Control Effectiveness'!$E$5:$E$47,MATCH($A29,'Control Effectiveness'!$A$5:$A$47,0)),0)</f>
        <v>2</v>
      </c>
      <c r="I29" s="53" t="n">
        <f aca="false">IFERROR(INDEX('Control Effectiveness'!$F$5:$F$47,MATCH($A29,'Control Effectiveness'!$A$5:$A$47,0)),0)</f>
        <v>4</v>
      </c>
      <c r="J29" s="53" t="n">
        <f aca="false">IFERROR(INDEX('Control Effectiveness'!$G$5:$G$47,MATCH($A29,'Control Effectiveness'!$A$5:$A$47,0)),0)</f>
        <v>2</v>
      </c>
      <c r="K29" s="53" t="n">
        <f aca="false">IFERROR(INDEX('Control Effectiveness'!$H$5:$H$47,MATCH($A29,'Control Effectiveness'!$A$5:$A$47,0)),0)</f>
        <v>2</v>
      </c>
      <c r="L29" s="53" t="n">
        <f aca="false">IFERROR(INDEX('Control Effectiveness'!$I$5:$I$47,MATCH($A29,'Control Effectiveness'!$A$5:$A$47,0)),0)</f>
        <v>2</v>
      </c>
      <c r="M29" s="53" t="n">
        <f aca="false">IFERROR(INDEX('Control Effectiveness'!$J$5:$J$47,MATCH($A29,'Control Effectiveness'!$A$5:$A$47,0)),0)</f>
        <v>2</v>
      </c>
      <c r="N29" s="53" t="n">
        <f aca="false">IFERROR(INDEX('Control Effectiveness'!$K$5:$K$47,MATCH($A29,'Control Effectiveness'!$A$5:$A$47,0)),0)</f>
        <v>4</v>
      </c>
      <c r="O29" s="53" t="n">
        <f aca="false">IFERROR(INDEX('Control Effectiveness'!$L$5:$L$47,MATCH($A29,'Control Effectiveness'!$A$5:$A$47,0)),0)</f>
        <v>2</v>
      </c>
      <c r="P29" s="53" t="n">
        <f aca="false">IFERROR(INDEX('Control Effectiveness'!$M$5:$M$47,MATCH($A29,'Control Effectiveness'!$A$5:$A$47,0)),0)</f>
        <v>2</v>
      </c>
      <c r="Q29" s="53" t="n">
        <f aca="false">IFERROR(INDEX('Control Effectiveness'!$N$5:$N$47,MATCH($A29,'Control Effectiveness'!$A$5:$A$47,0)),0)</f>
        <v>2</v>
      </c>
      <c r="R29" s="53" t="n">
        <f aca="false">IFERROR(INDEX('Control Effectiveness'!$O$5:$O$47,MATCH($A29,'Control Effectiveness'!$A$5:$A$47,0)),0)</f>
        <v>2</v>
      </c>
      <c r="S29" s="53" t="n">
        <f aca="false">IFERROR(INDEX('Control Effectiveness'!$P$5:$P$47,MATCH($A29,'Control Effectiveness'!$A$5:$A$47,0)),0)</f>
        <v>4</v>
      </c>
      <c r="T29" s="53" t="n">
        <f aca="false">IFERROR(INDEX('Control Effectiveness'!$Q$5:$Q$47,MATCH($A29,'Control Effectiveness'!$A$5:$A$47,0)),0)</f>
        <v>2</v>
      </c>
      <c r="U29" s="53" t="n">
        <f aca="false">IFERROR(INDEX('Control Effectiveness'!$R$5:$R$47,MATCH($A29,'Control Effectiveness'!$A$5:$A$47,0)),0)</f>
        <v>2</v>
      </c>
      <c r="V29" s="53" t="n">
        <f aca="false">IFERROR(INDEX('Control Effectiveness'!$S$5:$S$47,MATCH($A29,'Control Effectiveness'!$A$5:$A$47,0)),0)</f>
        <v>3</v>
      </c>
      <c r="W29" s="53" t="n">
        <f aca="false">IFERROR(INDEX('Control Effectiveness'!$T$5:$T$47,MATCH($A29,'Control Effectiveness'!$A$5:$A$47,0)),0)</f>
        <v>2</v>
      </c>
      <c r="X29" s="53" t="n">
        <f aca="false">IFERROR(INDEX('Control Effectiveness'!$U$5:$U$47,MATCH($A29,'Control Effectiveness'!$A$5:$A$47,0)),0)</f>
        <v>1</v>
      </c>
      <c r="Y29" s="53" t="n">
        <f aca="false">IFERROR(INDEX('Control Effectiveness'!$V$5:$V$47,MATCH($A29,'Control Effectiveness'!$A$5:$A$47,0)),0)</f>
        <v>4</v>
      </c>
      <c r="Z29" s="53" t="n">
        <f aca="false">IFERROR(INDEX('Control Effectiveness'!$W$5:$W$47,MATCH($A29,'Control Effectiveness'!$A$5:$A$47,0)),0)</f>
        <v>3</v>
      </c>
      <c r="AA29" s="53" t="n">
        <f aca="false">IFERROR(INDEX('Control Effectiveness'!$X$5:$X$47,MATCH($A29,'Control Effectiveness'!$A$5:$A$47,0)),0)</f>
        <v>3</v>
      </c>
      <c r="AB29" s="53" t="n">
        <f aca="false">IFERROR(INDEX('Control Effectiveness'!$Y$5:$Y$47,MATCH($A29,'Control Effectiveness'!$A$5:$A$47,0)),0)</f>
        <v>2</v>
      </c>
      <c r="AC29" s="53" t="n">
        <f aca="false">IFERROR(INDEX('Control Effectiveness'!$Z$5:$Z$47,MATCH($A29,'Control Effectiveness'!$A$5:$A$47,0)),0)</f>
        <v>2</v>
      </c>
      <c r="AD29" s="53" t="n">
        <f aca="false">IFERROR(INDEX('Control Effectiveness'!$AA$5:$AA$47,MATCH($A29,'Control Effectiveness'!$A$5:$A$47,0)),0)</f>
        <v>2</v>
      </c>
      <c r="AE29" s="53" t="n">
        <f aca="false">IFERROR(INDEX('Control Effectiveness'!$AB$5:$AB$47,MATCH($A29,'Control Effectiveness'!$A$5:$A$47,0)),0)</f>
        <v>1</v>
      </c>
      <c r="AF29" s="53" t="n">
        <f aca="false">IFERROR(INDEX('Control Effectiveness'!$AC$5:$AC$47,MATCH($A29,'Control Effectiveness'!$A$5:$A$47,0)),0)</f>
        <v>1</v>
      </c>
      <c r="AG29" s="53" t="n">
        <f aca="false">IFERROR(INDEX('Control Effectiveness'!$AD$5:$AD$47,MATCH($A29,'Control Effectiveness'!$A$5:$A$47,0)),0)</f>
        <v>2</v>
      </c>
      <c r="AH29" s="53" t="n">
        <f aca="false">IFERROR(INDEX('Control Effectiveness'!$AE$5:$AE$47,MATCH($A29,'Control Effectiveness'!$A$5:$A$47,0)),0)</f>
        <v>1</v>
      </c>
      <c r="AI29" s="53" t="n">
        <f aca="false">IFERROR(INDEX('Control Effectiveness'!$AF$5:$AF$47,MATCH($A29,'Control Effectiveness'!$A$5:$A$47,0)),0)</f>
        <v>1</v>
      </c>
      <c r="AJ29" s="53" t="n">
        <f aca="false">IFERROR(INDEX('Control Effectiveness'!$AG$5:$AG$47,MATCH($A29,'Control Effectiveness'!$A$5:$A$47,0)),0)</f>
        <v>2</v>
      </c>
    </row>
    <row r="30" customFormat="false" ht="15" hidden="false" customHeight="false" outlineLevel="0" collapsed="false">
      <c r="A30" s="8" t="s">
        <v>621</v>
      </c>
      <c r="B30" s="12" t="str">
        <f aca="false">INDEX('Control Library'!$B$5:$B$47,MATCH(A30,'Control Library'!$A$5:$A$47,0))</f>
        <v>Real-time payment and transaction sanctions screening</v>
      </c>
      <c r="C30" s="33" t="s">
        <v>270</v>
      </c>
      <c r="D30" s="12" t="str">
        <f aca="false">INDEX('Risk Taxonomy'!$B$5:$B$24,MATCH(C30,'Risk Taxonomy'!$A$5:$A$24,0))</f>
        <v>Proliferation financing</v>
      </c>
      <c r="E30" s="24" t="n">
        <v>2</v>
      </c>
      <c r="F30" s="7" t="str">
        <f aca="false">INDEX('Control Library'!$F$5:$F$47,MATCH(A30,'Control Library'!$A$5:$A$47,0))</f>
        <v>Y</v>
      </c>
      <c r="G30" s="53" t="n">
        <f aca="false">IFERROR(INDEX('Control Effectiveness'!$D$5:$D$47,MATCH($A30,'Control Effectiveness'!$A$5:$A$47,0)),0)</f>
        <v>2</v>
      </c>
      <c r="H30" s="53" t="n">
        <f aca="false">IFERROR(INDEX('Control Effectiveness'!$E$5:$E$47,MATCH($A30,'Control Effectiveness'!$A$5:$A$47,0)),0)</f>
        <v>2</v>
      </c>
      <c r="I30" s="53" t="n">
        <f aca="false">IFERROR(INDEX('Control Effectiveness'!$F$5:$F$47,MATCH($A30,'Control Effectiveness'!$A$5:$A$47,0)),0)</f>
        <v>4</v>
      </c>
      <c r="J30" s="53" t="n">
        <f aca="false">IFERROR(INDEX('Control Effectiveness'!$G$5:$G$47,MATCH($A30,'Control Effectiveness'!$A$5:$A$47,0)),0)</f>
        <v>2</v>
      </c>
      <c r="K30" s="53" t="n">
        <f aca="false">IFERROR(INDEX('Control Effectiveness'!$H$5:$H$47,MATCH($A30,'Control Effectiveness'!$A$5:$A$47,0)),0)</f>
        <v>2</v>
      </c>
      <c r="L30" s="53" t="n">
        <f aca="false">IFERROR(INDEX('Control Effectiveness'!$I$5:$I$47,MATCH($A30,'Control Effectiveness'!$A$5:$A$47,0)),0)</f>
        <v>2</v>
      </c>
      <c r="M30" s="53" t="n">
        <f aca="false">IFERROR(INDEX('Control Effectiveness'!$J$5:$J$47,MATCH($A30,'Control Effectiveness'!$A$5:$A$47,0)),0)</f>
        <v>2</v>
      </c>
      <c r="N30" s="53" t="n">
        <f aca="false">IFERROR(INDEX('Control Effectiveness'!$K$5:$K$47,MATCH($A30,'Control Effectiveness'!$A$5:$A$47,0)),0)</f>
        <v>4</v>
      </c>
      <c r="O30" s="53" t="n">
        <f aca="false">IFERROR(INDEX('Control Effectiveness'!$L$5:$L$47,MATCH($A30,'Control Effectiveness'!$A$5:$A$47,0)),0)</f>
        <v>2</v>
      </c>
      <c r="P30" s="53" t="n">
        <f aca="false">IFERROR(INDEX('Control Effectiveness'!$M$5:$M$47,MATCH($A30,'Control Effectiveness'!$A$5:$A$47,0)),0)</f>
        <v>2</v>
      </c>
      <c r="Q30" s="53" t="n">
        <f aca="false">IFERROR(INDEX('Control Effectiveness'!$N$5:$N$47,MATCH($A30,'Control Effectiveness'!$A$5:$A$47,0)),0)</f>
        <v>2</v>
      </c>
      <c r="R30" s="53" t="n">
        <f aca="false">IFERROR(INDEX('Control Effectiveness'!$O$5:$O$47,MATCH($A30,'Control Effectiveness'!$A$5:$A$47,0)),0)</f>
        <v>2</v>
      </c>
      <c r="S30" s="53" t="n">
        <f aca="false">IFERROR(INDEX('Control Effectiveness'!$P$5:$P$47,MATCH($A30,'Control Effectiveness'!$A$5:$A$47,0)),0)</f>
        <v>4</v>
      </c>
      <c r="T30" s="53" t="n">
        <f aca="false">IFERROR(INDEX('Control Effectiveness'!$Q$5:$Q$47,MATCH($A30,'Control Effectiveness'!$A$5:$A$47,0)),0)</f>
        <v>2</v>
      </c>
      <c r="U30" s="53" t="n">
        <f aca="false">IFERROR(INDEX('Control Effectiveness'!$R$5:$R$47,MATCH($A30,'Control Effectiveness'!$A$5:$A$47,0)),0)</f>
        <v>2</v>
      </c>
      <c r="V30" s="53" t="n">
        <f aca="false">IFERROR(INDEX('Control Effectiveness'!$S$5:$S$47,MATCH($A30,'Control Effectiveness'!$A$5:$A$47,0)),0)</f>
        <v>3</v>
      </c>
      <c r="W30" s="53" t="n">
        <f aca="false">IFERROR(INDEX('Control Effectiveness'!$T$5:$T$47,MATCH($A30,'Control Effectiveness'!$A$5:$A$47,0)),0)</f>
        <v>2</v>
      </c>
      <c r="X30" s="53" t="n">
        <f aca="false">IFERROR(INDEX('Control Effectiveness'!$U$5:$U$47,MATCH($A30,'Control Effectiveness'!$A$5:$A$47,0)),0)</f>
        <v>1</v>
      </c>
      <c r="Y30" s="53" t="n">
        <f aca="false">IFERROR(INDEX('Control Effectiveness'!$V$5:$V$47,MATCH($A30,'Control Effectiveness'!$A$5:$A$47,0)),0)</f>
        <v>4</v>
      </c>
      <c r="Z30" s="53" t="n">
        <f aca="false">IFERROR(INDEX('Control Effectiveness'!$W$5:$W$47,MATCH($A30,'Control Effectiveness'!$A$5:$A$47,0)),0)</f>
        <v>3</v>
      </c>
      <c r="AA30" s="53" t="n">
        <f aca="false">IFERROR(INDEX('Control Effectiveness'!$X$5:$X$47,MATCH($A30,'Control Effectiveness'!$A$5:$A$47,0)),0)</f>
        <v>3</v>
      </c>
      <c r="AB30" s="53" t="n">
        <f aca="false">IFERROR(INDEX('Control Effectiveness'!$Y$5:$Y$47,MATCH($A30,'Control Effectiveness'!$A$5:$A$47,0)),0)</f>
        <v>2</v>
      </c>
      <c r="AC30" s="53" t="n">
        <f aca="false">IFERROR(INDEX('Control Effectiveness'!$Z$5:$Z$47,MATCH($A30,'Control Effectiveness'!$A$5:$A$47,0)),0)</f>
        <v>2</v>
      </c>
      <c r="AD30" s="53" t="n">
        <f aca="false">IFERROR(INDEX('Control Effectiveness'!$AA$5:$AA$47,MATCH($A30,'Control Effectiveness'!$A$5:$A$47,0)),0)</f>
        <v>2</v>
      </c>
      <c r="AE30" s="53" t="n">
        <f aca="false">IFERROR(INDEX('Control Effectiveness'!$AB$5:$AB$47,MATCH($A30,'Control Effectiveness'!$A$5:$A$47,0)),0)</f>
        <v>1</v>
      </c>
      <c r="AF30" s="53" t="n">
        <f aca="false">IFERROR(INDEX('Control Effectiveness'!$AC$5:$AC$47,MATCH($A30,'Control Effectiveness'!$A$5:$A$47,0)),0)</f>
        <v>1</v>
      </c>
      <c r="AG30" s="53" t="n">
        <f aca="false">IFERROR(INDEX('Control Effectiveness'!$AD$5:$AD$47,MATCH($A30,'Control Effectiveness'!$A$5:$A$47,0)),0)</f>
        <v>2</v>
      </c>
      <c r="AH30" s="53" t="n">
        <f aca="false">IFERROR(INDEX('Control Effectiveness'!$AE$5:$AE$47,MATCH($A30,'Control Effectiveness'!$A$5:$A$47,0)),0)</f>
        <v>1</v>
      </c>
      <c r="AI30" s="53" t="n">
        <f aca="false">IFERROR(INDEX('Control Effectiveness'!$AF$5:$AF$47,MATCH($A30,'Control Effectiveness'!$A$5:$A$47,0)),0)</f>
        <v>1</v>
      </c>
      <c r="AJ30" s="53" t="n">
        <f aca="false">IFERROR(INDEX('Control Effectiveness'!$AG$5:$AG$47,MATCH($A30,'Control Effectiveness'!$A$5:$A$47,0)),0)</f>
        <v>2</v>
      </c>
    </row>
    <row r="31" customFormat="false" ht="15" hidden="false" customHeight="false" outlineLevel="0" collapsed="false">
      <c r="A31" s="8" t="s">
        <v>621</v>
      </c>
      <c r="B31" s="12" t="str">
        <f aca="false">INDEX('Control Library'!$B$5:$B$47,MATCH(A31,'Control Library'!$A$5:$A$47,0))</f>
        <v>Real-time payment and transaction sanctions screening</v>
      </c>
      <c r="C31" s="33" t="s">
        <v>267</v>
      </c>
      <c r="D31" s="12" t="str">
        <f aca="false">INDEX('Risk Taxonomy'!$B$5:$B$24,MATCH(C31,'Risk Taxonomy'!$A$5:$A$24,0))</f>
        <v>Terrorist financing</v>
      </c>
      <c r="E31" s="24" t="n">
        <v>1</v>
      </c>
      <c r="F31" s="7" t="str">
        <f aca="false">INDEX('Control Library'!$F$5:$F$47,MATCH(A31,'Control Library'!$A$5:$A$47,0))</f>
        <v>Y</v>
      </c>
      <c r="G31" s="53" t="n">
        <f aca="false">IFERROR(INDEX('Control Effectiveness'!$D$5:$D$47,MATCH($A31,'Control Effectiveness'!$A$5:$A$47,0)),0)</f>
        <v>2</v>
      </c>
      <c r="H31" s="53" t="n">
        <f aca="false">IFERROR(INDEX('Control Effectiveness'!$E$5:$E$47,MATCH($A31,'Control Effectiveness'!$A$5:$A$47,0)),0)</f>
        <v>2</v>
      </c>
      <c r="I31" s="53" t="n">
        <f aca="false">IFERROR(INDEX('Control Effectiveness'!$F$5:$F$47,MATCH($A31,'Control Effectiveness'!$A$5:$A$47,0)),0)</f>
        <v>4</v>
      </c>
      <c r="J31" s="53" t="n">
        <f aca="false">IFERROR(INDEX('Control Effectiveness'!$G$5:$G$47,MATCH($A31,'Control Effectiveness'!$A$5:$A$47,0)),0)</f>
        <v>2</v>
      </c>
      <c r="K31" s="53" t="n">
        <f aca="false">IFERROR(INDEX('Control Effectiveness'!$H$5:$H$47,MATCH($A31,'Control Effectiveness'!$A$5:$A$47,0)),0)</f>
        <v>2</v>
      </c>
      <c r="L31" s="53" t="n">
        <f aca="false">IFERROR(INDEX('Control Effectiveness'!$I$5:$I$47,MATCH($A31,'Control Effectiveness'!$A$5:$A$47,0)),0)</f>
        <v>2</v>
      </c>
      <c r="M31" s="53" t="n">
        <f aca="false">IFERROR(INDEX('Control Effectiveness'!$J$5:$J$47,MATCH($A31,'Control Effectiveness'!$A$5:$A$47,0)),0)</f>
        <v>2</v>
      </c>
      <c r="N31" s="53" t="n">
        <f aca="false">IFERROR(INDEX('Control Effectiveness'!$K$5:$K$47,MATCH($A31,'Control Effectiveness'!$A$5:$A$47,0)),0)</f>
        <v>4</v>
      </c>
      <c r="O31" s="53" t="n">
        <f aca="false">IFERROR(INDEX('Control Effectiveness'!$L$5:$L$47,MATCH($A31,'Control Effectiveness'!$A$5:$A$47,0)),0)</f>
        <v>2</v>
      </c>
      <c r="P31" s="53" t="n">
        <f aca="false">IFERROR(INDEX('Control Effectiveness'!$M$5:$M$47,MATCH($A31,'Control Effectiveness'!$A$5:$A$47,0)),0)</f>
        <v>2</v>
      </c>
      <c r="Q31" s="53" t="n">
        <f aca="false">IFERROR(INDEX('Control Effectiveness'!$N$5:$N$47,MATCH($A31,'Control Effectiveness'!$A$5:$A$47,0)),0)</f>
        <v>2</v>
      </c>
      <c r="R31" s="53" t="n">
        <f aca="false">IFERROR(INDEX('Control Effectiveness'!$O$5:$O$47,MATCH($A31,'Control Effectiveness'!$A$5:$A$47,0)),0)</f>
        <v>2</v>
      </c>
      <c r="S31" s="53" t="n">
        <f aca="false">IFERROR(INDEX('Control Effectiveness'!$P$5:$P$47,MATCH($A31,'Control Effectiveness'!$A$5:$A$47,0)),0)</f>
        <v>4</v>
      </c>
      <c r="T31" s="53" t="n">
        <f aca="false">IFERROR(INDEX('Control Effectiveness'!$Q$5:$Q$47,MATCH($A31,'Control Effectiveness'!$A$5:$A$47,0)),0)</f>
        <v>2</v>
      </c>
      <c r="U31" s="53" t="n">
        <f aca="false">IFERROR(INDEX('Control Effectiveness'!$R$5:$R$47,MATCH($A31,'Control Effectiveness'!$A$5:$A$47,0)),0)</f>
        <v>2</v>
      </c>
      <c r="V31" s="53" t="n">
        <f aca="false">IFERROR(INDEX('Control Effectiveness'!$S$5:$S$47,MATCH($A31,'Control Effectiveness'!$A$5:$A$47,0)),0)</f>
        <v>3</v>
      </c>
      <c r="W31" s="53" t="n">
        <f aca="false">IFERROR(INDEX('Control Effectiveness'!$T$5:$T$47,MATCH($A31,'Control Effectiveness'!$A$5:$A$47,0)),0)</f>
        <v>2</v>
      </c>
      <c r="X31" s="53" t="n">
        <f aca="false">IFERROR(INDEX('Control Effectiveness'!$U$5:$U$47,MATCH($A31,'Control Effectiveness'!$A$5:$A$47,0)),0)</f>
        <v>1</v>
      </c>
      <c r="Y31" s="53" t="n">
        <f aca="false">IFERROR(INDEX('Control Effectiveness'!$V$5:$V$47,MATCH($A31,'Control Effectiveness'!$A$5:$A$47,0)),0)</f>
        <v>4</v>
      </c>
      <c r="Z31" s="53" t="n">
        <f aca="false">IFERROR(INDEX('Control Effectiveness'!$W$5:$W$47,MATCH($A31,'Control Effectiveness'!$A$5:$A$47,0)),0)</f>
        <v>3</v>
      </c>
      <c r="AA31" s="53" t="n">
        <f aca="false">IFERROR(INDEX('Control Effectiveness'!$X$5:$X$47,MATCH($A31,'Control Effectiveness'!$A$5:$A$47,0)),0)</f>
        <v>3</v>
      </c>
      <c r="AB31" s="53" t="n">
        <f aca="false">IFERROR(INDEX('Control Effectiveness'!$Y$5:$Y$47,MATCH($A31,'Control Effectiveness'!$A$5:$A$47,0)),0)</f>
        <v>2</v>
      </c>
      <c r="AC31" s="53" t="n">
        <f aca="false">IFERROR(INDEX('Control Effectiveness'!$Z$5:$Z$47,MATCH($A31,'Control Effectiveness'!$A$5:$A$47,0)),0)</f>
        <v>2</v>
      </c>
      <c r="AD31" s="53" t="n">
        <f aca="false">IFERROR(INDEX('Control Effectiveness'!$AA$5:$AA$47,MATCH($A31,'Control Effectiveness'!$A$5:$A$47,0)),0)</f>
        <v>2</v>
      </c>
      <c r="AE31" s="53" t="n">
        <f aca="false">IFERROR(INDEX('Control Effectiveness'!$AB$5:$AB$47,MATCH($A31,'Control Effectiveness'!$A$5:$A$47,0)),0)</f>
        <v>1</v>
      </c>
      <c r="AF31" s="53" t="n">
        <f aca="false">IFERROR(INDEX('Control Effectiveness'!$AC$5:$AC$47,MATCH($A31,'Control Effectiveness'!$A$5:$A$47,0)),0)</f>
        <v>1</v>
      </c>
      <c r="AG31" s="53" t="n">
        <f aca="false">IFERROR(INDEX('Control Effectiveness'!$AD$5:$AD$47,MATCH($A31,'Control Effectiveness'!$A$5:$A$47,0)),0)</f>
        <v>2</v>
      </c>
      <c r="AH31" s="53" t="n">
        <f aca="false">IFERROR(INDEX('Control Effectiveness'!$AE$5:$AE$47,MATCH($A31,'Control Effectiveness'!$A$5:$A$47,0)),0)</f>
        <v>1</v>
      </c>
      <c r="AI31" s="53" t="n">
        <f aca="false">IFERROR(INDEX('Control Effectiveness'!$AF$5:$AF$47,MATCH($A31,'Control Effectiveness'!$A$5:$A$47,0)),0)</f>
        <v>1</v>
      </c>
      <c r="AJ31" s="53" t="n">
        <f aca="false">IFERROR(INDEX('Control Effectiveness'!$AG$5:$AG$47,MATCH($A31,'Control Effectiveness'!$A$5:$A$47,0)),0)</f>
        <v>2</v>
      </c>
    </row>
    <row r="32" customFormat="false" ht="15" hidden="false" customHeight="false" outlineLevel="0" collapsed="false">
      <c r="A32" s="8" t="s">
        <v>625</v>
      </c>
      <c r="B32" s="12" t="str">
        <f aca="false">INDEX('Control Library'!$B$5:$B$47,MATCH(A32,'Control Library'!$A$5:$A$47,0))</f>
        <v>Customer and counterparty screening at onboarding and on list change</v>
      </c>
      <c r="C32" s="33" t="s">
        <v>272</v>
      </c>
      <c r="D32" s="12" t="str">
        <f aca="false">INDEX('Risk Taxonomy'!$B$5:$B$24,MATCH(C32,'Risk Taxonomy'!$A$5:$A$24,0))</f>
        <v>Sanctions</v>
      </c>
      <c r="E32" s="24" t="n">
        <v>2</v>
      </c>
      <c r="F32" s="7" t="str">
        <f aca="false">INDEX('Control Library'!$F$5:$F$47,MATCH(A32,'Control Library'!$A$5:$A$47,0))</f>
        <v>Y</v>
      </c>
      <c r="G32" s="53" t="n">
        <f aca="false">IFERROR(INDEX('Control Effectiveness'!$D$5:$D$47,MATCH($A32,'Control Effectiveness'!$A$5:$A$47,0)),0)</f>
        <v>2</v>
      </c>
      <c r="H32" s="53" t="n">
        <f aca="false">IFERROR(INDEX('Control Effectiveness'!$E$5:$E$47,MATCH($A32,'Control Effectiveness'!$A$5:$A$47,0)),0)</f>
        <v>4</v>
      </c>
      <c r="I32" s="53" t="n">
        <f aca="false">IFERROR(INDEX('Control Effectiveness'!$F$5:$F$47,MATCH($A32,'Control Effectiveness'!$A$5:$A$47,0)),0)</f>
        <v>2</v>
      </c>
      <c r="J32" s="53" t="n">
        <f aca="false">IFERROR(INDEX('Control Effectiveness'!$G$5:$G$47,MATCH($A32,'Control Effectiveness'!$A$5:$A$47,0)),0)</f>
        <v>2</v>
      </c>
      <c r="K32" s="53" t="n">
        <f aca="false">IFERROR(INDEX('Control Effectiveness'!$H$5:$H$47,MATCH($A32,'Control Effectiveness'!$A$5:$A$47,0)),0)</f>
        <v>2</v>
      </c>
      <c r="L32" s="53" t="n">
        <f aca="false">IFERROR(INDEX('Control Effectiveness'!$I$5:$I$47,MATCH($A32,'Control Effectiveness'!$A$5:$A$47,0)),0)</f>
        <v>2</v>
      </c>
      <c r="M32" s="53" t="n">
        <f aca="false">IFERROR(INDEX('Control Effectiveness'!$J$5:$J$47,MATCH($A32,'Control Effectiveness'!$A$5:$A$47,0)),0)</f>
        <v>4</v>
      </c>
      <c r="N32" s="53" t="n">
        <f aca="false">IFERROR(INDEX('Control Effectiveness'!$K$5:$K$47,MATCH($A32,'Control Effectiveness'!$A$5:$A$47,0)),0)</f>
        <v>2</v>
      </c>
      <c r="O32" s="53" t="n">
        <f aca="false">IFERROR(INDEX('Control Effectiveness'!$L$5:$L$47,MATCH($A32,'Control Effectiveness'!$A$5:$A$47,0)),0)</f>
        <v>2</v>
      </c>
      <c r="P32" s="53" t="n">
        <f aca="false">IFERROR(INDEX('Control Effectiveness'!$M$5:$M$47,MATCH($A32,'Control Effectiveness'!$A$5:$A$47,0)),0)</f>
        <v>4</v>
      </c>
      <c r="Q32" s="53" t="n">
        <f aca="false">IFERROR(INDEX('Control Effectiveness'!$N$5:$N$47,MATCH($A32,'Control Effectiveness'!$A$5:$A$47,0)),0)</f>
        <v>2</v>
      </c>
      <c r="R32" s="53" t="n">
        <f aca="false">IFERROR(INDEX('Control Effectiveness'!$O$5:$O$47,MATCH($A32,'Control Effectiveness'!$A$5:$A$47,0)),0)</f>
        <v>4</v>
      </c>
      <c r="S32" s="53" t="n">
        <f aca="false">IFERROR(INDEX('Control Effectiveness'!$P$5:$P$47,MATCH($A32,'Control Effectiveness'!$A$5:$A$47,0)),0)</f>
        <v>2</v>
      </c>
      <c r="T32" s="53" t="n">
        <f aca="false">IFERROR(INDEX('Control Effectiveness'!$Q$5:$Q$47,MATCH($A32,'Control Effectiveness'!$A$5:$A$47,0)),0)</f>
        <v>2</v>
      </c>
      <c r="U32" s="53" t="n">
        <f aca="false">IFERROR(INDEX('Control Effectiveness'!$R$5:$R$47,MATCH($A32,'Control Effectiveness'!$A$5:$A$47,0)),0)</f>
        <v>2</v>
      </c>
      <c r="V32" s="53" t="n">
        <f aca="false">IFERROR(INDEX('Control Effectiveness'!$S$5:$S$47,MATCH($A32,'Control Effectiveness'!$A$5:$A$47,0)),0)</f>
        <v>2</v>
      </c>
      <c r="W32" s="53" t="n">
        <f aca="false">IFERROR(INDEX('Control Effectiveness'!$T$5:$T$47,MATCH($A32,'Control Effectiveness'!$A$5:$A$47,0)),0)</f>
        <v>1</v>
      </c>
      <c r="X32" s="53" t="n">
        <f aca="false">IFERROR(INDEX('Control Effectiveness'!$U$5:$U$47,MATCH($A32,'Control Effectiveness'!$A$5:$A$47,0)),0)</f>
        <v>1</v>
      </c>
      <c r="Y32" s="53" t="n">
        <f aca="false">IFERROR(INDEX('Control Effectiveness'!$V$5:$V$47,MATCH($A32,'Control Effectiveness'!$A$5:$A$47,0)),0)</f>
        <v>2</v>
      </c>
      <c r="Z32" s="53" t="n">
        <f aca="false">IFERROR(INDEX('Control Effectiveness'!$W$5:$W$47,MATCH($A32,'Control Effectiveness'!$A$5:$A$47,0)),0)</f>
        <v>4</v>
      </c>
      <c r="AA32" s="53" t="n">
        <f aca="false">IFERROR(INDEX('Control Effectiveness'!$X$5:$X$47,MATCH($A32,'Control Effectiveness'!$A$5:$A$47,0)),0)</f>
        <v>2</v>
      </c>
      <c r="AB32" s="53" t="n">
        <f aca="false">IFERROR(INDEX('Control Effectiveness'!$Y$5:$Y$47,MATCH($A32,'Control Effectiveness'!$A$5:$A$47,0)),0)</f>
        <v>2</v>
      </c>
      <c r="AC32" s="53" t="n">
        <f aca="false">IFERROR(INDEX('Control Effectiveness'!$Z$5:$Z$47,MATCH($A32,'Control Effectiveness'!$A$5:$A$47,0)),0)</f>
        <v>1</v>
      </c>
      <c r="AD32" s="53" t="n">
        <f aca="false">IFERROR(INDEX('Control Effectiveness'!$AA$5:$AA$47,MATCH($A32,'Control Effectiveness'!$A$5:$A$47,0)),0)</f>
        <v>2</v>
      </c>
      <c r="AE32" s="53" t="n">
        <f aca="false">IFERROR(INDEX('Control Effectiveness'!$AB$5:$AB$47,MATCH($A32,'Control Effectiveness'!$A$5:$A$47,0)),0)</f>
        <v>1</v>
      </c>
      <c r="AF32" s="53" t="n">
        <f aca="false">IFERROR(INDEX('Control Effectiveness'!$AC$5:$AC$47,MATCH($A32,'Control Effectiveness'!$A$5:$A$47,0)),0)</f>
        <v>4</v>
      </c>
      <c r="AG32" s="53" t="n">
        <f aca="false">IFERROR(INDEX('Control Effectiveness'!$AD$5:$AD$47,MATCH($A32,'Control Effectiveness'!$A$5:$A$47,0)),0)</f>
        <v>1</v>
      </c>
      <c r="AH32" s="53" t="n">
        <f aca="false">IFERROR(INDEX('Control Effectiveness'!$AE$5:$AE$47,MATCH($A32,'Control Effectiveness'!$A$5:$A$47,0)),0)</f>
        <v>1</v>
      </c>
      <c r="AI32" s="53" t="n">
        <f aca="false">IFERROR(INDEX('Control Effectiveness'!$AF$5:$AF$47,MATCH($A32,'Control Effectiveness'!$A$5:$A$47,0)),0)</f>
        <v>2</v>
      </c>
      <c r="AJ32" s="53" t="n">
        <f aca="false">IFERROR(INDEX('Control Effectiveness'!$AG$5:$AG$47,MATCH($A32,'Control Effectiveness'!$A$5:$A$47,0)),0)</f>
        <v>1</v>
      </c>
    </row>
    <row r="33" customFormat="false" ht="15" hidden="false" customHeight="false" outlineLevel="0" collapsed="false">
      <c r="A33" s="8" t="s">
        <v>625</v>
      </c>
      <c r="B33" s="12" t="str">
        <f aca="false">INDEX('Control Library'!$B$5:$B$47,MATCH(A33,'Control Library'!$A$5:$A$47,0))</f>
        <v>Customer and counterparty screening at onboarding and on list change</v>
      </c>
      <c r="C33" s="33" t="s">
        <v>270</v>
      </c>
      <c r="D33" s="12" t="str">
        <f aca="false">INDEX('Risk Taxonomy'!$B$5:$B$24,MATCH(C33,'Risk Taxonomy'!$A$5:$A$24,0))</f>
        <v>Proliferation financing</v>
      </c>
      <c r="E33" s="24" t="n">
        <v>1</v>
      </c>
      <c r="F33" s="7" t="str">
        <f aca="false">INDEX('Control Library'!$F$5:$F$47,MATCH(A33,'Control Library'!$A$5:$A$47,0))</f>
        <v>Y</v>
      </c>
      <c r="G33" s="53" t="n">
        <f aca="false">IFERROR(INDEX('Control Effectiveness'!$D$5:$D$47,MATCH($A33,'Control Effectiveness'!$A$5:$A$47,0)),0)</f>
        <v>2</v>
      </c>
      <c r="H33" s="53" t="n">
        <f aca="false">IFERROR(INDEX('Control Effectiveness'!$E$5:$E$47,MATCH($A33,'Control Effectiveness'!$A$5:$A$47,0)),0)</f>
        <v>4</v>
      </c>
      <c r="I33" s="53" t="n">
        <f aca="false">IFERROR(INDEX('Control Effectiveness'!$F$5:$F$47,MATCH($A33,'Control Effectiveness'!$A$5:$A$47,0)),0)</f>
        <v>2</v>
      </c>
      <c r="J33" s="53" t="n">
        <f aca="false">IFERROR(INDEX('Control Effectiveness'!$G$5:$G$47,MATCH($A33,'Control Effectiveness'!$A$5:$A$47,0)),0)</f>
        <v>2</v>
      </c>
      <c r="K33" s="53" t="n">
        <f aca="false">IFERROR(INDEX('Control Effectiveness'!$H$5:$H$47,MATCH($A33,'Control Effectiveness'!$A$5:$A$47,0)),0)</f>
        <v>2</v>
      </c>
      <c r="L33" s="53" t="n">
        <f aca="false">IFERROR(INDEX('Control Effectiveness'!$I$5:$I$47,MATCH($A33,'Control Effectiveness'!$A$5:$A$47,0)),0)</f>
        <v>2</v>
      </c>
      <c r="M33" s="53" t="n">
        <f aca="false">IFERROR(INDEX('Control Effectiveness'!$J$5:$J$47,MATCH($A33,'Control Effectiveness'!$A$5:$A$47,0)),0)</f>
        <v>4</v>
      </c>
      <c r="N33" s="53" t="n">
        <f aca="false">IFERROR(INDEX('Control Effectiveness'!$K$5:$K$47,MATCH($A33,'Control Effectiveness'!$A$5:$A$47,0)),0)</f>
        <v>2</v>
      </c>
      <c r="O33" s="53" t="n">
        <f aca="false">IFERROR(INDEX('Control Effectiveness'!$L$5:$L$47,MATCH($A33,'Control Effectiveness'!$A$5:$A$47,0)),0)</f>
        <v>2</v>
      </c>
      <c r="P33" s="53" t="n">
        <f aca="false">IFERROR(INDEX('Control Effectiveness'!$M$5:$M$47,MATCH($A33,'Control Effectiveness'!$A$5:$A$47,0)),0)</f>
        <v>4</v>
      </c>
      <c r="Q33" s="53" t="n">
        <f aca="false">IFERROR(INDEX('Control Effectiveness'!$N$5:$N$47,MATCH($A33,'Control Effectiveness'!$A$5:$A$47,0)),0)</f>
        <v>2</v>
      </c>
      <c r="R33" s="53" t="n">
        <f aca="false">IFERROR(INDEX('Control Effectiveness'!$O$5:$O$47,MATCH($A33,'Control Effectiveness'!$A$5:$A$47,0)),0)</f>
        <v>4</v>
      </c>
      <c r="S33" s="53" t="n">
        <f aca="false">IFERROR(INDEX('Control Effectiveness'!$P$5:$P$47,MATCH($A33,'Control Effectiveness'!$A$5:$A$47,0)),0)</f>
        <v>2</v>
      </c>
      <c r="T33" s="53" t="n">
        <f aca="false">IFERROR(INDEX('Control Effectiveness'!$Q$5:$Q$47,MATCH($A33,'Control Effectiveness'!$A$5:$A$47,0)),0)</f>
        <v>2</v>
      </c>
      <c r="U33" s="53" t="n">
        <f aca="false">IFERROR(INDEX('Control Effectiveness'!$R$5:$R$47,MATCH($A33,'Control Effectiveness'!$A$5:$A$47,0)),0)</f>
        <v>2</v>
      </c>
      <c r="V33" s="53" t="n">
        <f aca="false">IFERROR(INDEX('Control Effectiveness'!$S$5:$S$47,MATCH($A33,'Control Effectiveness'!$A$5:$A$47,0)),0)</f>
        <v>2</v>
      </c>
      <c r="W33" s="53" t="n">
        <f aca="false">IFERROR(INDEX('Control Effectiveness'!$T$5:$T$47,MATCH($A33,'Control Effectiveness'!$A$5:$A$47,0)),0)</f>
        <v>1</v>
      </c>
      <c r="X33" s="53" t="n">
        <f aca="false">IFERROR(INDEX('Control Effectiveness'!$U$5:$U$47,MATCH($A33,'Control Effectiveness'!$A$5:$A$47,0)),0)</f>
        <v>1</v>
      </c>
      <c r="Y33" s="53" t="n">
        <f aca="false">IFERROR(INDEX('Control Effectiveness'!$V$5:$V$47,MATCH($A33,'Control Effectiveness'!$A$5:$A$47,0)),0)</f>
        <v>2</v>
      </c>
      <c r="Z33" s="53" t="n">
        <f aca="false">IFERROR(INDEX('Control Effectiveness'!$W$5:$W$47,MATCH($A33,'Control Effectiveness'!$A$5:$A$47,0)),0)</f>
        <v>4</v>
      </c>
      <c r="AA33" s="53" t="n">
        <f aca="false">IFERROR(INDEX('Control Effectiveness'!$X$5:$X$47,MATCH($A33,'Control Effectiveness'!$A$5:$A$47,0)),0)</f>
        <v>2</v>
      </c>
      <c r="AB33" s="53" t="n">
        <f aca="false">IFERROR(INDEX('Control Effectiveness'!$Y$5:$Y$47,MATCH($A33,'Control Effectiveness'!$A$5:$A$47,0)),0)</f>
        <v>2</v>
      </c>
      <c r="AC33" s="53" t="n">
        <f aca="false">IFERROR(INDEX('Control Effectiveness'!$Z$5:$Z$47,MATCH($A33,'Control Effectiveness'!$A$5:$A$47,0)),0)</f>
        <v>1</v>
      </c>
      <c r="AD33" s="53" t="n">
        <f aca="false">IFERROR(INDEX('Control Effectiveness'!$AA$5:$AA$47,MATCH($A33,'Control Effectiveness'!$A$5:$A$47,0)),0)</f>
        <v>2</v>
      </c>
      <c r="AE33" s="53" t="n">
        <f aca="false">IFERROR(INDEX('Control Effectiveness'!$AB$5:$AB$47,MATCH($A33,'Control Effectiveness'!$A$5:$A$47,0)),0)</f>
        <v>1</v>
      </c>
      <c r="AF33" s="53" t="n">
        <f aca="false">IFERROR(INDEX('Control Effectiveness'!$AC$5:$AC$47,MATCH($A33,'Control Effectiveness'!$A$5:$A$47,0)),0)</f>
        <v>4</v>
      </c>
      <c r="AG33" s="53" t="n">
        <f aca="false">IFERROR(INDEX('Control Effectiveness'!$AD$5:$AD$47,MATCH($A33,'Control Effectiveness'!$A$5:$A$47,0)),0)</f>
        <v>1</v>
      </c>
      <c r="AH33" s="53" t="n">
        <f aca="false">IFERROR(INDEX('Control Effectiveness'!$AE$5:$AE$47,MATCH($A33,'Control Effectiveness'!$A$5:$A$47,0)),0)</f>
        <v>1</v>
      </c>
      <c r="AI33" s="53" t="n">
        <f aca="false">IFERROR(INDEX('Control Effectiveness'!$AF$5:$AF$47,MATCH($A33,'Control Effectiveness'!$A$5:$A$47,0)),0)</f>
        <v>2</v>
      </c>
      <c r="AJ33" s="53" t="n">
        <f aca="false">IFERROR(INDEX('Control Effectiveness'!$AG$5:$AG$47,MATCH($A33,'Control Effectiveness'!$A$5:$A$47,0)),0)</f>
        <v>1</v>
      </c>
    </row>
    <row r="34" customFormat="false" ht="15" hidden="false" customHeight="false" outlineLevel="0" collapsed="false">
      <c r="A34" s="8" t="s">
        <v>625</v>
      </c>
      <c r="B34" s="12" t="str">
        <f aca="false">INDEX('Control Library'!$B$5:$B$47,MATCH(A34,'Control Library'!$A$5:$A$47,0))</f>
        <v>Customer and counterparty screening at onboarding and on list change</v>
      </c>
      <c r="C34" s="33" t="s">
        <v>267</v>
      </c>
      <c r="D34" s="12" t="str">
        <f aca="false">INDEX('Risk Taxonomy'!$B$5:$B$24,MATCH(C34,'Risk Taxonomy'!$A$5:$A$24,0))</f>
        <v>Terrorist financing</v>
      </c>
      <c r="E34" s="24" t="n">
        <v>2</v>
      </c>
      <c r="F34" s="7" t="str">
        <f aca="false">INDEX('Control Library'!$F$5:$F$47,MATCH(A34,'Control Library'!$A$5:$A$47,0))</f>
        <v>Y</v>
      </c>
      <c r="G34" s="53" t="n">
        <f aca="false">IFERROR(INDEX('Control Effectiveness'!$D$5:$D$47,MATCH($A34,'Control Effectiveness'!$A$5:$A$47,0)),0)</f>
        <v>2</v>
      </c>
      <c r="H34" s="53" t="n">
        <f aca="false">IFERROR(INDEX('Control Effectiveness'!$E$5:$E$47,MATCH($A34,'Control Effectiveness'!$A$5:$A$47,0)),0)</f>
        <v>4</v>
      </c>
      <c r="I34" s="53" t="n">
        <f aca="false">IFERROR(INDEX('Control Effectiveness'!$F$5:$F$47,MATCH($A34,'Control Effectiveness'!$A$5:$A$47,0)),0)</f>
        <v>2</v>
      </c>
      <c r="J34" s="53" t="n">
        <f aca="false">IFERROR(INDEX('Control Effectiveness'!$G$5:$G$47,MATCH($A34,'Control Effectiveness'!$A$5:$A$47,0)),0)</f>
        <v>2</v>
      </c>
      <c r="K34" s="53" t="n">
        <f aca="false">IFERROR(INDEX('Control Effectiveness'!$H$5:$H$47,MATCH($A34,'Control Effectiveness'!$A$5:$A$47,0)),0)</f>
        <v>2</v>
      </c>
      <c r="L34" s="53" t="n">
        <f aca="false">IFERROR(INDEX('Control Effectiveness'!$I$5:$I$47,MATCH($A34,'Control Effectiveness'!$A$5:$A$47,0)),0)</f>
        <v>2</v>
      </c>
      <c r="M34" s="53" t="n">
        <f aca="false">IFERROR(INDEX('Control Effectiveness'!$J$5:$J$47,MATCH($A34,'Control Effectiveness'!$A$5:$A$47,0)),0)</f>
        <v>4</v>
      </c>
      <c r="N34" s="53" t="n">
        <f aca="false">IFERROR(INDEX('Control Effectiveness'!$K$5:$K$47,MATCH($A34,'Control Effectiveness'!$A$5:$A$47,0)),0)</f>
        <v>2</v>
      </c>
      <c r="O34" s="53" t="n">
        <f aca="false">IFERROR(INDEX('Control Effectiveness'!$L$5:$L$47,MATCH($A34,'Control Effectiveness'!$A$5:$A$47,0)),0)</f>
        <v>2</v>
      </c>
      <c r="P34" s="53" t="n">
        <f aca="false">IFERROR(INDEX('Control Effectiveness'!$M$5:$M$47,MATCH($A34,'Control Effectiveness'!$A$5:$A$47,0)),0)</f>
        <v>4</v>
      </c>
      <c r="Q34" s="53" t="n">
        <f aca="false">IFERROR(INDEX('Control Effectiveness'!$N$5:$N$47,MATCH($A34,'Control Effectiveness'!$A$5:$A$47,0)),0)</f>
        <v>2</v>
      </c>
      <c r="R34" s="53" t="n">
        <f aca="false">IFERROR(INDEX('Control Effectiveness'!$O$5:$O$47,MATCH($A34,'Control Effectiveness'!$A$5:$A$47,0)),0)</f>
        <v>4</v>
      </c>
      <c r="S34" s="53" t="n">
        <f aca="false">IFERROR(INDEX('Control Effectiveness'!$P$5:$P$47,MATCH($A34,'Control Effectiveness'!$A$5:$A$47,0)),0)</f>
        <v>2</v>
      </c>
      <c r="T34" s="53" t="n">
        <f aca="false">IFERROR(INDEX('Control Effectiveness'!$Q$5:$Q$47,MATCH($A34,'Control Effectiveness'!$A$5:$A$47,0)),0)</f>
        <v>2</v>
      </c>
      <c r="U34" s="53" t="n">
        <f aca="false">IFERROR(INDEX('Control Effectiveness'!$R$5:$R$47,MATCH($A34,'Control Effectiveness'!$A$5:$A$47,0)),0)</f>
        <v>2</v>
      </c>
      <c r="V34" s="53" t="n">
        <f aca="false">IFERROR(INDEX('Control Effectiveness'!$S$5:$S$47,MATCH($A34,'Control Effectiveness'!$A$5:$A$47,0)),0)</f>
        <v>2</v>
      </c>
      <c r="W34" s="53" t="n">
        <f aca="false">IFERROR(INDEX('Control Effectiveness'!$T$5:$T$47,MATCH($A34,'Control Effectiveness'!$A$5:$A$47,0)),0)</f>
        <v>1</v>
      </c>
      <c r="X34" s="53" t="n">
        <f aca="false">IFERROR(INDEX('Control Effectiveness'!$U$5:$U$47,MATCH($A34,'Control Effectiveness'!$A$5:$A$47,0)),0)</f>
        <v>1</v>
      </c>
      <c r="Y34" s="53" t="n">
        <f aca="false">IFERROR(INDEX('Control Effectiveness'!$V$5:$V$47,MATCH($A34,'Control Effectiveness'!$A$5:$A$47,0)),0)</f>
        <v>2</v>
      </c>
      <c r="Z34" s="53" t="n">
        <f aca="false">IFERROR(INDEX('Control Effectiveness'!$W$5:$W$47,MATCH($A34,'Control Effectiveness'!$A$5:$A$47,0)),0)</f>
        <v>4</v>
      </c>
      <c r="AA34" s="53" t="n">
        <f aca="false">IFERROR(INDEX('Control Effectiveness'!$X$5:$X$47,MATCH($A34,'Control Effectiveness'!$A$5:$A$47,0)),0)</f>
        <v>2</v>
      </c>
      <c r="AB34" s="53" t="n">
        <f aca="false">IFERROR(INDEX('Control Effectiveness'!$Y$5:$Y$47,MATCH($A34,'Control Effectiveness'!$A$5:$A$47,0)),0)</f>
        <v>2</v>
      </c>
      <c r="AC34" s="53" t="n">
        <f aca="false">IFERROR(INDEX('Control Effectiveness'!$Z$5:$Z$47,MATCH($A34,'Control Effectiveness'!$A$5:$A$47,0)),0)</f>
        <v>1</v>
      </c>
      <c r="AD34" s="53" t="n">
        <f aca="false">IFERROR(INDEX('Control Effectiveness'!$AA$5:$AA$47,MATCH($A34,'Control Effectiveness'!$A$5:$A$47,0)),0)</f>
        <v>2</v>
      </c>
      <c r="AE34" s="53" t="n">
        <f aca="false">IFERROR(INDEX('Control Effectiveness'!$AB$5:$AB$47,MATCH($A34,'Control Effectiveness'!$A$5:$A$47,0)),0)</f>
        <v>1</v>
      </c>
      <c r="AF34" s="53" t="n">
        <f aca="false">IFERROR(INDEX('Control Effectiveness'!$AC$5:$AC$47,MATCH($A34,'Control Effectiveness'!$A$5:$A$47,0)),0)</f>
        <v>4</v>
      </c>
      <c r="AG34" s="53" t="n">
        <f aca="false">IFERROR(INDEX('Control Effectiveness'!$AD$5:$AD$47,MATCH($A34,'Control Effectiveness'!$A$5:$A$47,0)),0)</f>
        <v>1</v>
      </c>
      <c r="AH34" s="53" t="n">
        <f aca="false">IFERROR(INDEX('Control Effectiveness'!$AE$5:$AE$47,MATCH($A34,'Control Effectiveness'!$A$5:$A$47,0)),0)</f>
        <v>1</v>
      </c>
      <c r="AI34" s="53" t="n">
        <f aca="false">IFERROR(INDEX('Control Effectiveness'!$AF$5:$AF$47,MATCH($A34,'Control Effectiveness'!$A$5:$A$47,0)),0)</f>
        <v>2</v>
      </c>
      <c r="AJ34" s="53" t="n">
        <f aca="false">IFERROR(INDEX('Control Effectiveness'!$AG$5:$AG$47,MATCH($A34,'Control Effectiveness'!$A$5:$A$47,0)),0)</f>
        <v>1</v>
      </c>
    </row>
    <row r="35" customFormat="false" ht="15" hidden="false" customHeight="false" outlineLevel="0" collapsed="false">
      <c r="A35" s="8" t="s">
        <v>627</v>
      </c>
      <c r="B35" s="12" t="str">
        <f aca="false">INDEX('Control Library'!$B$5:$B$47,MATCH(A35,'Control Library'!$A$5:$A$47,0))</f>
        <v>Sanctions list updates applied within 24 hours</v>
      </c>
      <c r="C35" s="33" t="s">
        <v>272</v>
      </c>
      <c r="D35" s="12" t="str">
        <f aca="false">INDEX('Risk Taxonomy'!$B$5:$B$24,MATCH(C35,'Risk Taxonomy'!$A$5:$A$24,0))</f>
        <v>Sanctions</v>
      </c>
      <c r="E35" s="24" t="n">
        <v>1</v>
      </c>
      <c r="F35" s="7" t="str">
        <f aca="false">INDEX('Control Library'!$F$5:$F$47,MATCH(A35,'Control Library'!$A$5:$A$47,0))</f>
        <v>N</v>
      </c>
      <c r="G35" s="53" t="n">
        <f aca="false">IFERROR(INDEX('Control Effectiveness'!$D$5:$D$47,MATCH($A35,'Control Effectiveness'!$A$5:$A$47,0)),0)</f>
        <v>3</v>
      </c>
      <c r="H35" s="53" t="n">
        <f aca="false">IFERROR(INDEX('Control Effectiveness'!$E$5:$E$47,MATCH($A35,'Control Effectiveness'!$A$5:$A$47,0)),0)</f>
        <v>2</v>
      </c>
      <c r="I35" s="53" t="n">
        <f aca="false">IFERROR(INDEX('Control Effectiveness'!$F$5:$F$47,MATCH($A35,'Control Effectiveness'!$A$5:$A$47,0)),0)</f>
        <v>2</v>
      </c>
      <c r="J35" s="53" t="n">
        <f aca="false">IFERROR(INDEX('Control Effectiveness'!$G$5:$G$47,MATCH($A35,'Control Effectiveness'!$A$5:$A$47,0)),0)</f>
        <v>2</v>
      </c>
      <c r="K35" s="53" t="n">
        <f aca="false">IFERROR(INDEX('Control Effectiveness'!$H$5:$H$47,MATCH($A35,'Control Effectiveness'!$A$5:$A$47,0)),0)</f>
        <v>2</v>
      </c>
      <c r="L35" s="53" t="n">
        <f aca="false">IFERROR(INDEX('Control Effectiveness'!$I$5:$I$47,MATCH($A35,'Control Effectiveness'!$A$5:$A$47,0)),0)</f>
        <v>3</v>
      </c>
      <c r="M35" s="53" t="n">
        <f aca="false">IFERROR(INDEX('Control Effectiveness'!$J$5:$J$47,MATCH($A35,'Control Effectiveness'!$A$5:$A$47,0)),0)</f>
        <v>3</v>
      </c>
      <c r="N35" s="53" t="n">
        <f aca="false">IFERROR(INDEX('Control Effectiveness'!$K$5:$K$47,MATCH($A35,'Control Effectiveness'!$A$5:$A$47,0)),0)</f>
        <v>2</v>
      </c>
      <c r="O35" s="53" t="n">
        <f aca="false">IFERROR(INDEX('Control Effectiveness'!$L$5:$L$47,MATCH($A35,'Control Effectiveness'!$A$5:$A$47,0)),0)</f>
        <v>3</v>
      </c>
      <c r="P35" s="53" t="n">
        <f aca="false">IFERROR(INDEX('Control Effectiveness'!$M$5:$M$47,MATCH($A35,'Control Effectiveness'!$A$5:$A$47,0)),0)</f>
        <v>2</v>
      </c>
      <c r="Q35" s="53" t="n">
        <f aca="false">IFERROR(INDEX('Control Effectiveness'!$N$5:$N$47,MATCH($A35,'Control Effectiveness'!$A$5:$A$47,0)),0)</f>
        <v>2</v>
      </c>
      <c r="R35" s="53" t="n">
        <f aca="false">IFERROR(INDEX('Control Effectiveness'!$O$5:$O$47,MATCH($A35,'Control Effectiveness'!$A$5:$A$47,0)),0)</f>
        <v>2</v>
      </c>
      <c r="S35" s="53" t="n">
        <f aca="false">IFERROR(INDEX('Control Effectiveness'!$P$5:$P$47,MATCH($A35,'Control Effectiveness'!$A$5:$A$47,0)),0)</f>
        <v>2</v>
      </c>
      <c r="T35" s="53" t="n">
        <f aca="false">IFERROR(INDEX('Control Effectiveness'!$Q$5:$Q$47,MATCH($A35,'Control Effectiveness'!$A$5:$A$47,0)),0)</f>
        <v>2</v>
      </c>
      <c r="U35" s="53" t="n">
        <f aca="false">IFERROR(INDEX('Control Effectiveness'!$R$5:$R$47,MATCH($A35,'Control Effectiveness'!$A$5:$A$47,0)),0)</f>
        <v>2</v>
      </c>
      <c r="V35" s="53" t="n">
        <f aca="false">IFERROR(INDEX('Control Effectiveness'!$S$5:$S$47,MATCH($A35,'Control Effectiveness'!$A$5:$A$47,0)),0)</f>
        <v>2</v>
      </c>
      <c r="W35" s="53" t="n">
        <f aca="false">IFERROR(INDEX('Control Effectiveness'!$T$5:$T$47,MATCH($A35,'Control Effectiveness'!$A$5:$A$47,0)),0)</f>
        <v>2</v>
      </c>
      <c r="X35" s="53" t="n">
        <f aca="false">IFERROR(INDEX('Control Effectiveness'!$U$5:$U$47,MATCH($A35,'Control Effectiveness'!$A$5:$A$47,0)),0)</f>
        <v>2</v>
      </c>
      <c r="Y35" s="53" t="n">
        <f aca="false">IFERROR(INDEX('Control Effectiveness'!$V$5:$V$47,MATCH($A35,'Control Effectiveness'!$A$5:$A$47,0)),0)</f>
        <v>3</v>
      </c>
      <c r="Z35" s="53" t="n">
        <f aca="false">IFERROR(INDEX('Control Effectiveness'!$W$5:$W$47,MATCH($A35,'Control Effectiveness'!$A$5:$A$47,0)),0)</f>
        <v>2</v>
      </c>
      <c r="AA35" s="53" t="n">
        <f aca="false">IFERROR(INDEX('Control Effectiveness'!$X$5:$X$47,MATCH($A35,'Control Effectiveness'!$A$5:$A$47,0)),0)</f>
        <v>2</v>
      </c>
      <c r="AB35" s="53" t="n">
        <f aca="false">IFERROR(INDEX('Control Effectiveness'!$Y$5:$Y$47,MATCH($A35,'Control Effectiveness'!$A$5:$A$47,0)),0)</f>
        <v>1</v>
      </c>
      <c r="AC35" s="53" t="n">
        <f aca="false">IFERROR(INDEX('Control Effectiveness'!$Z$5:$Z$47,MATCH($A35,'Control Effectiveness'!$A$5:$A$47,0)),0)</f>
        <v>1</v>
      </c>
      <c r="AD35" s="53" t="n">
        <f aca="false">IFERROR(INDEX('Control Effectiveness'!$AA$5:$AA$47,MATCH($A35,'Control Effectiveness'!$A$5:$A$47,0)),0)</f>
        <v>2</v>
      </c>
      <c r="AE35" s="53" t="n">
        <f aca="false">IFERROR(INDEX('Control Effectiveness'!$AB$5:$AB$47,MATCH($A35,'Control Effectiveness'!$A$5:$A$47,0)),0)</f>
        <v>4</v>
      </c>
      <c r="AF35" s="53" t="n">
        <f aca="false">IFERROR(INDEX('Control Effectiveness'!$AC$5:$AC$47,MATCH($A35,'Control Effectiveness'!$A$5:$A$47,0)),0)</f>
        <v>4</v>
      </c>
      <c r="AG35" s="53" t="n">
        <f aca="false">IFERROR(INDEX('Control Effectiveness'!$AD$5:$AD$47,MATCH($A35,'Control Effectiveness'!$A$5:$A$47,0)),0)</f>
        <v>2</v>
      </c>
      <c r="AH35" s="53" t="n">
        <f aca="false">IFERROR(INDEX('Control Effectiveness'!$AE$5:$AE$47,MATCH($A35,'Control Effectiveness'!$A$5:$A$47,0)),0)</f>
        <v>2</v>
      </c>
      <c r="AI35" s="53" t="n">
        <f aca="false">IFERROR(INDEX('Control Effectiveness'!$AF$5:$AF$47,MATCH($A35,'Control Effectiveness'!$A$5:$A$47,0)),0)</f>
        <v>1</v>
      </c>
      <c r="AJ35" s="53" t="n">
        <f aca="false">IFERROR(INDEX('Control Effectiveness'!$AG$5:$AG$47,MATCH($A35,'Control Effectiveness'!$A$5:$A$47,0)),0)</f>
        <v>2</v>
      </c>
    </row>
    <row r="36" customFormat="false" ht="15" hidden="false" customHeight="false" outlineLevel="0" collapsed="false">
      <c r="A36" s="8" t="s">
        <v>630</v>
      </c>
      <c r="B36" s="12" t="str">
        <f aca="false">INDEX('Control Library'!$B$5:$B$47,MATCH(A36,'Control Library'!$A$5:$A$47,0))</f>
        <v>NPO and charity enhanced due diligence</v>
      </c>
      <c r="C36" s="33" t="s">
        <v>267</v>
      </c>
      <c r="D36" s="12" t="str">
        <f aca="false">INDEX('Risk Taxonomy'!$B$5:$B$24,MATCH(C36,'Risk Taxonomy'!$A$5:$A$24,0))</f>
        <v>Terrorist financing</v>
      </c>
      <c r="E36" s="24" t="n">
        <v>2</v>
      </c>
      <c r="F36" s="7" t="str">
        <f aca="false">INDEX('Control Library'!$F$5:$F$47,MATCH(A36,'Control Library'!$A$5:$A$47,0))</f>
        <v>N</v>
      </c>
      <c r="G36" s="53" t="n">
        <f aca="false">IFERROR(INDEX('Control Effectiveness'!$D$5:$D$47,MATCH($A36,'Control Effectiveness'!$A$5:$A$47,0)),0)</f>
        <v>2</v>
      </c>
      <c r="H36" s="53" t="n">
        <f aca="false">IFERROR(INDEX('Control Effectiveness'!$E$5:$E$47,MATCH($A36,'Control Effectiveness'!$A$5:$A$47,0)),0)</f>
        <v>2</v>
      </c>
      <c r="I36" s="53" t="n">
        <f aca="false">IFERROR(INDEX('Control Effectiveness'!$F$5:$F$47,MATCH($A36,'Control Effectiveness'!$A$5:$A$47,0)),0)</f>
        <v>2</v>
      </c>
      <c r="J36" s="53" t="n">
        <f aca="false">IFERROR(INDEX('Control Effectiveness'!$G$5:$G$47,MATCH($A36,'Control Effectiveness'!$A$5:$A$47,0)),0)</f>
        <v>2</v>
      </c>
      <c r="K36" s="53" t="n">
        <f aca="false">IFERROR(INDEX('Control Effectiveness'!$H$5:$H$47,MATCH($A36,'Control Effectiveness'!$A$5:$A$47,0)),0)</f>
        <v>1</v>
      </c>
      <c r="L36" s="53" t="n">
        <f aca="false">IFERROR(INDEX('Control Effectiveness'!$I$5:$I$47,MATCH($A36,'Control Effectiveness'!$A$5:$A$47,0)),0)</f>
        <v>3</v>
      </c>
      <c r="M36" s="53" t="n">
        <f aca="false">IFERROR(INDEX('Control Effectiveness'!$J$5:$J$47,MATCH($A36,'Control Effectiveness'!$A$5:$A$47,0)),0)</f>
        <v>2</v>
      </c>
      <c r="N36" s="53" t="n">
        <f aca="false">IFERROR(INDEX('Control Effectiveness'!$K$5:$K$47,MATCH($A36,'Control Effectiveness'!$A$5:$A$47,0)),0)</f>
        <v>4</v>
      </c>
      <c r="O36" s="53" t="n">
        <f aca="false">IFERROR(INDEX('Control Effectiveness'!$L$5:$L$47,MATCH($A36,'Control Effectiveness'!$A$5:$A$47,0)),0)</f>
        <v>2</v>
      </c>
      <c r="P36" s="53" t="n">
        <f aca="false">IFERROR(INDEX('Control Effectiveness'!$M$5:$M$47,MATCH($A36,'Control Effectiveness'!$A$5:$A$47,0)),0)</f>
        <v>2</v>
      </c>
      <c r="Q36" s="53" t="n">
        <f aca="false">IFERROR(INDEX('Control Effectiveness'!$N$5:$N$47,MATCH($A36,'Control Effectiveness'!$A$5:$A$47,0)),0)</f>
        <v>2</v>
      </c>
      <c r="R36" s="53" t="n">
        <f aca="false">IFERROR(INDEX('Control Effectiveness'!$O$5:$O$47,MATCH($A36,'Control Effectiveness'!$A$5:$A$47,0)),0)</f>
        <v>1</v>
      </c>
      <c r="S36" s="53" t="n">
        <f aca="false">IFERROR(INDEX('Control Effectiveness'!$P$5:$P$47,MATCH($A36,'Control Effectiveness'!$A$5:$A$47,0)),0)</f>
        <v>1</v>
      </c>
      <c r="T36" s="53" t="n">
        <f aca="false">IFERROR(INDEX('Control Effectiveness'!$Q$5:$Q$47,MATCH($A36,'Control Effectiveness'!$A$5:$A$47,0)),0)</f>
        <v>1</v>
      </c>
      <c r="U36" s="53" t="n">
        <f aca="false">IFERROR(INDEX('Control Effectiveness'!$R$5:$R$47,MATCH($A36,'Control Effectiveness'!$A$5:$A$47,0)),0)</f>
        <v>3</v>
      </c>
      <c r="V36" s="53" t="n">
        <f aca="false">IFERROR(INDEX('Control Effectiveness'!$S$5:$S$47,MATCH($A36,'Control Effectiveness'!$A$5:$A$47,0)),0)</f>
        <v>2</v>
      </c>
      <c r="W36" s="53" t="n">
        <f aca="false">IFERROR(INDEX('Control Effectiveness'!$T$5:$T$47,MATCH($A36,'Control Effectiveness'!$A$5:$A$47,0)),0)</f>
        <v>1</v>
      </c>
      <c r="X36" s="53" t="n">
        <f aca="false">IFERROR(INDEX('Control Effectiveness'!$U$5:$U$47,MATCH($A36,'Control Effectiveness'!$A$5:$A$47,0)),0)</f>
        <v>2</v>
      </c>
      <c r="Y36" s="53" t="n">
        <f aca="false">IFERROR(INDEX('Control Effectiveness'!$V$5:$V$47,MATCH($A36,'Control Effectiveness'!$A$5:$A$47,0)),0)</f>
        <v>1</v>
      </c>
      <c r="Z36" s="53" t="n">
        <f aca="false">IFERROR(INDEX('Control Effectiveness'!$W$5:$W$47,MATCH($A36,'Control Effectiveness'!$A$5:$A$47,0)),0)</f>
        <v>2</v>
      </c>
      <c r="AA36" s="53" t="n">
        <f aca="false">IFERROR(INDEX('Control Effectiveness'!$X$5:$X$47,MATCH($A36,'Control Effectiveness'!$A$5:$A$47,0)),0)</f>
        <v>3</v>
      </c>
      <c r="AB36" s="53" t="n">
        <f aca="false">IFERROR(INDEX('Control Effectiveness'!$Y$5:$Y$47,MATCH($A36,'Control Effectiveness'!$A$5:$A$47,0)),0)</f>
        <v>1</v>
      </c>
      <c r="AC36" s="53" t="n">
        <f aca="false">IFERROR(INDEX('Control Effectiveness'!$Z$5:$Z$47,MATCH($A36,'Control Effectiveness'!$A$5:$A$47,0)),0)</f>
        <v>1</v>
      </c>
      <c r="AD36" s="53" t="n">
        <f aca="false">IFERROR(INDEX('Control Effectiveness'!$AA$5:$AA$47,MATCH($A36,'Control Effectiveness'!$A$5:$A$47,0)),0)</f>
        <v>2</v>
      </c>
      <c r="AE36" s="53" t="n">
        <f aca="false">IFERROR(INDEX('Control Effectiveness'!$AB$5:$AB$47,MATCH($A36,'Control Effectiveness'!$A$5:$A$47,0)),0)</f>
        <v>1</v>
      </c>
      <c r="AF36" s="53" t="n">
        <f aca="false">IFERROR(INDEX('Control Effectiveness'!$AC$5:$AC$47,MATCH($A36,'Control Effectiveness'!$A$5:$A$47,0)),0)</f>
        <v>1</v>
      </c>
      <c r="AG36" s="53" t="n">
        <f aca="false">IFERROR(INDEX('Control Effectiveness'!$AD$5:$AD$47,MATCH($A36,'Control Effectiveness'!$A$5:$A$47,0)),0)</f>
        <v>1</v>
      </c>
      <c r="AH36" s="53" t="n">
        <f aca="false">IFERROR(INDEX('Control Effectiveness'!$AE$5:$AE$47,MATCH($A36,'Control Effectiveness'!$A$5:$A$47,0)),0)</f>
        <v>2</v>
      </c>
      <c r="AI36" s="53" t="n">
        <f aca="false">IFERROR(INDEX('Control Effectiveness'!$AF$5:$AF$47,MATCH($A36,'Control Effectiveness'!$A$5:$A$47,0)),0)</f>
        <v>2</v>
      </c>
      <c r="AJ36" s="53" t="n">
        <f aca="false">IFERROR(INDEX('Control Effectiveness'!$AG$5:$AG$47,MATCH($A36,'Control Effectiveness'!$A$5:$A$47,0)),0)</f>
        <v>2</v>
      </c>
    </row>
    <row r="37" customFormat="false" ht="15" hidden="false" customHeight="false" outlineLevel="0" collapsed="false">
      <c r="A37" s="8" t="s">
        <v>633</v>
      </c>
      <c r="B37" s="12" t="str">
        <f aca="false">INDEX('Control Library'!$B$5:$B$47,MATCH(A37,'Control Library'!$A$5:$A$47,0))</f>
        <v>Trade-based ML red-flag review and pricing checks</v>
      </c>
      <c r="C37" s="33" t="s">
        <v>260</v>
      </c>
      <c r="D37" s="12" t="str">
        <f aca="false">INDEX('Risk Taxonomy'!$B$5:$B$24,MATCH(C37,'Risk Taxonomy'!$A$5:$A$24,0))</f>
        <v>Money laundering</v>
      </c>
      <c r="E37" s="24" t="n">
        <v>1</v>
      </c>
      <c r="F37" s="7" t="str">
        <f aca="false">INDEX('Control Library'!$F$5:$F$47,MATCH(A37,'Control Library'!$A$5:$A$47,0))</f>
        <v>Y</v>
      </c>
      <c r="G37" s="53" t="n">
        <f aca="false">IFERROR(INDEX('Control Effectiveness'!$D$5:$D$47,MATCH($A37,'Control Effectiveness'!$A$5:$A$47,0)),0)</f>
        <v>2</v>
      </c>
      <c r="H37" s="53" t="n">
        <f aca="false">IFERROR(INDEX('Control Effectiveness'!$E$5:$E$47,MATCH($A37,'Control Effectiveness'!$A$5:$A$47,0)),0)</f>
        <v>2</v>
      </c>
      <c r="I37" s="53" t="n">
        <f aca="false">IFERROR(INDEX('Control Effectiveness'!$F$5:$F$47,MATCH($A37,'Control Effectiveness'!$A$5:$A$47,0)),0)</f>
        <v>0</v>
      </c>
      <c r="J37" s="53" t="n">
        <f aca="false">IFERROR(INDEX('Control Effectiveness'!$G$5:$G$47,MATCH($A37,'Control Effectiveness'!$A$5:$A$47,0)),0)</f>
        <v>0</v>
      </c>
      <c r="K37" s="53" t="n">
        <f aca="false">IFERROR(INDEX('Control Effectiveness'!$H$5:$H$47,MATCH($A37,'Control Effectiveness'!$A$5:$A$47,0)),0)</f>
        <v>0</v>
      </c>
      <c r="L37" s="53" t="n">
        <f aca="false">IFERROR(INDEX('Control Effectiveness'!$I$5:$I$47,MATCH($A37,'Control Effectiveness'!$A$5:$A$47,0)),0)</f>
        <v>3</v>
      </c>
      <c r="M37" s="53" t="n">
        <f aca="false">IFERROR(INDEX('Control Effectiveness'!$J$5:$J$47,MATCH($A37,'Control Effectiveness'!$A$5:$A$47,0)),0)</f>
        <v>0</v>
      </c>
      <c r="N37" s="53" t="n">
        <f aca="false">IFERROR(INDEX('Control Effectiveness'!$K$5:$K$47,MATCH($A37,'Control Effectiveness'!$A$5:$A$47,0)),0)</f>
        <v>2</v>
      </c>
      <c r="O37" s="53" t="n">
        <f aca="false">IFERROR(INDEX('Control Effectiveness'!$L$5:$L$47,MATCH($A37,'Control Effectiveness'!$A$5:$A$47,0)),0)</f>
        <v>3</v>
      </c>
      <c r="P37" s="53" t="n">
        <f aca="false">IFERROR(INDEX('Control Effectiveness'!$M$5:$M$47,MATCH($A37,'Control Effectiveness'!$A$5:$A$47,0)),0)</f>
        <v>4</v>
      </c>
      <c r="Q37" s="53" t="n">
        <f aca="false">IFERROR(INDEX('Control Effectiveness'!$N$5:$N$47,MATCH($A37,'Control Effectiveness'!$A$5:$A$47,0)),0)</f>
        <v>2</v>
      </c>
      <c r="R37" s="53" t="n">
        <f aca="false">IFERROR(INDEX('Control Effectiveness'!$O$5:$O$47,MATCH($A37,'Control Effectiveness'!$A$5:$A$47,0)),0)</f>
        <v>2</v>
      </c>
      <c r="S37" s="53" t="n">
        <f aca="false">IFERROR(INDEX('Control Effectiveness'!$P$5:$P$47,MATCH($A37,'Control Effectiveness'!$A$5:$A$47,0)),0)</f>
        <v>2</v>
      </c>
      <c r="T37" s="53" t="n">
        <f aca="false">IFERROR(INDEX('Control Effectiveness'!$Q$5:$Q$47,MATCH($A37,'Control Effectiveness'!$A$5:$A$47,0)),0)</f>
        <v>2</v>
      </c>
      <c r="U37" s="53" t="n">
        <f aca="false">IFERROR(INDEX('Control Effectiveness'!$R$5:$R$47,MATCH($A37,'Control Effectiveness'!$A$5:$A$47,0)),0)</f>
        <v>4</v>
      </c>
      <c r="V37" s="53" t="n">
        <f aca="false">IFERROR(INDEX('Control Effectiveness'!$S$5:$S$47,MATCH($A37,'Control Effectiveness'!$A$5:$A$47,0)),0)</f>
        <v>3</v>
      </c>
      <c r="W37" s="53" t="n">
        <f aca="false">IFERROR(INDEX('Control Effectiveness'!$T$5:$T$47,MATCH($A37,'Control Effectiveness'!$A$5:$A$47,0)),0)</f>
        <v>1</v>
      </c>
      <c r="X37" s="53" t="n">
        <f aca="false">IFERROR(INDEX('Control Effectiveness'!$U$5:$U$47,MATCH($A37,'Control Effectiveness'!$A$5:$A$47,0)),0)</f>
        <v>1</v>
      </c>
      <c r="Y37" s="53" t="n">
        <f aca="false">IFERROR(INDEX('Control Effectiveness'!$V$5:$V$47,MATCH($A37,'Control Effectiveness'!$A$5:$A$47,0)),0)</f>
        <v>1</v>
      </c>
      <c r="Z37" s="53" t="n">
        <f aca="false">IFERROR(INDEX('Control Effectiveness'!$W$5:$W$47,MATCH($A37,'Control Effectiveness'!$A$5:$A$47,0)),0)</f>
        <v>2</v>
      </c>
      <c r="AA37" s="53" t="n">
        <f aca="false">IFERROR(INDEX('Control Effectiveness'!$X$5:$X$47,MATCH($A37,'Control Effectiveness'!$A$5:$A$47,0)),0)</f>
        <v>3</v>
      </c>
      <c r="AB37" s="53" t="n">
        <f aca="false">IFERROR(INDEX('Control Effectiveness'!$Y$5:$Y$47,MATCH($A37,'Control Effectiveness'!$A$5:$A$47,0)),0)</f>
        <v>2</v>
      </c>
      <c r="AC37" s="53" t="n">
        <f aca="false">IFERROR(INDEX('Control Effectiveness'!$Z$5:$Z$47,MATCH($A37,'Control Effectiveness'!$A$5:$A$47,0)),0)</f>
        <v>4</v>
      </c>
      <c r="AD37" s="53" t="n">
        <f aca="false">IFERROR(INDEX('Control Effectiveness'!$AA$5:$AA$47,MATCH($A37,'Control Effectiveness'!$A$5:$A$47,0)),0)</f>
        <v>1</v>
      </c>
      <c r="AE37" s="53" t="n">
        <f aca="false">IFERROR(INDEX('Control Effectiveness'!$AB$5:$AB$47,MATCH($A37,'Control Effectiveness'!$A$5:$A$47,0)),0)</f>
        <v>1</v>
      </c>
      <c r="AF37" s="53" t="n">
        <f aca="false">IFERROR(INDEX('Control Effectiveness'!$AC$5:$AC$47,MATCH($A37,'Control Effectiveness'!$A$5:$A$47,0)),0)</f>
        <v>1</v>
      </c>
      <c r="AG37" s="53" t="n">
        <f aca="false">IFERROR(INDEX('Control Effectiveness'!$AD$5:$AD$47,MATCH($A37,'Control Effectiveness'!$A$5:$A$47,0)),0)</f>
        <v>2</v>
      </c>
      <c r="AH37" s="53" t="n">
        <f aca="false">IFERROR(INDEX('Control Effectiveness'!$AE$5:$AE$47,MATCH($A37,'Control Effectiveness'!$A$5:$A$47,0)),0)</f>
        <v>1</v>
      </c>
      <c r="AI37" s="53" t="n">
        <f aca="false">IFERROR(INDEX('Control Effectiveness'!$AF$5:$AF$47,MATCH($A37,'Control Effectiveness'!$A$5:$A$47,0)),0)</f>
        <v>2</v>
      </c>
      <c r="AJ37" s="53" t="n">
        <f aca="false">IFERROR(INDEX('Control Effectiveness'!$AG$5:$AG$47,MATCH($A37,'Control Effectiveness'!$A$5:$A$47,0)),0)</f>
        <v>2</v>
      </c>
    </row>
    <row r="38" customFormat="false" ht="15" hidden="false" customHeight="false" outlineLevel="0" collapsed="false">
      <c r="A38" s="8" t="s">
        <v>633</v>
      </c>
      <c r="B38" s="12" t="str">
        <f aca="false">INDEX('Control Library'!$B$5:$B$47,MATCH(A38,'Control Library'!$A$5:$A$47,0))</f>
        <v>Trade-based ML red-flag review and pricing checks</v>
      </c>
      <c r="C38" s="33" t="s">
        <v>270</v>
      </c>
      <c r="D38" s="12" t="str">
        <f aca="false">INDEX('Risk Taxonomy'!$B$5:$B$24,MATCH(C38,'Risk Taxonomy'!$A$5:$A$24,0))</f>
        <v>Proliferation financing</v>
      </c>
      <c r="E38" s="24" t="n">
        <v>2</v>
      </c>
      <c r="F38" s="7" t="str">
        <f aca="false">INDEX('Control Library'!$F$5:$F$47,MATCH(A38,'Control Library'!$A$5:$A$47,0))</f>
        <v>Y</v>
      </c>
      <c r="G38" s="53" t="n">
        <f aca="false">IFERROR(INDEX('Control Effectiveness'!$D$5:$D$47,MATCH($A38,'Control Effectiveness'!$A$5:$A$47,0)),0)</f>
        <v>2</v>
      </c>
      <c r="H38" s="53" t="n">
        <f aca="false">IFERROR(INDEX('Control Effectiveness'!$E$5:$E$47,MATCH($A38,'Control Effectiveness'!$A$5:$A$47,0)),0)</f>
        <v>2</v>
      </c>
      <c r="I38" s="53" t="n">
        <f aca="false">IFERROR(INDEX('Control Effectiveness'!$F$5:$F$47,MATCH($A38,'Control Effectiveness'!$A$5:$A$47,0)),0)</f>
        <v>0</v>
      </c>
      <c r="J38" s="53" t="n">
        <f aca="false">IFERROR(INDEX('Control Effectiveness'!$G$5:$G$47,MATCH($A38,'Control Effectiveness'!$A$5:$A$47,0)),0)</f>
        <v>0</v>
      </c>
      <c r="K38" s="53" t="n">
        <f aca="false">IFERROR(INDEX('Control Effectiveness'!$H$5:$H$47,MATCH($A38,'Control Effectiveness'!$A$5:$A$47,0)),0)</f>
        <v>0</v>
      </c>
      <c r="L38" s="53" t="n">
        <f aca="false">IFERROR(INDEX('Control Effectiveness'!$I$5:$I$47,MATCH($A38,'Control Effectiveness'!$A$5:$A$47,0)),0)</f>
        <v>3</v>
      </c>
      <c r="M38" s="53" t="n">
        <f aca="false">IFERROR(INDEX('Control Effectiveness'!$J$5:$J$47,MATCH($A38,'Control Effectiveness'!$A$5:$A$47,0)),0)</f>
        <v>0</v>
      </c>
      <c r="N38" s="53" t="n">
        <f aca="false">IFERROR(INDEX('Control Effectiveness'!$K$5:$K$47,MATCH($A38,'Control Effectiveness'!$A$5:$A$47,0)),0)</f>
        <v>2</v>
      </c>
      <c r="O38" s="53" t="n">
        <f aca="false">IFERROR(INDEX('Control Effectiveness'!$L$5:$L$47,MATCH($A38,'Control Effectiveness'!$A$5:$A$47,0)),0)</f>
        <v>3</v>
      </c>
      <c r="P38" s="53" t="n">
        <f aca="false">IFERROR(INDEX('Control Effectiveness'!$M$5:$M$47,MATCH($A38,'Control Effectiveness'!$A$5:$A$47,0)),0)</f>
        <v>4</v>
      </c>
      <c r="Q38" s="53" t="n">
        <f aca="false">IFERROR(INDEX('Control Effectiveness'!$N$5:$N$47,MATCH($A38,'Control Effectiveness'!$A$5:$A$47,0)),0)</f>
        <v>2</v>
      </c>
      <c r="R38" s="53" t="n">
        <f aca="false">IFERROR(INDEX('Control Effectiveness'!$O$5:$O$47,MATCH($A38,'Control Effectiveness'!$A$5:$A$47,0)),0)</f>
        <v>2</v>
      </c>
      <c r="S38" s="53" t="n">
        <f aca="false">IFERROR(INDEX('Control Effectiveness'!$P$5:$P$47,MATCH($A38,'Control Effectiveness'!$A$5:$A$47,0)),0)</f>
        <v>2</v>
      </c>
      <c r="T38" s="53" t="n">
        <f aca="false">IFERROR(INDEX('Control Effectiveness'!$Q$5:$Q$47,MATCH($A38,'Control Effectiveness'!$A$5:$A$47,0)),0)</f>
        <v>2</v>
      </c>
      <c r="U38" s="53" t="n">
        <f aca="false">IFERROR(INDEX('Control Effectiveness'!$R$5:$R$47,MATCH($A38,'Control Effectiveness'!$A$5:$A$47,0)),0)</f>
        <v>4</v>
      </c>
      <c r="V38" s="53" t="n">
        <f aca="false">IFERROR(INDEX('Control Effectiveness'!$S$5:$S$47,MATCH($A38,'Control Effectiveness'!$A$5:$A$47,0)),0)</f>
        <v>3</v>
      </c>
      <c r="W38" s="53" t="n">
        <f aca="false">IFERROR(INDEX('Control Effectiveness'!$T$5:$T$47,MATCH($A38,'Control Effectiveness'!$A$5:$A$47,0)),0)</f>
        <v>1</v>
      </c>
      <c r="X38" s="53" t="n">
        <f aca="false">IFERROR(INDEX('Control Effectiveness'!$U$5:$U$47,MATCH($A38,'Control Effectiveness'!$A$5:$A$47,0)),0)</f>
        <v>1</v>
      </c>
      <c r="Y38" s="53" t="n">
        <f aca="false">IFERROR(INDEX('Control Effectiveness'!$V$5:$V$47,MATCH($A38,'Control Effectiveness'!$A$5:$A$47,0)),0)</f>
        <v>1</v>
      </c>
      <c r="Z38" s="53" t="n">
        <f aca="false">IFERROR(INDEX('Control Effectiveness'!$W$5:$W$47,MATCH($A38,'Control Effectiveness'!$A$5:$A$47,0)),0)</f>
        <v>2</v>
      </c>
      <c r="AA38" s="53" t="n">
        <f aca="false">IFERROR(INDEX('Control Effectiveness'!$X$5:$X$47,MATCH($A38,'Control Effectiveness'!$A$5:$A$47,0)),0)</f>
        <v>3</v>
      </c>
      <c r="AB38" s="53" t="n">
        <f aca="false">IFERROR(INDEX('Control Effectiveness'!$Y$5:$Y$47,MATCH($A38,'Control Effectiveness'!$A$5:$A$47,0)),0)</f>
        <v>2</v>
      </c>
      <c r="AC38" s="53" t="n">
        <f aca="false">IFERROR(INDEX('Control Effectiveness'!$Z$5:$Z$47,MATCH($A38,'Control Effectiveness'!$A$5:$A$47,0)),0)</f>
        <v>4</v>
      </c>
      <c r="AD38" s="53" t="n">
        <f aca="false">IFERROR(INDEX('Control Effectiveness'!$AA$5:$AA$47,MATCH($A38,'Control Effectiveness'!$A$5:$A$47,0)),0)</f>
        <v>1</v>
      </c>
      <c r="AE38" s="53" t="n">
        <f aca="false">IFERROR(INDEX('Control Effectiveness'!$AB$5:$AB$47,MATCH($A38,'Control Effectiveness'!$A$5:$A$47,0)),0)</f>
        <v>1</v>
      </c>
      <c r="AF38" s="53" t="n">
        <f aca="false">IFERROR(INDEX('Control Effectiveness'!$AC$5:$AC$47,MATCH($A38,'Control Effectiveness'!$A$5:$A$47,0)),0)</f>
        <v>1</v>
      </c>
      <c r="AG38" s="53" t="n">
        <f aca="false">IFERROR(INDEX('Control Effectiveness'!$AD$5:$AD$47,MATCH($A38,'Control Effectiveness'!$A$5:$A$47,0)),0)</f>
        <v>2</v>
      </c>
      <c r="AH38" s="53" t="n">
        <f aca="false">IFERROR(INDEX('Control Effectiveness'!$AE$5:$AE$47,MATCH($A38,'Control Effectiveness'!$A$5:$A$47,0)),0)</f>
        <v>1</v>
      </c>
      <c r="AI38" s="53" t="n">
        <f aca="false">IFERROR(INDEX('Control Effectiveness'!$AF$5:$AF$47,MATCH($A38,'Control Effectiveness'!$A$5:$A$47,0)),0)</f>
        <v>2</v>
      </c>
      <c r="AJ38" s="53" t="n">
        <f aca="false">IFERROR(INDEX('Control Effectiveness'!$AG$5:$AG$47,MATCH($A38,'Control Effectiveness'!$A$5:$A$47,0)),0)</f>
        <v>2</v>
      </c>
    </row>
    <row r="39" customFormat="false" ht="15" hidden="false" customHeight="false" outlineLevel="0" collapsed="false">
      <c r="A39" s="8" t="s">
        <v>637</v>
      </c>
      <c r="B39" s="12" t="str">
        <f aca="false">INDEX('Control Library'!$B$5:$B$47,MATCH(A39,'Control Library'!$A$5:$A$47,0))</f>
        <v>Dual-use goods, vessel and port screening</v>
      </c>
      <c r="C39" s="33" t="s">
        <v>270</v>
      </c>
      <c r="D39" s="12" t="str">
        <f aca="false">INDEX('Risk Taxonomy'!$B$5:$B$24,MATCH(C39,'Risk Taxonomy'!$A$5:$A$24,0))</f>
        <v>Proliferation financing</v>
      </c>
      <c r="E39" s="24" t="n">
        <v>3</v>
      </c>
      <c r="F39" s="7" t="str">
        <f aca="false">INDEX('Control Library'!$F$5:$F$47,MATCH(A39,'Control Library'!$A$5:$A$47,0))</f>
        <v>Y</v>
      </c>
      <c r="G39" s="53" t="n">
        <f aca="false">IFERROR(INDEX('Control Effectiveness'!$D$5:$D$47,MATCH($A39,'Control Effectiveness'!$A$5:$A$47,0)),0)</f>
        <v>3</v>
      </c>
      <c r="H39" s="53" t="n">
        <f aca="false">IFERROR(INDEX('Control Effectiveness'!$E$5:$E$47,MATCH($A39,'Control Effectiveness'!$A$5:$A$47,0)),0)</f>
        <v>2</v>
      </c>
      <c r="I39" s="53" t="n">
        <f aca="false">IFERROR(INDEX('Control Effectiveness'!$F$5:$F$47,MATCH($A39,'Control Effectiveness'!$A$5:$A$47,0)),0)</f>
        <v>0</v>
      </c>
      <c r="J39" s="53" t="n">
        <f aca="false">IFERROR(INDEX('Control Effectiveness'!$G$5:$G$47,MATCH($A39,'Control Effectiveness'!$A$5:$A$47,0)),0)</f>
        <v>0</v>
      </c>
      <c r="K39" s="53" t="n">
        <f aca="false">IFERROR(INDEX('Control Effectiveness'!$H$5:$H$47,MATCH($A39,'Control Effectiveness'!$A$5:$A$47,0)),0)</f>
        <v>0</v>
      </c>
      <c r="L39" s="53" t="n">
        <f aca="false">IFERROR(INDEX('Control Effectiveness'!$I$5:$I$47,MATCH($A39,'Control Effectiveness'!$A$5:$A$47,0)),0)</f>
        <v>2</v>
      </c>
      <c r="M39" s="53" t="n">
        <f aca="false">IFERROR(INDEX('Control Effectiveness'!$J$5:$J$47,MATCH($A39,'Control Effectiveness'!$A$5:$A$47,0)),0)</f>
        <v>0</v>
      </c>
      <c r="N39" s="53" t="n">
        <f aca="false">IFERROR(INDEX('Control Effectiveness'!$K$5:$K$47,MATCH($A39,'Control Effectiveness'!$A$5:$A$47,0)),0)</f>
        <v>2</v>
      </c>
      <c r="O39" s="53" t="n">
        <f aca="false">IFERROR(INDEX('Control Effectiveness'!$L$5:$L$47,MATCH($A39,'Control Effectiveness'!$A$5:$A$47,0)),0)</f>
        <v>2</v>
      </c>
      <c r="P39" s="53" t="n">
        <f aca="false">IFERROR(INDEX('Control Effectiveness'!$M$5:$M$47,MATCH($A39,'Control Effectiveness'!$A$5:$A$47,0)),0)</f>
        <v>2</v>
      </c>
      <c r="Q39" s="53" t="n">
        <f aca="false">IFERROR(INDEX('Control Effectiveness'!$N$5:$N$47,MATCH($A39,'Control Effectiveness'!$A$5:$A$47,0)),0)</f>
        <v>2</v>
      </c>
      <c r="R39" s="53" t="n">
        <f aca="false">IFERROR(INDEX('Control Effectiveness'!$O$5:$O$47,MATCH($A39,'Control Effectiveness'!$A$5:$A$47,0)),0)</f>
        <v>4</v>
      </c>
      <c r="S39" s="53" t="n">
        <f aca="false">IFERROR(INDEX('Control Effectiveness'!$P$5:$P$47,MATCH($A39,'Control Effectiveness'!$A$5:$A$47,0)),0)</f>
        <v>1</v>
      </c>
      <c r="T39" s="53" t="n">
        <f aca="false">IFERROR(INDEX('Control Effectiveness'!$Q$5:$Q$47,MATCH($A39,'Control Effectiveness'!$A$5:$A$47,0)),0)</f>
        <v>1</v>
      </c>
      <c r="U39" s="53" t="n">
        <f aca="false">IFERROR(INDEX('Control Effectiveness'!$R$5:$R$47,MATCH($A39,'Control Effectiveness'!$A$5:$A$47,0)),0)</f>
        <v>2</v>
      </c>
      <c r="V39" s="53" t="n">
        <f aca="false">IFERROR(INDEX('Control Effectiveness'!$S$5:$S$47,MATCH($A39,'Control Effectiveness'!$A$5:$A$47,0)),0)</f>
        <v>2</v>
      </c>
      <c r="W39" s="53" t="n">
        <f aca="false">IFERROR(INDEX('Control Effectiveness'!$T$5:$T$47,MATCH($A39,'Control Effectiveness'!$A$5:$A$47,0)),0)</f>
        <v>2</v>
      </c>
      <c r="X39" s="53" t="n">
        <f aca="false">IFERROR(INDEX('Control Effectiveness'!$U$5:$U$47,MATCH($A39,'Control Effectiveness'!$A$5:$A$47,0)),0)</f>
        <v>4</v>
      </c>
      <c r="Y39" s="53" t="n">
        <f aca="false">IFERROR(INDEX('Control Effectiveness'!$V$5:$V$47,MATCH($A39,'Control Effectiveness'!$A$5:$A$47,0)),0)</f>
        <v>3</v>
      </c>
      <c r="Z39" s="53" t="n">
        <f aca="false">IFERROR(INDEX('Control Effectiveness'!$W$5:$W$47,MATCH($A39,'Control Effectiveness'!$A$5:$A$47,0)),0)</f>
        <v>4</v>
      </c>
      <c r="AA39" s="53" t="n">
        <f aca="false">IFERROR(INDEX('Control Effectiveness'!$X$5:$X$47,MATCH($A39,'Control Effectiveness'!$A$5:$A$47,0)),0)</f>
        <v>2</v>
      </c>
      <c r="AB39" s="53" t="n">
        <f aca="false">IFERROR(INDEX('Control Effectiveness'!$Y$5:$Y$47,MATCH($A39,'Control Effectiveness'!$A$5:$A$47,0)),0)</f>
        <v>1</v>
      </c>
      <c r="AC39" s="53" t="n">
        <f aca="false">IFERROR(INDEX('Control Effectiveness'!$Z$5:$Z$47,MATCH($A39,'Control Effectiveness'!$A$5:$A$47,0)),0)</f>
        <v>1</v>
      </c>
      <c r="AD39" s="53" t="n">
        <f aca="false">IFERROR(INDEX('Control Effectiveness'!$AA$5:$AA$47,MATCH($A39,'Control Effectiveness'!$A$5:$A$47,0)),0)</f>
        <v>1</v>
      </c>
      <c r="AE39" s="53" t="n">
        <f aca="false">IFERROR(INDEX('Control Effectiveness'!$AB$5:$AB$47,MATCH($A39,'Control Effectiveness'!$A$5:$A$47,0)),0)</f>
        <v>1</v>
      </c>
      <c r="AF39" s="53" t="n">
        <f aca="false">IFERROR(INDEX('Control Effectiveness'!$AC$5:$AC$47,MATCH($A39,'Control Effectiveness'!$A$5:$A$47,0)),0)</f>
        <v>2</v>
      </c>
      <c r="AG39" s="53" t="n">
        <f aca="false">IFERROR(INDEX('Control Effectiveness'!$AD$5:$AD$47,MATCH($A39,'Control Effectiveness'!$A$5:$A$47,0)),0)</f>
        <v>2</v>
      </c>
      <c r="AH39" s="53" t="n">
        <f aca="false">IFERROR(INDEX('Control Effectiveness'!$AE$5:$AE$47,MATCH($A39,'Control Effectiveness'!$A$5:$A$47,0)),0)</f>
        <v>1</v>
      </c>
      <c r="AI39" s="53" t="n">
        <f aca="false">IFERROR(INDEX('Control Effectiveness'!$AF$5:$AF$47,MATCH($A39,'Control Effectiveness'!$A$5:$A$47,0)),0)</f>
        <v>2</v>
      </c>
      <c r="AJ39" s="53" t="n">
        <f aca="false">IFERROR(INDEX('Control Effectiveness'!$AG$5:$AG$47,MATCH($A39,'Control Effectiveness'!$A$5:$A$47,0)),0)</f>
        <v>1</v>
      </c>
    </row>
    <row r="40" customFormat="false" ht="15" hidden="false" customHeight="false" outlineLevel="0" collapsed="false">
      <c r="A40" s="8" t="s">
        <v>637</v>
      </c>
      <c r="B40" s="12" t="str">
        <f aca="false">INDEX('Control Library'!$B$5:$B$47,MATCH(A40,'Control Library'!$A$5:$A$47,0))</f>
        <v>Dual-use goods, vessel and port screening</v>
      </c>
      <c r="C40" s="33" t="s">
        <v>272</v>
      </c>
      <c r="D40" s="12" t="str">
        <f aca="false">INDEX('Risk Taxonomy'!$B$5:$B$24,MATCH(C40,'Risk Taxonomy'!$A$5:$A$24,0))</f>
        <v>Sanctions</v>
      </c>
      <c r="E40" s="24" t="n">
        <v>1</v>
      </c>
      <c r="F40" s="7" t="str">
        <f aca="false">INDEX('Control Library'!$F$5:$F$47,MATCH(A40,'Control Library'!$A$5:$A$47,0))</f>
        <v>Y</v>
      </c>
      <c r="G40" s="53" t="n">
        <f aca="false">IFERROR(INDEX('Control Effectiveness'!$D$5:$D$47,MATCH($A40,'Control Effectiveness'!$A$5:$A$47,0)),0)</f>
        <v>3</v>
      </c>
      <c r="H40" s="53" t="n">
        <f aca="false">IFERROR(INDEX('Control Effectiveness'!$E$5:$E$47,MATCH($A40,'Control Effectiveness'!$A$5:$A$47,0)),0)</f>
        <v>2</v>
      </c>
      <c r="I40" s="53" t="n">
        <f aca="false">IFERROR(INDEX('Control Effectiveness'!$F$5:$F$47,MATCH($A40,'Control Effectiveness'!$A$5:$A$47,0)),0)</f>
        <v>0</v>
      </c>
      <c r="J40" s="53" t="n">
        <f aca="false">IFERROR(INDEX('Control Effectiveness'!$G$5:$G$47,MATCH($A40,'Control Effectiveness'!$A$5:$A$47,0)),0)</f>
        <v>0</v>
      </c>
      <c r="K40" s="53" t="n">
        <f aca="false">IFERROR(INDEX('Control Effectiveness'!$H$5:$H$47,MATCH($A40,'Control Effectiveness'!$A$5:$A$47,0)),0)</f>
        <v>0</v>
      </c>
      <c r="L40" s="53" t="n">
        <f aca="false">IFERROR(INDEX('Control Effectiveness'!$I$5:$I$47,MATCH($A40,'Control Effectiveness'!$A$5:$A$47,0)),0)</f>
        <v>2</v>
      </c>
      <c r="M40" s="53" t="n">
        <f aca="false">IFERROR(INDEX('Control Effectiveness'!$J$5:$J$47,MATCH($A40,'Control Effectiveness'!$A$5:$A$47,0)),0)</f>
        <v>0</v>
      </c>
      <c r="N40" s="53" t="n">
        <f aca="false">IFERROR(INDEX('Control Effectiveness'!$K$5:$K$47,MATCH($A40,'Control Effectiveness'!$A$5:$A$47,0)),0)</f>
        <v>2</v>
      </c>
      <c r="O40" s="53" t="n">
        <f aca="false">IFERROR(INDEX('Control Effectiveness'!$L$5:$L$47,MATCH($A40,'Control Effectiveness'!$A$5:$A$47,0)),0)</f>
        <v>2</v>
      </c>
      <c r="P40" s="53" t="n">
        <f aca="false">IFERROR(INDEX('Control Effectiveness'!$M$5:$M$47,MATCH($A40,'Control Effectiveness'!$A$5:$A$47,0)),0)</f>
        <v>2</v>
      </c>
      <c r="Q40" s="53" t="n">
        <f aca="false">IFERROR(INDEX('Control Effectiveness'!$N$5:$N$47,MATCH($A40,'Control Effectiveness'!$A$5:$A$47,0)),0)</f>
        <v>2</v>
      </c>
      <c r="R40" s="53" t="n">
        <f aca="false">IFERROR(INDEX('Control Effectiveness'!$O$5:$O$47,MATCH($A40,'Control Effectiveness'!$A$5:$A$47,0)),0)</f>
        <v>4</v>
      </c>
      <c r="S40" s="53" t="n">
        <f aca="false">IFERROR(INDEX('Control Effectiveness'!$P$5:$P$47,MATCH($A40,'Control Effectiveness'!$A$5:$A$47,0)),0)</f>
        <v>1</v>
      </c>
      <c r="T40" s="53" t="n">
        <f aca="false">IFERROR(INDEX('Control Effectiveness'!$Q$5:$Q$47,MATCH($A40,'Control Effectiveness'!$A$5:$A$47,0)),0)</f>
        <v>1</v>
      </c>
      <c r="U40" s="53" t="n">
        <f aca="false">IFERROR(INDEX('Control Effectiveness'!$R$5:$R$47,MATCH($A40,'Control Effectiveness'!$A$5:$A$47,0)),0)</f>
        <v>2</v>
      </c>
      <c r="V40" s="53" t="n">
        <f aca="false">IFERROR(INDEX('Control Effectiveness'!$S$5:$S$47,MATCH($A40,'Control Effectiveness'!$A$5:$A$47,0)),0)</f>
        <v>2</v>
      </c>
      <c r="W40" s="53" t="n">
        <f aca="false">IFERROR(INDEX('Control Effectiveness'!$T$5:$T$47,MATCH($A40,'Control Effectiveness'!$A$5:$A$47,0)),0)</f>
        <v>2</v>
      </c>
      <c r="X40" s="53" t="n">
        <f aca="false">IFERROR(INDEX('Control Effectiveness'!$U$5:$U$47,MATCH($A40,'Control Effectiveness'!$A$5:$A$47,0)),0)</f>
        <v>4</v>
      </c>
      <c r="Y40" s="53" t="n">
        <f aca="false">IFERROR(INDEX('Control Effectiveness'!$V$5:$V$47,MATCH($A40,'Control Effectiveness'!$A$5:$A$47,0)),0)</f>
        <v>3</v>
      </c>
      <c r="Z40" s="53" t="n">
        <f aca="false">IFERROR(INDEX('Control Effectiveness'!$W$5:$W$47,MATCH($A40,'Control Effectiveness'!$A$5:$A$47,0)),0)</f>
        <v>4</v>
      </c>
      <c r="AA40" s="53" t="n">
        <f aca="false">IFERROR(INDEX('Control Effectiveness'!$X$5:$X$47,MATCH($A40,'Control Effectiveness'!$A$5:$A$47,0)),0)</f>
        <v>2</v>
      </c>
      <c r="AB40" s="53" t="n">
        <f aca="false">IFERROR(INDEX('Control Effectiveness'!$Y$5:$Y$47,MATCH($A40,'Control Effectiveness'!$A$5:$A$47,0)),0)</f>
        <v>1</v>
      </c>
      <c r="AC40" s="53" t="n">
        <f aca="false">IFERROR(INDEX('Control Effectiveness'!$Z$5:$Z$47,MATCH($A40,'Control Effectiveness'!$A$5:$A$47,0)),0)</f>
        <v>1</v>
      </c>
      <c r="AD40" s="53" t="n">
        <f aca="false">IFERROR(INDEX('Control Effectiveness'!$AA$5:$AA$47,MATCH($A40,'Control Effectiveness'!$A$5:$A$47,0)),0)</f>
        <v>1</v>
      </c>
      <c r="AE40" s="53" t="n">
        <f aca="false">IFERROR(INDEX('Control Effectiveness'!$AB$5:$AB$47,MATCH($A40,'Control Effectiveness'!$A$5:$A$47,0)),0)</f>
        <v>1</v>
      </c>
      <c r="AF40" s="53" t="n">
        <f aca="false">IFERROR(INDEX('Control Effectiveness'!$AC$5:$AC$47,MATCH($A40,'Control Effectiveness'!$A$5:$A$47,0)),0)</f>
        <v>2</v>
      </c>
      <c r="AG40" s="53" t="n">
        <f aca="false">IFERROR(INDEX('Control Effectiveness'!$AD$5:$AD$47,MATCH($A40,'Control Effectiveness'!$A$5:$A$47,0)),0)</f>
        <v>2</v>
      </c>
      <c r="AH40" s="53" t="n">
        <f aca="false">IFERROR(INDEX('Control Effectiveness'!$AE$5:$AE$47,MATCH($A40,'Control Effectiveness'!$A$5:$A$47,0)),0)</f>
        <v>1</v>
      </c>
      <c r="AI40" s="53" t="n">
        <f aca="false">IFERROR(INDEX('Control Effectiveness'!$AF$5:$AF$47,MATCH($A40,'Control Effectiveness'!$A$5:$A$47,0)),0)</f>
        <v>2</v>
      </c>
      <c r="AJ40" s="53" t="n">
        <f aca="false">IFERROR(INDEX('Control Effectiveness'!$AG$5:$AG$47,MATCH($A40,'Control Effectiveness'!$A$5:$A$47,0)),0)</f>
        <v>1</v>
      </c>
    </row>
    <row r="41" customFormat="false" ht="15" hidden="false" customHeight="false" outlineLevel="0" collapsed="false">
      <c r="A41" s="8" t="s">
        <v>640</v>
      </c>
      <c r="B41" s="12" t="str">
        <f aca="false">INDEX('Control Library'!$B$5:$B$47,MATCH(A41,'Control Library'!$A$5:$A$47,0))</f>
        <v>Correspondent bank due diligence (CBDDQ) and nesting detection</v>
      </c>
      <c r="C41" s="33" t="s">
        <v>260</v>
      </c>
      <c r="D41" s="12" t="str">
        <f aca="false">INDEX('Risk Taxonomy'!$B$5:$B$24,MATCH(C41,'Risk Taxonomy'!$A$5:$A$24,0))</f>
        <v>Money laundering</v>
      </c>
      <c r="E41" s="24" t="n">
        <v>2</v>
      </c>
      <c r="F41" s="7" t="str">
        <f aca="false">INDEX('Control Library'!$F$5:$F$47,MATCH(A41,'Control Library'!$A$5:$A$47,0))</f>
        <v>Y</v>
      </c>
      <c r="G41" s="53" t="n">
        <f aca="false">IFERROR(INDEX('Control Effectiveness'!$D$5:$D$47,MATCH($A41,'Control Effectiveness'!$A$5:$A$47,0)),0)</f>
        <v>4</v>
      </c>
      <c r="H41" s="53" t="n">
        <f aca="false">IFERROR(INDEX('Control Effectiveness'!$E$5:$E$47,MATCH($A41,'Control Effectiveness'!$A$5:$A$47,0)),0)</f>
        <v>2</v>
      </c>
      <c r="I41" s="53" t="n">
        <f aca="false">IFERROR(INDEX('Control Effectiveness'!$F$5:$F$47,MATCH($A41,'Control Effectiveness'!$A$5:$A$47,0)),0)</f>
        <v>0</v>
      </c>
      <c r="J41" s="53" t="n">
        <f aca="false">IFERROR(INDEX('Control Effectiveness'!$G$5:$G$47,MATCH($A41,'Control Effectiveness'!$A$5:$A$47,0)),0)</f>
        <v>0</v>
      </c>
      <c r="K41" s="53" t="n">
        <f aca="false">IFERROR(INDEX('Control Effectiveness'!$H$5:$H$47,MATCH($A41,'Control Effectiveness'!$A$5:$A$47,0)),0)</f>
        <v>0</v>
      </c>
      <c r="L41" s="53" t="n">
        <f aca="false">IFERROR(INDEX('Control Effectiveness'!$I$5:$I$47,MATCH($A41,'Control Effectiveness'!$A$5:$A$47,0)),0)</f>
        <v>2</v>
      </c>
      <c r="M41" s="53" t="n">
        <f aca="false">IFERROR(INDEX('Control Effectiveness'!$J$5:$J$47,MATCH($A41,'Control Effectiveness'!$A$5:$A$47,0)),0)</f>
        <v>0</v>
      </c>
      <c r="N41" s="53" t="n">
        <f aca="false">IFERROR(INDEX('Control Effectiveness'!$K$5:$K$47,MATCH($A41,'Control Effectiveness'!$A$5:$A$47,0)),0)</f>
        <v>3</v>
      </c>
      <c r="O41" s="53" t="n">
        <f aca="false">IFERROR(INDEX('Control Effectiveness'!$L$5:$L$47,MATCH($A41,'Control Effectiveness'!$A$5:$A$47,0)),0)</f>
        <v>3</v>
      </c>
      <c r="P41" s="53" t="n">
        <f aca="false">IFERROR(INDEX('Control Effectiveness'!$M$5:$M$47,MATCH($A41,'Control Effectiveness'!$A$5:$A$47,0)),0)</f>
        <v>2</v>
      </c>
      <c r="Q41" s="53" t="n">
        <f aca="false">IFERROR(INDEX('Control Effectiveness'!$N$5:$N$47,MATCH($A41,'Control Effectiveness'!$A$5:$A$47,0)),0)</f>
        <v>2</v>
      </c>
      <c r="R41" s="53" t="n">
        <f aca="false">IFERROR(INDEX('Control Effectiveness'!$O$5:$O$47,MATCH($A41,'Control Effectiveness'!$A$5:$A$47,0)),0)</f>
        <v>1</v>
      </c>
      <c r="S41" s="53" t="n">
        <f aca="false">IFERROR(INDEX('Control Effectiveness'!$P$5:$P$47,MATCH($A41,'Control Effectiveness'!$A$5:$A$47,0)),0)</f>
        <v>2</v>
      </c>
      <c r="T41" s="53" t="n">
        <f aca="false">IFERROR(INDEX('Control Effectiveness'!$Q$5:$Q$47,MATCH($A41,'Control Effectiveness'!$A$5:$A$47,0)),0)</f>
        <v>2</v>
      </c>
      <c r="U41" s="53" t="n">
        <f aca="false">IFERROR(INDEX('Control Effectiveness'!$R$5:$R$47,MATCH($A41,'Control Effectiveness'!$A$5:$A$47,0)),0)</f>
        <v>3</v>
      </c>
      <c r="V41" s="53" t="n">
        <f aca="false">IFERROR(INDEX('Control Effectiveness'!$S$5:$S$47,MATCH($A41,'Control Effectiveness'!$A$5:$A$47,0)),0)</f>
        <v>3</v>
      </c>
      <c r="W41" s="53" t="n">
        <f aca="false">IFERROR(INDEX('Control Effectiveness'!$T$5:$T$47,MATCH($A41,'Control Effectiveness'!$A$5:$A$47,0)),0)</f>
        <v>2</v>
      </c>
      <c r="X41" s="53" t="n">
        <f aca="false">IFERROR(INDEX('Control Effectiveness'!$U$5:$U$47,MATCH($A41,'Control Effectiveness'!$A$5:$A$47,0)),0)</f>
        <v>2</v>
      </c>
      <c r="Y41" s="53" t="n">
        <f aca="false">IFERROR(INDEX('Control Effectiveness'!$V$5:$V$47,MATCH($A41,'Control Effectiveness'!$A$5:$A$47,0)),0)</f>
        <v>2</v>
      </c>
      <c r="Z41" s="53" t="n">
        <f aca="false">IFERROR(INDEX('Control Effectiveness'!$W$5:$W$47,MATCH($A41,'Control Effectiveness'!$A$5:$A$47,0)),0)</f>
        <v>2</v>
      </c>
      <c r="AA41" s="53" t="n">
        <f aca="false">IFERROR(INDEX('Control Effectiveness'!$X$5:$X$47,MATCH($A41,'Control Effectiveness'!$A$5:$A$47,0)),0)</f>
        <v>2</v>
      </c>
      <c r="AB41" s="53" t="n">
        <f aca="false">IFERROR(INDEX('Control Effectiveness'!$Y$5:$Y$47,MATCH($A41,'Control Effectiveness'!$A$5:$A$47,0)),0)</f>
        <v>2</v>
      </c>
      <c r="AC41" s="53" t="n">
        <f aca="false">IFERROR(INDEX('Control Effectiveness'!$Z$5:$Z$47,MATCH($A41,'Control Effectiveness'!$A$5:$A$47,0)),0)</f>
        <v>2</v>
      </c>
      <c r="AD41" s="53" t="n">
        <f aca="false">IFERROR(INDEX('Control Effectiveness'!$AA$5:$AA$47,MATCH($A41,'Control Effectiveness'!$A$5:$A$47,0)),0)</f>
        <v>2</v>
      </c>
      <c r="AE41" s="53" t="n">
        <f aca="false">IFERROR(INDEX('Control Effectiveness'!$AB$5:$AB$47,MATCH($A41,'Control Effectiveness'!$A$5:$A$47,0)),0)</f>
        <v>2</v>
      </c>
      <c r="AF41" s="53" t="n">
        <f aca="false">IFERROR(INDEX('Control Effectiveness'!$AC$5:$AC$47,MATCH($A41,'Control Effectiveness'!$A$5:$A$47,0)),0)</f>
        <v>2</v>
      </c>
      <c r="AG41" s="53" t="n">
        <f aca="false">IFERROR(INDEX('Control Effectiveness'!$AD$5:$AD$47,MATCH($A41,'Control Effectiveness'!$A$5:$A$47,0)),0)</f>
        <v>1</v>
      </c>
      <c r="AH41" s="53" t="n">
        <f aca="false">IFERROR(INDEX('Control Effectiveness'!$AE$5:$AE$47,MATCH($A41,'Control Effectiveness'!$A$5:$A$47,0)),0)</f>
        <v>2</v>
      </c>
      <c r="AI41" s="53" t="n">
        <f aca="false">IFERROR(INDEX('Control Effectiveness'!$AF$5:$AF$47,MATCH($A41,'Control Effectiveness'!$A$5:$A$47,0)),0)</f>
        <v>4</v>
      </c>
      <c r="AJ41" s="53" t="n">
        <f aca="false">IFERROR(INDEX('Control Effectiveness'!$AG$5:$AG$47,MATCH($A41,'Control Effectiveness'!$A$5:$A$47,0)),0)</f>
        <v>1</v>
      </c>
    </row>
    <row r="42" customFormat="false" ht="15" hidden="false" customHeight="false" outlineLevel="0" collapsed="false">
      <c r="A42" s="8" t="s">
        <v>640</v>
      </c>
      <c r="B42" s="12" t="str">
        <f aca="false">INDEX('Control Library'!$B$5:$B$47,MATCH(A42,'Control Library'!$A$5:$A$47,0))</f>
        <v>Correspondent bank due diligence (CBDDQ) and nesting detection</v>
      </c>
      <c r="C42" s="33" t="s">
        <v>272</v>
      </c>
      <c r="D42" s="12" t="str">
        <f aca="false">INDEX('Risk Taxonomy'!$B$5:$B$24,MATCH(C42,'Risk Taxonomy'!$A$5:$A$24,0))</f>
        <v>Sanctions</v>
      </c>
      <c r="E42" s="24" t="n">
        <v>1</v>
      </c>
      <c r="F42" s="7" t="str">
        <f aca="false">INDEX('Control Library'!$F$5:$F$47,MATCH(A42,'Control Library'!$A$5:$A$47,0))</f>
        <v>Y</v>
      </c>
      <c r="G42" s="53" t="n">
        <f aca="false">IFERROR(INDEX('Control Effectiveness'!$D$5:$D$47,MATCH($A42,'Control Effectiveness'!$A$5:$A$47,0)),0)</f>
        <v>4</v>
      </c>
      <c r="H42" s="53" t="n">
        <f aca="false">IFERROR(INDEX('Control Effectiveness'!$E$5:$E$47,MATCH($A42,'Control Effectiveness'!$A$5:$A$47,0)),0)</f>
        <v>2</v>
      </c>
      <c r="I42" s="53" t="n">
        <f aca="false">IFERROR(INDEX('Control Effectiveness'!$F$5:$F$47,MATCH($A42,'Control Effectiveness'!$A$5:$A$47,0)),0)</f>
        <v>0</v>
      </c>
      <c r="J42" s="53" t="n">
        <f aca="false">IFERROR(INDEX('Control Effectiveness'!$G$5:$G$47,MATCH($A42,'Control Effectiveness'!$A$5:$A$47,0)),0)</f>
        <v>0</v>
      </c>
      <c r="K42" s="53" t="n">
        <f aca="false">IFERROR(INDEX('Control Effectiveness'!$H$5:$H$47,MATCH($A42,'Control Effectiveness'!$A$5:$A$47,0)),0)</f>
        <v>0</v>
      </c>
      <c r="L42" s="53" t="n">
        <f aca="false">IFERROR(INDEX('Control Effectiveness'!$I$5:$I$47,MATCH($A42,'Control Effectiveness'!$A$5:$A$47,0)),0)</f>
        <v>2</v>
      </c>
      <c r="M42" s="53" t="n">
        <f aca="false">IFERROR(INDEX('Control Effectiveness'!$J$5:$J$47,MATCH($A42,'Control Effectiveness'!$A$5:$A$47,0)),0)</f>
        <v>0</v>
      </c>
      <c r="N42" s="53" t="n">
        <f aca="false">IFERROR(INDEX('Control Effectiveness'!$K$5:$K$47,MATCH($A42,'Control Effectiveness'!$A$5:$A$47,0)),0)</f>
        <v>3</v>
      </c>
      <c r="O42" s="53" t="n">
        <f aca="false">IFERROR(INDEX('Control Effectiveness'!$L$5:$L$47,MATCH($A42,'Control Effectiveness'!$A$5:$A$47,0)),0)</f>
        <v>3</v>
      </c>
      <c r="P42" s="53" t="n">
        <f aca="false">IFERROR(INDEX('Control Effectiveness'!$M$5:$M$47,MATCH($A42,'Control Effectiveness'!$A$5:$A$47,0)),0)</f>
        <v>2</v>
      </c>
      <c r="Q42" s="53" t="n">
        <f aca="false">IFERROR(INDEX('Control Effectiveness'!$N$5:$N$47,MATCH($A42,'Control Effectiveness'!$A$5:$A$47,0)),0)</f>
        <v>2</v>
      </c>
      <c r="R42" s="53" t="n">
        <f aca="false">IFERROR(INDEX('Control Effectiveness'!$O$5:$O$47,MATCH($A42,'Control Effectiveness'!$A$5:$A$47,0)),0)</f>
        <v>1</v>
      </c>
      <c r="S42" s="53" t="n">
        <f aca="false">IFERROR(INDEX('Control Effectiveness'!$P$5:$P$47,MATCH($A42,'Control Effectiveness'!$A$5:$A$47,0)),0)</f>
        <v>2</v>
      </c>
      <c r="T42" s="53" t="n">
        <f aca="false">IFERROR(INDEX('Control Effectiveness'!$Q$5:$Q$47,MATCH($A42,'Control Effectiveness'!$A$5:$A$47,0)),0)</f>
        <v>2</v>
      </c>
      <c r="U42" s="53" t="n">
        <f aca="false">IFERROR(INDEX('Control Effectiveness'!$R$5:$R$47,MATCH($A42,'Control Effectiveness'!$A$5:$A$47,0)),0)</f>
        <v>3</v>
      </c>
      <c r="V42" s="53" t="n">
        <f aca="false">IFERROR(INDEX('Control Effectiveness'!$S$5:$S$47,MATCH($A42,'Control Effectiveness'!$A$5:$A$47,0)),0)</f>
        <v>3</v>
      </c>
      <c r="W42" s="53" t="n">
        <f aca="false">IFERROR(INDEX('Control Effectiveness'!$T$5:$T$47,MATCH($A42,'Control Effectiveness'!$A$5:$A$47,0)),0)</f>
        <v>2</v>
      </c>
      <c r="X42" s="53" t="n">
        <f aca="false">IFERROR(INDEX('Control Effectiveness'!$U$5:$U$47,MATCH($A42,'Control Effectiveness'!$A$5:$A$47,0)),0)</f>
        <v>2</v>
      </c>
      <c r="Y42" s="53" t="n">
        <f aca="false">IFERROR(INDEX('Control Effectiveness'!$V$5:$V$47,MATCH($A42,'Control Effectiveness'!$A$5:$A$47,0)),0)</f>
        <v>2</v>
      </c>
      <c r="Z42" s="53" t="n">
        <f aca="false">IFERROR(INDEX('Control Effectiveness'!$W$5:$W$47,MATCH($A42,'Control Effectiveness'!$A$5:$A$47,0)),0)</f>
        <v>2</v>
      </c>
      <c r="AA42" s="53" t="n">
        <f aca="false">IFERROR(INDEX('Control Effectiveness'!$X$5:$X$47,MATCH($A42,'Control Effectiveness'!$A$5:$A$47,0)),0)</f>
        <v>2</v>
      </c>
      <c r="AB42" s="53" t="n">
        <f aca="false">IFERROR(INDEX('Control Effectiveness'!$Y$5:$Y$47,MATCH($A42,'Control Effectiveness'!$A$5:$A$47,0)),0)</f>
        <v>2</v>
      </c>
      <c r="AC42" s="53" t="n">
        <f aca="false">IFERROR(INDEX('Control Effectiveness'!$Z$5:$Z$47,MATCH($A42,'Control Effectiveness'!$A$5:$A$47,0)),0)</f>
        <v>2</v>
      </c>
      <c r="AD42" s="53" t="n">
        <f aca="false">IFERROR(INDEX('Control Effectiveness'!$AA$5:$AA$47,MATCH($A42,'Control Effectiveness'!$A$5:$A$47,0)),0)</f>
        <v>2</v>
      </c>
      <c r="AE42" s="53" t="n">
        <f aca="false">IFERROR(INDEX('Control Effectiveness'!$AB$5:$AB$47,MATCH($A42,'Control Effectiveness'!$A$5:$A$47,0)),0)</f>
        <v>2</v>
      </c>
      <c r="AF42" s="53" t="n">
        <f aca="false">IFERROR(INDEX('Control Effectiveness'!$AC$5:$AC$47,MATCH($A42,'Control Effectiveness'!$A$5:$A$47,0)),0)</f>
        <v>2</v>
      </c>
      <c r="AG42" s="53" t="n">
        <f aca="false">IFERROR(INDEX('Control Effectiveness'!$AD$5:$AD$47,MATCH($A42,'Control Effectiveness'!$A$5:$A$47,0)),0)</f>
        <v>1</v>
      </c>
      <c r="AH42" s="53" t="n">
        <f aca="false">IFERROR(INDEX('Control Effectiveness'!$AE$5:$AE$47,MATCH($A42,'Control Effectiveness'!$A$5:$A$47,0)),0)</f>
        <v>2</v>
      </c>
      <c r="AI42" s="53" t="n">
        <f aca="false">IFERROR(INDEX('Control Effectiveness'!$AF$5:$AF$47,MATCH($A42,'Control Effectiveness'!$A$5:$A$47,0)),0)</f>
        <v>4</v>
      </c>
      <c r="AJ42" s="53" t="n">
        <f aca="false">IFERROR(INDEX('Control Effectiveness'!$AG$5:$AG$47,MATCH($A42,'Control Effectiveness'!$A$5:$A$47,0)),0)</f>
        <v>1</v>
      </c>
    </row>
    <row r="43" customFormat="false" ht="15" hidden="false" customHeight="false" outlineLevel="0" collapsed="false">
      <c r="A43" s="8" t="s">
        <v>640</v>
      </c>
      <c r="B43" s="12" t="str">
        <f aca="false">INDEX('Control Library'!$B$5:$B$47,MATCH(A43,'Control Library'!$A$5:$A$47,0))</f>
        <v>Correspondent bank due diligence (CBDDQ) and nesting detection</v>
      </c>
      <c r="C43" s="33" t="s">
        <v>267</v>
      </c>
      <c r="D43" s="12" t="str">
        <f aca="false">INDEX('Risk Taxonomy'!$B$5:$B$24,MATCH(C43,'Risk Taxonomy'!$A$5:$A$24,0))</f>
        <v>Terrorist financing</v>
      </c>
      <c r="E43" s="24" t="n">
        <v>1</v>
      </c>
      <c r="F43" s="7" t="str">
        <f aca="false">INDEX('Control Library'!$F$5:$F$47,MATCH(A43,'Control Library'!$A$5:$A$47,0))</f>
        <v>Y</v>
      </c>
      <c r="G43" s="53" t="n">
        <f aca="false">IFERROR(INDEX('Control Effectiveness'!$D$5:$D$47,MATCH($A43,'Control Effectiveness'!$A$5:$A$47,0)),0)</f>
        <v>4</v>
      </c>
      <c r="H43" s="53" t="n">
        <f aca="false">IFERROR(INDEX('Control Effectiveness'!$E$5:$E$47,MATCH($A43,'Control Effectiveness'!$A$5:$A$47,0)),0)</f>
        <v>2</v>
      </c>
      <c r="I43" s="53" t="n">
        <f aca="false">IFERROR(INDEX('Control Effectiveness'!$F$5:$F$47,MATCH($A43,'Control Effectiveness'!$A$5:$A$47,0)),0)</f>
        <v>0</v>
      </c>
      <c r="J43" s="53" t="n">
        <f aca="false">IFERROR(INDEX('Control Effectiveness'!$G$5:$G$47,MATCH($A43,'Control Effectiveness'!$A$5:$A$47,0)),0)</f>
        <v>0</v>
      </c>
      <c r="K43" s="53" t="n">
        <f aca="false">IFERROR(INDEX('Control Effectiveness'!$H$5:$H$47,MATCH($A43,'Control Effectiveness'!$A$5:$A$47,0)),0)</f>
        <v>0</v>
      </c>
      <c r="L43" s="53" t="n">
        <f aca="false">IFERROR(INDEX('Control Effectiveness'!$I$5:$I$47,MATCH($A43,'Control Effectiveness'!$A$5:$A$47,0)),0)</f>
        <v>2</v>
      </c>
      <c r="M43" s="53" t="n">
        <f aca="false">IFERROR(INDEX('Control Effectiveness'!$J$5:$J$47,MATCH($A43,'Control Effectiveness'!$A$5:$A$47,0)),0)</f>
        <v>0</v>
      </c>
      <c r="N43" s="53" t="n">
        <f aca="false">IFERROR(INDEX('Control Effectiveness'!$K$5:$K$47,MATCH($A43,'Control Effectiveness'!$A$5:$A$47,0)),0)</f>
        <v>3</v>
      </c>
      <c r="O43" s="53" t="n">
        <f aca="false">IFERROR(INDEX('Control Effectiveness'!$L$5:$L$47,MATCH($A43,'Control Effectiveness'!$A$5:$A$47,0)),0)</f>
        <v>3</v>
      </c>
      <c r="P43" s="53" t="n">
        <f aca="false">IFERROR(INDEX('Control Effectiveness'!$M$5:$M$47,MATCH($A43,'Control Effectiveness'!$A$5:$A$47,0)),0)</f>
        <v>2</v>
      </c>
      <c r="Q43" s="53" t="n">
        <f aca="false">IFERROR(INDEX('Control Effectiveness'!$N$5:$N$47,MATCH($A43,'Control Effectiveness'!$A$5:$A$47,0)),0)</f>
        <v>2</v>
      </c>
      <c r="R43" s="53" t="n">
        <f aca="false">IFERROR(INDEX('Control Effectiveness'!$O$5:$O$47,MATCH($A43,'Control Effectiveness'!$A$5:$A$47,0)),0)</f>
        <v>1</v>
      </c>
      <c r="S43" s="53" t="n">
        <f aca="false">IFERROR(INDEX('Control Effectiveness'!$P$5:$P$47,MATCH($A43,'Control Effectiveness'!$A$5:$A$47,0)),0)</f>
        <v>2</v>
      </c>
      <c r="T43" s="53" t="n">
        <f aca="false">IFERROR(INDEX('Control Effectiveness'!$Q$5:$Q$47,MATCH($A43,'Control Effectiveness'!$A$5:$A$47,0)),0)</f>
        <v>2</v>
      </c>
      <c r="U43" s="53" t="n">
        <f aca="false">IFERROR(INDEX('Control Effectiveness'!$R$5:$R$47,MATCH($A43,'Control Effectiveness'!$A$5:$A$47,0)),0)</f>
        <v>3</v>
      </c>
      <c r="V43" s="53" t="n">
        <f aca="false">IFERROR(INDEX('Control Effectiveness'!$S$5:$S$47,MATCH($A43,'Control Effectiveness'!$A$5:$A$47,0)),0)</f>
        <v>3</v>
      </c>
      <c r="W43" s="53" t="n">
        <f aca="false">IFERROR(INDEX('Control Effectiveness'!$T$5:$T$47,MATCH($A43,'Control Effectiveness'!$A$5:$A$47,0)),0)</f>
        <v>2</v>
      </c>
      <c r="X43" s="53" t="n">
        <f aca="false">IFERROR(INDEX('Control Effectiveness'!$U$5:$U$47,MATCH($A43,'Control Effectiveness'!$A$5:$A$47,0)),0)</f>
        <v>2</v>
      </c>
      <c r="Y43" s="53" t="n">
        <f aca="false">IFERROR(INDEX('Control Effectiveness'!$V$5:$V$47,MATCH($A43,'Control Effectiveness'!$A$5:$A$47,0)),0)</f>
        <v>2</v>
      </c>
      <c r="Z43" s="53" t="n">
        <f aca="false">IFERROR(INDEX('Control Effectiveness'!$W$5:$W$47,MATCH($A43,'Control Effectiveness'!$A$5:$A$47,0)),0)</f>
        <v>2</v>
      </c>
      <c r="AA43" s="53" t="n">
        <f aca="false">IFERROR(INDEX('Control Effectiveness'!$X$5:$X$47,MATCH($A43,'Control Effectiveness'!$A$5:$A$47,0)),0)</f>
        <v>2</v>
      </c>
      <c r="AB43" s="53" t="n">
        <f aca="false">IFERROR(INDEX('Control Effectiveness'!$Y$5:$Y$47,MATCH($A43,'Control Effectiveness'!$A$5:$A$47,0)),0)</f>
        <v>2</v>
      </c>
      <c r="AC43" s="53" t="n">
        <f aca="false">IFERROR(INDEX('Control Effectiveness'!$Z$5:$Z$47,MATCH($A43,'Control Effectiveness'!$A$5:$A$47,0)),0)</f>
        <v>2</v>
      </c>
      <c r="AD43" s="53" t="n">
        <f aca="false">IFERROR(INDEX('Control Effectiveness'!$AA$5:$AA$47,MATCH($A43,'Control Effectiveness'!$A$5:$A$47,0)),0)</f>
        <v>2</v>
      </c>
      <c r="AE43" s="53" t="n">
        <f aca="false">IFERROR(INDEX('Control Effectiveness'!$AB$5:$AB$47,MATCH($A43,'Control Effectiveness'!$A$5:$A$47,0)),0)</f>
        <v>2</v>
      </c>
      <c r="AF43" s="53" t="n">
        <f aca="false">IFERROR(INDEX('Control Effectiveness'!$AC$5:$AC$47,MATCH($A43,'Control Effectiveness'!$A$5:$A$47,0)),0)</f>
        <v>2</v>
      </c>
      <c r="AG43" s="53" t="n">
        <f aca="false">IFERROR(INDEX('Control Effectiveness'!$AD$5:$AD$47,MATCH($A43,'Control Effectiveness'!$A$5:$A$47,0)),0)</f>
        <v>1</v>
      </c>
      <c r="AH43" s="53" t="n">
        <f aca="false">IFERROR(INDEX('Control Effectiveness'!$AE$5:$AE$47,MATCH($A43,'Control Effectiveness'!$A$5:$A$47,0)),0)</f>
        <v>2</v>
      </c>
      <c r="AI43" s="53" t="n">
        <f aca="false">IFERROR(INDEX('Control Effectiveness'!$AF$5:$AF$47,MATCH($A43,'Control Effectiveness'!$A$5:$A$47,0)),0)</f>
        <v>4</v>
      </c>
      <c r="AJ43" s="53" t="n">
        <f aca="false">IFERROR(INDEX('Control Effectiveness'!$AG$5:$AG$47,MATCH($A43,'Control Effectiveness'!$A$5:$A$47,0)),0)</f>
        <v>1</v>
      </c>
    </row>
    <row r="44" customFormat="false" ht="15" hidden="false" customHeight="false" outlineLevel="0" collapsed="false">
      <c r="A44" s="8" t="s">
        <v>644</v>
      </c>
      <c r="B44" s="12" t="str">
        <f aca="false">INDEX('Control Library'!$B$5:$B$47,MATCH(A44,'Control Library'!$A$5:$A$47,0))</f>
        <v>Payment transparency checks (FATF R.16)</v>
      </c>
      <c r="C44" s="33" t="s">
        <v>272</v>
      </c>
      <c r="D44" s="12" t="str">
        <f aca="false">INDEX('Risk Taxonomy'!$B$5:$B$24,MATCH(C44,'Risk Taxonomy'!$A$5:$A$24,0))</f>
        <v>Sanctions</v>
      </c>
      <c r="E44" s="24" t="n">
        <v>1</v>
      </c>
      <c r="F44" s="7" t="str">
        <f aca="false">INDEX('Control Library'!$F$5:$F$47,MATCH(A44,'Control Library'!$A$5:$A$47,0))</f>
        <v>N</v>
      </c>
      <c r="G44" s="53" t="n">
        <f aca="false">IFERROR(INDEX('Control Effectiveness'!$D$5:$D$47,MATCH($A44,'Control Effectiveness'!$A$5:$A$47,0)),0)</f>
        <v>2</v>
      </c>
      <c r="H44" s="53" t="n">
        <f aca="false">IFERROR(INDEX('Control Effectiveness'!$E$5:$E$47,MATCH($A44,'Control Effectiveness'!$A$5:$A$47,0)),0)</f>
        <v>2</v>
      </c>
      <c r="I44" s="53" t="n">
        <f aca="false">IFERROR(INDEX('Control Effectiveness'!$F$5:$F$47,MATCH($A44,'Control Effectiveness'!$A$5:$A$47,0)),0)</f>
        <v>0</v>
      </c>
      <c r="J44" s="53" t="n">
        <f aca="false">IFERROR(INDEX('Control Effectiveness'!$G$5:$G$47,MATCH($A44,'Control Effectiveness'!$A$5:$A$47,0)),0)</f>
        <v>0</v>
      </c>
      <c r="K44" s="53" t="n">
        <f aca="false">IFERROR(INDEX('Control Effectiveness'!$H$5:$H$47,MATCH($A44,'Control Effectiveness'!$A$5:$A$47,0)),0)</f>
        <v>0</v>
      </c>
      <c r="L44" s="53" t="n">
        <f aca="false">IFERROR(INDEX('Control Effectiveness'!$I$5:$I$47,MATCH($A44,'Control Effectiveness'!$A$5:$A$47,0)),0)</f>
        <v>2</v>
      </c>
      <c r="M44" s="53" t="n">
        <f aca="false">IFERROR(INDEX('Control Effectiveness'!$J$5:$J$47,MATCH($A44,'Control Effectiveness'!$A$5:$A$47,0)),0)</f>
        <v>0</v>
      </c>
      <c r="N44" s="53" t="n">
        <f aca="false">IFERROR(INDEX('Control Effectiveness'!$K$5:$K$47,MATCH($A44,'Control Effectiveness'!$A$5:$A$47,0)),0)</f>
        <v>3</v>
      </c>
      <c r="O44" s="53" t="n">
        <f aca="false">IFERROR(INDEX('Control Effectiveness'!$L$5:$L$47,MATCH($A44,'Control Effectiveness'!$A$5:$A$47,0)),0)</f>
        <v>3</v>
      </c>
      <c r="P44" s="53" t="n">
        <f aca="false">IFERROR(INDEX('Control Effectiveness'!$M$5:$M$47,MATCH($A44,'Control Effectiveness'!$A$5:$A$47,0)),0)</f>
        <v>1</v>
      </c>
      <c r="Q44" s="53" t="n">
        <f aca="false">IFERROR(INDEX('Control Effectiveness'!$N$5:$N$47,MATCH($A44,'Control Effectiveness'!$A$5:$A$47,0)),0)</f>
        <v>2</v>
      </c>
      <c r="R44" s="53" t="n">
        <f aca="false">IFERROR(INDEX('Control Effectiveness'!$O$5:$O$47,MATCH($A44,'Control Effectiveness'!$A$5:$A$47,0)),0)</f>
        <v>2</v>
      </c>
      <c r="S44" s="53" t="n">
        <f aca="false">IFERROR(INDEX('Control Effectiveness'!$P$5:$P$47,MATCH($A44,'Control Effectiveness'!$A$5:$A$47,0)),0)</f>
        <v>2</v>
      </c>
      <c r="T44" s="53" t="n">
        <f aca="false">IFERROR(INDEX('Control Effectiveness'!$Q$5:$Q$47,MATCH($A44,'Control Effectiveness'!$A$5:$A$47,0)),0)</f>
        <v>2</v>
      </c>
      <c r="U44" s="53" t="n">
        <f aca="false">IFERROR(INDEX('Control Effectiveness'!$R$5:$R$47,MATCH($A44,'Control Effectiveness'!$A$5:$A$47,0)),0)</f>
        <v>2</v>
      </c>
      <c r="V44" s="53" t="n">
        <f aca="false">IFERROR(INDEX('Control Effectiveness'!$S$5:$S$47,MATCH($A44,'Control Effectiveness'!$A$5:$A$47,0)),0)</f>
        <v>3</v>
      </c>
      <c r="W44" s="53" t="n">
        <f aca="false">IFERROR(INDEX('Control Effectiveness'!$T$5:$T$47,MATCH($A44,'Control Effectiveness'!$A$5:$A$47,0)),0)</f>
        <v>2</v>
      </c>
      <c r="X44" s="53" t="n">
        <f aca="false">IFERROR(INDEX('Control Effectiveness'!$U$5:$U$47,MATCH($A44,'Control Effectiveness'!$A$5:$A$47,0)),0)</f>
        <v>2</v>
      </c>
      <c r="Y44" s="53" t="n">
        <f aca="false">IFERROR(INDEX('Control Effectiveness'!$V$5:$V$47,MATCH($A44,'Control Effectiveness'!$A$5:$A$47,0)),0)</f>
        <v>2</v>
      </c>
      <c r="Z44" s="53" t="n">
        <f aca="false">IFERROR(INDEX('Control Effectiveness'!$W$5:$W$47,MATCH($A44,'Control Effectiveness'!$A$5:$A$47,0)),0)</f>
        <v>2</v>
      </c>
      <c r="AA44" s="53" t="n">
        <f aca="false">IFERROR(INDEX('Control Effectiveness'!$X$5:$X$47,MATCH($A44,'Control Effectiveness'!$A$5:$A$47,0)),0)</f>
        <v>3</v>
      </c>
      <c r="AB44" s="53" t="n">
        <f aca="false">IFERROR(INDEX('Control Effectiveness'!$Y$5:$Y$47,MATCH($A44,'Control Effectiveness'!$A$5:$A$47,0)),0)</f>
        <v>2</v>
      </c>
      <c r="AC44" s="53" t="n">
        <f aca="false">IFERROR(INDEX('Control Effectiveness'!$Z$5:$Z$47,MATCH($A44,'Control Effectiveness'!$A$5:$A$47,0)),0)</f>
        <v>1</v>
      </c>
      <c r="AD44" s="53" t="n">
        <f aca="false">IFERROR(INDEX('Control Effectiveness'!$AA$5:$AA$47,MATCH($A44,'Control Effectiveness'!$A$5:$A$47,0)),0)</f>
        <v>1</v>
      </c>
      <c r="AE44" s="53" t="n">
        <f aca="false">IFERROR(INDEX('Control Effectiveness'!$AB$5:$AB$47,MATCH($A44,'Control Effectiveness'!$A$5:$A$47,0)),0)</f>
        <v>1</v>
      </c>
      <c r="AF44" s="53" t="n">
        <f aca="false">IFERROR(INDEX('Control Effectiveness'!$AC$5:$AC$47,MATCH($A44,'Control Effectiveness'!$A$5:$A$47,0)),0)</f>
        <v>2</v>
      </c>
      <c r="AG44" s="53" t="n">
        <f aca="false">IFERROR(INDEX('Control Effectiveness'!$AD$5:$AD$47,MATCH($A44,'Control Effectiveness'!$A$5:$A$47,0)),0)</f>
        <v>1</v>
      </c>
      <c r="AH44" s="53" t="n">
        <f aca="false">IFERROR(INDEX('Control Effectiveness'!$AE$5:$AE$47,MATCH($A44,'Control Effectiveness'!$A$5:$A$47,0)),0)</f>
        <v>2</v>
      </c>
      <c r="AI44" s="53" t="n">
        <f aca="false">IFERROR(INDEX('Control Effectiveness'!$AF$5:$AF$47,MATCH($A44,'Control Effectiveness'!$A$5:$A$47,0)),0)</f>
        <v>1</v>
      </c>
      <c r="AJ44" s="53" t="n">
        <f aca="false">IFERROR(INDEX('Control Effectiveness'!$AG$5:$AG$47,MATCH($A44,'Control Effectiveness'!$A$5:$A$47,0)),0)</f>
        <v>2</v>
      </c>
    </row>
    <row r="45" customFormat="false" ht="15" hidden="false" customHeight="false" outlineLevel="0" collapsed="false">
      <c r="A45" s="8" t="s">
        <v>644</v>
      </c>
      <c r="B45" s="12" t="str">
        <f aca="false">INDEX('Control Library'!$B$5:$B$47,MATCH(A45,'Control Library'!$A$5:$A$47,0))</f>
        <v>Payment transparency checks (FATF R.16)</v>
      </c>
      <c r="C45" s="33" t="s">
        <v>260</v>
      </c>
      <c r="D45" s="12" t="str">
        <f aca="false">INDEX('Risk Taxonomy'!$B$5:$B$24,MATCH(C45,'Risk Taxonomy'!$A$5:$A$24,0))</f>
        <v>Money laundering</v>
      </c>
      <c r="E45" s="24" t="n">
        <v>1</v>
      </c>
      <c r="F45" s="7" t="str">
        <f aca="false">INDEX('Control Library'!$F$5:$F$47,MATCH(A45,'Control Library'!$A$5:$A$47,0))</f>
        <v>N</v>
      </c>
      <c r="G45" s="53" t="n">
        <f aca="false">IFERROR(INDEX('Control Effectiveness'!$D$5:$D$47,MATCH($A45,'Control Effectiveness'!$A$5:$A$47,0)),0)</f>
        <v>2</v>
      </c>
      <c r="H45" s="53" t="n">
        <f aca="false">IFERROR(INDEX('Control Effectiveness'!$E$5:$E$47,MATCH($A45,'Control Effectiveness'!$A$5:$A$47,0)),0)</f>
        <v>2</v>
      </c>
      <c r="I45" s="53" t="n">
        <f aca="false">IFERROR(INDEX('Control Effectiveness'!$F$5:$F$47,MATCH($A45,'Control Effectiveness'!$A$5:$A$47,0)),0)</f>
        <v>0</v>
      </c>
      <c r="J45" s="53" t="n">
        <f aca="false">IFERROR(INDEX('Control Effectiveness'!$G$5:$G$47,MATCH($A45,'Control Effectiveness'!$A$5:$A$47,0)),0)</f>
        <v>0</v>
      </c>
      <c r="K45" s="53" t="n">
        <f aca="false">IFERROR(INDEX('Control Effectiveness'!$H$5:$H$47,MATCH($A45,'Control Effectiveness'!$A$5:$A$47,0)),0)</f>
        <v>0</v>
      </c>
      <c r="L45" s="53" t="n">
        <f aca="false">IFERROR(INDEX('Control Effectiveness'!$I$5:$I$47,MATCH($A45,'Control Effectiveness'!$A$5:$A$47,0)),0)</f>
        <v>2</v>
      </c>
      <c r="M45" s="53" t="n">
        <f aca="false">IFERROR(INDEX('Control Effectiveness'!$J$5:$J$47,MATCH($A45,'Control Effectiveness'!$A$5:$A$47,0)),0)</f>
        <v>0</v>
      </c>
      <c r="N45" s="53" t="n">
        <f aca="false">IFERROR(INDEX('Control Effectiveness'!$K$5:$K$47,MATCH($A45,'Control Effectiveness'!$A$5:$A$47,0)),0)</f>
        <v>3</v>
      </c>
      <c r="O45" s="53" t="n">
        <f aca="false">IFERROR(INDEX('Control Effectiveness'!$L$5:$L$47,MATCH($A45,'Control Effectiveness'!$A$5:$A$47,0)),0)</f>
        <v>3</v>
      </c>
      <c r="P45" s="53" t="n">
        <f aca="false">IFERROR(INDEX('Control Effectiveness'!$M$5:$M$47,MATCH($A45,'Control Effectiveness'!$A$5:$A$47,0)),0)</f>
        <v>1</v>
      </c>
      <c r="Q45" s="53" t="n">
        <f aca="false">IFERROR(INDEX('Control Effectiveness'!$N$5:$N$47,MATCH($A45,'Control Effectiveness'!$A$5:$A$47,0)),0)</f>
        <v>2</v>
      </c>
      <c r="R45" s="53" t="n">
        <f aca="false">IFERROR(INDEX('Control Effectiveness'!$O$5:$O$47,MATCH($A45,'Control Effectiveness'!$A$5:$A$47,0)),0)</f>
        <v>2</v>
      </c>
      <c r="S45" s="53" t="n">
        <f aca="false">IFERROR(INDEX('Control Effectiveness'!$P$5:$P$47,MATCH($A45,'Control Effectiveness'!$A$5:$A$47,0)),0)</f>
        <v>2</v>
      </c>
      <c r="T45" s="53" t="n">
        <f aca="false">IFERROR(INDEX('Control Effectiveness'!$Q$5:$Q$47,MATCH($A45,'Control Effectiveness'!$A$5:$A$47,0)),0)</f>
        <v>2</v>
      </c>
      <c r="U45" s="53" t="n">
        <f aca="false">IFERROR(INDEX('Control Effectiveness'!$R$5:$R$47,MATCH($A45,'Control Effectiveness'!$A$5:$A$47,0)),0)</f>
        <v>2</v>
      </c>
      <c r="V45" s="53" t="n">
        <f aca="false">IFERROR(INDEX('Control Effectiveness'!$S$5:$S$47,MATCH($A45,'Control Effectiveness'!$A$5:$A$47,0)),0)</f>
        <v>3</v>
      </c>
      <c r="W45" s="53" t="n">
        <f aca="false">IFERROR(INDEX('Control Effectiveness'!$T$5:$T$47,MATCH($A45,'Control Effectiveness'!$A$5:$A$47,0)),0)</f>
        <v>2</v>
      </c>
      <c r="X45" s="53" t="n">
        <f aca="false">IFERROR(INDEX('Control Effectiveness'!$U$5:$U$47,MATCH($A45,'Control Effectiveness'!$A$5:$A$47,0)),0)</f>
        <v>2</v>
      </c>
      <c r="Y45" s="53" t="n">
        <f aca="false">IFERROR(INDEX('Control Effectiveness'!$V$5:$V$47,MATCH($A45,'Control Effectiveness'!$A$5:$A$47,0)),0)</f>
        <v>2</v>
      </c>
      <c r="Z45" s="53" t="n">
        <f aca="false">IFERROR(INDEX('Control Effectiveness'!$W$5:$W$47,MATCH($A45,'Control Effectiveness'!$A$5:$A$47,0)),0)</f>
        <v>2</v>
      </c>
      <c r="AA45" s="53" t="n">
        <f aca="false">IFERROR(INDEX('Control Effectiveness'!$X$5:$X$47,MATCH($A45,'Control Effectiveness'!$A$5:$A$47,0)),0)</f>
        <v>3</v>
      </c>
      <c r="AB45" s="53" t="n">
        <f aca="false">IFERROR(INDEX('Control Effectiveness'!$Y$5:$Y$47,MATCH($A45,'Control Effectiveness'!$A$5:$A$47,0)),0)</f>
        <v>2</v>
      </c>
      <c r="AC45" s="53" t="n">
        <f aca="false">IFERROR(INDEX('Control Effectiveness'!$Z$5:$Z$47,MATCH($A45,'Control Effectiveness'!$A$5:$A$47,0)),0)</f>
        <v>1</v>
      </c>
      <c r="AD45" s="53" t="n">
        <f aca="false">IFERROR(INDEX('Control Effectiveness'!$AA$5:$AA$47,MATCH($A45,'Control Effectiveness'!$A$5:$A$47,0)),0)</f>
        <v>1</v>
      </c>
      <c r="AE45" s="53" t="n">
        <f aca="false">IFERROR(INDEX('Control Effectiveness'!$AB$5:$AB$47,MATCH($A45,'Control Effectiveness'!$A$5:$A$47,0)),0)</f>
        <v>1</v>
      </c>
      <c r="AF45" s="53" t="n">
        <f aca="false">IFERROR(INDEX('Control Effectiveness'!$AC$5:$AC$47,MATCH($A45,'Control Effectiveness'!$A$5:$A$47,0)),0)</f>
        <v>2</v>
      </c>
      <c r="AG45" s="53" t="n">
        <f aca="false">IFERROR(INDEX('Control Effectiveness'!$AD$5:$AD$47,MATCH($A45,'Control Effectiveness'!$A$5:$A$47,0)),0)</f>
        <v>1</v>
      </c>
      <c r="AH45" s="53" t="n">
        <f aca="false">IFERROR(INDEX('Control Effectiveness'!$AE$5:$AE$47,MATCH($A45,'Control Effectiveness'!$A$5:$A$47,0)),0)</f>
        <v>2</v>
      </c>
      <c r="AI45" s="53" t="n">
        <f aca="false">IFERROR(INDEX('Control Effectiveness'!$AF$5:$AF$47,MATCH($A45,'Control Effectiveness'!$A$5:$A$47,0)),0)</f>
        <v>1</v>
      </c>
      <c r="AJ45" s="53" t="n">
        <f aca="false">IFERROR(INDEX('Control Effectiveness'!$AG$5:$AG$47,MATCH($A45,'Control Effectiveness'!$A$5:$A$47,0)),0)</f>
        <v>2</v>
      </c>
    </row>
    <row r="46" customFormat="false" ht="15" hidden="false" customHeight="false" outlineLevel="0" collapsed="false">
      <c r="A46" s="8" t="s">
        <v>644</v>
      </c>
      <c r="B46" s="12" t="str">
        <f aca="false">INDEX('Control Library'!$B$5:$B$47,MATCH(A46,'Control Library'!$A$5:$A$47,0))</f>
        <v>Payment transparency checks (FATF R.16)</v>
      </c>
      <c r="C46" s="33" t="s">
        <v>267</v>
      </c>
      <c r="D46" s="12" t="str">
        <f aca="false">INDEX('Risk Taxonomy'!$B$5:$B$24,MATCH(C46,'Risk Taxonomy'!$A$5:$A$24,0))</f>
        <v>Terrorist financing</v>
      </c>
      <c r="E46" s="24" t="n">
        <v>1</v>
      </c>
      <c r="F46" s="7" t="str">
        <f aca="false">INDEX('Control Library'!$F$5:$F$47,MATCH(A46,'Control Library'!$A$5:$A$47,0))</f>
        <v>N</v>
      </c>
      <c r="G46" s="53" t="n">
        <f aca="false">IFERROR(INDEX('Control Effectiveness'!$D$5:$D$47,MATCH($A46,'Control Effectiveness'!$A$5:$A$47,0)),0)</f>
        <v>2</v>
      </c>
      <c r="H46" s="53" t="n">
        <f aca="false">IFERROR(INDEX('Control Effectiveness'!$E$5:$E$47,MATCH($A46,'Control Effectiveness'!$A$5:$A$47,0)),0)</f>
        <v>2</v>
      </c>
      <c r="I46" s="53" t="n">
        <f aca="false">IFERROR(INDEX('Control Effectiveness'!$F$5:$F$47,MATCH($A46,'Control Effectiveness'!$A$5:$A$47,0)),0)</f>
        <v>0</v>
      </c>
      <c r="J46" s="53" t="n">
        <f aca="false">IFERROR(INDEX('Control Effectiveness'!$G$5:$G$47,MATCH($A46,'Control Effectiveness'!$A$5:$A$47,0)),0)</f>
        <v>0</v>
      </c>
      <c r="K46" s="53" t="n">
        <f aca="false">IFERROR(INDEX('Control Effectiveness'!$H$5:$H$47,MATCH($A46,'Control Effectiveness'!$A$5:$A$47,0)),0)</f>
        <v>0</v>
      </c>
      <c r="L46" s="53" t="n">
        <f aca="false">IFERROR(INDEX('Control Effectiveness'!$I$5:$I$47,MATCH($A46,'Control Effectiveness'!$A$5:$A$47,0)),0)</f>
        <v>2</v>
      </c>
      <c r="M46" s="53" t="n">
        <f aca="false">IFERROR(INDEX('Control Effectiveness'!$J$5:$J$47,MATCH($A46,'Control Effectiveness'!$A$5:$A$47,0)),0)</f>
        <v>0</v>
      </c>
      <c r="N46" s="53" t="n">
        <f aca="false">IFERROR(INDEX('Control Effectiveness'!$K$5:$K$47,MATCH($A46,'Control Effectiveness'!$A$5:$A$47,0)),0)</f>
        <v>3</v>
      </c>
      <c r="O46" s="53" t="n">
        <f aca="false">IFERROR(INDEX('Control Effectiveness'!$L$5:$L$47,MATCH($A46,'Control Effectiveness'!$A$5:$A$47,0)),0)</f>
        <v>3</v>
      </c>
      <c r="P46" s="53" t="n">
        <f aca="false">IFERROR(INDEX('Control Effectiveness'!$M$5:$M$47,MATCH($A46,'Control Effectiveness'!$A$5:$A$47,0)),0)</f>
        <v>1</v>
      </c>
      <c r="Q46" s="53" t="n">
        <f aca="false">IFERROR(INDEX('Control Effectiveness'!$N$5:$N$47,MATCH($A46,'Control Effectiveness'!$A$5:$A$47,0)),0)</f>
        <v>2</v>
      </c>
      <c r="R46" s="53" t="n">
        <f aca="false">IFERROR(INDEX('Control Effectiveness'!$O$5:$O$47,MATCH($A46,'Control Effectiveness'!$A$5:$A$47,0)),0)</f>
        <v>2</v>
      </c>
      <c r="S46" s="53" t="n">
        <f aca="false">IFERROR(INDEX('Control Effectiveness'!$P$5:$P$47,MATCH($A46,'Control Effectiveness'!$A$5:$A$47,0)),0)</f>
        <v>2</v>
      </c>
      <c r="T46" s="53" t="n">
        <f aca="false">IFERROR(INDEX('Control Effectiveness'!$Q$5:$Q$47,MATCH($A46,'Control Effectiveness'!$A$5:$A$47,0)),0)</f>
        <v>2</v>
      </c>
      <c r="U46" s="53" t="n">
        <f aca="false">IFERROR(INDEX('Control Effectiveness'!$R$5:$R$47,MATCH($A46,'Control Effectiveness'!$A$5:$A$47,0)),0)</f>
        <v>2</v>
      </c>
      <c r="V46" s="53" t="n">
        <f aca="false">IFERROR(INDEX('Control Effectiveness'!$S$5:$S$47,MATCH($A46,'Control Effectiveness'!$A$5:$A$47,0)),0)</f>
        <v>3</v>
      </c>
      <c r="W46" s="53" t="n">
        <f aca="false">IFERROR(INDEX('Control Effectiveness'!$T$5:$T$47,MATCH($A46,'Control Effectiveness'!$A$5:$A$47,0)),0)</f>
        <v>2</v>
      </c>
      <c r="X46" s="53" t="n">
        <f aca="false">IFERROR(INDEX('Control Effectiveness'!$U$5:$U$47,MATCH($A46,'Control Effectiveness'!$A$5:$A$47,0)),0)</f>
        <v>2</v>
      </c>
      <c r="Y46" s="53" t="n">
        <f aca="false">IFERROR(INDEX('Control Effectiveness'!$V$5:$V$47,MATCH($A46,'Control Effectiveness'!$A$5:$A$47,0)),0)</f>
        <v>2</v>
      </c>
      <c r="Z46" s="53" t="n">
        <f aca="false">IFERROR(INDEX('Control Effectiveness'!$W$5:$W$47,MATCH($A46,'Control Effectiveness'!$A$5:$A$47,0)),0)</f>
        <v>2</v>
      </c>
      <c r="AA46" s="53" t="n">
        <f aca="false">IFERROR(INDEX('Control Effectiveness'!$X$5:$X$47,MATCH($A46,'Control Effectiveness'!$A$5:$A$47,0)),0)</f>
        <v>3</v>
      </c>
      <c r="AB46" s="53" t="n">
        <f aca="false">IFERROR(INDEX('Control Effectiveness'!$Y$5:$Y$47,MATCH($A46,'Control Effectiveness'!$A$5:$A$47,0)),0)</f>
        <v>2</v>
      </c>
      <c r="AC46" s="53" t="n">
        <f aca="false">IFERROR(INDEX('Control Effectiveness'!$Z$5:$Z$47,MATCH($A46,'Control Effectiveness'!$A$5:$A$47,0)),0)</f>
        <v>1</v>
      </c>
      <c r="AD46" s="53" t="n">
        <f aca="false">IFERROR(INDEX('Control Effectiveness'!$AA$5:$AA$47,MATCH($A46,'Control Effectiveness'!$A$5:$A$47,0)),0)</f>
        <v>1</v>
      </c>
      <c r="AE46" s="53" t="n">
        <f aca="false">IFERROR(INDEX('Control Effectiveness'!$AB$5:$AB$47,MATCH($A46,'Control Effectiveness'!$A$5:$A$47,0)),0)</f>
        <v>1</v>
      </c>
      <c r="AF46" s="53" t="n">
        <f aca="false">IFERROR(INDEX('Control Effectiveness'!$AC$5:$AC$47,MATCH($A46,'Control Effectiveness'!$A$5:$A$47,0)),0)</f>
        <v>2</v>
      </c>
      <c r="AG46" s="53" t="n">
        <f aca="false">IFERROR(INDEX('Control Effectiveness'!$AD$5:$AD$47,MATCH($A46,'Control Effectiveness'!$A$5:$A$47,0)),0)</f>
        <v>1</v>
      </c>
      <c r="AH46" s="53" t="n">
        <f aca="false">IFERROR(INDEX('Control Effectiveness'!$AE$5:$AE$47,MATCH($A46,'Control Effectiveness'!$A$5:$A$47,0)),0)</f>
        <v>2</v>
      </c>
      <c r="AI46" s="53" t="n">
        <f aca="false">IFERROR(INDEX('Control Effectiveness'!$AF$5:$AF$47,MATCH($A46,'Control Effectiveness'!$A$5:$A$47,0)),0)</f>
        <v>1</v>
      </c>
      <c r="AJ46" s="53" t="n">
        <f aca="false">IFERROR(INDEX('Control Effectiveness'!$AG$5:$AG$47,MATCH($A46,'Control Effectiveness'!$A$5:$A$47,0)),0)</f>
        <v>2</v>
      </c>
    </row>
    <row r="47" customFormat="false" ht="15" hidden="false" customHeight="false" outlineLevel="0" collapsed="false">
      <c r="A47" s="8" t="s">
        <v>648</v>
      </c>
      <c r="B47" s="12" t="str">
        <f aca="false">INDEX('Control Library'!$B$5:$B$47,MATCH(A47,'Control Library'!$A$5:$A$47,0))</f>
        <v>Third-party and intermediary anti-bribery due diligence</v>
      </c>
      <c r="C47" s="33" t="s">
        <v>275</v>
      </c>
      <c r="D47" s="12" t="str">
        <f aca="false">INDEX('Risk Taxonomy'!$B$5:$B$24,MATCH(C47,'Risk Taxonomy'!$A$5:$A$24,0))</f>
        <v>Bribery and corruption</v>
      </c>
      <c r="E47" s="24" t="n">
        <v>3</v>
      </c>
      <c r="F47" s="7" t="str">
        <f aca="false">INDEX('Control Library'!$F$5:$F$47,MATCH(A47,'Control Library'!$A$5:$A$47,0))</f>
        <v>Y</v>
      </c>
      <c r="G47" s="53" t="n">
        <f aca="false">IFERROR(INDEX('Control Effectiveness'!$D$5:$D$47,MATCH($A47,'Control Effectiveness'!$A$5:$A$47,0)),0)</f>
        <v>1</v>
      </c>
      <c r="H47" s="53" t="n">
        <f aca="false">IFERROR(INDEX('Control Effectiveness'!$E$5:$E$47,MATCH($A47,'Control Effectiveness'!$A$5:$A$47,0)),0)</f>
        <v>2</v>
      </c>
      <c r="I47" s="53" t="n">
        <f aca="false">IFERROR(INDEX('Control Effectiveness'!$F$5:$F$47,MATCH($A47,'Control Effectiveness'!$A$5:$A$47,0)),0)</f>
        <v>2</v>
      </c>
      <c r="J47" s="53" t="n">
        <f aca="false">IFERROR(INDEX('Control Effectiveness'!$G$5:$G$47,MATCH($A47,'Control Effectiveness'!$A$5:$A$47,0)),0)</f>
        <v>2</v>
      </c>
      <c r="K47" s="53" t="n">
        <f aca="false">IFERROR(INDEX('Control Effectiveness'!$H$5:$H$47,MATCH($A47,'Control Effectiveness'!$A$5:$A$47,0)),0)</f>
        <v>2</v>
      </c>
      <c r="L47" s="53" t="n">
        <f aca="false">IFERROR(INDEX('Control Effectiveness'!$I$5:$I$47,MATCH($A47,'Control Effectiveness'!$A$5:$A$47,0)),0)</f>
        <v>2</v>
      </c>
      <c r="M47" s="53" t="n">
        <f aca="false">IFERROR(INDEX('Control Effectiveness'!$J$5:$J$47,MATCH($A47,'Control Effectiveness'!$A$5:$A$47,0)),0)</f>
        <v>3</v>
      </c>
      <c r="N47" s="53" t="n">
        <f aca="false">IFERROR(INDEX('Control Effectiveness'!$K$5:$K$47,MATCH($A47,'Control Effectiveness'!$A$5:$A$47,0)),0)</f>
        <v>3</v>
      </c>
      <c r="O47" s="53" t="n">
        <f aca="false">IFERROR(INDEX('Control Effectiveness'!$L$5:$L$47,MATCH($A47,'Control Effectiveness'!$A$5:$A$47,0)),0)</f>
        <v>2</v>
      </c>
      <c r="P47" s="53" t="n">
        <f aca="false">IFERROR(INDEX('Control Effectiveness'!$M$5:$M$47,MATCH($A47,'Control Effectiveness'!$A$5:$A$47,0)),0)</f>
        <v>4</v>
      </c>
      <c r="Q47" s="53" t="n">
        <f aca="false">IFERROR(INDEX('Control Effectiveness'!$N$5:$N$47,MATCH($A47,'Control Effectiveness'!$A$5:$A$47,0)),0)</f>
        <v>4</v>
      </c>
      <c r="R47" s="53" t="n">
        <f aca="false">IFERROR(INDEX('Control Effectiveness'!$O$5:$O$47,MATCH($A47,'Control Effectiveness'!$A$5:$A$47,0)),0)</f>
        <v>2</v>
      </c>
      <c r="S47" s="53" t="n">
        <f aca="false">IFERROR(INDEX('Control Effectiveness'!$P$5:$P$47,MATCH($A47,'Control Effectiveness'!$A$5:$A$47,0)),0)</f>
        <v>1</v>
      </c>
      <c r="T47" s="53" t="n">
        <f aca="false">IFERROR(INDEX('Control Effectiveness'!$Q$5:$Q$47,MATCH($A47,'Control Effectiveness'!$A$5:$A$47,0)),0)</f>
        <v>2</v>
      </c>
      <c r="U47" s="53" t="n">
        <f aca="false">IFERROR(INDEX('Control Effectiveness'!$R$5:$R$47,MATCH($A47,'Control Effectiveness'!$A$5:$A$47,0)),0)</f>
        <v>3</v>
      </c>
      <c r="V47" s="53" t="n">
        <f aca="false">IFERROR(INDEX('Control Effectiveness'!$S$5:$S$47,MATCH($A47,'Control Effectiveness'!$A$5:$A$47,0)),0)</f>
        <v>4</v>
      </c>
      <c r="W47" s="53" t="n">
        <f aca="false">IFERROR(INDEX('Control Effectiveness'!$T$5:$T$47,MATCH($A47,'Control Effectiveness'!$A$5:$A$47,0)),0)</f>
        <v>1</v>
      </c>
      <c r="X47" s="53" t="n">
        <f aca="false">IFERROR(INDEX('Control Effectiveness'!$U$5:$U$47,MATCH($A47,'Control Effectiveness'!$A$5:$A$47,0)),0)</f>
        <v>2</v>
      </c>
      <c r="Y47" s="53" t="n">
        <f aca="false">IFERROR(INDEX('Control Effectiveness'!$V$5:$V$47,MATCH($A47,'Control Effectiveness'!$A$5:$A$47,0)),0)</f>
        <v>1</v>
      </c>
      <c r="Z47" s="53" t="n">
        <f aca="false">IFERROR(INDEX('Control Effectiveness'!$W$5:$W$47,MATCH($A47,'Control Effectiveness'!$A$5:$A$47,0)),0)</f>
        <v>2</v>
      </c>
      <c r="AA47" s="53" t="n">
        <f aca="false">IFERROR(INDEX('Control Effectiveness'!$X$5:$X$47,MATCH($A47,'Control Effectiveness'!$A$5:$A$47,0)),0)</f>
        <v>2</v>
      </c>
      <c r="AB47" s="53" t="n">
        <f aca="false">IFERROR(INDEX('Control Effectiveness'!$Y$5:$Y$47,MATCH($A47,'Control Effectiveness'!$A$5:$A$47,0)),0)</f>
        <v>1</v>
      </c>
      <c r="AC47" s="53" t="n">
        <f aca="false">IFERROR(INDEX('Control Effectiveness'!$Z$5:$Z$47,MATCH($A47,'Control Effectiveness'!$A$5:$A$47,0)),0)</f>
        <v>2</v>
      </c>
      <c r="AD47" s="53" t="n">
        <f aca="false">IFERROR(INDEX('Control Effectiveness'!$AA$5:$AA$47,MATCH($A47,'Control Effectiveness'!$A$5:$A$47,0)),0)</f>
        <v>1</v>
      </c>
      <c r="AE47" s="53" t="n">
        <f aca="false">IFERROR(INDEX('Control Effectiveness'!$AB$5:$AB$47,MATCH($A47,'Control Effectiveness'!$A$5:$A$47,0)),0)</f>
        <v>4</v>
      </c>
      <c r="AF47" s="53" t="n">
        <f aca="false">IFERROR(INDEX('Control Effectiveness'!$AC$5:$AC$47,MATCH($A47,'Control Effectiveness'!$A$5:$A$47,0)),0)</f>
        <v>2</v>
      </c>
      <c r="AG47" s="53" t="n">
        <f aca="false">IFERROR(INDEX('Control Effectiveness'!$AD$5:$AD$47,MATCH($A47,'Control Effectiveness'!$A$5:$A$47,0)),0)</f>
        <v>2</v>
      </c>
      <c r="AH47" s="53" t="n">
        <f aca="false">IFERROR(INDEX('Control Effectiveness'!$AE$5:$AE$47,MATCH($A47,'Control Effectiveness'!$A$5:$A$47,0)),0)</f>
        <v>1</v>
      </c>
      <c r="AI47" s="53" t="n">
        <f aca="false">IFERROR(INDEX('Control Effectiveness'!$AF$5:$AF$47,MATCH($A47,'Control Effectiveness'!$A$5:$A$47,0)),0)</f>
        <v>1</v>
      </c>
      <c r="AJ47" s="53" t="n">
        <f aca="false">IFERROR(INDEX('Control Effectiveness'!$AG$5:$AG$47,MATCH($A47,'Control Effectiveness'!$A$5:$A$47,0)),0)</f>
        <v>4</v>
      </c>
    </row>
    <row r="48" customFormat="false" ht="15" hidden="false" customHeight="false" outlineLevel="0" collapsed="false">
      <c r="A48" s="8" t="s">
        <v>648</v>
      </c>
      <c r="B48" s="12" t="str">
        <f aca="false">INDEX('Control Library'!$B$5:$B$47,MATCH(A48,'Control Library'!$A$5:$A$47,0))</f>
        <v>Third-party and intermediary anti-bribery due diligence</v>
      </c>
      <c r="C48" s="33" t="s">
        <v>313</v>
      </c>
      <c r="D48" s="12" t="str">
        <f aca="false">INDEX('Risk Taxonomy'!$B$5:$B$24,MATCH(C48,'Risk Taxonomy'!$A$5:$A$24,0))</f>
        <v>Third-party and outsourcing</v>
      </c>
      <c r="E48" s="24" t="n">
        <v>1</v>
      </c>
      <c r="F48" s="7" t="str">
        <f aca="false">INDEX('Control Library'!$F$5:$F$47,MATCH(A48,'Control Library'!$A$5:$A$47,0))</f>
        <v>Y</v>
      </c>
      <c r="G48" s="53" t="n">
        <f aca="false">IFERROR(INDEX('Control Effectiveness'!$D$5:$D$47,MATCH($A48,'Control Effectiveness'!$A$5:$A$47,0)),0)</f>
        <v>1</v>
      </c>
      <c r="H48" s="53" t="n">
        <f aca="false">IFERROR(INDEX('Control Effectiveness'!$E$5:$E$47,MATCH($A48,'Control Effectiveness'!$A$5:$A$47,0)),0)</f>
        <v>2</v>
      </c>
      <c r="I48" s="53" t="n">
        <f aca="false">IFERROR(INDEX('Control Effectiveness'!$F$5:$F$47,MATCH($A48,'Control Effectiveness'!$A$5:$A$47,0)),0)</f>
        <v>2</v>
      </c>
      <c r="J48" s="53" t="n">
        <f aca="false">IFERROR(INDEX('Control Effectiveness'!$G$5:$G$47,MATCH($A48,'Control Effectiveness'!$A$5:$A$47,0)),0)</f>
        <v>2</v>
      </c>
      <c r="K48" s="53" t="n">
        <f aca="false">IFERROR(INDEX('Control Effectiveness'!$H$5:$H$47,MATCH($A48,'Control Effectiveness'!$A$5:$A$47,0)),0)</f>
        <v>2</v>
      </c>
      <c r="L48" s="53" t="n">
        <f aca="false">IFERROR(INDEX('Control Effectiveness'!$I$5:$I$47,MATCH($A48,'Control Effectiveness'!$A$5:$A$47,0)),0)</f>
        <v>2</v>
      </c>
      <c r="M48" s="53" t="n">
        <f aca="false">IFERROR(INDEX('Control Effectiveness'!$J$5:$J$47,MATCH($A48,'Control Effectiveness'!$A$5:$A$47,0)),0)</f>
        <v>3</v>
      </c>
      <c r="N48" s="53" t="n">
        <f aca="false">IFERROR(INDEX('Control Effectiveness'!$K$5:$K$47,MATCH($A48,'Control Effectiveness'!$A$5:$A$47,0)),0)</f>
        <v>3</v>
      </c>
      <c r="O48" s="53" t="n">
        <f aca="false">IFERROR(INDEX('Control Effectiveness'!$L$5:$L$47,MATCH($A48,'Control Effectiveness'!$A$5:$A$47,0)),0)</f>
        <v>2</v>
      </c>
      <c r="P48" s="53" t="n">
        <f aca="false">IFERROR(INDEX('Control Effectiveness'!$M$5:$M$47,MATCH($A48,'Control Effectiveness'!$A$5:$A$47,0)),0)</f>
        <v>4</v>
      </c>
      <c r="Q48" s="53" t="n">
        <f aca="false">IFERROR(INDEX('Control Effectiveness'!$N$5:$N$47,MATCH($A48,'Control Effectiveness'!$A$5:$A$47,0)),0)</f>
        <v>4</v>
      </c>
      <c r="R48" s="53" t="n">
        <f aca="false">IFERROR(INDEX('Control Effectiveness'!$O$5:$O$47,MATCH($A48,'Control Effectiveness'!$A$5:$A$47,0)),0)</f>
        <v>2</v>
      </c>
      <c r="S48" s="53" t="n">
        <f aca="false">IFERROR(INDEX('Control Effectiveness'!$P$5:$P$47,MATCH($A48,'Control Effectiveness'!$A$5:$A$47,0)),0)</f>
        <v>1</v>
      </c>
      <c r="T48" s="53" t="n">
        <f aca="false">IFERROR(INDEX('Control Effectiveness'!$Q$5:$Q$47,MATCH($A48,'Control Effectiveness'!$A$5:$A$47,0)),0)</f>
        <v>2</v>
      </c>
      <c r="U48" s="53" t="n">
        <f aca="false">IFERROR(INDEX('Control Effectiveness'!$R$5:$R$47,MATCH($A48,'Control Effectiveness'!$A$5:$A$47,0)),0)</f>
        <v>3</v>
      </c>
      <c r="V48" s="53" t="n">
        <f aca="false">IFERROR(INDEX('Control Effectiveness'!$S$5:$S$47,MATCH($A48,'Control Effectiveness'!$A$5:$A$47,0)),0)</f>
        <v>4</v>
      </c>
      <c r="W48" s="53" t="n">
        <f aca="false">IFERROR(INDEX('Control Effectiveness'!$T$5:$T$47,MATCH($A48,'Control Effectiveness'!$A$5:$A$47,0)),0)</f>
        <v>1</v>
      </c>
      <c r="X48" s="53" t="n">
        <f aca="false">IFERROR(INDEX('Control Effectiveness'!$U$5:$U$47,MATCH($A48,'Control Effectiveness'!$A$5:$A$47,0)),0)</f>
        <v>2</v>
      </c>
      <c r="Y48" s="53" t="n">
        <f aca="false">IFERROR(INDEX('Control Effectiveness'!$V$5:$V$47,MATCH($A48,'Control Effectiveness'!$A$5:$A$47,0)),0)</f>
        <v>1</v>
      </c>
      <c r="Z48" s="53" t="n">
        <f aca="false">IFERROR(INDEX('Control Effectiveness'!$W$5:$W$47,MATCH($A48,'Control Effectiveness'!$A$5:$A$47,0)),0)</f>
        <v>2</v>
      </c>
      <c r="AA48" s="53" t="n">
        <f aca="false">IFERROR(INDEX('Control Effectiveness'!$X$5:$X$47,MATCH($A48,'Control Effectiveness'!$A$5:$A$47,0)),0)</f>
        <v>2</v>
      </c>
      <c r="AB48" s="53" t="n">
        <f aca="false">IFERROR(INDEX('Control Effectiveness'!$Y$5:$Y$47,MATCH($A48,'Control Effectiveness'!$A$5:$A$47,0)),0)</f>
        <v>1</v>
      </c>
      <c r="AC48" s="53" t="n">
        <f aca="false">IFERROR(INDEX('Control Effectiveness'!$Z$5:$Z$47,MATCH($A48,'Control Effectiveness'!$A$5:$A$47,0)),0)</f>
        <v>2</v>
      </c>
      <c r="AD48" s="53" t="n">
        <f aca="false">IFERROR(INDEX('Control Effectiveness'!$AA$5:$AA$47,MATCH($A48,'Control Effectiveness'!$A$5:$A$47,0)),0)</f>
        <v>1</v>
      </c>
      <c r="AE48" s="53" t="n">
        <f aca="false">IFERROR(INDEX('Control Effectiveness'!$AB$5:$AB$47,MATCH($A48,'Control Effectiveness'!$A$5:$A$47,0)),0)</f>
        <v>4</v>
      </c>
      <c r="AF48" s="53" t="n">
        <f aca="false">IFERROR(INDEX('Control Effectiveness'!$AC$5:$AC$47,MATCH($A48,'Control Effectiveness'!$A$5:$A$47,0)),0)</f>
        <v>2</v>
      </c>
      <c r="AG48" s="53" t="n">
        <f aca="false">IFERROR(INDEX('Control Effectiveness'!$AD$5:$AD$47,MATCH($A48,'Control Effectiveness'!$A$5:$A$47,0)),0)</f>
        <v>2</v>
      </c>
      <c r="AH48" s="53" t="n">
        <f aca="false">IFERROR(INDEX('Control Effectiveness'!$AE$5:$AE$47,MATCH($A48,'Control Effectiveness'!$A$5:$A$47,0)),0)</f>
        <v>1</v>
      </c>
      <c r="AI48" s="53" t="n">
        <f aca="false">IFERROR(INDEX('Control Effectiveness'!$AF$5:$AF$47,MATCH($A48,'Control Effectiveness'!$A$5:$A$47,0)),0)</f>
        <v>1</v>
      </c>
      <c r="AJ48" s="53" t="n">
        <f aca="false">IFERROR(INDEX('Control Effectiveness'!$AG$5:$AG$47,MATCH($A48,'Control Effectiveness'!$A$5:$A$47,0)),0)</f>
        <v>4</v>
      </c>
    </row>
    <row r="49" customFormat="false" ht="15" hidden="false" customHeight="false" outlineLevel="0" collapsed="false">
      <c r="A49" s="8" t="s">
        <v>652</v>
      </c>
      <c r="B49" s="12" t="str">
        <f aca="false">INDEX('Control Library'!$B$5:$B$47,MATCH(A49,'Control Library'!$A$5:$A$47,0))</f>
        <v>Gifts, hospitality and donations register with pre-approval</v>
      </c>
      <c r="C49" s="33" t="s">
        <v>275</v>
      </c>
      <c r="D49" s="12" t="str">
        <f aca="false">INDEX('Risk Taxonomy'!$B$5:$B$24,MATCH(C49,'Risk Taxonomy'!$A$5:$A$24,0))</f>
        <v>Bribery and corruption</v>
      </c>
      <c r="E49" s="24" t="n">
        <v>2</v>
      </c>
      <c r="F49" s="7" t="str">
        <f aca="false">INDEX('Control Library'!$F$5:$F$47,MATCH(A49,'Control Library'!$A$5:$A$47,0))</f>
        <v>N</v>
      </c>
      <c r="G49" s="53" t="n">
        <f aca="false">IFERROR(INDEX('Control Effectiveness'!$D$5:$D$47,MATCH($A49,'Control Effectiveness'!$A$5:$A$47,0)),0)</f>
        <v>2</v>
      </c>
      <c r="H49" s="53" t="n">
        <f aca="false">IFERROR(INDEX('Control Effectiveness'!$E$5:$E$47,MATCH($A49,'Control Effectiveness'!$A$5:$A$47,0)),0)</f>
        <v>4</v>
      </c>
      <c r="I49" s="53" t="n">
        <f aca="false">IFERROR(INDEX('Control Effectiveness'!$F$5:$F$47,MATCH($A49,'Control Effectiveness'!$A$5:$A$47,0)),0)</f>
        <v>2</v>
      </c>
      <c r="J49" s="53" t="n">
        <f aca="false">IFERROR(INDEX('Control Effectiveness'!$G$5:$G$47,MATCH($A49,'Control Effectiveness'!$A$5:$A$47,0)),0)</f>
        <v>3</v>
      </c>
      <c r="K49" s="53" t="n">
        <f aca="false">IFERROR(INDEX('Control Effectiveness'!$H$5:$H$47,MATCH($A49,'Control Effectiveness'!$A$5:$A$47,0)),0)</f>
        <v>2</v>
      </c>
      <c r="L49" s="53" t="n">
        <f aca="false">IFERROR(INDEX('Control Effectiveness'!$I$5:$I$47,MATCH($A49,'Control Effectiveness'!$A$5:$A$47,0)),0)</f>
        <v>4</v>
      </c>
      <c r="M49" s="53" t="n">
        <f aca="false">IFERROR(INDEX('Control Effectiveness'!$J$5:$J$47,MATCH($A49,'Control Effectiveness'!$A$5:$A$47,0)),0)</f>
        <v>4</v>
      </c>
      <c r="N49" s="53" t="n">
        <f aca="false">IFERROR(INDEX('Control Effectiveness'!$K$5:$K$47,MATCH($A49,'Control Effectiveness'!$A$5:$A$47,0)),0)</f>
        <v>2</v>
      </c>
      <c r="O49" s="53" t="n">
        <f aca="false">IFERROR(INDEX('Control Effectiveness'!$L$5:$L$47,MATCH($A49,'Control Effectiveness'!$A$5:$A$47,0)),0)</f>
        <v>2</v>
      </c>
      <c r="P49" s="53" t="n">
        <f aca="false">IFERROR(INDEX('Control Effectiveness'!$M$5:$M$47,MATCH($A49,'Control Effectiveness'!$A$5:$A$47,0)),0)</f>
        <v>2</v>
      </c>
      <c r="Q49" s="53" t="n">
        <f aca="false">IFERROR(INDEX('Control Effectiveness'!$N$5:$N$47,MATCH($A49,'Control Effectiveness'!$A$5:$A$47,0)),0)</f>
        <v>1</v>
      </c>
      <c r="R49" s="53" t="n">
        <f aca="false">IFERROR(INDEX('Control Effectiveness'!$O$5:$O$47,MATCH($A49,'Control Effectiveness'!$A$5:$A$47,0)),0)</f>
        <v>1</v>
      </c>
      <c r="S49" s="53" t="n">
        <f aca="false">IFERROR(INDEX('Control Effectiveness'!$P$5:$P$47,MATCH($A49,'Control Effectiveness'!$A$5:$A$47,0)),0)</f>
        <v>2</v>
      </c>
      <c r="T49" s="53" t="n">
        <f aca="false">IFERROR(INDEX('Control Effectiveness'!$Q$5:$Q$47,MATCH($A49,'Control Effectiveness'!$A$5:$A$47,0)),0)</f>
        <v>1</v>
      </c>
      <c r="U49" s="53" t="n">
        <f aca="false">IFERROR(INDEX('Control Effectiveness'!$R$5:$R$47,MATCH($A49,'Control Effectiveness'!$A$5:$A$47,0)),0)</f>
        <v>1</v>
      </c>
      <c r="V49" s="53" t="n">
        <f aca="false">IFERROR(INDEX('Control Effectiveness'!$S$5:$S$47,MATCH($A49,'Control Effectiveness'!$A$5:$A$47,0)),0)</f>
        <v>2</v>
      </c>
      <c r="W49" s="53" t="n">
        <f aca="false">IFERROR(INDEX('Control Effectiveness'!$T$5:$T$47,MATCH($A49,'Control Effectiveness'!$A$5:$A$47,0)),0)</f>
        <v>1</v>
      </c>
      <c r="X49" s="53" t="n">
        <f aca="false">IFERROR(INDEX('Control Effectiveness'!$U$5:$U$47,MATCH($A49,'Control Effectiveness'!$A$5:$A$47,0)),0)</f>
        <v>2</v>
      </c>
      <c r="Y49" s="53" t="n">
        <f aca="false">IFERROR(INDEX('Control Effectiveness'!$V$5:$V$47,MATCH($A49,'Control Effectiveness'!$A$5:$A$47,0)),0)</f>
        <v>2</v>
      </c>
      <c r="Z49" s="53" t="n">
        <f aca="false">IFERROR(INDEX('Control Effectiveness'!$W$5:$W$47,MATCH($A49,'Control Effectiveness'!$A$5:$A$47,0)),0)</f>
        <v>2</v>
      </c>
      <c r="AA49" s="53" t="n">
        <f aca="false">IFERROR(INDEX('Control Effectiveness'!$X$5:$X$47,MATCH($A49,'Control Effectiveness'!$A$5:$A$47,0)),0)</f>
        <v>4</v>
      </c>
      <c r="AB49" s="53" t="n">
        <f aca="false">IFERROR(INDEX('Control Effectiveness'!$Y$5:$Y$47,MATCH($A49,'Control Effectiveness'!$A$5:$A$47,0)),0)</f>
        <v>2</v>
      </c>
      <c r="AC49" s="53" t="n">
        <f aca="false">IFERROR(INDEX('Control Effectiveness'!$Z$5:$Z$47,MATCH($A49,'Control Effectiveness'!$A$5:$A$47,0)),0)</f>
        <v>4</v>
      </c>
      <c r="AD49" s="53" t="n">
        <f aca="false">IFERROR(INDEX('Control Effectiveness'!$AA$5:$AA$47,MATCH($A49,'Control Effectiveness'!$A$5:$A$47,0)),0)</f>
        <v>2</v>
      </c>
      <c r="AE49" s="53" t="n">
        <f aca="false">IFERROR(INDEX('Control Effectiveness'!$AB$5:$AB$47,MATCH($A49,'Control Effectiveness'!$A$5:$A$47,0)),0)</f>
        <v>2</v>
      </c>
      <c r="AF49" s="53" t="n">
        <f aca="false">IFERROR(INDEX('Control Effectiveness'!$AC$5:$AC$47,MATCH($A49,'Control Effectiveness'!$A$5:$A$47,0)),0)</f>
        <v>1</v>
      </c>
      <c r="AG49" s="53" t="n">
        <f aca="false">IFERROR(INDEX('Control Effectiveness'!$AD$5:$AD$47,MATCH($A49,'Control Effectiveness'!$A$5:$A$47,0)),0)</f>
        <v>1</v>
      </c>
      <c r="AH49" s="53" t="n">
        <f aca="false">IFERROR(INDEX('Control Effectiveness'!$AE$5:$AE$47,MATCH($A49,'Control Effectiveness'!$A$5:$A$47,0)),0)</f>
        <v>2</v>
      </c>
      <c r="AI49" s="53" t="n">
        <f aca="false">IFERROR(INDEX('Control Effectiveness'!$AF$5:$AF$47,MATCH($A49,'Control Effectiveness'!$A$5:$A$47,0)),0)</f>
        <v>1</v>
      </c>
      <c r="AJ49" s="53" t="n">
        <f aca="false">IFERROR(INDEX('Control Effectiveness'!$AG$5:$AG$47,MATCH($A49,'Control Effectiveness'!$A$5:$A$47,0)),0)</f>
        <v>4</v>
      </c>
    </row>
    <row r="50" customFormat="false" ht="15" hidden="false" customHeight="false" outlineLevel="0" collapsed="false">
      <c r="A50" s="8" t="s">
        <v>654</v>
      </c>
      <c r="B50" s="12" t="str">
        <f aca="false">INDEX('Control Library'!$B$5:$B$47,MATCH(A50,'Control Library'!$A$5:$A$47,0))</f>
        <v>Real-time fraud monitoring for cards and digital channels</v>
      </c>
      <c r="C50" s="33" t="s">
        <v>278</v>
      </c>
      <c r="D50" s="12" t="str">
        <f aca="false">INDEX('Risk Taxonomy'!$B$5:$B$24,MATCH(C50,'Risk Taxonomy'!$A$5:$A$24,0))</f>
        <v>Fraud</v>
      </c>
      <c r="E50" s="24" t="n">
        <v>3</v>
      </c>
      <c r="F50" s="7" t="str">
        <f aca="false">INDEX('Control Library'!$F$5:$F$47,MATCH(A50,'Control Library'!$A$5:$A$47,0))</f>
        <v>Y</v>
      </c>
      <c r="G50" s="53" t="n">
        <f aca="false">IFERROR(INDEX('Control Effectiveness'!$D$5:$D$47,MATCH($A50,'Control Effectiveness'!$A$5:$A$47,0)),0)</f>
        <v>2</v>
      </c>
      <c r="H50" s="53" t="n">
        <f aca="false">IFERROR(INDEX('Control Effectiveness'!$E$5:$E$47,MATCH($A50,'Control Effectiveness'!$A$5:$A$47,0)),0)</f>
        <v>2</v>
      </c>
      <c r="I50" s="53" t="n">
        <f aca="false">IFERROR(INDEX('Control Effectiveness'!$F$5:$F$47,MATCH($A50,'Control Effectiveness'!$A$5:$A$47,0)),0)</f>
        <v>0</v>
      </c>
      <c r="J50" s="53" t="n">
        <f aca="false">IFERROR(INDEX('Control Effectiveness'!$G$5:$G$47,MATCH($A50,'Control Effectiveness'!$A$5:$A$47,0)),0)</f>
        <v>0</v>
      </c>
      <c r="K50" s="53" t="n">
        <f aca="false">IFERROR(INDEX('Control Effectiveness'!$H$5:$H$47,MATCH($A50,'Control Effectiveness'!$A$5:$A$47,0)),0)</f>
        <v>0</v>
      </c>
      <c r="L50" s="53" t="n">
        <f aca="false">IFERROR(INDEX('Control Effectiveness'!$I$5:$I$47,MATCH($A50,'Control Effectiveness'!$A$5:$A$47,0)),0)</f>
        <v>2</v>
      </c>
      <c r="M50" s="53" t="n">
        <f aca="false">IFERROR(INDEX('Control Effectiveness'!$J$5:$J$47,MATCH($A50,'Control Effectiveness'!$A$5:$A$47,0)),0)</f>
        <v>0</v>
      </c>
      <c r="N50" s="53" t="n">
        <f aca="false">IFERROR(INDEX('Control Effectiveness'!$K$5:$K$47,MATCH($A50,'Control Effectiveness'!$A$5:$A$47,0)),0)</f>
        <v>1</v>
      </c>
      <c r="O50" s="53" t="n">
        <f aca="false">IFERROR(INDEX('Control Effectiveness'!$L$5:$L$47,MATCH($A50,'Control Effectiveness'!$A$5:$A$47,0)),0)</f>
        <v>3</v>
      </c>
      <c r="P50" s="53" t="n">
        <f aca="false">IFERROR(INDEX('Control Effectiveness'!$M$5:$M$47,MATCH($A50,'Control Effectiveness'!$A$5:$A$47,0)),0)</f>
        <v>2</v>
      </c>
      <c r="Q50" s="53" t="n">
        <f aca="false">IFERROR(INDEX('Control Effectiveness'!$N$5:$N$47,MATCH($A50,'Control Effectiveness'!$A$5:$A$47,0)),0)</f>
        <v>4</v>
      </c>
      <c r="R50" s="53" t="n">
        <f aca="false">IFERROR(INDEX('Control Effectiveness'!$O$5:$O$47,MATCH($A50,'Control Effectiveness'!$A$5:$A$47,0)),0)</f>
        <v>2</v>
      </c>
      <c r="S50" s="53" t="n">
        <f aca="false">IFERROR(INDEX('Control Effectiveness'!$P$5:$P$47,MATCH($A50,'Control Effectiveness'!$A$5:$A$47,0)),0)</f>
        <v>4</v>
      </c>
      <c r="T50" s="53" t="n">
        <f aca="false">IFERROR(INDEX('Control Effectiveness'!$Q$5:$Q$47,MATCH($A50,'Control Effectiveness'!$A$5:$A$47,0)),0)</f>
        <v>2</v>
      </c>
      <c r="U50" s="53" t="n">
        <f aca="false">IFERROR(INDEX('Control Effectiveness'!$R$5:$R$47,MATCH($A50,'Control Effectiveness'!$A$5:$A$47,0)),0)</f>
        <v>2</v>
      </c>
      <c r="V50" s="53" t="n">
        <f aca="false">IFERROR(INDEX('Control Effectiveness'!$S$5:$S$47,MATCH($A50,'Control Effectiveness'!$A$5:$A$47,0)),0)</f>
        <v>3</v>
      </c>
      <c r="W50" s="53" t="n">
        <f aca="false">IFERROR(INDEX('Control Effectiveness'!$T$5:$T$47,MATCH($A50,'Control Effectiveness'!$A$5:$A$47,0)),0)</f>
        <v>3</v>
      </c>
      <c r="X50" s="53" t="n">
        <f aca="false">IFERROR(INDEX('Control Effectiveness'!$U$5:$U$47,MATCH($A50,'Control Effectiveness'!$A$5:$A$47,0)),0)</f>
        <v>1</v>
      </c>
      <c r="Y50" s="53" t="n">
        <f aca="false">IFERROR(INDEX('Control Effectiveness'!$V$5:$V$47,MATCH($A50,'Control Effectiveness'!$A$5:$A$47,0)),0)</f>
        <v>1</v>
      </c>
      <c r="Z50" s="53" t="n">
        <f aca="false">IFERROR(INDEX('Control Effectiveness'!$W$5:$W$47,MATCH($A50,'Control Effectiveness'!$A$5:$A$47,0)),0)</f>
        <v>2</v>
      </c>
      <c r="AA50" s="53" t="n">
        <f aca="false">IFERROR(INDEX('Control Effectiveness'!$X$5:$X$47,MATCH($A50,'Control Effectiveness'!$A$5:$A$47,0)),0)</f>
        <v>2</v>
      </c>
      <c r="AB50" s="53" t="n">
        <f aca="false">IFERROR(INDEX('Control Effectiveness'!$Y$5:$Y$47,MATCH($A50,'Control Effectiveness'!$A$5:$A$47,0)),0)</f>
        <v>1</v>
      </c>
      <c r="AC50" s="53" t="n">
        <f aca="false">IFERROR(INDEX('Control Effectiveness'!$Z$5:$Z$47,MATCH($A50,'Control Effectiveness'!$A$5:$A$47,0)),0)</f>
        <v>1</v>
      </c>
      <c r="AD50" s="53" t="n">
        <f aca="false">IFERROR(INDEX('Control Effectiveness'!$AA$5:$AA$47,MATCH($A50,'Control Effectiveness'!$A$5:$A$47,0)),0)</f>
        <v>2</v>
      </c>
      <c r="AE50" s="53" t="n">
        <f aca="false">IFERROR(INDEX('Control Effectiveness'!$AB$5:$AB$47,MATCH($A50,'Control Effectiveness'!$A$5:$A$47,0)),0)</f>
        <v>1</v>
      </c>
      <c r="AF50" s="53" t="n">
        <f aca="false">IFERROR(INDEX('Control Effectiveness'!$AC$5:$AC$47,MATCH($A50,'Control Effectiveness'!$A$5:$A$47,0)),0)</f>
        <v>1</v>
      </c>
      <c r="AG50" s="53" t="n">
        <f aca="false">IFERROR(INDEX('Control Effectiveness'!$AD$5:$AD$47,MATCH($A50,'Control Effectiveness'!$A$5:$A$47,0)),0)</f>
        <v>1</v>
      </c>
      <c r="AH50" s="53" t="n">
        <f aca="false">IFERROR(INDEX('Control Effectiveness'!$AE$5:$AE$47,MATCH($A50,'Control Effectiveness'!$A$5:$A$47,0)),0)</f>
        <v>2</v>
      </c>
      <c r="AI50" s="53" t="n">
        <f aca="false">IFERROR(INDEX('Control Effectiveness'!$AF$5:$AF$47,MATCH($A50,'Control Effectiveness'!$A$5:$A$47,0)),0)</f>
        <v>2</v>
      </c>
      <c r="AJ50" s="53" t="n">
        <f aca="false">IFERROR(INDEX('Control Effectiveness'!$AG$5:$AG$47,MATCH($A50,'Control Effectiveness'!$A$5:$A$47,0)),0)</f>
        <v>2</v>
      </c>
    </row>
    <row r="51" customFormat="false" ht="15" hidden="false" customHeight="false" outlineLevel="0" collapsed="false">
      <c r="A51" s="8" t="s">
        <v>656</v>
      </c>
      <c r="B51" s="12" t="str">
        <f aca="false">INDEX('Control Library'!$B$5:$B$47,MATCH(A51,'Control Library'!$A$5:$A$47,0))</f>
        <v>Maker-checker and dual control on payments and static data</v>
      </c>
      <c r="C51" s="33" t="s">
        <v>278</v>
      </c>
      <c r="D51" s="12" t="str">
        <f aca="false">INDEX('Risk Taxonomy'!$B$5:$B$24,MATCH(C51,'Risk Taxonomy'!$A$5:$A$24,0))</f>
        <v>Fraud</v>
      </c>
      <c r="E51" s="24" t="n">
        <v>2</v>
      </c>
      <c r="F51" s="7" t="str">
        <f aca="false">INDEX('Control Library'!$F$5:$F$47,MATCH(A51,'Control Library'!$A$5:$A$47,0))</f>
        <v>Y</v>
      </c>
      <c r="G51" s="53" t="n">
        <f aca="false">IFERROR(INDEX('Control Effectiveness'!$D$5:$D$47,MATCH($A51,'Control Effectiveness'!$A$5:$A$47,0)),0)</f>
        <v>1</v>
      </c>
      <c r="H51" s="53" t="n">
        <f aca="false">IFERROR(INDEX('Control Effectiveness'!$E$5:$E$47,MATCH($A51,'Control Effectiveness'!$A$5:$A$47,0)),0)</f>
        <v>2</v>
      </c>
      <c r="I51" s="53" t="n">
        <f aca="false">IFERROR(INDEX('Control Effectiveness'!$F$5:$F$47,MATCH($A51,'Control Effectiveness'!$A$5:$A$47,0)),0)</f>
        <v>2</v>
      </c>
      <c r="J51" s="53" t="n">
        <f aca="false">IFERROR(INDEX('Control Effectiveness'!$G$5:$G$47,MATCH($A51,'Control Effectiveness'!$A$5:$A$47,0)),0)</f>
        <v>2</v>
      </c>
      <c r="K51" s="53" t="n">
        <f aca="false">IFERROR(INDEX('Control Effectiveness'!$H$5:$H$47,MATCH($A51,'Control Effectiveness'!$A$5:$A$47,0)),0)</f>
        <v>1</v>
      </c>
      <c r="L51" s="53" t="n">
        <f aca="false">IFERROR(INDEX('Control Effectiveness'!$I$5:$I$47,MATCH($A51,'Control Effectiveness'!$A$5:$A$47,0)),0)</f>
        <v>2</v>
      </c>
      <c r="M51" s="53" t="n">
        <f aca="false">IFERROR(INDEX('Control Effectiveness'!$J$5:$J$47,MATCH($A51,'Control Effectiveness'!$A$5:$A$47,0)),0)</f>
        <v>2</v>
      </c>
      <c r="N51" s="53" t="n">
        <f aca="false">IFERROR(INDEX('Control Effectiveness'!$K$5:$K$47,MATCH($A51,'Control Effectiveness'!$A$5:$A$47,0)),0)</f>
        <v>2</v>
      </c>
      <c r="O51" s="53" t="n">
        <f aca="false">IFERROR(INDEX('Control Effectiveness'!$L$5:$L$47,MATCH($A51,'Control Effectiveness'!$A$5:$A$47,0)),0)</f>
        <v>2</v>
      </c>
      <c r="P51" s="53" t="n">
        <f aca="false">IFERROR(INDEX('Control Effectiveness'!$M$5:$M$47,MATCH($A51,'Control Effectiveness'!$A$5:$A$47,0)),0)</f>
        <v>2</v>
      </c>
      <c r="Q51" s="53" t="n">
        <f aca="false">IFERROR(INDEX('Control Effectiveness'!$N$5:$N$47,MATCH($A51,'Control Effectiveness'!$A$5:$A$47,0)),0)</f>
        <v>1</v>
      </c>
      <c r="R51" s="53" t="n">
        <f aca="false">IFERROR(INDEX('Control Effectiveness'!$O$5:$O$47,MATCH($A51,'Control Effectiveness'!$A$5:$A$47,0)),0)</f>
        <v>2</v>
      </c>
      <c r="S51" s="53" t="n">
        <f aca="false">IFERROR(INDEX('Control Effectiveness'!$P$5:$P$47,MATCH($A51,'Control Effectiveness'!$A$5:$A$47,0)),0)</f>
        <v>2</v>
      </c>
      <c r="T51" s="53" t="n">
        <f aca="false">IFERROR(INDEX('Control Effectiveness'!$Q$5:$Q$47,MATCH($A51,'Control Effectiveness'!$A$5:$A$47,0)),0)</f>
        <v>4</v>
      </c>
      <c r="U51" s="53" t="n">
        <f aca="false">IFERROR(INDEX('Control Effectiveness'!$R$5:$R$47,MATCH($A51,'Control Effectiveness'!$A$5:$A$47,0)),0)</f>
        <v>4</v>
      </c>
      <c r="V51" s="53" t="n">
        <f aca="false">IFERROR(INDEX('Control Effectiveness'!$S$5:$S$47,MATCH($A51,'Control Effectiveness'!$A$5:$A$47,0)),0)</f>
        <v>2</v>
      </c>
      <c r="W51" s="53" t="n">
        <f aca="false">IFERROR(INDEX('Control Effectiveness'!$T$5:$T$47,MATCH($A51,'Control Effectiveness'!$A$5:$A$47,0)),0)</f>
        <v>4</v>
      </c>
      <c r="X51" s="53" t="n">
        <f aca="false">IFERROR(INDEX('Control Effectiveness'!$U$5:$U$47,MATCH($A51,'Control Effectiveness'!$A$5:$A$47,0)),0)</f>
        <v>4</v>
      </c>
      <c r="Y51" s="53" t="n">
        <f aca="false">IFERROR(INDEX('Control Effectiveness'!$V$5:$V$47,MATCH($A51,'Control Effectiveness'!$A$5:$A$47,0)),0)</f>
        <v>1</v>
      </c>
      <c r="Z51" s="53" t="n">
        <f aca="false">IFERROR(INDEX('Control Effectiveness'!$W$5:$W$47,MATCH($A51,'Control Effectiveness'!$A$5:$A$47,0)),0)</f>
        <v>1</v>
      </c>
      <c r="AA51" s="53" t="n">
        <f aca="false">IFERROR(INDEX('Control Effectiveness'!$X$5:$X$47,MATCH($A51,'Control Effectiveness'!$A$5:$A$47,0)),0)</f>
        <v>4</v>
      </c>
      <c r="AB51" s="53" t="n">
        <f aca="false">IFERROR(INDEX('Control Effectiveness'!$Y$5:$Y$47,MATCH($A51,'Control Effectiveness'!$A$5:$A$47,0)),0)</f>
        <v>1</v>
      </c>
      <c r="AC51" s="53" t="n">
        <f aca="false">IFERROR(INDEX('Control Effectiveness'!$Z$5:$Z$47,MATCH($A51,'Control Effectiveness'!$A$5:$A$47,0)),0)</f>
        <v>1</v>
      </c>
      <c r="AD51" s="53" t="n">
        <f aca="false">IFERROR(INDEX('Control Effectiveness'!$AA$5:$AA$47,MATCH($A51,'Control Effectiveness'!$A$5:$A$47,0)),0)</f>
        <v>2</v>
      </c>
      <c r="AE51" s="53" t="n">
        <f aca="false">IFERROR(INDEX('Control Effectiveness'!$AB$5:$AB$47,MATCH($A51,'Control Effectiveness'!$A$5:$A$47,0)),0)</f>
        <v>1</v>
      </c>
      <c r="AF51" s="53" t="n">
        <f aca="false">IFERROR(INDEX('Control Effectiveness'!$AC$5:$AC$47,MATCH($A51,'Control Effectiveness'!$A$5:$A$47,0)),0)</f>
        <v>2</v>
      </c>
      <c r="AG51" s="53" t="n">
        <f aca="false">IFERROR(INDEX('Control Effectiveness'!$AD$5:$AD$47,MATCH($A51,'Control Effectiveness'!$A$5:$A$47,0)),0)</f>
        <v>2</v>
      </c>
      <c r="AH51" s="53" t="n">
        <f aca="false">IFERROR(INDEX('Control Effectiveness'!$AE$5:$AE$47,MATCH($A51,'Control Effectiveness'!$A$5:$A$47,0)),0)</f>
        <v>1</v>
      </c>
      <c r="AI51" s="53" t="n">
        <f aca="false">IFERROR(INDEX('Control Effectiveness'!$AF$5:$AF$47,MATCH($A51,'Control Effectiveness'!$A$5:$A$47,0)),0)</f>
        <v>1</v>
      </c>
      <c r="AJ51" s="53" t="n">
        <f aca="false">IFERROR(INDEX('Control Effectiveness'!$AG$5:$AG$47,MATCH($A51,'Control Effectiveness'!$A$5:$A$47,0)),0)</f>
        <v>4</v>
      </c>
    </row>
    <row r="52" customFormat="false" ht="15" hidden="false" customHeight="false" outlineLevel="0" collapsed="false">
      <c r="A52" s="8" t="s">
        <v>656</v>
      </c>
      <c r="B52" s="12" t="str">
        <f aca="false">INDEX('Control Library'!$B$5:$B$47,MATCH(A52,'Control Library'!$A$5:$A$47,0))</f>
        <v>Maker-checker and dual control on payments and static data</v>
      </c>
      <c r="C52" s="33" t="s">
        <v>307</v>
      </c>
      <c r="D52" s="12" t="str">
        <f aca="false">INDEX('Risk Taxonomy'!$B$5:$B$24,MATCH(C52,'Risk Taxonomy'!$A$5:$A$24,0))</f>
        <v>Operational risk</v>
      </c>
      <c r="E52" s="24" t="n">
        <v>2</v>
      </c>
      <c r="F52" s="7" t="str">
        <f aca="false">INDEX('Control Library'!$F$5:$F$47,MATCH(A52,'Control Library'!$A$5:$A$47,0))</f>
        <v>Y</v>
      </c>
      <c r="G52" s="53" t="n">
        <f aca="false">IFERROR(INDEX('Control Effectiveness'!$D$5:$D$47,MATCH($A52,'Control Effectiveness'!$A$5:$A$47,0)),0)</f>
        <v>1</v>
      </c>
      <c r="H52" s="53" t="n">
        <f aca="false">IFERROR(INDEX('Control Effectiveness'!$E$5:$E$47,MATCH($A52,'Control Effectiveness'!$A$5:$A$47,0)),0)</f>
        <v>2</v>
      </c>
      <c r="I52" s="53" t="n">
        <f aca="false">IFERROR(INDEX('Control Effectiveness'!$F$5:$F$47,MATCH($A52,'Control Effectiveness'!$A$5:$A$47,0)),0)</f>
        <v>2</v>
      </c>
      <c r="J52" s="53" t="n">
        <f aca="false">IFERROR(INDEX('Control Effectiveness'!$G$5:$G$47,MATCH($A52,'Control Effectiveness'!$A$5:$A$47,0)),0)</f>
        <v>2</v>
      </c>
      <c r="K52" s="53" t="n">
        <f aca="false">IFERROR(INDEX('Control Effectiveness'!$H$5:$H$47,MATCH($A52,'Control Effectiveness'!$A$5:$A$47,0)),0)</f>
        <v>1</v>
      </c>
      <c r="L52" s="53" t="n">
        <f aca="false">IFERROR(INDEX('Control Effectiveness'!$I$5:$I$47,MATCH($A52,'Control Effectiveness'!$A$5:$A$47,0)),0)</f>
        <v>2</v>
      </c>
      <c r="M52" s="53" t="n">
        <f aca="false">IFERROR(INDEX('Control Effectiveness'!$J$5:$J$47,MATCH($A52,'Control Effectiveness'!$A$5:$A$47,0)),0)</f>
        <v>2</v>
      </c>
      <c r="N52" s="53" t="n">
        <f aca="false">IFERROR(INDEX('Control Effectiveness'!$K$5:$K$47,MATCH($A52,'Control Effectiveness'!$A$5:$A$47,0)),0)</f>
        <v>2</v>
      </c>
      <c r="O52" s="53" t="n">
        <f aca="false">IFERROR(INDEX('Control Effectiveness'!$L$5:$L$47,MATCH($A52,'Control Effectiveness'!$A$5:$A$47,0)),0)</f>
        <v>2</v>
      </c>
      <c r="P52" s="53" t="n">
        <f aca="false">IFERROR(INDEX('Control Effectiveness'!$M$5:$M$47,MATCH($A52,'Control Effectiveness'!$A$5:$A$47,0)),0)</f>
        <v>2</v>
      </c>
      <c r="Q52" s="53" t="n">
        <f aca="false">IFERROR(INDEX('Control Effectiveness'!$N$5:$N$47,MATCH($A52,'Control Effectiveness'!$A$5:$A$47,0)),0)</f>
        <v>1</v>
      </c>
      <c r="R52" s="53" t="n">
        <f aca="false">IFERROR(INDEX('Control Effectiveness'!$O$5:$O$47,MATCH($A52,'Control Effectiveness'!$A$5:$A$47,0)),0)</f>
        <v>2</v>
      </c>
      <c r="S52" s="53" t="n">
        <f aca="false">IFERROR(INDEX('Control Effectiveness'!$P$5:$P$47,MATCH($A52,'Control Effectiveness'!$A$5:$A$47,0)),0)</f>
        <v>2</v>
      </c>
      <c r="T52" s="53" t="n">
        <f aca="false">IFERROR(INDEX('Control Effectiveness'!$Q$5:$Q$47,MATCH($A52,'Control Effectiveness'!$A$5:$A$47,0)),0)</f>
        <v>4</v>
      </c>
      <c r="U52" s="53" t="n">
        <f aca="false">IFERROR(INDEX('Control Effectiveness'!$R$5:$R$47,MATCH($A52,'Control Effectiveness'!$A$5:$A$47,0)),0)</f>
        <v>4</v>
      </c>
      <c r="V52" s="53" t="n">
        <f aca="false">IFERROR(INDEX('Control Effectiveness'!$S$5:$S$47,MATCH($A52,'Control Effectiveness'!$A$5:$A$47,0)),0)</f>
        <v>2</v>
      </c>
      <c r="W52" s="53" t="n">
        <f aca="false">IFERROR(INDEX('Control Effectiveness'!$T$5:$T$47,MATCH($A52,'Control Effectiveness'!$A$5:$A$47,0)),0)</f>
        <v>4</v>
      </c>
      <c r="X52" s="53" t="n">
        <f aca="false">IFERROR(INDEX('Control Effectiveness'!$U$5:$U$47,MATCH($A52,'Control Effectiveness'!$A$5:$A$47,0)),0)</f>
        <v>4</v>
      </c>
      <c r="Y52" s="53" t="n">
        <f aca="false">IFERROR(INDEX('Control Effectiveness'!$V$5:$V$47,MATCH($A52,'Control Effectiveness'!$A$5:$A$47,0)),0)</f>
        <v>1</v>
      </c>
      <c r="Z52" s="53" t="n">
        <f aca="false">IFERROR(INDEX('Control Effectiveness'!$W$5:$W$47,MATCH($A52,'Control Effectiveness'!$A$5:$A$47,0)),0)</f>
        <v>1</v>
      </c>
      <c r="AA52" s="53" t="n">
        <f aca="false">IFERROR(INDEX('Control Effectiveness'!$X$5:$X$47,MATCH($A52,'Control Effectiveness'!$A$5:$A$47,0)),0)</f>
        <v>4</v>
      </c>
      <c r="AB52" s="53" t="n">
        <f aca="false">IFERROR(INDEX('Control Effectiveness'!$Y$5:$Y$47,MATCH($A52,'Control Effectiveness'!$A$5:$A$47,0)),0)</f>
        <v>1</v>
      </c>
      <c r="AC52" s="53" t="n">
        <f aca="false">IFERROR(INDEX('Control Effectiveness'!$Z$5:$Z$47,MATCH($A52,'Control Effectiveness'!$A$5:$A$47,0)),0)</f>
        <v>1</v>
      </c>
      <c r="AD52" s="53" t="n">
        <f aca="false">IFERROR(INDEX('Control Effectiveness'!$AA$5:$AA$47,MATCH($A52,'Control Effectiveness'!$A$5:$A$47,0)),0)</f>
        <v>2</v>
      </c>
      <c r="AE52" s="53" t="n">
        <f aca="false">IFERROR(INDEX('Control Effectiveness'!$AB$5:$AB$47,MATCH($A52,'Control Effectiveness'!$A$5:$A$47,0)),0)</f>
        <v>1</v>
      </c>
      <c r="AF52" s="53" t="n">
        <f aca="false">IFERROR(INDEX('Control Effectiveness'!$AC$5:$AC$47,MATCH($A52,'Control Effectiveness'!$A$5:$A$47,0)),0)</f>
        <v>2</v>
      </c>
      <c r="AG52" s="53" t="n">
        <f aca="false">IFERROR(INDEX('Control Effectiveness'!$AD$5:$AD$47,MATCH($A52,'Control Effectiveness'!$A$5:$A$47,0)),0)</f>
        <v>2</v>
      </c>
      <c r="AH52" s="53" t="n">
        <f aca="false">IFERROR(INDEX('Control Effectiveness'!$AE$5:$AE$47,MATCH($A52,'Control Effectiveness'!$A$5:$A$47,0)),0)</f>
        <v>1</v>
      </c>
      <c r="AI52" s="53" t="n">
        <f aca="false">IFERROR(INDEX('Control Effectiveness'!$AF$5:$AF$47,MATCH($A52,'Control Effectiveness'!$A$5:$A$47,0)),0)</f>
        <v>1</v>
      </c>
      <c r="AJ52" s="53" t="n">
        <f aca="false">IFERROR(INDEX('Control Effectiveness'!$AG$5:$AG$47,MATCH($A52,'Control Effectiveness'!$A$5:$A$47,0)),0)</f>
        <v>4</v>
      </c>
    </row>
    <row r="53" customFormat="false" ht="15" hidden="false" customHeight="false" outlineLevel="0" collapsed="false">
      <c r="A53" s="8" t="s">
        <v>659</v>
      </c>
      <c r="B53" s="12" t="str">
        <f aca="false">INDEX('Control Library'!$B$5:$B$47,MATCH(A53,'Control Library'!$A$5:$A$47,0))</f>
        <v>Mandatory consecutive leave and rotation for sensitive roles</v>
      </c>
      <c r="C53" s="33" t="s">
        <v>278</v>
      </c>
      <c r="D53" s="12" t="str">
        <f aca="false">INDEX('Risk Taxonomy'!$B$5:$B$24,MATCH(C53,'Risk Taxonomy'!$A$5:$A$24,0))</f>
        <v>Fraud</v>
      </c>
      <c r="E53" s="24" t="n">
        <v>1</v>
      </c>
      <c r="F53" s="7" t="str">
        <f aca="false">INDEX('Control Library'!$F$5:$F$47,MATCH(A53,'Control Library'!$A$5:$A$47,0))</f>
        <v>N</v>
      </c>
      <c r="G53" s="53" t="n">
        <f aca="false">IFERROR(INDEX('Control Effectiveness'!$D$5:$D$47,MATCH($A53,'Control Effectiveness'!$A$5:$A$47,0)),0)</f>
        <v>2</v>
      </c>
      <c r="H53" s="53" t="n">
        <f aca="false">IFERROR(INDEX('Control Effectiveness'!$E$5:$E$47,MATCH($A53,'Control Effectiveness'!$A$5:$A$47,0)),0)</f>
        <v>2</v>
      </c>
      <c r="I53" s="53" t="n">
        <f aca="false">IFERROR(INDEX('Control Effectiveness'!$F$5:$F$47,MATCH($A53,'Control Effectiveness'!$A$5:$A$47,0)),0)</f>
        <v>2</v>
      </c>
      <c r="J53" s="53" t="n">
        <f aca="false">IFERROR(INDEX('Control Effectiveness'!$G$5:$G$47,MATCH($A53,'Control Effectiveness'!$A$5:$A$47,0)),0)</f>
        <v>3</v>
      </c>
      <c r="K53" s="53" t="n">
        <f aca="false">IFERROR(INDEX('Control Effectiveness'!$H$5:$H$47,MATCH($A53,'Control Effectiveness'!$A$5:$A$47,0)),0)</f>
        <v>2</v>
      </c>
      <c r="L53" s="53" t="n">
        <f aca="false">IFERROR(INDEX('Control Effectiveness'!$I$5:$I$47,MATCH($A53,'Control Effectiveness'!$A$5:$A$47,0)),0)</f>
        <v>2</v>
      </c>
      <c r="M53" s="53" t="n">
        <f aca="false">IFERROR(INDEX('Control Effectiveness'!$J$5:$J$47,MATCH($A53,'Control Effectiveness'!$A$5:$A$47,0)),0)</f>
        <v>3</v>
      </c>
      <c r="N53" s="53" t="n">
        <f aca="false">IFERROR(INDEX('Control Effectiveness'!$K$5:$K$47,MATCH($A53,'Control Effectiveness'!$A$5:$A$47,0)),0)</f>
        <v>2</v>
      </c>
      <c r="O53" s="53" t="n">
        <f aca="false">IFERROR(INDEX('Control Effectiveness'!$L$5:$L$47,MATCH($A53,'Control Effectiveness'!$A$5:$A$47,0)),0)</f>
        <v>3</v>
      </c>
      <c r="P53" s="53" t="n">
        <f aca="false">IFERROR(INDEX('Control Effectiveness'!$M$5:$M$47,MATCH($A53,'Control Effectiveness'!$A$5:$A$47,0)),0)</f>
        <v>2</v>
      </c>
      <c r="Q53" s="53" t="n">
        <f aca="false">IFERROR(INDEX('Control Effectiveness'!$N$5:$N$47,MATCH($A53,'Control Effectiveness'!$A$5:$A$47,0)),0)</f>
        <v>1</v>
      </c>
      <c r="R53" s="53" t="n">
        <f aca="false">IFERROR(INDEX('Control Effectiveness'!$O$5:$O$47,MATCH($A53,'Control Effectiveness'!$A$5:$A$47,0)),0)</f>
        <v>2</v>
      </c>
      <c r="S53" s="53" t="n">
        <f aca="false">IFERROR(INDEX('Control Effectiveness'!$P$5:$P$47,MATCH($A53,'Control Effectiveness'!$A$5:$A$47,0)),0)</f>
        <v>2</v>
      </c>
      <c r="T53" s="53" t="n">
        <f aca="false">IFERROR(INDEX('Control Effectiveness'!$Q$5:$Q$47,MATCH($A53,'Control Effectiveness'!$A$5:$A$47,0)),0)</f>
        <v>3</v>
      </c>
      <c r="U53" s="53" t="n">
        <f aca="false">IFERROR(INDEX('Control Effectiveness'!$R$5:$R$47,MATCH($A53,'Control Effectiveness'!$A$5:$A$47,0)),0)</f>
        <v>2</v>
      </c>
      <c r="V53" s="53" t="n">
        <f aca="false">IFERROR(INDEX('Control Effectiveness'!$S$5:$S$47,MATCH($A53,'Control Effectiveness'!$A$5:$A$47,0)),0)</f>
        <v>2</v>
      </c>
      <c r="W53" s="53" t="n">
        <f aca="false">IFERROR(INDEX('Control Effectiveness'!$T$5:$T$47,MATCH($A53,'Control Effectiveness'!$A$5:$A$47,0)),0)</f>
        <v>1</v>
      </c>
      <c r="X53" s="53" t="n">
        <f aca="false">IFERROR(INDEX('Control Effectiveness'!$U$5:$U$47,MATCH($A53,'Control Effectiveness'!$A$5:$A$47,0)),0)</f>
        <v>2</v>
      </c>
      <c r="Y53" s="53" t="n">
        <f aca="false">IFERROR(INDEX('Control Effectiveness'!$V$5:$V$47,MATCH($A53,'Control Effectiveness'!$A$5:$A$47,0)),0)</f>
        <v>3</v>
      </c>
      <c r="Z53" s="53" t="n">
        <f aca="false">IFERROR(INDEX('Control Effectiveness'!$W$5:$W$47,MATCH($A53,'Control Effectiveness'!$A$5:$A$47,0)),0)</f>
        <v>2</v>
      </c>
      <c r="AA53" s="53" t="n">
        <f aca="false">IFERROR(INDEX('Control Effectiveness'!$X$5:$X$47,MATCH($A53,'Control Effectiveness'!$A$5:$A$47,0)),0)</f>
        <v>2</v>
      </c>
      <c r="AB53" s="53" t="n">
        <f aca="false">IFERROR(INDEX('Control Effectiveness'!$Y$5:$Y$47,MATCH($A53,'Control Effectiveness'!$A$5:$A$47,0)),0)</f>
        <v>2</v>
      </c>
      <c r="AC53" s="53" t="n">
        <f aca="false">IFERROR(INDEX('Control Effectiveness'!$Z$5:$Z$47,MATCH($A53,'Control Effectiveness'!$A$5:$A$47,0)),0)</f>
        <v>2</v>
      </c>
      <c r="AD53" s="53" t="n">
        <f aca="false">IFERROR(INDEX('Control Effectiveness'!$AA$5:$AA$47,MATCH($A53,'Control Effectiveness'!$A$5:$A$47,0)),0)</f>
        <v>2</v>
      </c>
      <c r="AE53" s="53" t="n">
        <f aca="false">IFERROR(INDEX('Control Effectiveness'!$AB$5:$AB$47,MATCH($A53,'Control Effectiveness'!$A$5:$A$47,0)),0)</f>
        <v>1</v>
      </c>
      <c r="AF53" s="53" t="n">
        <f aca="false">IFERROR(INDEX('Control Effectiveness'!$AC$5:$AC$47,MATCH($A53,'Control Effectiveness'!$A$5:$A$47,0)),0)</f>
        <v>2</v>
      </c>
      <c r="AG53" s="53" t="n">
        <f aca="false">IFERROR(INDEX('Control Effectiveness'!$AD$5:$AD$47,MATCH($A53,'Control Effectiveness'!$A$5:$A$47,0)),0)</f>
        <v>1</v>
      </c>
      <c r="AH53" s="53" t="n">
        <f aca="false">IFERROR(INDEX('Control Effectiveness'!$AE$5:$AE$47,MATCH($A53,'Control Effectiveness'!$A$5:$A$47,0)),0)</f>
        <v>2</v>
      </c>
      <c r="AI53" s="53" t="n">
        <f aca="false">IFERROR(INDEX('Control Effectiveness'!$AF$5:$AF$47,MATCH($A53,'Control Effectiveness'!$A$5:$A$47,0)),0)</f>
        <v>2</v>
      </c>
      <c r="AJ53" s="53" t="n">
        <f aca="false">IFERROR(INDEX('Control Effectiveness'!$AG$5:$AG$47,MATCH($A53,'Control Effectiveness'!$A$5:$A$47,0)),0)</f>
        <v>1</v>
      </c>
    </row>
    <row r="54" customFormat="false" ht="15" hidden="false" customHeight="false" outlineLevel="0" collapsed="false">
      <c r="A54" s="8" t="s">
        <v>659</v>
      </c>
      <c r="B54" s="12" t="str">
        <f aca="false">INDEX('Control Library'!$B$5:$B$47,MATCH(A54,'Control Library'!$A$5:$A$47,0))</f>
        <v>Mandatory consecutive leave and rotation for sensitive roles</v>
      </c>
      <c r="C54" s="33" t="s">
        <v>275</v>
      </c>
      <c r="D54" s="12" t="str">
        <f aca="false">INDEX('Risk Taxonomy'!$B$5:$B$24,MATCH(C54,'Risk Taxonomy'!$A$5:$A$24,0))</f>
        <v>Bribery and corruption</v>
      </c>
      <c r="E54" s="24" t="n">
        <v>1</v>
      </c>
      <c r="F54" s="7" t="str">
        <f aca="false">INDEX('Control Library'!$F$5:$F$47,MATCH(A54,'Control Library'!$A$5:$A$47,0))</f>
        <v>N</v>
      </c>
      <c r="G54" s="53" t="n">
        <f aca="false">IFERROR(INDEX('Control Effectiveness'!$D$5:$D$47,MATCH($A54,'Control Effectiveness'!$A$5:$A$47,0)),0)</f>
        <v>2</v>
      </c>
      <c r="H54" s="53" t="n">
        <f aca="false">IFERROR(INDEX('Control Effectiveness'!$E$5:$E$47,MATCH($A54,'Control Effectiveness'!$A$5:$A$47,0)),0)</f>
        <v>2</v>
      </c>
      <c r="I54" s="53" t="n">
        <f aca="false">IFERROR(INDEX('Control Effectiveness'!$F$5:$F$47,MATCH($A54,'Control Effectiveness'!$A$5:$A$47,0)),0)</f>
        <v>2</v>
      </c>
      <c r="J54" s="53" t="n">
        <f aca="false">IFERROR(INDEX('Control Effectiveness'!$G$5:$G$47,MATCH($A54,'Control Effectiveness'!$A$5:$A$47,0)),0)</f>
        <v>3</v>
      </c>
      <c r="K54" s="53" t="n">
        <f aca="false">IFERROR(INDEX('Control Effectiveness'!$H$5:$H$47,MATCH($A54,'Control Effectiveness'!$A$5:$A$47,0)),0)</f>
        <v>2</v>
      </c>
      <c r="L54" s="53" t="n">
        <f aca="false">IFERROR(INDEX('Control Effectiveness'!$I$5:$I$47,MATCH($A54,'Control Effectiveness'!$A$5:$A$47,0)),0)</f>
        <v>2</v>
      </c>
      <c r="M54" s="53" t="n">
        <f aca="false">IFERROR(INDEX('Control Effectiveness'!$J$5:$J$47,MATCH($A54,'Control Effectiveness'!$A$5:$A$47,0)),0)</f>
        <v>3</v>
      </c>
      <c r="N54" s="53" t="n">
        <f aca="false">IFERROR(INDEX('Control Effectiveness'!$K$5:$K$47,MATCH($A54,'Control Effectiveness'!$A$5:$A$47,0)),0)</f>
        <v>2</v>
      </c>
      <c r="O54" s="53" t="n">
        <f aca="false">IFERROR(INDEX('Control Effectiveness'!$L$5:$L$47,MATCH($A54,'Control Effectiveness'!$A$5:$A$47,0)),0)</f>
        <v>3</v>
      </c>
      <c r="P54" s="53" t="n">
        <f aca="false">IFERROR(INDEX('Control Effectiveness'!$M$5:$M$47,MATCH($A54,'Control Effectiveness'!$A$5:$A$47,0)),0)</f>
        <v>2</v>
      </c>
      <c r="Q54" s="53" t="n">
        <f aca="false">IFERROR(INDEX('Control Effectiveness'!$N$5:$N$47,MATCH($A54,'Control Effectiveness'!$A$5:$A$47,0)),0)</f>
        <v>1</v>
      </c>
      <c r="R54" s="53" t="n">
        <f aca="false">IFERROR(INDEX('Control Effectiveness'!$O$5:$O$47,MATCH($A54,'Control Effectiveness'!$A$5:$A$47,0)),0)</f>
        <v>2</v>
      </c>
      <c r="S54" s="53" t="n">
        <f aca="false">IFERROR(INDEX('Control Effectiveness'!$P$5:$P$47,MATCH($A54,'Control Effectiveness'!$A$5:$A$47,0)),0)</f>
        <v>2</v>
      </c>
      <c r="T54" s="53" t="n">
        <f aca="false">IFERROR(INDEX('Control Effectiveness'!$Q$5:$Q$47,MATCH($A54,'Control Effectiveness'!$A$5:$A$47,0)),0)</f>
        <v>3</v>
      </c>
      <c r="U54" s="53" t="n">
        <f aca="false">IFERROR(INDEX('Control Effectiveness'!$R$5:$R$47,MATCH($A54,'Control Effectiveness'!$A$5:$A$47,0)),0)</f>
        <v>2</v>
      </c>
      <c r="V54" s="53" t="n">
        <f aca="false">IFERROR(INDEX('Control Effectiveness'!$S$5:$S$47,MATCH($A54,'Control Effectiveness'!$A$5:$A$47,0)),0)</f>
        <v>2</v>
      </c>
      <c r="W54" s="53" t="n">
        <f aca="false">IFERROR(INDEX('Control Effectiveness'!$T$5:$T$47,MATCH($A54,'Control Effectiveness'!$A$5:$A$47,0)),0)</f>
        <v>1</v>
      </c>
      <c r="X54" s="53" t="n">
        <f aca="false">IFERROR(INDEX('Control Effectiveness'!$U$5:$U$47,MATCH($A54,'Control Effectiveness'!$A$5:$A$47,0)),0)</f>
        <v>2</v>
      </c>
      <c r="Y54" s="53" t="n">
        <f aca="false">IFERROR(INDEX('Control Effectiveness'!$V$5:$V$47,MATCH($A54,'Control Effectiveness'!$A$5:$A$47,0)),0)</f>
        <v>3</v>
      </c>
      <c r="Z54" s="53" t="n">
        <f aca="false">IFERROR(INDEX('Control Effectiveness'!$W$5:$W$47,MATCH($A54,'Control Effectiveness'!$A$5:$A$47,0)),0)</f>
        <v>2</v>
      </c>
      <c r="AA54" s="53" t="n">
        <f aca="false">IFERROR(INDEX('Control Effectiveness'!$X$5:$X$47,MATCH($A54,'Control Effectiveness'!$A$5:$A$47,0)),0)</f>
        <v>2</v>
      </c>
      <c r="AB54" s="53" t="n">
        <f aca="false">IFERROR(INDEX('Control Effectiveness'!$Y$5:$Y$47,MATCH($A54,'Control Effectiveness'!$A$5:$A$47,0)),0)</f>
        <v>2</v>
      </c>
      <c r="AC54" s="53" t="n">
        <f aca="false">IFERROR(INDEX('Control Effectiveness'!$Z$5:$Z$47,MATCH($A54,'Control Effectiveness'!$A$5:$A$47,0)),0)</f>
        <v>2</v>
      </c>
      <c r="AD54" s="53" t="n">
        <f aca="false">IFERROR(INDEX('Control Effectiveness'!$AA$5:$AA$47,MATCH($A54,'Control Effectiveness'!$A$5:$A$47,0)),0)</f>
        <v>2</v>
      </c>
      <c r="AE54" s="53" t="n">
        <f aca="false">IFERROR(INDEX('Control Effectiveness'!$AB$5:$AB$47,MATCH($A54,'Control Effectiveness'!$A$5:$A$47,0)),0)</f>
        <v>1</v>
      </c>
      <c r="AF54" s="53" t="n">
        <f aca="false">IFERROR(INDEX('Control Effectiveness'!$AC$5:$AC$47,MATCH($A54,'Control Effectiveness'!$A$5:$A$47,0)),0)</f>
        <v>2</v>
      </c>
      <c r="AG54" s="53" t="n">
        <f aca="false">IFERROR(INDEX('Control Effectiveness'!$AD$5:$AD$47,MATCH($A54,'Control Effectiveness'!$A$5:$A$47,0)),0)</f>
        <v>1</v>
      </c>
      <c r="AH54" s="53" t="n">
        <f aca="false">IFERROR(INDEX('Control Effectiveness'!$AE$5:$AE$47,MATCH($A54,'Control Effectiveness'!$A$5:$A$47,0)),0)</f>
        <v>2</v>
      </c>
      <c r="AI54" s="53" t="n">
        <f aca="false">IFERROR(INDEX('Control Effectiveness'!$AF$5:$AF$47,MATCH($A54,'Control Effectiveness'!$A$5:$A$47,0)),0)</f>
        <v>2</v>
      </c>
      <c r="AJ54" s="53" t="n">
        <f aca="false">IFERROR(INDEX('Control Effectiveness'!$AG$5:$AG$47,MATCH($A54,'Control Effectiveness'!$A$5:$A$47,0)),0)</f>
        <v>1</v>
      </c>
    </row>
    <row r="55" customFormat="false" ht="15" hidden="false" customHeight="false" outlineLevel="0" collapsed="false">
      <c r="A55" s="8" t="s">
        <v>663</v>
      </c>
      <c r="B55" s="12" t="str">
        <f aca="false">INDEX('Control Library'!$B$5:$B$47,MATCH(A55,'Control Library'!$A$5:$A$47,0))</f>
        <v>FATCA/CRS self-certification and classification</v>
      </c>
      <c r="C55" s="33" t="s">
        <v>281</v>
      </c>
      <c r="D55" s="12" t="str">
        <f aca="false">INDEX('Risk Taxonomy'!$B$5:$B$24,MATCH(C55,'Risk Taxonomy'!$A$5:$A$24,0))</f>
        <v>Tax evasion and tax transparency</v>
      </c>
      <c r="E55" s="24" t="n">
        <v>3</v>
      </c>
      <c r="F55" s="7" t="str">
        <f aca="false">INDEX('Control Library'!$F$5:$F$47,MATCH(A55,'Control Library'!$A$5:$A$47,0))</f>
        <v>Y</v>
      </c>
      <c r="G55" s="53" t="n">
        <f aca="false">IFERROR(INDEX('Control Effectiveness'!$D$5:$D$47,MATCH($A55,'Control Effectiveness'!$A$5:$A$47,0)),0)</f>
        <v>2</v>
      </c>
      <c r="H55" s="53" t="n">
        <f aca="false">IFERROR(INDEX('Control Effectiveness'!$E$5:$E$47,MATCH($A55,'Control Effectiveness'!$A$5:$A$47,0)),0)</f>
        <v>1</v>
      </c>
      <c r="I55" s="53" t="n">
        <f aca="false">IFERROR(INDEX('Control Effectiveness'!$F$5:$F$47,MATCH($A55,'Control Effectiveness'!$A$5:$A$47,0)),0)</f>
        <v>2</v>
      </c>
      <c r="J55" s="53" t="n">
        <f aca="false">IFERROR(INDEX('Control Effectiveness'!$G$5:$G$47,MATCH($A55,'Control Effectiveness'!$A$5:$A$47,0)),0)</f>
        <v>4</v>
      </c>
      <c r="K55" s="53" t="n">
        <f aca="false">IFERROR(INDEX('Control Effectiveness'!$H$5:$H$47,MATCH($A55,'Control Effectiveness'!$A$5:$A$47,0)),0)</f>
        <v>1</v>
      </c>
      <c r="L55" s="53" t="n">
        <f aca="false">IFERROR(INDEX('Control Effectiveness'!$I$5:$I$47,MATCH($A55,'Control Effectiveness'!$A$5:$A$47,0)),0)</f>
        <v>3</v>
      </c>
      <c r="M55" s="53" t="n">
        <f aca="false">IFERROR(INDEX('Control Effectiveness'!$J$5:$J$47,MATCH($A55,'Control Effectiveness'!$A$5:$A$47,0)),0)</f>
        <v>3</v>
      </c>
      <c r="N55" s="53" t="n">
        <f aca="false">IFERROR(INDEX('Control Effectiveness'!$K$5:$K$47,MATCH($A55,'Control Effectiveness'!$A$5:$A$47,0)),0)</f>
        <v>3</v>
      </c>
      <c r="O55" s="53" t="n">
        <f aca="false">IFERROR(INDEX('Control Effectiveness'!$L$5:$L$47,MATCH($A55,'Control Effectiveness'!$A$5:$A$47,0)),0)</f>
        <v>3</v>
      </c>
      <c r="P55" s="53" t="n">
        <f aca="false">IFERROR(INDEX('Control Effectiveness'!$M$5:$M$47,MATCH($A55,'Control Effectiveness'!$A$5:$A$47,0)),0)</f>
        <v>1</v>
      </c>
      <c r="Q55" s="53" t="n">
        <f aca="false">IFERROR(INDEX('Control Effectiveness'!$N$5:$N$47,MATCH($A55,'Control Effectiveness'!$A$5:$A$47,0)),0)</f>
        <v>2</v>
      </c>
      <c r="R55" s="53" t="n">
        <f aca="false">IFERROR(INDEX('Control Effectiveness'!$O$5:$O$47,MATCH($A55,'Control Effectiveness'!$A$5:$A$47,0)),0)</f>
        <v>2</v>
      </c>
      <c r="S55" s="53" t="n">
        <f aca="false">IFERROR(INDEX('Control Effectiveness'!$P$5:$P$47,MATCH($A55,'Control Effectiveness'!$A$5:$A$47,0)),0)</f>
        <v>2</v>
      </c>
      <c r="T55" s="53" t="n">
        <f aca="false">IFERROR(INDEX('Control Effectiveness'!$Q$5:$Q$47,MATCH($A55,'Control Effectiveness'!$A$5:$A$47,0)),0)</f>
        <v>2</v>
      </c>
      <c r="U55" s="53" t="n">
        <f aca="false">IFERROR(INDEX('Control Effectiveness'!$R$5:$R$47,MATCH($A55,'Control Effectiveness'!$A$5:$A$47,0)),0)</f>
        <v>3</v>
      </c>
      <c r="V55" s="53" t="n">
        <f aca="false">IFERROR(INDEX('Control Effectiveness'!$S$5:$S$47,MATCH($A55,'Control Effectiveness'!$A$5:$A$47,0)),0)</f>
        <v>2</v>
      </c>
      <c r="W55" s="53" t="n">
        <f aca="false">IFERROR(INDEX('Control Effectiveness'!$T$5:$T$47,MATCH($A55,'Control Effectiveness'!$A$5:$A$47,0)),0)</f>
        <v>1</v>
      </c>
      <c r="X55" s="53" t="n">
        <f aca="false">IFERROR(INDEX('Control Effectiveness'!$U$5:$U$47,MATCH($A55,'Control Effectiveness'!$A$5:$A$47,0)),0)</f>
        <v>1</v>
      </c>
      <c r="Y55" s="53" t="n">
        <f aca="false">IFERROR(INDEX('Control Effectiveness'!$V$5:$V$47,MATCH($A55,'Control Effectiveness'!$A$5:$A$47,0)),0)</f>
        <v>2</v>
      </c>
      <c r="Z55" s="53" t="n">
        <f aca="false">IFERROR(INDEX('Control Effectiveness'!$W$5:$W$47,MATCH($A55,'Control Effectiveness'!$A$5:$A$47,0)),0)</f>
        <v>1</v>
      </c>
      <c r="AA55" s="53" t="n">
        <f aca="false">IFERROR(INDEX('Control Effectiveness'!$X$5:$X$47,MATCH($A55,'Control Effectiveness'!$A$5:$A$47,0)),0)</f>
        <v>2</v>
      </c>
      <c r="AB55" s="53" t="n">
        <f aca="false">IFERROR(INDEX('Control Effectiveness'!$Y$5:$Y$47,MATCH($A55,'Control Effectiveness'!$A$5:$A$47,0)),0)</f>
        <v>1</v>
      </c>
      <c r="AC55" s="53" t="n">
        <f aca="false">IFERROR(INDEX('Control Effectiveness'!$Z$5:$Z$47,MATCH($A55,'Control Effectiveness'!$A$5:$A$47,0)),0)</f>
        <v>2</v>
      </c>
      <c r="AD55" s="53" t="n">
        <f aca="false">IFERROR(INDEX('Control Effectiveness'!$AA$5:$AA$47,MATCH($A55,'Control Effectiveness'!$A$5:$A$47,0)),0)</f>
        <v>2</v>
      </c>
      <c r="AE55" s="53" t="n">
        <f aca="false">IFERROR(INDEX('Control Effectiveness'!$AB$5:$AB$47,MATCH($A55,'Control Effectiveness'!$A$5:$A$47,0)),0)</f>
        <v>4</v>
      </c>
      <c r="AF55" s="53" t="n">
        <f aca="false">IFERROR(INDEX('Control Effectiveness'!$AC$5:$AC$47,MATCH($A55,'Control Effectiveness'!$A$5:$A$47,0)),0)</f>
        <v>2</v>
      </c>
      <c r="AG55" s="53" t="n">
        <f aca="false">IFERROR(INDEX('Control Effectiveness'!$AD$5:$AD$47,MATCH($A55,'Control Effectiveness'!$A$5:$A$47,0)),0)</f>
        <v>2</v>
      </c>
      <c r="AH55" s="53" t="n">
        <f aca="false">IFERROR(INDEX('Control Effectiveness'!$AE$5:$AE$47,MATCH($A55,'Control Effectiveness'!$A$5:$A$47,0)),0)</f>
        <v>4</v>
      </c>
      <c r="AI55" s="53" t="n">
        <f aca="false">IFERROR(INDEX('Control Effectiveness'!$AF$5:$AF$47,MATCH($A55,'Control Effectiveness'!$A$5:$A$47,0)),0)</f>
        <v>1</v>
      </c>
      <c r="AJ55" s="53" t="n">
        <f aca="false">IFERROR(INDEX('Control Effectiveness'!$AG$5:$AG$47,MATCH($A55,'Control Effectiveness'!$A$5:$A$47,0)),0)</f>
        <v>1</v>
      </c>
    </row>
    <row r="56" customFormat="false" ht="15" hidden="false" customHeight="false" outlineLevel="0" collapsed="false">
      <c r="A56" s="8" t="s">
        <v>665</v>
      </c>
      <c r="B56" s="12" t="str">
        <f aca="false">INDEX('Control Library'!$B$5:$B$47,MATCH(A56,'Control Library'!$A$5:$A$47,0))</f>
        <v>FATCA/CRS reporting reconciliation and timely filing</v>
      </c>
      <c r="C56" s="33" t="s">
        <v>281</v>
      </c>
      <c r="D56" s="12" t="str">
        <f aca="false">INDEX('Risk Taxonomy'!$B$5:$B$24,MATCH(C56,'Risk Taxonomy'!$A$5:$A$24,0))</f>
        <v>Tax evasion and tax transparency</v>
      </c>
      <c r="E56" s="24" t="n">
        <v>2</v>
      </c>
      <c r="F56" s="7" t="str">
        <f aca="false">INDEX('Control Library'!$F$5:$F$47,MATCH(A56,'Control Library'!$A$5:$A$47,0))</f>
        <v>N</v>
      </c>
      <c r="G56" s="53" t="n">
        <f aca="false">IFERROR(INDEX('Control Effectiveness'!$D$5:$D$47,MATCH($A56,'Control Effectiveness'!$A$5:$A$47,0)),0)</f>
        <v>2</v>
      </c>
      <c r="H56" s="53" t="n">
        <f aca="false">IFERROR(INDEX('Control Effectiveness'!$E$5:$E$47,MATCH($A56,'Control Effectiveness'!$A$5:$A$47,0)),0)</f>
        <v>2</v>
      </c>
      <c r="I56" s="53" t="n">
        <f aca="false">IFERROR(INDEX('Control Effectiveness'!$F$5:$F$47,MATCH($A56,'Control Effectiveness'!$A$5:$A$47,0)),0)</f>
        <v>2</v>
      </c>
      <c r="J56" s="53" t="n">
        <f aca="false">IFERROR(INDEX('Control Effectiveness'!$G$5:$G$47,MATCH($A56,'Control Effectiveness'!$A$5:$A$47,0)),0)</f>
        <v>2</v>
      </c>
      <c r="K56" s="53" t="n">
        <f aca="false">IFERROR(INDEX('Control Effectiveness'!$H$5:$H$47,MATCH($A56,'Control Effectiveness'!$A$5:$A$47,0)),0)</f>
        <v>2</v>
      </c>
      <c r="L56" s="53" t="n">
        <f aca="false">IFERROR(INDEX('Control Effectiveness'!$I$5:$I$47,MATCH($A56,'Control Effectiveness'!$A$5:$A$47,0)),0)</f>
        <v>3</v>
      </c>
      <c r="M56" s="53" t="n">
        <f aca="false">IFERROR(INDEX('Control Effectiveness'!$J$5:$J$47,MATCH($A56,'Control Effectiveness'!$A$5:$A$47,0)),0)</f>
        <v>3</v>
      </c>
      <c r="N56" s="53" t="n">
        <f aca="false">IFERROR(INDEX('Control Effectiveness'!$K$5:$K$47,MATCH($A56,'Control Effectiveness'!$A$5:$A$47,0)),0)</f>
        <v>2</v>
      </c>
      <c r="O56" s="53" t="n">
        <f aca="false">IFERROR(INDEX('Control Effectiveness'!$L$5:$L$47,MATCH($A56,'Control Effectiveness'!$A$5:$A$47,0)),0)</f>
        <v>3</v>
      </c>
      <c r="P56" s="53" t="n">
        <f aca="false">IFERROR(INDEX('Control Effectiveness'!$M$5:$M$47,MATCH($A56,'Control Effectiveness'!$A$5:$A$47,0)),0)</f>
        <v>2</v>
      </c>
      <c r="Q56" s="53" t="n">
        <f aca="false">IFERROR(INDEX('Control Effectiveness'!$N$5:$N$47,MATCH($A56,'Control Effectiveness'!$A$5:$A$47,0)),0)</f>
        <v>2</v>
      </c>
      <c r="R56" s="53" t="n">
        <f aca="false">IFERROR(INDEX('Control Effectiveness'!$O$5:$O$47,MATCH($A56,'Control Effectiveness'!$A$5:$A$47,0)),0)</f>
        <v>2</v>
      </c>
      <c r="S56" s="53" t="n">
        <f aca="false">IFERROR(INDEX('Control Effectiveness'!$P$5:$P$47,MATCH($A56,'Control Effectiveness'!$A$5:$A$47,0)),0)</f>
        <v>2</v>
      </c>
      <c r="T56" s="53" t="n">
        <f aca="false">IFERROR(INDEX('Control Effectiveness'!$Q$5:$Q$47,MATCH($A56,'Control Effectiveness'!$A$5:$A$47,0)),0)</f>
        <v>1</v>
      </c>
      <c r="U56" s="53" t="n">
        <f aca="false">IFERROR(INDEX('Control Effectiveness'!$R$5:$R$47,MATCH($A56,'Control Effectiveness'!$A$5:$A$47,0)),0)</f>
        <v>2</v>
      </c>
      <c r="V56" s="53" t="n">
        <f aca="false">IFERROR(INDEX('Control Effectiveness'!$S$5:$S$47,MATCH($A56,'Control Effectiveness'!$A$5:$A$47,0)),0)</f>
        <v>2</v>
      </c>
      <c r="W56" s="53" t="n">
        <f aca="false">IFERROR(INDEX('Control Effectiveness'!$T$5:$T$47,MATCH($A56,'Control Effectiveness'!$A$5:$A$47,0)),0)</f>
        <v>2</v>
      </c>
      <c r="X56" s="53" t="n">
        <f aca="false">IFERROR(INDEX('Control Effectiveness'!$U$5:$U$47,MATCH($A56,'Control Effectiveness'!$A$5:$A$47,0)),0)</f>
        <v>4</v>
      </c>
      <c r="Y56" s="53" t="n">
        <f aca="false">IFERROR(INDEX('Control Effectiveness'!$V$5:$V$47,MATCH($A56,'Control Effectiveness'!$A$5:$A$47,0)),0)</f>
        <v>2</v>
      </c>
      <c r="Z56" s="53" t="n">
        <f aca="false">IFERROR(INDEX('Control Effectiveness'!$W$5:$W$47,MATCH($A56,'Control Effectiveness'!$A$5:$A$47,0)),0)</f>
        <v>1</v>
      </c>
      <c r="AA56" s="53" t="n">
        <f aca="false">IFERROR(INDEX('Control Effectiveness'!$X$5:$X$47,MATCH($A56,'Control Effectiveness'!$A$5:$A$47,0)),0)</f>
        <v>2</v>
      </c>
      <c r="AB56" s="53" t="n">
        <f aca="false">IFERROR(INDEX('Control Effectiveness'!$Y$5:$Y$47,MATCH($A56,'Control Effectiveness'!$A$5:$A$47,0)),0)</f>
        <v>1</v>
      </c>
      <c r="AC56" s="53" t="n">
        <f aca="false">IFERROR(INDEX('Control Effectiveness'!$Z$5:$Z$47,MATCH($A56,'Control Effectiveness'!$A$5:$A$47,0)),0)</f>
        <v>1</v>
      </c>
      <c r="AD56" s="53" t="n">
        <f aca="false">IFERROR(INDEX('Control Effectiveness'!$AA$5:$AA$47,MATCH($A56,'Control Effectiveness'!$A$5:$A$47,0)),0)</f>
        <v>1</v>
      </c>
      <c r="AE56" s="53" t="n">
        <f aca="false">IFERROR(INDEX('Control Effectiveness'!$AB$5:$AB$47,MATCH($A56,'Control Effectiveness'!$A$5:$A$47,0)),0)</f>
        <v>2</v>
      </c>
      <c r="AF56" s="53" t="n">
        <f aca="false">IFERROR(INDEX('Control Effectiveness'!$AC$5:$AC$47,MATCH($A56,'Control Effectiveness'!$A$5:$A$47,0)),0)</f>
        <v>2</v>
      </c>
      <c r="AG56" s="53" t="n">
        <f aca="false">IFERROR(INDEX('Control Effectiveness'!$AD$5:$AD$47,MATCH($A56,'Control Effectiveness'!$A$5:$A$47,0)),0)</f>
        <v>2</v>
      </c>
      <c r="AH56" s="53" t="n">
        <f aca="false">IFERROR(INDEX('Control Effectiveness'!$AE$5:$AE$47,MATCH($A56,'Control Effectiveness'!$A$5:$A$47,0)),0)</f>
        <v>1</v>
      </c>
      <c r="AI56" s="53" t="n">
        <f aca="false">IFERROR(INDEX('Control Effectiveness'!$AF$5:$AF$47,MATCH($A56,'Control Effectiveness'!$A$5:$A$47,0)),0)</f>
        <v>1</v>
      </c>
      <c r="AJ56" s="53" t="n">
        <f aca="false">IFERROR(INDEX('Control Effectiveness'!$AG$5:$AG$47,MATCH($A56,'Control Effectiveness'!$A$5:$A$47,0)),0)</f>
        <v>2</v>
      </c>
    </row>
    <row r="57" customFormat="false" ht="15" hidden="false" customHeight="false" outlineLevel="0" collapsed="false">
      <c r="A57" s="8" t="s">
        <v>665</v>
      </c>
      <c r="B57" s="12" t="str">
        <f aca="false">INDEX('Control Library'!$B$5:$B$47,MATCH(A57,'Control Library'!$A$5:$A$47,0))</f>
        <v>FATCA/CRS reporting reconciliation and timely filing</v>
      </c>
      <c r="C57" s="33" t="s">
        <v>284</v>
      </c>
      <c r="D57" s="12" t="str">
        <f aca="false">INDEX('Risk Taxonomy'!$B$5:$B$24,MATCH(C57,'Risk Taxonomy'!$A$5:$A$24,0))</f>
        <v>Regulatory compliance</v>
      </c>
      <c r="E57" s="24" t="n">
        <v>1</v>
      </c>
      <c r="F57" s="7" t="str">
        <f aca="false">INDEX('Control Library'!$F$5:$F$47,MATCH(A57,'Control Library'!$A$5:$A$47,0))</f>
        <v>N</v>
      </c>
      <c r="G57" s="53" t="n">
        <f aca="false">IFERROR(INDEX('Control Effectiveness'!$D$5:$D$47,MATCH($A57,'Control Effectiveness'!$A$5:$A$47,0)),0)</f>
        <v>2</v>
      </c>
      <c r="H57" s="53" t="n">
        <f aca="false">IFERROR(INDEX('Control Effectiveness'!$E$5:$E$47,MATCH($A57,'Control Effectiveness'!$A$5:$A$47,0)),0)</f>
        <v>2</v>
      </c>
      <c r="I57" s="53" t="n">
        <f aca="false">IFERROR(INDEX('Control Effectiveness'!$F$5:$F$47,MATCH($A57,'Control Effectiveness'!$A$5:$A$47,0)),0)</f>
        <v>2</v>
      </c>
      <c r="J57" s="53" t="n">
        <f aca="false">IFERROR(INDEX('Control Effectiveness'!$G$5:$G$47,MATCH($A57,'Control Effectiveness'!$A$5:$A$47,0)),0)</f>
        <v>2</v>
      </c>
      <c r="K57" s="53" t="n">
        <f aca="false">IFERROR(INDEX('Control Effectiveness'!$H$5:$H$47,MATCH($A57,'Control Effectiveness'!$A$5:$A$47,0)),0)</f>
        <v>2</v>
      </c>
      <c r="L57" s="53" t="n">
        <f aca="false">IFERROR(INDEX('Control Effectiveness'!$I$5:$I$47,MATCH($A57,'Control Effectiveness'!$A$5:$A$47,0)),0)</f>
        <v>3</v>
      </c>
      <c r="M57" s="53" t="n">
        <f aca="false">IFERROR(INDEX('Control Effectiveness'!$J$5:$J$47,MATCH($A57,'Control Effectiveness'!$A$5:$A$47,0)),0)</f>
        <v>3</v>
      </c>
      <c r="N57" s="53" t="n">
        <f aca="false">IFERROR(INDEX('Control Effectiveness'!$K$5:$K$47,MATCH($A57,'Control Effectiveness'!$A$5:$A$47,0)),0)</f>
        <v>2</v>
      </c>
      <c r="O57" s="53" t="n">
        <f aca="false">IFERROR(INDEX('Control Effectiveness'!$L$5:$L$47,MATCH($A57,'Control Effectiveness'!$A$5:$A$47,0)),0)</f>
        <v>3</v>
      </c>
      <c r="P57" s="53" t="n">
        <f aca="false">IFERROR(INDEX('Control Effectiveness'!$M$5:$M$47,MATCH($A57,'Control Effectiveness'!$A$5:$A$47,0)),0)</f>
        <v>2</v>
      </c>
      <c r="Q57" s="53" t="n">
        <f aca="false">IFERROR(INDEX('Control Effectiveness'!$N$5:$N$47,MATCH($A57,'Control Effectiveness'!$A$5:$A$47,0)),0)</f>
        <v>2</v>
      </c>
      <c r="R57" s="53" t="n">
        <f aca="false">IFERROR(INDEX('Control Effectiveness'!$O$5:$O$47,MATCH($A57,'Control Effectiveness'!$A$5:$A$47,0)),0)</f>
        <v>2</v>
      </c>
      <c r="S57" s="53" t="n">
        <f aca="false">IFERROR(INDEX('Control Effectiveness'!$P$5:$P$47,MATCH($A57,'Control Effectiveness'!$A$5:$A$47,0)),0)</f>
        <v>2</v>
      </c>
      <c r="T57" s="53" t="n">
        <f aca="false">IFERROR(INDEX('Control Effectiveness'!$Q$5:$Q$47,MATCH($A57,'Control Effectiveness'!$A$5:$A$47,0)),0)</f>
        <v>1</v>
      </c>
      <c r="U57" s="53" t="n">
        <f aca="false">IFERROR(INDEX('Control Effectiveness'!$R$5:$R$47,MATCH($A57,'Control Effectiveness'!$A$5:$A$47,0)),0)</f>
        <v>2</v>
      </c>
      <c r="V57" s="53" t="n">
        <f aca="false">IFERROR(INDEX('Control Effectiveness'!$S$5:$S$47,MATCH($A57,'Control Effectiveness'!$A$5:$A$47,0)),0)</f>
        <v>2</v>
      </c>
      <c r="W57" s="53" t="n">
        <f aca="false">IFERROR(INDEX('Control Effectiveness'!$T$5:$T$47,MATCH($A57,'Control Effectiveness'!$A$5:$A$47,0)),0)</f>
        <v>2</v>
      </c>
      <c r="X57" s="53" t="n">
        <f aca="false">IFERROR(INDEX('Control Effectiveness'!$U$5:$U$47,MATCH($A57,'Control Effectiveness'!$A$5:$A$47,0)),0)</f>
        <v>4</v>
      </c>
      <c r="Y57" s="53" t="n">
        <f aca="false">IFERROR(INDEX('Control Effectiveness'!$V$5:$V$47,MATCH($A57,'Control Effectiveness'!$A$5:$A$47,0)),0)</f>
        <v>2</v>
      </c>
      <c r="Z57" s="53" t="n">
        <f aca="false">IFERROR(INDEX('Control Effectiveness'!$W$5:$W$47,MATCH($A57,'Control Effectiveness'!$A$5:$A$47,0)),0)</f>
        <v>1</v>
      </c>
      <c r="AA57" s="53" t="n">
        <f aca="false">IFERROR(INDEX('Control Effectiveness'!$X$5:$X$47,MATCH($A57,'Control Effectiveness'!$A$5:$A$47,0)),0)</f>
        <v>2</v>
      </c>
      <c r="AB57" s="53" t="n">
        <f aca="false">IFERROR(INDEX('Control Effectiveness'!$Y$5:$Y$47,MATCH($A57,'Control Effectiveness'!$A$5:$A$47,0)),0)</f>
        <v>1</v>
      </c>
      <c r="AC57" s="53" t="n">
        <f aca="false">IFERROR(INDEX('Control Effectiveness'!$Z$5:$Z$47,MATCH($A57,'Control Effectiveness'!$A$5:$A$47,0)),0)</f>
        <v>1</v>
      </c>
      <c r="AD57" s="53" t="n">
        <f aca="false">IFERROR(INDEX('Control Effectiveness'!$AA$5:$AA$47,MATCH($A57,'Control Effectiveness'!$A$5:$A$47,0)),0)</f>
        <v>1</v>
      </c>
      <c r="AE57" s="53" t="n">
        <f aca="false">IFERROR(INDEX('Control Effectiveness'!$AB$5:$AB$47,MATCH($A57,'Control Effectiveness'!$A$5:$A$47,0)),0)</f>
        <v>2</v>
      </c>
      <c r="AF57" s="53" t="n">
        <f aca="false">IFERROR(INDEX('Control Effectiveness'!$AC$5:$AC$47,MATCH($A57,'Control Effectiveness'!$A$5:$A$47,0)),0)</f>
        <v>2</v>
      </c>
      <c r="AG57" s="53" t="n">
        <f aca="false">IFERROR(INDEX('Control Effectiveness'!$AD$5:$AD$47,MATCH($A57,'Control Effectiveness'!$A$5:$A$47,0)),0)</f>
        <v>2</v>
      </c>
      <c r="AH57" s="53" t="n">
        <f aca="false">IFERROR(INDEX('Control Effectiveness'!$AE$5:$AE$47,MATCH($A57,'Control Effectiveness'!$A$5:$A$47,0)),0)</f>
        <v>1</v>
      </c>
      <c r="AI57" s="53" t="n">
        <f aca="false">IFERROR(INDEX('Control Effectiveness'!$AF$5:$AF$47,MATCH($A57,'Control Effectiveness'!$A$5:$A$47,0)),0)</f>
        <v>1</v>
      </c>
      <c r="AJ57" s="53" t="n">
        <f aca="false">IFERROR(INDEX('Control Effectiveness'!$AG$5:$AG$47,MATCH($A57,'Control Effectiveness'!$A$5:$A$47,0)),0)</f>
        <v>2</v>
      </c>
    </row>
    <row r="58" customFormat="false" ht="15" hidden="false" customHeight="false" outlineLevel="0" collapsed="false">
      <c r="A58" s="8" t="s">
        <v>669</v>
      </c>
      <c r="B58" s="12" t="str">
        <f aca="false">INDEX('Control Library'!$B$5:$B$47,MATCH(A58,'Control Library'!$A$5:$A$47,0))</f>
        <v>Annual AML, sanctions and anti-bribery training</v>
      </c>
      <c r="C58" s="33" t="s">
        <v>260</v>
      </c>
      <c r="D58" s="12" t="str">
        <f aca="false">INDEX('Risk Taxonomy'!$B$5:$B$24,MATCH(C58,'Risk Taxonomy'!$A$5:$A$24,0))</f>
        <v>Money laundering</v>
      </c>
      <c r="E58" s="24" t="n">
        <v>1</v>
      </c>
      <c r="F58" s="7" t="str">
        <f aca="false">INDEX('Control Library'!$F$5:$F$47,MATCH(A58,'Control Library'!$A$5:$A$47,0))</f>
        <v>N</v>
      </c>
      <c r="G58" s="53" t="n">
        <f aca="false">IFERROR(INDEX('Control Effectiveness'!$D$5:$D$47,MATCH($A58,'Control Effectiveness'!$A$5:$A$47,0)),0)</f>
        <v>4</v>
      </c>
      <c r="H58" s="53" t="n">
        <f aca="false">IFERROR(INDEX('Control Effectiveness'!$E$5:$E$47,MATCH($A58,'Control Effectiveness'!$A$5:$A$47,0)),0)</f>
        <v>2</v>
      </c>
      <c r="I58" s="53" t="n">
        <f aca="false">IFERROR(INDEX('Control Effectiveness'!$F$5:$F$47,MATCH($A58,'Control Effectiveness'!$A$5:$A$47,0)),0)</f>
        <v>2</v>
      </c>
      <c r="J58" s="53" t="n">
        <f aca="false">IFERROR(INDEX('Control Effectiveness'!$G$5:$G$47,MATCH($A58,'Control Effectiveness'!$A$5:$A$47,0)),0)</f>
        <v>2</v>
      </c>
      <c r="K58" s="53" t="n">
        <f aca="false">IFERROR(INDEX('Control Effectiveness'!$H$5:$H$47,MATCH($A58,'Control Effectiveness'!$A$5:$A$47,0)),0)</f>
        <v>2</v>
      </c>
      <c r="L58" s="53" t="n">
        <f aca="false">IFERROR(INDEX('Control Effectiveness'!$I$5:$I$47,MATCH($A58,'Control Effectiveness'!$A$5:$A$47,0)),0)</f>
        <v>2</v>
      </c>
      <c r="M58" s="53" t="n">
        <f aca="false">IFERROR(INDEX('Control Effectiveness'!$J$5:$J$47,MATCH($A58,'Control Effectiveness'!$A$5:$A$47,0)),0)</f>
        <v>2</v>
      </c>
      <c r="N58" s="53" t="n">
        <f aca="false">IFERROR(INDEX('Control Effectiveness'!$K$5:$K$47,MATCH($A58,'Control Effectiveness'!$A$5:$A$47,0)),0)</f>
        <v>2</v>
      </c>
      <c r="O58" s="53" t="n">
        <f aca="false">IFERROR(INDEX('Control Effectiveness'!$L$5:$L$47,MATCH($A58,'Control Effectiveness'!$A$5:$A$47,0)),0)</f>
        <v>4</v>
      </c>
      <c r="P58" s="53" t="n">
        <f aca="false">IFERROR(INDEX('Control Effectiveness'!$M$5:$M$47,MATCH($A58,'Control Effectiveness'!$A$5:$A$47,0)),0)</f>
        <v>2</v>
      </c>
      <c r="Q58" s="53" t="n">
        <f aca="false">IFERROR(INDEX('Control Effectiveness'!$N$5:$N$47,MATCH($A58,'Control Effectiveness'!$A$5:$A$47,0)),0)</f>
        <v>3</v>
      </c>
      <c r="R58" s="53" t="n">
        <f aca="false">IFERROR(INDEX('Control Effectiveness'!$O$5:$O$47,MATCH($A58,'Control Effectiveness'!$A$5:$A$47,0)),0)</f>
        <v>2</v>
      </c>
      <c r="S58" s="53" t="n">
        <f aca="false">IFERROR(INDEX('Control Effectiveness'!$P$5:$P$47,MATCH($A58,'Control Effectiveness'!$A$5:$A$47,0)),0)</f>
        <v>2</v>
      </c>
      <c r="T58" s="53" t="n">
        <f aca="false">IFERROR(INDEX('Control Effectiveness'!$Q$5:$Q$47,MATCH($A58,'Control Effectiveness'!$A$5:$A$47,0)),0)</f>
        <v>2</v>
      </c>
      <c r="U58" s="53" t="n">
        <f aca="false">IFERROR(INDEX('Control Effectiveness'!$R$5:$R$47,MATCH($A58,'Control Effectiveness'!$A$5:$A$47,0)),0)</f>
        <v>2</v>
      </c>
      <c r="V58" s="53" t="n">
        <f aca="false">IFERROR(INDEX('Control Effectiveness'!$S$5:$S$47,MATCH($A58,'Control Effectiveness'!$A$5:$A$47,0)),0)</f>
        <v>2</v>
      </c>
      <c r="W58" s="53" t="n">
        <f aca="false">IFERROR(INDEX('Control Effectiveness'!$T$5:$T$47,MATCH($A58,'Control Effectiveness'!$A$5:$A$47,0)),0)</f>
        <v>4</v>
      </c>
      <c r="X58" s="53" t="n">
        <f aca="false">IFERROR(INDEX('Control Effectiveness'!$U$5:$U$47,MATCH($A58,'Control Effectiveness'!$A$5:$A$47,0)),0)</f>
        <v>2</v>
      </c>
      <c r="Y58" s="53" t="n">
        <f aca="false">IFERROR(INDEX('Control Effectiveness'!$V$5:$V$47,MATCH($A58,'Control Effectiveness'!$A$5:$A$47,0)),0)</f>
        <v>2</v>
      </c>
      <c r="Z58" s="53" t="n">
        <f aca="false">IFERROR(INDEX('Control Effectiveness'!$W$5:$W$47,MATCH($A58,'Control Effectiveness'!$A$5:$A$47,0)),0)</f>
        <v>2</v>
      </c>
      <c r="AA58" s="53" t="n">
        <f aca="false">IFERROR(INDEX('Control Effectiveness'!$X$5:$X$47,MATCH($A58,'Control Effectiveness'!$A$5:$A$47,0)),0)</f>
        <v>2</v>
      </c>
      <c r="AB58" s="53" t="n">
        <f aca="false">IFERROR(INDEX('Control Effectiveness'!$Y$5:$Y$47,MATCH($A58,'Control Effectiveness'!$A$5:$A$47,0)),0)</f>
        <v>2</v>
      </c>
      <c r="AC58" s="53" t="n">
        <f aca="false">IFERROR(INDEX('Control Effectiveness'!$Z$5:$Z$47,MATCH($A58,'Control Effectiveness'!$A$5:$A$47,0)),0)</f>
        <v>2</v>
      </c>
      <c r="AD58" s="53" t="n">
        <f aca="false">IFERROR(INDEX('Control Effectiveness'!$AA$5:$AA$47,MATCH($A58,'Control Effectiveness'!$A$5:$A$47,0)),0)</f>
        <v>1</v>
      </c>
      <c r="AE58" s="53" t="n">
        <f aca="false">IFERROR(INDEX('Control Effectiveness'!$AB$5:$AB$47,MATCH($A58,'Control Effectiveness'!$A$5:$A$47,0)),0)</f>
        <v>1</v>
      </c>
      <c r="AF58" s="53" t="n">
        <f aca="false">IFERROR(INDEX('Control Effectiveness'!$AC$5:$AC$47,MATCH($A58,'Control Effectiveness'!$A$5:$A$47,0)),0)</f>
        <v>3</v>
      </c>
      <c r="AG58" s="53" t="n">
        <f aca="false">IFERROR(INDEX('Control Effectiveness'!$AD$5:$AD$47,MATCH($A58,'Control Effectiveness'!$A$5:$A$47,0)),0)</f>
        <v>1</v>
      </c>
      <c r="AH58" s="53" t="n">
        <f aca="false">IFERROR(INDEX('Control Effectiveness'!$AE$5:$AE$47,MATCH($A58,'Control Effectiveness'!$A$5:$A$47,0)),0)</f>
        <v>2</v>
      </c>
      <c r="AI58" s="53" t="n">
        <f aca="false">IFERROR(INDEX('Control Effectiveness'!$AF$5:$AF$47,MATCH($A58,'Control Effectiveness'!$A$5:$A$47,0)),0)</f>
        <v>4</v>
      </c>
      <c r="AJ58" s="53" t="n">
        <f aca="false">IFERROR(INDEX('Control Effectiveness'!$AG$5:$AG$47,MATCH($A58,'Control Effectiveness'!$A$5:$A$47,0)),0)</f>
        <v>2</v>
      </c>
    </row>
    <row r="59" customFormat="false" ht="15" hidden="false" customHeight="false" outlineLevel="0" collapsed="false">
      <c r="A59" s="8" t="s">
        <v>669</v>
      </c>
      <c r="B59" s="12" t="str">
        <f aca="false">INDEX('Control Library'!$B$5:$B$47,MATCH(A59,'Control Library'!$A$5:$A$47,0))</f>
        <v>Annual AML, sanctions and anti-bribery training</v>
      </c>
      <c r="C59" s="33" t="s">
        <v>272</v>
      </c>
      <c r="D59" s="12" t="str">
        <f aca="false">INDEX('Risk Taxonomy'!$B$5:$B$24,MATCH(C59,'Risk Taxonomy'!$A$5:$A$24,0))</f>
        <v>Sanctions</v>
      </c>
      <c r="E59" s="24" t="n">
        <v>1</v>
      </c>
      <c r="F59" s="7" t="str">
        <f aca="false">INDEX('Control Library'!$F$5:$F$47,MATCH(A59,'Control Library'!$A$5:$A$47,0))</f>
        <v>N</v>
      </c>
      <c r="G59" s="53" t="n">
        <f aca="false">IFERROR(INDEX('Control Effectiveness'!$D$5:$D$47,MATCH($A59,'Control Effectiveness'!$A$5:$A$47,0)),0)</f>
        <v>4</v>
      </c>
      <c r="H59" s="53" t="n">
        <f aca="false">IFERROR(INDEX('Control Effectiveness'!$E$5:$E$47,MATCH($A59,'Control Effectiveness'!$A$5:$A$47,0)),0)</f>
        <v>2</v>
      </c>
      <c r="I59" s="53" t="n">
        <f aca="false">IFERROR(INDEX('Control Effectiveness'!$F$5:$F$47,MATCH($A59,'Control Effectiveness'!$A$5:$A$47,0)),0)</f>
        <v>2</v>
      </c>
      <c r="J59" s="53" t="n">
        <f aca="false">IFERROR(INDEX('Control Effectiveness'!$G$5:$G$47,MATCH($A59,'Control Effectiveness'!$A$5:$A$47,0)),0)</f>
        <v>2</v>
      </c>
      <c r="K59" s="53" t="n">
        <f aca="false">IFERROR(INDEX('Control Effectiveness'!$H$5:$H$47,MATCH($A59,'Control Effectiveness'!$A$5:$A$47,0)),0)</f>
        <v>2</v>
      </c>
      <c r="L59" s="53" t="n">
        <f aca="false">IFERROR(INDEX('Control Effectiveness'!$I$5:$I$47,MATCH($A59,'Control Effectiveness'!$A$5:$A$47,0)),0)</f>
        <v>2</v>
      </c>
      <c r="M59" s="53" t="n">
        <f aca="false">IFERROR(INDEX('Control Effectiveness'!$J$5:$J$47,MATCH($A59,'Control Effectiveness'!$A$5:$A$47,0)),0)</f>
        <v>2</v>
      </c>
      <c r="N59" s="53" t="n">
        <f aca="false">IFERROR(INDEX('Control Effectiveness'!$K$5:$K$47,MATCH($A59,'Control Effectiveness'!$A$5:$A$47,0)),0)</f>
        <v>2</v>
      </c>
      <c r="O59" s="53" t="n">
        <f aca="false">IFERROR(INDEX('Control Effectiveness'!$L$5:$L$47,MATCH($A59,'Control Effectiveness'!$A$5:$A$47,0)),0)</f>
        <v>4</v>
      </c>
      <c r="P59" s="53" t="n">
        <f aca="false">IFERROR(INDEX('Control Effectiveness'!$M$5:$M$47,MATCH($A59,'Control Effectiveness'!$A$5:$A$47,0)),0)</f>
        <v>2</v>
      </c>
      <c r="Q59" s="53" t="n">
        <f aca="false">IFERROR(INDEX('Control Effectiveness'!$N$5:$N$47,MATCH($A59,'Control Effectiveness'!$A$5:$A$47,0)),0)</f>
        <v>3</v>
      </c>
      <c r="R59" s="53" t="n">
        <f aca="false">IFERROR(INDEX('Control Effectiveness'!$O$5:$O$47,MATCH($A59,'Control Effectiveness'!$A$5:$A$47,0)),0)</f>
        <v>2</v>
      </c>
      <c r="S59" s="53" t="n">
        <f aca="false">IFERROR(INDEX('Control Effectiveness'!$P$5:$P$47,MATCH($A59,'Control Effectiveness'!$A$5:$A$47,0)),0)</f>
        <v>2</v>
      </c>
      <c r="T59" s="53" t="n">
        <f aca="false">IFERROR(INDEX('Control Effectiveness'!$Q$5:$Q$47,MATCH($A59,'Control Effectiveness'!$A$5:$A$47,0)),0)</f>
        <v>2</v>
      </c>
      <c r="U59" s="53" t="n">
        <f aca="false">IFERROR(INDEX('Control Effectiveness'!$R$5:$R$47,MATCH($A59,'Control Effectiveness'!$A$5:$A$47,0)),0)</f>
        <v>2</v>
      </c>
      <c r="V59" s="53" t="n">
        <f aca="false">IFERROR(INDEX('Control Effectiveness'!$S$5:$S$47,MATCH($A59,'Control Effectiveness'!$A$5:$A$47,0)),0)</f>
        <v>2</v>
      </c>
      <c r="W59" s="53" t="n">
        <f aca="false">IFERROR(INDEX('Control Effectiveness'!$T$5:$T$47,MATCH($A59,'Control Effectiveness'!$A$5:$A$47,0)),0)</f>
        <v>4</v>
      </c>
      <c r="X59" s="53" t="n">
        <f aca="false">IFERROR(INDEX('Control Effectiveness'!$U$5:$U$47,MATCH($A59,'Control Effectiveness'!$A$5:$A$47,0)),0)</f>
        <v>2</v>
      </c>
      <c r="Y59" s="53" t="n">
        <f aca="false">IFERROR(INDEX('Control Effectiveness'!$V$5:$V$47,MATCH($A59,'Control Effectiveness'!$A$5:$A$47,0)),0)</f>
        <v>2</v>
      </c>
      <c r="Z59" s="53" t="n">
        <f aca="false">IFERROR(INDEX('Control Effectiveness'!$W$5:$W$47,MATCH($A59,'Control Effectiveness'!$A$5:$A$47,0)),0)</f>
        <v>2</v>
      </c>
      <c r="AA59" s="53" t="n">
        <f aca="false">IFERROR(INDEX('Control Effectiveness'!$X$5:$X$47,MATCH($A59,'Control Effectiveness'!$A$5:$A$47,0)),0)</f>
        <v>2</v>
      </c>
      <c r="AB59" s="53" t="n">
        <f aca="false">IFERROR(INDEX('Control Effectiveness'!$Y$5:$Y$47,MATCH($A59,'Control Effectiveness'!$A$5:$A$47,0)),0)</f>
        <v>2</v>
      </c>
      <c r="AC59" s="53" t="n">
        <f aca="false">IFERROR(INDEX('Control Effectiveness'!$Z$5:$Z$47,MATCH($A59,'Control Effectiveness'!$A$5:$A$47,0)),0)</f>
        <v>2</v>
      </c>
      <c r="AD59" s="53" t="n">
        <f aca="false">IFERROR(INDEX('Control Effectiveness'!$AA$5:$AA$47,MATCH($A59,'Control Effectiveness'!$A$5:$A$47,0)),0)</f>
        <v>1</v>
      </c>
      <c r="AE59" s="53" t="n">
        <f aca="false">IFERROR(INDEX('Control Effectiveness'!$AB$5:$AB$47,MATCH($A59,'Control Effectiveness'!$A$5:$A$47,0)),0)</f>
        <v>1</v>
      </c>
      <c r="AF59" s="53" t="n">
        <f aca="false">IFERROR(INDEX('Control Effectiveness'!$AC$5:$AC$47,MATCH($A59,'Control Effectiveness'!$A$5:$A$47,0)),0)</f>
        <v>3</v>
      </c>
      <c r="AG59" s="53" t="n">
        <f aca="false">IFERROR(INDEX('Control Effectiveness'!$AD$5:$AD$47,MATCH($A59,'Control Effectiveness'!$A$5:$A$47,0)),0)</f>
        <v>1</v>
      </c>
      <c r="AH59" s="53" t="n">
        <f aca="false">IFERROR(INDEX('Control Effectiveness'!$AE$5:$AE$47,MATCH($A59,'Control Effectiveness'!$A$5:$A$47,0)),0)</f>
        <v>2</v>
      </c>
      <c r="AI59" s="53" t="n">
        <f aca="false">IFERROR(INDEX('Control Effectiveness'!$AF$5:$AF$47,MATCH($A59,'Control Effectiveness'!$A$5:$A$47,0)),0)</f>
        <v>4</v>
      </c>
      <c r="AJ59" s="53" t="n">
        <f aca="false">IFERROR(INDEX('Control Effectiveness'!$AG$5:$AG$47,MATCH($A59,'Control Effectiveness'!$A$5:$A$47,0)),0)</f>
        <v>2</v>
      </c>
    </row>
    <row r="60" customFormat="false" ht="15" hidden="false" customHeight="false" outlineLevel="0" collapsed="false">
      <c r="A60" s="8" t="s">
        <v>669</v>
      </c>
      <c r="B60" s="12" t="str">
        <f aca="false">INDEX('Control Library'!$B$5:$B$47,MATCH(A60,'Control Library'!$A$5:$A$47,0))</f>
        <v>Annual AML, sanctions and anti-bribery training</v>
      </c>
      <c r="C60" s="33" t="s">
        <v>275</v>
      </c>
      <c r="D60" s="12" t="str">
        <f aca="false">INDEX('Risk Taxonomy'!$B$5:$B$24,MATCH(C60,'Risk Taxonomy'!$A$5:$A$24,0))</f>
        <v>Bribery and corruption</v>
      </c>
      <c r="E60" s="24" t="n">
        <v>1</v>
      </c>
      <c r="F60" s="7" t="str">
        <f aca="false">INDEX('Control Library'!$F$5:$F$47,MATCH(A60,'Control Library'!$A$5:$A$47,0))</f>
        <v>N</v>
      </c>
      <c r="G60" s="53" t="n">
        <f aca="false">IFERROR(INDEX('Control Effectiveness'!$D$5:$D$47,MATCH($A60,'Control Effectiveness'!$A$5:$A$47,0)),0)</f>
        <v>4</v>
      </c>
      <c r="H60" s="53" t="n">
        <f aca="false">IFERROR(INDEX('Control Effectiveness'!$E$5:$E$47,MATCH($A60,'Control Effectiveness'!$A$5:$A$47,0)),0)</f>
        <v>2</v>
      </c>
      <c r="I60" s="53" t="n">
        <f aca="false">IFERROR(INDEX('Control Effectiveness'!$F$5:$F$47,MATCH($A60,'Control Effectiveness'!$A$5:$A$47,0)),0)</f>
        <v>2</v>
      </c>
      <c r="J60" s="53" t="n">
        <f aca="false">IFERROR(INDEX('Control Effectiveness'!$G$5:$G$47,MATCH($A60,'Control Effectiveness'!$A$5:$A$47,0)),0)</f>
        <v>2</v>
      </c>
      <c r="K60" s="53" t="n">
        <f aca="false">IFERROR(INDEX('Control Effectiveness'!$H$5:$H$47,MATCH($A60,'Control Effectiveness'!$A$5:$A$47,0)),0)</f>
        <v>2</v>
      </c>
      <c r="L60" s="53" t="n">
        <f aca="false">IFERROR(INDEX('Control Effectiveness'!$I$5:$I$47,MATCH($A60,'Control Effectiveness'!$A$5:$A$47,0)),0)</f>
        <v>2</v>
      </c>
      <c r="M60" s="53" t="n">
        <f aca="false">IFERROR(INDEX('Control Effectiveness'!$J$5:$J$47,MATCH($A60,'Control Effectiveness'!$A$5:$A$47,0)),0)</f>
        <v>2</v>
      </c>
      <c r="N60" s="53" t="n">
        <f aca="false">IFERROR(INDEX('Control Effectiveness'!$K$5:$K$47,MATCH($A60,'Control Effectiveness'!$A$5:$A$47,0)),0)</f>
        <v>2</v>
      </c>
      <c r="O60" s="53" t="n">
        <f aca="false">IFERROR(INDEX('Control Effectiveness'!$L$5:$L$47,MATCH($A60,'Control Effectiveness'!$A$5:$A$47,0)),0)</f>
        <v>4</v>
      </c>
      <c r="P60" s="53" t="n">
        <f aca="false">IFERROR(INDEX('Control Effectiveness'!$M$5:$M$47,MATCH($A60,'Control Effectiveness'!$A$5:$A$47,0)),0)</f>
        <v>2</v>
      </c>
      <c r="Q60" s="53" t="n">
        <f aca="false">IFERROR(INDEX('Control Effectiveness'!$N$5:$N$47,MATCH($A60,'Control Effectiveness'!$A$5:$A$47,0)),0)</f>
        <v>3</v>
      </c>
      <c r="R60" s="53" t="n">
        <f aca="false">IFERROR(INDEX('Control Effectiveness'!$O$5:$O$47,MATCH($A60,'Control Effectiveness'!$A$5:$A$47,0)),0)</f>
        <v>2</v>
      </c>
      <c r="S60" s="53" t="n">
        <f aca="false">IFERROR(INDEX('Control Effectiveness'!$P$5:$P$47,MATCH($A60,'Control Effectiveness'!$A$5:$A$47,0)),0)</f>
        <v>2</v>
      </c>
      <c r="T60" s="53" t="n">
        <f aca="false">IFERROR(INDEX('Control Effectiveness'!$Q$5:$Q$47,MATCH($A60,'Control Effectiveness'!$A$5:$A$47,0)),0)</f>
        <v>2</v>
      </c>
      <c r="U60" s="53" t="n">
        <f aca="false">IFERROR(INDEX('Control Effectiveness'!$R$5:$R$47,MATCH($A60,'Control Effectiveness'!$A$5:$A$47,0)),0)</f>
        <v>2</v>
      </c>
      <c r="V60" s="53" t="n">
        <f aca="false">IFERROR(INDEX('Control Effectiveness'!$S$5:$S$47,MATCH($A60,'Control Effectiveness'!$A$5:$A$47,0)),0)</f>
        <v>2</v>
      </c>
      <c r="W60" s="53" t="n">
        <f aca="false">IFERROR(INDEX('Control Effectiveness'!$T$5:$T$47,MATCH($A60,'Control Effectiveness'!$A$5:$A$47,0)),0)</f>
        <v>4</v>
      </c>
      <c r="X60" s="53" t="n">
        <f aca="false">IFERROR(INDEX('Control Effectiveness'!$U$5:$U$47,MATCH($A60,'Control Effectiveness'!$A$5:$A$47,0)),0)</f>
        <v>2</v>
      </c>
      <c r="Y60" s="53" t="n">
        <f aca="false">IFERROR(INDEX('Control Effectiveness'!$V$5:$V$47,MATCH($A60,'Control Effectiveness'!$A$5:$A$47,0)),0)</f>
        <v>2</v>
      </c>
      <c r="Z60" s="53" t="n">
        <f aca="false">IFERROR(INDEX('Control Effectiveness'!$W$5:$W$47,MATCH($A60,'Control Effectiveness'!$A$5:$A$47,0)),0)</f>
        <v>2</v>
      </c>
      <c r="AA60" s="53" t="n">
        <f aca="false">IFERROR(INDEX('Control Effectiveness'!$X$5:$X$47,MATCH($A60,'Control Effectiveness'!$A$5:$A$47,0)),0)</f>
        <v>2</v>
      </c>
      <c r="AB60" s="53" t="n">
        <f aca="false">IFERROR(INDEX('Control Effectiveness'!$Y$5:$Y$47,MATCH($A60,'Control Effectiveness'!$A$5:$A$47,0)),0)</f>
        <v>2</v>
      </c>
      <c r="AC60" s="53" t="n">
        <f aca="false">IFERROR(INDEX('Control Effectiveness'!$Z$5:$Z$47,MATCH($A60,'Control Effectiveness'!$A$5:$A$47,0)),0)</f>
        <v>2</v>
      </c>
      <c r="AD60" s="53" t="n">
        <f aca="false">IFERROR(INDEX('Control Effectiveness'!$AA$5:$AA$47,MATCH($A60,'Control Effectiveness'!$A$5:$A$47,0)),0)</f>
        <v>1</v>
      </c>
      <c r="AE60" s="53" t="n">
        <f aca="false">IFERROR(INDEX('Control Effectiveness'!$AB$5:$AB$47,MATCH($A60,'Control Effectiveness'!$A$5:$A$47,0)),0)</f>
        <v>1</v>
      </c>
      <c r="AF60" s="53" t="n">
        <f aca="false">IFERROR(INDEX('Control Effectiveness'!$AC$5:$AC$47,MATCH($A60,'Control Effectiveness'!$A$5:$A$47,0)),0)</f>
        <v>3</v>
      </c>
      <c r="AG60" s="53" t="n">
        <f aca="false">IFERROR(INDEX('Control Effectiveness'!$AD$5:$AD$47,MATCH($A60,'Control Effectiveness'!$A$5:$A$47,0)),0)</f>
        <v>1</v>
      </c>
      <c r="AH60" s="53" t="n">
        <f aca="false">IFERROR(INDEX('Control Effectiveness'!$AE$5:$AE$47,MATCH($A60,'Control Effectiveness'!$A$5:$A$47,0)),0)</f>
        <v>2</v>
      </c>
      <c r="AI60" s="53" t="n">
        <f aca="false">IFERROR(INDEX('Control Effectiveness'!$AF$5:$AF$47,MATCH($A60,'Control Effectiveness'!$A$5:$A$47,0)),0)</f>
        <v>4</v>
      </c>
      <c r="AJ60" s="53" t="n">
        <f aca="false">IFERROR(INDEX('Control Effectiveness'!$AG$5:$AG$47,MATCH($A60,'Control Effectiveness'!$A$5:$A$47,0)),0)</f>
        <v>2</v>
      </c>
    </row>
    <row r="61" customFormat="false" ht="15" hidden="false" customHeight="false" outlineLevel="0" collapsed="false">
      <c r="A61" s="8" t="s">
        <v>672</v>
      </c>
      <c r="B61" s="12" t="str">
        <f aca="false">INDEX('Control Library'!$B$5:$B$47,MATCH(A61,'Control Library'!$A$5:$A$47,0))</f>
        <v>Regulatory change management and obligations register</v>
      </c>
      <c r="C61" s="33" t="s">
        <v>284</v>
      </c>
      <c r="D61" s="12" t="str">
        <f aca="false">INDEX('Risk Taxonomy'!$B$5:$B$24,MATCH(C61,'Risk Taxonomy'!$A$5:$A$24,0))</f>
        <v>Regulatory compliance</v>
      </c>
      <c r="E61" s="24" t="n">
        <v>3</v>
      </c>
      <c r="F61" s="7" t="str">
        <f aca="false">INDEX('Control Library'!$F$5:$F$47,MATCH(A61,'Control Library'!$A$5:$A$47,0))</f>
        <v>Y</v>
      </c>
      <c r="G61" s="53" t="n">
        <f aca="false">IFERROR(INDEX('Control Effectiveness'!$D$5:$D$47,MATCH($A61,'Control Effectiveness'!$A$5:$A$47,0)),0)</f>
        <v>2</v>
      </c>
      <c r="H61" s="53" t="n">
        <f aca="false">IFERROR(INDEX('Control Effectiveness'!$E$5:$E$47,MATCH($A61,'Control Effectiveness'!$A$5:$A$47,0)),0)</f>
        <v>1</v>
      </c>
      <c r="I61" s="53" t="n">
        <f aca="false">IFERROR(INDEX('Control Effectiveness'!$F$5:$F$47,MATCH($A61,'Control Effectiveness'!$A$5:$A$47,0)),0)</f>
        <v>2</v>
      </c>
      <c r="J61" s="53" t="n">
        <f aca="false">IFERROR(INDEX('Control Effectiveness'!$G$5:$G$47,MATCH($A61,'Control Effectiveness'!$A$5:$A$47,0)),0)</f>
        <v>1</v>
      </c>
      <c r="K61" s="53" t="n">
        <f aca="false">IFERROR(INDEX('Control Effectiveness'!$H$5:$H$47,MATCH($A61,'Control Effectiveness'!$A$5:$A$47,0)),0)</f>
        <v>2</v>
      </c>
      <c r="L61" s="53" t="n">
        <f aca="false">IFERROR(INDEX('Control Effectiveness'!$I$5:$I$47,MATCH($A61,'Control Effectiveness'!$A$5:$A$47,0)),0)</f>
        <v>3</v>
      </c>
      <c r="M61" s="53" t="n">
        <f aca="false">IFERROR(INDEX('Control Effectiveness'!$J$5:$J$47,MATCH($A61,'Control Effectiveness'!$A$5:$A$47,0)),0)</f>
        <v>3</v>
      </c>
      <c r="N61" s="53" t="n">
        <f aca="false">IFERROR(INDEX('Control Effectiveness'!$K$5:$K$47,MATCH($A61,'Control Effectiveness'!$A$5:$A$47,0)),0)</f>
        <v>2</v>
      </c>
      <c r="O61" s="53" t="n">
        <f aca="false">IFERROR(INDEX('Control Effectiveness'!$L$5:$L$47,MATCH($A61,'Control Effectiveness'!$A$5:$A$47,0)),0)</f>
        <v>4</v>
      </c>
      <c r="P61" s="53" t="n">
        <f aca="false">IFERROR(INDEX('Control Effectiveness'!$M$5:$M$47,MATCH($A61,'Control Effectiveness'!$A$5:$A$47,0)),0)</f>
        <v>2</v>
      </c>
      <c r="Q61" s="53" t="n">
        <f aca="false">IFERROR(INDEX('Control Effectiveness'!$N$5:$N$47,MATCH($A61,'Control Effectiveness'!$A$5:$A$47,0)),0)</f>
        <v>2</v>
      </c>
      <c r="R61" s="53" t="n">
        <f aca="false">IFERROR(INDEX('Control Effectiveness'!$O$5:$O$47,MATCH($A61,'Control Effectiveness'!$A$5:$A$47,0)),0)</f>
        <v>1</v>
      </c>
      <c r="S61" s="53" t="n">
        <f aca="false">IFERROR(INDEX('Control Effectiveness'!$P$5:$P$47,MATCH($A61,'Control Effectiveness'!$A$5:$A$47,0)),0)</f>
        <v>2</v>
      </c>
      <c r="T61" s="53" t="n">
        <f aca="false">IFERROR(INDEX('Control Effectiveness'!$Q$5:$Q$47,MATCH($A61,'Control Effectiveness'!$A$5:$A$47,0)),0)</f>
        <v>2</v>
      </c>
      <c r="U61" s="53" t="n">
        <f aca="false">IFERROR(INDEX('Control Effectiveness'!$R$5:$R$47,MATCH($A61,'Control Effectiveness'!$A$5:$A$47,0)),0)</f>
        <v>3</v>
      </c>
      <c r="V61" s="53" t="n">
        <f aca="false">IFERROR(INDEX('Control Effectiveness'!$S$5:$S$47,MATCH($A61,'Control Effectiveness'!$A$5:$A$47,0)),0)</f>
        <v>3</v>
      </c>
      <c r="W61" s="53" t="n">
        <f aca="false">IFERROR(INDEX('Control Effectiveness'!$T$5:$T$47,MATCH($A61,'Control Effectiveness'!$A$5:$A$47,0)),0)</f>
        <v>2</v>
      </c>
      <c r="X61" s="53" t="n">
        <f aca="false">IFERROR(INDEX('Control Effectiveness'!$U$5:$U$47,MATCH($A61,'Control Effectiveness'!$A$5:$A$47,0)),0)</f>
        <v>2</v>
      </c>
      <c r="Y61" s="53" t="n">
        <f aca="false">IFERROR(INDEX('Control Effectiveness'!$V$5:$V$47,MATCH($A61,'Control Effectiveness'!$A$5:$A$47,0)),0)</f>
        <v>4</v>
      </c>
      <c r="Z61" s="53" t="n">
        <f aca="false">IFERROR(INDEX('Control Effectiveness'!$W$5:$W$47,MATCH($A61,'Control Effectiveness'!$A$5:$A$47,0)),0)</f>
        <v>2</v>
      </c>
      <c r="AA61" s="53" t="n">
        <f aca="false">IFERROR(INDEX('Control Effectiveness'!$X$5:$X$47,MATCH($A61,'Control Effectiveness'!$A$5:$A$47,0)),0)</f>
        <v>2</v>
      </c>
      <c r="AB61" s="53" t="n">
        <f aca="false">IFERROR(INDEX('Control Effectiveness'!$Y$5:$Y$47,MATCH($A61,'Control Effectiveness'!$A$5:$A$47,0)),0)</f>
        <v>2</v>
      </c>
      <c r="AC61" s="53" t="n">
        <f aca="false">IFERROR(INDEX('Control Effectiveness'!$Z$5:$Z$47,MATCH($A61,'Control Effectiveness'!$A$5:$A$47,0)),0)</f>
        <v>1</v>
      </c>
      <c r="AD61" s="53" t="n">
        <f aca="false">IFERROR(INDEX('Control Effectiveness'!$AA$5:$AA$47,MATCH($A61,'Control Effectiveness'!$A$5:$A$47,0)),0)</f>
        <v>2</v>
      </c>
      <c r="AE61" s="53" t="n">
        <f aca="false">IFERROR(INDEX('Control Effectiveness'!$AB$5:$AB$47,MATCH($A61,'Control Effectiveness'!$A$5:$A$47,0)),0)</f>
        <v>4</v>
      </c>
      <c r="AF61" s="53" t="n">
        <f aca="false">IFERROR(INDEX('Control Effectiveness'!$AC$5:$AC$47,MATCH($A61,'Control Effectiveness'!$A$5:$A$47,0)),0)</f>
        <v>2</v>
      </c>
      <c r="AG61" s="53" t="n">
        <f aca="false">IFERROR(INDEX('Control Effectiveness'!$AD$5:$AD$47,MATCH($A61,'Control Effectiveness'!$A$5:$A$47,0)),0)</f>
        <v>2</v>
      </c>
      <c r="AH61" s="53" t="n">
        <f aca="false">IFERROR(INDEX('Control Effectiveness'!$AE$5:$AE$47,MATCH($A61,'Control Effectiveness'!$A$5:$A$47,0)),0)</f>
        <v>2</v>
      </c>
      <c r="AI61" s="53" t="n">
        <f aca="false">IFERROR(INDEX('Control Effectiveness'!$AF$5:$AF$47,MATCH($A61,'Control Effectiveness'!$A$5:$A$47,0)),0)</f>
        <v>2</v>
      </c>
      <c r="AJ61" s="53" t="n">
        <f aca="false">IFERROR(INDEX('Control Effectiveness'!$AG$5:$AG$47,MATCH($A61,'Control Effectiveness'!$A$5:$A$47,0)),0)</f>
        <v>2</v>
      </c>
    </row>
    <row r="62" customFormat="false" ht="15" hidden="false" customHeight="false" outlineLevel="0" collapsed="false">
      <c r="A62" s="8" t="s">
        <v>674</v>
      </c>
      <c r="B62" s="12" t="str">
        <f aca="false">INDEX('Control Library'!$B$5:$B$47,MATCH(A62,'Control Library'!$A$5:$A$47,0))</f>
        <v>Regulatory return review and senior sign-off</v>
      </c>
      <c r="C62" s="33" t="s">
        <v>284</v>
      </c>
      <c r="D62" s="12" t="str">
        <f aca="false">INDEX('Risk Taxonomy'!$B$5:$B$24,MATCH(C62,'Risk Taxonomy'!$A$5:$A$24,0))</f>
        <v>Regulatory compliance</v>
      </c>
      <c r="E62" s="24" t="n">
        <v>2</v>
      </c>
      <c r="F62" s="7" t="str">
        <f aca="false">INDEX('Control Library'!$F$5:$F$47,MATCH(A62,'Control Library'!$A$5:$A$47,0))</f>
        <v>Y</v>
      </c>
      <c r="G62" s="53" t="n">
        <f aca="false">IFERROR(INDEX('Control Effectiveness'!$D$5:$D$47,MATCH($A62,'Control Effectiveness'!$A$5:$A$47,0)),0)</f>
        <v>2</v>
      </c>
      <c r="H62" s="53" t="n">
        <f aca="false">IFERROR(INDEX('Control Effectiveness'!$E$5:$E$47,MATCH($A62,'Control Effectiveness'!$A$5:$A$47,0)),0)</f>
        <v>3</v>
      </c>
      <c r="I62" s="53" t="n">
        <f aca="false">IFERROR(INDEX('Control Effectiveness'!$F$5:$F$47,MATCH($A62,'Control Effectiveness'!$A$5:$A$47,0)),0)</f>
        <v>2</v>
      </c>
      <c r="J62" s="53" t="n">
        <f aca="false">IFERROR(INDEX('Control Effectiveness'!$G$5:$G$47,MATCH($A62,'Control Effectiveness'!$A$5:$A$47,0)),0)</f>
        <v>2</v>
      </c>
      <c r="K62" s="53" t="n">
        <f aca="false">IFERROR(INDEX('Control Effectiveness'!$H$5:$H$47,MATCH($A62,'Control Effectiveness'!$A$5:$A$47,0)),0)</f>
        <v>2</v>
      </c>
      <c r="L62" s="53" t="n">
        <f aca="false">IFERROR(INDEX('Control Effectiveness'!$I$5:$I$47,MATCH($A62,'Control Effectiveness'!$A$5:$A$47,0)),0)</f>
        <v>2</v>
      </c>
      <c r="M62" s="53" t="n">
        <f aca="false">IFERROR(INDEX('Control Effectiveness'!$J$5:$J$47,MATCH($A62,'Control Effectiveness'!$A$5:$A$47,0)),0)</f>
        <v>2</v>
      </c>
      <c r="N62" s="53" t="n">
        <f aca="false">IFERROR(INDEX('Control Effectiveness'!$K$5:$K$47,MATCH($A62,'Control Effectiveness'!$A$5:$A$47,0)),0)</f>
        <v>3</v>
      </c>
      <c r="O62" s="53" t="n">
        <f aca="false">IFERROR(INDEX('Control Effectiveness'!$L$5:$L$47,MATCH($A62,'Control Effectiveness'!$A$5:$A$47,0)),0)</f>
        <v>2</v>
      </c>
      <c r="P62" s="53" t="n">
        <f aca="false">IFERROR(INDEX('Control Effectiveness'!$M$5:$M$47,MATCH($A62,'Control Effectiveness'!$A$5:$A$47,0)),0)</f>
        <v>4</v>
      </c>
      <c r="Q62" s="53" t="n">
        <f aca="false">IFERROR(INDEX('Control Effectiveness'!$N$5:$N$47,MATCH($A62,'Control Effectiveness'!$A$5:$A$47,0)),0)</f>
        <v>2</v>
      </c>
      <c r="R62" s="53" t="n">
        <f aca="false">IFERROR(INDEX('Control Effectiveness'!$O$5:$O$47,MATCH($A62,'Control Effectiveness'!$A$5:$A$47,0)),0)</f>
        <v>1</v>
      </c>
      <c r="S62" s="53" t="n">
        <f aca="false">IFERROR(INDEX('Control Effectiveness'!$P$5:$P$47,MATCH($A62,'Control Effectiveness'!$A$5:$A$47,0)),0)</f>
        <v>2</v>
      </c>
      <c r="T62" s="53" t="n">
        <f aca="false">IFERROR(INDEX('Control Effectiveness'!$Q$5:$Q$47,MATCH($A62,'Control Effectiveness'!$A$5:$A$47,0)),0)</f>
        <v>2</v>
      </c>
      <c r="U62" s="53" t="n">
        <f aca="false">IFERROR(INDEX('Control Effectiveness'!$R$5:$R$47,MATCH($A62,'Control Effectiveness'!$A$5:$A$47,0)),0)</f>
        <v>2</v>
      </c>
      <c r="V62" s="53" t="n">
        <f aca="false">IFERROR(INDEX('Control Effectiveness'!$S$5:$S$47,MATCH($A62,'Control Effectiveness'!$A$5:$A$47,0)),0)</f>
        <v>2</v>
      </c>
      <c r="W62" s="53" t="n">
        <f aca="false">IFERROR(INDEX('Control Effectiveness'!$T$5:$T$47,MATCH($A62,'Control Effectiveness'!$A$5:$A$47,0)),0)</f>
        <v>1</v>
      </c>
      <c r="X62" s="53" t="n">
        <f aca="false">IFERROR(INDEX('Control Effectiveness'!$U$5:$U$47,MATCH($A62,'Control Effectiveness'!$A$5:$A$47,0)),0)</f>
        <v>2</v>
      </c>
      <c r="Y62" s="53" t="n">
        <f aca="false">IFERROR(INDEX('Control Effectiveness'!$V$5:$V$47,MATCH($A62,'Control Effectiveness'!$A$5:$A$47,0)),0)</f>
        <v>1</v>
      </c>
      <c r="Z62" s="53" t="n">
        <f aca="false">IFERROR(INDEX('Control Effectiveness'!$W$5:$W$47,MATCH($A62,'Control Effectiveness'!$A$5:$A$47,0)),0)</f>
        <v>3</v>
      </c>
      <c r="AA62" s="53" t="n">
        <f aca="false">IFERROR(INDEX('Control Effectiveness'!$X$5:$X$47,MATCH($A62,'Control Effectiveness'!$A$5:$A$47,0)),0)</f>
        <v>3</v>
      </c>
      <c r="AB62" s="53" t="n">
        <f aca="false">IFERROR(INDEX('Control Effectiveness'!$Y$5:$Y$47,MATCH($A62,'Control Effectiveness'!$A$5:$A$47,0)),0)</f>
        <v>4</v>
      </c>
      <c r="AC62" s="53" t="n">
        <f aca="false">IFERROR(INDEX('Control Effectiveness'!$Z$5:$Z$47,MATCH($A62,'Control Effectiveness'!$A$5:$A$47,0)),0)</f>
        <v>1</v>
      </c>
      <c r="AD62" s="53" t="n">
        <f aca="false">IFERROR(INDEX('Control Effectiveness'!$AA$5:$AA$47,MATCH($A62,'Control Effectiveness'!$A$5:$A$47,0)),0)</f>
        <v>1</v>
      </c>
      <c r="AE62" s="53" t="n">
        <f aca="false">IFERROR(INDEX('Control Effectiveness'!$AB$5:$AB$47,MATCH($A62,'Control Effectiveness'!$A$5:$A$47,0)),0)</f>
        <v>1</v>
      </c>
      <c r="AF62" s="53" t="n">
        <f aca="false">IFERROR(INDEX('Control Effectiveness'!$AC$5:$AC$47,MATCH($A62,'Control Effectiveness'!$A$5:$A$47,0)),0)</f>
        <v>1</v>
      </c>
      <c r="AG62" s="53" t="n">
        <f aca="false">IFERROR(INDEX('Control Effectiveness'!$AD$5:$AD$47,MATCH($A62,'Control Effectiveness'!$A$5:$A$47,0)),0)</f>
        <v>2</v>
      </c>
      <c r="AH62" s="53" t="n">
        <f aca="false">IFERROR(INDEX('Control Effectiveness'!$AE$5:$AE$47,MATCH($A62,'Control Effectiveness'!$A$5:$A$47,0)),0)</f>
        <v>4</v>
      </c>
      <c r="AI62" s="53" t="n">
        <f aca="false">IFERROR(INDEX('Control Effectiveness'!$AF$5:$AF$47,MATCH($A62,'Control Effectiveness'!$A$5:$A$47,0)),0)</f>
        <v>1</v>
      </c>
      <c r="AJ62" s="53" t="n">
        <f aca="false">IFERROR(INDEX('Control Effectiveness'!$AG$5:$AG$47,MATCH($A62,'Control Effectiveness'!$A$5:$A$47,0)),0)</f>
        <v>1</v>
      </c>
    </row>
    <row r="63" customFormat="false" ht="15" hidden="false" customHeight="false" outlineLevel="0" collapsed="false">
      <c r="A63" s="8" t="s">
        <v>676</v>
      </c>
      <c r="B63" s="12" t="str">
        <f aca="false">INDEX('Control Library'!$B$5:$B$47,MATCH(A63,'Control Library'!$A$5:$A$47,0))</f>
        <v>New product approval and suitability assessment</v>
      </c>
      <c r="C63" s="33" t="s">
        <v>288</v>
      </c>
      <c r="D63" s="12" t="str">
        <f aca="false">INDEX('Risk Taxonomy'!$B$5:$B$24,MATCH(C63,'Risk Taxonomy'!$A$5:$A$24,0))</f>
        <v>Conduct and consumer protection</v>
      </c>
      <c r="E63" s="24" t="n">
        <v>3</v>
      </c>
      <c r="F63" s="7" t="str">
        <f aca="false">INDEX('Control Library'!$F$5:$F$47,MATCH(A63,'Control Library'!$A$5:$A$47,0))</f>
        <v>Y</v>
      </c>
      <c r="G63" s="53" t="n">
        <f aca="false">IFERROR(INDEX('Control Effectiveness'!$D$5:$D$47,MATCH($A63,'Control Effectiveness'!$A$5:$A$47,0)),0)</f>
        <v>1</v>
      </c>
      <c r="H63" s="53" t="n">
        <f aca="false">IFERROR(INDEX('Control Effectiveness'!$E$5:$E$47,MATCH($A63,'Control Effectiveness'!$A$5:$A$47,0)),0)</f>
        <v>2</v>
      </c>
      <c r="I63" s="53" t="n">
        <f aca="false">IFERROR(INDEX('Control Effectiveness'!$F$5:$F$47,MATCH($A63,'Control Effectiveness'!$A$5:$A$47,0)),0)</f>
        <v>2</v>
      </c>
      <c r="J63" s="53" t="n">
        <f aca="false">IFERROR(INDEX('Control Effectiveness'!$G$5:$G$47,MATCH($A63,'Control Effectiveness'!$A$5:$A$47,0)),0)</f>
        <v>2</v>
      </c>
      <c r="K63" s="53" t="n">
        <f aca="false">IFERROR(INDEX('Control Effectiveness'!$H$5:$H$47,MATCH($A63,'Control Effectiveness'!$A$5:$A$47,0)),0)</f>
        <v>3</v>
      </c>
      <c r="L63" s="53" t="n">
        <f aca="false">IFERROR(INDEX('Control Effectiveness'!$I$5:$I$47,MATCH($A63,'Control Effectiveness'!$A$5:$A$47,0)),0)</f>
        <v>3</v>
      </c>
      <c r="M63" s="53" t="n">
        <f aca="false">IFERROR(INDEX('Control Effectiveness'!$J$5:$J$47,MATCH($A63,'Control Effectiveness'!$A$5:$A$47,0)),0)</f>
        <v>2</v>
      </c>
      <c r="N63" s="53" t="n">
        <f aca="false">IFERROR(INDEX('Control Effectiveness'!$K$5:$K$47,MATCH($A63,'Control Effectiveness'!$A$5:$A$47,0)),0)</f>
        <v>2</v>
      </c>
      <c r="O63" s="53" t="n">
        <f aca="false">IFERROR(INDEX('Control Effectiveness'!$L$5:$L$47,MATCH($A63,'Control Effectiveness'!$A$5:$A$47,0)),0)</f>
        <v>2</v>
      </c>
      <c r="P63" s="53" t="n">
        <f aca="false">IFERROR(INDEX('Control Effectiveness'!$M$5:$M$47,MATCH($A63,'Control Effectiveness'!$A$5:$A$47,0)),0)</f>
        <v>4</v>
      </c>
      <c r="Q63" s="53" t="n">
        <f aca="false">IFERROR(INDEX('Control Effectiveness'!$N$5:$N$47,MATCH($A63,'Control Effectiveness'!$A$5:$A$47,0)),0)</f>
        <v>3</v>
      </c>
      <c r="R63" s="53" t="n">
        <f aca="false">IFERROR(INDEX('Control Effectiveness'!$O$5:$O$47,MATCH($A63,'Control Effectiveness'!$A$5:$A$47,0)),0)</f>
        <v>2</v>
      </c>
      <c r="S63" s="53" t="n">
        <f aca="false">IFERROR(INDEX('Control Effectiveness'!$P$5:$P$47,MATCH($A63,'Control Effectiveness'!$A$5:$A$47,0)),0)</f>
        <v>3</v>
      </c>
      <c r="T63" s="53" t="n">
        <f aca="false">IFERROR(INDEX('Control Effectiveness'!$Q$5:$Q$47,MATCH($A63,'Control Effectiveness'!$A$5:$A$47,0)),0)</f>
        <v>2</v>
      </c>
      <c r="U63" s="53" t="n">
        <f aca="false">IFERROR(INDEX('Control Effectiveness'!$R$5:$R$47,MATCH($A63,'Control Effectiveness'!$A$5:$A$47,0)),0)</f>
        <v>2</v>
      </c>
      <c r="V63" s="53" t="n">
        <f aca="false">IFERROR(INDEX('Control Effectiveness'!$S$5:$S$47,MATCH($A63,'Control Effectiveness'!$A$5:$A$47,0)),0)</f>
        <v>2</v>
      </c>
      <c r="W63" s="53" t="n">
        <f aca="false">IFERROR(INDEX('Control Effectiveness'!$T$5:$T$47,MATCH($A63,'Control Effectiveness'!$A$5:$A$47,0)),0)</f>
        <v>1</v>
      </c>
      <c r="X63" s="53" t="n">
        <f aca="false">IFERROR(INDEX('Control Effectiveness'!$U$5:$U$47,MATCH($A63,'Control Effectiveness'!$A$5:$A$47,0)),0)</f>
        <v>2</v>
      </c>
      <c r="Y63" s="53" t="n">
        <f aca="false">IFERROR(INDEX('Control Effectiveness'!$V$5:$V$47,MATCH($A63,'Control Effectiveness'!$A$5:$A$47,0)),0)</f>
        <v>2</v>
      </c>
      <c r="Z63" s="53" t="n">
        <f aca="false">IFERROR(INDEX('Control Effectiveness'!$W$5:$W$47,MATCH($A63,'Control Effectiveness'!$A$5:$A$47,0)),0)</f>
        <v>2</v>
      </c>
      <c r="AA63" s="53" t="n">
        <f aca="false">IFERROR(INDEX('Control Effectiveness'!$X$5:$X$47,MATCH($A63,'Control Effectiveness'!$A$5:$A$47,0)),0)</f>
        <v>3</v>
      </c>
      <c r="AB63" s="53" t="n">
        <f aca="false">IFERROR(INDEX('Control Effectiveness'!$Y$5:$Y$47,MATCH($A63,'Control Effectiveness'!$A$5:$A$47,0)),0)</f>
        <v>1</v>
      </c>
      <c r="AC63" s="53" t="n">
        <f aca="false">IFERROR(INDEX('Control Effectiveness'!$Z$5:$Z$47,MATCH($A63,'Control Effectiveness'!$A$5:$A$47,0)),0)</f>
        <v>1</v>
      </c>
      <c r="AD63" s="53" t="n">
        <f aca="false">IFERROR(INDEX('Control Effectiveness'!$AA$5:$AA$47,MATCH($A63,'Control Effectiveness'!$A$5:$A$47,0)),0)</f>
        <v>2</v>
      </c>
      <c r="AE63" s="53" t="n">
        <f aca="false">IFERROR(INDEX('Control Effectiveness'!$AB$5:$AB$47,MATCH($A63,'Control Effectiveness'!$A$5:$A$47,0)),0)</f>
        <v>1</v>
      </c>
      <c r="AF63" s="53" t="n">
        <f aca="false">IFERROR(INDEX('Control Effectiveness'!$AC$5:$AC$47,MATCH($A63,'Control Effectiveness'!$A$5:$A$47,0)),0)</f>
        <v>1</v>
      </c>
      <c r="AG63" s="53" t="n">
        <f aca="false">IFERROR(INDEX('Control Effectiveness'!$AD$5:$AD$47,MATCH($A63,'Control Effectiveness'!$A$5:$A$47,0)),0)</f>
        <v>1</v>
      </c>
      <c r="AH63" s="53" t="n">
        <f aca="false">IFERROR(INDEX('Control Effectiveness'!$AE$5:$AE$47,MATCH($A63,'Control Effectiveness'!$A$5:$A$47,0)),0)</f>
        <v>1</v>
      </c>
      <c r="AI63" s="53" t="n">
        <f aca="false">IFERROR(INDEX('Control Effectiveness'!$AF$5:$AF$47,MATCH($A63,'Control Effectiveness'!$A$5:$A$47,0)),0)</f>
        <v>1</v>
      </c>
      <c r="AJ63" s="53" t="n">
        <f aca="false">IFERROR(INDEX('Control Effectiveness'!$AG$5:$AG$47,MATCH($A63,'Control Effectiveness'!$A$5:$A$47,0)),0)</f>
        <v>1</v>
      </c>
    </row>
    <row r="64" customFormat="false" ht="15" hidden="false" customHeight="false" outlineLevel="0" collapsed="false">
      <c r="A64" s="8" t="s">
        <v>678</v>
      </c>
      <c r="B64" s="12" t="str">
        <f aca="false">INDEX('Control Library'!$B$5:$B$47,MATCH(A64,'Control Library'!$A$5:$A$47,0))</f>
        <v>Complaints handling and root-cause analysis</v>
      </c>
      <c r="C64" s="33" t="s">
        <v>288</v>
      </c>
      <c r="D64" s="12" t="str">
        <f aca="false">INDEX('Risk Taxonomy'!$B$5:$B$24,MATCH(C64,'Risk Taxonomy'!$A$5:$A$24,0))</f>
        <v>Conduct and consumer protection</v>
      </c>
      <c r="E64" s="24" t="n">
        <v>2</v>
      </c>
      <c r="F64" s="7" t="str">
        <f aca="false">INDEX('Control Library'!$F$5:$F$47,MATCH(A64,'Control Library'!$A$5:$A$47,0))</f>
        <v>N</v>
      </c>
      <c r="G64" s="53" t="n">
        <f aca="false">IFERROR(INDEX('Control Effectiveness'!$D$5:$D$47,MATCH($A64,'Control Effectiveness'!$A$5:$A$47,0)),0)</f>
        <v>2</v>
      </c>
      <c r="H64" s="53" t="n">
        <f aca="false">IFERROR(INDEX('Control Effectiveness'!$E$5:$E$47,MATCH($A64,'Control Effectiveness'!$A$5:$A$47,0)),0)</f>
        <v>2</v>
      </c>
      <c r="I64" s="53" t="n">
        <f aca="false">IFERROR(INDEX('Control Effectiveness'!$F$5:$F$47,MATCH($A64,'Control Effectiveness'!$A$5:$A$47,0)),0)</f>
        <v>2</v>
      </c>
      <c r="J64" s="53" t="n">
        <f aca="false">IFERROR(INDEX('Control Effectiveness'!$G$5:$G$47,MATCH($A64,'Control Effectiveness'!$A$5:$A$47,0)),0)</f>
        <v>1</v>
      </c>
      <c r="K64" s="53" t="n">
        <f aca="false">IFERROR(INDEX('Control Effectiveness'!$H$5:$H$47,MATCH($A64,'Control Effectiveness'!$A$5:$A$47,0)),0)</f>
        <v>2</v>
      </c>
      <c r="L64" s="53" t="n">
        <f aca="false">IFERROR(INDEX('Control Effectiveness'!$I$5:$I$47,MATCH($A64,'Control Effectiveness'!$A$5:$A$47,0)),0)</f>
        <v>2</v>
      </c>
      <c r="M64" s="53" t="n">
        <f aca="false">IFERROR(INDEX('Control Effectiveness'!$J$5:$J$47,MATCH($A64,'Control Effectiveness'!$A$5:$A$47,0)),0)</f>
        <v>4</v>
      </c>
      <c r="N64" s="53" t="n">
        <f aca="false">IFERROR(INDEX('Control Effectiveness'!$K$5:$K$47,MATCH($A64,'Control Effectiveness'!$A$5:$A$47,0)),0)</f>
        <v>2</v>
      </c>
      <c r="O64" s="53" t="n">
        <f aca="false">IFERROR(INDEX('Control Effectiveness'!$L$5:$L$47,MATCH($A64,'Control Effectiveness'!$A$5:$A$47,0)),0)</f>
        <v>2</v>
      </c>
      <c r="P64" s="53" t="n">
        <f aca="false">IFERROR(INDEX('Control Effectiveness'!$M$5:$M$47,MATCH($A64,'Control Effectiveness'!$A$5:$A$47,0)),0)</f>
        <v>1</v>
      </c>
      <c r="Q64" s="53" t="n">
        <f aca="false">IFERROR(INDEX('Control Effectiveness'!$N$5:$N$47,MATCH($A64,'Control Effectiveness'!$A$5:$A$47,0)),0)</f>
        <v>2</v>
      </c>
      <c r="R64" s="53" t="n">
        <f aca="false">IFERROR(INDEX('Control Effectiveness'!$O$5:$O$47,MATCH($A64,'Control Effectiveness'!$A$5:$A$47,0)),0)</f>
        <v>2</v>
      </c>
      <c r="S64" s="53" t="n">
        <f aca="false">IFERROR(INDEX('Control Effectiveness'!$P$5:$P$47,MATCH($A64,'Control Effectiveness'!$A$5:$A$47,0)),0)</f>
        <v>2</v>
      </c>
      <c r="T64" s="53" t="n">
        <f aca="false">IFERROR(INDEX('Control Effectiveness'!$Q$5:$Q$47,MATCH($A64,'Control Effectiveness'!$A$5:$A$47,0)),0)</f>
        <v>2</v>
      </c>
      <c r="U64" s="53" t="n">
        <f aca="false">IFERROR(INDEX('Control Effectiveness'!$R$5:$R$47,MATCH($A64,'Control Effectiveness'!$A$5:$A$47,0)),0)</f>
        <v>3</v>
      </c>
      <c r="V64" s="53" t="n">
        <f aca="false">IFERROR(INDEX('Control Effectiveness'!$S$5:$S$47,MATCH($A64,'Control Effectiveness'!$A$5:$A$47,0)),0)</f>
        <v>1</v>
      </c>
      <c r="W64" s="53" t="n">
        <f aca="false">IFERROR(INDEX('Control Effectiveness'!$T$5:$T$47,MATCH($A64,'Control Effectiveness'!$A$5:$A$47,0)),0)</f>
        <v>2</v>
      </c>
      <c r="X64" s="53" t="n">
        <f aca="false">IFERROR(INDEX('Control Effectiveness'!$U$5:$U$47,MATCH($A64,'Control Effectiveness'!$A$5:$A$47,0)),0)</f>
        <v>2</v>
      </c>
      <c r="Y64" s="53" t="n">
        <f aca="false">IFERROR(INDEX('Control Effectiveness'!$V$5:$V$47,MATCH($A64,'Control Effectiveness'!$A$5:$A$47,0)),0)</f>
        <v>2</v>
      </c>
      <c r="Z64" s="53" t="n">
        <f aca="false">IFERROR(INDEX('Control Effectiveness'!$W$5:$W$47,MATCH($A64,'Control Effectiveness'!$A$5:$A$47,0)),0)</f>
        <v>2</v>
      </c>
      <c r="AA64" s="53" t="n">
        <f aca="false">IFERROR(INDEX('Control Effectiveness'!$X$5:$X$47,MATCH($A64,'Control Effectiveness'!$A$5:$A$47,0)),0)</f>
        <v>2</v>
      </c>
      <c r="AB64" s="53" t="n">
        <f aca="false">IFERROR(INDEX('Control Effectiveness'!$Y$5:$Y$47,MATCH($A64,'Control Effectiveness'!$A$5:$A$47,0)),0)</f>
        <v>2</v>
      </c>
      <c r="AC64" s="53" t="n">
        <f aca="false">IFERROR(INDEX('Control Effectiveness'!$Z$5:$Z$47,MATCH($A64,'Control Effectiveness'!$A$5:$A$47,0)),0)</f>
        <v>1</v>
      </c>
      <c r="AD64" s="53" t="n">
        <f aca="false">IFERROR(INDEX('Control Effectiveness'!$AA$5:$AA$47,MATCH($A64,'Control Effectiveness'!$A$5:$A$47,0)),0)</f>
        <v>1</v>
      </c>
      <c r="AE64" s="53" t="n">
        <f aca="false">IFERROR(INDEX('Control Effectiveness'!$AB$5:$AB$47,MATCH($A64,'Control Effectiveness'!$A$5:$A$47,0)),0)</f>
        <v>1</v>
      </c>
      <c r="AF64" s="53" t="n">
        <f aca="false">IFERROR(INDEX('Control Effectiveness'!$AC$5:$AC$47,MATCH($A64,'Control Effectiveness'!$A$5:$A$47,0)),0)</f>
        <v>2</v>
      </c>
      <c r="AG64" s="53" t="n">
        <f aca="false">IFERROR(INDEX('Control Effectiveness'!$AD$5:$AD$47,MATCH($A64,'Control Effectiveness'!$A$5:$A$47,0)),0)</f>
        <v>1</v>
      </c>
      <c r="AH64" s="53" t="n">
        <f aca="false">IFERROR(INDEX('Control Effectiveness'!$AE$5:$AE$47,MATCH($A64,'Control Effectiveness'!$A$5:$A$47,0)),0)</f>
        <v>2</v>
      </c>
      <c r="AI64" s="53" t="n">
        <f aca="false">IFERROR(INDEX('Control Effectiveness'!$AF$5:$AF$47,MATCH($A64,'Control Effectiveness'!$A$5:$A$47,0)),0)</f>
        <v>1</v>
      </c>
      <c r="AJ64" s="53" t="n">
        <f aca="false">IFERROR(INDEX('Control Effectiveness'!$AG$5:$AG$47,MATCH($A64,'Control Effectiveness'!$A$5:$A$47,0)),0)</f>
        <v>4</v>
      </c>
    </row>
    <row r="65" customFormat="false" ht="15" hidden="false" customHeight="false" outlineLevel="0" collapsed="false">
      <c r="A65" s="8" t="s">
        <v>678</v>
      </c>
      <c r="B65" s="12" t="str">
        <f aca="false">INDEX('Control Library'!$B$5:$B$47,MATCH(A65,'Control Library'!$A$5:$A$47,0))</f>
        <v>Complaints handling and root-cause analysis</v>
      </c>
      <c r="C65" s="33" t="s">
        <v>319</v>
      </c>
      <c r="D65" s="12" t="str">
        <f aca="false">INDEX('Risk Taxonomy'!$B$5:$B$24,MATCH(C65,'Risk Taxonomy'!$A$5:$A$24,0))</f>
        <v>Reputational</v>
      </c>
      <c r="E65" s="24" t="n">
        <v>1</v>
      </c>
      <c r="F65" s="7" t="str">
        <f aca="false">INDEX('Control Library'!$F$5:$F$47,MATCH(A65,'Control Library'!$A$5:$A$47,0))</f>
        <v>N</v>
      </c>
      <c r="G65" s="53" t="n">
        <f aca="false">IFERROR(INDEX('Control Effectiveness'!$D$5:$D$47,MATCH($A65,'Control Effectiveness'!$A$5:$A$47,0)),0)</f>
        <v>2</v>
      </c>
      <c r="H65" s="53" t="n">
        <f aca="false">IFERROR(INDEX('Control Effectiveness'!$E$5:$E$47,MATCH($A65,'Control Effectiveness'!$A$5:$A$47,0)),0)</f>
        <v>2</v>
      </c>
      <c r="I65" s="53" t="n">
        <f aca="false">IFERROR(INDEX('Control Effectiveness'!$F$5:$F$47,MATCH($A65,'Control Effectiveness'!$A$5:$A$47,0)),0)</f>
        <v>2</v>
      </c>
      <c r="J65" s="53" t="n">
        <f aca="false">IFERROR(INDEX('Control Effectiveness'!$G$5:$G$47,MATCH($A65,'Control Effectiveness'!$A$5:$A$47,0)),0)</f>
        <v>1</v>
      </c>
      <c r="K65" s="53" t="n">
        <f aca="false">IFERROR(INDEX('Control Effectiveness'!$H$5:$H$47,MATCH($A65,'Control Effectiveness'!$A$5:$A$47,0)),0)</f>
        <v>2</v>
      </c>
      <c r="L65" s="53" t="n">
        <f aca="false">IFERROR(INDEX('Control Effectiveness'!$I$5:$I$47,MATCH($A65,'Control Effectiveness'!$A$5:$A$47,0)),0)</f>
        <v>2</v>
      </c>
      <c r="M65" s="53" t="n">
        <f aca="false">IFERROR(INDEX('Control Effectiveness'!$J$5:$J$47,MATCH($A65,'Control Effectiveness'!$A$5:$A$47,0)),0)</f>
        <v>4</v>
      </c>
      <c r="N65" s="53" t="n">
        <f aca="false">IFERROR(INDEX('Control Effectiveness'!$K$5:$K$47,MATCH($A65,'Control Effectiveness'!$A$5:$A$47,0)),0)</f>
        <v>2</v>
      </c>
      <c r="O65" s="53" t="n">
        <f aca="false">IFERROR(INDEX('Control Effectiveness'!$L$5:$L$47,MATCH($A65,'Control Effectiveness'!$A$5:$A$47,0)),0)</f>
        <v>2</v>
      </c>
      <c r="P65" s="53" t="n">
        <f aca="false">IFERROR(INDEX('Control Effectiveness'!$M$5:$M$47,MATCH($A65,'Control Effectiveness'!$A$5:$A$47,0)),0)</f>
        <v>1</v>
      </c>
      <c r="Q65" s="53" t="n">
        <f aca="false">IFERROR(INDEX('Control Effectiveness'!$N$5:$N$47,MATCH($A65,'Control Effectiveness'!$A$5:$A$47,0)),0)</f>
        <v>2</v>
      </c>
      <c r="R65" s="53" t="n">
        <f aca="false">IFERROR(INDEX('Control Effectiveness'!$O$5:$O$47,MATCH($A65,'Control Effectiveness'!$A$5:$A$47,0)),0)</f>
        <v>2</v>
      </c>
      <c r="S65" s="53" t="n">
        <f aca="false">IFERROR(INDEX('Control Effectiveness'!$P$5:$P$47,MATCH($A65,'Control Effectiveness'!$A$5:$A$47,0)),0)</f>
        <v>2</v>
      </c>
      <c r="T65" s="53" t="n">
        <f aca="false">IFERROR(INDEX('Control Effectiveness'!$Q$5:$Q$47,MATCH($A65,'Control Effectiveness'!$A$5:$A$47,0)),0)</f>
        <v>2</v>
      </c>
      <c r="U65" s="53" t="n">
        <f aca="false">IFERROR(INDEX('Control Effectiveness'!$R$5:$R$47,MATCH($A65,'Control Effectiveness'!$A$5:$A$47,0)),0)</f>
        <v>3</v>
      </c>
      <c r="V65" s="53" t="n">
        <f aca="false">IFERROR(INDEX('Control Effectiveness'!$S$5:$S$47,MATCH($A65,'Control Effectiveness'!$A$5:$A$47,0)),0)</f>
        <v>1</v>
      </c>
      <c r="W65" s="53" t="n">
        <f aca="false">IFERROR(INDEX('Control Effectiveness'!$T$5:$T$47,MATCH($A65,'Control Effectiveness'!$A$5:$A$47,0)),0)</f>
        <v>2</v>
      </c>
      <c r="X65" s="53" t="n">
        <f aca="false">IFERROR(INDEX('Control Effectiveness'!$U$5:$U$47,MATCH($A65,'Control Effectiveness'!$A$5:$A$47,0)),0)</f>
        <v>2</v>
      </c>
      <c r="Y65" s="53" t="n">
        <f aca="false">IFERROR(INDEX('Control Effectiveness'!$V$5:$V$47,MATCH($A65,'Control Effectiveness'!$A$5:$A$47,0)),0)</f>
        <v>2</v>
      </c>
      <c r="Z65" s="53" t="n">
        <f aca="false">IFERROR(INDEX('Control Effectiveness'!$W$5:$W$47,MATCH($A65,'Control Effectiveness'!$A$5:$A$47,0)),0)</f>
        <v>2</v>
      </c>
      <c r="AA65" s="53" t="n">
        <f aca="false">IFERROR(INDEX('Control Effectiveness'!$X$5:$X$47,MATCH($A65,'Control Effectiveness'!$A$5:$A$47,0)),0)</f>
        <v>2</v>
      </c>
      <c r="AB65" s="53" t="n">
        <f aca="false">IFERROR(INDEX('Control Effectiveness'!$Y$5:$Y$47,MATCH($A65,'Control Effectiveness'!$A$5:$A$47,0)),0)</f>
        <v>2</v>
      </c>
      <c r="AC65" s="53" t="n">
        <f aca="false">IFERROR(INDEX('Control Effectiveness'!$Z$5:$Z$47,MATCH($A65,'Control Effectiveness'!$A$5:$A$47,0)),0)</f>
        <v>1</v>
      </c>
      <c r="AD65" s="53" t="n">
        <f aca="false">IFERROR(INDEX('Control Effectiveness'!$AA$5:$AA$47,MATCH($A65,'Control Effectiveness'!$A$5:$A$47,0)),0)</f>
        <v>1</v>
      </c>
      <c r="AE65" s="53" t="n">
        <f aca="false">IFERROR(INDEX('Control Effectiveness'!$AB$5:$AB$47,MATCH($A65,'Control Effectiveness'!$A$5:$A$47,0)),0)</f>
        <v>1</v>
      </c>
      <c r="AF65" s="53" t="n">
        <f aca="false">IFERROR(INDEX('Control Effectiveness'!$AC$5:$AC$47,MATCH($A65,'Control Effectiveness'!$A$5:$A$47,0)),0)</f>
        <v>2</v>
      </c>
      <c r="AG65" s="53" t="n">
        <f aca="false">IFERROR(INDEX('Control Effectiveness'!$AD$5:$AD$47,MATCH($A65,'Control Effectiveness'!$A$5:$A$47,0)),0)</f>
        <v>1</v>
      </c>
      <c r="AH65" s="53" t="n">
        <f aca="false">IFERROR(INDEX('Control Effectiveness'!$AE$5:$AE$47,MATCH($A65,'Control Effectiveness'!$A$5:$A$47,0)),0)</f>
        <v>2</v>
      </c>
      <c r="AI65" s="53" t="n">
        <f aca="false">IFERROR(INDEX('Control Effectiveness'!$AF$5:$AF$47,MATCH($A65,'Control Effectiveness'!$A$5:$A$47,0)),0)</f>
        <v>1</v>
      </c>
      <c r="AJ65" s="53" t="n">
        <f aca="false">IFERROR(INDEX('Control Effectiveness'!$AG$5:$AG$47,MATCH($A65,'Control Effectiveness'!$A$5:$A$47,0)),0)</f>
        <v>4</v>
      </c>
    </row>
    <row r="66" customFormat="false" ht="15" hidden="false" customHeight="false" outlineLevel="0" collapsed="false">
      <c r="A66" s="8" t="s">
        <v>682</v>
      </c>
      <c r="B66" s="12" t="str">
        <f aca="false">INDEX('Control Library'!$B$5:$B$47,MATCH(A66,'Control Library'!$A$5:$A$47,0))</f>
        <v>Data protection impact assessments and processing records</v>
      </c>
      <c r="C66" s="33" t="s">
        <v>290</v>
      </c>
      <c r="D66" s="12" t="str">
        <f aca="false">INDEX('Risk Taxonomy'!$B$5:$B$24,MATCH(C66,'Risk Taxonomy'!$A$5:$A$24,0))</f>
        <v>Data protection and privacy</v>
      </c>
      <c r="E66" s="24" t="n">
        <v>2</v>
      </c>
      <c r="F66" s="7" t="str">
        <f aca="false">INDEX('Control Library'!$F$5:$F$47,MATCH(A66,'Control Library'!$A$5:$A$47,0))</f>
        <v>Y</v>
      </c>
      <c r="G66" s="53" t="n">
        <f aca="false">IFERROR(INDEX('Control Effectiveness'!$D$5:$D$47,MATCH($A66,'Control Effectiveness'!$A$5:$A$47,0)),0)</f>
        <v>2</v>
      </c>
      <c r="H66" s="53" t="n">
        <f aca="false">IFERROR(INDEX('Control Effectiveness'!$E$5:$E$47,MATCH($A66,'Control Effectiveness'!$A$5:$A$47,0)),0)</f>
        <v>1</v>
      </c>
      <c r="I66" s="53" t="n">
        <f aca="false">IFERROR(INDEX('Control Effectiveness'!$F$5:$F$47,MATCH($A66,'Control Effectiveness'!$A$5:$A$47,0)),0)</f>
        <v>2</v>
      </c>
      <c r="J66" s="53" t="n">
        <f aca="false">IFERROR(INDEX('Control Effectiveness'!$G$5:$G$47,MATCH($A66,'Control Effectiveness'!$A$5:$A$47,0)),0)</f>
        <v>2</v>
      </c>
      <c r="K66" s="53" t="n">
        <f aca="false">IFERROR(INDEX('Control Effectiveness'!$H$5:$H$47,MATCH($A66,'Control Effectiveness'!$A$5:$A$47,0)),0)</f>
        <v>1</v>
      </c>
      <c r="L66" s="53" t="n">
        <f aca="false">IFERROR(INDEX('Control Effectiveness'!$I$5:$I$47,MATCH($A66,'Control Effectiveness'!$A$5:$A$47,0)),0)</f>
        <v>3</v>
      </c>
      <c r="M66" s="53" t="n">
        <f aca="false">IFERROR(INDEX('Control Effectiveness'!$J$5:$J$47,MATCH($A66,'Control Effectiveness'!$A$5:$A$47,0)),0)</f>
        <v>2</v>
      </c>
      <c r="N66" s="53" t="n">
        <f aca="false">IFERROR(INDEX('Control Effectiveness'!$K$5:$K$47,MATCH($A66,'Control Effectiveness'!$A$5:$A$47,0)),0)</f>
        <v>3</v>
      </c>
      <c r="O66" s="53" t="n">
        <f aca="false">IFERROR(INDEX('Control Effectiveness'!$L$5:$L$47,MATCH($A66,'Control Effectiveness'!$A$5:$A$47,0)),0)</f>
        <v>2</v>
      </c>
      <c r="P66" s="53" t="n">
        <f aca="false">IFERROR(INDEX('Control Effectiveness'!$M$5:$M$47,MATCH($A66,'Control Effectiveness'!$A$5:$A$47,0)),0)</f>
        <v>3</v>
      </c>
      <c r="Q66" s="53" t="n">
        <f aca="false">IFERROR(INDEX('Control Effectiveness'!$N$5:$N$47,MATCH($A66,'Control Effectiveness'!$A$5:$A$47,0)),0)</f>
        <v>2</v>
      </c>
      <c r="R66" s="53" t="n">
        <f aca="false">IFERROR(INDEX('Control Effectiveness'!$O$5:$O$47,MATCH($A66,'Control Effectiveness'!$A$5:$A$47,0)),0)</f>
        <v>3</v>
      </c>
      <c r="S66" s="53" t="n">
        <f aca="false">IFERROR(INDEX('Control Effectiveness'!$P$5:$P$47,MATCH($A66,'Control Effectiveness'!$A$5:$A$47,0)),0)</f>
        <v>2</v>
      </c>
      <c r="T66" s="53" t="n">
        <f aca="false">IFERROR(INDEX('Control Effectiveness'!$Q$5:$Q$47,MATCH($A66,'Control Effectiveness'!$A$5:$A$47,0)),0)</f>
        <v>2</v>
      </c>
      <c r="U66" s="53" t="n">
        <f aca="false">IFERROR(INDEX('Control Effectiveness'!$R$5:$R$47,MATCH($A66,'Control Effectiveness'!$A$5:$A$47,0)),0)</f>
        <v>3</v>
      </c>
      <c r="V66" s="53" t="n">
        <f aca="false">IFERROR(INDEX('Control Effectiveness'!$S$5:$S$47,MATCH($A66,'Control Effectiveness'!$A$5:$A$47,0)),0)</f>
        <v>3</v>
      </c>
      <c r="W66" s="53" t="n">
        <f aca="false">IFERROR(INDEX('Control Effectiveness'!$T$5:$T$47,MATCH($A66,'Control Effectiveness'!$A$5:$A$47,0)),0)</f>
        <v>1</v>
      </c>
      <c r="X66" s="53" t="n">
        <f aca="false">IFERROR(INDEX('Control Effectiveness'!$U$5:$U$47,MATCH($A66,'Control Effectiveness'!$A$5:$A$47,0)),0)</f>
        <v>4</v>
      </c>
      <c r="Y66" s="53" t="n">
        <f aca="false">IFERROR(INDEX('Control Effectiveness'!$V$5:$V$47,MATCH($A66,'Control Effectiveness'!$A$5:$A$47,0)),0)</f>
        <v>1</v>
      </c>
      <c r="Z66" s="53" t="n">
        <f aca="false">IFERROR(INDEX('Control Effectiveness'!$W$5:$W$47,MATCH($A66,'Control Effectiveness'!$A$5:$A$47,0)),0)</f>
        <v>2</v>
      </c>
      <c r="AA66" s="53" t="n">
        <f aca="false">IFERROR(INDEX('Control Effectiveness'!$X$5:$X$47,MATCH($A66,'Control Effectiveness'!$A$5:$A$47,0)),0)</f>
        <v>3</v>
      </c>
      <c r="AB66" s="53" t="n">
        <f aca="false">IFERROR(INDEX('Control Effectiveness'!$Y$5:$Y$47,MATCH($A66,'Control Effectiveness'!$A$5:$A$47,0)),0)</f>
        <v>4</v>
      </c>
      <c r="AC66" s="53" t="n">
        <f aca="false">IFERROR(INDEX('Control Effectiveness'!$Z$5:$Z$47,MATCH($A66,'Control Effectiveness'!$A$5:$A$47,0)),0)</f>
        <v>1</v>
      </c>
      <c r="AD66" s="53" t="n">
        <f aca="false">IFERROR(INDEX('Control Effectiveness'!$AA$5:$AA$47,MATCH($A66,'Control Effectiveness'!$A$5:$A$47,0)),0)</f>
        <v>1</v>
      </c>
      <c r="AE66" s="53" t="n">
        <f aca="false">IFERROR(INDEX('Control Effectiveness'!$AB$5:$AB$47,MATCH($A66,'Control Effectiveness'!$A$5:$A$47,0)),0)</f>
        <v>2</v>
      </c>
      <c r="AF66" s="53" t="n">
        <f aca="false">IFERROR(INDEX('Control Effectiveness'!$AC$5:$AC$47,MATCH($A66,'Control Effectiveness'!$A$5:$A$47,0)),0)</f>
        <v>1</v>
      </c>
      <c r="AG66" s="53" t="n">
        <f aca="false">IFERROR(INDEX('Control Effectiveness'!$AD$5:$AD$47,MATCH($A66,'Control Effectiveness'!$A$5:$A$47,0)),0)</f>
        <v>2</v>
      </c>
      <c r="AH66" s="53" t="n">
        <f aca="false">IFERROR(INDEX('Control Effectiveness'!$AE$5:$AE$47,MATCH($A66,'Control Effectiveness'!$A$5:$A$47,0)),0)</f>
        <v>1</v>
      </c>
      <c r="AI66" s="53" t="n">
        <f aca="false">IFERROR(INDEX('Control Effectiveness'!$AF$5:$AF$47,MATCH($A66,'Control Effectiveness'!$A$5:$A$47,0)),0)</f>
        <v>3</v>
      </c>
      <c r="AJ66" s="53" t="n">
        <f aca="false">IFERROR(INDEX('Control Effectiveness'!$AG$5:$AG$47,MATCH($A66,'Control Effectiveness'!$A$5:$A$47,0)),0)</f>
        <v>2</v>
      </c>
    </row>
    <row r="67" customFormat="false" ht="15" hidden="false" customHeight="false" outlineLevel="0" collapsed="false">
      <c r="A67" s="8" t="s">
        <v>685</v>
      </c>
      <c r="B67" s="12" t="str">
        <f aca="false">INDEX('Control Library'!$B$5:$B$47,MATCH(A67,'Control Library'!$A$5:$A$47,0))</f>
        <v>Data loss prevention and quarterly access recertification</v>
      </c>
      <c r="C67" s="33" t="s">
        <v>290</v>
      </c>
      <c r="D67" s="12" t="str">
        <f aca="false">INDEX('Risk Taxonomy'!$B$5:$B$24,MATCH(C67,'Risk Taxonomy'!$A$5:$A$24,0))</f>
        <v>Data protection and privacy</v>
      </c>
      <c r="E67" s="24" t="n">
        <v>2</v>
      </c>
      <c r="F67" s="7" t="str">
        <f aca="false">INDEX('Control Library'!$F$5:$F$47,MATCH(A67,'Control Library'!$A$5:$A$47,0))</f>
        <v>Y</v>
      </c>
      <c r="G67" s="53" t="n">
        <f aca="false">IFERROR(INDEX('Control Effectiveness'!$D$5:$D$47,MATCH($A67,'Control Effectiveness'!$A$5:$A$47,0)),0)</f>
        <v>2</v>
      </c>
      <c r="H67" s="53" t="n">
        <f aca="false">IFERROR(INDEX('Control Effectiveness'!$E$5:$E$47,MATCH($A67,'Control Effectiveness'!$A$5:$A$47,0)),0)</f>
        <v>2</v>
      </c>
      <c r="I67" s="53" t="n">
        <f aca="false">IFERROR(INDEX('Control Effectiveness'!$F$5:$F$47,MATCH($A67,'Control Effectiveness'!$A$5:$A$47,0)),0)</f>
        <v>2</v>
      </c>
      <c r="J67" s="53" t="n">
        <f aca="false">IFERROR(INDEX('Control Effectiveness'!$G$5:$G$47,MATCH($A67,'Control Effectiveness'!$A$5:$A$47,0)),0)</f>
        <v>2</v>
      </c>
      <c r="K67" s="53" t="n">
        <f aca="false">IFERROR(INDEX('Control Effectiveness'!$H$5:$H$47,MATCH($A67,'Control Effectiveness'!$A$5:$A$47,0)),0)</f>
        <v>1</v>
      </c>
      <c r="L67" s="53" t="n">
        <f aca="false">IFERROR(INDEX('Control Effectiveness'!$I$5:$I$47,MATCH($A67,'Control Effectiveness'!$A$5:$A$47,0)),0)</f>
        <v>2</v>
      </c>
      <c r="M67" s="53" t="n">
        <f aca="false">IFERROR(INDEX('Control Effectiveness'!$J$5:$J$47,MATCH($A67,'Control Effectiveness'!$A$5:$A$47,0)),0)</f>
        <v>3</v>
      </c>
      <c r="N67" s="53" t="n">
        <f aca="false">IFERROR(INDEX('Control Effectiveness'!$K$5:$K$47,MATCH($A67,'Control Effectiveness'!$A$5:$A$47,0)),0)</f>
        <v>2</v>
      </c>
      <c r="O67" s="53" t="n">
        <f aca="false">IFERROR(INDEX('Control Effectiveness'!$L$5:$L$47,MATCH($A67,'Control Effectiveness'!$A$5:$A$47,0)),0)</f>
        <v>3</v>
      </c>
      <c r="P67" s="53" t="n">
        <f aca="false">IFERROR(INDEX('Control Effectiveness'!$M$5:$M$47,MATCH($A67,'Control Effectiveness'!$A$5:$A$47,0)),0)</f>
        <v>4</v>
      </c>
      <c r="Q67" s="53" t="n">
        <f aca="false">IFERROR(INDEX('Control Effectiveness'!$N$5:$N$47,MATCH($A67,'Control Effectiveness'!$A$5:$A$47,0)),0)</f>
        <v>1</v>
      </c>
      <c r="R67" s="53" t="n">
        <f aca="false">IFERROR(INDEX('Control Effectiveness'!$O$5:$O$47,MATCH($A67,'Control Effectiveness'!$A$5:$A$47,0)),0)</f>
        <v>2</v>
      </c>
      <c r="S67" s="53" t="n">
        <f aca="false">IFERROR(INDEX('Control Effectiveness'!$P$5:$P$47,MATCH($A67,'Control Effectiveness'!$A$5:$A$47,0)),0)</f>
        <v>2</v>
      </c>
      <c r="T67" s="53" t="n">
        <f aca="false">IFERROR(INDEX('Control Effectiveness'!$Q$5:$Q$47,MATCH($A67,'Control Effectiveness'!$A$5:$A$47,0)),0)</f>
        <v>1</v>
      </c>
      <c r="U67" s="53" t="n">
        <f aca="false">IFERROR(INDEX('Control Effectiveness'!$R$5:$R$47,MATCH($A67,'Control Effectiveness'!$A$5:$A$47,0)),0)</f>
        <v>3</v>
      </c>
      <c r="V67" s="53" t="n">
        <f aca="false">IFERROR(INDEX('Control Effectiveness'!$S$5:$S$47,MATCH($A67,'Control Effectiveness'!$A$5:$A$47,0)),0)</f>
        <v>2</v>
      </c>
      <c r="W67" s="53" t="n">
        <f aca="false">IFERROR(INDEX('Control Effectiveness'!$T$5:$T$47,MATCH($A67,'Control Effectiveness'!$A$5:$A$47,0)),0)</f>
        <v>3</v>
      </c>
      <c r="X67" s="53" t="n">
        <f aca="false">IFERROR(INDEX('Control Effectiveness'!$U$5:$U$47,MATCH($A67,'Control Effectiveness'!$A$5:$A$47,0)),0)</f>
        <v>2</v>
      </c>
      <c r="Y67" s="53" t="n">
        <f aca="false">IFERROR(INDEX('Control Effectiveness'!$V$5:$V$47,MATCH($A67,'Control Effectiveness'!$A$5:$A$47,0)),0)</f>
        <v>1</v>
      </c>
      <c r="Z67" s="53" t="n">
        <f aca="false">IFERROR(INDEX('Control Effectiveness'!$W$5:$W$47,MATCH($A67,'Control Effectiveness'!$A$5:$A$47,0)),0)</f>
        <v>2</v>
      </c>
      <c r="AA67" s="53" t="n">
        <f aca="false">IFERROR(INDEX('Control Effectiveness'!$X$5:$X$47,MATCH($A67,'Control Effectiveness'!$A$5:$A$47,0)),0)</f>
        <v>3</v>
      </c>
      <c r="AB67" s="53" t="n">
        <f aca="false">IFERROR(INDEX('Control Effectiveness'!$Y$5:$Y$47,MATCH($A67,'Control Effectiveness'!$A$5:$A$47,0)),0)</f>
        <v>2</v>
      </c>
      <c r="AC67" s="53" t="n">
        <f aca="false">IFERROR(INDEX('Control Effectiveness'!$Z$5:$Z$47,MATCH($A67,'Control Effectiveness'!$A$5:$A$47,0)),0)</f>
        <v>4</v>
      </c>
      <c r="AD67" s="53" t="n">
        <f aca="false">IFERROR(INDEX('Control Effectiveness'!$AA$5:$AA$47,MATCH($A67,'Control Effectiveness'!$A$5:$A$47,0)),0)</f>
        <v>1</v>
      </c>
      <c r="AE67" s="53" t="n">
        <f aca="false">IFERROR(INDEX('Control Effectiveness'!$AB$5:$AB$47,MATCH($A67,'Control Effectiveness'!$A$5:$A$47,0)),0)</f>
        <v>4</v>
      </c>
      <c r="AF67" s="53" t="n">
        <f aca="false">IFERROR(INDEX('Control Effectiveness'!$AC$5:$AC$47,MATCH($A67,'Control Effectiveness'!$A$5:$A$47,0)),0)</f>
        <v>2</v>
      </c>
      <c r="AG67" s="53" t="n">
        <f aca="false">IFERROR(INDEX('Control Effectiveness'!$AD$5:$AD$47,MATCH($A67,'Control Effectiveness'!$A$5:$A$47,0)),0)</f>
        <v>2</v>
      </c>
      <c r="AH67" s="53" t="n">
        <f aca="false">IFERROR(INDEX('Control Effectiveness'!$AE$5:$AE$47,MATCH($A67,'Control Effectiveness'!$A$5:$A$47,0)),0)</f>
        <v>2</v>
      </c>
      <c r="AI67" s="53" t="n">
        <f aca="false">IFERROR(INDEX('Control Effectiveness'!$AF$5:$AF$47,MATCH($A67,'Control Effectiveness'!$A$5:$A$47,0)),0)</f>
        <v>2</v>
      </c>
      <c r="AJ67" s="53" t="n">
        <f aca="false">IFERROR(INDEX('Control Effectiveness'!$AG$5:$AG$47,MATCH($A67,'Control Effectiveness'!$A$5:$A$47,0)),0)</f>
        <v>1</v>
      </c>
    </row>
    <row r="68" customFormat="false" ht="15" hidden="false" customHeight="false" outlineLevel="0" collapsed="false">
      <c r="A68" s="8" t="s">
        <v>685</v>
      </c>
      <c r="B68" s="12" t="str">
        <f aca="false">INDEX('Control Library'!$B$5:$B$47,MATCH(A68,'Control Library'!$A$5:$A$47,0))</f>
        <v>Data loss prevention and quarterly access recertification</v>
      </c>
      <c r="C68" s="33" t="s">
        <v>310</v>
      </c>
      <c r="D68" s="12" t="str">
        <f aca="false">INDEX('Risk Taxonomy'!$B$5:$B$24,MATCH(C68,'Risk Taxonomy'!$A$5:$A$24,0))</f>
        <v>Cyber, information security and technology</v>
      </c>
      <c r="E68" s="24" t="n">
        <v>1</v>
      </c>
      <c r="F68" s="7" t="str">
        <f aca="false">INDEX('Control Library'!$F$5:$F$47,MATCH(A68,'Control Library'!$A$5:$A$47,0))</f>
        <v>Y</v>
      </c>
      <c r="G68" s="53" t="n">
        <f aca="false">IFERROR(INDEX('Control Effectiveness'!$D$5:$D$47,MATCH($A68,'Control Effectiveness'!$A$5:$A$47,0)),0)</f>
        <v>2</v>
      </c>
      <c r="H68" s="53" t="n">
        <f aca="false">IFERROR(INDEX('Control Effectiveness'!$E$5:$E$47,MATCH($A68,'Control Effectiveness'!$A$5:$A$47,0)),0)</f>
        <v>2</v>
      </c>
      <c r="I68" s="53" t="n">
        <f aca="false">IFERROR(INDEX('Control Effectiveness'!$F$5:$F$47,MATCH($A68,'Control Effectiveness'!$A$5:$A$47,0)),0)</f>
        <v>2</v>
      </c>
      <c r="J68" s="53" t="n">
        <f aca="false">IFERROR(INDEX('Control Effectiveness'!$G$5:$G$47,MATCH($A68,'Control Effectiveness'!$A$5:$A$47,0)),0)</f>
        <v>2</v>
      </c>
      <c r="K68" s="53" t="n">
        <f aca="false">IFERROR(INDEX('Control Effectiveness'!$H$5:$H$47,MATCH($A68,'Control Effectiveness'!$A$5:$A$47,0)),0)</f>
        <v>1</v>
      </c>
      <c r="L68" s="53" t="n">
        <f aca="false">IFERROR(INDEX('Control Effectiveness'!$I$5:$I$47,MATCH($A68,'Control Effectiveness'!$A$5:$A$47,0)),0)</f>
        <v>2</v>
      </c>
      <c r="M68" s="53" t="n">
        <f aca="false">IFERROR(INDEX('Control Effectiveness'!$J$5:$J$47,MATCH($A68,'Control Effectiveness'!$A$5:$A$47,0)),0)</f>
        <v>3</v>
      </c>
      <c r="N68" s="53" t="n">
        <f aca="false">IFERROR(INDEX('Control Effectiveness'!$K$5:$K$47,MATCH($A68,'Control Effectiveness'!$A$5:$A$47,0)),0)</f>
        <v>2</v>
      </c>
      <c r="O68" s="53" t="n">
        <f aca="false">IFERROR(INDEX('Control Effectiveness'!$L$5:$L$47,MATCH($A68,'Control Effectiveness'!$A$5:$A$47,0)),0)</f>
        <v>3</v>
      </c>
      <c r="P68" s="53" t="n">
        <f aca="false">IFERROR(INDEX('Control Effectiveness'!$M$5:$M$47,MATCH($A68,'Control Effectiveness'!$A$5:$A$47,0)),0)</f>
        <v>4</v>
      </c>
      <c r="Q68" s="53" t="n">
        <f aca="false">IFERROR(INDEX('Control Effectiveness'!$N$5:$N$47,MATCH($A68,'Control Effectiveness'!$A$5:$A$47,0)),0)</f>
        <v>1</v>
      </c>
      <c r="R68" s="53" t="n">
        <f aca="false">IFERROR(INDEX('Control Effectiveness'!$O$5:$O$47,MATCH($A68,'Control Effectiveness'!$A$5:$A$47,0)),0)</f>
        <v>2</v>
      </c>
      <c r="S68" s="53" t="n">
        <f aca="false">IFERROR(INDEX('Control Effectiveness'!$P$5:$P$47,MATCH($A68,'Control Effectiveness'!$A$5:$A$47,0)),0)</f>
        <v>2</v>
      </c>
      <c r="T68" s="53" t="n">
        <f aca="false">IFERROR(INDEX('Control Effectiveness'!$Q$5:$Q$47,MATCH($A68,'Control Effectiveness'!$A$5:$A$47,0)),0)</f>
        <v>1</v>
      </c>
      <c r="U68" s="53" t="n">
        <f aca="false">IFERROR(INDEX('Control Effectiveness'!$R$5:$R$47,MATCH($A68,'Control Effectiveness'!$A$5:$A$47,0)),0)</f>
        <v>3</v>
      </c>
      <c r="V68" s="53" t="n">
        <f aca="false">IFERROR(INDEX('Control Effectiveness'!$S$5:$S$47,MATCH($A68,'Control Effectiveness'!$A$5:$A$47,0)),0)</f>
        <v>2</v>
      </c>
      <c r="W68" s="53" t="n">
        <f aca="false">IFERROR(INDEX('Control Effectiveness'!$T$5:$T$47,MATCH($A68,'Control Effectiveness'!$A$5:$A$47,0)),0)</f>
        <v>3</v>
      </c>
      <c r="X68" s="53" t="n">
        <f aca="false">IFERROR(INDEX('Control Effectiveness'!$U$5:$U$47,MATCH($A68,'Control Effectiveness'!$A$5:$A$47,0)),0)</f>
        <v>2</v>
      </c>
      <c r="Y68" s="53" t="n">
        <f aca="false">IFERROR(INDEX('Control Effectiveness'!$V$5:$V$47,MATCH($A68,'Control Effectiveness'!$A$5:$A$47,0)),0)</f>
        <v>1</v>
      </c>
      <c r="Z68" s="53" t="n">
        <f aca="false">IFERROR(INDEX('Control Effectiveness'!$W$5:$W$47,MATCH($A68,'Control Effectiveness'!$A$5:$A$47,0)),0)</f>
        <v>2</v>
      </c>
      <c r="AA68" s="53" t="n">
        <f aca="false">IFERROR(INDEX('Control Effectiveness'!$X$5:$X$47,MATCH($A68,'Control Effectiveness'!$A$5:$A$47,0)),0)</f>
        <v>3</v>
      </c>
      <c r="AB68" s="53" t="n">
        <f aca="false">IFERROR(INDEX('Control Effectiveness'!$Y$5:$Y$47,MATCH($A68,'Control Effectiveness'!$A$5:$A$47,0)),0)</f>
        <v>2</v>
      </c>
      <c r="AC68" s="53" t="n">
        <f aca="false">IFERROR(INDEX('Control Effectiveness'!$Z$5:$Z$47,MATCH($A68,'Control Effectiveness'!$A$5:$A$47,0)),0)</f>
        <v>4</v>
      </c>
      <c r="AD68" s="53" t="n">
        <f aca="false">IFERROR(INDEX('Control Effectiveness'!$AA$5:$AA$47,MATCH($A68,'Control Effectiveness'!$A$5:$A$47,0)),0)</f>
        <v>1</v>
      </c>
      <c r="AE68" s="53" t="n">
        <f aca="false">IFERROR(INDEX('Control Effectiveness'!$AB$5:$AB$47,MATCH($A68,'Control Effectiveness'!$A$5:$A$47,0)),0)</f>
        <v>4</v>
      </c>
      <c r="AF68" s="53" t="n">
        <f aca="false">IFERROR(INDEX('Control Effectiveness'!$AC$5:$AC$47,MATCH($A68,'Control Effectiveness'!$A$5:$A$47,0)),0)</f>
        <v>2</v>
      </c>
      <c r="AG68" s="53" t="n">
        <f aca="false">IFERROR(INDEX('Control Effectiveness'!$AD$5:$AD$47,MATCH($A68,'Control Effectiveness'!$A$5:$A$47,0)),0)</f>
        <v>2</v>
      </c>
      <c r="AH68" s="53" t="n">
        <f aca="false">IFERROR(INDEX('Control Effectiveness'!$AE$5:$AE$47,MATCH($A68,'Control Effectiveness'!$A$5:$A$47,0)),0)</f>
        <v>2</v>
      </c>
      <c r="AI68" s="53" t="n">
        <f aca="false">IFERROR(INDEX('Control Effectiveness'!$AF$5:$AF$47,MATCH($A68,'Control Effectiveness'!$A$5:$A$47,0)),0)</f>
        <v>2</v>
      </c>
      <c r="AJ68" s="53" t="n">
        <f aca="false">IFERROR(INDEX('Control Effectiveness'!$AG$5:$AG$47,MATCH($A68,'Control Effectiveness'!$A$5:$A$47,0)),0)</f>
        <v>1</v>
      </c>
    </row>
    <row r="69" customFormat="false" ht="15" hidden="false" customHeight="false" outlineLevel="0" collapsed="false">
      <c r="A69" s="8" t="s">
        <v>689</v>
      </c>
      <c r="B69" s="12" t="str">
        <f aca="false">INDEX('Control Library'!$B$5:$B$47,MATCH(A69,'Control Library'!$A$5:$A$47,0))</f>
        <v>Shariah review of products and income purification</v>
      </c>
      <c r="C69" s="33" t="s">
        <v>293</v>
      </c>
      <c r="D69" s="12" t="str">
        <f aca="false">INDEX('Risk Taxonomy'!$B$5:$B$24,MATCH(C69,'Risk Taxonomy'!$A$5:$A$24,0))</f>
        <v>Shariah non-compliance</v>
      </c>
      <c r="E69" s="24" t="n">
        <v>3</v>
      </c>
      <c r="F69" s="7" t="str">
        <f aca="false">INDEX('Control Library'!$F$5:$F$47,MATCH(A69,'Control Library'!$A$5:$A$47,0))</f>
        <v>Y</v>
      </c>
      <c r="G69" s="53" t="n">
        <f aca="false">IFERROR(INDEX('Control Effectiveness'!$D$5:$D$47,MATCH($A69,'Control Effectiveness'!$A$5:$A$47,0)),0)</f>
        <v>0</v>
      </c>
      <c r="H69" s="53" t="n">
        <f aca="false">IFERROR(INDEX('Control Effectiveness'!$E$5:$E$47,MATCH($A69,'Control Effectiveness'!$A$5:$A$47,0)),0)</f>
        <v>1</v>
      </c>
      <c r="I69" s="53" t="n">
        <f aca="false">IFERROR(INDEX('Control Effectiveness'!$F$5:$F$47,MATCH($A69,'Control Effectiveness'!$A$5:$A$47,0)),0)</f>
        <v>0</v>
      </c>
      <c r="J69" s="53" t="n">
        <f aca="false">IFERROR(INDEX('Control Effectiveness'!$G$5:$G$47,MATCH($A69,'Control Effectiveness'!$A$5:$A$47,0)),0)</f>
        <v>0</v>
      </c>
      <c r="K69" s="53" t="n">
        <f aca="false">IFERROR(INDEX('Control Effectiveness'!$H$5:$H$47,MATCH($A69,'Control Effectiveness'!$A$5:$A$47,0)),0)</f>
        <v>0</v>
      </c>
      <c r="L69" s="53" t="n">
        <f aca="false">IFERROR(INDEX('Control Effectiveness'!$I$5:$I$47,MATCH($A69,'Control Effectiveness'!$A$5:$A$47,0)),0)</f>
        <v>0</v>
      </c>
      <c r="M69" s="53" t="n">
        <f aca="false">IFERROR(INDEX('Control Effectiveness'!$J$5:$J$47,MATCH($A69,'Control Effectiveness'!$A$5:$A$47,0)),0)</f>
        <v>0</v>
      </c>
      <c r="N69" s="53" t="n">
        <f aca="false">IFERROR(INDEX('Control Effectiveness'!$K$5:$K$47,MATCH($A69,'Control Effectiveness'!$A$5:$A$47,0)),0)</f>
        <v>0</v>
      </c>
      <c r="O69" s="53" t="n">
        <f aca="false">IFERROR(INDEX('Control Effectiveness'!$L$5:$L$47,MATCH($A69,'Control Effectiveness'!$A$5:$A$47,0)),0)</f>
        <v>0</v>
      </c>
      <c r="P69" s="53" t="n">
        <f aca="false">IFERROR(INDEX('Control Effectiveness'!$M$5:$M$47,MATCH($A69,'Control Effectiveness'!$A$5:$A$47,0)),0)</f>
        <v>0</v>
      </c>
      <c r="Q69" s="53" t="n">
        <f aca="false">IFERROR(INDEX('Control Effectiveness'!$N$5:$N$47,MATCH($A69,'Control Effectiveness'!$A$5:$A$47,0)),0)</f>
        <v>0</v>
      </c>
      <c r="R69" s="53" t="n">
        <f aca="false">IFERROR(INDEX('Control Effectiveness'!$O$5:$O$47,MATCH($A69,'Control Effectiveness'!$A$5:$A$47,0)),0)</f>
        <v>0</v>
      </c>
      <c r="S69" s="53" t="n">
        <f aca="false">IFERROR(INDEX('Control Effectiveness'!$P$5:$P$47,MATCH($A69,'Control Effectiveness'!$A$5:$A$47,0)),0)</f>
        <v>0</v>
      </c>
      <c r="T69" s="53" t="n">
        <f aca="false">IFERROR(INDEX('Control Effectiveness'!$Q$5:$Q$47,MATCH($A69,'Control Effectiveness'!$A$5:$A$47,0)),0)</f>
        <v>0</v>
      </c>
      <c r="U69" s="53" t="n">
        <f aca="false">IFERROR(INDEX('Control Effectiveness'!$R$5:$R$47,MATCH($A69,'Control Effectiveness'!$A$5:$A$47,0)),0)</f>
        <v>0</v>
      </c>
      <c r="V69" s="53" t="n">
        <f aca="false">IFERROR(INDEX('Control Effectiveness'!$S$5:$S$47,MATCH($A69,'Control Effectiveness'!$A$5:$A$47,0)),0)</f>
        <v>0</v>
      </c>
      <c r="W69" s="53" t="n">
        <f aca="false">IFERROR(INDEX('Control Effectiveness'!$T$5:$T$47,MATCH($A69,'Control Effectiveness'!$A$5:$A$47,0)),0)</f>
        <v>0</v>
      </c>
      <c r="X69" s="53" t="n">
        <f aca="false">IFERROR(INDEX('Control Effectiveness'!$U$5:$U$47,MATCH($A69,'Control Effectiveness'!$A$5:$A$47,0)),0)</f>
        <v>0</v>
      </c>
      <c r="Y69" s="53" t="n">
        <f aca="false">IFERROR(INDEX('Control Effectiveness'!$V$5:$V$47,MATCH($A69,'Control Effectiveness'!$A$5:$A$47,0)),0)</f>
        <v>0</v>
      </c>
      <c r="Z69" s="53" t="n">
        <f aca="false">IFERROR(INDEX('Control Effectiveness'!$W$5:$W$47,MATCH($A69,'Control Effectiveness'!$A$5:$A$47,0)),0)</f>
        <v>0</v>
      </c>
      <c r="AA69" s="53" t="n">
        <f aca="false">IFERROR(INDEX('Control Effectiveness'!$X$5:$X$47,MATCH($A69,'Control Effectiveness'!$A$5:$A$47,0)),0)</f>
        <v>0</v>
      </c>
      <c r="AB69" s="53" t="n">
        <f aca="false">IFERROR(INDEX('Control Effectiveness'!$Y$5:$Y$47,MATCH($A69,'Control Effectiveness'!$A$5:$A$47,0)),0)</f>
        <v>0</v>
      </c>
      <c r="AC69" s="53" t="n">
        <f aca="false">IFERROR(INDEX('Control Effectiveness'!$Z$5:$Z$47,MATCH($A69,'Control Effectiveness'!$A$5:$A$47,0)),0)</f>
        <v>0</v>
      </c>
      <c r="AD69" s="53" t="n">
        <f aca="false">IFERROR(INDEX('Control Effectiveness'!$AA$5:$AA$47,MATCH($A69,'Control Effectiveness'!$A$5:$A$47,0)),0)</f>
        <v>0</v>
      </c>
      <c r="AE69" s="53" t="n">
        <f aca="false">IFERROR(INDEX('Control Effectiveness'!$AB$5:$AB$47,MATCH($A69,'Control Effectiveness'!$A$5:$A$47,0)),0)</f>
        <v>0</v>
      </c>
      <c r="AF69" s="53" t="n">
        <f aca="false">IFERROR(INDEX('Control Effectiveness'!$AC$5:$AC$47,MATCH($A69,'Control Effectiveness'!$A$5:$A$47,0)),0)</f>
        <v>0</v>
      </c>
      <c r="AG69" s="53" t="n">
        <f aca="false">IFERROR(INDEX('Control Effectiveness'!$AD$5:$AD$47,MATCH($A69,'Control Effectiveness'!$A$5:$A$47,0)),0)</f>
        <v>0</v>
      </c>
      <c r="AH69" s="53" t="n">
        <f aca="false">IFERROR(INDEX('Control Effectiveness'!$AE$5:$AE$47,MATCH($A69,'Control Effectiveness'!$A$5:$A$47,0)),0)</f>
        <v>0</v>
      </c>
      <c r="AI69" s="53" t="n">
        <f aca="false">IFERROR(INDEX('Control Effectiveness'!$AF$5:$AF$47,MATCH($A69,'Control Effectiveness'!$A$5:$A$47,0)),0)</f>
        <v>0</v>
      </c>
      <c r="AJ69" s="53" t="n">
        <f aca="false">IFERROR(INDEX('Control Effectiveness'!$AG$5:$AG$47,MATCH($A69,'Control Effectiveness'!$A$5:$A$47,0)),0)</f>
        <v>0</v>
      </c>
    </row>
    <row r="70" customFormat="false" ht="15" hidden="false" customHeight="false" outlineLevel="0" collapsed="false">
      <c r="A70" s="8" t="s">
        <v>693</v>
      </c>
      <c r="B70" s="12" t="str">
        <f aca="false">INDEX('Control Library'!$B$5:$B$47,MATCH(A70,'Control Library'!$A$5:$A$47,0))</f>
        <v>Credit approval authorities and committee review</v>
      </c>
      <c r="C70" s="33" t="s">
        <v>297</v>
      </c>
      <c r="D70" s="12" t="str">
        <f aca="false">INDEX('Risk Taxonomy'!$B$5:$B$24,MATCH(C70,'Risk Taxonomy'!$A$5:$A$24,0))</f>
        <v>Credit risk</v>
      </c>
      <c r="E70" s="24" t="n">
        <v>3</v>
      </c>
      <c r="F70" s="7" t="str">
        <f aca="false">INDEX('Control Library'!$F$5:$F$47,MATCH(A70,'Control Library'!$A$5:$A$47,0))</f>
        <v>Y</v>
      </c>
      <c r="G70" s="53" t="n">
        <f aca="false">IFERROR(INDEX('Control Effectiveness'!$D$5:$D$47,MATCH($A70,'Control Effectiveness'!$A$5:$A$47,0)),0)</f>
        <v>1</v>
      </c>
      <c r="H70" s="53" t="n">
        <f aca="false">IFERROR(INDEX('Control Effectiveness'!$E$5:$E$47,MATCH($A70,'Control Effectiveness'!$A$5:$A$47,0)),0)</f>
        <v>1</v>
      </c>
      <c r="I70" s="53" t="n">
        <f aca="false">IFERROR(INDEX('Control Effectiveness'!$F$5:$F$47,MATCH($A70,'Control Effectiveness'!$A$5:$A$47,0)),0)</f>
        <v>2</v>
      </c>
      <c r="J70" s="53" t="n">
        <f aca="false">IFERROR(INDEX('Control Effectiveness'!$G$5:$G$47,MATCH($A70,'Control Effectiveness'!$A$5:$A$47,0)),0)</f>
        <v>2</v>
      </c>
      <c r="K70" s="53" t="n">
        <f aca="false">IFERROR(INDEX('Control Effectiveness'!$H$5:$H$47,MATCH($A70,'Control Effectiveness'!$A$5:$A$47,0)),0)</f>
        <v>2</v>
      </c>
      <c r="L70" s="53" t="n">
        <f aca="false">IFERROR(INDEX('Control Effectiveness'!$I$5:$I$47,MATCH($A70,'Control Effectiveness'!$A$5:$A$47,0)),0)</f>
        <v>2</v>
      </c>
      <c r="M70" s="53" t="n">
        <f aca="false">IFERROR(INDEX('Control Effectiveness'!$J$5:$J$47,MATCH($A70,'Control Effectiveness'!$A$5:$A$47,0)),0)</f>
        <v>2</v>
      </c>
      <c r="N70" s="53" t="n">
        <f aca="false">IFERROR(INDEX('Control Effectiveness'!$K$5:$K$47,MATCH($A70,'Control Effectiveness'!$A$5:$A$47,0)),0)</f>
        <v>2</v>
      </c>
      <c r="O70" s="53" t="n">
        <f aca="false">IFERROR(INDEX('Control Effectiveness'!$L$5:$L$47,MATCH($A70,'Control Effectiveness'!$A$5:$A$47,0)),0)</f>
        <v>3</v>
      </c>
      <c r="P70" s="53" t="n">
        <f aca="false">IFERROR(INDEX('Control Effectiveness'!$M$5:$M$47,MATCH($A70,'Control Effectiveness'!$A$5:$A$47,0)),0)</f>
        <v>2</v>
      </c>
      <c r="Q70" s="53" t="n">
        <f aca="false">IFERROR(INDEX('Control Effectiveness'!$N$5:$N$47,MATCH($A70,'Control Effectiveness'!$A$5:$A$47,0)),0)</f>
        <v>2</v>
      </c>
      <c r="R70" s="53" t="n">
        <f aca="false">IFERROR(INDEX('Control Effectiveness'!$O$5:$O$47,MATCH($A70,'Control Effectiveness'!$A$5:$A$47,0)),0)</f>
        <v>2</v>
      </c>
      <c r="S70" s="53" t="n">
        <f aca="false">IFERROR(INDEX('Control Effectiveness'!$P$5:$P$47,MATCH($A70,'Control Effectiveness'!$A$5:$A$47,0)),0)</f>
        <v>2</v>
      </c>
      <c r="T70" s="53" t="n">
        <f aca="false">IFERROR(INDEX('Control Effectiveness'!$Q$5:$Q$47,MATCH($A70,'Control Effectiveness'!$A$5:$A$47,0)),0)</f>
        <v>2</v>
      </c>
      <c r="U70" s="53" t="n">
        <f aca="false">IFERROR(INDEX('Control Effectiveness'!$R$5:$R$47,MATCH($A70,'Control Effectiveness'!$A$5:$A$47,0)),0)</f>
        <v>4</v>
      </c>
      <c r="V70" s="53" t="n">
        <f aca="false">IFERROR(INDEX('Control Effectiveness'!$S$5:$S$47,MATCH($A70,'Control Effectiveness'!$A$5:$A$47,0)),0)</f>
        <v>3</v>
      </c>
      <c r="W70" s="53" t="n">
        <f aca="false">IFERROR(INDEX('Control Effectiveness'!$T$5:$T$47,MATCH($A70,'Control Effectiveness'!$A$5:$A$47,0)),0)</f>
        <v>2</v>
      </c>
      <c r="X70" s="53" t="n">
        <f aca="false">IFERROR(INDEX('Control Effectiveness'!$U$5:$U$47,MATCH($A70,'Control Effectiveness'!$A$5:$A$47,0)),0)</f>
        <v>2</v>
      </c>
      <c r="Y70" s="53" t="n">
        <f aca="false">IFERROR(INDEX('Control Effectiveness'!$V$5:$V$47,MATCH($A70,'Control Effectiveness'!$A$5:$A$47,0)),0)</f>
        <v>2</v>
      </c>
      <c r="Z70" s="53" t="n">
        <f aca="false">IFERROR(INDEX('Control Effectiveness'!$W$5:$W$47,MATCH($A70,'Control Effectiveness'!$A$5:$A$47,0)),0)</f>
        <v>1</v>
      </c>
      <c r="AA70" s="53" t="n">
        <f aca="false">IFERROR(INDEX('Control Effectiveness'!$X$5:$X$47,MATCH($A70,'Control Effectiveness'!$A$5:$A$47,0)),0)</f>
        <v>4</v>
      </c>
      <c r="AB70" s="53" t="n">
        <f aca="false">IFERROR(INDEX('Control Effectiveness'!$Y$5:$Y$47,MATCH($A70,'Control Effectiveness'!$A$5:$A$47,0)),0)</f>
        <v>2</v>
      </c>
      <c r="AC70" s="53" t="n">
        <f aca="false">IFERROR(INDEX('Control Effectiveness'!$Z$5:$Z$47,MATCH($A70,'Control Effectiveness'!$A$5:$A$47,0)),0)</f>
        <v>1</v>
      </c>
      <c r="AD70" s="53" t="n">
        <f aca="false">IFERROR(INDEX('Control Effectiveness'!$AA$5:$AA$47,MATCH($A70,'Control Effectiveness'!$A$5:$A$47,0)),0)</f>
        <v>2</v>
      </c>
      <c r="AE70" s="53" t="n">
        <f aca="false">IFERROR(INDEX('Control Effectiveness'!$AB$5:$AB$47,MATCH($A70,'Control Effectiveness'!$A$5:$A$47,0)),0)</f>
        <v>2</v>
      </c>
      <c r="AF70" s="53" t="n">
        <f aca="false">IFERROR(INDEX('Control Effectiveness'!$AC$5:$AC$47,MATCH($A70,'Control Effectiveness'!$A$5:$A$47,0)),0)</f>
        <v>1</v>
      </c>
      <c r="AG70" s="53" t="n">
        <f aca="false">IFERROR(INDEX('Control Effectiveness'!$AD$5:$AD$47,MATCH($A70,'Control Effectiveness'!$A$5:$A$47,0)),0)</f>
        <v>2</v>
      </c>
      <c r="AH70" s="53" t="n">
        <f aca="false">IFERROR(INDEX('Control Effectiveness'!$AE$5:$AE$47,MATCH($A70,'Control Effectiveness'!$A$5:$A$47,0)),0)</f>
        <v>1</v>
      </c>
      <c r="AI70" s="53" t="n">
        <f aca="false">IFERROR(INDEX('Control Effectiveness'!$AF$5:$AF$47,MATCH($A70,'Control Effectiveness'!$A$5:$A$47,0)),0)</f>
        <v>1</v>
      </c>
      <c r="AJ70" s="53" t="n">
        <f aca="false">IFERROR(INDEX('Control Effectiveness'!$AG$5:$AG$47,MATCH($A70,'Control Effectiveness'!$A$5:$A$47,0)),0)</f>
        <v>1</v>
      </c>
    </row>
    <row r="71" customFormat="false" ht="15" hidden="false" customHeight="false" outlineLevel="0" collapsed="false">
      <c r="A71" s="8" t="s">
        <v>696</v>
      </c>
      <c r="B71" s="12" t="str">
        <f aca="false">INDEX('Control Library'!$B$5:$B$47,MATCH(A71,'Control Library'!$A$5:$A$47,0))</f>
        <v>Collateral valuation and exposure limit monitoring</v>
      </c>
      <c r="C71" s="33" t="s">
        <v>297</v>
      </c>
      <c r="D71" s="12" t="str">
        <f aca="false">INDEX('Risk Taxonomy'!$B$5:$B$24,MATCH(C71,'Risk Taxonomy'!$A$5:$A$24,0))</f>
        <v>Credit risk</v>
      </c>
      <c r="E71" s="24" t="n">
        <v>2</v>
      </c>
      <c r="F71" s="7" t="str">
        <f aca="false">INDEX('Control Library'!$F$5:$F$47,MATCH(A71,'Control Library'!$A$5:$A$47,0))</f>
        <v>N</v>
      </c>
      <c r="G71" s="53" t="n">
        <f aca="false">IFERROR(INDEX('Control Effectiveness'!$D$5:$D$47,MATCH($A71,'Control Effectiveness'!$A$5:$A$47,0)),0)</f>
        <v>2</v>
      </c>
      <c r="H71" s="53" t="n">
        <f aca="false">IFERROR(INDEX('Control Effectiveness'!$E$5:$E$47,MATCH($A71,'Control Effectiveness'!$A$5:$A$47,0)),0)</f>
        <v>2</v>
      </c>
      <c r="I71" s="53" t="n">
        <f aca="false">IFERROR(INDEX('Control Effectiveness'!$F$5:$F$47,MATCH($A71,'Control Effectiveness'!$A$5:$A$47,0)),0)</f>
        <v>2</v>
      </c>
      <c r="J71" s="53" t="n">
        <f aca="false">IFERROR(INDEX('Control Effectiveness'!$G$5:$G$47,MATCH($A71,'Control Effectiveness'!$A$5:$A$47,0)),0)</f>
        <v>1</v>
      </c>
      <c r="K71" s="53" t="n">
        <f aca="false">IFERROR(INDEX('Control Effectiveness'!$H$5:$H$47,MATCH($A71,'Control Effectiveness'!$A$5:$A$47,0)),0)</f>
        <v>1</v>
      </c>
      <c r="L71" s="53" t="n">
        <f aca="false">IFERROR(INDEX('Control Effectiveness'!$I$5:$I$47,MATCH($A71,'Control Effectiveness'!$A$5:$A$47,0)),0)</f>
        <v>2</v>
      </c>
      <c r="M71" s="53" t="n">
        <f aca="false">IFERROR(INDEX('Control Effectiveness'!$J$5:$J$47,MATCH($A71,'Control Effectiveness'!$A$5:$A$47,0)),0)</f>
        <v>2</v>
      </c>
      <c r="N71" s="53" t="n">
        <f aca="false">IFERROR(INDEX('Control Effectiveness'!$K$5:$K$47,MATCH($A71,'Control Effectiveness'!$A$5:$A$47,0)),0)</f>
        <v>3</v>
      </c>
      <c r="O71" s="53" t="n">
        <f aca="false">IFERROR(INDEX('Control Effectiveness'!$L$5:$L$47,MATCH($A71,'Control Effectiveness'!$A$5:$A$47,0)),0)</f>
        <v>2</v>
      </c>
      <c r="P71" s="53" t="n">
        <f aca="false">IFERROR(INDEX('Control Effectiveness'!$M$5:$M$47,MATCH($A71,'Control Effectiveness'!$A$5:$A$47,0)),0)</f>
        <v>1</v>
      </c>
      <c r="Q71" s="53" t="n">
        <f aca="false">IFERROR(INDEX('Control Effectiveness'!$N$5:$N$47,MATCH($A71,'Control Effectiveness'!$A$5:$A$47,0)),0)</f>
        <v>2</v>
      </c>
      <c r="R71" s="53" t="n">
        <f aca="false">IFERROR(INDEX('Control Effectiveness'!$O$5:$O$47,MATCH($A71,'Control Effectiveness'!$A$5:$A$47,0)),0)</f>
        <v>2</v>
      </c>
      <c r="S71" s="53" t="n">
        <f aca="false">IFERROR(INDEX('Control Effectiveness'!$P$5:$P$47,MATCH($A71,'Control Effectiveness'!$A$5:$A$47,0)),0)</f>
        <v>2</v>
      </c>
      <c r="T71" s="53" t="n">
        <f aca="false">IFERROR(INDEX('Control Effectiveness'!$Q$5:$Q$47,MATCH($A71,'Control Effectiveness'!$A$5:$A$47,0)),0)</f>
        <v>1</v>
      </c>
      <c r="U71" s="53" t="n">
        <f aca="false">IFERROR(INDEX('Control Effectiveness'!$R$5:$R$47,MATCH($A71,'Control Effectiveness'!$A$5:$A$47,0)),0)</f>
        <v>2</v>
      </c>
      <c r="V71" s="53" t="n">
        <f aca="false">IFERROR(INDEX('Control Effectiveness'!$S$5:$S$47,MATCH($A71,'Control Effectiveness'!$A$5:$A$47,0)),0)</f>
        <v>2</v>
      </c>
      <c r="W71" s="53" t="n">
        <f aca="false">IFERROR(INDEX('Control Effectiveness'!$T$5:$T$47,MATCH($A71,'Control Effectiveness'!$A$5:$A$47,0)),0)</f>
        <v>1</v>
      </c>
      <c r="X71" s="53" t="n">
        <f aca="false">IFERROR(INDEX('Control Effectiveness'!$U$5:$U$47,MATCH($A71,'Control Effectiveness'!$A$5:$A$47,0)),0)</f>
        <v>2</v>
      </c>
      <c r="Y71" s="53" t="n">
        <f aca="false">IFERROR(INDEX('Control Effectiveness'!$V$5:$V$47,MATCH($A71,'Control Effectiveness'!$A$5:$A$47,0)),0)</f>
        <v>2</v>
      </c>
      <c r="Z71" s="53" t="n">
        <f aca="false">IFERROR(INDEX('Control Effectiveness'!$W$5:$W$47,MATCH($A71,'Control Effectiveness'!$A$5:$A$47,0)),0)</f>
        <v>4</v>
      </c>
      <c r="AA71" s="53" t="n">
        <f aca="false">IFERROR(INDEX('Control Effectiveness'!$X$5:$X$47,MATCH($A71,'Control Effectiveness'!$A$5:$A$47,0)),0)</f>
        <v>3</v>
      </c>
      <c r="AB71" s="53" t="n">
        <f aca="false">IFERROR(INDEX('Control Effectiveness'!$Y$5:$Y$47,MATCH($A71,'Control Effectiveness'!$A$5:$A$47,0)),0)</f>
        <v>2</v>
      </c>
      <c r="AC71" s="53" t="n">
        <f aca="false">IFERROR(INDEX('Control Effectiveness'!$Z$5:$Z$47,MATCH($A71,'Control Effectiveness'!$A$5:$A$47,0)),0)</f>
        <v>2</v>
      </c>
      <c r="AD71" s="53" t="n">
        <f aca="false">IFERROR(INDEX('Control Effectiveness'!$AA$5:$AA$47,MATCH($A71,'Control Effectiveness'!$A$5:$A$47,0)),0)</f>
        <v>2</v>
      </c>
      <c r="AE71" s="53" t="n">
        <f aca="false">IFERROR(INDEX('Control Effectiveness'!$AB$5:$AB$47,MATCH($A71,'Control Effectiveness'!$A$5:$A$47,0)),0)</f>
        <v>2</v>
      </c>
      <c r="AF71" s="53" t="n">
        <f aca="false">IFERROR(INDEX('Control Effectiveness'!$AC$5:$AC$47,MATCH($A71,'Control Effectiveness'!$A$5:$A$47,0)),0)</f>
        <v>1</v>
      </c>
      <c r="AG71" s="53" t="n">
        <f aca="false">IFERROR(INDEX('Control Effectiveness'!$AD$5:$AD$47,MATCH($A71,'Control Effectiveness'!$A$5:$A$47,0)),0)</f>
        <v>2</v>
      </c>
      <c r="AH71" s="53" t="n">
        <f aca="false">IFERROR(INDEX('Control Effectiveness'!$AE$5:$AE$47,MATCH($A71,'Control Effectiveness'!$A$5:$A$47,0)),0)</f>
        <v>2</v>
      </c>
      <c r="AI71" s="53" t="n">
        <f aca="false">IFERROR(INDEX('Control Effectiveness'!$AF$5:$AF$47,MATCH($A71,'Control Effectiveness'!$A$5:$A$47,0)),0)</f>
        <v>2</v>
      </c>
      <c r="AJ71" s="53" t="n">
        <f aca="false">IFERROR(INDEX('Control Effectiveness'!$AG$5:$AG$47,MATCH($A71,'Control Effectiveness'!$A$5:$A$47,0)),0)</f>
        <v>2</v>
      </c>
    </row>
    <row r="72" customFormat="false" ht="15" hidden="false" customHeight="false" outlineLevel="0" collapsed="false">
      <c r="A72" s="8" t="s">
        <v>699</v>
      </c>
      <c r="B72" s="12" t="str">
        <f aca="false">INDEX('Control Library'!$B$5:$B$47,MATCH(A72,'Control Library'!$A$5:$A$47,0))</f>
        <v>Market risk limits and daily VaR monitoring</v>
      </c>
      <c r="C72" s="33" t="s">
        <v>302</v>
      </c>
      <c r="D72" s="12" t="str">
        <f aca="false">INDEX('Risk Taxonomy'!$B$5:$B$24,MATCH(C72,'Risk Taxonomy'!$A$5:$A$24,0))</f>
        <v>Market risk</v>
      </c>
      <c r="E72" s="24" t="n">
        <v>3</v>
      </c>
      <c r="F72" s="7" t="str">
        <f aca="false">INDEX('Control Library'!$F$5:$F$47,MATCH(A72,'Control Library'!$A$5:$A$47,0))</f>
        <v>Y</v>
      </c>
      <c r="G72" s="53" t="n">
        <f aca="false">IFERROR(INDEX('Control Effectiveness'!$D$5:$D$47,MATCH($A72,'Control Effectiveness'!$A$5:$A$47,0)),0)</f>
        <v>2</v>
      </c>
      <c r="H72" s="53" t="n">
        <f aca="false">IFERROR(INDEX('Control Effectiveness'!$E$5:$E$47,MATCH($A72,'Control Effectiveness'!$A$5:$A$47,0)),0)</f>
        <v>3</v>
      </c>
      <c r="I72" s="53" t="n">
        <f aca="false">IFERROR(INDEX('Control Effectiveness'!$F$5:$F$47,MATCH($A72,'Control Effectiveness'!$A$5:$A$47,0)),0)</f>
        <v>2</v>
      </c>
      <c r="J72" s="53" t="n">
        <f aca="false">IFERROR(INDEX('Control Effectiveness'!$G$5:$G$47,MATCH($A72,'Control Effectiveness'!$A$5:$A$47,0)),0)</f>
        <v>2</v>
      </c>
      <c r="K72" s="53" t="n">
        <f aca="false">IFERROR(INDEX('Control Effectiveness'!$H$5:$H$47,MATCH($A72,'Control Effectiveness'!$A$5:$A$47,0)),0)</f>
        <v>3</v>
      </c>
      <c r="L72" s="53" t="n">
        <f aca="false">IFERROR(INDEX('Control Effectiveness'!$I$5:$I$47,MATCH($A72,'Control Effectiveness'!$A$5:$A$47,0)),0)</f>
        <v>3</v>
      </c>
      <c r="M72" s="53" t="n">
        <f aca="false">IFERROR(INDEX('Control Effectiveness'!$J$5:$J$47,MATCH($A72,'Control Effectiveness'!$A$5:$A$47,0)),0)</f>
        <v>2</v>
      </c>
      <c r="N72" s="53" t="n">
        <f aca="false">IFERROR(INDEX('Control Effectiveness'!$K$5:$K$47,MATCH($A72,'Control Effectiveness'!$A$5:$A$47,0)),0)</f>
        <v>2</v>
      </c>
      <c r="O72" s="53" t="n">
        <f aca="false">IFERROR(INDEX('Control Effectiveness'!$L$5:$L$47,MATCH($A72,'Control Effectiveness'!$A$5:$A$47,0)),0)</f>
        <v>2</v>
      </c>
      <c r="P72" s="53" t="n">
        <f aca="false">IFERROR(INDEX('Control Effectiveness'!$M$5:$M$47,MATCH($A72,'Control Effectiveness'!$A$5:$A$47,0)),0)</f>
        <v>2</v>
      </c>
      <c r="Q72" s="53" t="n">
        <f aca="false">IFERROR(INDEX('Control Effectiveness'!$N$5:$N$47,MATCH($A72,'Control Effectiveness'!$A$5:$A$47,0)),0)</f>
        <v>3</v>
      </c>
      <c r="R72" s="53" t="n">
        <f aca="false">IFERROR(INDEX('Control Effectiveness'!$O$5:$O$47,MATCH($A72,'Control Effectiveness'!$A$5:$A$47,0)),0)</f>
        <v>2</v>
      </c>
      <c r="S72" s="53" t="n">
        <f aca="false">IFERROR(INDEX('Control Effectiveness'!$P$5:$P$47,MATCH($A72,'Control Effectiveness'!$A$5:$A$47,0)),0)</f>
        <v>2</v>
      </c>
      <c r="T72" s="53" t="n">
        <f aca="false">IFERROR(INDEX('Control Effectiveness'!$Q$5:$Q$47,MATCH($A72,'Control Effectiveness'!$A$5:$A$47,0)),0)</f>
        <v>2</v>
      </c>
      <c r="U72" s="53" t="n">
        <f aca="false">IFERROR(INDEX('Control Effectiveness'!$R$5:$R$47,MATCH($A72,'Control Effectiveness'!$A$5:$A$47,0)),0)</f>
        <v>4</v>
      </c>
      <c r="V72" s="53" t="n">
        <f aca="false">IFERROR(INDEX('Control Effectiveness'!$S$5:$S$47,MATCH($A72,'Control Effectiveness'!$A$5:$A$47,0)),0)</f>
        <v>3</v>
      </c>
      <c r="W72" s="53" t="n">
        <f aca="false">IFERROR(INDEX('Control Effectiveness'!$T$5:$T$47,MATCH($A72,'Control Effectiveness'!$A$5:$A$47,0)),0)</f>
        <v>2</v>
      </c>
      <c r="X72" s="53" t="n">
        <f aca="false">IFERROR(INDEX('Control Effectiveness'!$U$5:$U$47,MATCH($A72,'Control Effectiveness'!$A$5:$A$47,0)),0)</f>
        <v>4</v>
      </c>
      <c r="Y72" s="53" t="n">
        <f aca="false">IFERROR(INDEX('Control Effectiveness'!$V$5:$V$47,MATCH($A72,'Control Effectiveness'!$A$5:$A$47,0)),0)</f>
        <v>2</v>
      </c>
      <c r="Z72" s="53" t="n">
        <f aca="false">IFERROR(INDEX('Control Effectiveness'!$W$5:$W$47,MATCH($A72,'Control Effectiveness'!$A$5:$A$47,0)),0)</f>
        <v>2</v>
      </c>
      <c r="AA72" s="53" t="n">
        <f aca="false">IFERROR(INDEX('Control Effectiveness'!$X$5:$X$47,MATCH($A72,'Control Effectiveness'!$A$5:$A$47,0)),0)</f>
        <v>2</v>
      </c>
      <c r="AB72" s="53" t="n">
        <f aca="false">IFERROR(INDEX('Control Effectiveness'!$Y$5:$Y$47,MATCH($A72,'Control Effectiveness'!$A$5:$A$47,0)),0)</f>
        <v>2</v>
      </c>
      <c r="AC72" s="53" t="n">
        <f aca="false">IFERROR(INDEX('Control Effectiveness'!$Z$5:$Z$47,MATCH($A72,'Control Effectiveness'!$A$5:$A$47,0)),0)</f>
        <v>1</v>
      </c>
      <c r="AD72" s="53" t="n">
        <f aca="false">IFERROR(INDEX('Control Effectiveness'!$AA$5:$AA$47,MATCH($A72,'Control Effectiveness'!$A$5:$A$47,0)),0)</f>
        <v>2</v>
      </c>
      <c r="AE72" s="53" t="n">
        <f aca="false">IFERROR(INDEX('Control Effectiveness'!$AB$5:$AB$47,MATCH($A72,'Control Effectiveness'!$A$5:$A$47,0)),0)</f>
        <v>2</v>
      </c>
      <c r="AF72" s="53" t="n">
        <f aca="false">IFERROR(INDEX('Control Effectiveness'!$AC$5:$AC$47,MATCH($A72,'Control Effectiveness'!$A$5:$A$47,0)),0)</f>
        <v>2</v>
      </c>
      <c r="AG72" s="53" t="n">
        <f aca="false">IFERROR(INDEX('Control Effectiveness'!$AD$5:$AD$47,MATCH($A72,'Control Effectiveness'!$A$5:$A$47,0)),0)</f>
        <v>2</v>
      </c>
      <c r="AH72" s="53" t="n">
        <f aca="false">IFERROR(INDEX('Control Effectiveness'!$AE$5:$AE$47,MATCH($A72,'Control Effectiveness'!$A$5:$A$47,0)),0)</f>
        <v>1</v>
      </c>
      <c r="AI72" s="53" t="n">
        <f aca="false">IFERROR(INDEX('Control Effectiveness'!$AF$5:$AF$47,MATCH($A72,'Control Effectiveness'!$A$5:$A$47,0)),0)</f>
        <v>1</v>
      </c>
      <c r="AJ72" s="53" t="n">
        <f aca="false">IFERROR(INDEX('Control Effectiveness'!$AG$5:$AG$47,MATCH($A72,'Control Effectiveness'!$A$5:$A$47,0)),0)</f>
        <v>2</v>
      </c>
    </row>
    <row r="73" customFormat="false" ht="15" hidden="false" customHeight="false" outlineLevel="0" collapsed="false">
      <c r="A73" s="8" t="s">
        <v>701</v>
      </c>
      <c r="B73" s="12" t="str">
        <f aca="false">INDEX('Control Library'!$B$5:$B$47,MATCH(A73,'Control Library'!$A$5:$A$47,0))</f>
        <v>Liquidity buffers, LCR/NSFR monitoring and contingency funding plan</v>
      </c>
      <c r="C73" s="33" t="s">
        <v>304</v>
      </c>
      <c r="D73" s="12" t="str">
        <f aca="false">INDEX('Risk Taxonomy'!$B$5:$B$24,MATCH(C73,'Risk Taxonomy'!$A$5:$A$24,0))</f>
        <v>Liquidity and funding risk</v>
      </c>
      <c r="E73" s="24" t="n">
        <v>3</v>
      </c>
      <c r="F73" s="7" t="str">
        <f aca="false">INDEX('Control Library'!$F$5:$F$47,MATCH(A73,'Control Library'!$A$5:$A$47,0))</f>
        <v>Y</v>
      </c>
      <c r="G73" s="53" t="n">
        <f aca="false">IFERROR(INDEX('Control Effectiveness'!$D$5:$D$47,MATCH($A73,'Control Effectiveness'!$A$5:$A$47,0)),0)</f>
        <v>2</v>
      </c>
      <c r="H73" s="53" t="n">
        <f aca="false">IFERROR(INDEX('Control Effectiveness'!$E$5:$E$47,MATCH($A73,'Control Effectiveness'!$A$5:$A$47,0)),0)</f>
        <v>2</v>
      </c>
      <c r="I73" s="53" t="n">
        <f aca="false">IFERROR(INDEX('Control Effectiveness'!$F$5:$F$47,MATCH($A73,'Control Effectiveness'!$A$5:$A$47,0)),0)</f>
        <v>2</v>
      </c>
      <c r="J73" s="53" t="n">
        <f aca="false">IFERROR(INDEX('Control Effectiveness'!$G$5:$G$47,MATCH($A73,'Control Effectiveness'!$A$5:$A$47,0)),0)</f>
        <v>1</v>
      </c>
      <c r="K73" s="53" t="n">
        <f aca="false">IFERROR(INDEX('Control Effectiveness'!$H$5:$H$47,MATCH($A73,'Control Effectiveness'!$A$5:$A$47,0)),0)</f>
        <v>2</v>
      </c>
      <c r="L73" s="53" t="n">
        <f aca="false">IFERROR(INDEX('Control Effectiveness'!$I$5:$I$47,MATCH($A73,'Control Effectiveness'!$A$5:$A$47,0)),0)</f>
        <v>2</v>
      </c>
      <c r="M73" s="53" t="n">
        <f aca="false">IFERROR(INDEX('Control Effectiveness'!$J$5:$J$47,MATCH($A73,'Control Effectiveness'!$A$5:$A$47,0)),0)</f>
        <v>2</v>
      </c>
      <c r="N73" s="53" t="n">
        <f aca="false">IFERROR(INDEX('Control Effectiveness'!$K$5:$K$47,MATCH($A73,'Control Effectiveness'!$A$5:$A$47,0)),0)</f>
        <v>4</v>
      </c>
      <c r="O73" s="53" t="n">
        <f aca="false">IFERROR(INDEX('Control Effectiveness'!$L$5:$L$47,MATCH($A73,'Control Effectiveness'!$A$5:$A$47,0)),0)</f>
        <v>2</v>
      </c>
      <c r="P73" s="53" t="n">
        <f aca="false">IFERROR(INDEX('Control Effectiveness'!$M$5:$M$47,MATCH($A73,'Control Effectiveness'!$A$5:$A$47,0)),0)</f>
        <v>1</v>
      </c>
      <c r="Q73" s="53" t="n">
        <f aca="false">IFERROR(INDEX('Control Effectiveness'!$N$5:$N$47,MATCH($A73,'Control Effectiveness'!$A$5:$A$47,0)),0)</f>
        <v>2</v>
      </c>
      <c r="R73" s="53" t="n">
        <f aca="false">IFERROR(INDEX('Control Effectiveness'!$O$5:$O$47,MATCH($A73,'Control Effectiveness'!$A$5:$A$47,0)),0)</f>
        <v>2</v>
      </c>
      <c r="S73" s="53" t="n">
        <f aca="false">IFERROR(INDEX('Control Effectiveness'!$P$5:$P$47,MATCH($A73,'Control Effectiveness'!$A$5:$A$47,0)),0)</f>
        <v>1</v>
      </c>
      <c r="T73" s="53" t="n">
        <f aca="false">IFERROR(INDEX('Control Effectiveness'!$Q$5:$Q$47,MATCH($A73,'Control Effectiveness'!$A$5:$A$47,0)),0)</f>
        <v>2</v>
      </c>
      <c r="U73" s="53" t="n">
        <f aca="false">IFERROR(INDEX('Control Effectiveness'!$R$5:$R$47,MATCH($A73,'Control Effectiveness'!$A$5:$A$47,0)),0)</f>
        <v>2</v>
      </c>
      <c r="V73" s="53" t="n">
        <f aca="false">IFERROR(INDEX('Control Effectiveness'!$S$5:$S$47,MATCH($A73,'Control Effectiveness'!$A$5:$A$47,0)),0)</f>
        <v>2</v>
      </c>
      <c r="W73" s="53" t="n">
        <f aca="false">IFERROR(INDEX('Control Effectiveness'!$T$5:$T$47,MATCH($A73,'Control Effectiveness'!$A$5:$A$47,0)),0)</f>
        <v>1</v>
      </c>
      <c r="X73" s="53" t="n">
        <f aca="false">IFERROR(INDEX('Control Effectiveness'!$U$5:$U$47,MATCH($A73,'Control Effectiveness'!$A$5:$A$47,0)),0)</f>
        <v>2</v>
      </c>
      <c r="Y73" s="53" t="n">
        <f aca="false">IFERROR(INDEX('Control Effectiveness'!$V$5:$V$47,MATCH($A73,'Control Effectiveness'!$A$5:$A$47,0)),0)</f>
        <v>2</v>
      </c>
      <c r="Z73" s="53" t="n">
        <f aca="false">IFERROR(INDEX('Control Effectiveness'!$W$5:$W$47,MATCH($A73,'Control Effectiveness'!$A$5:$A$47,0)),0)</f>
        <v>2</v>
      </c>
      <c r="AA73" s="53" t="n">
        <f aca="false">IFERROR(INDEX('Control Effectiveness'!$X$5:$X$47,MATCH($A73,'Control Effectiveness'!$A$5:$A$47,0)),0)</f>
        <v>3</v>
      </c>
      <c r="AB73" s="53" t="n">
        <f aca="false">IFERROR(INDEX('Control Effectiveness'!$Y$5:$Y$47,MATCH($A73,'Control Effectiveness'!$A$5:$A$47,0)),0)</f>
        <v>2</v>
      </c>
      <c r="AC73" s="53" t="n">
        <f aca="false">IFERROR(INDEX('Control Effectiveness'!$Z$5:$Z$47,MATCH($A73,'Control Effectiveness'!$A$5:$A$47,0)),0)</f>
        <v>4</v>
      </c>
      <c r="AD73" s="53" t="n">
        <f aca="false">IFERROR(INDEX('Control Effectiveness'!$AA$5:$AA$47,MATCH($A73,'Control Effectiveness'!$A$5:$A$47,0)),0)</f>
        <v>1</v>
      </c>
      <c r="AE73" s="53" t="n">
        <f aca="false">IFERROR(INDEX('Control Effectiveness'!$AB$5:$AB$47,MATCH($A73,'Control Effectiveness'!$A$5:$A$47,0)),0)</f>
        <v>2</v>
      </c>
      <c r="AF73" s="53" t="n">
        <f aca="false">IFERROR(INDEX('Control Effectiveness'!$AC$5:$AC$47,MATCH($A73,'Control Effectiveness'!$A$5:$A$47,0)),0)</f>
        <v>1</v>
      </c>
      <c r="AG73" s="53" t="n">
        <f aca="false">IFERROR(INDEX('Control Effectiveness'!$AD$5:$AD$47,MATCH($A73,'Control Effectiveness'!$A$5:$A$47,0)),0)</f>
        <v>1</v>
      </c>
      <c r="AH73" s="53" t="n">
        <f aca="false">IFERROR(INDEX('Control Effectiveness'!$AE$5:$AE$47,MATCH($A73,'Control Effectiveness'!$A$5:$A$47,0)),0)</f>
        <v>2</v>
      </c>
      <c r="AI73" s="53" t="n">
        <f aca="false">IFERROR(INDEX('Control Effectiveness'!$AF$5:$AF$47,MATCH($A73,'Control Effectiveness'!$A$5:$A$47,0)),0)</f>
        <v>2</v>
      </c>
      <c r="AJ73" s="53" t="n">
        <f aca="false">IFERROR(INDEX('Control Effectiveness'!$AG$5:$AG$47,MATCH($A73,'Control Effectiveness'!$A$5:$A$47,0)),0)</f>
        <v>2</v>
      </c>
    </row>
    <row r="74" customFormat="false" ht="15" hidden="false" customHeight="false" outlineLevel="0" collapsed="false">
      <c r="A74" s="8" t="s">
        <v>704</v>
      </c>
      <c r="B74" s="12" t="str">
        <f aca="false">INDEX('Control Library'!$B$5:$B$47,MATCH(A74,'Control Library'!$A$5:$A$47,0))</f>
        <v>Business continuity plans and annual testing</v>
      </c>
      <c r="C74" s="33" t="s">
        <v>307</v>
      </c>
      <c r="D74" s="12" t="str">
        <f aca="false">INDEX('Risk Taxonomy'!$B$5:$B$24,MATCH(C74,'Risk Taxonomy'!$A$5:$A$24,0))</f>
        <v>Operational risk</v>
      </c>
      <c r="E74" s="24" t="n">
        <v>2</v>
      </c>
      <c r="F74" s="7" t="str">
        <f aca="false">INDEX('Control Library'!$F$5:$F$47,MATCH(A74,'Control Library'!$A$5:$A$47,0))</f>
        <v>Y</v>
      </c>
      <c r="G74" s="53" t="n">
        <f aca="false">IFERROR(INDEX('Control Effectiveness'!$D$5:$D$47,MATCH($A74,'Control Effectiveness'!$A$5:$A$47,0)),0)</f>
        <v>2</v>
      </c>
      <c r="H74" s="53" t="n">
        <f aca="false">IFERROR(INDEX('Control Effectiveness'!$E$5:$E$47,MATCH($A74,'Control Effectiveness'!$A$5:$A$47,0)),0)</f>
        <v>1</v>
      </c>
      <c r="I74" s="53" t="n">
        <f aca="false">IFERROR(INDEX('Control Effectiveness'!$F$5:$F$47,MATCH($A74,'Control Effectiveness'!$A$5:$A$47,0)),0)</f>
        <v>2</v>
      </c>
      <c r="J74" s="53" t="n">
        <f aca="false">IFERROR(INDEX('Control Effectiveness'!$G$5:$G$47,MATCH($A74,'Control Effectiveness'!$A$5:$A$47,0)),0)</f>
        <v>2</v>
      </c>
      <c r="K74" s="53" t="n">
        <f aca="false">IFERROR(INDEX('Control Effectiveness'!$H$5:$H$47,MATCH($A74,'Control Effectiveness'!$A$5:$A$47,0)),0)</f>
        <v>2</v>
      </c>
      <c r="L74" s="53" t="n">
        <f aca="false">IFERROR(INDEX('Control Effectiveness'!$I$5:$I$47,MATCH($A74,'Control Effectiveness'!$A$5:$A$47,0)),0)</f>
        <v>3</v>
      </c>
      <c r="M74" s="53" t="n">
        <f aca="false">IFERROR(INDEX('Control Effectiveness'!$J$5:$J$47,MATCH($A74,'Control Effectiveness'!$A$5:$A$47,0)),0)</f>
        <v>3</v>
      </c>
      <c r="N74" s="53" t="n">
        <f aca="false">IFERROR(INDEX('Control Effectiveness'!$K$5:$K$47,MATCH($A74,'Control Effectiveness'!$A$5:$A$47,0)),0)</f>
        <v>3</v>
      </c>
      <c r="O74" s="53" t="n">
        <f aca="false">IFERROR(INDEX('Control Effectiveness'!$L$5:$L$47,MATCH($A74,'Control Effectiveness'!$A$5:$A$47,0)),0)</f>
        <v>2</v>
      </c>
      <c r="P74" s="53" t="n">
        <f aca="false">IFERROR(INDEX('Control Effectiveness'!$M$5:$M$47,MATCH($A74,'Control Effectiveness'!$A$5:$A$47,0)),0)</f>
        <v>2</v>
      </c>
      <c r="Q74" s="53" t="n">
        <f aca="false">IFERROR(INDEX('Control Effectiveness'!$N$5:$N$47,MATCH($A74,'Control Effectiveness'!$A$5:$A$47,0)),0)</f>
        <v>2</v>
      </c>
      <c r="R74" s="53" t="n">
        <f aca="false">IFERROR(INDEX('Control Effectiveness'!$O$5:$O$47,MATCH($A74,'Control Effectiveness'!$A$5:$A$47,0)),0)</f>
        <v>4</v>
      </c>
      <c r="S74" s="53" t="n">
        <f aca="false">IFERROR(INDEX('Control Effectiveness'!$P$5:$P$47,MATCH($A74,'Control Effectiveness'!$A$5:$A$47,0)),0)</f>
        <v>3</v>
      </c>
      <c r="T74" s="53" t="n">
        <f aca="false">IFERROR(INDEX('Control Effectiveness'!$Q$5:$Q$47,MATCH($A74,'Control Effectiveness'!$A$5:$A$47,0)),0)</f>
        <v>2</v>
      </c>
      <c r="U74" s="53" t="n">
        <f aca="false">IFERROR(INDEX('Control Effectiveness'!$R$5:$R$47,MATCH($A74,'Control Effectiveness'!$A$5:$A$47,0)),0)</f>
        <v>2</v>
      </c>
      <c r="V74" s="53" t="n">
        <f aca="false">IFERROR(INDEX('Control Effectiveness'!$S$5:$S$47,MATCH($A74,'Control Effectiveness'!$A$5:$A$47,0)),0)</f>
        <v>2</v>
      </c>
      <c r="W74" s="53" t="n">
        <f aca="false">IFERROR(INDEX('Control Effectiveness'!$T$5:$T$47,MATCH($A74,'Control Effectiveness'!$A$5:$A$47,0)),0)</f>
        <v>1</v>
      </c>
      <c r="X74" s="53" t="n">
        <f aca="false">IFERROR(INDEX('Control Effectiveness'!$U$5:$U$47,MATCH($A74,'Control Effectiveness'!$A$5:$A$47,0)),0)</f>
        <v>2</v>
      </c>
      <c r="Y74" s="53" t="n">
        <f aca="false">IFERROR(INDEX('Control Effectiveness'!$V$5:$V$47,MATCH($A74,'Control Effectiveness'!$A$5:$A$47,0)),0)</f>
        <v>2</v>
      </c>
      <c r="Z74" s="53" t="n">
        <f aca="false">IFERROR(INDEX('Control Effectiveness'!$W$5:$W$47,MATCH($A74,'Control Effectiveness'!$A$5:$A$47,0)),0)</f>
        <v>1</v>
      </c>
      <c r="AA74" s="53" t="n">
        <f aca="false">IFERROR(INDEX('Control Effectiveness'!$X$5:$X$47,MATCH($A74,'Control Effectiveness'!$A$5:$A$47,0)),0)</f>
        <v>3</v>
      </c>
      <c r="AB74" s="53" t="n">
        <f aca="false">IFERROR(INDEX('Control Effectiveness'!$Y$5:$Y$47,MATCH($A74,'Control Effectiveness'!$A$5:$A$47,0)),0)</f>
        <v>1</v>
      </c>
      <c r="AC74" s="53" t="n">
        <f aca="false">IFERROR(INDEX('Control Effectiveness'!$Z$5:$Z$47,MATCH($A74,'Control Effectiveness'!$A$5:$A$47,0)),0)</f>
        <v>2</v>
      </c>
      <c r="AD74" s="53" t="n">
        <f aca="false">IFERROR(INDEX('Control Effectiveness'!$AA$5:$AA$47,MATCH($A74,'Control Effectiveness'!$A$5:$A$47,0)),0)</f>
        <v>1</v>
      </c>
      <c r="AE74" s="53" t="n">
        <f aca="false">IFERROR(INDEX('Control Effectiveness'!$AB$5:$AB$47,MATCH($A74,'Control Effectiveness'!$A$5:$A$47,0)),0)</f>
        <v>1</v>
      </c>
      <c r="AF74" s="53" t="n">
        <f aca="false">IFERROR(INDEX('Control Effectiveness'!$AC$5:$AC$47,MATCH($A74,'Control Effectiveness'!$A$5:$A$47,0)),0)</f>
        <v>2</v>
      </c>
      <c r="AG74" s="53" t="n">
        <f aca="false">IFERROR(INDEX('Control Effectiveness'!$AD$5:$AD$47,MATCH($A74,'Control Effectiveness'!$A$5:$A$47,0)),0)</f>
        <v>2</v>
      </c>
      <c r="AH74" s="53" t="n">
        <f aca="false">IFERROR(INDEX('Control Effectiveness'!$AE$5:$AE$47,MATCH($A74,'Control Effectiveness'!$A$5:$A$47,0)),0)</f>
        <v>2</v>
      </c>
      <c r="AI74" s="53" t="n">
        <f aca="false">IFERROR(INDEX('Control Effectiveness'!$AF$5:$AF$47,MATCH($A74,'Control Effectiveness'!$A$5:$A$47,0)),0)</f>
        <v>1</v>
      </c>
      <c r="AJ74" s="53" t="n">
        <f aca="false">IFERROR(INDEX('Control Effectiveness'!$AG$5:$AG$47,MATCH($A74,'Control Effectiveness'!$A$5:$A$47,0)),0)</f>
        <v>2</v>
      </c>
    </row>
    <row r="75" customFormat="false" ht="15" hidden="false" customHeight="false" outlineLevel="0" collapsed="false">
      <c r="A75" s="8" t="s">
        <v>704</v>
      </c>
      <c r="B75" s="12" t="str">
        <f aca="false">INDEX('Control Library'!$B$5:$B$47,MATCH(A75,'Control Library'!$A$5:$A$47,0))</f>
        <v>Business continuity plans and annual testing</v>
      </c>
      <c r="C75" s="33" t="s">
        <v>310</v>
      </c>
      <c r="D75" s="12" t="str">
        <f aca="false">INDEX('Risk Taxonomy'!$B$5:$B$24,MATCH(C75,'Risk Taxonomy'!$A$5:$A$24,0))</f>
        <v>Cyber, information security and technology</v>
      </c>
      <c r="E75" s="24" t="n">
        <v>1</v>
      </c>
      <c r="F75" s="7" t="str">
        <f aca="false">INDEX('Control Library'!$F$5:$F$47,MATCH(A75,'Control Library'!$A$5:$A$47,0))</f>
        <v>Y</v>
      </c>
      <c r="G75" s="53" t="n">
        <f aca="false">IFERROR(INDEX('Control Effectiveness'!$D$5:$D$47,MATCH($A75,'Control Effectiveness'!$A$5:$A$47,0)),0)</f>
        <v>2</v>
      </c>
      <c r="H75" s="53" t="n">
        <f aca="false">IFERROR(INDEX('Control Effectiveness'!$E$5:$E$47,MATCH($A75,'Control Effectiveness'!$A$5:$A$47,0)),0)</f>
        <v>1</v>
      </c>
      <c r="I75" s="53" t="n">
        <f aca="false">IFERROR(INDEX('Control Effectiveness'!$F$5:$F$47,MATCH($A75,'Control Effectiveness'!$A$5:$A$47,0)),0)</f>
        <v>2</v>
      </c>
      <c r="J75" s="53" t="n">
        <f aca="false">IFERROR(INDEX('Control Effectiveness'!$G$5:$G$47,MATCH($A75,'Control Effectiveness'!$A$5:$A$47,0)),0)</f>
        <v>2</v>
      </c>
      <c r="K75" s="53" t="n">
        <f aca="false">IFERROR(INDEX('Control Effectiveness'!$H$5:$H$47,MATCH($A75,'Control Effectiveness'!$A$5:$A$47,0)),0)</f>
        <v>2</v>
      </c>
      <c r="L75" s="53" t="n">
        <f aca="false">IFERROR(INDEX('Control Effectiveness'!$I$5:$I$47,MATCH($A75,'Control Effectiveness'!$A$5:$A$47,0)),0)</f>
        <v>3</v>
      </c>
      <c r="M75" s="53" t="n">
        <f aca="false">IFERROR(INDEX('Control Effectiveness'!$J$5:$J$47,MATCH($A75,'Control Effectiveness'!$A$5:$A$47,0)),0)</f>
        <v>3</v>
      </c>
      <c r="N75" s="53" t="n">
        <f aca="false">IFERROR(INDEX('Control Effectiveness'!$K$5:$K$47,MATCH($A75,'Control Effectiveness'!$A$5:$A$47,0)),0)</f>
        <v>3</v>
      </c>
      <c r="O75" s="53" t="n">
        <f aca="false">IFERROR(INDEX('Control Effectiveness'!$L$5:$L$47,MATCH($A75,'Control Effectiveness'!$A$5:$A$47,0)),0)</f>
        <v>2</v>
      </c>
      <c r="P75" s="53" t="n">
        <f aca="false">IFERROR(INDEX('Control Effectiveness'!$M$5:$M$47,MATCH($A75,'Control Effectiveness'!$A$5:$A$47,0)),0)</f>
        <v>2</v>
      </c>
      <c r="Q75" s="53" t="n">
        <f aca="false">IFERROR(INDEX('Control Effectiveness'!$N$5:$N$47,MATCH($A75,'Control Effectiveness'!$A$5:$A$47,0)),0)</f>
        <v>2</v>
      </c>
      <c r="R75" s="53" t="n">
        <f aca="false">IFERROR(INDEX('Control Effectiveness'!$O$5:$O$47,MATCH($A75,'Control Effectiveness'!$A$5:$A$47,0)),0)</f>
        <v>4</v>
      </c>
      <c r="S75" s="53" t="n">
        <f aca="false">IFERROR(INDEX('Control Effectiveness'!$P$5:$P$47,MATCH($A75,'Control Effectiveness'!$A$5:$A$47,0)),0)</f>
        <v>3</v>
      </c>
      <c r="T75" s="53" t="n">
        <f aca="false">IFERROR(INDEX('Control Effectiveness'!$Q$5:$Q$47,MATCH($A75,'Control Effectiveness'!$A$5:$A$47,0)),0)</f>
        <v>2</v>
      </c>
      <c r="U75" s="53" t="n">
        <f aca="false">IFERROR(INDEX('Control Effectiveness'!$R$5:$R$47,MATCH($A75,'Control Effectiveness'!$A$5:$A$47,0)),0)</f>
        <v>2</v>
      </c>
      <c r="V75" s="53" t="n">
        <f aca="false">IFERROR(INDEX('Control Effectiveness'!$S$5:$S$47,MATCH($A75,'Control Effectiveness'!$A$5:$A$47,0)),0)</f>
        <v>2</v>
      </c>
      <c r="W75" s="53" t="n">
        <f aca="false">IFERROR(INDEX('Control Effectiveness'!$T$5:$T$47,MATCH($A75,'Control Effectiveness'!$A$5:$A$47,0)),0)</f>
        <v>1</v>
      </c>
      <c r="X75" s="53" t="n">
        <f aca="false">IFERROR(INDEX('Control Effectiveness'!$U$5:$U$47,MATCH($A75,'Control Effectiveness'!$A$5:$A$47,0)),0)</f>
        <v>2</v>
      </c>
      <c r="Y75" s="53" t="n">
        <f aca="false">IFERROR(INDEX('Control Effectiveness'!$V$5:$V$47,MATCH($A75,'Control Effectiveness'!$A$5:$A$47,0)),0)</f>
        <v>2</v>
      </c>
      <c r="Z75" s="53" t="n">
        <f aca="false">IFERROR(INDEX('Control Effectiveness'!$W$5:$W$47,MATCH($A75,'Control Effectiveness'!$A$5:$A$47,0)),0)</f>
        <v>1</v>
      </c>
      <c r="AA75" s="53" t="n">
        <f aca="false">IFERROR(INDEX('Control Effectiveness'!$X$5:$X$47,MATCH($A75,'Control Effectiveness'!$A$5:$A$47,0)),0)</f>
        <v>3</v>
      </c>
      <c r="AB75" s="53" t="n">
        <f aca="false">IFERROR(INDEX('Control Effectiveness'!$Y$5:$Y$47,MATCH($A75,'Control Effectiveness'!$A$5:$A$47,0)),0)</f>
        <v>1</v>
      </c>
      <c r="AC75" s="53" t="n">
        <f aca="false">IFERROR(INDEX('Control Effectiveness'!$Z$5:$Z$47,MATCH($A75,'Control Effectiveness'!$A$5:$A$47,0)),0)</f>
        <v>2</v>
      </c>
      <c r="AD75" s="53" t="n">
        <f aca="false">IFERROR(INDEX('Control Effectiveness'!$AA$5:$AA$47,MATCH($A75,'Control Effectiveness'!$A$5:$A$47,0)),0)</f>
        <v>1</v>
      </c>
      <c r="AE75" s="53" t="n">
        <f aca="false">IFERROR(INDEX('Control Effectiveness'!$AB$5:$AB$47,MATCH($A75,'Control Effectiveness'!$A$5:$A$47,0)),0)</f>
        <v>1</v>
      </c>
      <c r="AF75" s="53" t="n">
        <f aca="false">IFERROR(INDEX('Control Effectiveness'!$AC$5:$AC$47,MATCH($A75,'Control Effectiveness'!$A$5:$A$47,0)),0)</f>
        <v>2</v>
      </c>
      <c r="AG75" s="53" t="n">
        <f aca="false">IFERROR(INDEX('Control Effectiveness'!$AD$5:$AD$47,MATCH($A75,'Control Effectiveness'!$A$5:$A$47,0)),0)</f>
        <v>2</v>
      </c>
      <c r="AH75" s="53" t="n">
        <f aca="false">IFERROR(INDEX('Control Effectiveness'!$AE$5:$AE$47,MATCH($A75,'Control Effectiveness'!$A$5:$A$47,0)),0)</f>
        <v>2</v>
      </c>
      <c r="AI75" s="53" t="n">
        <f aca="false">IFERROR(INDEX('Control Effectiveness'!$AF$5:$AF$47,MATCH($A75,'Control Effectiveness'!$A$5:$A$47,0)),0)</f>
        <v>1</v>
      </c>
      <c r="AJ75" s="53" t="n">
        <f aca="false">IFERROR(INDEX('Control Effectiveness'!$AG$5:$AG$47,MATCH($A75,'Control Effectiveness'!$A$5:$A$47,0)),0)</f>
        <v>2</v>
      </c>
    </row>
    <row r="76" customFormat="false" ht="15" hidden="false" customHeight="false" outlineLevel="0" collapsed="false">
      <c r="A76" s="8" t="s">
        <v>708</v>
      </c>
      <c r="B76" s="12" t="str">
        <f aca="false">INDEX('Control Library'!$B$5:$B$47,MATCH(A76,'Control Library'!$A$5:$A$47,0))</f>
        <v>Operational loss event capture and RCSA</v>
      </c>
      <c r="C76" s="33" t="s">
        <v>307</v>
      </c>
      <c r="D76" s="12" t="str">
        <f aca="false">INDEX('Risk Taxonomy'!$B$5:$B$24,MATCH(C76,'Risk Taxonomy'!$A$5:$A$24,0))</f>
        <v>Operational risk</v>
      </c>
      <c r="E76" s="24" t="n">
        <v>2</v>
      </c>
      <c r="F76" s="7" t="str">
        <f aca="false">INDEX('Control Library'!$F$5:$F$47,MATCH(A76,'Control Library'!$A$5:$A$47,0))</f>
        <v>N</v>
      </c>
      <c r="G76" s="53" t="n">
        <f aca="false">IFERROR(INDEX('Control Effectiveness'!$D$5:$D$47,MATCH($A76,'Control Effectiveness'!$A$5:$A$47,0)),0)</f>
        <v>2</v>
      </c>
      <c r="H76" s="53" t="n">
        <f aca="false">IFERROR(INDEX('Control Effectiveness'!$E$5:$E$47,MATCH($A76,'Control Effectiveness'!$A$5:$A$47,0)),0)</f>
        <v>2</v>
      </c>
      <c r="I76" s="53" t="n">
        <f aca="false">IFERROR(INDEX('Control Effectiveness'!$F$5:$F$47,MATCH($A76,'Control Effectiveness'!$A$5:$A$47,0)),0)</f>
        <v>3</v>
      </c>
      <c r="J76" s="53" t="n">
        <f aca="false">IFERROR(INDEX('Control Effectiveness'!$G$5:$G$47,MATCH($A76,'Control Effectiveness'!$A$5:$A$47,0)),0)</f>
        <v>2</v>
      </c>
      <c r="K76" s="53" t="n">
        <f aca="false">IFERROR(INDEX('Control Effectiveness'!$H$5:$H$47,MATCH($A76,'Control Effectiveness'!$A$5:$A$47,0)),0)</f>
        <v>2</v>
      </c>
      <c r="L76" s="53" t="n">
        <f aca="false">IFERROR(INDEX('Control Effectiveness'!$I$5:$I$47,MATCH($A76,'Control Effectiveness'!$A$5:$A$47,0)),0)</f>
        <v>4</v>
      </c>
      <c r="M76" s="53" t="n">
        <f aca="false">IFERROR(INDEX('Control Effectiveness'!$J$5:$J$47,MATCH($A76,'Control Effectiveness'!$A$5:$A$47,0)),0)</f>
        <v>2</v>
      </c>
      <c r="N76" s="53" t="n">
        <f aca="false">IFERROR(INDEX('Control Effectiveness'!$K$5:$K$47,MATCH($A76,'Control Effectiveness'!$A$5:$A$47,0)),0)</f>
        <v>3</v>
      </c>
      <c r="O76" s="53" t="n">
        <f aca="false">IFERROR(INDEX('Control Effectiveness'!$L$5:$L$47,MATCH($A76,'Control Effectiveness'!$A$5:$A$47,0)),0)</f>
        <v>2</v>
      </c>
      <c r="P76" s="53" t="n">
        <f aca="false">IFERROR(INDEX('Control Effectiveness'!$M$5:$M$47,MATCH($A76,'Control Effectiveness'!$A$5:$A$47,0)),0)</f>
        <v>3</v>
      </c>
      <c r="Q76" s="53" t="n">
        <f aca="false">IFERROR(INDEX('Control Effectiveness'!$N$5:$N$47,MATCH($A76,'Control Effectiveness'!$A$5:$A$47,0)),0)</f>
        <v>4</v>
      </c>
      <c r="R76" s="53" t="n">
        <f aca="false">IFERROR(INDEX('Control Effectiveness'!$O$5:$O$47,MATCH($A76,'Control Effectiveness'!$A$5:$A$47,0)),0)</f>
        <v>1</v>
      </c>
      <c r="S76" s="53" t="n">
        <f aca="false">IFERROR(INDEX('Control Effectiveness'!$P$5:$P$47,MATCH($A76,'Control Effectiveness'!$A$5:$A$47,0)),0)</f>
        <v>2</v>
      </c>
      <c r="T76" s="53" t="n">
        <f aca="false">IFERROR(INDEX('Control Effectiveness'!$Q$5:$Q$47,MATCH($A76,'Control Effectiveness'!$A$5:$A$47,0)),0)</f>
        <v>2</v>
      </c>
      <c r="U76" s="53" t="n">
        <f aca="false">IFERROR(INDEX('Control Effectiveness'!$R$5:$R$47,MATCH($A76,'Control Effectiveness'!$A$5:$A$47,0)),0)</f>
        <v>2</v>
      </c>
      <c r="V76" s="53" t="n">
        <f aca="false">IFERROR(INDEX('Control Effectiveness'!$S$5:$S$47,MATCH($A76,'Control Effectiveness'!$A$5:$A$47,0)),0)</f>
        <v>2</v>
      </c>
      <c r="W76" s="53" t="n">
        <f aca="false">IFERROR(INDEX('Control Effectiveness'!$T$5:$T$47,MATCH($A76,'Control Effectiveness'!$A$5:$A$47,0)),0)</f>
        <v>2</v>
      </c>
      <c r="X76" s="53" t="n">
        <f aca="false">IFERROR(INDEX('Control Effectiveness'!$U$5:$U$47,MATCH($A76,'Control Effectiveness'!$A$5:$A$47,0)),0)</f>
        <v>2</v>
      </c>
      <c r="Y76" s="53" t="n">
        <f aca="false">IFERROR(INDEX('Control Effectiveness'!$V$5:$V$47,MATCH($A76,'Control Effectiveness'!$A$5:$A$47,0)),0)</f>
        <v>1</v>
      </c>
      <c r="Z76" s="53" t="n">
        <f aca="false">IFERROR(INDEX('Control Effectiveness'!$W$5:$W$47,MATCH($A76,'Control Effectiveness'!$A$5:$A$47,0)),0)</f>
        <v>2</v>
      </c>
      <c r="AA76" s="53" t="n">
        <f aca="false">IFERROR(INDEX('Control Effectiveness'!$X$5:$X$47,MATCH($A76,'Control Effectiveness'!$A$5:$A$47,0)),0)</f>
        <v>2</v>
      </c>
      <c r="AB76" s="53" t="n">
        <f aca="false">IFERROR(INDEX('Control Effectiveness'!$Y$5:$Y$47,MATCH($A76,'Control Effectiveness'!$A$5:$A$47,0)),0)</f>
        <v>1</v>
      </c>
      <c r="AC76" s="53" t="n">
        <f aca="false">IFERROR(INDEX('Control Effectiveness'!$Z$5:$Z$47,MATCH($A76,'Control Effectiveness'!$A$5:$A$47,0)),0)</f>
        <v>2</v>
      </c>
      <c r="AD76" s="53" t="n">
        <f aca="false">IFERROR(INDEX('Control Effectiveness'!$AA$5:$AA$47,MATCH($A76,'Control Effectiveness'!$A$5:$A$47,0)),0)</f>
        <v>1</v>
      </c>
      <c r="AE76" s="53" t="n">
        <f aca="false">IFERROR(INDEX('Control Effectiveness'!$AB$5:$AB$47,MATCH($A76,'Control Effectiveness'!$A$5:$A$47,0)),0)</f>
        <v>4</v>
      </c>
      <c r="AF76" s="53" t="n">
        <f aca="false">IFERROR(INDEX('Control Effectiveness'!$AC$5:$AC$47,MATCH($A76,'Control Effectiveness'!$A$5:$A$47,0)),0)</f>
        <v>2</v>
      </c>
      <c r="AG76" s="53" t="n">
        <f aca="false">IFERROR(INDEX('Control Effectiveness'!$AD$5:$AD$47,MATCH($A76,'Control Effectiveness'!$A$5:$A$47,0)),0)</f>
        <v>2</v>
      </c>
      <c r="AH76" s="53" t="n">
        <f aca="false">IFERROR(INDEX('Control Effectiveness'!$AE$5:$AE$47,MATCH($A76,'Control Effectiveness'!$A$5:$A$47,0)),0)</f>
        <v>1</v>
      </c>
      <c r="AI76" s="53" t="n">
        <f aca="false">IFERROR(INDEX('Control Effectiveness'!$AF$5:$AF$47,MATCH($A76,'Control Effectiveness'!$A$5:$A$47,0)),0)</f>
        <v>2</v>
      </c>
      <c r="AJ76" s="53" t="n">
        <f aca="false">IFERROR(INDEX('Control Effectiveness'!$AG$5:$AG$47,MATCH($A76,'Control Effectiveness'!$A$5:$A$47,0)),0)</f>
        <v>1</v>
      </c>
    </row>
    <row r="77" customFormat="false" ht="15" hidden="false" customHeight="false" outlineLevel="0" collapsed="false">
      <c r="A77" s="8" t="s">
        <v>710</v>
      </c>
      <c r="B77" s="12" t="str">
        <f aca="false">INDEX('Control Library'!$B$5:$B$47,MATCH(A77,'Control Library'!$A$5:$A$47,0))</f>
        <v>Vulnerability and patch management</v>
      </c>
      <c r="C77" s="33" t="s">
        <v>310</v>
      </c>
      <c r="D77" s="12" t="str">
        <f aca="false">INDEX('Risk Taxonomy'!$B$5:$B$24,MATCH(C77,'Risk Taxonomy'!$A$5:$A$24,0))</f>
        <v>Cyber, information security and technology</v>
      </c>
      <c r="E77" s="24" t="n">
        <v>3</v>
      </c>
      <c r="F77" s="7" t="str">
        <f aca="false">INDEX('Control Library'!$F$5:$F$47,MATCH(A77,'Control Library'!$A$5:$A$47,0))</f>
        <v>Y</v>
      </c>
      <c r="G77" s="53" t="n">
        <f aca="false">IFERROR(INDEX('Control Effectiveness'!$D$5:$D$47,MATCH($A77,'Control Effectiveness'!$A$5:$A$47,0)),0)</f>
        <v>2</v>
      </c>
      <c r="H77" s="53" t="n">
        <f aca="false">IFERROR(INDEX('Control Effectiveness'!$E$5:$E$47,MATCH($A77,'Control Effectiveness'!$A$5:$A$47,0)),0)</f>
        <v>2</v>
      </c>
      <c r="I77" s="53" t="n">
        <f aca="false">IFERROR(INDEX('Control Effectiveness'!$F$5:$F$47,MATCH($A77,'Control Effectiveness'!$A$5:$A$47,0)),0)</f>
        <v>2</v>
      </c>
      <c r="J77" s="53" t="n">
        <f aca="false">IFERROR(INDEX('Control Effectiveness'!$G$5:$G$47,MATCH($A77,'Control Effectiveness'!$A$5:$A$47,0)),0)</f>
        <v>2</v>
      </c>
      <c r="K77" s="53" t="n">
        <f aca="false">IFERROR(INDEX('Control Effectiveness'!$H$5:$H$47,MATCH($A77,'Control Effectiveness'!$A$5:$A$47,0)),0)</f>
        <v>2</v>
      </c>
      <c r="L77" s="53" t="n">
        <f aca="false">IFERROR(INDEX('Control Effectiveness'!$I$5:$I$47,MATCH($A77,'Control Effectiveness'!$A$5:$A$47,0)),0)</f>
        <v>3</v>
      </c>
      <c r="M77" s="53" t="n">
        <f aca="false">IFERROR(INDEX('Control Effectiveness'!$J$5:$J$47,MATCH($A77,'Control Effectiveness'!$A$5:$A$47,0)),0)</f>
        <v>2</v>
      </c>
      <c r="N77" s="53" t="n">
        <f aca="false">IFERROR(INDEX('Control Effectiveness'!$K$5:$K$47,MATCH($A77,'Control Effectiveness'!$A$5:$A$47,0)),0)</f>
        <v>2</v>
      </c>
      <c r="O77" s="53" t="n">
        <f aca="false">IFERROR(INDEX('Control Effectiveness'!$L$5:$L$47,MATCH($A77,'Control Effectiveness'!$A$5:$A$47,0)),0)</f>
        <v>3</v>
      </c>
      <c r="P77" s="53" t="n">
        <f aca="false">IFERROR(INDEX('Control Effectiveness'!$M$5:$M$47,MATCH($A77,'Control Effectiveness'!$A$5:$A$47,0)),0)</f>
        <v>2</v>
      </c>
      <c r="Q77" s="53" t="n">
        <f aca="false">IFERROR(INDEX('Control Effectiveness'!$N$5:$N$47,MATCH($A77,'Control Effectiveness'!$A$5:$A$47,0)),0)</f>
        <v>3</v>
      </c>
      <c r="R77" s="53" t="n">
        <f aca="false">IFERROR(INDEX('Control Effectiveness'!$O$5:$O$47,MATCH($A77,'Control Effectiveness'!$A$5:$A$47,0)),0)</f>
        <v>2</v>
      </c>
      <c r="S77" s="53" t="n">
        <f aca="false">IFERROR(INDEX('Control Effectiveness'!$P$5:$P$47,MATCH($A77,'Control Effectiveness'!$A$5:$A$47,0)),0)</f>
        <v>1</v>
      </c>
      <c r="T77" s="53" t="n">
        <f aca="false">IFERROR(INDEX('Control Effectiveness'!$Q$5:$Q$47,MATCH($A77,'Control Effectiveness'!$A$5:$A$47,0)),0)</f>
        <v>2</v>
      </c>
      <c r="U77" s="53" t="n">
        <f aca="false">IFERROR(INDEX('Control Effectiveness'!$R$5:$R$47,MATCH($A77,'Control Effectiveness'!$A$5:$A$47,0)),0)</f>
        <v>2</v>
      </c>
      <c r="V77" s="53" t="n">
        <f aca="false">IFERROR(INDEX('Control Effectiveness'!$S$5:$S$47,MATCH($A77,'Control Effectiveness'!$A$5:$A$47,0)),0)</f>
        <v>3</v>
      </c>
      <c r="W77" s="53" t="n">
        <f aca="false">IFERROR(INDEX('Control Effectiveness'!$T$5:$T$47,MATCH($A77,'Control Effectiveness'!$A$5:$A$47,0)),0)</f>
        <v>1</v>
      </c>
      <c r="X77" s="53" t="n">
        <f aca="false">IFERROR(INDEX('Control Effectiveness'!$U$5:$U$47,MATCH($A77,'Control Effectiveness'!$A$5:$A$47,0)),0)</f>
        <v>2</v>
      </c>
      <c r="Y77" s="53" t="n">
        <f aca="false">IFERROR(INDEX('Control Effectiveness'!$V$5:$V$47,MATCH($A77,'Control Effectiveness'!$A$5:$A$47,0)),0)</f>
        <v>2</v>
      </c>
      <c r="Z77" s="53" t="n">
        <f aca="false">IFERROR(INDEX('Control Effectiveness'!$W$5:$W$47,MATCH($A77,'Control Effectiveness'!$A$5:$A$47,0)),0)</f>
        <v>2</v>
      </c>
      <c r="AA77" s="53" t="n">
        <f aca="false">IFERROR(INDEX('Control Effectiveness'!$X$5:$X$47,MATCH($A77,'Control Effectiveness'!$A$5:$A$47,0)),0)</f>
        <v>2</v>
      </c>
      <c r="AB77" s="53" t="n">
        <f aca="false">IFERROR(INDEX('Control Effectiveness'!$Y$5:$Y$47,MATCH($A77,'Control Effectiveness'!$A$5:$A$47,0)),0)</f>
        <v>2</v>
      </c>
      <c r="AC77" s="53" t="n">
        <f aca="false">IFERROR(INDEX('Control Effectiveness'!$Z$5:$Z$47,MATCH($A77,'Control Effectiveness'!$A$5:$A$47,0)),0)</f>
        <v>2</v>
      </c>
      <c r="AD77" s="53" t="n">
        <f aca="false">IFERROR(INDEX('Control Effectiveness'!$AA$5:$AA$47,MATCH($A77,'Control Effectiveness'!$A$5:$A$47,0)),0)</f>
        <v>1</v>
      </c>
      <c r="AE77" s="53" t="n">
        <f aca="false">IFERROR(INDEX('Control Effectiveness'!$AB$5:$AB$47,MATCH($A77,'Control Effectiveness'!$A$5:$A$47,0)),0)</f>
        <v>1</v>
      </c>
      <c r="AF77" s="53" t="n">
        <f aca="false">IFERROR(INDEX('Control Effectiveness'!$AC$5:$AC$47,MATCH($A77,'Control Effectiveness'!$A$5:$A$47,0)),0)</f>
        <v>1</v>
      </c>
      <c r="AG77" s="53" t="n">
        <f aca="false">IFERROR(INDEX('Control Effectiveness'!$AD$5:$AD$47,MATCH($A77,'Control Effectiveness'!$A$5:$A$47,0)),0)</f>
        <v>2</v>
      </c>
      <c r="AH77" s="53" t="n">
        <f aca="false">IFERROR(INDEX('Control Effectiveness'!$AE$5:$AE$47,MATCH($A77,'Control Effectiveness'!$A$5:$A$47,0)),0)</f>
        <v>2</v>
      </c>
      <c r="AI77" s="53" t="n">
        <f aca="false">IFERROR(INDEX('Control Effectiveness'!$AF$5:$AF$47,MATCH($A77,'Control Effectiveness'!$A$5:$A$47,0)),0)</f>
        <v>1</v>
      </c>
      <c r="AJ77" s="53" t="n">
        <f aca="false">IFERROR(INDEX('Control Effectiveness'!$AG$5:$AG$47,MATCH($A77,'Control Effectiveness'!$A$5:$A$47,0)),0)</f>
        <v>1</v>
      </c>
    </row>
    <row r="78" customFormat="false" ht="15" hidden="false" customHeight="false" outlineLevel="0" collapsed="false">
      <c r="A78" s="8" t="s">
        <v>712</v>
      </c>
      <c r="B78" s="12" t="str">
        <f aca="false">INDEX('Control Library'!$B$5:$B$47,MATCH(A78,'Control Library'!$A$5:$A$47,0))</f>
        <v>Privileged access management and SOC monitoring</v>
      </c>
      <c r="C78" s="33" t="s">
        <v>310</v>
      </c>
      <c r="D78" s="12" t="str">
        <f aca="false">INDEX('Risk Taxonomy'!$B$5:$B$24,MATCH(C78,'Risk Taxonomy'!$A$5:$A$24,0))</f>
        <v>Cyber, information security and technology</v>
      </c>
      <c r="E78" s="24" t="n">
        <v>2</v>
      </c>
      <c r="F78" s="7" t="str">
        <f aca="false">INDEX('Control Library'!$F$5:$F$47,MATCH(A78,'Control Library'!$A$5:$A$47,0))</f>
        <v>Y</v>
      </c>
      <c r="G78" s="53" t="n">
        <f aca="false">IFERROR(INDEX('Control Effectiveness'!$D$5:$D$47,MATCH($A78,'Control Effectiveness'!$A$5:$A$47,0)),0)</f>
        <v>2</v>
      </c>
      <c r="H78" s="53" t="n">
        <f aca="false">IFERROR(INDEX('Control Effectiveness'!$E$5:$E$47,MATCH($A78,'Control Effectiveness'!$A$5:$A$47,0)),0)</f>
        <v>2</v>
      </c>
      <c r="I78" s="53" t="n">
        <f aca="false">IFERROR(INDEX('Control Effectiveness'!$F$5:$F$47,MATCH($A78,'Control Effectiveness'!$A$5:$A$47,0)),0)</f>
        <v>2</v>
      </c>
      <c r="J78" s="53" t="n">
        <f aca="false">IFERROR(INDEX('Control Effectiveness'!$G$5:$G$47,MATCH($A78,'Control Effectiveness'!$A$5:$A$47,0)),0)</f>
        <v>2</v>
      </c>
      <c r="K78" s="53" t="n">
        <f aca="false">IFERROR(INDEX('Control Effectiveness'!$H$5:$H$47,MATCH($A78,'Control Effectiveness'!$A$5:$A$47,0)),0)</f>
        <v>2</v>
      </c>
      <c r="L78" s="53" t="n">
        <f aca="false">IFERROR(INDEX('Control Effectiveness'!$I$5:$I$47,MATCH($A78,'Control Effectiveness'!$A$5:$A$47,0)),0)</f>
        <v>3</v>
      </c>
      <c r="M78" s="53" t="n">
        <f aca="false">IFERROR(INDEX('Control Effectiveness'!$J$5:$J$47,MATCH($A78,'Control Effectiveness'!$A$5:$A$47,0)),0)</f>
        <v>2</v>
      </c>
      <c r="N78" s="53" t="n">
        <f aca="false">IFERROR(INDEX('Control Effectiveness'!$K$5:$K$47,MATCH($A78,'Control Effectiveness'!$A$5:$A$47,0)),0)</f>
        <v>3</v>
      </c>
      <c r="O78" s="53" t="n">
        <f aca="false">IFERROR(INDEX('Control Effectiveness'!$L$5:$L$47,MATCH($A78,'Control Effectiveness'!$A$5:$A$47,0)),0)</f>
        <v>2</v>
      </c>
      <c r="P78" s="53" t="n">
        <f aca="false">IFERROR(INDEX('Control Effectiveness'!$M$5:$M$47,MATCH($A78,'Control Effectiveness'!$A$5:$A$47,0)),0)</f>
        <v>2</v>
      </c>
      <c r="Q78" s="53" t="n">
        <f aca="false">IFERROR(INDEX('Control Effectiveness'!$N$5:$N$47,MATCH($A78,'Control Effectiveness'!$A$5:$A$47,0)),0)</f>
        <v>2</v>
      </c>
      <c r="R78" s="53" t="n">
        <f aca="false">IFERROR(INDEX('Control Effectiveness'!$O$5:$O$47,MATCH($A78,'Control Effectiveness'!$A$5:$A$47,0)),0)</f>
        <v>1</v>
      </c>
      <c r="S78" s="53" t="n">
        <f aca="false">IFERROR(INDEX('Control Effectiveness'!$P$5:$P$47,MATCH($A78,'Control Effectiveness'!$A$5:$A$47,0)),0)</f>
        <v>2</v>
      </c>
      <c r="T78" s="53" t="n">
        <f aca="false">IFERROR(INDEX('Control Effectiveness'!$Q$5:$Q$47,MATCH($A78,'Control Effectiveness'!$A$5:$A$47,0)),0)</f>
        <v>2</v>
      </c>
      <c r="U78" s="53" t="n">
        <f aca="false">IFERROR(INDEX('Control Effectiveness'!$R$5:$R$47,MATCH($A78,'Control Effectiveness'!$A$5:$A$47,0)),0)</f>
        <v>3</v>
      </c>
      <c r="V78" s="53" t="n">
        <f aca="false">IFERROR(INDEX('Control Effectiveness'!$S$5:$S$47,MATCH($A78,'Control Effectiveness'!$A$5:$A$47,0)),0)</f>
        <v>3</v>
      </c>
      <c r="W78" s="53" t="n">
        <f aca="false">IFERROR(INDEX('Control Effectiveness'!$T$5:$T$47,MATCH($A78,'Control Effectiveness'!$A$5:$A$47,0)),0)</f>
        <v>2</v>
      </c>
      <c r="X78" s="53" t="n">
        <f aca="false">IFERROR(INDEX('Control Effectiveness'!$U$5:$U$47,MATCH($A78,'Control Effectiveness'!$A$5:$A$47,0)),0)</f>
        <v>2</v>
      </c>
      <c r="Y78" s="53" t="n">
        <f aca="false">IFERROR(INDEX('Control Effectiveness'!$V$5:$V$47,MATCH($A78,'Control Effectiveness'!$A$5:$A$47,0)),0)</f>
        <v>2</v>
      </c>
      <c r="Z78" s="53" t="n">
        <f aca="false">IFERROR(INDEX('Control Effectiveness'!$W$5:$W$47,MATCH($A78,'Control Effectiveness'!$A$5:$A$47,0)),0)</f>
        <v>2</v>
      </c>
      <c r="AA78" s="53" t="n">
        <f aca="false">IFERROR(INDEX('Control Effectiveness'!$X$5:$X$47,MATCH($A78,'Control Effectiveness'!$A$5:$A$47,0)),0)</f>
        <v>2</v>
      </c>
      <c r="AB78" s="53" t="n">
        <f aca="false">IFERROR(INDEX('Control Effectiveness'!$Y$5:$Y$47,MATCH($A78,'Control Effectiveness'!$A$5:$A$47,0)),0)</f>
        <v>1</v>
      </c>
      <c r="AC78" s="53" t="n">
        <f aca="false">IFERROR(INDEX('Control Effectiveness'!$Z$5:$Z$47,MATCH($A78,'Control Effectiveness'!$A$5:$A$47,0)),0)</f>
        <v>2</v>
      </c>
      <c r="AD78" s="53" t="n">
        <f aca="false">IFERROR(INDEX('Control Effectiveness'!$AA$5:$AA$47,MATCH($A78,'Control Effectiveness'!$A$5:$A$47,0)),0)</f>
        <v>1</v>
      </c>
      <c r="AE78" s="53" t="n">
        <f aca="false">IFERROR(INDEX('Control Effectiveness'!$AB$5:$AB$47,MATCH($A78,'Control Effectiveness'!$A$5:$A$47,0)),0)</f>
        <v>1</v>
      </c>
      <c r="AF78" s="53" t="n">
        <f aca="false">IFERROR(INDEX('Control Effectiveness'!$AC$5:$AC$47,MATCH($A78,'Control Effectiveness'!$A$5:$A$47,0)),0)</f>
        <v>2</v>
      </c>
      <c r="AG78" s="53" t="n">
        <f aca="false">IFERROR(INDEX('Control Effectiveness'!$AD$5:$AD$47,MATCH($A78,'Control Effectiveness'!$A$5:$A$47,0)),0)</f>
        <v>2</v>
      </c>
      <c r="AH78" s="53" t="n">
        <f aca="false">IFERROR(INDEX('Control Effectiveness'!$AE$5:$AE$47,MATCH($A78,'Control Effectiveness'!$A$5:$A$47,0)),0)</f>
        <v>2</v>
      </c>
      <c r="AI78" s="53" t="n">
        <f aca="false">IFERROR(INDEX('Control Effectiveness'!$AF$5:$AF$47,MATCH($A78,'Control Effectiveness'!$A$5:$A$47,0)),0)</f>
        <v>2</v>
      </c>
      <c r="AJ78" s="53" t="n">
        <f aca="false">IFERROR(INDEX('Control Effectiveness'!$AG$5:$AG$47,MATCH($A78,'Control Effectiveness'!$A$5:$A$47,0)),0)</f>
        <v>4</v>
      </c>
    </row>
    <row r="79" customFormat="false" ht="15" hidden="false" customHeight="false" outlineLevel="0" collapsed="false">
      <c r="A79" s="8" t="s">
        <v>712</v>
      </c>
      <c r="B79" s="12" t="str">
        <f aca="false">INDEX('Control Library'!$B$5:$B$47,MATCH(A79,'Control Library'!$A$5:$A$47,0))</f>
        <v>Privileged access management and SOC monitoring</v>
      </c>
      <c r="C79" s="33" t="s">
        <v>278</v>
      </c>
      <c r="D79" s="12" t="str">
        <f aca="false">INDEX('Risk Taxonomy'!$B$5:$B$24,MATCH(C79,'Risk Taxonomy'!$A$5:$A$24,0))</f>
        <v>Fraud</v>
      </c>
      <c r="E79" s="24" t="n">
        <v>1</v>
      </c>
      <c r="F79" s="7" t="str">
        <f aca="false">INDEX('Control Library'!$F$5:$F$47,MATCH(A79,'Control Library'!$A$5:$A$47,0))</f>
        <v>Y</v>
      </c>
      <c r="G79" s="53" t="n">
        <f aca="false">IFERROR(INDEX('Control Effectiveness'!$D$5:$D$47,MATCH($A79,'Control Effectiveness'!$A$5:$A$47,0)),0)</f>
        <v>2</v>
      </c>
      <c r="H79" s="53" t="n">
        <f aca="false">IFERROR(INDEX('Control Effectiveness'!$E$5:$E$47,MATCH($A79,'Control Effectiveness'!$A$5:$A$47,0)),0)</f>
        <v>2</v>
      </c>
      <c r="I79" s="53" t="n">
        <f aca="false">IFERROR(INDEX('Control Effectiveness'!$F$5:$F$47,MATCH($A79,'Control Effectiveness'!$A$5:$A$47,0)),0)</f>
        <v>2</v>
      </c>
      <c r="J79" s="53" t="n">
        <f aca="false">IFERROR(INDEX('Control Effectiveness'!$G$5:$G$47,MATCH($A79,'Control Effectiveness'!$A$5:$A$47,0)),0)</f>
        <v>2</v>
      </c>
      <c r="K79" s="53" t="n">
        <f aca="false">IFERROR(INDEX('Control Effectiveness'!$H$5:$H$47,MATCH($A79,'Control Effectiveness'!$A$5:$A$47,0)),0)</f>
        <v>2</v>
      </c>
      <c r="L79" s="53" t="n">
        <f aca="false">IFERROR(INDEX('Control Effectiveness'!$I$5:$I$47,MATCH($A79,'Control Effectiveness'!$A$5:$A$47,0)),0)</f>
        <v>3</v>
      </c>
      <c r="M79" s="53" t="n">
        <f aca="false">IFERROR(INDEX('Control Effectiveness'!$J$5:$J$47,MATCH($A79,'Control Effectiveness'!$A$5:$A$47,0)),0)</f>
        <v>2</v>
      </c>
      <c r="N79" s="53" t="n">
        <f aca="false">IFERROR(INDEX('Control Effectiveness'!$K$5:$K$47,MATCH($A79,'Control Effectiveness'!$A$5:$A$47,0)),0)</f>
        <v>3</v>
      </c>
      <c r="O79" s="53" t="n">
        <f aca="false">IFERROR(INDEX('Control Effectiveness'!$L$5:$L$47,MATCH($A79,'Control Effectiveness'!$A$5:$A$47,0)),0)</f>
        <v>2</v>
      </c>
      <c r="P79" s="53" t="n">
        <f aca="false">IFERROR(INDEX('Control Effectiveness'!$M$5:$M$47,MATCH($A79,'Control Effectiveness'!$A$5:$A$47,0)),0)</f>
        <v>2</v>
      </c>
      <c r="Q79" s="53" t="n">
        <f aca="false">IFERROR(INDEX('Control Effectiveness'!$N$5:$N$47,MATCH($A79,'Control Effectiveness'!$A$5:$A$47,0)),0)</f>
        <v>2</v>
      </c>
      <c r="R79" s="53" t="n">
        <f aca="false">IFERROR(INDEX('Control Effectiveness'!$O$5:$O$47,MATCH($A79,'Control Effectiveness'!$A$5:$A$47,0)),0)</f>
        <v>1</v>
      </c>
      <c r="S79" s="53" t="n">
        <f aca="false">IFERROR(INDEX('Control Effectiveness'!$P$5:$P$47,MATCH($A79,'Control Effectiveness'!$A$5:$A$47,0)),0)</f>
        <v>2</v>
      </c>
      <c r="T79" s="53" t="n">
        <f aca="false">IFERROR(INDEX('Control Effectiveness'!$Q$5:$Q$47,MATCH($A79,'Control Effectiveness'!$A$5:$A$47,0)),0)</f>
        <v>2</v>
      </c>
      <c r="U79" s="53" t="n">
        <f aca="false">IFERROR(INDEX('Control Effectiveness'!$R$5:$R$47,MATCH($A79,'Control Effectiveness'!$A$5:$A$47,0)),0)</f>
        <v>3</v>
      </c>
      <c r="V79" s="53" t="n">
        <f aca="false">IFERROR(INDEX('Control Effectiveness'!$S$5:$S$47,MATCH($A79,'Control Effectiveness'!$A$5:$A$47,0)),0)</f>
        <v>3</v>
      </c>
      <c r="W79" s="53" t="n">
        <f aca="false">IFERROR(INDEX('Control Effectiveness'!$T$5:$T$47,MATCH($A79,'Control Effectiveness'!$A$5:$A$47,0)),0)</f>
        <v>2</v>
      </c>
      <c r="X79" s="53" t="n">
        <f aca="false">IFERROR(INDEX('Control Effectiveness'!$U$5:$U$47,MATCH($A79,'Control Effectiveness'!$A$5:$A$47,0)),0)</f>
        <v>2</v>
      </c>
      <c r="Y79" s="53" t="n">
        <f aca="false">IFERROR(INDEX('Control Effectiveness'!$V$5:$V$47,MATCH($A79,'Control Effectiveness'!$A$5:$A$47,0)),0)</f>
        <v>2</v>
      </c>
      <c r="Z79" s="53" t="n">
        <f aca="false">IFERROR(INDEX('Control Effectiveness'!$W$5:$W$47,MATCH($A79,'Control Effectiveness'!$A$5:$A$47,0)),0)</f>
        <v>2</v>
      </c>
      <c r="AA79" s="53" t="n">
        <f aca="false">IFERROR(INDEX('Control Effectiveness'!$X$5:$X$47,MATCH($A79,'Control Effectiveness'!$A$5:$A$47,0)),0)</f>
        <v>2</v>
      </c>
      <c r="AB79" s="53" t="n">
        <f aca="false">IFERROR(INDEX('Control Effectiveness'!$Y$5:$Y$47,MATCH($A79,'Control Effectiveness'!$A$5:$A$47,0)),0)</f>
        <v>1</v>
      </c>
      <c r="AC79" s="53" t="n">
        <f aca="false">IFERROR(INDEX('Control Effectiveness'!$Z$5:$Z$47,MATCH($A79,'Control Effectiveness'!$A$5:$A$47,0)),0)</f>
        <v>2</v>
      </c>
      <c r="AD79" s="53" t="n">
        <f aca="false">IFERROR(INDEX('Control Effectiveness'!$AA$5:$AA$47,MATCH($A79,'Control Effectiveness'!$A$5:$A$47,0)),0)</f>
        <v>1</v>
      </c>
      <c r="AE79" s="53" t="n">
        <f aca="false">IFERROR(INDEX('Control Effectiveness'!$AB$5:$AB$47,MATCH($A79,'Control Effectiveness'!$A$5:$A$47,0)),0)</f>
        <v>1</v>
      </c>
      <c r="AF79" s="53" t="n">
        <f aca="false">IFERROR(INDEX('Control Effectiveness'!$AC$5:$AC$47,MATCH($A79,'Control Effectiveness'!$A$5:$A$47,0)),0)</f>
        <v>2</v>
      </c>
      <c r="AG79" s="53" t="n">
        <f aca="false">IFERROR(INDEX('Control Effectiveness'!$AD$5:$AD$47,MATCH($A79,'Control Effectiveness'!$A$5:$A$47,0)),0)</f>
        <v>2</v>
      </c>
      <c r="AH79" s="53" t="n">
        <f aca="false">IFERROR(INDEX('Control Effectiveness'!$AE$5:$AE$47,MATCH($A79,'Control Effectiveness'!$A$5:$A$47,0)),0)</f>
        <v>2</v>
      </c>
      <c r="AI79" s="53" t="n">
        <f aca="false">IFERROR(INDEX('Control Effectiveness'!$AF$5:$AF$47,MATCH($A79,'Control Effectiveness'!$A$5:$A$47,0)),0)</f>
        <v>2</v>
      </c>
      <c r="AJ79" s="53" t="n">
        <f aca="false">IFERROR(INDEX('Control Effectiveness'!$AG$5:$AG$47,MATCH($A79,'Control Effectiveness'!$A$5:$A$47,0)),0)</f>
        <v>4</v>
      </c>
    </row>
    <row r="80" customFormat="false" ht="15" hidden="false" customHeight="false" outlineLevel="0" collapsed="false">
      <c r="A80" s="8" t="s">
        <v>715</v>
      </c>
      <c r="B80" s="12" t="str">
        <f aca="false">INDEX('Control Library'!$B$5:$B$47,MATCH(A80,'Control Library'!$A$5:$A$47,0))</f>
        <v>Critical vendor due diligence and tested exit plans</v>
      </c>
      <c r="C80" s="33" t="s">
        <v>313</v>
      </c>
      <c r="D80" s="12" t="str">
        <f aca="false">INDEX('Risk Taxonomy'!$B$5:$B$24,MATCH(C80,'Risk Taxonomy'!$A$5:$A$24,0))</f>
        <v>Third-party and outsourcing</v>
      </c>
      <c r="E80" s="24" t="n">
        <v>3</v>
      </c>
      <c r="F80" s="7" t="str">
        <f aca="false">INDEX('Control Library'!$F$5:$F$47,MATCH(A80,'Control Library'!$A$5:$A$47,0))</f>
        <v>Y</v>
      </c>
      <c r="G80" s="53" t="n">
        <f aca="false">IFERROR(INDEX('Control Effectiveness'!$D$5:$D$47,MATCH($A80,'Control Effectiveness'!$A$5:$A$47,0)),0)</f>
        <v>2</v>
      </c>
      <c r="H80" s="53" t="n">
        <f aca="false">IFERROR(INDEX('Control Effectiveness'!$E$5:$E$47,MATCH($A80,'Control Effectiveness'!$A$5:$A$47,0)),0)</f>
        <v>2</v>
      </c>
      <c r="I80" s="53" t="n">
        <f aca="false">IFERROR(INDEX('Control Effectiveness'!$F$5:$F$47,MATCH($A80,'Control Effectiveness'!$A$5:$A$47,0)),0)</f>
        <v>2</v>
      </c>
      <c r="J80" s="53" t="n">
        <f aca="false">IFERROR(INDEX('Control Effectiveness'!$G$5:$G$47,MATCH($A80,'Control Effectiveness'!$A$5:$A$47,0)),0)</f>
        <v>2</v>
      </c>
      <c r="K80" s="53" t="n">
        <f aca="false">IFERROR(INDEX('Control Effectiveness'!$H$5:$H$47,MATCH($A80,'Control Effectiveness'!$A$5:$A$47,0)),0)</f>
        <v>3</v>
      </c>
      <c r="L80" s="53" t="n">
        <f aca="false">IFERROR(INDEX('Control Effectiveness'!$I$5:$I$47,MATCH($A80,'Control Effectiveness'!$A$5:$A$47,0)),0)</f>
        <v>3</v>
      </c>
      <c r="M80" s="53" t="n">
        <f aca="false">IFERROR(INDEX('Control Effectiveness'!$J$5:$J$47,MATCH($A80,'Control Effectiveness'!$A$5:$A$47,0)),0)</f>
        <v>2</v>
      </c>
      <c r="N80" s="53" t="n">
        <f aca="false">IFERROR(INDEX('Control Effectiveness'!$K$5:$K$47,MATCH($A80,'Control Effectiveness'!$A$5:$A$47,0)),0)</f>
        <v>3</v>
      </c>
      <c r="O80" s="53" t="n">
        <f aca="false">IFERROR(INDEX('Control Effectiveness'!$L$5:$L$47,MATCH($A80,'Control Effectiveness'!$A$5:$A$47,0)),0)</f>
        <v>2</v>
      </c>
      <c r="P80" s="53" t="n">
        <f aca="false">IFERROR(INDEX('Control Effectiveness'!$M$5:$M$47,MATCH($A80,'Control Effectiveness'!$A$5:$A$47,0)),0)</f>
        <v>2</v>
      </c>
      <c r="Q80" s="53" t="n">
        <f aca="false">IFERROR(INDEX('Control Effectiveness'!$N$5:$N$47,MATCH($A80,'Control Effectiveness'!$A$5:$A$47,0)),0)</f>
        <v>2</v>
      </c>
      <c r="R80" s="53" t="n">
        <f aca="false">IFERROR(INDEX('Control Effectiveness'!$O$5:$O$47,MATCH($A80,'Control Effectiveness'!$A$5:$A$47,0)),0)</f>
        <v>2</v>
      </c>
      <c r="S80" s="53" t="n">
        <f aca="false">IFERROR(INDEX('Control Effectiveness'!$P$5:$P$47,MATCH($A80,'Control Effectiveness'!$A$5:$A$47,0)),0)</f>
        <v>2</v>
      </c>
      <c r="T80" s="53" t="n">
        <f aca="false">IFERROR(INDEX('Control Effectiveness'!$Q$5:$Q$47,MATCH($A80,'Control Effectiveness'!$A$5:$A$47,0)),0)</f>
        <v>2</v>
      </c>
      <c r="U80" s="53" t="n">
        <f aca="false">IFERROR(INDEX('Control Effectiveness'!$R$5:$R$47,MATCH($A80,'Control Effectiveness'!$A$5:$A$47,0)),0)</f>
        <v>2</v>
      </c>
      <c r="V80" s="53" t="n">
        <f aca="false">IFERROR(INDEX('Control Effectiveness'!$S$5:$S$47,MATCH($A80,'Control Effectiveness'!$A$5:$A$47,0)),0)</f>
        <v>3</v>
      </c>
      <c r="W80" s="53" t="n">
        <f aca="false">IFERROR(INDEX('Control Effectiveness'!$T$5:$T$47,MATCH($A80,'Control Effectiveness'!$A$5:$A$47,0)),0)</f>
        <v>1</v>
      </c>
      <c r="X80" s="53" t="n">
        <f aca="false">IFERROR(INDEX('Control Effectiveness'!$U$5:$U$47,MATCH($A80,'Control Effectiveness'!$A$5:$A$47,0)),0)</f>
        <v>4</v>
      </c>
      <c r="Y80" s="53" t="n">
        <f aca="false">IFERROR(INDEX('Control Effectiveness'!$V$5:$V$47,MATCH($A80,'Control Effectiveness'!$A$5:$A$47,0)),0)</f>
        <v>4</v>
      </c>
      <c r="Z80" s="53" t="n">
        <f aca="false">IFERROR(INDEX('Control Effectiveness'!$W$5:$W$47,MATCH($A80,'Control Effectiveness'!$A$5:$A$47,0)),0)</f>
        <v>4</v>
      </c>
      <c r="AA80" s="53" t="n">
        <f aca="false">IFERROR(INDEX('Control Effectiveness'!$X$5:$X$47,MATCH($A80,'Control Effectiveness'!$A$5:$A$47,0)),0)</f>
        <v>3</v>
      </c>
      <c r="AB80" s="53" t="n">
        <f aca="false">IFERROR(INDEX('Control Effectiveness'!$Y$5:$Y$47,MATCH($A80,'Control Effectiveness'!$A$5:$A$47,0)),0)</f>
        <v>2</v>
      </c>
      <c r="AC80" s="53" t="n">
        <f aca="false">IFERROR(INDEX('Control Effectiveness'!$Z$5:$Z$47,MATCH($A80,'Control Effectiveness'!$A$5:$A$47,0)),0)</f>
        <v>1</v>
      </c>
      <c r="AD80" s="53" t="n">
        <f aca="false">IFERROR(INDEX('Control Effectiveness'!$AA$5:$AA$47,MATCH($A80,'Control Effectiveness'!$A$5:$A$47,0)),0)</f>
        <v>1</v>
      </c>
      <c r="AE80" s="53" t="n">
        <f aca="false">IFERROR(INDEX('Control Effectiveness'!$AB$5:$AB$47,MATCH($A80,'Control Effectiveness'!$A$5:$A$47,0)),0)</f>
        <v>2</v>
      </c>
      <c r="AF80" s="53" t="n">
        <f aca="false">IFERROR(INDEX('Control Effectiveness'!$AC$5:$AC$47,MATCH($A80,'Control Effectiveness'!$A$5:$A$47,0)),0)</f>
        <v>1</v>
      </c>
      <c r="AG80" s="53" t="n">
        <f aca="false">IFERROR(INDEX('Control Effectiveness'!$AD$5:$AD$47,MATCH($A80,'Control Effectiveness'!$A$5:$A$47,0)),0)</f>
        <v>1</v>
      </c>
      <c r="AH80" s="53" t="n">
        <f aca="false">IFERROR(INDEX('Control Effectiveness'!$AE$5:$AE$47,MATCH($A80,'Control Effectiveness'!$A$5:$A$47,0)),0)</f>
        <v>2</v>
      </c>
      <c r="AI80" s="53" t="n">
        <f aca="false">IFERROR(INDEX('Control Effectiveness'!$AF$5:$AF$47,MATCH($A80,'Control Effectiveness'!$A$5:$A$47,0)),0)</f>
        <v>1</v>
      </c>
      <c r="AJ80" s="53" t="n">
        <f aca="false">IFERROR(INDEX('Control Effectiveness'!$AG$5:$AG$47,MATCH($A80,'Control Effectiveness'!$A$5:$A$47,0)),0)</f>
        <v>1</v>
      </c>
    </row>
    <row r="81" customFormat="false" ht="15" hidden="false" customHeight="false" outlineLevel="0" collapsed="false">
      <c r="A81" s="8" t="s">
        <v>717</v>
      </c>
      <c r="B81" s="12" t="str">
        <f aca="false">INDEX('Control Library'!$B$5:$B$47,MATCH(A81,'Control Library'!$A$5:$A$47,0))</f>
        <v>Legal review of contracts and litigation register</v>
      </c>
      <c r="C81" s="33" t="s">
        <v>316</v>
      </c>
      <c r="D81" s="12" t="str">
        <f aca="false">INDEX('Risk Taxonomy'!$B$5:$B$24,MATCH(C81,'Risk Taxonomy'!$A$5:$A$24,0))</f>
        <v>Legal and litigation</v>
      </c>
      <c r="E81" s="24" t="n">
        <v>3</v>
      </c>
      <c r="F81" s="7" t="str">
        <f aca="false">INDEX('Control Library'!$F$5:$F$47,MATCH(A81,'Control Library'!$A$5:$A$47,0))</f>
        <v>Y</v>
      </c>
      <c r="G81" s="53" t="n">
        <f aca="false">IFERROR(INDEX('Control Effectiveness'!$D$5:$D$47,MATCH($A81,'Control Effectiveness'!$A$5:$A$47,0)),0)</f>
        <v>2</v>
      </c>
      <c r="H81" s="53" t="n">
        <f aca="false">IFERROR(INDEX('Control Effectiveness'!$E$5:$E$47,MATCH($A81,'Control Effectiveness'!$A$5:$A$47,0)),0)</f>
        <v>1</v>
      </c>
      <c r="I81" s="53" t="n">
        <f aca="false">IFERROR(INDEX('Control Effectiveness'!$F$5:$F$47,MATCH($A81,'Control Effectiveness'!$A$5:$A$47,0)),0)</f>
        <v>1</v>
      </c>
      <c r="J81" s="53" t="n">
        <f aca="false">IFERROR(INDEX('Control Effectiveness'!$G$5:$G$47,MATCH($A81,'Control Effectiveness'!$A$5:$A$47,0)),0)</f>
        <v>2</v>
      </c>
      <c r="K81" s="53" t="n">
        <f aca="false">IFERROR(INDEX('Control Effectiveness'!$H$5:$H$47,MATCH($A81,'Control Effectiveness'!$A$5:$A$47,0)),0)</f>
        <v>2</v>
      </c>
      <c r="L81" s="53" t="n">
        <f aca="false">IFERROR(INDEX('Control Effectiveness'!$I$5:$I$47,MATCH($A81,'Control Effectiveness'!$A$5:$A$47,0)),0)</f>
        <v>3</v>
      </c>
      <c r="M81" s="53" t="n">
        <f aca="false">IFERROR(INDEX('Control Effectiveness'!$J$5:$J$47,MATCH($A81,'Control Effectiveness'!$A$5:$A$47,0)),0)</f>
        <v>4</v>
      </c>
      <c r="N81" s="53" t="n">
        <f aca="false">IFERROR(INDEX('Control Effectiveness'!$K$5:$K$47,MATCH($A81,'Control Effectiveness'!$A$5:$A$47,0)),0)</f>
        <v>3</v>
      </c>
      <c r="O81" s="53" t="n">
        <f aca="false">IFERROR(INDEX('Control Effectiveness'!$L$5:$L$47,MATCH($A81,'Control Effectiveness'!$A$5:$A$47,0)),0)</f>
        <v>2</v>
      </c>
      <c r="P81" s="53" t="n">
        <f aca="false">IFERROR(INDEX('Control Effectiveness'!$M$5:$M$47,MATCH($A81,'Control Effectiveness'!$A$5:$A$47,0)),0)</f>
        <v>3</v>
      </c>
      <c r="Q81" s="53" t="n">
        <f aca="false">IFERROR(INDEX('Control Effectiveness'!$N$5:$N$47,MATCH($A81,'Control Effectiveness'!$A$5:$A$47,0)),0)</f>
        <v>2</v>
      </c>
      <c r="R81" s="53" t="n">
        <f aca="false">IFERROR(INDEX('Control Effectiveness'!$O$5:$O$47,MATCH($A81,'Control Effectiveness'!$A$5:$A$47,0)),0)</f>
        <v>1</v>
      </c>
      <c r="S81" s="53" t="n">
        <f aca="false">IFERROR(INDEX('Control Effectiveness'!$P$5:$P$47,MATCH($A81,'Control Effectiveness'!$A$5:$A$47,0)),0)</f>
        <v>2</v>
      </c>
      <c r="T81" s="53" t="n">
        <f aca="false">IFERROR(INDEX('Control Effectiveness'!$Q$5:$Q$47,MATCH($A81,'Control Effectiveness'!$A$5:$A$47,0)),0)</f>
        <v>2</v>
      </c>
      <c r="U81" s="53" t="n">
        <f aca="false">IFERROR(INDEX('Control Effectiveness'!$R$5:$R$47,MATCH($A81,'Control Effectiveness'!$A$5:$A$47,0)),0)</f>
        <v>4</v>
      </c>
      <c r="V81" s="53" t="n">
        <f aca="false">IFERROR(INDEX('Control Effectiveness'!$S$5:$S$47,MATCH($A81,'Control Effectiveness'!$A$5:$A$47,0)),0)</f>
        <v>2</v>
      </c>
      <c r="W81" s="53" t="n">
        <f aca="false">IFERROR(INDEX('Control Effectiveness'!$T$5:$T$47,MATCH($A81,'Control Effectiveness'!$A$5:$A$47,0)),0)</f>
        <v>2</v>
      </c>
      <c r="X81" s="53" t="n">
        <f aca="false">IFERROR(INDEX('Control Effectiveness'!$U$5:$U$47,MATCH($A81,'Control Effectiveness'!$A$5:$A$47,0)),0)</f>
        <v>1</v>
      </c>
      <c r="Y81" s="53" t="n">
        <f aca="false">IFERROR(INDEX('Control Effectiveness'!$V$5:$V$47,MATCH($A81,'Control Effectiveness'!$A$5:$A$47,0)),0)</f>
        <v>2</v>
      </c>
      <c r="Z81" s="53" t="n">
        <f aca="false">IFERROR(INDEX('Control Effectiveness'!$W$5:$W$47,MATCH($A81,'Control Effectiveness'!$A$5:$A$47,0)),0)</f>
        <v>1</v>
      </c>
      <c r="AA81" s="53" t="n">
        <f aca="false">IFERROR(INDEX('Control Effectiveness'!$X$5:$X$47,MATCH($A81,'Control Effectiveness'!$A$5:$A$47,0)),0)</f>
        <v>3</v>
      </c>
      <c r="AB81" s="53" t="n">
        <f aca="false">IFERROR(INDEX('Control Effectiveness'!$Y$5:$Y$47,MATCH($A81,'Control Effectiveness'!$A$5:$A$47,0)),0)</f>
        <v>4</v>
      </c>
      <c r="AC81" s="53" t="n">
        <f aca="false">IFERROR(INDEX('Control Effectiveness'!$Z$5:$Z$47,MATCH($A81,'Control Effectiveness'!$A$5:$A$47,0)),0)</f>
        <v>2</v>
      </c>
      <c r="AD81" s="53" t="n">
        <f aca="false">IFERROR(INDEX('Control Effectiveness'!$AA$5:$AA$47,MATCH($A81,'Control Effectiveness'!$A$5:$A$47,0)),0)</f>
        <v>1</v>
      </c>
      <c r="AE81" s="53" t="n">
        <f aca="false">IFERROR(INDEX('Control Effectiveness'!$AB$5:$AB$47,MATCH($A81,'Control Effectiveness'!$A$5:$A$47,0)),0)</f>
        <v>2</v>
      </c>
      <c r="AF81" s="53" t="n">
        <f aca="false">IFERROR(INDEX('Control Effectiveness'!$AC$5:$AC$47,MATCH($A81,'Control Effectiveness'!$A$5:$A$47,0)),0)</f>
        <v>1</v>
      </c>
      <c r="AG81" s="53" t="n">
        <f aca="false">IFERROR(INDEX('Control Effectiveness'!$AD$5:$AD$47,MATCH($A81,'Control Effectiveness'!$A$5:$A$47,0)),0)</f>
        <v>1</v>
      </c>
      <c r="AH81" s="53" t="n">
        <f aca="false">IFERROR(INDEX('Control Effectiveness'!$AE$5:$AE$47,MATCH($A81,'Control Effectiveness'!$A$5:$A$47,0)),0)</f>
        <v>1</v>
      </c>
      <c r="AI81" s="53" t="n">
        <f aca="false">IFERROR(INDEX('Control Effectiveness'!$AF$5:$AF$47,MATCH($A81,'Control Effectiveness'!$A$5:$A$47,0)),0)</f>
        <v>2</v>
      </c>
      <c r="AJ81" s="53" t="n">
        <f aca="false">IFERROR(INDEX('Control Effectiveness'!$AG$5:$AG$47,MATCH($A81,'Control Effectiveness'!$A$5:$A$47,0)),0)</f>
        <v>2</v>
      </c>
    </row>
    <row r="82" customFormat="false" ht="15" hidden="false" customHeight="false" outlineLevel="0" collapsed="false">
      <c r="A82" s="8" t="s">
        <v>720</v>
      </c>
      <c r="B82" s="12" t="str">
        <f aca="false">INDEX('Control Library'!$B$5:$B$47,MATCH(A82,'Control Library'!$A$5:$A$47,0))</f>
        <v>Media monitoring and reputational-risk escalation</v>
      </c>
      <c r="C82" s="33" t="s">
        <v>319</v>
      </c>
      <c r="D82" s="12" t="str">
        <f aca="false">INDEX('Risk Taxonomy'!$B$5:$B$24,MATCH(C82,'Risk Taxonomy'!$A$5:$A$24,0))</f>
        <v>Reputational</v>
      </c>
      <c r="E82" s="24" t="n">
        <v>2</v>
      </c>
      <c r="F82" s="7" t="str">
        <f aca="false">INDEX('Control Library'!$F$5:$F$47,MATCH(A82,'Control Library'!$A$5:$A$47,0))</f>
        <v>Y</v>
      </c>
      <c r="G82" s="53" t="n">
        <f aca="false">IFERROR(INDEX('Control Effectiveness'!$D$5:$D$47,MATCH($A82,'Control Effectiveness'!$A$5:$A$47,0)),0)</f>
        <v>2</v>
      </c>
      <c r="H82" s="53" t="n">
        <f aca="false">IFERROR(INDEX('Control Effectiveness'!$E$5:$E$47,MATCH($A82,'Control Effectiveness'!$A$5:$A$47,0)),0)</f>
        <v>1</v>
      </c>
      <c r="I82" s="53" t="n">
        <f aca="false">IFERROR(INDEX('Control Effectiveness'!$F$5:$F$47,MATCH($A82,'Control Effectiveness'!$A$5:$A$47,0)),0)</f>
        <v>2</v>
      </c>
      <c r="J82" s="53" t="n">
        <f aca="false">IFERROR(INDEX('Control Effectiveness'!$G$5:$G$47,MATCH($A82,'Control Effectiveness'!$A$5:$A$47,0)),0)</f>
        <v>3</v>
      </c>
      <c r="K82" s="53" t="n">
        <f aca="false">IFERROR(INDEX('Control Effectiveness'!$H$5:$H$47,MATCH($A82,'Control Effectiveness'!$A$5:$A$47,0)),0)</f>
        <v>2</v>
      </c>
      <c r="L82" s="53" t="n">
        <f aca="false">IFERROR(INDEX('Control Effectiveness'!$I$5:$I$47,MATCH($A82,'Control Effectiveness'!$A$5:$A$47,0)),0)</f>
        <v>4</v>
      </c>
      <c r="M82" s="53" t="n">
        <f aca="false">IFERROR(INDEX('Control Effectiveness'!$J$5:$J$47,MATCH($A82,'Control Effectiveness'!$A$5:$A$47,0)),0)</f>
        <v>3</v>
      </c>
      <c r="N82" s="53" t="n">
        <f aca="false">IFERROR(INDEX('Control Effectiveness'!$K$5:$K$47,MATCH($A82,'Control Effectiveness'!$A$5:$A$47,0)),0)</f>
        <v>4</v>
      </c>
      <c r="O82" s="53" t="n">
        <f aca="false">IFERROR(INDEX('Control Effectiveness'!$L$5:$L$47,MATCH($A82,'Control Effectiveness'!$A$5:$A$47,0)),0)</f>
        <v>2</v>
      </c>
      <c r="P82" s="53" t="n">
        <f aca="false">IFERROR(INDEX('Control Effectiveness'!$M$5:$M$47,MATCH($A82,'Control Effectiveness'!$A$5:$A$47,0)),0)</f>
        <v>2</v>
      </c>
      <c r="Q82" s="53" t="n">
        <f aca="false">IFERROR(INDEX('Control Effectiveness'!$N$5:$N$47,MATCH($A82,'Control Effectiveness'!$A$5:$A$47,0)),0)</f>
        <v>1</v>
      </c>
      <c r="R82" s="53" t="n">
        <f aca="false">IFERROR(INDEX('Control Effectiveness'!$O$5:$O$47,MATCH($A82,'Control Effectiveness'!$A$5:$A$47,0)),0)</f>
        <v>2</v>
      </c>
      <c r="S82" s="53" t="n">
        <f aca="false">IFERROR(INDEX('Control Effectiveness'!$P$5:$P$47,MATCH($A82,'Control Effectiveness'!$A$5:$A$47,0)),0)</f>
        <v>1</v>
      </c>
      <c r="T82" s="53" t="n">
        <f aca="false">IFERROR(INDEX('Control Effectiveness'!$Q$5:$Q$47,MATCH($A82,'Control Effectiveness'!$A$5:$A$47,0)),0)</f>
        <v>2</v>
      </c>
      <c r="U82" s="53" t="n">
        <f aca="false">IFERROR(INDEX('Control Effectiveness'!$R$5:$R$47,MATCH($A82,'Control Effectiveness'!$A$5:$A$47,0)),0)</f>
        <v>4</v>
      </c>
      <c r="V82" s="53" t="n">
        <f aca="false">IFERROR(INDEX('Control Effectiveness'!$S$5:$S$47,MATCH($A82,'Control Effectiveness'!$A$5:$A$47,0)),0)</f>
        <v>2</v>
      </c>
      <c r="W82" s="53" t="n">
        <f aca="false">IFERROR(INDEX('Control Effectiveness'!$T$5:$T$47,MATCH($A82,'Control Effectiveness'!$A$5:$A$47,0)),0)</f>
        <v>1</v>
      </c>
      <c r="X82" s="53" t="n">
        <f aca="false">IFERROR(INDEX('Control Effectiveness'!$U$5:$U$47,MATCH($A82,'Control Effectiveness'!$A$5:$A$47,0)),0)</f>
        <v>2</v>
      </c>
      <c r="Y82" s="53" t="n">
        <f aca="false">IFERROR(INDEX('Control Effectiveness'!$V$5:$V$47,MATCH($A82,'Control Effectiveness'!$A$5:$A$47,0)),0)</f>
        <v>2</v>
      </c>
      <c r="Z82" s="53" t="n">
        <f aca="false">IFERROR(INDEX('Control Effectiveness'!$W$5:$W$47,MATCH($A82,'Control Effectiveness'!$A$5:$A$47,0)),0)</f>
        <v>2</v>
      </c>
      <c r="AA82" s="53" t="n">
        <f aca="false">IFERROR(INDEX('Control Effectiveness'!$X$5:$X$47,MATCH($A82,'Control Effectiveness'!$A$5:$A$47,0)),0)</f>
        <v>4</v>
      </c>
      <c r="AB82" s="53" t="n">
        <f aca="false">IFERROR(INDEX('Control Effectiveness'!$Y$5:$Y$47,MATCH($A82,'Control Effectiveness'!$A$5:$A$47,0)),0)</f>
        <v>1</v>
      </c>
      <c r="AC82" s="53" t="n">
        <f aca="false">IFERROR(INDEX('Control Effectiveness'!$Z$5:$Z$47,MATCH($A82,'Control Effectiveness'!$A$5:$A$47,0)),0)</f>
        <v>1</v>
      </c>
      <c r="AD82" s="53" t="n">
        <f aca="false">IFERROR(INDEX('Control Effectiveness'!$AA$5:$AA$47,MATCH($A82,'Control Effectiveness'!$A$5:$A$47,0)),0)</f>
        <v>1</v>
      </c>
      <c r="AE82" s="53" t="n">
        <f aca="false">IFERROR(INDEX('Control Effectiveness'!$AB$5:$AB$47,MATCH($A82,'Control Effectiveness'!$A$5:$A$47,0)),0)</f>
        <v>2</v>
      </c>
      <c r="AF82" s="53" t="n">
        <f aca="false">IFERROR(INDEX('Control Effectiveness'!$AC$5:$AC$47,MATCH($A82,'Control Effectiveness'!$A$5:$A$47,0)),0)</f>
        <v>2</v>
      </c>
      <c r="AG82" s="53" t="n">
        <f aca="false">IFERROR(INDEX('Control Effectiveness'!$AD$5:$AD$47,MATCH($A82,'Control Effectiveness'!$A$5:$A$47,0)),0)</f>
        <v>1</v>
      </c>
      <c r="AH82" s="53" t="n">
        <f aca="false">IFERROR(INDEX('Control Effectiveness'!$AE$5:$AE$47,MATCH($A82,'Control Effectiveness'!$A$5:$A$47,0)),0)</f>
        <v>1</v>
      </c>
      <c r="AI82" s="53" t="n">
        <f aca="false">IFERROR(INDEX('Control Effectiveness'!$AF$5:$AF$47,MATCH($A82,'Control Effectiveness'!$A$5:$A$47,0)),0)</f>
        <v>2</v>
      </c>
      <c r="AJ82" s="53" t="n">
        <f aca="false">IFERROR(INDEX('Control Effectiveness'!$AG$5:$AG$47,MATCH($A82,'Control Effectiveness'!$A$5:$A$47,0)),0)</f>
        <v>2</v>
      </c>
    </row>
    <row r="83" customFormat="false" ht="15" hidden="false" customHeight="false" outlineLevel="0" collapsed="false">
      <c r="A83" s="8" t="s">
        <v>723</v>
      </c>
      <c r="B83" s="12" t="str">
        <f aca="false">INDEX('Control Library'!$B$5:$B$47,MATCH(A83,'Control Library'!$A$5:$A$47,0))</f>
        <v>Strategy execution monitoring and E&amp;S screening of lending</v>
      </c>
      <c r="C83" s="33" t="s">
        <v>322</v>
      </c>
      <c r="D83" s="12" t="str">
        <f aca="false">INDEX('Risk Taxonomy'!$B$5:$B$24,MATCH(C83,'Risk Taxonomy'!$A$5:$A$24,0))</f>
        <v>Strategic, business model and ESG</v>
      </c>
      <c r="E83" s="24" t="n">
        <v>3</v>
      </c>
      <c r="F83" s="7" t="str">
        <f aca="false">INDEX('Control Library'!$F$5:$F$47,MATCH(A83,'Control Library'!$A$5:$A$47,0))</f>
        <v>Y</v>
      </c>
      <c r="G83" s="53" t="n">
        <f aca="false">IFERROR(INDEX('Control Effectiveness'!$D$5:$D$47,MATCH($A83,'Control Effectiveness'!$A$5:$A$47,0)),0)</f>
        <v>4</v>
      </c>
      <c r="H83" s="53" t="n">
        <f aca="false">IFERROR(INDEX('Control Effectiveness'!$E$5:$E$47,MATCH($A83,'Control Effectiveness'!$A$5:$A$47,0)),0)</f>
        <v>2</v>
      </c>
      <c r="I83" s="53" t="n">
        <f aca="false">IFERROR(INDEX('Control Effectiveness'!$F$5:$F$47,MATCH($A83,'Control Effectiveness'!$A$5:$A$47,0)),0)</f>
        <v>2</v>
      </c>
      <c r="J83" s="53" t="n">
        <f aca="false">IFERROR(INDEX('Control Effectiveness'!$G$5:$G$47,MATCH($A83,'Control Effectiveness'!$A$5:$A$47,0)),0)</f>
        <v>2</v>
      </c>
      <c r="K83" s="53" t="n">
        <f aca="false">IFERROR(INDEX('Control Effectiveness'!$H$5:$H$47,MATCH($A83,'Control Effectiveness'!$A$5:$A$47,0)),0)</f>
        <v>2</v>
      </c>
      <c r="L83" s="53" t="n">
        <f aca="false">IFERROR(INDEX('Control Effectiveness'!$I$5:$I$47,MATCH($A83,'Control Effectiveness'!$A$5:$A$47,0)),0)</f>
        <v>2</v>
      </c>
      <c r="M83" s="53" t="n">
        <f aca="false">IFERROR(INDEX('Control Effectiveness'!$J$5:$J$47,MATCH($A83,'Control Effectiveness'!$A$5:$A$47,0)),0)</f>
        <v>3</v>
      </c>
      <c r="N83" s="53" t="n">
        <f aca="false">IFERROR(INDEX('Control Effectiveness'!$K$5:$K$47,MATCH($A83,'Control Effectiveness'!$A$5:$A$47,0)),0)</f>
        <v>2</v>
      </c>
      <c r="O83" s="53" t="n">
        <f aca="false">IFERROR(INDEX('Control Effectiveness'!$L$5:$L$47,MATCH($A83,'Control Effectiveness'!$A$5:$A$47,0)),0)</f>
        <v>3</v>
      </c>
      <c r="P83" s="53" t="n">
        <f aca="false">IFERROR(INDEX('Control Effectiveness'!$M$5:$M$47,MATCH($A83,'Control Effectiveness'!$A$5:$A$47,0)),0)</f>
        <v>2</v>
      </c>
      <c r="Q83" s="53" t="n">
        <f aca="false">IFERROR(INDEX('Control Effectiveness'!$N$5:$N$47,MATCH($A83,'Control Effectiveness'!$A$5:$A$47,0)),0)</f>
        <v>2</v>
      </c>
      <c r="R83" s="53" t="n">
        <f aca="false">IFERROR(INDEX('Control Effectiveness'!$O$5:$O$47,MATCH($A83,'Control Effectiveness'!$A$5:$A$47,0)),0)</f>
        <v>2</v>
      </c>
      <c r="S83" s="53" t="n">
        <f aca="false">IFERROR(INDEX('Control Effectiveness'!$P$5:$P$47,MATCH($A83,'Control Effectiveness'!$A$5:$A$47,0)),0)</f>
        <v>2</v>
      </c>
      <c r="T83" s="53" t="n">
        <f aca="false">IFERROR(INDEX('Control Effectiveness'!$Q$5:$Q$47,MATCH($A83,'Control Effectiveness'!$A$5:$A$47,0)),0)</f>
        <v>1</v>
      </c>
      <c r="U83" s="53" t="n">
        <f aca="false">IFERROR(INDEX('Control Effectiveness'!$R$5:$R$47,MATCH($A83,'Control Effectiveness'!$A$5:$A$47,0)),0)</f>
        <v>4</v>
      </c>
      <c r="V83" s="53" t="n">
        <f aca="false">IFERROR(INDEX('Control Effectiveness'!$S$5:$S$47,MATCH($A83,'Control Effectiveness'!$A$5:$A$47,0)),0)</f>
        <v>2</v>
      </c>
      <c r="W83" s="53" t="n">
        <f aca="false">IFERROR(INDEX('Control Effectiveness'!$T$5:$T$47,MATCH($A83,'Control Effectiveness'!$A$5:$A$47,0)),0)</f>
        <v>2</v>
      </c>
      <c r="X83" s="53" t="n">
        <f aca="false">IFERROR(INDEX('Control Effectiveness'!$U$5:$U$47,MATCH($A83,'Control Effectiveness'!$A$5:$A$47,0)),0)</f>
        <v>3</v>
      </c>
      <c r="Y83" s="53" t="n">
        <f aca="false">IFERROR(INDEX('Control Effectiveness'!$V$5:$V$47,MATCH($A83,'Control Effectiveness'!$A$5:$A$47,0)),0)</f>
        <v>2</v>
      </c>
      <c r="Z83" s="53" t="n">
        <f aca="false">IFERROR(INDEX('Control Effectiveness'!$W$5:$W$47,MATCH($A83,'Control Effectiveness'!$A$5:$A$47,0)),0)</f>
        <v>2</v>
      </c>
      <c r="AA83" s="53" t="n">
        <f aca="false">IFERROR(INDEX('Control Effectiveness'!$X$5:$X$47,MATCH($A83,'Control Effectiveness'!$A$5:$A$47,0)),0)</f>
        <v>4</v>
      </c>
      <c r="AB83" s="53" t="n">
        <f aca="false">IFERROR(INDEX('Control Effectiveness'!$Y$5:$Y$47,MATCH($A83,'Control Effectiveness'!$A$5:$A$47,0)),0)</f>
        <v>1</v>
      </c>
      <c r="AC83" s="53" t="n">
        <f aca="false">IFERROR(INDEX('Control Effectiveness'!$Z$5:$Z$47,MATCH($A83,'Control Effectiveness'!$A$5:$A$47,0)),0)</f>
        <v>2</v>
      </c>
      <c r="AD83" s="53" t="n">
        <f aca="false">IFERROR(INDEX('Control Effectiveness'!$AA$5:$AA$47,MATCH($A83,'Control Effectiveness'!$A$5:$A$47,0)),0)</f>
        <v>1</v>
      </c>
      <c r="AE83" s="53" t="n">
        <f aca="false">IFERROR(INDEX('Control Effectiveness'!$AB$5:$AB$47,MATCH($A83,'Control Effectiveness'!$A$5:$A$47,0)),0)</f>
        <v>1</v>
      </c>
      <c r="AF83" s="53" t="n">
        <f aca="false">IFERROR(INDEX('Control Effectiveness'!$AC$5:$AC$47,MATCH($A83,'Control Effectiveness'!$A$5:$A$47,0)),0)</f>
        <v>1</v>
      </c>
      <c r="AG83" s="53" t="n">
        <f aca="false">IFERROR(INDEX('Control Effectiveness'!$AD$5:$AD$47,MATCH($A83,'Control Effectiveness'!$A$5:$A$47,0)),0)</f>
        <v>1</v>
      </c>
      <c r="AH83" s="53" t="n">
        <f aca="false">IFERROR(INDEX('Control Effectiveness'!$AE$5:$AE$47,MATCH($A83,'Control Effectiveness'!$A$5:$A$47,0)),0)</f>
        <v>1</v>
      </c>
      <c r="AI83" s="53" t="n">
        <f aca="false">IFERROR(INDEX('Control Effectiveness'!$AF$5:$AF$47,MATCH($A83,'Control Effectiveness'!$A$5:$A$47,0)),0)</f>
        <v>2</v>
      </c>
      <c r="AJ83" s="53" t="n">
        <f aca="false">IFERROR(INDEX('Control Effectiveness'!$AG$5:$AG$47,MATCH($A83,'Control Effectiveness'!$A$5:$A$47,0)),0)</f>
        <v>2</v>
      </c>
    </row>
  </sheetData>
  <autoFilter ref="A4:AJ83"/>
  <conditionalFormatting sqref="G5:AJ83">
    <cfRule type="expression" priority="2" aboveAverage="0" equalAverage="0" bottom="0" percent="0" rank="0" text="" dxfId="0">
      <formula>G5=1</formula>
    </cfRule>
    <cfRule type="expression" priority="3" aboveAverage="0" equalAverage="0" bottom="0" percent="0" rank="0" text="" dxfId="1">
      <formula>G5=2</formula>
    </cfRule>
    <cfRule type="expression" priority="4" aboveAverage="0" equalAverage="0" bottom="0" percent="0" rank="0" text="" dxfId="3">
      <formula>G5=3</formula>
    </cfRule>
    <cfRule type="expression" priority="5" aboveAverage="0" equalAverage="0" bottom="0" percent="0" rank="0" text="" dxfId="4">
      <formula>G5=4</formula>
    </cfRule>
  </conditionalFormatting>
  <dataValidations count="2">
    <dataValidation allowBlank="false" errorStyle="stop" operator="between" showDropDown="false" showErrorMessage="false" showInputMessage="false" sqref="C5:C83" type="list">
      <formula1>'Risk Taxonomy'!$A$5:$A$24</formula1>
      <formula2>0</formula2>
    </dataValidation>
    <dataValidation allowBlank="false" errorStyle="stop" operator="between" showDropDown="false" showErrorMessage="false" showInputMessage="false" sqref="A5:A83" type="list">
      <formula1>'Control Library'!$A$5:$A$47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7" min="6" style="0" width="9"/>
    <col collapsed="false" customWidth="true" hidden="false" outlineLevel="0" max="8" min="8" style="0" width="13"/>
    <col collapsed="false" customWidth="true" hidden="false" outlineLevel="0" max="10" min="9" style="0" width="10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22"/>
    <col collapsed="false" customWidth="true" hidden="false" outlineLevel="0" max="17" min="15" style="0" width="10"/>
    <col collapsed="false" customWidth="true" hidden="false" outlineLevel="0" max="19" min="18" style="0" width="11"/>
    <col collapsed="false" customWidth="true" hidden="false" outlineLevel="0" max="20" min="20" style="0" width="13"/>
    <col collapsed="false" customWidth="true" hidden="false" outlineLevel="0" max="21" min="21" style="0" width="10"/>
    <col collapsed="false" customWidth="true" hidden="false" outlineLevel="0" max="22" min="22" style="0" width="40"/>
    <col collapsed="false" customWidth="true" hidden="false" outlineLevel="0" max="23" min="23" style="0" width="9"/>
    <col collapsed="false" customWidth="true" hidden="false" outlineLevel="0" max="24" min="24" style="0" width="10"/>
    <col collapsed="false" customWidth="true" hidden="false" outlineLevel="0" max="25" min="25" style="0" width="13"/>
    <col collapsed="false" customWidth="true" hidden="false" outlineLevel="0" max="26" min="26" style="0" width="18"/>
    <col collapsed="false" customWidth="true" hidden="false" outlineLevel="0" max="27" min="27" style="0" width="22"/>
    <col collapsed="false" customWidth="true" hidden="false" outlineLevel="0" max="28" min="28" style="0" width="13"/>
    <col collapsed="false" customWidth="true" hidden="false" outlineLevel="0" max="29" min="29" style="0" width="10"/>
    <col collapsed="false" customWidth="true" hidden="false" outlineLevel="0" max="30" min="30" style="0" width="60"/>
  </cols>
  <sheetData>
    <row r="1" customFormat="false" ht="17.35" hidden="false" customHeight="false" outlineLevel="0" collapsed="false">
      <c r="A1" s="1" t="s">
        <v>3973</v>
      </c>
    </row>
    <row r="2" customFormat="false" ht="15" hidden="false" customHeight="false" outlineLevel="0" collapsed="false">
      <c r="A2" s="2" t="s">
        <v>3974</v>
      </c>
    </row>
    <row r="4" customFormat="false" ht="54" hidden="false" customHeight="true" outlineLevel="0" collapsed="false">
      <c r="A4" s="5" t="s">
        <v>134</v>
      </c>
      <c r="B4" s="5" t="s">
        <v>135</v>
      </c>
      <c r="C4" s="5" t="s">
        <v>137</v>
      </c>
      <c r="D4" s="5" t="s">
        <v>444</v>
      </c>
      <c r="E4" s="5" t="s">
        <v>327</v>
      </c>
      <c r="F4" s="5" t="s">
        <v>3975</v>
      </c>
      <c r="G4" s="5" t="s">
        <v>3976</v>
      </c>
      <c r="H4" s="5" t="s">
        <v>3977</v>
      </c>
      <c r="I4" s="5" t="s">
        <v>3978</v>
      </c>
      <c r="J4" s="5" t="s">
        <v>3979</v>
      </c>
      <c r="K4" s="5" t="s">
        <v>3980</v>
      </c>
      <c r="L4" s="5" t="s">
        <v>3981</v>
      </c>
      <c r="M4" s="5" t="s">
        <v>3982</v>
      </c>
      <c r="N4" s="5" t="s">
        <v>3983</v>
      </c>
      <c r="O4" s="5" t="s">
        <v>519</v>
      </c>
      <c r="P4" s="5" t="s">
        <v>3984</v>
      </c>
      <c r="Q4" s="5" t="s">
        <v>3985</v>
      </c>
      <c r="R4" s="5" t="s">
        <v>3986</v>
      </c>
      <c r="S4" s="5" t="s">
        <v>3987</v>
      </c>
      <c r="T4" s="5" t="s">
        <v>3988</v>
      </c>
      <c r="U4" s="5" t="s">
        <v>451</v>
      </c>
      <c r="V4" s="5" t="s">
        <v>452</v>
      </c>
      <c r="W4" s="5" t="s">
        <v>453</v>
      </c>
      <c r="X4" s="5" t="s">
        <v>3989</v>
      </c>
      <c r="Y4" s="5" t="s">
        <v>3990</v>
      </c>
      <c r="Z4" s="5" t="s">
        <v>456</v>
      </c>
      <c r="AA4" s="5" t="s">
        <v>258</v>
      </c>
      <c r="AB4" s="5" t="s">
        <v>3991</v>
      </c>
      <c r="AC4" s="5" t="s">
        <v>3992</v>
      </c>
      <c r="AD4" s="5" t="s">
        <v>3993</v>
      </c>
    </row>
    <row r="5" customFormat="false" ht="15" hidden="false" customHeight="false" outlineLevel="0" collapsed="false">
      <c r="A5" s="26" t="str">
        <f aca="false">Entities!$A$5</f>
        <v>JO-HO</v>
      </c>
      <c r="B5" s="12" t="str">
        <f aca="false">INDEX(Entities!$B$5:$B$34,MATCH(A5,Entities!$A$5:$A$34,0))</f>
        <v>Arab Bank plc – Jordan (HO and domestic network)</v>
      </c>
      <c r="C5" s="12" t="str">
        <f aca="false">INDEX(Entities!$D$5:$D$34,MATCH(A5,Entities!$A$5:$A$34,0))</f>
        <v>Jordan (home)</v>
      </c>
      <c r="D5" s="12" t="s">
        <v>260</v>
      </c>
      <c r="E5" s="12" t="str">
        <f aca="false">INDEX('Risk Taxonomy'!$B$5:$B$24,MATCH(D5,'Risk Taxonomy'!$A$5:$A$24,0))</f>
        <v>Money laundering</v>
      </c>
      <c r="F5" s="29" t="n">
        <f aca="false">IF(NOT(ISNUMBER(G5)),"",IFERROR(IF(MATCH(SUMIFS('FC Calculation'!$N$5:$N$214,'FC Calculation'!$A$5:$A$214,A5,'FC Calculation'!$D$5:$D$214,D5),Config!$D$5:$D$9,1)=G5,SUMIFS('FC Calculation'!$N$5:$N$214,'FC Calculation'!$A$5:$A$214,A5,'FC Calculation'!$D$5:$D$214,D5),G5),G5))</f>
        <v>2.92579365079365</v>
      </c>
      <c r="G5" s="34" t="n">
        <f aca="false">IF(COUNTIFS('FC Calculation'!$A$5:$A$214,A5,'FC Calculation'!$D$5:$D$214,D5,'FC Calculation'!$T$5:$T$214,"&gt;0")=0,"",SUMIFS('FC Calculation'!$T$5:$T$214,'FC Calculation'!$A$5:$A$214,A5,'FC Calculation'!$D$5:$D$214,D5))</f>
        <v>3</v>
      </c>
      <c r="H5" s="7" t="str">
        <f aca="false">IF(G5="N/A","N/A",IF(G5="","No data",INDEX(Config!$B$5:$B$9,G5)))</f>
        <v>Medium</v>
      </c>
      <c r="I5" s="31" t="n">
        <f aca="false">IF(NOT(ISNUMBER($G5)),"",SUMPRODUCT(('Control Mapping'!$C$5:$C$83=D5)*('Control Mapping'!$G$5:$G$83&gt;0)))</f>
        <v>12</v>
      </c>
      <c r="J5" s="31" t="n">
        <f aca="false">IF(NOT(ISNUMBER($G5)),"",SUMPRODUCT(('Control Mapping'!$C$5:$C$83=D5)*('Control Mapping'!$F$5:$F$83="Y")*('Control Mapping'!$G$5:$G$83&gt;0)))</f>
        <v>9</v>
      </c>
      <c r="K5" s="31" t="n">
        <f aca="false">IF(NOT(ISNUMBER($G5)),"",SUMPRODUCT(('Control Mapping'!$C$5:$C$83=D5)*('Control Mapping'!$F$5:$F$83="Y")*('Control Mapping'!$G$5:$G$83=4)))</f>
        <v>1</v>
      </c>
      <c r="L5" s="29" t="n">
        <f aca="false">IF(NOT(ISNUMBER($G5)),"",IFERROR(SUMPRODUCT(('Control Mapping'!$C$5:$C$83=D5)*'Control Mapping'!$E$5:$E$83*'Control Mapping'!$G$5:$G$83)/SUMPRODUCT(('Control Mapping'!$C$5:$C$83=D5)*'Control Mapping'!$E$5:$E$83*('Control Mapping'!$G$5:$G$83&gt;0)),""))</f>
        <v>2.30434782608696</v>
      </c>
      <c r="M5" s="34" t="n">
        <f aca="false">IF(NOT(ISNUMBER($G5)),"",IF(J5=0,4,MAX(MATCH(L5,'Residual Config'!$E$11:$E$14,1),IF(K5&gt;0,'Residual Config'!$C$7,1))))</f>
        <v>3</v>
      </c>
      <c r="N5" s="7" t="str">
        <f aca="false">IF(NOT(ISNUMBER($G5)),"",IF(J5=0,"Ineffective (no key control)",INDEX('Residual Config'!$B$11:$B$14,M5)))</f>
        <v>Partially effective</v>
      </c>
      <c r="O5" s="36" t="n">
        <f aca="false">IF(NOT(ISNUMBER($G5)),"",IF(J5=0,0,SUMPRODUCT(('Control Mapping'!$C$5:$C$83=D5)*'Control Mapping'!$E$5:$E$83*(('Control Mapping'!$G$5:$G$83=1)*'Residual Config'!$D$11+('Control Mapping'!$G$5:$G$83=2)*'Residual Config'!$D$12+('Control Mapping'!$G$5:$G$83=3)*'Residual Config'!$D$13+('Control Mapping'!$G$5:$G$83=4)*'Residual Config'!$D$14))/SUMPRODUCT(('Control Mapping'!$C$5:$C$83=D5)*'Control Mapping'!$E$5:$E$83*('Control Mapping'!$G$5:$G$83&gt;0))))</f>
        <v>0.339130434782609</v>
      </c>
      <c r="P5" s="31" t="n">
        <f aca="false">IF(NOT(ISNUMBER($G5)),"",INDEX('Residual Config'!$B$19:$E$23,6-G5,M5))</f>
        <v>3</v>
      </c>
      <c r="Q5" s="29" t="n">
        <f aca="false">IF(NOT(ISNUMBER($G5)),"",MAX(1,F5*(1-O5)))</f>
        <v>1.9335679779158</v>
      </c>
      <c r="R5" s="31" t="n">
        <f aca="false">IF(NOT(ISNUMBER($G5)),"",MAX(MATCH(Q5,Config!$D$5:$D$9,1),G5-'Residual Config'!$C$6))</f>
        <v>2</v>
      </c>
      <c r="S5" s="34" t="n">
        <f aca="false">IF(NOT(ISNUMBER($G5)),"",IF('Residual Config'!$C$5="Numeric",R5,P5))</f>
        <v>3</v>
      </c>
      <c r="T5" s="7" t="str">
        <f aca="false">IF(G5="N/A","N/A",IF(S5="","No data",INDEX(Config!$B$5:$B$9,S5)))</f>
        <v>Medium</v>
      </c>
      <c r="U5" s="32" t="n">
        <v>0</v>
      </c>
      <c r="V5" s="8"/>
      <c r="W5" s="33"/>
      <c r="X5" s="34" t="n">
        <f aca="false">IF(S5="","",IF(AND(W5="Y",U5&lt;&gt;0),MAX(1,MIN(5,S5+MAX(-Config!$C$27,MIN(Config!$C$27,U5)))),S5))</f>
        <v>3</v>
      </c>
      <c r="Y5" s="35" t="str">
        <f aca="false">IF(G5="N/A","N/A",IF(X5="","No data",INDEX(Config!$B$5:$B$9,X5)))</f>
        <v>Medium</v>
      </c>
      <c r="Z5" s="7" t="str">
        <f aca="false">IF(U5=0,"None",IF(W5="Y","Applied","Pending HO approval"))</f>
        <v>None</v>
      </c>
      <c r="AA5" s="12" t="str">
        <f aca="false">INDEX('Risk Taxonomy'!$G$5:$G$24,MATCH(D5,'Risk Taxonomy'!$A$5:$A$24,0))</f>
        <v>Very low</v>
      </c>
      <c r="AB5" s="7" t="str">
        <f aca="false">INDEX('Risk Taxonomy'!$H$5:$H$24,MATCH(D5,'Risk Taxonomy'!$A$5:$A$24,0))</f>
        <v>Medium-Low</v>
      </c>
      <c r="AC5" s="35" t="str">
        <f aca="false">IF(NOT(ISNUMBER(X5)),"",IF(X5&lt;=MATCH(AB5,Config!$B$5:$B$9,0),"Within",IF(OR(X5-MATCH(AB5,Config!$B$5:$B$9,0)&gt;=2,AND('Residual Config'!$C$8="Y",ISNUMBER(SEARCH("Zero",AA5)))),"Red","Amber")))</f>
        <v>Amber</v>
      </c>
      <c r="AD5" s="12" t="str">
        <f aca="false">IF(AC5="Red","Group CCO / CRO and Country CEO within 2 business days; action plan in 15 days; report to Board Risk &amp; Compliance Committee",IF(AC5="Amber","Country CO, risk owner and HO Administrator within 5 business days; action plan in 30 days",""))</f>
        <v>Country CO, risk owner and HO Administrator within 5 business days; action plan in 30 days</v>
      </c>
    </row>
    <row r="6" customFormat="false" ht="15" hidden="false" customHeight="false" outlineLevel="0" collapsed="false">
      <c r="A6" s="26" t="str">
        <f aca="false">Entities!$A$5</f>
        <v>JO-HO</v>
      </c>
      <c r="B6" s="12" t="str">
        <f aca="false">INDEX(Entities!$B$5:$B$34,MATCH(A6,Entities!$A$5:$A$34,0))</f>
        <v>Arab Bank plc – Jordan (HO and domestic network)</v>
      </c>
      <c r="C6" s="12" t="str">
        <f aca="false">INDEX(Entities!$D$5:$D$34,MATCH(A6,Entities!$A$5:$A$34,0))</f>
        <v>Jordan (home)</v>
      </c>
      <c r="D6" s="12" t="s">
        <v>267</v>
      </c>
      <c r="E6" s="12" t="str">
        <f aca="false">INDEX('Risk Taxonomy'!$B$5:$B$24,MATCH(D6,'Risk Taxonomy'!$A$5:$A$24,0))</f>
        <v>Terrorist financing</v>
      </c>
      <c r="F6" s="29" t="n">
        <f aca="false">IF(NOT(ISNUMBER(G6)),"",IFERROR(IF(MATCH(SUMIFS('FC Calculation'!$N$5:$N$214,'FC Calculation'!$A$5:$A$214,A6,'FC Calculation'!$D$5:$D$214,D6),Config!$D$5:$D$9,1)=G6,SUMIFS('FC Calculation'!$N$5:$N$214,'FC Calculation'!$A$5:$A$214,A6,'FC Calculation'!$D$5:$D$214,D6),G6),G6))</f>
        <v>2.775</v>
      </c>
      <c r="G6" s="34" t="n">
        <f aca="false">IF(COUNTIFS('FC Calculation'!$A$5:$A$214,A6,'FC Calculation'!$D$5:$D$214,D6,'FC Calculation'!$T$5:$T$214,"&gt;0")=0,"",SUMIFS('FC Calculation'!$T$5:$T$214,'FC Calculation'!$A$5:$A$214,A6,'FC Calculation'!$D$5:$D$214,D6))</f>
        <v>3</v>
      </c>
      <c r="H6" s="7" t="str">
        <f aca="false">IF(G6="N/A","N/A",IF(G6="","No data",INDEX(Config!$B$5:$B$9,G6)))</f>
        <v>Medium</v>
      </c>
      <c r="I6" s="31" t="n">
        <f aca="false">IF(NOT(ISNUMBER($G6)),"",SUMPRODUCT(('Control Mapping'!$C$5:$C$83=D6)*('Control Mapping'!$G$5:$G$83&gt;0)))</f>
        <v>12</v>
      </c>
      <c r="J6" s="31" t="n">
        <f aca="false">IF(NOT(ISNUMBER($G6)),"",SUMPRODUCT(('Control Mapping'!$C$5:$C$83=D6)*('Control Mapping'!$F$5:$F$83="Y")*('Control Mapping'!$G$5:$G$83&gt;0)))</f>
        <v>9</v>
      </c>
      <c r="K6" s="31" t="n">
        <f aca="false">IF(NOT(ISNUMBER($G6)),"",SUMPRODUCT(('Control Mapping'!$C$5:$C$83=D6)*('Control Mapping'!$F$5:$F$83="Y")*('Control Mapping'!$G$5:$G$83=4)))</f>
        <v>1</v>
      </c>
      <c r="L6" s="29" t="n">
        <f aca="false">IF(NOT(ISNUMBER($G6)),"",IFERROR(SUMPRODUCT(('Control Mapping'!$C$5:$C$83=D6)*'Control Mapping'!$E$5:$E$83*'Control Mapping'!$G$5:$G$83)/SUMPRODUCT(('Control Mapping'!$C$5:$C$83=D6)*'Control Mapping'!$E$5:$E$83*('Control Mapping'!$G$5:$G$83&gt;0)),""))</f>
        <v>2.26315789473684</v>
      </c>
      <c r="M6" s="34" t="n">
        <f aca="false">IF(NOT(ISNUMBER($G6)),"",IF(J6=0,4,MAX(MATCH(L6,'Residual Config'!$E$11:$E$14,1),IF(K6&gt;0,'Residual Config'!$C$7,1))))</f>
        <v>3</v>
      </c>
      <c r="N6" s="7" t="str">
        <f aca="false">IF(NOT(ISNUMBER($G6)),"",IF(J6=0,"Ineffective (no key control)",INDEX('Residual Config'!$B$11:$B$14,M6)))</f>
        <v>Partially effective</v>
      </c>
      <c r="O6" s="36" t="n">
        <f aca="false">IF(NOT(ISNUMBER($G6)),"",IF(J6=0,0,SUMPRODUCT(('Control Mapping'!$C$5:$C$83=D6)*'Control Mapping'!$E$5:$E$83*(('Control Mapping'!$G$5:$G$83=1)*'Residual Config'!$D$11+('Control Mapping'!$G$5:$G$83=2)*'Residual Config'!$D$12+('Control Mapping'!$G$5:$G$83=3)*'Residual Config'!$D$13+('Control Mapping'!$G$5:$G$83=4)*'Residual Config'!$D$14))/SUMPRODUCT(('Control Mapping'!$C$5:$C$83=D6)*'Control Mapping'!$E$5:$E$83*('Control Mapping'!$G$5:$G$83&gt;0))))</f>
        <v>0.347368421052632</v>
      </c>
      <c r="P6" s="31" t="n">
        <f aca="false">IF(NOT(ISNUMBER($G6)),"",INDEX('Residual Config'!$B$19:$E$23,6-G6,M6))</f>
        <v>3</v>
      </c>
      <c r="Q6" s="29" t="n">
        <f aca="false">IF(NOT(ISNUMBER($G6)),"",MAX(1,F6*(1-O6)))</f>
        <v>1.81105263157895</v>
      </c>
      <c r="R6" s="31" t="n">
        <f aca="false">IF(NOT(ISNUMBER($G6)),"",MAX(MATCH(Q6,Config!$D$5:$D$9,1),G6-'Residual Config'!$C$6))</f>
        <v>2</v>
      </c>
      <c r="S6" s="34" t="n">
        <f aca="false">IF(NOT(ISNUMBER($G6)),"",IF('Residual Config'!$C$5="Numeric",R6,P6))</f>
        <v>3</v>
      </c>
      <c r="T6" s="7" t="str">
        <f aca="false">IF(G6="N/A","N/A",IF(S6="","No data",INDEX(Config!$B$5:$B$9,S6)))</f>
        <v>Medium</v>
      </c>
      <c r="U6" s="32" t="n">
        <v>0</v>
      </c>
      <c r="V6" s="8"/>
      <c r="W6" s="33"/>
      <c r="X6" s="34" t="n">
        <f aca="false">IF(S6="","",IF(AND(W6="Y",U6&lt;&gt;0),MAX(1,MIN(5,S6+MAX(-Config!$C$27,MIN(Config!$C$27,U6)))),S6))</f>
        <v>3</v>
      </c>
      <c r="Y6" s="35" t="str">
        <f aca="false">IF(G6="N/A","N/A",IF(X6="","No data",INDEX(Config!$B$5:$B$9,X6)))</f>
        <v>Medium</v>
      </c>
      <c r="Z6" s="7" t="str">
        <f aca="false">IF(U6=0,"None",IF(W6="Y","Applied","Pending HO approval"))</f>
        <v>None</v>
      </c>
      <c r="AA6" s="12" t="str">
        <f aca="false">INDEX('Risk Taxonomy'!$G$5:$G$24,MATCH(D6,'Risk Taxonomy'!$A$5:$A$24,0))</f>
        <v>Zero tolerance</v>
      </c>
      <c r="AB6" s="7" t="str">
        <f aca="false">INDEX('Risk Taxonomy'!$H$5:$H$24,MATCH(D6,'Risk Taxonomy'!$A$5:$A$24,0))</f>
        <v>Low</v>
      </c>
      <c r="AC6" s="35" t="str">
        <f aca="false">IF(NOT(ISNUMBER(X6)),"",IF(X6&lt;=MATCH(AB6,Config!$B$5:$B$9,0),"Within",IF(OR(X6-MATCH(AB6,Config!$B$5:$B$9,0)&gt;=2,AND('Residual Config'!$C$8="Y",ISNUMBER(SEARCH("Zero",AA6)))),"Red","Amber")))</f>
        <v>Red</v>
      </c>
      <c r="AD6" s="12" t="str">
        <f aca="false">IF(AC6="Red","Group CCO / CRO and Country CEO within 2 business days; action plan in 15 days; report to Board Risk &amp; Compliance Committee",IF(AC6="Amber","Country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7" customFormat="false" ht="15" hidden="false" customHeight="false" outlineLevel="0" collapsed="false">
      <c r="A7" s="26" t="str">
        <f aca="false">Entities!$A$5</f>
        <v>JO-HO</v>
      </c>
      <c r="B7" s="12" t="str">
        <f aca="false">INDEX(Entities!$B$5:$B$34,MATCH(A7,Entities!$A$5:$A$34,0))</f>
        <v>Arab Bank plc – Jordan (HO and domestic network)</v>
      </c>
      <c r="C7" s="12" t="str">
        <f aca="false">INDEX(Entities!$D$5:$D$34,MATCH(A7,Entities!$A$5:$A$34,0))</f>
        <v>Jordan (home)</v>
      </c>
      <c r="D7" s="12" t="s">
        <v>270</v>
      </c>
      <c r="E7" s="12" t="str">
        <f aca="false">INDEX('Risk Taxonomy'!$B$5:$B$24,MATCH(D7,'Risk Taxonomy'!$A$5:$A$24,0))</f>
        <v>Proliferation financing</v>
      </c>
      <c r="F7" s="29" t="n">
        <f aca="false">IF(NOT(ISNUMBER(G7)),"",IFERROR(IF(MATCH(SUMIFS('FC Calculation'!$N$5:$N$214,'FC Calculation'!$A$5:$A$214,A7,'FC Calculation'!$D$5:$D$214,D7),Config!$D$5:$D$9,1)=G7,SUMIFS('FC Calculation'!$N$5:$N$214,'FC Calculation'!$A$5:$A$214,A7,'FC Calculation'!$D$5:$D$214,D7),G7),G7))</f>
        <v>3.27083333333333</v>
      </c>
      <c r="G7" s="34" t="n">
        <f aca="false">IF(COUNTIFS('FC Calculation'!$A$5:$A$214,A7,'FC Calculation'!$D$5:$D$214,D7,'FC Calculation'!$T$5:$T$214,"&gt;0")=0,"",SUMIFS('FC Calculation'!$T$5:$T$214,'FC Calculation'!$A$5:$A$214,A7,'FC Calculation'!$D$5:$D$214,D7))</f>
        <v>3</v>
      </c>
      <c r="H7" s="7" t="str">
        <f aca="false">IF(G7="N/A","N/A",IF(G7="","No data",INDEX(Config!$B$5:$B$9,G7)))</f>
        <v>Medium</v>
      </c>
      <c r="I7" s="31" t="n">
        <f aca="false">IF(NOT(ISNUMBER($G7)),"",SUMPRODUCT(('Control Mapping'!$C$5:$C$83=D7)*('Control Mapping'!$G$5:$G$83&gt;0)))</f>
        <v>5</v>
      </c>
      <c r="J7" s="31" t="n">
        <f aca="false">IF(NOT(ISNUMBER($G7)),"",SUMPRODUCT(('Control Mapping'!$C$5:$C$83=D7)*('Control Mapping'!$F$5:$F$83="Y")*('Control Mapping'!$G$5:$G$83&gt;0)))</f>
        <v>5</v>
      </c>
      <c r="K7" s="31" t="n">
        <f aca="false">IF(NOT(ISNUMBER($G7)),"",SUMPRODUCT(('Control Mapping'!$C$5:$C$83=D7)*('Control Mapping'!$F$5:$F$83="Y")*('Control Mapping'!$G$5:$G$83=4)))</f>
        <v>0</v>
      </c>
      <c r="L7" s="29" t="n">
        <f aca="false">IF(NOT(ISNUMBER($G7)),"",IFERROR(SUMPRODUCT(('Control Mapping'!$C$5:$C$83=D7)*'Control Mapping'!$E$5:$E$83*'Control Mapping'!$G$5:$G$83)/SUMPRODUCT(('Control Mapping'!$C$5:$C$83=D7)*'Control Mapping'!$E$5:$E$83*('Control Mapping'!$G$5:$G$83&gt;0)),""))</f>
        <v>2.1</v>
      </c>
      <c r="M7" s="34" t="n">
        <f aca="false">IF(NOT(ISNUMBER($G7)),"",IF(J7=0,4,MAX(MATCH(L7,'Residual Config'!$E$11:$E$14,1),IF(K7&gt;0,'Residual Config'!$C$7,1))))</f>
        <v>2</v>
      </c>
      <c r="N7" s="7" t="str">
        <f aca="false">IF(NOT(ISNUMBER($G7)),"",IF(J7=0,"Ineffective (no key control)",INDEX('Residual Config'!$B$11:$B$14,M7)))</f>
        <v>Largely effective</v>
      </c>
      <c r="O7" s="36" t="n">
        <f aca="false">IF(NOT(ISNUMBER($G7)),"",IF(J7=0,0,SUMPRODUCT(('Control Mapping'!$C$5:$C$83=D7)*'Control Mapping'!$E$5:$E$83*(('Control Mapping'!$G$5:$G$83=1)*'Residual Config'!$D$11+('Control Mapping'!$G$5:$G$83=2)*'Residual Config'!$D$12+('Control Mapping'!$G$5:$G$83=3)*'Residual Config'!$D$13+('Control Mapping'!$G$5:$G$83=4)*'Residual Config'!$D$14))/SUMPRODUCT(('Control Mapping'!$C$5:$C$83=D7)*'Control Mapping'!$E$5:$E$83*('Control Mapping'!$G$5:$G$83&gt;0))))</f>
        <v>0.38</v>
      </c>
      <c r="P7" s="31" t="n">
        <f aca="false">IF(NOT(ISNUMBER($G7)),"",INDEX('Residual Config'!$B$19:$E$23,6-G7,M7))</f>
        <v>2</v>
      </c>
      <c r="Q7" s="29" t="n">
        <f aca="false">IF(NOT(ISNUMBER($G7)),"",MAX(1,F7*(1-O7)))</f>
        <v>2.02791666666667</v>
      </c>
      <c r="R7" s="31" t="n">
        <f aca="false">IF(NOT(ISNUMBER($G7)),"",MAX(MATCH(Q7,Config!$D$5:$D$9,1),G7-'Residual Config'!$C$6))</f>
        <v>2</v>
      </c>
      <c r="S7" s="34" t="n">
        <f aca="false">IF(NOT(ISNUMBER($G7)),"",IF('Residual Config'!$C$5="Numeric",R7,P7))</f>
        <v>2</v>
      </c>
      <c r="T7" s="7" t="str">
        <f aca="false">IF(G7="N/A","N/A",IF(S7="","No data",INDEX(Config!$B$5:$B$9,S7)))</f>
        <v>Medium-Low</v>
      </c>
      <c r="U7" s="32" t="n">
        <v>0</v>
      </c>
      <c r="V7" s="8"/>
      <c r="W7" s="33"/>
      <c r="X7" s="34" t="n">
        <f aca="false">IF(S7="","",IF(AND(W7="Y",U7&lt;&gt;0),MAX(1,MIN(5,S7+MAX(-Config!$C$27,MIN(Config!$C$27,U7)))),S7))</f>
        <v>2</v>
      </c>
      <c r="Y7" s="35" t="str">
        <f aca="false">IF(G7="N/A","N/A",IF(X7="","No data",INDEX(Config!$B$5:$B$9,X7)))</f>
        <v>Medium-Low</v>
      </c>
      <c r="Z7" s="7" t="str">
        <f aca="false">IF(U7=0,"None",IF(W7="Y","Applied","Pending HO approval"))</f>
        <v>None</v>
      </c>
      <c r="AA7" s="12" t="str">
        <f aca="false">INDEX('Risk Taxonomy'!$G$5:$G$24,MATCH(D7,'Risk Taxonomy'!$A$5:$A$24,0))</f>
        <v>Zero tolerance</v>
      </c>
      <c r="AB7" s="7" t="str">
        <f aca="false">INDEX('Risk Taxonomy'!$H$5:$H$24,MATCH(D7,'Risk Taxonomy'!$A$5:$A$24,0))</f>
        <v>Low</v>
      </c>
      <c r="AC7" s="35" t="str">
        <f aca="false">IF(NOT(ISNUMBER(X7)),"",IF(X7&lt;=MATCH(AB7,Config!$B$5:$B$9,0),"Within",IF(OR(X7-MATCH(AB7,Config!$B$5:$B$9,0)&gt;=2,AND('Residual Config'!$C$8="Y",ISNUMBER(SEARCH("Zero",AA7)))),"Red","Amber")))</f>
        <v>Amber</v>
      </c>
      <c r="AD7" s="12" t="str">
        <f aca="false">IF(AC7="Red","Group CCO / CRO and Country CEO within 2 business days; action plan in 15 days; report to Board Risk &amp; Compliance Committee",IF(AC7="Amber","Country CO, risk owner and HO Administrator within 5 business days; action plan in 30 days",""))</f>
        <v>Country CO, risk owner and HO Administrator within 5 business days; action plan in 30 days</v>
      </c>
    </row>
    <row r="8" customFormat="false" ht="15" hidden="false" customHeight="false" outlineLevel="0" collapsed="false">
      <c r="A8" s="26" t="str">
        <f aca="false">Entities!$A$5</f>
        <v>JO-HO</v>
      </c>
      <c r="B8" s="12" t="str">
        <f aca="false">INDEX(Entities!$B$5:$B$34,MATCH(A8,Entities!$A$5:$A$34,0))</f>
        <v>Arab Bank plc – Jordan (HO and domestic network)</v>
      </c>
      <c r="C8" s="12" t="str">
        <f aca="false">INDEX(Entities!$D$5:$D$34,MATCH(A8,Entities!$A$5:$A$34,0))</f>
        <v>Jordan (home)</v>
      </c>
      <c r="D8" s="12" t="s">
        <v>272</v>
      </c>
      <c r="E8" s="12" t="str">
        <f aca="false">INDEX('Risk Taxonomy'!$B$5:$B$24,MATCH(D8,'Risk Taxonomy'!$A$5:$A$24,0))</f>
        <v>Sanctions</v>
      </c>
      <c r="F8" s="29" t="n">
        <f aca="false">IF(NOT(ISNUMBER(G8)),"",IFERROR(IF(MATCH(SUMIFS('FC Calculation'!$N$5:$N$214,'FC Calculation'!$A$5:$A$214,A8,'FC Calculation'!$D$5:$D$214,D8),Config!$D$5:$D$9,1)=G8,SUMIFS('FC Calculation'!$N$5:$N$214,'FC Calculation'!$A$5:$A$214,A8,'FC Calculation'!$D$5:$D$214,D8),G8),G8))</f>
        <v>3.19166666666667</v>
      </c>
      <c r="G8" s="34" t="n">
        <f aca="false">IF(COUNTIFS('FC Calculation'!$A$5:$A$214,A8,'FC Calculation'!$D$5:$D$214,D8,'FC Calculation'!$T$5:$T$214,"&gt;0")=0,"",SUMIFS('FC Calculation'!$T$5:$T$214,'FC Calculation'!$A$5:$A$214,A8,'FC Calculation'!$D$5:$D$214,D8))</f>
        <v>3</v>
      </c>
      <c r="H8" s="7" t="str">
        <f aca="false">IF(G8="N/A","N/A",IF(G8="","No data",INDEX(Config!$B$5:$B$9,G8)))</f>
        <v>Medium</v>
      </c>
      <c r="I8" s="31" t="n">
        <f aca="false">IF(NOT(ISNUMBER($G8)),"",SUMPRODUCT(('Control Mapping'!$C$5:$C$83=D8)*('Control Mapping'!$G$5:$G$83&gt;0)))</f>
        <v>8</v>
      </c>
      <c r="J8" s="31" t="n">
        <f aca="false">IF(NOT(ISNUMBER($G8)),"",SUMPRODUCT(('Control Mapping'!$C$5:$C$83=D8)*('Control Mapping'!$F$5:$F$83="Y")*('Control Mapping'!$G$5:$G$83&gt;0)))</f>
        <v>5</v>
      </c>
      <c r="K8" s="31" t="n">
        <f aca="false">IF(NOT(ISNUMBER($G8)),"",SUMPRODUCT(('Control Mapping'!$C$5:$C$83=D8)*('Control Mapping'!$F$5:$F$83="Y")*('Control Mapping'!$G$5:$G$83=4)))</f>
        <v>1</v>
      </c>
      <c r="L8" s="29" t="n">
        <f aca="false">IF(NOT(ISNUMBER($G8)),"",IFERROR(SUMPRODUCT(('Control Mapping'!$C$5:$C$83=D8)*'Control Mapping'!$E$5:$E$83*'Control Mapping'!$G$5:$G$83)/SUMPRODUCT(('Control Mapping'!$C$5:$C$83=D8)*'Control Mapping'!$E$5:$E$83*('Control Mapping'!$G$5:$G$83&gt;0)),""))</f>
        <v>2.45454545454545</v>
      </c>
      <c r="M8" s="34" t="n">
        <f aca="false">IF(NOT(ISNUMBER($G8)),"",IF(J8=0,4,MAX(MATCH(L8,'Residual Config'!$E$11:$E$14,1),IF(K8&gt;0,'Residual Config'!$C$7,1))))</f>
        <v>3</v>
      </c>
      <c r="N8" s="7" t="str">
        <f aca="false">IF(NOT(ISNUMBER($G8)),"",IF(J8=0,"Ineffective (no key control)",INDEX('Residual Config'!$B$11:$B$14,M8)))</f>
        <v>Partially effective</v>
      </c>
      <c r="O8" s="36" t="n">
        <f aca="false">IF(NOT(ISNUMBER($G8)),"",IF(J8=0,0,SUMPRODUCT(('Control Mapping'!$C$5:$C$83=D8)*'Control Mapping'!$E$5:$E$83*(('Control Mapping'!$G$5:$G$83=1)*'Residual Config'!$D$11+('Control Mapping'!$G$5:$G$83=2)*'Residual Config'!$D$12+('Control Mapping'!$G$5:$G$83=3)*'Residual Config'!$D$13+('Control Mapping'!$G$5:$G$83=4)*'Residual Config'!$D$14))/SUMPRODUCT(('Control Mapping'!$C$5:$C$83=D8)*'Control Mapping'!$E$5:$E$83*('Control Mapping'!$G$5:$G$83&gt;0))))</f>
        <v>0.309090909090909</v>
      </c>
      <c r="P8" s="31" t="n">
        <f aca="false">IF(NOT(ISNUMBER($G8)),"",INDEX('Residual Config'!$B$19:$E$23,6-G8,M8))</f>
        <v>3</v>
      </c>
      <c r="Q8" s="29" t="n">
        <f aca="false">IF(NOT(ISNUMBER($G8)),"",MAX(1,F8*(1-O8)))</f>
        <v>2.20515151515152</v>
      </c>
      <c r="R8" s="31" t="n">
        <f aca="false">IF(NOT(ISNUMBER($G8)),"",MAX(MATCH(Q8,Config!$D$5:$D$9,1),G8-'Residual Config'!$C$6))</f>
        <v>2</v>
      </c>
      <c r="S8" s="34" t="n">
        <f aca="false">IF(NOT(ISNUMBER($G8)),"",IF('Residual Config'!$C$5="Numeric",R8,P8))</f>
        <v>3</v>
      </c>
      <c r="T8" s="7" t="str">
        <f aca="false">IF(G8="N/A","N/A",IF(S8="","No data",INDEX(Config!$B$5:$B$9,S8)))</f>
        <v>Medium</v>
      </c>
      <c r="U8" s="32" t="n">
        <v>0</v>
      </c>
      <c r="V8" s="8"/>
      <c r="W8" s="33"/>
      <c r="X8" s="34" t="n">
        <f aca="false">IF(S8="","",IF(AND(W8="Y",U8&lt;&gt;0),MAX(1,MIN(5,S8+MAX(-Config!$C$27,MIN(Config!$C$27,U8)))),S8))</f>
        <v>3</v>
      </c>
      <c r="Y8" s="35" t="str">
        <f aca="false">IF(G8="N/A","N/A",IF(X8="","No data",INDEX(Config!$B$5:$B$9,X8)))</f>
        <v>Medium</v>
      </c>
      <c r="Z8" s="7" t="str">
        <f aca="false">IF(U8=0,"None",IF(W8="Y","Applied","Pending HO approval"))</f>
        <v>None</v>
      </c>
      <c r="AA8" s="12" t="str">
        <f aca="false">INDEX('Risk Taxonomy'!$G$5:$G$24,MATCH(D8,'Risk Taxonomy'!$A$5:$A$24,0))</f>
        <v>Zero tolerance</v>
      </c>
      <c r="AB8" s="7" t="str">
        <f aca="false">INDEX('Risk Taxonomy'!$H$5:$H$24,MATCH(D8,'Risk Taxonomy'!$A$5:$A$24,0))</f>
        <v>Low</v>
      </c>
      <c r="AC8" s="35" t="str">
        <f aca="false">IF(NOT(ISNUMBER(X8)),"",IF(X8&lt;=MATCH(AB8,Config!$B$5:$B$9,0),"Within",IF(OR(X8-MATCH(AB8,Config!$B$5:$B$9,0)&gt;=2,AND('Residual Config'!$C$8="Y",ISNUMBER(SEARCH("Zero",AA8)))),"Red","Amber")))</f>
        <v>Red</v>
      </c>
      <c r="AD8" s="12" t="str">
        <f aca="false">IF(AC8="Red","Group CCO / CRO and Country CEO within 2 business days; action plan in 15 days; report to Board Risk &amp; Compliance Committee",IF(AC8="Amber","Country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9" customFormat="false" ht="15" hidden="false" customHeight="false" outlineLevel="0" collapsed="false">
      <c r="A9" s="26" t="str">
        <f aca="false">Entities!$A$5</f>
        <v>JO-HO</v>
      </c>
      <c r="B9" s="12" t="str">
        <f aca="false">INDEX(Entities!$B$5:$B$34,MATCH(A9,Entities!$A$5:$A$34,0))</f>
        <v>Arab Bank plc – Jordan (HO and domestic network)</v>
      </c>
      <c r="C9" s="12" t="str">
        <f aca="false">INDEX(Entities!$D$5:$D$34,MATCH(A9,Entities!$A$5:$A$34,0))</f>
        <v>Jordan (home)</v>
      </c>
      <c r="D9" s="12" t="s">
        <v>275</v>
      </c>
      <c r="E9" s="12" t="str">
        <f aca="false">INDEX('Risk Taxonomy'!$B$5:$B$24,MATCH(D9,'Risk Taxonomy'!$A$5:$A$24,0))</f>
        <v>Bribery and corruption</v>
      </c>
      <c r="F9" s="29" t="n">
        <f aca="false">IF(NOT(ISNUMBER(G9)),"",IFERROR(IF(MATCH(SUMIFS('FC Calculation'!$N$5:$N$214,'FC Calculation'!$A$5:$A$214,A9,'FC Calculation'!$D$5:$D$214,D9),Config!$D$5:$D$9,1)=G9,SUMIFS('FC Calculation'!$N$5:$N$214,'FC Calculation'!$A$5:$A$214,A9,'FC Calculation'!$D$5:$D$214,D9),G9),G9))</f>
        <v>3.18333333333333</v>
      </c>
      <c r="G9" s="34" t="n">
        <f aca="false">IF(COUNTIFS('FC Calculation'!$A$5:$A$214,A9,'FC Calculation'!$D$5:$D$214,D9,'FC Calculation'!$T$5:$T$214,"&gt;0")=0,"",SUMIFS('FC Calculation'!$T$5:$T$214,'FC Calculation'!$A$5:$A$214,A9,'FC Calculation'!$D$5:$D$214,D9))</f>
        <v>3</v>
      </c>
      <c r="H9" s="7" t="str">
        <f aca="false">IF(G9="N/A","N/A",IF(G9="","No data",INDEX(Config!$B$5:$B$9,G9)))</f>
        <v>Medium</v>
      </c>
      <c r="I9" s="31" t="n">
        <f aca="false">IF(NOT(ISNUMBER($G9)),"",SUMPRODUCT(('Control Mapping'!$C$5:$C$83=D9)*('Control Mapping'!$G$5:$G$83&gt;0)))</f>
        <v>5</v>
      </c>
      <c r="J9" s="31" t="n">
        <f aca="false">IF(NOT(ISNUMBER($G9)),"",SUMPRODUCT(('Control Mapping'!$C$5:$C$83=D9)*('Control Mapping'!$F$5:$F$83="Y")*('Control Mapping'!$G$5:$G$83&gt;0)))</f>
        <v>2</v>
      </c>
      <c r="K9" s="31" t="n">
        <f aca="false">IF(NOT(ISNUMBER($G9)),"",SUMPRODUCT(('Control Mapping'!$C$5:$C$83=D9)*('Control Mapping'!$F$5:$F$83="Y")*('Control Mapping'!$G$5:$G$83=4)))</f>
        <v>0</v>
      </c>
      <c r="L9" s="29" t="n">
        <f aca="false">IF(NOT(ISNUMBER($G9)),"",IFERROR(SUMPRODUCT(('Control Mapping'!$C$5:$C$83=D9)*'Control Mapping'!$E$5:$E$83*'Control Mapping'!$G$5:$G$83)/SUMPRODUCT(('Control Mapping'!$C$5:$C$83=D9)*'Control Mapping'!$E$5:$E$83*('Control Mapping'!$G$5:$G$83&gt;0)),""))</f>
        <v>1.88888888888889</v>
      </c>
      <c r="M9" s="34" t="n">
        <f aca="false">IF(NOT(ISNUMBER($G9)),"",IF(J9=0,4,MAX(MATCH(L9,'Residual Config'!$E$11:$E$14,1),IF(K9&gt;0,'Residual Config'!$C$7,1))))</f>
        <v>2</v>
      </c>
      <c r="N9" s="7" t="str">
        <f aca="false">IF(NOT(ISNUMBER($G9)),"",IF(J9=0,"Ineffective (no key control)",INDEX('Residual Config'!$B$11:$B$14,M9)))</f>
        <v>Largely effective</v>
      </c>
      <c r="O9" s="36" t="n">
        <f aca="false">IF(NOT(ISNUMBER($G9)),"",IF(J9=0,0,SUMPRODUCT(('Control Mapping'!$C$5:$C$83=D9)*'Control Mapping'!$E$5:$E$83*(('Control Mapping'!$G$5:$G$83=1)*'Residual Config'!$D$11+('Control Mapping'!$G$5:$G$83=2)*'Residual Config'!$D$12+('Control Mapping'!$G$5:$G$83=3)*'Residual Config'!$D$13+('Control Mapping'!$G$5:$G$83=4)*'Residual Config'!$D$14))/SUMPRODUCT(('Control Mapping'!$C$5:$C$83=D9)*'Control Mapping'!$E$5:$E$83*('Control Mapping'!$G$5:$G$83&gt;0))))</f>
        <v>0.422222222222222</v>
      </c>
      <c r="P9" s="31" t="n">
        <f aca="false">IF(NOT(ISNUMBER($G9)),"",INDEX('Residual Config'!$B$19:$E$23,6-G9,M9))</f>
        <v>2</v>
      </c>
      <c r="Q9" s="29" t="n">
        <f aca="false">IF(NOT(ISNUMBER($G9)),"",MAX(1,F9*(1-O9)))</f>
        <v>1.83925925925926</v>
      </c>
      <c r="R9" s="31" t="n">
        <f aca="false">IF(NOT(ISNUMBER($G9)),"",MAX(MATCH(Q9,Config!$D$5:$D$9,1),G9-'Residual Config'!$C$6))</f>
        <v>2</v>
      </c>
      <c r="S9" s="34" t="n">
        <f aca="false">IF(NOT(ISNUMBER($G9)),"",IF('Residual Config'!$C$5="Numeric",R9,P9))</f>
        <v>2</v>
      </c>
      <c r="T9" s="7" t="str">
        <f aca="false">IF(G9="N/A","N/A",IF(S9="","No data",INDEX(Config!$B$5:$B$9,S9)))</f>
        <v>Medium-Low</v>
      </c>
      <c r="U9" s="32" t="n">
        <v>0</v>
      </c>
      <c r="V9" s="8"/>
      <c r="W9" s="33"/>
      <c r="X9" s="34" t="n">
        <f aca="false">IF(S9="","",IF(AND(W9="Y",U9&lt;&gt;0),MAX(1,MIN(5,S9+MAX(-Config!$C$27,MIN(Config!$C$27,U9)))),S9))</f>
        <v>2</v>
      </c>
      <c r="Y9" s="35" t="str">
        <f aca="false">IF(G9="N/A","N/A",IF(X9="","No data",INDEX(Config!$B$5:$B$9,X9)))</f>
        <v>Medium-Low</v>
      </c>
      <c r="Z9" s="7" t="str">
        <f aca="false">IF(U9=0,"None",IF(W9="Y","Applied","Pending HO approval"))</f>
        <v>None</v>
      </c>
      <c r="AA9" s="12" t="str">
        <f aca="false">INDEX('Risk Taxonomy'!$G$5:$G$24,MATCH(D9,'Risk Taxonomy'!$A$5:$A$24,0))</f>
        <v>Zero tolerance</v>
      </c>
      <c r="AB9" s="7" t="str">
        <f aca="false">INDEX('Risk Taxonomy'!$H$5:$H$24,MATCH(D9,'Risk Taxonomy'!$A$5:$A$24,0))</f>
        <v>Low</v>
      </c>
      <c r="AC9" s="35" t="str">
        <f aca="false">IF(NOT(ISNUMBER(X9)),"",IF(X9&lt;=MATCH(AB9,Config!$B$5:$B$9,0),"Within",IF(OR(X9-MATCH(AB9,Config!$B$5:$B$9,0)&gt;=2,AND('Residual Config'!$C$8="Y",ISNUMBER(SEARCH("Zero",AA9)))),"Red","Amber")))</f>
        <v>Amber</v>
      </c>
      <c r="AD9" s="12" t="str">
        <f aca="false">IF(AC9="Red","Group CCO / CRO and Country CEO within 2 business days; action plan in 15 days; report to Board Risk &amp; Compliance Committee",IF(AC9="Amber","Country CO, risk owner and HO Administrator within 5 business days; action plan in 30 days",""))</f>
        <v>Country CO, risk owner and HO Administrator within 5 business days; action plan in 30 days</v>
      </c>
    </row>
    <row r="10" customFormat="false" ht="15" hidden="false" customHeight="false" outlineLevel="0" collapsed="false">
      <c r="A10" s="26" t="str">
        <f aca="false">Entities!$A$5</f>
        <v>JO-HO</v>
      </c>
      <c r="B10" s="12" t="str">
        <f aca="false">INDEX(Entities!$B$5:$B$34,MATCH(A10,Entities!$A$5:$A$34,0))</f>
        <v>Arab Bank plc – Jordan (HO and domestic network)</v>
      </c>
      <c r="C10" s="12" t="str">
        <f aca="false">INDEX(Entities!$D$5:$D$34,MATCH(A10,Entities!$A$5:$A$34,0))</f>
        <v>Jordan (home)</v>
      </c>
      <c r="D10" s="12" t="s">
        <v>278</v>
      </c>
      <c r="E10" s="12" t="str">
        <f aca="false">INDEX('Risk Taxonomy'!$B$5:$B$24,MATCH(D10,'Risk Taxonomy'!$A$5:$A$24,0))</f>
        <v>Fraud</v>
      </c>
      <c r="F10" s="29" t="n">
        <f aca="false">IF(NOT(ISNUMBER(G10)),"",IFERROR(IF(MATCH(SUMIFS('FC Calculation'!$N$5:$N$214,'FC Calculation'!$A$5:$A$214,A10,'FC Calculation'!$D$5:$D$214,D10),Config!$D$5:$D$9,1)=G10,SUMIFS('FC Calculation'!$N$5:$N$214,'FC Calculation'!$A$5:$A$214,A10,'FC Calculation'!$D$5:$D$214,D10),G10),G10))</f>
        <v>2.76166666666667</v>
      </c>
      <c r="G10" s="34" t="n">
        <f aca="false">IF(COUNTIFS('FC Calculation'!$A$5:$A$214,A10,'FC Calculation'!$D$5:$D$214,D10,'FC Calculation'!$T$5:$T$214,"&gt;0")=0,"",SUMIFS('FC Calculation'!$T$5:$T$214,'FC Calculation'!$A$5:$A$214,A10,'FC Calculation'!$D$5:$D$214,D10))</f>
        <v>3</v>
      </c>
      <c r="H10" s="7" t="str">
        <f aca="false">IF(G10="N/A","N/A",IF(G10="","No data",INDEX(Config!$B$5:$B$9,G10)))</f>
        <v>Medium</v>
      </c>
      <c r="I10" s="31" t="n">
        <f aca="false">IF(NOT(ISNUMBER($G10)),"",SUMPRODUCT(('Control Mapping'!$C$5:$C$83=D10)*('Control Mapping'!$G$5:$G$83&gt;0)))</f>
        <v>6</v>
      </c>
      <c r="J10" s="31" t="n">
        <f aca="false">IF(NOT(ISNUMBER($G10)),"",SUMPRODUCT(('Control Mapping'!$C$5:$C$83=D10)*('Control Mapping'!$F$5:$F$83="Y")*('Control Mapping'!$G$5:$G$83&gt;0)))</f>
        <v>5</v>
      </c>
      <c r="K10" s="31" t="n">
        <f aca="false">IF(NOT(ISNUMBER($G10)),"",SUMPRODUCT(('Control Mapping'!$C$5:$C$83=D10)*('Control Mapping'!$F$5:$F$83="Y")*('Control Mapping'!$G$5:$G$83=4)))</f>
        <v>0</v>
      </c>
      <c r="L10" s="29" t="n">
        <f aca="false">IF(NOT(ISNUMBER($G10)),"",IFERROR(SUMPRODUCT(('Control Mapping'!$C$5:$C$83=D10)*'Control Mapping'!$E$5:$E$83*'Control Mapping'!$G$5:$G$83)/SUMPRODUCT(('Control Mapping'!$C$5:$C$83=D10)*'Control Mapping'!$E$5:$E$83*('Control Mapping'!$G$5:$G$83&gt;0)),""))</f>
        <v>1.8</v>
      </c>
      <c r="M10" s="34" t="n">
        <f aca="false">IF(NOT(ISNUMBER($G10)),"",IF(J10=0,4,MAX(MATCH(L10,'Residual Config'!$E$11:$E$14,1),IF(K10&gt;0,'Residual Config'!$C$7,1))))</f>
        <v>2</v>
      </c>
      <c r="N10" s="7" t="str">
        <f aca="false">IF(NOT(ISNUMBER($G10)),"",IF(J10=0,"Ineffective (no key control)",INDEX('Residual Config'!$B$11:$B$14,M10)))</f>
        <v>Largely effective</v>
      </c>
      <c r="O10" s="36" t="n">
        <f aca="false">IF(NOT(ISNUMBER($G10)),"",IF(J10=0,0,SUMPRODUCT(('Control Mapping'!$C$5:$C$83=D10)*'Control Mapping'!$E$5:$E$83*(('Control Mapping'!$G$5:$G$83=1)*'Residual Config'!$D$11+('Control Mapping'!$G$5:$G$83=2)*'Residual Config'!$D$12+('Control Mapping'!$G$5:$G$83=3)*'Residual Config'!$D$13+('Control Mapping'!$G$5:$G$83=4)*'Residual Config'!$D$14))/SUMPRODUCT(('Control Mapping'!$C$5:$C$83=D10)*'Control Mapping'!$E$5:$E$83*('Control Mapping'!$G$5:$G$83&gt;0))))</f>
        <v>0.44</v>
      </c>
      <c r="P10" s="31" t="n">
        <f aca="false">IF(NOT(ISNUMBER($G10)),"",INDEX('Residual Config'!$B$19:$E$23,6-G10,M10))</f>
        <v>2</v>
      </c>
      <c r="Q10" s="29" t="n">
        <f aca="false">IF(NOT(ISNUMBER($G10)),"",MAX(1,F10*(1-O10)))</f>
        <v>1.54653333333333</v>
      </c>
      <c r="R10" s="31" t="n">
        <f aca="false">IF(NOT(ISNUMBER($G10)),"",MAX(MATCH(Q10,Config!$D$5:$D$9,1),G10-'Residual Config'!$C$6))</f>
        <v>1</v>
      </c>
      <c r="S10" s="34" t="n">
        <f aca="false">IF(NOT(ISNUMBER($G10)),"",IF('Residual Config'!$C$5="Numeric",R10,P10))</f>
        <v>2</v>
      </c>
      <c r="T10" s="7" t="str">
        <f aca="false">IF(G10="N/A","N/A",IF(S10="","No data",INDEX(Config!$B$5:$B$9,S10)))</f>
        <v>Medium-Low</v>
      </c>
      <c r="U10" s="32" t="n">
        <v>0</v>
      </c>
      <c r="V10" s="8"/>
      <c r="W10" s="33"/>
      <c r="X10" s="34" t="n">
        <f aca="false">IF(S10="","",IF(AND(W10="Y",U10&lt;&gt;0),MAX(1,MIN(5,S10+MAX(-Config!$C$27,MIN(Config!$C$27,U10)))),S10))</f>
        <v>2</v>
      </c>
      <c r="Y10" s="35" t="str">
        <f aca="false">IF(G10="N/A","N/A",IF(X10="","No data",INDEX(Config!$B$5:$B$9,X10)))</f>
        <v>Medium-Low</v>
      </c>
      <c r="Z10" s="7" t="str">
        <f aca="false">IF(U10=0,"None",IF(W10="Y","Applied","Pending HO approval"))</f>
        <v>None</v>
      </c>
      <c r="AA10" s="12" t="str">
        <f aca="false">INDEX('Risk Taxonomy'!$G$5:$G$24,MATCH(D10,'Risk Taxonomy'!$A$5:$A$24,0))</f>
        <v>Low</v>
      </c>
      <c r="AB10" s="7" t="str">
        <f aca="false">INDEX('Risk Taxonomy'!$H$5:$H$24,MATCH(D10,'Risk Taxonomy'!$A$5:$A$24,0))</f>
        <v>Medium</v>
      </c>
      <c r="AC10" s="35" t="str">
        <f aca="false">IF(NOT(ISNUMBER(X10)),"",IF(X10&lt;=MATCH(AB10,Config!$B$5:$B$9,0),"Within",IF(OR(X10-MATCH(AB10,Config!$B$5:$B$9,0)&gt;=2,AND('Residual Config'!$C$8="Y",ISNUMBER(SEARCH("Zero",AA10)))),"Red","Amber")))</f>
        <v>Within</v>
      </c>
      <c r="AD10" s="12" t="str">
        <f aca="false">IF(AC10="Red","Group CCO / CRO and Country CEO within 2 business days; action plan in 15 days; report to Board Risk &amp; Compliance Committee",IF(AC10="Amber","Country CO, risk owner and HO Administrator within 5 business days; action plan in 30 days",""))</f>
        <v/>
      </c>
    </row>
    <row r="11" customFormat="false" ht="15" hidden="false" customHeight="false" outlineLevel="0" collapsed="false">
      <c r="A11" s="26" t="str">
        <f aca="false">Entities!$A$5</f>
        <v>JO-HO</v>
      </c>
      <c r="B11" s="12" t="str">
        <f aca="false">INDEX(Entities!$B$5:$B$34,MATCH(A11,Entities!$A$5:$A$34,0))</f>
        <v>Arab Bank plc – Jordan (HO and domestic network)</v>
      </c>
      <c r="C11" s="12" t="str">
        <f aca="false">INDEX(Entities!$D$5:$D$34,MATCH(A11,Entities!$A$5:$A$34,0))</f>
        <v>Jordan (home)</v>
      </c>
      <c r="D11" s="12" t="s">
        <v>281</v>
      </c>
      <c r="E11" s="12" t="str">
        <f aca="false">INDEX('Risk Taxonomy'!$B$5:$B$24,MATCH(D11,'Risk Taxonomy'!$A$5:$A$24,0))</f>
        <v>Tax evasion and tax transparency</v>
      </c>
      <c r="F11" s="29" t="n">
        <f aca="false">IF(NOT(ISNUMBER(G11)),"",IFERROR(IF(MATCH(SUMIFS('FC Calculation'!$N$5:$N$214,'FC Calculation'!$A$5:$A$214,A11,'FC Calculation'!$D$5:$D$214,D11),Config!$D$5:$D$9,1)=G11,SUMIFS('FC Calculation'!$N$5:$N$214,'FC Calculation'!$A$5:$A$214,A11,'FC Calculation'!$D$5:$D$214,D11),G11),G11))</f>
        <v>2.89888888888889</v>
      </c>
      <c r="G11" s="34" t="n">
        <f aca="false">IF(COUNTIFS('FC Calculation'!$A$5:$A$214,A11,'FC Calculation'!$D$5:$D$214,D11,'FC Calculation'!$T$5:$T$214,"&gt;0")=0,"",SUMIFS('FC Calculation'!$T$5:$T$214,'FC Calculation'!$A$5:$A$214,A11,'FC Calculation'!$D$5:$D$214,D11))</f>
        <v>3</v>
      </c>
      <c r="H11" s="7" t="str">
        <f aca="false">IF(G11="N/A","N/A",IF(G11="","No data",INDEX(Config!$B$5:$B$9,G11)))</f>
        <v>Medium</v>
      </c>
      <c r="I11" s="31" t="n">
        <f aca="false">IF(NOT(ISNUMBER($G11)),"",SUMPRODUCT(('Control Mapping'!$C$5:$C$83=D11)*('Control Mapping'!$G$5:$G$83&gt;0)))</f>
        <v>5</v>
      </c>
      <c r="J11" s="31" t="n">
        <f aca="false">IF(NOT(ISNUMBER($G11)),"",SUMPRODUCT(('Control Mapping'!$C$5:$C$83=D11)*('Control Mapping'!$F$5:$F$83="Y")*('Control Mapping'!$G$5:$G$83&gt;0)))</f>
        <v>4</v>
      </c>
      <c r="K11" s="31" t="n">
        <f aca="false">IF(NOT(ISNUMBER($G11)),"",SUMPRODUCT(('Control Mapping'!$C$5:$C$83=D11)*('Control Mapping'!$F$5:$F$83="Y")*('Control Mapping'!$G$5:$G$83=4)))</f>
        <v>0</v>
      </c>
      <c r="L11" s="29" t="n">
        <f aca="false">IF(NOT(ISNUMBER($G11)),"",IFERROR(SUMPRODUCT(('Control Mapping'!$C$5:$C$83=D11)*'Control Mapping'!$E$5:$E$83*'Control Mapping'!$G$5:$G$83)/SUMPRODUCT(('Control Mapping'!$C$5:$C$83=D11)*'Control Mapping'!$E$5:$E$83*('Control Mapping'!$G$5:$G$83&gt;0)),""))</f>
        <v>1.77777777777778</v>
      </c>
      <c r="M11" s="34" t="n">
        <f aca="false">IF(NOT(ISNUMBER($G11)),"",IF(J11=0,4,MAX(MATCH(L11,'Residual Config'!$E$11:$E$14,1),IF(K11&gt;0,'Residual Config'!$C$7,1))))</f>
        <v>2</v>
      </c>
      <c r="N11" s="7" t="str">
        <f aca="false">IF(NOT(ISNUMBER($G11)),"",IF(J11=0,"Ineffective (no key control)",INDEX('Residual Config'!$B$11:$B$14,M11)))</f>
        <v>Largely effective</v>
      </c>
      <c r="O11" s="36" t="n">
        <f aca="false">IF(NOT(ISNUMBER($G11)),"",IF(J11=0,0,SUMPRODUCT(('Control Mapping'!$C$5:$C$83=D11)*'Control Mapping'!$E$5:$E$83*(('Control Mapping'!$G$5:$G$83=1)*'Residual Config'!$D$11+('Control Mapping'!$G$5:$G$83=2)*'Residual Config'!$D$12+('Control Mapping'!$G$5:$G$83=3)*'Residual Config'!$D$13+('Control Mapping'!$G$5:$G$83=4)*'Residual Config'!$D$14))/SUMPRODUCT(('Control Mapping'!$C$5:$C$83=D11)*'Control Mapping'!$E$5:$E$83*('Control Mapping'!$G$5:$G$83&gt;0))))</f>
        <v>0.444444444444444</v>
      </c>
      <c r="P11" s="31" t="n">
        <f aca="false">IF(NOT(ISNUMBER($G11)),"",INDEX('Residual Config'!$B$19:$E$23,6-G11,M11))</f>
        <v>2</v>
      </c>
      <c r="Q11" s="29" t="n">
        <f aca="false">IF(NOT(ISNUMBER($G11)),"",MAX(1,F11*(1-O11)))</f>
        <v>1.61049382716049</v>
      </c>
      <c r="R11" s="31" t="n">
        <f aca="false">IF(NOT(ISNUMBER($G11)),"",MAX(MATCH(Q11,Config!$D$5:$D$9,1),G11-'Residual Config'!$C$6))</f>
        <v>1</v>
      </c>
      <c r="S11" s="34" t="n">
        <f aca="false">IF(NOT(ISNUMBER($G11)),"",IF('Residual Config'!$C$5="Numeric",R11,P11))</f>
        <v>2</v>
      </c>
      <c r="T11" s="7" t="str">
        <f aca="false">IF(G11="N/A","N/A",IF(S11="","No data",INDEX(Config!$B$5:$B$9,S11)))</f>
        <v>Medium-Low</v>
      </c>
      <c r="U11" s="32" t="n">
        <v>0</v>
      </c>
      <c r="V11" s="8"/>
      <c r="W11" s="33"/>
      <c r="X11" s="34" t="n">
        <f aca="false">IF(S11="","",IF(AND(W11="Y",U11&lt;&gt;0),MAX(1,MIN(5,S11+MAX(-Config!$C$27,MIN(Config!$C$27,U11)))),S11))</f>
        <v>2</v>
      </c>
      <c r="Y11" s="35" t="str">
        <f aca="false">IF(G11="N/A","N/A",IF(X11="","No data",INDEX(Config!$B$5:$B$9,X11)))</f>
        <v>Medium-Low</v>
      </c>
      <c r="Z11" s="7" t="str">
        <f aca="false">IF(U11=0,"None",IF(W11="Y","Applied","Pending HO approval"))</f>
        <v>None</v>
      </c>
      <c r="AA11" s="12" t="str">
        <f aca="false">INDEX('Risk Taxonomy'!$G$5:$G$24,MATCH(D11,'Risk Taxonomy'!$A$5:$A$24,0))</f>
        <v>Zero tolerance (facilitation)</v>
      </c>
      <c r="AB11" s="7" t="str">
        <f aca="false">INDEX('Risk Taxonomy'!$H$5:$H$24,MATCH(D11,'Risk Taxonomy'!$A$5:$A$24,0))</f>
        <v>Low</v>
      </c>
      <c r="AC11" s="35" t="str">
        <f aca="false">IF(NOT(ISNUMBER(X11)),"",IF(X11&lt;=MATCH(AB11,Config!$B$5:$B$9,0),"Within",IF(OR(X11-MATCH(AB11,Config!$B$5:$B$9,0)&gt;=2,AND('Residual Config'!$C$8="Y",ISNUMBER(SEARCH("Zero",AA11)))),"Red","Amber")))</f>
        <v>Amber</v>
      </c>
      <c r="AD11" s="12" t="str">
        <f aca="false">IF(AC11="Red","Group CCO / CRO and Country CEO within 2 business days; action plan in 15 days; report to Board Risk &amp; Compliance Committee",IF(AC11="Amber","Country CO, risk owner and HO Administrator within 5 business days; action plan in 30 days",""))</f>
        <v>Country CO, risk owner and HO Administrator within 5 business days; action plan in 30 days</v>
      </c>
    </row>
    <row r="12" customFormat="false" ht="15" hidden="false" customHeight="false" outlineLevel="0" collapsed="false">
      <c r="A12" s="26" t="str">
        <f aca="false">Entities!$A$5</f>
        <v>JO-HO</v>
      </c>
      <c r="B12" s="12" t="str">
        <f aca="false">INDEX(Entities!$B$5:$B$34,MATCH(A12,Entities!$A$5:$A$34,0))</f>
        <v>Arab Bank plc – Jordan (HO and domestic network)</v>
      </c>
      <c r="C12" s="12" t="str">
        <f aca="false">INDEX(Entities!$D$5:$D$34,MATCH(A12,Entities!$A$5:$A$34,0))</f>
        <v>Jordan (home)</v>
      </c>
      <c r="D12" s="12" t="s">
        <v>284</v>
      </c>
      <c r="E12" s="12" t="str">
        <f aca="false">INDEX('Risk Taxonomy'!$B$5:$B$24,MATCH(D12,'Risk Taxonomy'!$A$5:$A$24,0))</f>
        <v>Regulatory compliance</v>
      </c>
      <c r="F12" s="29" t="n">
        <f aca="false">IF(NOT(ISNUMBER(G12)),"",G12)</f>
        <v>4</v>
      </c>
      <c r="G12" s="34" t="n">
        <f aca="false">IF(COUNTIFS('LxI Assessment'!$A$5:$A$394,A12,'LxI Assessment'!$D$5:$D$394,D12,'LxI Assessment'!$F$5:$F$394,"N/A")&gt;0,"N/A",IF(COUNTIFS('LxI Assessment'!$A$5:$A$394,A12,'LxI Assessment'!$D$5:$D$394,D12,'LxI Assessment'!$S$5:$S$394,"&gt;0")=0,"",SUMIFS('LxI Assessment'!$S$5:$S$394,'LxI Assessment'!$A$5:$A$394,A12,'LxI Assessment'!$D$5:$D$394,D12)))</f>
        <v>4</v>
      </c>
      <c r="H12" s="7" t="str">
        <f aca="false">IF(G12="N/A","N/A",IF(G12="","No data",INDEX(Config!$B$5:$B$9,G12)))</f>
        <v>Medium-High</v>
      </c>
      <c r="I12" s="31" t="n">
        <f aca="false">IF(NOT(ISNUMBER($G12)),"",SUMPRODUCT(('Control Mapping'!$C$5:$C$83=D12)*('Control Mapping'!$G$5:$G$83&gt;0)))</f>
        <v>4</v>
      </c>
      <c r="J12" s="31" t="n">
        <f aca="false">IF(NOT(ISNUMBER($G12)),"",SUMPRODUCT(('Control Mapping'!$C$5:$C$83=D12)*('Control Mapping'!$F$5:$F$83="Y")*('Control Mapping'!$G$5:$G$83&gt;0)))</f>
        <v>3</v>
      </c>
      <c r="K12" s="31" t="n">
        <f aca="false">IF(NOT(ISNUMBER($G12)),"",SUMPRODUCT(('Control Mapping'!$C$5:$C$83=D12)*('Control Mapping'!$F$5:$F$83="Y")*('Control Mapping'!$G$5:$G$83=4)))</f>
        <v>0</v>
      </c>
      <c r="L12" s="29" t="n">
        <f aca="false">IF(NOT(ISNUMBER($G12)),"",IFERROR(SUMPRODUCT(('Control Mapping'!$C$5:$C$83=D12)*'Control Mapping'!$E$5:$E$83*'Control Mapping'!$G$5:$G$83)/SUMPRODUCT(('Control Mapping'!$C$5:$C$83=D12)*'Control Mapping'!$E$5:$E$83*('Control Mapping'!$G$5:$G$83&gt;0)),""))</f>
        <v>2.14285714285714</v>
      </c>
      <c r="M12" s="34" t="n">
        <f aca="false">IF(NOT(ISNUMBER($G12)),"",IF(J12=0,4,MAX(MATCH(L12,'Residual Config'!$E$11:$E$14,1),IF(K12&gt;0,'Residual Config'!$C$7,1))))</f>
        <v>2</v>
      </c>
      <c r="N12" s="7" t="str">
        <f aca="false">IF(NOT(ISNUMBER($G12)),"",IF(J12=0,"Ineffective (no key control)",INDEX('Residual Config'!$B$11:$B$14,M12)))</f>
        <v>Largely effective</v>
      </c>
      <c r="O12" s="36" t="n">
        <f aca="false">IF(NOT(ISNUMBER($G12)),"",IF(J12=0,0,SUMPRODUCT(('Control Mapping'!$C$5:$C$83=D12)*'Control Mapping'!$E$5:$E$83*(('Control Mapping'!$G$5:$G$83=1)*'Residual Config'!$D$11+('Control Mapping'!$G$5:$G$83=2)*'Residual Config'!$D$12+('Control Mapping'!$G$5:$G$83=3)*'Residual Config'!$D$13+('Control Mapping'!$G$5:$G$83=4)*'Residual Config'!$D$14))/SUMPRODUCT(('Control Mapping'!$C$5:$C$83=D12)*'Control Mapping'!$E$5:$E$83*('Control Mapping'!$G$5:$G$83&gt;0))))</f>
        <v>0.371428571428571</v>
      </c>
      <c r="P12" s="31" t="n">
        <f aca="false">IF(NOT(ISNUMBER($G12)),"",INDEX('Residual Config'!$B$19:$E$23,6-G12,M12))</f>
        <v>3</v>
      </c>
      <c r="Q12" s="29" t="n">
        <f aca="false">IF(NOT(ISNUMBER($G12)),"",MAX(1,F12*(1-O12)))</f>
        <v>2.51428571428571</v>
      </c>
      <c r="R12" s="31" t="n">
        <f aca="false">IF(NOT(ISNUMBER($G12)),"",MAX(MATCH(Q12,Config!$D$5:$D$9,1),G12-'Residual Config'!$C$6))</f>
        <v>2</v>
      </c>
      <c r="S12" s="34" t="n">
        <f aca="false">IF(NOT(ISNUMBER($G12)),"",IF('Residual Config'!$C$5="Numeric",R12,P12))</f>
        <v>3</v>
      </c>
      <c r="T12" s="7" t="str">
        <f aca="false">IF(G12="N/A","N/A",IF(S12="","No data",INDEX(Config!$B$5:$B$9,S12)))</f>
        <v>Medium</v>
      </c>
      <c r="U12" s="32" t="n">
        <v>0</v>
      </c>
      <c r="V12" s="8"/>
      <c r="W12" s="33"/>
      <c r="X12" s="34" t="n">
        <f aca="false">IF(S12="","",IF(AND(W12="Y",U12&lt;&gt;0),MAX(1,MIN(5,S12+MAX(-Config!$C$27,MIN(Config!$C$27,U12)))),S12))</f>
        <v>3</v>
      </c>
      <c r="Y12" s="35" t="str">
        <f aca="false">IF(G12="N/A","N/A",IF(X12="","No data",INDEX(Config!$B$5:$B$9,X12)))</f>
        <v>Medium</v>
      </c>
      <c r="Z12" s="7" t="str">
        <f aca="false">IF(U12=0,"None",IF(W12="Y","Applied","Pending HO approval"))</f>
        <v>None</v>
      </c>
      <c r="AA12" s="12" t="str">
        <f aca="false">INDEX('Risk Taxonomy'!$G$5:$G$24,MATCH(D12,'Risk Taxonomy'!$A$5:$A$24,0))</f>
        <v>Very low</v>
      </c>
      <c r="AB12" s="7" t="str">
        <f aca="false">INDEX('Risk Taxonomy'!$H$5:$H$24,MATCH(D12,'Risk Taxonomy'!$A$5:$A$24,0))</f>
        <v>Medium-Low</v>
      </c>
      <c r="AC12" s="35" t="str">
        <f aca="false">IF(NOT(ISNUMBER(X12)),"",IF(X12&lt;=MATCH(AB12,Config!$B$5:$B$9,0),"Within",IF(OR(X12-MATCH(AB12,Config!$B$5:$B$9,0)&gt;=2,AND('Residual Config'!$C$8="Y",ISNUMBER(SEARCH("Zero",AA12)))),"Red","Amber")))</f>
        <v>Amber</v>
      </c>
      <c r="AD12" s="12" t="str">
        <f aca="false">IF(AC12="Red","Group CCO / CRO and Country CEO within 2 business days; action plan in 15 days; report to Board Risk &amp; Compliance Committee",IF(AC12="Amber","Country CO, risk owner and HO Administrator within 5 business days; action plan in 30 days",""))</f>
        <v>Country CO, risk owner and HO Administrator within 5 business days; action plan in 30 days</v>
      </c>
    </row>
    <row r="13" customFormat="false" ht="15" hidden="false" customHeight="false" outlineLevel="0" collapsed="false">
      <c r="A13" s="26" t="str">
        <f aca="false">Entities!$A$5</f>
        <v>JO-HO</v>
      </c>
      <c r="B13" s="12" t="str">
        <f aca="false">INDEX(Entities!$B$5:$B$34,MATCH(A13,Entities!$A$5:$A$34,0))</f>
        <v>Arab Bank plc – Jordan (HO and domestic network)</v>
      </c>
      <c r="C13" s="12" t="str">
        <f aca="false">INDEX(Entities!$D$5:$D$34,MATCH(A13,Entities!$A$5:$A$34,0))</f>
        <v>Jordan (home)</v>
      </c>
      <c r="D13" s="12" t="s">
        <v>288</v>
      </c>
      <c r="E13" s="12" t="str">
        <f aca="false">INDEX('Risk Taxonomy'!$B$5:$B$24,MATCH(D13,'Risk Taxonomy'!$A$5:$A$24,0))</f>
        <v>Conduct and consumer protection</v>
      </c>
      <c r="F13" s="29" t="n">
        <f aca="false">IF(NOT(ISNUMBER(G13)),"",G13)</f>
        <v>3</v>
      </c>
      <c r="G13" s="34" t="n">
        <f aca="false">IF(COUNTIFS('LxI Assessment'!$A$5:$A$394,A13,'LxI Assessment'!$D$5:$D$394,D13,'LxI Assessment'!$F$5:$F$394,"N/A")&gt;0,"N/A",IF(COUNTIFS('LxI Assessment'!$A$5:$A$394,A13,'LxI Assessment'!$D$5:$D$394,D13,'LxI Assessment'!$S$5:$S$394,"&gt;0")=0,"",SUMIFS('LxI Assessment'!$S$5:$S$394,'LxI Assessment'!$A$5:$A$394,A13,'LxI Assessment'!$D$5:$D$394,D13)))</f>
        <v>3</v>
      </c>
      <c r="H13" s="7" t="str">
        <f aca="false">IF(G13="N/A","N/A",IF(G13="","No data",INDEX(Config!$B$5:$B$9,G13)))</f>
        <v>Medium</v>
      </c>
      <c r="I13" s="31" t="n">
        <f aca="false">IF(NOT(ISNUMBER($G13)),"",SUMPRODUCT(('Control Mapping'!$C$5:$C$83=D13)*('Control Mapping'!$G$5:$G$83&gt;0)))</f>
        <v>2</v>
      </c>
      <c r="J13" s="31" t="n">
        <f aca="false">IF(NOT(ISNUMBER($G13)),"",SUMPRODUCT(('Control Mapping'!$C$5:$C$83=D13)*('Control Mapping'!$F$5:$F$83="Y")*('Control Mapping'!$G$5:$G$83&gt;0)))</f>
        <v>1</v>
      </c>
      <c r="K13" s="31" t="n">
        <f aca="false">IF(NOT(ISNUMBER($G13)),"",SUMPRODUCT(('Control Mapping'!$C$5:$C$83=D13)*('Control Mapping'!$F$5:$F$83="Y")*('Control Mapping'!$G$5:$G$83=4)))</f>
        <v>0</v>
      </c>
      <c r="L13" s="29" t="n">
        <f aca="false">IF(NOT(ISNUMBER($G13)),"",IFERROR(SUMPRODUCT(('Control Mapping'!$C$5:$C$83=D13)*'Control Mapping'!$E$5:$E$83*'Control Mapping'!$G$5:$G$83)/SUMPRODUCT(('Control Mapping'!$C$5:$C$83=D13)*'Control Mapping'!$E$5:$E$83*('Control Mapping'!$G$5:$G$83&gt;0)),""))</f>
        <v>1.4</v>
      </c>
      <c r="M13" s="34" t="n">
        <f aca="false">IF(NOT(ISNUMBER($G13)),"",IF(J13=0,4,MAX(MATCH(L13,'Residual Config'!$E$11:$E$14,1),IF(K13&gt;0,'Residual Config'!$C$7,1))))</f>
        <v>1</v>
      </c>
      <c r="N13" s="7" t="str">
        <f aca="false">IF(NOT(ISNUMBER($G13)),"",IF(J13=0,"Ineffective (no key control)",INDEX('Residual Config'!$B$11:$B$14,M13)))</f>
        <v>Effective</v>
      </c>
      <c r="O13" s="36" t="n">
        <f aca="false">IF(NOT(ISNUMBER($G13)),"",IF(J13=0,0,SUMPRODUCT(('Control Mapping'!$C$5:$C$83=D13)*'Control Mapping'!$E$5:$E$83*(('Control Mapping'!$G$5:$G$83=1)*'Residual Config'!$D$11+('Control Mapping'!$G$5:$G$83=2)*'Residual Config'!$D$12+('Control Mapping'!$G$5:$G$83=3)*'Residual Config'!$D$13+('Control Mapping'!$G$5:$G$83=4)*'Residual Config'!$D$14))/SUMPRODUCT(('Control Mapping'!$C$5:$C$83=D13)*'Control Mapping'!$E$5:$E$83*('Control Mapping'!$G$5:$G$83&gt;0))))</f>
        <v>0.52</v>
      </c>
      <c r="P13" s="31" t="n">
        <f aca="false">IF(NOT(ISNUMBER($G13)),"",INDEX('Residual Config'!$B$19:$E$23,6-G13,M13))</f>
        <v>1</v>
      </c>
      <c r="Q13" s="29" t="n">
        <f aca="false">IF(NOT(ISNUMBER($G13)),"",MAX(1,F13*(1-O13)))</f>
        <v>1.44</v>
      </c>
      <c r="R13" s="31" t="n">
        <f aca="false">IF(NOT(ISNUMBER($G13)),"",MAX(MATCH(Q13,Config!$D$5:$D$9,1),G13-'Residual Config'!$C$6))</f>
        <v>1</v>
      </c>
      <c r="S13" s="34" t="n">
        <f aca="false">IF(NOT(ISNUMBER($G13)),"",IF('Residual Config'!$C$5="Numeric",R13,P13))</f>
        <v>1</v>
      </c>
      <c r="T13" s="7" t="str">
        <f aca="false">IF(G13="N/A","N/A",IF(S13="","No data",INDEX(Config!$B$5:$B$9,S13)))</f>
        <v>Low</v>
      </c>
      <c r="U13" s="32" t="n">
        <v>0</v>
      </c>
      <c r="V13" s="8"/>
      <c r="W13" s="33"/>
      <c r="X13" s="34" t="n">
        <f aca="false">IF(S13="","",IF(AND(W13="Y",U13&lt;&gt;0),MAX(1,MIN(5,S13+MAX(-Config!$C$27,MIN(Config!$C$27,U13)))),S13))</f>
        <v>1</v>
      </c>
      <c r="Y13" s="35" t="str">
        <f aca="false">IF(G13="N/A","N/A",IF(X13="","No data",INDEX(Config!$B$5:$B$9,X13)))</f>
        <v>Low</v>
      </c>
      <c r="Z13" s="7" t="str">
        <f aca="false">IF(U13=0,"None",IF(W13="Y","Applied","Pending HO approval"))</f>
        <v>None</v>
      </c>
      <c r="AA13" s="12" t="str">
        <f aca="false">INDEX('Risk Taxonomy'!$G$5:$G$24,MATCH(D13,'Risk Taxonomy'!$A$5:$A$24,0))</f>
        <v>Low</v>
      </c>
      <c r="AB13" s="7" t="str">
        <f aca="false">INDEX('Risk Taxonomy'!$H$5:$H$24,MATCH(D13,'Risk Taxonomy'!$A$5:$A$24,0))</f>
        <v>Medium</v>
      </c>
      <c r="AC13" s="35" t="str">
        <f aca="false">IF(NOT(ISNUMBER(X13)),"",IF(X13&lt;=MATCH(AB13,Config!$B$5:$B$9,0),"Within",IF(OR(X13-MATCH(AB13,Config!$B$5:$B$9,0)&gt;=2,AND('Residual Config'!$C$8="Y",ISNUMBER(SEARCH("Zero",AA13)))),"Red","Amber")))</f>
        <v>Within</v>
      </c>
      <c r="AD13" s="12" t="str">
        <f aca="false">IF(AC13="Red","Group CCO / CRO and Country CEO within 2 business days; action plan in 15 days; report to Board Risk &amp; Compliance Committee",IF(AC13="Amber","Country CO, risk owner and HO Administrator within 5 business days; action plan in 30 days",""))</f>
        <v/>
      </c>
    </row>
    <row r="14" customFormat="false" ht="15" hidden="false" customHeight="false" outlineLevel="0" collapsed="false">
      <c r="A14" s="26" t="str">
        <f aca="false">Entities!$A$5</f>
        <v>JO-HO</v>
      </c>
      <c r="B14" s="12" t="str">
        <f aca="false">INDEX(Entities!$B$5:$B$34,MATCH(A14,Entities!$A$5:$A$34,0))</f>
        <v>Arab Bank plc – Jordan (HO and domestic network)</v>
      </c>
      <c r="C14" s="12" t="str">
        <f aca="false">INDEX(Entities!$D$5:$D$34,MATCH(A14,Entities!$A$5:$A$34,0))</f>
        <v>Jordan (home)</v>
      </c>
      <c r="D14" s="12" t="s">
        <v>290</v>
      </c>
      <c r="E14" s="12" t="str">
        <f aca="false">INDEX('Risk Taxonomy'!$B$5:$B$24,MATCH(D14,'Risk Taxonomy'!$A$5:$A$24,0))</f>
        <v>Data protection and privacy</v>
      </c>
      <c r="F14" s="29" t="n">
        <f aca="false">IF(NOT(ISNUMBER(G14)),"",G14)</f>
        <v>3</v>
      </c>
      <c r="G14" s="34" t="n">
        <f aca="false">IF(COUNTIFS('LxI Assessment'!$A$5:$A$394,A14,'LxI Assessment'!$D$5:$D$394,D14,'LxI Assessment'!$F$5:$F$394,"N/A")&gt;0,"N/A",IF(COUNTIFS('LxI Assessment'!$A$5:$A$394,A14,'LxI Assessment'!$D$5:$D$394,D14,'LxI Assessment'!$S$5:$S$394,"&gt;0")=0,"",SUMIFS('LxI Assessment'!$S$5:$S$394,'LxI Assessment'!$A$5:$A$394,A14,'LxI Assessment'!$D$5:$D$394,D14)))</f>
        <v>3</v>
      </c>
      <c r="H14" s="7" t="str">
        <f aca="false">IF(G14="N/A","N/A",IF(G14="","No data",INDEX(Config!$B$5:$B$9,G14)))</f>
        <v>Medium</v>
      </c>
      <c r="I14" s="31" t="n">
        <f aca="false">IF(NOT(ISNUMBER($G14)),"",SUMPRODUCT(('Control Mapping'!$C$5:$C$83=D14)*('Control Mapping'!$G$5:$G$83&gt;0)))</f>
        <v>2</v>
      </c>
      <c r="J14" s="31" t="n">
        <f aca="false">IF(NOT(ISNUMBER($G14)),"",SUMPRODUCT(('Control Mapping'!$C$5:$C$83=D14)*('Control Mapping'!$F$5:$F$83="Y")*('Control Mapping'!$G$5:$G$83&gt;0)))</f>
        <v>2</v>
      </c>
      <c r="K14" s="31" t="n">
        <f aca="false">IF(NOT(ISNUMBER($G14)),"",SUMPRODUCT(('Control Mapping'!$C$5:$C$83=D14)*('Control Mapping'!$F$5:$F$83="Y")*('Control Mapping'!$G$5:$G$83=4)))</f>
        <v>0</v>
      </c>
      <c r="L14" s="29" t="n">
        <f aca="false">IF(NOT(ISNUMBER($G14)),"",IFERROR(SUMPRODUCT(('Control Mapping'!$C$5:$C$83=D14)*'Control Mapping'!$E$5:$E$83*'Control Mapping'!$G$5:$G$83)/SUMPRODUCT(('Control Mapping'!$C$5:$C$83=D14)*'Control Mapping'!$E$5:$E$83*('Control Mapping'!$G$5:$G$83&gt;0)),""))</f>
        <v>2</v>
      </c>
      <c r="M14" s="34" t="n">
        <f aca="false">IF(NOT(ISNUMBER($G14)),"",IF(J14=0,4,MAX(MATCH(L14,'Residual Config'!$E$11:$E$14,1),IF(K14&gt;0,'Residual Config'!$C$7,1))))</f>
        <v>2</v>
      </c>
      <c r="N14" s="7" t="str">
        <f aca="false">IF(NOT(ISNUMBER($G14)),"",IF(J14=0,"Ineffective (no key control)",INDEX('Residual Config'!$B$11:$B$14,M14)))</f>
        <v>Largely effective</v>
      </c>
      <c r="O14" s="36" t="n">
        <f aca="false">IF(NOT(ISNUMBER($G14)),"",IF(J14=0,0,SUMPRODUCT(('Control Mapping'!$C$5:$C$83=D14)*'Control Mapping'!$E$5:$E$83*(('Control Mapping'!$G$5:$G$83=1)*'Residual Config'!$D$11+('Control Mapping'!$G$5:$G$83=2)*'Residual Config'!$D$12+('Control Mapping'!$G$5:$G$83=3)*'Residual Config'!$D$13+('Control Mapping'!$G$5:$G$83=4)*'Residual Config'!$D$14))/SUMPRODUCT(('Control Mapping'!$C$5:$C$83=D14)*'Control Mapping'!$E$5:$E$83*('Control Mapping'!$G$5:$G$83&gt;0))))</f>
        <v>0.4</v>
      </c>
      <c r="P14" s="31" t="n">
        <f aca="false">IF(NOT(ISNUMBER($G14)),"",INDEX('Residual Config'!$B$19:$E$23,6-G14,M14))</f>
        <v>2</v>
      </c>
      <c r="Q14" s="29" t="n">
        <f aca="false">IF(NOT(ISNUMBER($G14)),"",MAX(1,F14*(1-O14)))</f>
        <v>1.8</v>
      </c>
      <c r="R14" s="31" t="n">
        <f aca="false">IF(NOT(ISNUMBER($G14)),"",MAX(MATCH(Q14,Config!$D$5:$D$9,1),G14-'Residual Config'!$C$6))</f>
        <v>1</v>
      </c>
      <c r="S14" s="34" t="n">
        <f aca="false">IF(NOT(ISNUMBER($G14)),"",IF('Residual Config'!$C$5="Numeric",R14,P14))</f>
        <v>2</v>
      </c>
      <c r="T14" s="7" t="str">
        <f aca="false">IF(G14="N/A","N/A",IF(S14="","No data",INDEX(Config!$B$5:$B$9,S14)))</f>
        <v>Medium-Low</v>
      </c>
      <c r="U14" s="32" t="n">
        <v>0</v>
      </c>
      <c r="V14" s="8"/>
      <c r="W14" s="33"/>
      <c r="X14" s="34" t="n">
        <f aca="false">IF(S14="","",IF(AND(W14="Y",U14&lt;&gt;0),MAX(1,MIN(5,S14+MAX(-Config!$C$27,MIN(Config!$C$27,U14)))),S14))</f>
        <v>2</v>
      </c>
      <c r="Y14" s="35" t="str">
        <f aca="false">IF(G14="N/A","N/A",IF(X14="","No data",INDEX(Config!$B$5:$B$9,X14)))</f>
        <v>Medium-Low</v>
      </c>
      <c r="Z14" s="7" t="str">
        <f aca="false">IF(U14=0,"None",IF(W14="Y","Applied","Pending HO approval"))</f>
        <v>None</v>
      </c>
      <c r="AA14" s="12" t="str">
        <f aca="false">INDEX('Risk Taxonomy'!$G$5:$G$24,MATCH(D14,'Risk Taxonomy'!$A$5:$A$24,0))</f>
        <v>Very low</v>
      </c>
      <c r="AB14" s="7" t="str">
        <f aca="false">INDEX('Risk Taxonomy'!$H$5:$H$24,MATCH(D14,'Risk Taxonomy'!$A$5:$A$24,0))</f>
        <v>Medium-Low</v>
      </c>
      <c r="AC14" s="35" t="str">
        <f aca="false">IF(NOT(ISNUMBER(X14)),"",IF(X14&lt;=MATCH(AB14,Config!$B$5:$B$9,0),"Within",IF(OR(X14-MATCH(AB14,Config!$B$5:$B$9,0)&gt;=2,AND('Residual Config'!$C$8="Y",ISNUMBER(SEARCH("Zero",AA14)))),"Red","Amber")))</f>
        <v>Within</v>
      </c>
      <c r="AD14" s="12" t="str">
        <f aca="false">IF(AC14="Red","Group CCO / CRO and Country CEO within 2 business days; action plan in 15 days; report to Board Risk &amp; Compliance Committee",IF(AC14="Amber","Country CO, risk owner and HO Administrator within 5 business days; action plan in 30 days",""))</f>
        <v/>
      </c>
    </row>
    <row r="15" customFormat="false" ht="15" hidden="false" customHeight="false" outlineLevel="0" collapsed="false">
      <c r="A15" s="26" t="str">
        <f aca="false">Entities!$A$5</f>
        <v>JO-HO</v>
      </c>
      <c r="B15" s="12" t="str">
        <f aca="false">INDEX(Entities!$B$5:$B$34,MATCH(A15,Entities!$A$5:$A$34,0))</f>
        <v>Arab Bank plc – Jordan (HO and domestic network)</v>
      </c>
      <c r="C15" s="12" t="str">
        <f aca="false">INDEX(Entities!$D$5:$D$34,MATCH(A15,Entities!$A$5:$A$34,0))</f>
        <v>Jordan (home)</v>
      </c>
      <c r="D15" s="12" t="s">
        <v>293</v>
      </c>
      <c r="E15" s="12" t="str">
        <f aca="false">INDEX('Risk Taxonomy'!$B$5:$B$24,MATCH(D15,'Risk Taxonomy'!$A$5:$A$24,0))</f>
        <v>Shariah non-compliance</v>
      </c>
      <c r="F15" s="29" t="str">
        <f aca="false">IF(NOT(ISNUMBER(G15)),"",G15)</f>
        <v/>
      </c>
      <c r="G15" s="34" t="str">
        <f aca="false">IF(COUNTIFS('LxI Assessment'!$A$5:$A$394,A15,'LxI Assessment'!$D$5:$D$394,D15,'LxI Assessment'!$F$5:$F$394,"N/A")&gt;0,"N/A",IF(COUNTIFS('LxI Assessment'!$A$5:$A$394,A15,'LxI Assessment'!$D$5:$D$394,D15,'LxI Assessment'!$S$5:$S$394,"&gt;0")=0,"",SUMIFS('LxI Assessment'!$S$5:$S$394,'LxI Assessment'!$A$5:$A$394,A15,'LxI Assessment'!$D$5:$D$394,D15)))</f>
        <v>N/A</v>
      </c>
      <c r="H15" s="7" t="str">
        <f aca="false">IF(G15="N/A","N/A",IF(G15="","No data",INDEX(Config!$B$5:$B$9,G15)))</f>
        <v>N/A</v>
      </c>
      <c r="I15" s="31" t="str">
        <f aca="false">IF(NOT(ISNUMBER($G15)),"",SUMPRODUCT(('Control Mapping'!$C$5:$C$83=D15)*('Control Mapping'!$G$5:$G$83&gt;0)))</f>
        <v/>
      </c>
      <c r="J15" s="31" t="str">
        <f aca="false">IF(NOT(ISNUMBER($G15)),"",SUMPRODUCT(('Control Mapping'!$C$5:$C$83=D15)*('Control Mapping'!$F$5:$F$83="Y")*('Control Mapping'!$G$5:$G$83&gt;0)))</f>
        <v/>
      </c>
      <c r="K15" s="31" t="str">
        <f aca="false">IF(NOT(ISNUMBER($G15)),"",SUMPRODUCT(('Control Mapping'!$C$5:$C$83=D15)*('Control Mapping'!$F$5:$F$83="Y")*('Control Mapping'!$G$5:$G$83=4)))</f>
        <v/>
      </c>
      <c r="L15" s="29" t="str">
        <f aca="false">IF(NOT(ISNUMBER($G15)),"",IFERROR(SUMPRODUCT(('Control Mapping'!$C$5:$C$83=D15)*'Control Mapping'!$E$5:$E$83*'Control Mapping'!$G$5:$G$83)/SUMPRODUCT(('Control Mapping'!$C$5:$C$83=D15)*'Control Mapping'!$E$5:$E$83*('Control Mapping'!$G$5:$G$83&gt;0)),""))</f>
        <v/>
      </c>
      <c r="M15" s="34" t="str">
        <f aca="false">IF(NOT(ISNUMBER($G15)),"",IF(J15=0,4,MAX(MATCH(L15,'Residual Config'!$E$11:$E$14,1),IF(K15&gt;0,'Residual Config'!$C$7,1))))</f>
        <v/>
      </c>
      <c r="N15" s="7" t="str">
        <f aca="false">IF(NOT(ISNUMBER($G15)),"",IF(J15=0,"Ineffective (no key control)",INDEX('Residual Config'!$B$11:$B$14,M15)))</f>
        <v/>
      </c>
      <c r="O15" s="36" t="str">
        <f aca="false">IF(NOT(ISNUMBER($G15)),"",IF(J15=0,0,SUMPRODUCT(('Control Mapping'!$C$5:$C$83=D15)*'Control Mapping'!$E$5:$E$83*(('Control Mapping'!$G$5:$G$83=1)*'Residual Config'!$D$11+('Control Mapping'!$G$5:$G$83=2)*'Residual Config'!$D$12+('Control Mapping'!$G$5:$G$83=3)*'Residual Config'!$D$13+('Control Mapping'!$G$5:$G$83=4)*'Residual Config'!$D$14))/SUMPRODUCT(('Control Mapping'!$C$5:$C$83=D15)*'Control Mapping'!$E$5:$E$83*('Control Mapping'!$G$5:$G$83&gt;0))))</f>
        <v/>
      </c>
      <c r="P15" s="31" t="str">
        <f aca="false">IF(NOT(ISNUMBER($G15)),"",INDEX('Residual Config'!$B$19:$E$23,6-G15,M15))</f>
        <v/>
      </c>
      <c r="Q15" s="29" t="str">
        <f aca="false">IF(NOT(ISNUMBER($G15)),"",MAX(1,F15*(1-O15)))</f>
        <v/>
      </c>
      <c r="R15" s="31" t="str">
        <f aca="false">IF(NOT(ISNUMBER($G15)),"",MAX(MATCH(Q15,Config!$D$5:$D$9,1),G15-'Residual Config'!$C$6))</f>
        <v/>
      </c>
      <c r="S15" s="34" t="str">
        <f aca="false">IF(NOT(ISNUMBER($G15)),"",IF('Residual Config'!$C$5="Numeric",R15,P15))</f>
        <v/>
      </c>
      <c r="T15" s="7" t="str">
        <f aca="false">IF(G15="N/A","N/A",IF(S15="","No data",INDEX(Config!$B$5:$B$9,S15)))</f>
        <v>N/A</v>
      </c>
      <c r="U15" s="32" t="n">
        <v>0</v>
      </c>
      <c r="V15" s="8"/>
      <c r="W15" s="33"/>
      <c r="X15" s="34" t="str">
        <f aca="false">IF(S15="","",IF(AND(W15="Y",U15&lt;&gt;0),MAX(1,MIN(5,S15+MAX(-Config!$C$27,MIN(Config!$C$27,U15)))),S15))</f>
        <v/>
      </c>
      <c r="Y15" s="35" t="str">
        <f aca="false">IF(G15="N/A","N/A",IF(X15="","No data",INDEX(Config!$B$5:$B$9,X15)))</f>
        <v>N/A</v>
      </c>
      <c r="Z15" s="7" t="str">
        <f aca="false">IF(U15=0,"None",IF(W15="Y","Applied","Pending HO approval"))</f>
        <v>None</v>
      </c>
      <c r="AA15" s="12" t="str">
        <f aca="false">INDEX('Risk Taxonomy'!$G$5:$G$24,MATCH(D15,'Risk Taxonomy'!$A$5:$A$24,0))</f>
        <v>Very low</v>
      </c>
      <c r="AB15" s="7" t="str">
        <f aca="false">INDEX('Risk Taxonomy'!$H$5:$H$24,MATCH(D15,'Risk Taxonomy'!$A$5:$A$24,0))</f>
        <v>Medium-Low</v>
      </c>
      <c r="AC15" s="35" t="str">
        <f aca="false">IF(NOT(ISNUMBER(X15)),"",IF(X15&lt;=MATCH(AB15,Config!$B$5:$B$9,0),"Within",IF(OR(X15-MATCH(AB15,Config!$B$5:$B$9,0)&gt;=2,AND('Residual Config'!$C$8="Y",ISNUMBER(SEARCH("Zero",AA15)))),"Red","Amber")))</f>
        <v/>
      </c>
      <c r="AD15" s="12" t="str">
        <f aca="false">IF(AC15="Red","Group CCO / CRO and Country CEO within 2 business days; action plan in 15 days; report to Board Risk &amp; Compliance Committee",IF(AC15="Amber","Country CO, risk owner and HO Administrator within 5 business days; action plan in 30 days",""))</f>
        <v/>
      </c>
    </row>
    <row r="16" customFormat="false" ht="15" hidden="false" customHeight="false" outlineLevel="0" collapsed="false">
      <c r="A16" s="26" t="str">
        <f aca="false">Entities!$A$5</f>
        <v>JO-HO</v>
      </c>
      <c r="B16" s="12" t="str">
        <f aca="false">INDEX(Entities!$B$5:$B$34,MATCH(A16,Entities!$A$5:$A$34,0))</f>
        <v>Arab Bank plc – Jordan (HO and domestic network)</v>
      </c>
      <c r="C16" s="12" t="str">
        <f aca="false">INDEX(Entities!$D$5:$D$34,MATCH(A16,Entities!$A$5:$A$34,0))</f>
        <v>Jordan (home)</v>
      </c>
      <c r="D16" s="12" t="s">
        <v>297</v>
      </c>
      <c r="E16" s="12" t="str">
        <f aca="false">INDEX('Risk Taxonomy'!$B$5:$B$24,MATCH(D16,'Risk Taxonomy'!$A$5:$A$24,0))</f>
        <v>Credit risk</v>
      </c>
      <c r="F16" s="29" t="n">
        <f aca="false">IF(NOT(ISNUMBER(G16)),"",G16)</f>
        <v>3</v>
      </c>
      <c r="G16" s="34" t="n">
        <f aca="false">IF(COUNTIFS('LxI Assessment'!$A$5:$A$394,A16,'LxI Assessment'!$D$5:$D$394,D16,'LxI Assessment'!$F$5:$F$394,"N/A")&gt;0,"N/A",IF(COUNTIFS('LxI Assessment'!$A$5:$A$394,A16,'LxI Assessment'!$D$5:$D$394,D16,'LxI Assessment'!$S$5:$S$394,"&gt;0")=0,"",SUMIFS('LxI Assessment'!$S$5:$S$394,'LxI Assessment'!$A$5:$A$394,A16,'LxI Assessment'!$D$5:$D$394,D16)))</f>
        <v>3</v>
      </c>
      <c r="H16" s="7" t="str">
        <f aca="false">IF(G16="N/A","N/A",IF(G16="","No data",INDEX(Config!$B$5:$B$9,G16)))</f>
        <v>Medium</v>
      </c>
      <c r="I16" s="31" t="n">
        <f aca="false">IF(NOT(ISNUMBER($G16)),"",SUMPRODUCT(('Control Mapping'!$C$5:$C$83=D16)*('Control Mapping'!$G$5:$G$83&gt;0)))</f>
        <v>2</v>
      </c>
      <c r="J16" s="31" t="n">
        <f aca="false">IF(NOT(ISNUMBER($G16)),"",SUMPRODUCT(('Control Mapping'!$C$5:$C$83=D16)*('Control Mapping'!$F$5:$F$83="Y")*('Control Mapping'!$G$5:$G$83&gt;0)))</f>
        <v>1</v>
      </c>
      <c r="K16" s="31" t="n">
        <f aca="false">IF(NOT(ISNUMBER($G16)),"",SUMPRODUCT(('Control Mapping'!$C$5:$C$83=D16)*('Control Mapping'!$F$5:$F$83="Y")*('Control Mapping'!$G$5:$G$83=4)))</f>
        <v>0</v>
      </c>
      <c r="L16" s="29" t="n">
        <f aca="false">IF(NOT(ISNUMBER($G16)),"",IFERROR(SUMPRODUCT(('Control Mapping'!$C$5:$C$83=D16)*'Control Mapping'!$E$5:$E$83*'Control Mapping'!$G$5:$G$83)/SUMPRODUCT(('Control Mapping'!$C$5:$C$83=D16)*'Control Mapping'!$E$5:$E$83*('Control Mapping'!$G$5:$G$83&gt;0)),""))</f>
        <v>1.4</v>
      </c>
      <c r="M16" s="34" t="n">
        <f aca="false">IF(NOT(ISNUMBER($G16)),"",IF(J16=0,4,MAX(MATCH(L16,'Residual Config'!$E$11:$E$14,1),IF(K16&gt;0,'Residual Config'!$C$7,1))))</f>
        <v>1</v>
      </c>
      <c r="N16" s="7" t="str">
        <f aca="false">IF(NOT(ISNUMBER($G16)),"",IF(J16=0,"Ineffective (no key control)",INDEX('Residual Config'!$B$11:$B$14,M16)))</f>
        <v>Effective</v>
      </c>
      <c r="O16" s="36" t="n">
        <f aca="false">IF(NOT(ISNUMBER($G16)),"",IF(J16=0,0,SUMPRODUCT(('Control Mapping'!$C$5:$C$83=D16)*'Control Mapping'!$E$5:$E$83*(('Control Mapping'!$G$5:$G$83=1)*'Residual Config'!$D$11+('Control Mapping'!$G$5:$G$83=2)*'Residual Config'!$D$12+('Control Mapping'!$G$5:$G$83=3)*'Residual Config'!$D$13+('Control Mapping'!$G$5:$G$83=4)*'Residual Config'!$D$14))/SUMPRODUCT(('Control Mapping'!$C$5:$C$83=D16)*'Control Mapping'!$E$5:$E$83*('Control Mapping'!$G$5:$G$83&gt;0))))</f>
        <v>0.52</v>
      </c>
      <c r="P16" s="31" t="n">
        <f aca="false">IF(NOT(ISNUMBER($G16)),"",INDEX('Residual Config'!$B$19:$E$23,6-G16,M16))</f>
        <v>1</v>
      </c>
      <c r="Q16" s="29" t="n">
        <f aca="false">IF(NOT(ISNUMBER($G16)),"",MAX(1,F16*(1-O16)))</f>
        <v>1.44</v>
      </c>
      <c r="R16" s="31" t="n">
        <f aca="false">IF(NOT(ISNUMBER($G16)),"",MAX(MATCH(Q16,Config!$D$5:$D$9,1),G16-'Residual Config'!$C$6))</f>
        <v>1</v>
      </c>
      <c r="S16" s="34" t="n">
        <f aca="false">IF(NOT(ISNUMBER($G16)),"",IF('Residual Config'!$C$5="Numeric",R16,P16))</f>
        <v>1</v>
      </c>
      <c r="T16" s="7" t="str">
        <f aca="false">IF(G16="N/A","N/A",IF(S16="","No data",INDEX(Config!$B$5:$B$9,S16)))</f>
        <v>Low</v>
      </c>
      <c r="U16" s="32" t="n">
        <v>0</v>
      </c>
      <c r="V16" s="8"/>
      <c r="W16" s="33"/>
      <c r="X16" s="34" t="n">
        <f aca="false">IF(S16="","",IF(AND(W16="Y",U16&lt;&gt;0),MAX(1,MIN(5,S16+MAX(-Config!$C$27,MIN(Config!$C$27,U16)))),S16))</f>
        <v>1</v>
      </c>
      <c r="Y16" s="35" t="str">
        <f aca="false">IF(G16="N/A","N/A",IF(X16="","No data",INDEX(Config!$B$5:$B$9,X16)))</f>
        <v>Low</v>
      </c>
      <c r="Z16" s="7" t="str">
        <f aca="false">IF(U16=0,"None",IF(W16="Y","Applied","Pending HO approval"))</f>
        <v>None</v>
      </c>
      <c r="AA16" s="12" t="str">
        <f aca="false">INDEX('Risk Taxonomy'!$G$5:$G$24,MATCH(D16,'Risk Taxonomy'!$A$5:$A$24,0))</f>
        <v>Moderate</v>
      </c>
      <c r="AB16" s="7" t="str">
        <f aca="false">INDEX('Risk Taxonomy'!$H$5:$H$24,MATCH(D16,'Risk Taxonomy'!$A$5:$A$24,0))</f>
        <v>Medium-High</v>
      </c>
      <c r="AC16" s="35" t="str">
        <f aca="false">IF(NOT(ISNUMBER(X16)),"",IF(X16&lt;=MATCH(AB16,Config!$B$5:$B$9,0),"Within",IF(OR(X16-MATCH(AB16,Config!$B$5:$B$9,0)&gt;=2,AND('Residual Config'!$C$8="Y",ISNUMBER(SEARCH("Zero",AA16)))),"Red","Amber")))</f>
        <v>Within</v>
      </c>
      <c r="AD16" s="12" t="str">
        <f aca="false">IF(AC16="Red","Group CCO / CRO and Country CEO within 2 business days; action plan in 15 days; report to Board Risk &amp; Compliance Committee",IF(AC16="Amber","Country CO, risk owner and HO Administrator within 5 business days; action plan in 30 days",""))</f>
        <v/>
      </c>
    </row>
    <row r="17" customFormat="false" ht="15" hidden="false" customHeight="false" outlineLevel="0" collapsed="false">
      <c r="A17" s="26" t="str">
        <f aca="false">Entities!$A$5</f>
        <v>JO-HO</v>
      </c>
      <c r="B17" s="12" t="str">
        <f aca="false">INDEX(Entities!$B$5:$B$34,MATCH(A17,Entities!$A$5:$A$34,0))</f>
        <v>Arab Bank plc – Jordan (HO and domestic network)</v>
      </c>
      <c r="C17" s="12" t="str">
        <f aca="false">INDEX(Entities!$D$5:$D$34,MATCH(A17,Entities!$A$5:$A$34,0))</f>
        <v>Jordan (home)</v>
      </c>
      <c r="D17" s="12" t="s">
        <v>302</v>
      </c>
      <c r="E17" s="12" t="str">
        <f aca="false">INDEX('Risk Taxonomy'!$B$5:$B$24,MATCH(D17,'Risk Taxonomy'!$A$5:$A$24,0))</f>
        <v>Market risk</v>
      </c>
      <c r="F17" s="29" t="n">
        <f aca="false">IF(NOT(ISNUMBER(G17)),"",G17)</f>
        <v>3</v>
      </c>
      <c r="G17" s="34" t="n">
        <f aca="false">IF(COUNTIFS('LxI Assessment'!$A$5:$A$394,A17,'LxI Assessment'!$D$5:$D$394,D17,'LxI Assessment'!$F$5:$F$394,"N/A")&gt;0,"N/A",IF(COUNTIFS('LxI Assessment'!$A$5:$A$394,A17,'LxI Assessment'!$D$5:$D$394,D17,'LxI Assessment'!$S$5:$S$394,"&gt;0")=0,"",SUMIFS('LxI Assessment'!$S$5:$S$394,'LxI Assessment'!$A$5:$A$394,A17,'LxI Assessment'!$D$5:$D$394,D17)))</f>
        <v>3</v>
      </c>
      <c r="H17" s="7" t="str">
        <f aca="false">IF(G17="N/A","N/A",IF(G17="","No data",INDEX(Config!$B$5:$B$9,G17)))</f>
        <v>Medium</v>
      </c>
      <c r="I17" s="31" t="n">
        <f aca="false">IF(NOT(ISNUMBER($G17)),"",SUMPRODUCT(('Control Mapping'!$C$5:$C$83=D17)*('Control Mapping'!$G$5:$G$83&gt;0)))</f>
        <v>1</v>
      </c>
      <c r="J17" s="31" t="n">
        <f aca="false">IF(NOT(ISNUMBER($G17)),"",SUMPRODUCT(('Control Mapping'!$C$5:$C$83=D17)*('Control Mapping'!$F$5:$F$83="Y")*('Control Mapping'!$G$5:$G$83&gt;0)))</f>
        <v>1</v>
      </c>
      <c r="K17" s="31" t="n">
        <f aca="false">IF(NOT(ISNUMBER($G17)),"",SUMPRODUCT(('Control Mapping'!$C$5:$C$83=D17)*('Control Mapping'!$F$5:$F$83="Y")*('Control Mapping'!$G$5:$G$83=4)))</f>
        <v>0</v>
      </c>
      <c r="L17" s="29" t="n">
        <f aca="false">IF(NOT(ISNUMBER($G17)),"",IFERROR(SUMPRODUCT(('Control Mapping'!$C$5:$C$83=D17)*'Control Mapping'!$E$5:$E$83*'Control Mapping'!$G$5:$G$83)/SUMPRODUCT(('Control Mapping'!$C$5:$C$83=D17)*'Control Mapping'!$E$5:$E$83*('Control Mapping'!$G$5:$G$83&gt;0)),""))</f>
        <v>2</v>
      </c>
      <c r="M17" s="34" t="n">
        <f aca="false">IF(NOT(ISNUMBER($G17)),"",IF(J17=0,4,MAX(MATCH(L17,'Residual Config'!$E$11:$E$14,1),IF(K17&gt;0,'Residual Config'!$C$7,1))))</f>
        <v>2</v>
      </c>
      <c r="N17" s="7" t="str">
        <f aca="false">IF(NOT(ISNUMBER($G17)),"",IF(J17=0,"Ineffective (no key control)",INDEX('Residual Config'!$B$11:$B$14,M17)))</f>
        <v>Largely effective</v>
      </c>
      <c r="O17" s="36" t="n">
        <f aca="false">IF(NOT(ISNUMBER($G17)),"",IF(J17=0,0,SUMPRODUCT(('Control Mapping'!$C$5:$C$83=D17)*'Control Mapping'!$E$5:$E$83*(('Control Mapping'!$G$5:$G$83=1)*'Residual Config'!$D$11+('Control Mapping'!$G$5:$G$83=2)*'Residual Config'!$D$12+('Control Mapping'!$G$5:$G$83=3)*'Residual Config'!$D$13+('Control Mapping'!$G$5:$G$83=4)*'Residual Config'!$D$14))/SUMPRODUCT(('Control Mapping'!$C$5:$C$83=D17)*'Control Mapping'!$E$5:$E$83*('Control Mapping'!$G$5:$G$83&gt;0))))</f>
        <v>0.4</v>
      </c>
      <c r="P17" s="31" t="n">
        <f aca="false">IF(NOT(ISNUMBER($G17)),"",INDEX('Residual Config'!$B$19:$E$23,6-G17,M17))</f>
        <v>2</v>
      </c>
      <c r="Q17" s="29" t="n">
        <f aca="false">IF(NOT(ISNUMBER($G17)),"",MAX(1,F17*(1-O17)))</f>
        <v>1.8</v>
      </c>
      <c r="R17" s="31" t="n">
        <f aca="false">IF(NOT(ISNUMBER($G17)),"",MAX(MATCH(Q17,Config!$D$5:$D$9,1),G17-'Residual Config'!$C$6))</f>
        <v>1</v>
      </c>
      <c r="S17" s="34" t="n">
        <f aca="false">IF(NOT(ISNUMBER($G17)),"",IF('Residual Config'!$C$5="Numeric",R17,P17))</f>
        <v>2</v>
      </c>
      <c r="T17" s="7" t="str">
        <f aca="false">IF(G17="N/A","N/A",IF(S17="","No data",INDEX(Config!$B$5:$B$9,S17)))</f>
        <v>Medium-Low</v>
      </c>
      <c r="U17" s="32" t="n">
        <v>0</v>
      </c>
      <c r="V17" s="8"/>
      <c r="W17" s="33"/>
      <c r="X17" s="34" t="n">
        <f aca="false">IF(S17="","",IF(AND(W17="Y",U17&lt;&gt;0),MAX(1,MIN(5,S17+MAX(-Config!$C$27,MIN(Config!$C$27,U17)))),S17))</f>
        <v>2</v>
      </c>
      <c r="Y17" s="35" t="str">
        <f aca="false">IF(G17="N/A","N/A",IF(X17="","No data",INDEX(Config!$B$5:$B$9,X17)))</f>
        <v>Medium-Low</v>
      </c>
      <c r="Z17" s="7" t="str">
        <f aca="false">IF(U17=0,"None",IF(W17="Y","Applied","Pending HO approval"))</f>
        <v>None</v>
      </c>
      <c r="AA17" s="12" t="str">
        <f aca="false">INDEX('Risk Taxonomy'!$G$5:$G$24,MATCH(D17,'Risk Taxonomy'!$A$5:$A$24,0))</f>
        <v>Moderate</v>
      </c>
      <c r="AB17" s="7" t="str">
        <f aca="false">INDEX('Risk Taxonomy'!$H$5:$H$24,MATCH(D17,'Risk Taxonomy'!$A$5:$A$24,0))</f>
        <v>Medium-High</v>
      </c>
      <c r="AC17" s="35" t="str">
        <f aca="false">IF(NOT(ISNUMBER(X17)),"",IF(X17&lt;=MATCH(AB17,Config!$B$5:$B$9,0),"Within",IF(OR(X17-MATCH(AB17,Config!$B$5:$B$9,0)&gt;=2,AND('Residual Config'!$C$8="Y",ISNUMBER(SEARCH("Zero",AA17)))),"Red","Amber")))</f>
        <v>Within</v>
      </c>
      <c r="AD17" s="12" t="str">
        <f aca="false">IF(AC17="Red","Group CCO / CRO and Country CEO within 2 business days; action plan in 15 days; report to Board Risk &amp; Compliance Committee",IF(AC17="Amber","Country CO, risk owner and HO Administrator within 5 business days; action plan in 30 days",""))</f>
        <v/>
      </c>
    </row>
    <row r="18" customFormat="false" ht="15" hidden="false" customHeight="false" outlineLevel="0" collapsed="false">
      <c r="A18" s="26" t="str">
        <f aca="false">Entities!$A$5</f>
        <v>JO-HO</v>
      </c>
      <c r="B18" s="12" t="str">
        <f aca="false">INDEX(Entities!$B$5:$B$34,MATCH(A18,Entities!$A$5:$A$34,0))</f>
        <v>Arab Bank plc – Jordan (HO and domestic network)</v>
      </c>
      <c r="C18" s="12" t="str">
        <f aca="false">INDEX(Entities!$D$5:$D$34,MATCH(A18,Entities!$A$5:$A$34,0))</f>
        <v>Jordan (home)</v>
      </c>
      <c r="D18" s="12" t="s">
        <v>304</v>
      </c>
      <c r="E18" s="12" t="str">
        <f aca="false">INDEX('Risk Taxonomy'!$B$5:$B$24,MATCH(D18,'Risk Taxonomy'!$A$5:$A$24,0))</f>
        <v>Liquidity and funding risk</v>
      </c>
      <c r="F18" s="29" t="n">
        <f aca="false">IF(NOT(ISNUMBER(G18)),"",G18)</f>
        <v>3</v>
      </c>
      <c r="G18" s="34" t="n">
        <f aca="false">IF(COUNTIFS('LxI Assessment'!$A$5:$A$394,A18,'LxI Assessment'!$D$5:$D$394,D18,'LxI Assessment'!$F$5:$F$394,"N/A")&gt;0,"N/A",IF(COUNTIFS('LxI Assessment'!$A$5:$A$394,A18,'LxI Assessment'!$D$5:$D$394,D18,'LxI Assessment'!$S$5:$S$394,"&gt;0")=0,"",SUMIFS('LxI Assessment'!$S$5:$S$394,'LxI Assessment'!$A$5:$A$394,A18,'LxI Assessment'!$D$5:$D$394,D18)))</f>
        <v>3</v>
      </c>
      <c r="H18" s="7" t="str">
        <f aca="false">IF(G18="N/A","N/A",IF(G18="","No data",INDEX(Config!$B$5:$B$9,G18)))</f>
        <v>Medium</v>
      </c>
      <c r="I18" s="31" t="n">
        <f aca="false">IF(NOT(ISNUMBER($G18)),"",SUMPRODUCT(('Control Mapping'!$C$5:$C$83=D18)*('Control Mapping'!$G$5:$G$83&gt;0)))</f>
        <v>1</v>
      </c>
      <c r="J18" s="31" t="n">
        <f aca="false">IF(NOT(ISNUMBER($G18)),"",SUMPRODUCT(('Control Mapping'!$C$5:$C$83=D18)*('Control Mapping'!$F$5:$F$83="Y")*('Control Mapping'!$G$5:$G$83&gt;0)))</f>
        <v>1</v>
      </c>
      <c r="K18" s="31" t="n">
        <f aca="false">IF(NOT(ISNUMBER($G18)),"",SUMPRODUCT(('Control Mapping'!$C$5:$C$83=D18)*('Control Mapping'!$F$5:$F$83="Y")*('Control Mapping'!$G$5:$G$83=4)))</f>
        <v>0</v>
      </c>
      <c r="L18" s="29" t="n">
        <f aca="false">IF(NOT(ISNUMBER($G18)),"",IFERROR(SUMPRODUCT(('Control Mapping'!$C$5:$C$83=D18)*'Control Mapping'!$E$5:$E$83*'Control Mapping'!$G$5:$G$83)/SUMPRODUCT(('Control Mapping'!$C$5:$C$83=D18)*'Control Mapping'!$E$5:$E$83*('Control Mapping'!$G$5:$G$83&gt;0)),""))</f>
        <v>2</v>
      </c>
      <c r="M18" s="34" t="n">
        <f aca="false">IF(NOT(ISNUMBER($G18)),"",IF(J18=0,4,MAX(MATCH(L18,'Residual Config'!$E$11:$E$14,1),IF(K18&gt;0,'Residual Config'!$C$7,1))))</f>
        <v>2</v>
      </c>
      <c r="N18" s="7" t="str">
        <f aca="false">IF(NOT(ISNUMBER($G18)),"",IF(J18=0,"Ineffective (no key control)",INDEX('Residual Config'!$B$11:$B$14,M18)))</f>
        <v>Largely effective</v>
      </c>
      <c r="O18" s="36" t="n">
        <f aca="false">IF(NOT(ISNUMBER($G18)),"",IF(J18=0,0,SUMPRODUCT(('Control Mapping'!$C$5:$C$83=D18)*'Control Mapping'!$E$5:$E$83*(('Control Mapping'!$G$5:$G$83=1)*'Residual Config'!$D$11+('Control Mapping'!$G$5:$G$83=2)*'Residual Config'!$D$12+('Control Mapping'!$G$5:$G$83=3)*'Residual Config'!$D$13+('Control Mapping'!$G$5:$G$83=4)*'Residual Config'!$D$14))/SUMPRODUCT(('Control Mapping'!$C$5:$C$83=D18)*'Control Mapping'!$E$5:$E$83*('Control Mapping'!$G$5:$G$83&gt;0))))</f>
        <v>0.4</v>
      </c>
      <c r="P18" s="31" t="n">
        <f aca="false">IF(NOT(ISNUMBER($G18)),"",INDEX('Residual Config'!$B$19:$E$23,6-G18,M18))</f>
        <v>2</v>
      </c>
      <c r="Q18" s="29" t="n">
        <f aca="false">IF(NOT(ISNUMBER($G18)),"",MAX(1,F18*(1-O18)))</f>
        <v>1.8</v>
      </c>
      <c r="R18" s="31" t="n">
        <f aca="false">IF(NOT(ISNUMBER($G18)),"",MAX(MATCH(Q18,Config!$D$5:$D$9,1),G18-'Residual Config'!$C$6))</f>
        <v>1</v>
      </c>
      <c r="S18" s="34" t="n">
        <f aca="false">IF(NOT(ISNUMBER($G18)),"",IF('Residual Config'!$C$5="Numeric",R18,P18))</f>
        <v>2</v>
      </c>
      <c r="T18" s="7" t="str">
        <f aca="false">IF(G18="N/A","N/A",IF(S18="","No data",INDEX(Config!$B$5:$B$9,S18)))</f>
        <v>Medium-Low</v>
      </c>
      <c r="U18" s="32" t="n">
        <v>0</v>
      </c>
      <c r="V18" s="8"/>
      <c r="W18" s="33"/>
      <c r="X18" s="34" t="n">
        <f aca="false">IF(S18="","",IF(AND(W18="Y",U18&lt;&gt;0),MAX(1,MIN(5,S18+MAX(-Config!$C$27,MIN(Config!$C$27,U18)))),S18))</f>
        <v>2</v>
      </c>
      <c r="Y18" s="35" t="str">
        <f aca="false">IF(G18="N/A","N/A",IF(X18="","No data",INDEX(Config!$B$5:$B$9,X18)))</f>
        <v>Medium-Low</v>
      </c>
      <c r="Z18" s="7" t="str">
        <f aca="false">IF(U18=0,"None",IF(W18="Y","Applied","Pending HO approval"))</f>
        <v>None</v>
      </c>
      <c r="AA18" s="12" t="str">
        <f aca="false">INDEX('Risk Taxonomy'!$G$5:$G$24,MATCH(D18,'Risk Taxonomy'!$A$5:$A$24,0))</f>
        <v>Low</v>
      </c>
      <c r="AB18" s="7" t="str">
        <f aca="false">INDEX('Risk Taxonomy'!$H$5:$H$24,MATCH(D18,'Risk Taxonomy'!$A$5:$A$24,0))</f>
        <v>Medium</v>
      </c>
      <c r="AC18" s="35" t="str">
        <f aca="false">IF(NOT(ISNUMBER(X18)),"",IF(X18&lt;=MATCH(AB18,Config!$B$5:$B$9,0),"Within",IF(OR(X18-MATCH(AB18,Config!$B$5:$B$9,0)&gt;=2,AND('Residual Config'!$C$8="Y",ISNUMBER(SEARCH("Zero",AA18)))),"Red","Amber")))</f>
        <v>Within</v>
      </c>
      <c r="AD18" s="12" t="str">
        <f aca="false">IF(AC18="Red","Group CCO / CRO and Country CEO within 2 business days; action plan in 15 days; report to Board Risk &amp; Compliance Committee",IF(AC18="Amber","Country CO, risk owner and HO Administrator within 5 business days; action plan in 30 days",""))</f>
        <v/>
      </c>
    </row>
    <row r="19" customFormat="false" ht="15" hidden="false" customHeight="false" outlineLevel="0" collapsed="false">
      <c r="A19" s="26" t="str">
        <f aca="false">Entities!$A$5</f>
        <v>JO-HO</v>
      </c>
      <c r="B19" s="12" t="str">
        <f aca="false">INDEX(Entities!$B$5:$B$34,MATCH(A19,Entities!$A$5:$A$34,0))</f>
        <v>Arab Bank plc – Jordan (HO and domestic network)</v>
      </c>
      <c r="C19" s="12" t="str">
        <f aca="false">INDEX(Entities!$D$5:$D$34,MATCH(A19,Entities!$A$5:$A$34,0))</f>
        <v>Jordan (home)</v>
      </c>
      <c r="D19" s="12" t="s">
        <v>307</v>
      </c>
      <c r="E19" s="12" t="str">
        <f aca="false">INDEX('Risk Taxonomy'!$B$5:$B$24,MATCH(D19,'Risk Taxonomy'!$A$5:$A$24,0))</f>
        <v>Operational risk</v>
      </c>
      <c r="F19" s="29" t="n">
        <f aca="false">IF(NOT(ISNUMBER(G19)),"",G19)</f>
        <v>3</v>
      </c>
      <c r="G19" s="34" t="n">
        <f aca="false">IF(COUNTIFS('LxI Assessment'!$A$5:$A$394,A19,'LxI Assessment'!$D$5:$D$394,D19,'LxI Assessment'!$F$5:$F$394,"N/A")&gt;0,"N/A",IF(COUNTIFS('LxI Assessment'!$A$5:$A$394,A19,'LxI Assessment'!$D$5:$D$394,D19,'LxI Assessment'!$S$5:$S$394,"&gt;0")=0,"",SUMIFS('LxI Assessment'!$S$5:$S$394,'LxI Assessment'!$A$5:$A$394,A19,'LxI Assessment'!$D$5:$D$394,D19)))</f>
        <v>3</v>
      </c>
      <c r="H19" s="7" t="str">
        <f aca="false">IF(G19="N/A","N/A",IF(G19="","No data",INDEX(Config!$B$5:$B$9,G19)))</f>
        <v>Medium</v>
      </c>
      <c r="I19" s="31" t="n">
        <f aca="false">IF(NOT(ISNUMBER($G19)),"",SUMPRODUCT(('Control Mapping'!$C$5:$C$83=D19)*('Control Mapping'!$G$5:$G$83&gt;0)))</f>
        <v>3</v>
      </c>
      <c r="J19" s="31" t="n">
        <f aca="false">IF(NOT(ISNUMBER($G19)),"",SUMPRODUCT(('Control Mapping'!$C$5:$C$83=D19)*('Control Mapping'!$F$5:$F$83="Y")*('Control Mapping'!$G$5:$G$83&gt;0)))</f>
        <v>2</v>
      </c>
      <c r="K19" s="31" t="n">
        <f aca="false">IF(NOT(ISNUMBER($G19)),"",SUMPRODUCT(('Control Mapping'!$C$5:$C$83=D19)*('Control Mapping'!$F$5:$F$83="Y")*('Control Mapping'!$G$5:$G$83=4)))</f>
        <v>0</v>
      </c>
      <c r="L19" s="29" t="n">
        <f aca="false">IF(NOT(ISNUMBER($G19)),"",IFERROR(SUMPRODUCT(('Control Mapping'!$C$5:$C$83=D19)*'Control Mapping'!$E$5:$E$83*'Control Mapping'!$G$5:$G$83)/SUMPRODUCT(('Control Mapping'!$C$5:$C$83=D19)*'Control Mapping'!$E$5:$E$83*('Control Mapping'!$G$5:$G$83&gt;0)),""))</f>
        <v>1.66666666666667</v>
      </c>
      <c r="M19" s="34" t="n">
        <f aca="false">IF(NOT(ISNUMBER($G19)),"",IF(J19=0,4,MAX(MATCH(L19,'Residual Config'!$E$11:$E$14,1),IF(K19&gt;0,'Residual Config'!$C$7,1))))</f>
        <v>2</v>
      </c>
      <c r="N19" s="7" t="str">
        <f aca="false">IF(NOT(ISNUMBER($G19)),"",IF(J19=0,"Ineffective (no key control)",INDEX('Residual Config'!$B$11:$B$14,M19)))</f>
        <v>Largely effective</v>
      </c>
      <c r="O19" s="36" t="n">
        <f aca="false">IF(NOT(ISNUMBER($G19)),"",IF(J19=0,0,SUMPRODUCT(('Control Mapping'!$C$5:$C$83=D19)*'Control Mapping'!$E$5:$E$83*(('Control Mapping'!$G$5:$G$83=1)*'Residual Config'!$D$11+('Control Mapping'!$G$5:$G$83=2)*'Residual Config'!$D$12+('Control Mapping'!$G$5:$G$83=3)*'Residual Config'!$D$13+('Control Mapping'!$G$5:$G$83=4)*'Residual Config'!$D$14))/SUMPRODUCT(('Control Mapping'!$C$5:$C$83=D19)*'Control Mapping'!$E$5:$E$83*('Control Mapping'!$G$5:$G$83&gt;0))))</f>
        <v>0.466666666666667</v>
      </c>
      <c r="P19" s="31" t="n">
        <f aca="false">IF(NOT(ISNUMBER($G19)),"",INDEX('Residual Config'!$B$19:$E$23,6-G19,M19))</f>
        <v>2</v>
      </c>
      <c r="Q19" s="29" t="n">
        <f aca="false">IF(NOT(ISNUMBER($G19)),"",MAX(1,F19*(1-O19)))</f>
        <v>1.6</v>
      </c>
      <c r="R19" s="31" t="n">
        <f aca="false">IF(NOT(ISNUMBER($G19)),"",MAX(MATCH(Q19,Config!$D$5:$D$9,1),G19-'Residual Config'!$C$6))</f>
        <v>1</v>
      </c>
      <c r="S19" s="34" t="n">
        <f aca="false">IF(NOT(ISNUMBER($G19)),"",IF('Residual Config'!$C$5="Numeric",R19,P19))</f>
        <v>2</v>
      </c>
      <c r="T19" s="7" t="str">
        <f aca="false">IF(G19="N/A","N/A",IF(S19="","No data",INDEX(Config!$B$5:$B$9,S19)))</f>
        <v>Medium-Low</v>
      </c>
      <c r="U19" s="32" t="n">
        <v>0</v>
      </c>
      <c r="V19" s="8"/>
      <c r="W19" s="33"/>
      <c r="X19" s="34" t="n">
        <f aca="false">IF(S19="","",IF(AND(W19="Y",U19&lt;&gt;0),MAX(1,MIN(5,S19+MAX(-Config!$C$27,MIN(Config!$C$27,U19)))),S19))</f>
        <v>2</v>
      </c>
      <c r="Y19" s="35" t="str">
        <f aca="false">IF(G19="N/A","N/A",IF(X19="","No data",INDEX(Config!$B$5:$B$9,X19)))</f>
        <v>Medium-Low</v>
      </c>
      <c r="Z19" s="7" t="str">
        <f aca="false">IF(U19=0,"None",IF(W19="Y","Applied","Pending HO approval"))</f>
        <v>None</v>
      </c>
      <c r="AA19" s="12" t="str">
        <f aca="false">INDEX('Risk Taxonomy'!$G$5:$G$24,MATCH(D19,'Risk Taxonomy'!$A$5:$A$24,0))</f>
        <v>Low</v>
      </c>
      <c r="AB19" s="7" t="str">
        <f aca="false">INDEX('Risk Taxonomy'!$H$5:$H$24,MATCH(D19,'Risk Taxonomy'!$A$5:$A$24,0))</f>
        <v>Medium</v>
      </c>
      <c r="AC19" s="35" t="str">
        <f aca="false">IF(NOT(ISNUMBER(X19)),"",IF(X19&lt;=MATCH(AB19,Config!$B$5:$B$9,0),"Within",IF(OR(X19-MATCH(AB19,Config!$B$5:$B$9,0)&gt;=2,AND('Residual Config'!$C$8="Y",ISNUMBER(SEARCH("Zero",AA19)))),"Red","Amber")))</f>
        <v>Within</v>
      </c>
      <c r="AD19" s="12" t="str">
        <f aca="false">IF(AC19="Red","Group CCO / CRO and Country CEO within 2 business days; action plan in 15 days; report to Board Risk &amp; Compliance Committee",IF(AC19="Amber","Country CO, risk owner and HO Administrator within 5 business days; action plan in 30 days",""))</f>
        <v/>
      </c>
    </row>
    <row r="20" customFormat="false" ht="15" hidden="false" customHeight="false" outlineLevel="0" collapsed="false">
      <c r="A20" s="26" t="str">
        <f aca="false">Entities!$A$5</f>
        <v>JO-HO</v>
      </c>
      <c r="B20" s="12" t="str">
        <f aca="false">INDEX(Entities!$B$5:$B$34,MATCH(A20,Entities!$A$5:$A$34,0))</f>
        <v>Arab Bank plc – Jordan (HO and domestic network)</v>
      </c>
      <c r="C20" s="12" t="str">
        <f aca="false">INDEX(Entities!$D$5:$D$34,MATCH(A20,Entities!$A$5:$A$34,0))</f>
        <v>Jordan (home)</v>
      </c>
      <c r="D20" s="12" t="s">
        <v>310</v>
      </c>
      <c r="E20" s="12" t="str">
        <f aca="false">INDEX('Risk Taxonomy'!$B$5:$B$24,MATCH(D20,'Risk Taxonomy'!$A$5:$A$24,0))</f>
        <v>Cyber, information security and technology</v>
      </c>
      <c r="F20" s="29" t="n">
        <f aca="false">IF(NOT(ISNUMBER(G20)),"",G20)</f>
        <v>3</v>
      </c>
      <c r="G20" s="34" t="n">
        <f aca="false">IF(COUNTIFS('LxI Assessment'!$A$5:$A$394,A20,'LxI Assessment'!$D$5:$D$394,D20,'LxI Assessment'!$F$5:$F$394,"N/A")&gt;0,"N/A",IF(COUNTIFS('LxI Assessment'!$A$5:$A$394,A20,'LxI Assessment'!$D$5:$D$394,D20,'LxI Assessment'!$S$5:$S$394,"&gt;0")=0,"",SUMIFS('LxI Assessment'!$S$5:$S$394,'LxI Assessment'!$A$5:$A$394,A20,'LxI Assessment'!$D$5:$D$394,D20)))</f>
        <v>3</v>
      </c>
      <c r="H20" s="7" t="str">
        <f aca="false">IF(G20="N/A","N/A",IF(G20="","No data",INDEX(Config!$B$5:$B$9,G20)))</f>
        <v>Medium</v>
      </c>
      <c r="I20" s="31" t="n">
        <f aca="false">IF(NOT(ISNUMBER($G20)),"",SUMPRODUCT(('Control Mapping'!$C$5:$C$83=D20)*('Control Mapping'!$G$5:$G$83&gt;0)))</f>
        <v>4</v>
      </c>
      <c r="J20" s="31" t="n">
        <f aca="false">IF(NOT(ISNUMBER($G20)),"",SUMPRODUCT(('Control Mapping'!$C$5:$C$83=D20)*('Control Mapping'!$F$5:$F$83="Y")*('Control Mapping'!$G$5:$G$83&gt;0)))</f>
        <v>4</v>
      </c>
      <c r="K20" s="31" t="n">
        <f aca="false">IF(NOT(ISNUMBER($G20)),"",SUMPRODUCT(('Control Mapping'!$C$5:$C$83=D20)*('Control Mapping'!$F$5:$F$83="Y")*('Control Mapping'!$G$5:$G$83=4)))</f>
        <v>0</v>
      </c>
      <c r="L20" s="29" t="n">
        <f aca="false">IF(NOT(ISNUMBER($G20)),"",IFERROR(SUMPRODUCT(('Control Mapping'!$C$5:$C$83=D20)*'Control Mapping'!$E$5:$E$83*'Control Mapping'!$G$5:$G$83)/SUMPRODUCT(('Control Mapping'!$C$5:$C$83=D20)*'Control Mapping'!$E$5:$E$83*('Control Mapping'!$G$5:$G$83&gt;0)),""))</f>
        <v>2</v>
      </c>
      <c r="M20" s="34" t="n">
        <f aca="false">IF(NOT(ISNUMBER($G20)),"",IF(J20=0,4,MAX(MATCH(L20,'Residual Config'!$E$11:$E$14,1),IF(K20&gt;0,'Residual Config'!$C$7,1))))</f>
        <v>2</v>
      </c>
      <c r="N20" s="7" t="str">
        <f aca="false">IF(NOT(ISNUMBER($G20)),"",IF(J20=0,"Ineffective (no key control)",INDEX('Residual Config'!$B$11:$B$14,M20)))</f>
        <v>Largely effective</v>
      </c>
      <c r="O20" s="36" t="n">
        <f aca="false">IF(NOT(ISNUMBER($G20)),"",IF(J20=0,0,SUMPRODUCT(('Control Mapping'!$C$5:$C$83=D20)*'Control Mapping'!$E$5:$E$83*(('Control Mapping'!$G$5:$G$83=1)*'Residual Config'!$D$11+('Control Mapping'!$G$5:$G$83=2)*'Residual Config'!$D$12+('Control Mapping'!$G$5:$G$83=3)*'Residual Config'!$D$13+('Control Mapping'!$G$5:$G$83=4)*'Residual Config'!$D$14))/SUMPRODUCT(('Control Mapping'!$C$5:$C$83=D20)*'Control Mapping'!$E$5:$E$83*('Control Mapping'!$G$5:$G$83&gt;0))))</f>
        <v>0.4</v>
      </c>
      <c r="P20" s="31" t="n">
        <f aca="false">IF(NOT(ISNUMBER($G20)),"",INDEX('Residual Config'!$B$19:$E$23,6-G20,M20))</f>
        <v>2</v>
      </c>
      <c r="Q20" s="29" t="n">
        <f aca="false">IF(NOT(ISNUMBER($G20)),"",MAX(1,F20*(1-O20)))</f>
        <v>1.8</v>
      </c>
      <c r="R20" s="31" t="n">
        <f aca="false">IF(NOT(ISNUMBER($G20)),"",MAX(MATCH(Q20,Config!$D$5:$D$9,1),G20-'Residual Config'!$C$6))</f>
        <v>1</v>
      </c>
      <c r="S20" s="34" t="n">
        <f aca="false">IF(NOT(ISNUMBER($G20)),"",IF('Residual Config'!$C$5="Numeric",R20,P20))</f>
        <v>2</v>
      </c>
      <c r="T20" s="7" t="str">
        <f aca="false">IF(G20="N/A","N/A",IF(S20="","No data",INDEX(Config!$B$5:$B$9,S20)))</f>
        <v>Medium-Low</v>
      </c>
      <c r="U20" s="32" t="n">
        <v>0</v>
      </c>
      <c r="V20" s="8"/>
      <c r="W20" s="33"/>
      <c r="X20" s="34" t="n">
        <f aca="false">IF(S20="","",IF(AND(W20="Y",U20&lt;&gt;0),MAX(1,MIN(5,S20+MAX(-Config!$C$27,MIN(Config!$C$27,U20)))),S20))</f>
        <v>2</v>
      </c>
      <c r="Y20" s="35" t="str">
        <f aca="false">IF(G20="N/A","N/A",IF(X20="","No data",INDEX(Config!$B$5:$B$9,X20)))</f>
        <v>Medium-Low</v>
      </c>
      <c r="Z20" s="7" t="str">
        <f aca="false">IF(U20=0,"None",IF(W20="Y","Applied","Pending HO approval"))</f>
        <v>None</v>
      </c>
      <c r="AA20" s="12" t="str">
        <f aca="false">INDEX('Risk Taxonomy'!$G$5:$G$24,MATCH(D20,'Risk Taxonomy'!$A$5:$A$24,0))</f>
        <v>Very low</v>
      </c>
      <c r="AB20" s="7" t="str">
        <f aca="false">INDEX('Risk Taxonomy'!$H$5:$H$24,MATCH(D20,'Risk Taxonomy'!$A$5:$A$24,0))</f>
        <v>Medium-Low</v>
      </c>
      <c r="AC20" s="35" t="str">
        <f aca="false">IF(NOT(ISNUMBER(X20)),"",IF(X20&lt;=MATCH(AB20,Config!$B$5:$B$9,0),"Within",IF(OR(X20-MATCH(AB20,Config!$B$5:$B$9,0)&gt;=2,AND('Residual Config'!$C$8="Y",ISNUMBER(SEARCH("Zero",AA20)))),"Red","Amber")))</f>
        <v>Within</v>
      </c>
      <c r="AD20" s="12" t="str">
        <f aca="false">IF(AC20="Red","Group CCO / CRO and Country CEO within 2 business days; action plan in 15 days; report to Board Risk &amp; Compliance Committee",IF(AC20="Amber","Country CO, risk owner and HO Administrator within 5 business days; action plan in 30 days",""))</f>
        <v/>
      </c>
    </row>
    <row r="21" customFormat="false" ht="15" hidden="false" customHeight="false" outlineLevel="0" collapsed="false">
      <c r="A21" s="26" t="str">
        <f aca="false">Entities!$A$5</f>
        <v>JO-HO</v>
      </c>
      <c r="B21" s="12" t="str">
        <f aca="false">INDEX(Entities!$B$5:$B$34,MATCH(A21,Entities!$A$5:$A$34,0))</f>
        <v>Arab Bank plc – Jordan (HO and domestic network)</v>
      </c>
      <c r="C21" s="12" t="str">
        <f aca="false">INDEX(Entities!$D$5:$D$34,MATCH(A21,Entities!$A$5:$A$34,0))</f>
        <v>Jordan (home)</v>
      </c>
      <c r="D21" s="12" t="s">
        <v>313</v>
      </c>
      <c r="E21" s="12" t="str">
        <f aca="false">INDEX('Risk Taxonomy'!$B$5:$B$24,MATCH(D21,'Risk Taxonomy'!$A$5:$A$24,0))</f>
        <v>Third-party and outsourcing</v>
      </c>
      <c r="F21" s="29" t="n">
        <f aca="false">IF(NOT(ISNUMBER(G21)),"",G21)</f>
        <v>3</v>
      </c>
      <c r="G21" s="34" t="n">
        <f aca="false">IF(COUNTIFS('LxI Assessment'!$A$5:$A$394,A21,'LxI Assessment'!$D$5:$D$394,D21,'LxI Assessment'!$F$5:$F$394,"N/A")&gt;0,"N/A",IF(COUNTIFS('LxI Assessment'!$A$5:$A$394,A21,'LxI Assessment'!$D$5:$D$394,D21,'LxI Assessment'!$S$5:$S$394,"&gt;0")=0,"",SUMIFS('LxI Assessment'!$S$5:$S$394,'LxI Assessment'!$A$5:$A$394,A21,'LxI Assessment'!$D$5:$D$394,D21)))</f>
        <v>3</v>
      </c>
      <c r="H21" s="7" t="str">
        <f aca="false">IF(G21="N/A","N/A",IF(G21="","No data",INDEX(Config!$B$5:$B$9,G21)))</f>
        <v>Medium</v>
      </c>
      <c r="I21" s="31" t="n">
        <f aca="false">IF(NOT(ISNUMBER($G21)),"",SUMPRODUCT(('Control Mapping'!$C$5:$C$83=D21)*('Control Mapping'!$G$5:$G$83&gt;0)))</f>
        <v>2</v>
      </c>
      <c r="J21" s="31" t="n">
        <f aca="false">IF(NOT(ISNUMBER($G21)),"",SUMPRODUCT(('Control Mapping'!$C$5:$C$83=D21)*('Control Mapping'!$F$5:$F$83="Y")*('Control Mapping'!$G$5:$G$83&gt;0)))</f>
        <v>2</v>
      </c>
      <c r="K21" s="31" t="n">
        <f aca="false">IF(NOT(ISNUMBER($G21)),"",SUMPRODUCT(('Control Mapping'!$C$5:$C$83=D21)*('Control Mapping'!$F$5:$F$83="Y")*('Control Mapping'!$G$5:$G$83=4)))</f>
        <v>0</v>
      </c>
      <c r="L21" s="29" t="n">
        <f aca="false">IF(NOT(ISNUMBER($G21)),"",IFERROR(SUMPRODUCT(('Control Mapping'!$C$5:$C$83=D21)*'Control Mapping'!$E$5:$E$83*'Control Mapping'!$G$5:$G$83)/SUMPRODUCT(('Control Mapping'!$C$5:$C$83=D21)*'Control Mapping'!$E$5:$E$83*('Control Mapping'!$G$5:$G$83&gt;0)),""))</f>
        <v>1.75</v>
      </c>
      <c r="M21" s="34" t="n">
        <f aca="false">IF(NOT(ISNUMBER($G21)),"",IF(J21=0,4,MAX(MATCH(L21,'Residual Config'!$E$11:$E$14,1),IF(K21&gt;0,'Residual Config'!$C$7,1))))</f>
        <v>2</v>
      </c>
      <c r="N21" s="7" t="str">
        <f aca="false">IF(NOT(ISNUMBER($G21)),"",IF(J21=0,"Ineffective (no key control)",INDEX('Residual Config'!$B$11:$B$14,M21)))</f>
        <v>Largely effective</v>
      </c>
      <c r="O21" s="36" t="n">
        <f aca="false">IF(NOT(ISNUMBER($G21)),"",IF(J21=0,0,SUMPRODUCT(('Control Mapping'!$C$5:$C$83=D21)*'Control Mapping'!$E$5:$E$83*(('Control Mapping'!$G$5:$G$83=1)*'Residual Config'!$D$11+('Control Mapping'!$G$5:$G$83=2)*'Residual Config'!$D$12+('Control Mapping'!$G$5:$G$83=3)*'Residual Config'!$D$13+('Control Mapping'!$G$5:$G$83=4)*'Residual Config'!$D$14))/SUMPRODUCT(('Control Mapping'!$C$5:$C$83=D21)*'Control Mapping'!$E$5:$E$83*('Control Mapping'!$G$5:$G$83&gt;0))))</f>
        <v>0.45</v>
      </c>
      <c r="P21" s="31" t="n">
        <f aca="false">IF(NOT(ISNUMBER($G21)),"",INDEX('Residual Config'!$B$19:$E$23,6-G21,M21))</f>
        <v>2</v>
      </c>
      <c r="Q21" s="29" t="n">
        <f aca="false">IF(NOT(ISNUMBER($G21)),"",MAX(1,F21*(1-O21)))</f>
        <v>1.65</v>
      </c>
      <c r="R21" s="31" t="n">
        <f aca="false">IF(NOT(ISNUMBER($G21)),"",MAX(MATCH(Q21,Config!$D$5:$D$9,1),G21-'Residual Config'!$C$6))</f>
        <v>1</v>
      </c>
      <c r="S21" s="34" t="n">
        <f aca="false">IF(NOT(ISNUMBER($G21)),"",IF('Residual Config'!$C$5="Numeric",R21,P21))</f>
        <v>2</v>
      </c>
      <c r="T21" s="7" t="str">
        <f aca="false">IF(G21="N/A","N/A",IF(S21="","No data",INDEX(Config!$B$5:$B$9,S21)))</f>
        <v>Medium-Low</v>
      </c>
      <c r="U21" s="32" t="n">
        <v>0</v>
      </c>
      <c r="V21" s="8"/>
      <c r="W21" s="33"/>
      <c r="X21" s="34" t="n">
        <f aca="false">IF(S21="","",IF(AND(W21="Y",U21&lt;&gt;0),MAX(1,MIN(5,S21+MAX(-Config!$C$27,MIN(Config!$C$27,U21)))),S21))</f>
        <v>2</v>
      </c>
      <c r="Y21" s="35" t="str">
        <f aca="false">IF(G21="N/A","N/A",IF(X21="","No data",INDEX(Config!$B$5:$B$9,X21)))</f>
        <v>Medium-Low</v>
      </c>
      <c r="Z21" s="7" t="str">
        <f aca="false">IF(U21=0,"None",IF(W21="Y","Applied","Pending HO approval"))</f>
        <v>None</v>
      </c>
      <c r="AA21" s="12" t="str">
        <f aca="false">INDEX('Risk Taxonomy'!$G$5:$G$24,MATCH(D21,'Risk Taxonomy'!$A$5:$A$24,0))</f>
        <v>Low</v>
      </c>
      <c r="AB21" s="7" t="str">
        <f aca="false">INDEX('Risk Taxonomy'!$H$5:$H$24,MATCH(D21,'Risk Taxonomy'!$A$5:$A$24,0))</f>
        <v>Medium</v>
      </c>
      <c r="AC21" s="35" t="str">
        <f aca="false">IF(NOT(ISNUMBER(X21)),"",IF(X21&lt;=MATCH(AB21,Config!$B$5:$B$9,0),"Within",IF(OR(X21-MATCH(AB21,Config!$B$5:$B$9,0)&gt;=2,AND('Residual Config'!$C$8="Y",ISNUMBER(SEARCH("Zero",AA21)))),"Red","Amber")))</f>
        <v>Within</v>
      </c>
      <c r="AD21" s="12" t="str">
        <f aca="false">IF(AC21="Red","Group CCO / CRO and Country CEO within 2 business days; action plan in 15 days; report to Board Risk &amp; Compliance Committee",IF(AC21="Amber","Country CO, risk owner and HO Administrator within 5 business days; action plan in 30 days",""))</f>
        <v/>
      </c>
    </row>
    <row r="22" customFormat="false" ht="15" hidden="false" customHeight="false" outlineLevel="0" collapsed="false">
      <c r="A22" s="26" t="str">
        <f aca="false">Entities!$A$5</f>
        <v>JO-HO</v>
      </c>
      <c r="B22" s="12" t="str">
        <f aca="false">INDEX(Entities!$B$5:$B$34,MATCH(A22,Entities!$A$5:$A$34,0))</f>
        <v>Arab Bank plc – Jordan (HO and domestic network)</v>
      </c>
      <c r="C22" s="12" t="str">
        <f aca="false">INDEX(Entities!$D$5:$D$34,MATCH(A22,Entities!$A$5:$A$34,0))</f>
        <v>Jordan (home)</v>
      </c>
      <c r="D22" s="12" t="s">
        <v>316</v>
      </c>
      <c r="E22" s="12" t="str">
        <f aca="false">INDEX('Risk Taxonomy'!$B$5:$B$24,MATCH(D22,'Risk Taxonomy'!$A$5:$A$24,0))</f>
        <v>Legal and litigation</v>
      </c>
      <c r="F22" s="29" t="n">
        <f aca="false">IF(NOT(ISNUMBER(G22)),"",G22)</f>
        <v>3</v>
      </c>
      <c r="G22" s="34" t="n">
        <f aca="false">IF(COUNTIFS('LxI Assessment'!$A$5:$A$394,A22,'LxI Assessment'!$D$5:$D$394,D22,'LxI Assessment'!$F$5:$F$394,"N/A")&gt;0,"N/A",IF(COUNTIFS('LxI Assessment'!$A$5:$A$394,A22,'LxI Assessment'!$D$5:$D$394,D22,'LxI Assessment'!$S$5:$S$394,"&gt;0")=0,"",SUMIFS('LxI Assessment'!$S$5:$S$394,'LxI Assessment'!$A$5:$A$394,A22,'LxI Assessment'!$D$5:$D$394,D22)))</f>
        <v>3</v>
      </c>
      <c r="H22" s="7" t="str">
        <f aca="false">IF(G22="N/A","N/A",IF(G22="","No data",INDEX(Config!$B$5:$B$9,G22)))</f>
        <v>Medium</v>
      </c>
      <c r="I22" s="31" t="n">
        <f aca="false">IF(NOT(ISNUMBER($G22)),"",SUMPRODUCT(('Control Mapping'!$C$5:$C$83=D22)*('Control Mapping'!$G$5:$G$83&gt;0)))</f>
        <v>1</v>
      </c>
      <c r="J22" s="31" t="n">
        <f aca="false">IF(NOT(ISNUMBER($G22)),"",SUMPRODUCT(('Control Mapping'!$C$5:$C$83=D22)*('Control Mapping'!$F$5:$F$83="Y")*('Control Mapping'!$G$5:$G$83&gt;0)))</f>
        <v>1</v>
      </c>
      <c r="K22" s="31" t="n">
        <f aca="false">IF(NOT(ISNUMBER($G22)),"",SUMPRODUCT(('Control Mapping'!$C$5:$C$83=D22)*('Control Mapping'!$F$5:$F$83="Y")*('Control Mapping'!$G$5:$G$83=4)))</f>
        <v>0</v>
      </c>
      <c r="L22" s="29" t="n">
        <f aca="false">IF(NOT(ISNUMBER($G22)),"",IFERROR(SUMPRODUCT(('Control Mapping'!$C$5:$C$83=D22)*'Control Mapping'!$E$5:$E$83*'Control Mapping'!$G$5:$G$83)/SUMPRODUCT(('Control Mapping'!$C$5:$C$83=D22)*'Control Mapping'!$E$5:$E$83*('Control Mapping'!$G$5:$G$83&gt;0)),""))</f>
        <v>2</v>
      </c>
      <c r="M22" s="34" t="n">
        <f aca="false">IF(NOT(ISNUMBER($G22)),"",IF(J22=0,4,MAX(MATCH(L22,'Residual Config'!$E$11:$E$14,1),IF(K22&gt;0,'Residual Config'!$C$7,1))))</f>
        <v>2</v>
      </c>
      <c r="N22" s="7" t="str">
        <f aca="false">IF(NOT(ISNUMBER($G22)),"",IF(J22=0,"Ineffective (no key control)",INDEX('Residual Config'!$B$11:$B$14,M22)))</f>
        <v>Largely effective</v>
      </c>
      <c r="O22" s="36" t="n">
        <f aca="false">IF(NOT(ISNUMBER($G22)),"",IF(J22=0,0,SUMPRODUCT(('Control Mapping'!$C$5:$C$83=D22)*'Control Mapping'!$E$5:$E$83*(('Control Mapping'!$G$5:$G$83=1)*'Residual Config'!$D$11+('Control Mapping'!$G$5:$G$83=2)*'Residual Config'!$D$12+('Control Mapping'!$G$5:$G$83=3)*'Residual Config'!$D$13+('Control Mapping'!$G$5:$G$83=4)*'Residual Config'!$D$14))/SUMPRODUCT(('Control Mapping'!$C$5:$C$83=D22)*'Control Mapping'!$E$5:$E$83*('Control Mapping'!$G$5:$G$83&gt;0))))</f>
        <v>0.4</v>
      </c>
      <c r="P22" s="31" t="n">
        <f aca="false">IF(NOT(ISNUMBER($G22)),"",INDEX('Residual Config'!$B$19:$E$23,6-G22,M22))</f>
        <v>2</v>
      </c>
      <c r="Q22" s="29" t="n">
        <f aca="false">IF(NOT(ISNUMBER($G22)),"",MAX(1,F22*(1-O22)))</f>
        <v>1.8</v>
      </c>
      <c r="R22" s="31" t="n">
        <f aca="false">IF(NOT(ISNUMBER($G22)),"",MAX(MATCH(Q22,Config!$D$5:$D$9,1),G22-'Residual Config'!$C$6))</f>
        <v>1</v>
      </c>
      <c r="S22" s="34" t="n">
        <f aca="false">IF(NOT(ISNUMBER($G22)),"",IF('Residual Config'!$C$5="Numeric",R22,P22))</f>
        <v>2</v>
      </c>
      <c r="T22" s="7" t="str">
        <f aca="false">IF(G22="N/A","N/A",IF(S22="","No data",INDEX(Config!$B$5:$B$9,S22)))</f>
        <v>Medium-Low</v>
      </c>
      <c r="U22" s="32" t="n">
        <v>0</v>
      </c>
      <c r="V22" s="8"/>
      <c r="W22" s="33"/>
      <c r="X22" s="34" t="n">
        <f aca="false">IF(S22="","",IF(AND(W22="Y",U22&lt;&gt;0),MAX(1,MIN(5,S22+MAX(-Config!$C$27,MIN(Config!$C$27,U22)))),S22))</f>
        <v>2</v>
      </c>
      <c r="Y22" s="35" t="str">
        <f aca="false">IF(G22="N/A","N/A",IF(X22="","No data",INDEX(Config!$B$5:$B$9,X22)))</f>
        <v>Medium-Low</v>
      </c>
      <c r="Z22" s="7" t="str">
        <f aca="false">IF(U22=0,"None",IF(W22="Y","Applied","Pending HO approval"))</f>
        <v>None</v>
      </c>
      <c r="AA22" s="12" t="str">
        <f aca="false">INDEX('Risk Taxonomy'!$G$5:$G$24,MATCH(D22,'Risk Taxonomy'!$A$5:$A$24,0))</f>
        <v>Very low</v>
      </c>
      <c r="AB22" s="7" t="str">
        <f aca="false">INDEX('Risk Taxonomy'!$H$5:$H$24,MATCH(D22,'Risk Taxonomy'!$A$5:$A$24,0))</f>
        <v>Medium-Low</v>
      </c>
      <c r="AC22" s="35" t="str">
        <f aca="false">IF(NOT(ISNUMBER(X22)),"",IF(X22&lt;=MATCH(AB22,Config!$B$5:$B$9,0),"Within",IF(OR(X22-MATCH(AB22,Config!$B$5:$B$9,0)&gt;=2,AND('Residual Config'!$C$8="Y",ISNUMBER(SEARCH("Zero",AA22)))),"Red","Amber")))</f>
        <v>Within</v>
      </c>
      <c r="AD22" s="12" t="str">
        <f aca="false">IF(AC22="Red","Group CCO / CRO and Country CEO within 2 business days; action plan in 15 days; report to Board Risk &amp; Compliance Committee",IF(AC22="Amber","Country CO, risk owner and HO Administrator within 5 business days; action plan in 30 days",""))</f>
        <v/>
      </c>
    </row>
    <row r="23" customFormat="false" ht="15" hidden="false" customHeight="false" outlineLevel="0" collapsed="false">
      <c r="A23" s="26" t="str">
        <f aca="false">Entities!$A$5</f>
        <v>JO-HO</v>
      </c>
      <c r="B23" s="12" t="str">
        <f aca="false">INDEX(Entities!$B$5:$B$34,MATCH(A23,Entities!$A$5:$A$34,0))</f>
        <v>Arab Bank plc – Jordan (HO and domestic network)</v>
      </c>
      <c r="C23" s="12" t="str">
        <f aca="false">INDEX(Entities!$D$5:$D$34,MATCH(A23,Entities!$A$5:$A$34,0))</f>
        <v>Jordan (home)</v>
      </c>
      <c r="D23" s="12" t="s">
        <v>319</v>
      </c>
      <c r="E23" s="12" t="str">
        <f aca="false">INDEX('Risk Taxonomy'!$B$5:$B$24,MATCH(D23,'Risk Taxonomy'!$A$5:$A$24,0))</f>
        <v>Reputational</v>
      </c>
      <c r="F23" s="29" t="n">
        <f aca="false">IF(NOT(ISNUMBER(G23)),"",G23)</f>
        <v>4</v>
      </c>
      <c r="G23" s="34" t="n">
        <f aca="false">IF(COUNTIFS('LxI Assessment'!$A$5:$A$394,A23,'LxI Assessment'!$D$5:$D$394,D23,'LxI Assessment'!$F$5:$F$394,"N/A")&gt;0,"N/A",IF(COUNTIFS('LxI Assessment'!$A$5:$A$394,A23,'LxI Assessment'!$D$5:$D$394,D23,'LxI Assessment'!$S$5:$S$394,"&gt;0")=0,"",SUMIFS('LxI Assessment'!$S$5:$S$394,'LxI Assessment'!$A$5:$A$394,A23,'LxI Assessment'!$D$5:$D$394,D23)))</f>
        <v>4</v>
      </c>
      <c r="H23" s="7" t="str">
        <f aca="false">IF(G23="N/A","N/A",IF(G23="","No data",INDEX(Config!$B$5:$B$9,G23)))</f>
        <v>Medium-High</v>
      </c>
      <c r="I23" s="31" t="n">
        <f aca="false">IF(NOT(ISNUMBER($G23)),"",SUMPRODUCT(('Control Mapping'!$C$5:$C$83=D23)*('Control Mapping'!$G$5:$G$83&gt;0)))</f>
        <v>2</v>
      </c>
      <c r="J23" s="31" t="n">
        <f aca="false">IF(NOT(ISNUMBER($G23)),"",SUMPRODUCT(('Control Mapping'!$C$5:$C$83=D23)*('Control Mapping'!$F$5:$F$83="Y")*('Control Mapping'!$G$5:$G$83&gt;0)))</f>
        <v>1</v>
      </c>
      <c r="K23" s="31" t="n">
        <f aca="false">IF(NOT(ISNUMBER($G23)),"",SUMPRODUCT(('Control Mapping'!$C$5:$C$83=D23)*('Control Mapping'!$F$5:$F$83="Y")*('Control Mapping'!$G$5:$G$83=4)))</f>
        <v>0</v>
      </c>
      <c r="L23" s="29" t="n">
        <f aca="false">IF(NOT(ISNUMBER($G23)),"",IFERROR(SUMPRODUCT(('Control Mapping'!$C$5:$C$83=D23)*'Control Mapping'!$E$5:$E$83*'Control Mapping'!$G$5:$G$83)/SUMPRODUCT(('Control Mapping'!$C$5:$C$83=D23)*'Control Mapping'!$E$5:$E$83*('Control Mapping'!$G$5:$G$83&gt;0)),""))</f>
        <v>2</v>
      </c>
      <c r="M23" s="34" t="n">
        <f aca="false">IF(NOT(ISNUMBER($G23)),"",IF(J23=0,4,MAX(MATCH(L23,'Residual Config'!$E$11:$E$14,1),IF(K23&gt;0,'Residual Config'!$C$7,1))))</f>
        <v>2</v>
      </c>
      <c r="N23" s="7" t="str">
        <f aca="false">IF(NOT(ISNUMBER($G23)),"",IF(J23=0,"Ineffective (no key control)",INDEX('Residual Config'!$B$11:$B$14,M23)))</f>
        <v>Largely effective</v>
      </c>
      <c r="O23" s="36" t="n">
        <f aca="false">IF(NOT(ISNUMBER($G23)),"",IF(J23=0,0,SUMPRODUCT(('Control Mapping'!$C$5:$C$83=D23)*'Control Mapping'!$E$5:$E$83*(('Control Mapping'!$G$5:$G$83=1)*'Residual Config'!$D$11+('Control Mapping'!$G$5:$G$83=2)*'Residual Config'!$D$12+('Control Mapping'!$G$5:$G$83=3)*'Residual Config'!$D$13+('Control Mapping'!$G$5:$G$83=4)*'Residual Config'!$D$14))/SUMPRODUCT(('Control Mapping'!$C$5:$C$83=D23)*'Control Mapping'!$E$5:$E$83*('Control Mapping'!$G$5:$G$83&gt;0))))</f>
        <v>0.4</v>
      </c>
      <c r="P23" s="31" t="n">
        <f aca="false">IF(NOT(ISNUMBER($G23)),"",INDEX('Residual Config'!$B$19:$E$23,6-G23,M23))</f>
        <v>3</v>
      </c>
      <c r="Q23" s="29" t="n">
        <f aca="false">IF(NOT(ISNUMBER($G23)),"",MAX(1,F23*(1-O23)))</f>
        <v>2.4</v>
      </c>
      <c r="R23" s="31" t="n">
        <f aca="false">IF(NOT(ISNUMBER($G23)),"",MAX(MATCH(Q23,Config!$D$5:$D$9,1),G23-'Residual Config'!$C$6))</f>
        <v>2</v>
      </c>
      <c r="S23" s="34" t="n">
        <f aca="false">IF(NOT(ISNUMBER($G23)),"",IF('Residual Config'!$C$5="Numeric",R23,P23))</f>
        <v>3</v>
      </c>
      <c r="T23" s="7" t="str">
        <f aca="false">IF(G23="N/A","N/A",IF(S23="","No data",INDEX(Config!$B$5:$B$9,S23)))</f>
        <v>Medium</v>
      </c>
      <c r="U23" s="32" t="n">
        <v>0</v>
      </c>
      <c r="V23" s="8"/>
      <c r="W23" s="33"/>
      <c r="X23" s="34" t="n">
        <f aca="false">IF(S23="","",IF(AND(W23="Y",U23&lt;&gt;0),MAX(1,MIN(5,S23+MAX(-Config!$C$27,MIN(Config!$C$27,U23)))),S23))</f>
        <v>3</v>
      </c>
      <c r="Y23" s="35" t="str">
        <f aca="false">IF(G23="N/A","N/A",IF(X23="","No data",INDEX(Config!$B$5:$B$9,X23)))</f>
        <v>Medium</v>
      </c>
      <c r="Z23" s="7" t="str">
        <f aca="false">IF(U23=0,"None",IF(W23="Y","Applied","Pending HO approval"))</f>
        <v>None</v>
      </c>
      <c r="AA23" s="12" t="str">
        <f aca="false">INDEX('Risk Taxonomy'!$G$5:$G$24,MATCH(D23,'Risk Taxonomy'!$A$5:$A$24,0))</f>
        <v>Low</v>
      </c>
      <c r="AB23" s="7" t="str">
        <f aca="false">INDEX('Risk Taxonomy'!$H$5:$H$24,MATCH(D23,'Risk Taxonomy'!$A$5:$A$24,0))</f>
        <v>Medium</v>
      </c>
      <c r="AC23" s="35" t="str">
        <f aca="false">IF(NOT(ISNUMBER(X23)),"",IF(X23&lt;=MATCH(AB23,Config!$B$5:$B$9,0),"Within",IF(OR(X23-MATCH(AB23,Config!$B$5:$B$9,0)&gt;=2,AND('Residual Config'!$C$8="Y",ISNUMBER(SEARCH("Zero",AA23)))),"Red","Amber")))</f>
        <v>Within</v>
      </c>
      <c r="AD23" s="12" t="str">
        <f aca="false">IF(AC23="Red","Group CCO / CRO and Country CEO within 2 business days; action plan in 15 days; report to Board Risk &amp; Compliance Committee",IF(AC23="Amber","Country CO, risk owner and HO Administrator within 5 business days; action plan in 30 days",""))</f>
        <v/>
      </c>
    </row>
    <row r="24" customFormat="false" ht="15" hidden="false" customHeight="false" outlineLevel="0" collapsed="false">
      <c r="A24" s="26" t="str">
        <f aca="false">Entities!$A$5</f>
        <v>JO-HO</v>
      </c>
      <c r="B24" s="12" t="str">
        <f aca="false">INDEX(Entities!$B$5:$B$34,MATCH(A24,Entities!$A$5:$A$34,0))</f>
        <v>Arab Bank plc – Jordan (HO and domestic network)</v>
      </c>
      <c r="C24" s="12" t="str">
        <f aca="false">INDEX(Entities!$D$5:$D$34,MATCH(A24,Entities!$A$5:$A$34,0))</f>
        <v>Jordan (home)</v>
      </c>
      <c r="D24" s="12" t="s">
        <v>322</v>
      </c>
      <c r="E24" s="12" t="str">
        <f aca="false">INDEX('Risk Taxonomy'!$B$5:$B$24,MATCH(D24,'Risk Taxonomy'!$A$5:$A$24,0))</f>
        <v>Strategic, business model and ESG</v>
      </c>
      <c r="F24" s="29" t="n">
        <f aca="false">IF(NOT(ISNUMBER(G24)),"",G24)</f>
        <v>2</v>
      </c>
      <c r="G24" s="34" t="n">
        <f aca="false">IF(COUNTIFS('LxI Assessment'!$A$5:$A$394,A24,'LxI Assessment'!$D$5:$D$394,D24,'LxI Assessment'!$F$5:$F$394,"N/A")&gt;0,"N/A",IF(COUNTIFS('LxI Assessment'!$A$5:$A$394,A24,'LxI Assessment'!$D$5:$D$394,D24,'LxI Assessment'!$S$5:$S$394,"&gt;0")=0,"",SUMIFS('LxI Assessment'!$S$5:$S$394,'LxI Assessment'!$A$5:$A$394,A24,'LxI Assessment'!$D$5:$D$394,D24)))</f>
        <v>2</v>
      </c>
      <c r="H24" s="7" t="str">
        <f aca="false">IF(G24="N/A","N/A",IF(G24="","No data",INDEX(Config!$B$5:$B$9,G24)))</f>
        <v>Medium-Low</v>
      </c>
      <c r="I24" s="31" t="n">
        <f aca="false">IF(NOT(ISNUMBER($G24)),"",SUMPRODUCT(('Control Mapping'!$C$5:$C$83=D24)*('Control Mapping'!$G$5:$G$83&gt;0)))</f>
        <v>1</v>
      </c>
      <c r="J24" s="31" t="n">
        <f aca="false">IF(NOT(ISNUMBER($G24)),"",SUMPRODUCT(('Control Mapping'!$C$5:$C$83=D24)*('Control Mapping'!$F$5:$F$83="Y")*('Control Mapping'!$G$5:$G$83&gt;0)))</f>
        <v>1</v>
      </c>
      <c r="K24" s="31" t="n">
        <f aca="false">IF(NOT(ISNUMBER($G24)),"",SUMPRODUCT(('Control Mapping'!$C$5:$C$83=D24)*('Control Mapping'!$F$5:$F$83="Y")*('Control Mapping'!$G$5:$G$83=4)))</f>
        <v>1</v>
      </c>
      <c r="L24" s="29" t="n">
        <f aca="false">IF(NOT(ISNUMBER($G24)),"",IFERROR(SUMPRODUCT(('Control Mapping'!$C$5:$C$83=D24)*'Control Mapping'!$E$5:$E$83*'Control Mapping'!$G$5:$G$83)/SUMPRODUCT(('Control Mapping'!$C$5:$C$83=D24)*'Control Mapping'!$E$5:$E$83*('Control Mapping'!$G$5:$G$83&gt;0)),""))</f>
        <v>4</v>
      </c>
      <c r="M24" s="34" t="n">
        <f aca="false">IF(NOT(ISNUMBER($G24)),"",IF(J24=0,4,MAX(MATCH(L24,'Residual Config'!$E$11:$E$14,1),IF(K24&gt;0,'Residual Config'!$C$7,1))))</f>
        <v>4</v>
      </c>
      <c r="N24" s="7" t="str">
        <f aca="false">IF(NOT(ISNUMBER($G24)),"",IF(J24=0,"Ineffective (no key control)",INDEX('Residual Config'!$B$11:$B$14,M24)))</f>
        <v>Ineffective</v>
      </c>
      <c r="O24" s="36" t="n">
        <f aca="false">IF(NOT(ISNUMBER($G24)),"",IF(J24=0,0,SUMPRODUCT(('Control Mapping'!$C$5:$C$83=D24)*'Control Mapping'!$E$5:$E$83*(('Control Mapping'!$G$5:$G$83=1)*'Residual Config'!$D$11+('Control Mapping'!$G$5:$G$83=2)*'Residual Config'!$D$12+('Control Mapping'!$G$5:$G$83=3)*'Residual Config'!$D$13+('Control Mapping'!$G$5:$G$83=4)*'Residual Config'!$D$14))/SUMPRODUCT(('Control Mapping'!$C$5:$C$83=D24)*'Control Mapping'!$E$5:$E$83*('Control Mapping'!$G$5:$G$83&gt;0))))</f>
        <v>0</v>
      </c>
      <c r="P24" s="31" t="n">
        <f aca="false">IF(NOT(ISNUMBER($G24)),"",INDEX('Residual Config'!$B$19:$E$23,6-G24,M24))</f>
        <v>2</v>
      </c>
      <c r="Q24" s="29" t="n">
        <f aca="false">IF(NOT(ISNUMBER($G24)),"",MAX(1,F24*(1-O24)))</f>
        <v>2</v>
      </c>
      <c r="R24" s="31" t="n">
        <f aca="false">IF(NOT(ISNUMBER($G24)),"",MAX(MATCH(Q24,Config!$D$5:$D$9,1),G24-'Residual Config'!$C$6))</f>
        <v>2</v>
      </c>
      <c r="S24" s="34" t="n">
        <f aca="false">IF(NOT(ISNUMBER($G24)),"",IF('Residual Config'!$C$5="Numeric",R24,P24))</f>
        <v>2</v>
      </c>
      <c r="T24" s="7" t="str">
        <f aca="false">IF(G24="N/A","N/A",IF(S24="","No data",INDEX(Config!$B$5:$B$9,S24)))</f>
        <v>Medium-Low</v>
      </c>
      <c r="U24" s="32" t="n">
        <v>0</v>
      </c>
      <c r="V24" s="8"/>
      <c r="W24" s="33"/>
      <c r="X24" s="34" t="n">
        <f aca="false">IF(S24="","",IF(AND(W24="Y",U24&lt;&gt;0),MAX(1,MIN(5,S24+MAX(-Config!$C$27,MIN(Config!$C$27,U24)))),S24))</f>
        <v>2</v>
      </c>
      <c r="Y24" s="35" t="str">
        <f aca="false">IF(G24="N/A","N/A",IF(X24="","No data",INDEX(Config!$B$5:$B$9,X24)))</f>
        <v>Medium-Low</v>
      </c>
      <c r="Z24" s="7" t="str">
        <f aca="false">IF(U24=0,"None",IF(W24="Y","Applied","Pending HO approval"))</f>
        <v>None</v>
      </c>
      <c r="AA24" s="12" t="str">
        <f aca="false">INDEX('Risk Taxonomy'!$G$5:$G$24,MATCH(D24,'Risk Taxonomy'!$A$5:$A$24,0))</f>
        <v>Moderate</v>
      </c>
      <c r="AB24" s="7" t="str">
        <f aca="false">INDEX('Risk Taxonomy'!$H$5:$H$24,MATCH(D24,'Risk Taxonomy'!$A$5:$A$24,0))</f>
        <v>Medium-High</v>
      </c>
      <c r="AC24" s="35" t="str">
        <f aca="false">IF(NOT(ISNUMBER(X24)),"",IF(X24&lt;=MATCH(AB24,Config!$B$5:$B$9,0),"Within",IF(OR(X24-MATCH(AB24,Config!$B$5:$B$9,0)&gt;=2,AND('Residual Config'!$C$8="Y",ISNUMBER(SEARCH("Zero",AA24)))),"Red","Amber")))</f>
        <v>Within</v>
      </c>
      <c r="AD24" s="12" t="str">
        <f aca="false">IF(AC24="Red","Group CCO / CRO and Country CEO within 2 business days; action plan in 15 days; report to Board Risk &amp; Compliance Committee",IF(AC24="Amber","Country CO, risk owner and HO Administrator within 5 business days; action plan in 30 days",""))</f>
        <v/>
      </c>
    </row>
    <row r="25" customFormat="false" ht="15" hidden="false" customHeight="false" outlineLevel="0" collapsed="false">
      <c r="A25" s="26" t="str">
        <f aca="false">Entities!$A$6</f>
        <v>JO-IIAB</v>
      </c>
      <c r="B25" s="12" t="str">
        <f aca="false">INDEX(Entities!$B$5:$B$34,MATCH(A25,Entities!$A$5:$A$34,0))</f>
        <v>Islamic International Arab Bank</v>
      </c>
      <c r="C25" s="12" t="str">
        <f aca="false">INDEX(Entities!$D$5:$D$34,MATCH(A25,Entities!$A$5:$A$34,0))</f>
        <v>Jordan (home)</v>
      </c>
      <c r="D25" s="12" t="s">
        <v>260</v>
      </c>
      <c r="E25" s="12" t="str">
        <f aca="false">INDEX('Risk Taxonomy'!$B$5:$B$24,MATCH(D25,'Risk Taxonomy'!$A$5:$A$24,0))</f>
        <v>Money laundering</v>
      </c>
      <c r="F25" s="29" t="n">
        <f aca="false">IF(NOT(ISNUMBER(G25)),"",IFERROR(IF(MATCH(SUMIFS('FC Calculation'!$N$5:$N$214,'FC Calculation'!$A$5:$A$214,A25,'FC Calculation'!$D$5:$D$214,D25),Config!$D$5:$D$9,1)=G25,SUMIFS('FC Calculation'!$N$5:$N$214,'FC Calculation'!$A$5:$A$214,A25,'FC Calculation'!$D$5:$D$214,D25),G25),G25))</f>
        <v>2.84547619047619</v>
      </c>
      <c r="G25" s="34" t="n">
        <f aca="false">IF(COUNTIFS('FC Calculation'!$A$5:$A$214,A25,'FC Calculation'!$D$5:$D$214,D25,'FC Calculation'!$T$5:$T$214,"&gt;0")=0,"",SUMIFS('FC Calculation'!$T$5:$T$214,'FC Calculation'!$A$5:$A$214,A25,'FC Calculation'!$D$5:$D$214,D25))</f>
        <v>3</v>
      </c>
      <c r="H25" s="7" t="str">
        <f aca="false">IF(G25="N/A","N/A",IF(G25="","No data",INDEX(Config!$B$5:$B$9,G25)))</f>
        <v>Medium</v>
      </c>
      <c r="I25" s="31" t="n">
        <f aca="false">IF(NOT(ISNUMBER($G25)),"",SUMPRODUCT(('Control Mapping'!$C$5:$C$83=D25)*('Control Mapping'!$H$5:$H$83&gt;0)))</f>
        <v>12</v>
      </c>
      <c r="J25" s="31" t="n">
        <f aca="false">IF(NOT(ISNUMBER($G25)),"",SUMPRODUCT(('Control Mapping'!$C$5:$C$83=D25)*('Control Mapping'!$F$5:$F$83="Y")*('Control Mapping'!$H$5:$H$83&gt;0)))</f>
        <v>9</v>
      </c>
      <c r="K25" s="31" t="n">
        <f aca="false">IF(NOT(ISNUMBER($G25)),"",SUMPRODUCT(('Control Mapping'!$C$5:$C$83=D25)*('Control Mapping'!$F$5:$F$83="Y")*('Control Mapping'!$H$5:$H$83=4)))</f>
        <v>1</v>
      </c>
      <c r="L25" s="29" t="n">
        <f aca="false">IF(NOT(ISNUMBER($G25)),"",IFERROR(SUMPRODUCT(('Control Mapping'!$C$5:$C$83=D25)*'Control Mapping'!$E$5:$E$83*'Control Mapping'!$H$5:$H$83)/SUMPRODUCT(('Control Mapping'!$C$5:$C$83=D25)*'Control Mapping'!$E$5:$E$83*('Control Mapping'!$H$5:$H$83&gt;0)),""))</f>
        <v>2.04347826086957</v>
      </c>
      <c r="M25" s="34" t="n">
        <f aca="false">IF(NOT(ISNUMBER($G25)),"",IF(J25=0,4,MAX(MATCH(L25,'Residual Config'!$E$11:$E$14,1),IF(K25&gt;0,'Residual Config'!$C$7,1))))</f>
        <v>3</v>
      </c>
      <c r="N25" s="7" t="str">
        <f aca="false">IF(NOT(ISNUMBER($G25)),"",IF(J25=0,"Ineffective (no key control)",INDEX('Residual Config'!$B$11:$B$14,M25)))</f>
        <v>Partially effective</v>
      </c>
      <c r="O25" s="36" t="n">
        <f aca="false">IF(NOT(ISNUMBER($G25)),"",IF(J25=0,0,SUMPRODUCT(('Control Mapping'!$C$5:$C$83=D25)*'Control Mapping'!$E$5:$E$83*(('Control Mapping'!$H$5:$H$83=1)*'Residual Config'!$D$11+('Control Mapping'!$H$5:$H$83=2)*'Residual Config'!$D$12+('Control Mapping'!$H$5:$H$83=3)*'Residual Config'!$D$13+('Control Mapping'!$H$5:$H$83=4)*'Residual Config'!$D$14))/SUMPRODUCT(('Control Mapping'!$C$5:$C$83=D25)*'Control Mapping'!$E$5:$E$83*('Control Mapping'!$H$5:$H$83&gt;0))))</f>
        <v>0.391304347826087</v>
      </c>
      <c r="P25" s="31" t="n">
        <f aca="false">IF(NOT(ISNUMBER($G25)),"",INDEX('Residual Config'!$B$19:$E$23,6-G25,M25))</f>
        <v>3</v>
      </c>
      <c r="Q25" s="29" t="n">
        <f aca="false">IF(NOT(ISNUMBER($G25)),"",MAX(1,F25*(1-O25)))</f>
        <v>1.73202898550725</v>
      </c>
      <c r="R25" s="31" t="n">
        <f aca="false">IF(NOT(ISNUMBER($G25)),"",MAX(MATCH(Q25,Config!$D$5:$D$9,1),G25-'Residual Config'!$C$6))</f>
        <v>1</v>
      </c>
      <c r="S25" s="34" t="n">
        <f aca="false">IF(NOT(ISNUMBER($G25)),"",IF('Residual Config'!$C$5="Numeric",R25,P25))</f>
        <v>3</v>
      </c>
      <c r="T25" s="7" t="str">
        <f aca="false">IF(G25="N/A","N/A",IF(S25="","No data",INDEX(Config!$B$5:$B$9,S25)))</f>
        <v>Medium</v>
      </c>
      <c r="U25" s="32" t="n">
        <v>0</v>
      </c>
      <c r="V25" s="8"/>
      <c r="W25" s="33"/>
      <c r="X25" s="34" t="n">
        <f aca="false">IF(S25="","",IF(AND(W25="Y",U25&lt;&gt;0),MAX(1,MIN(5,S25+MAX(-Config!$C$27,MIN(Config!$C$27,U25)))),S25))</f>
        <v>3</v>
      </c>
      <c r="Y25" s="35" t="str">
        <f aca="false">IF(G25="N/A","N/A",IF(X25="","No data",INDEX(Config!$B$5:$B$9,X25)))</f>
        <v>Medium</v>
      </c>
      <c r="Z25" s="7" t="str">
        <f aca="false">IF(U25=0,"None",IF(W25="Y","Applied","Pending HO approval"))</f>
        <v>None</v>
      </c>
      <c r="AA25" s="12" t="str">
        <f aca="false">INDEX('Risk Taxonomy'!$G$5:$G$24,MATCH(D25,'Risk Taxonomy'!$A$5:$A$24,0))</f>
        <v>Very low</v>
      </c>
      <c r="AB25" s="7" t="str">
        <f aca="false">INDEX('Risk Taxonomy'!$H$5:$H$24,MATCH(D25,'Risk Taxonomy'!$A$5:$A$24,0))</f>
        <v>Medium-Low</v>
      </c>
      <c r="AC25" s="35" t="str">
        <f aca="false">IF(NOT(ISNUMBER(X25)),"",IF(X25&lt;=MATCH(AB25,Config!$B$5:$B$9,0),"Within",IF(OR(X25-MATCH(AB25,Config!$B$5:$B$9,0)&gt;=2,AND('Residual Config'!$C$8="Y",ISNUMBER(SEARCH("Zero",AA25)))),"Red","Amber")))</f>
        <v>Amber</v>
      </c>
      <c r="AD25" s="12" t="str">
        <f aca="false">IF(AC25="Red","Group CCO / CRO and Country CEO within 2 business days; action plan in 15 days; report to Board Risk &amp; Compliance Committee",IF(AC25="Amber","Country CO, risk owner and HO Administrator within 5 business days; action plan in 30 days",""))</f>
        <v>Country CO, risk owner and HO Administrator within 5 business days; action plan in 30 days</v>
      </c>
    </row>
    <row r="26" customFormat="false" ht="15" hidden="false" customHeight="false" outlineLevel="0" collapsed="false">
      <c r="A26" s="26" t="str">
        <f aca="false">Entities!$A$6</f>
        <v>JO-IIAB</v>
      </c>
      <c r="B26" s="12" t="str">
        <f aca="false">INDEX(Entities!$B$5:$B$34,MATCH(A26,Entities!$A$5:$A$34,0))</f>
        <v>Islamic International Arab Bank</v>
      </c>
      <c r="C26" s="12" t="str">
        <f aca="false">INDEX(Entities!$D$5:$D$34,MATCH(A26,Entities!$A$5:$A$34,0))</f>
        <v>Jordan (home)</v>
      </c>
      <c r="D26" s="12" t="s">
        <v>267</v>
      </c>
      <c r="E26" s="12" t="str">
        <f aca="false">INDEX('Risk Taxonomy'!$B$5:$B$24,MATCH(D26,'Risk Taxonomy'!$A$5:$A$24,0))</f>
        <v>Terrorist financing</v>
      </c>
      <c r="F26" s="29" t="n">
        <f aca="false">IF(NOT(ISNUMBER(G26)),"",IFERROR(IF(MATCH(SUMIFS('FC Calculation'!$N$5:$N$214,'FC Calculation'!$A$5:$A$214,A26,'FC Calculation'!$D$5:$D$214,D26),Config!$D$5:$D$9,1)=G26,SUMIFS('FC Calculation'!$N$5:$N$214,'FC Calculation'!$A$5:$A$214,A26,'FC Calculation'!$D$5:$D$214,D26),G26),G26))</f>
        <v>3.04880952380952</v>
      </c>
      <c r="G26" s="34" t="n">
        <f aca="false">IF(COUNTIFS('FC Calculation'!$A$5:$A$214,A26,'FC Calculation'!$D$5:$D$214,D26,'FC Calculation'!$T$5:$T$214,"&gt;0")=0,"",SUMIFS('FC Calculation'!$T$5:$T$214,'FC Calculation'!$A$5:$A$214,A26,'FC Calculation'!$D$5:$D$214,D26))</f>
        <v>3</v>
      </c>
      <c r="H26" s="7" t="str">
        <f aca="false">IF(G26="N/A","N/A",IF(G26="","No data",INDEX(Config!$B$5:$B$9,G26)))</f>
        <v>Medium</v>
      </c>
      <c r="I26" s="31" t="n">
        <f aca="false">IF(NOT(ISNUMBER($G26)),"",SUMPRODUCT(('Control Mapping'!$C$5:$C$83=D26)*('Control Mapping'!$H$5:$H$83&gt;0)))</f>
        <v>12</v>
      </c>
      <c r="J26" s="31" t="n">
        <f aca="false">IF(NOT(ISNUMBER($G26)),"",SUMPRODUCT(('Control Mapping'!$C$5:$C$83=D26)*('Control Mapping'!$F$5:$F$83="Y")*('Control Mapping'!$H$5:$H$83&gt;0)))</f>
        <v>9</v>
      </c>
      <c r="K26" s="31" t="n">
        <f aca="false">IF(NOT(ISNUMBER($G26)),"",SUMPRODUCT(('Control Mapping'!$C$5:$C$83=D26)*('Control Mapping'!$F$5:$F$83="Y")*('Control Mapping'!$H$5:$H$83=4)))</f>
        <v>1</v>
      </c>
      <c r="L26" s="29" t="n">
        <f aca="false">IF(NOT(ISNUMBER($G26)),"",IFERROR(SUMPRODUCT(('Control Mapping'!$C$5:$C$83=D26)*'Control Mapping'!$E$5:$E$83*'Control Mapping'!$H$5:$H$83)/SUMPRODUCT(('Control Mapping'!$C$5:$C$83=D26)*'Control Mapping'!$E$5:$E$83*('Control Mapping'!$H$5:$H$83&gt;0)),""))</f>
        <v>2.10526315789474</v>
      </c>
      <c r="M26" s="34" t="n">
        <f aca="false">IF(NOT(ISNUMBER($G26)),"",IF(J26=0,4,MAX(MATCH(L26,'Residual Config'!$E$11:$E$14,1),IF(K26&gt;0,'Residual Config'!$C$7,1))))</f>
        <v>3</v>
      </c>
      <c r="N26" s="7" t="str">
        <f aca="false">IF(NOT(ISNUMBER($G26)),"",IF(J26=0,"Ineffective (no key control)",INDEX('Residual Config'!$B$11:$B$14,M26)))</f>
        <v>Partially effective</v>
      </c>
      <c r="O26" s="36" t="n">
        <f aca="false">IF(NOT(ISNUMBER($G26)),"",IF(J26=0,0,SUMPRODUCT(('Control Mapping'!$C$5:$C$83=D26)*'Control Mapping'!$E$5:$E$83*(('Control Mapping'!$H$5:$H$83=1)*'Residual Config'!$D$11+('Control Mapping'!$H$5:$H$83=2)*'Residual Config'!$D$12+('Control Mapping'!$H$5:$H$83=3)*'Residual Config'!$D$13+('Control Mapping'!$H$5:$H$83=4)*'Residual Config'!$D$14))/SUMPRODUCT(('Control Mapping'!$C$5:$C$83=D26)*'Control Mapping'!$E$5:$E$83*('Control Mapping'!$H$5:$H$83&gt;0))))</f>
        <v>0.378947368421053</v>
      </c>
      <c r="P26" s="31" t="n">
        <f aca="false">IF(NOT(ISNUMBER($G26)),"",INDEX('Residual Config'!$B$19:$E$23,6-G26,M26))</f>
        <v>3</v>
      </c>
      <c r="Q26" s="29" t="n">
        <f aca="false">IF(NOT(ISNUMBER($G26)),"",MAX(1,F26*(1-O26)))</f>
        <v>1.89347117794486</v>
      </c>
      <c r="R26" s="31" t="n">
        <f aca="false">IF(NOT(ISNUMBER($G26)),"",MAX(MATCH(Q26,Config!$D$5:$D$9,1),G26-'Residual Config'!$C$6))</f>
        <v>2</v>
      </c>
      <c r="S26" s="34" t="n">
        <f aca="false">IF(NOT(ISNUMBER($G26)),"",IF('Residual Config'!$C$5="Numeric",R26,P26))</f>
        <v>3</v>
      </c>
      <c r="T26" s="7" t="str">
        <f aca="false">IF(G26="N/A","N/A",IF(S26="","No data",INDEX(Config!$B$5:$B$9,S26)))</f>
        <v>Medium</v>
      </c>
      <c r="U26" s="32" t="n">
        <v>0</v>
      </c>
      <c r="V26" s="8"/>
      <c r="W26" s="33"/>
      <c r="X26" s="34" t="n">
        <f aca="false">IF(S26="","",IF(AND(W26="Y",U26&lt;&gt;0),MAX(1,MIN(5,S26+MAX(-Config!$C$27,MIN(Config!$C$27,U26)))),S26))</f>
        <v>3</v>
      </c>
      <c r="Y26" s="35" t="str">
        <f aca="false">IF(G26="N/A","N/A",IF(X26="","No data",INDEX(Config!$B$5:$B$9,X26)))</f>
        <v>Medium</v>
      </c>
      <c r="Z26" s="7" t="str">
        <f aca="false">IF(U26=0,"None",IF(W26="Y","Applied","Pending HO approval"))</f>
        <v>None</v>
      </c>
      <c r="AA26" s="12" t="str">
        <f aca="false">INDEX('Risk Taxonomy'!$G$5:$G$24,MATCH(D26,'Risk Taxonomy'!$A$5:$A$24,0))</f>
        <v>Zero tolerance</v>
      </c>
      <c r="AB26" s="7" t="str">
        <f aca="false">INDEX('Risk Taxonomy'!$H$5:$H$24,MATCH(D26,'Risk Taxonomy'!$A$5:$A$24,0))</f>
        <v>Low</v>
      </c>
      <c r="AC26" s="35" t="str">
        <f aca="false">IF(NOT(ISNUMBER(X26)),"",IF(X26&lt;=MATCH(AB26,Config!$B$5:$B$9,0),"Within",IF(OR(X26-MATCH(AB26,Config!$B$5:$B$9,0)&gt;=2,AND('Residual Config'!$C$8="Y",ISNUMBER(SEARCH("Zero",AA26)))),"Red","Amber")))</f>
        <v>Red</v>
      </c>
      <c r="AD26" s="12" t="str">
        <f aca="false">IF(AC26="Red","Group CCO / CRO and Country CEO within 2 business days; action plan in 15 days; report to Board Risk &amp; Compliance Committee",IF(AC26="Amber","Country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27" customFormat="false" ht="15" hidden="false" customHeight="false" outlineLevel="0" collapsed="false">
      <c r="A27" s="26" t="str">
        <f aca="false">Entities!$A$6</f>
        <v>JO-IIAB</v>
      </c>
      <c r="B27" s="12" t="str">
        <f aca="false">INDEX(Entities!$B$5:$B$34,MATCH(A27,Entities!$A$5:$A$34,0))</f>
        <v>Islamic International Arab Bank</v>
      </c>
      <c r="C27" s="12" t="str">
        <f aca="false">INDEX(Entities!$D$5:$D$34,MATCH(A27,Entities!$A$5:$A$34,0))</f>
        <v>Jordan (home)</v>
      </c>
      <c r="D27" s="12" t="s">
        <v>270</v>
      </c>
      <c r="E27" s="12" t="str">
        <f aca="false">INDEX('Risk Taxonomy'!$B$5:$B$24,MATCH(D27,'Risk Taxonomy'!$A$5:$A$24,0))</f>
        <v>Proliferation financing</v>
      </c>
      <c r="F27" s="29" t="n">
        <f aca="false">IF(NOT(ISNUMBER(G27)),"",IFERROR(IF(MATCH(SUMIFS('FC Calculation'!$N$5:$N$214,'FC Calculation'!$A$5:$A$214,A27,'FC Calculation'!$D$5:$D$214,D27),Config!$D$5:$D$9,1)=G27,SUMIFS('FC Calculation'!$N$5:$N$214,'FC Calculation'!$A$5:$A$214,A27,'FC Calculation'!$D$5:$D$214,D27),G27),G27))</f>
        <v>2.875</v>
      </c>
      <c r="G27" s="34" t="n">
        <f aca="false">IF(COUNTIFS('FC Calculation'!$A$5:$A$214,A27,'FC Calculation'!$D$5:$D$214,D27,'FC Calculation'!$T$5:$T$214,"&gt;0")=0,"",SUMIFS('FC Calculation'!$T$5:$T$214,'FC Calculation'!$A$5:$A$214,A27,'FC Calculation'!$D$5:$D$214,D27))</f>
        <v>3</v>
      </c>
      <c r="H27" s="7" t="str">
        <f aca="false">IF(G27="N/A","N/A",IF(G27="","No data",INDEX(Config!$B$5:$B$9,G27)))</f>
        <v>Medium</v>
      </c>
      <c r="I27" s="31" t="n">
        <f aca="false">IF(NOT(ISNUMBER($G27)),"",SUMPRODUCT(('Control Mapping'!$C$5:$C$83=D27)*('Control Mapping'!$H$5:$H$83&gt;0)))</f>
        <v>5</v>
      </c>
      <c r="J27" s="31" t="n">
        <f aca="false">IF(NOT(ISNUMBER($G27)),"",SUMPRODUCT(('Control Mapping'!$C$5:$C$83=D27)*('Control Mapping'!$F$5:$F$83="Y")*('Control Mapping'!$H$5:$H$83&gt;0)))</f>
        <v>5</v>
      </c>
      <c r="K27" s="31" t="n">
        <f aca="false">IF(NOT(ISNUMBER($G27)),"",SUMPRODUCT(('Control Mapping'!$C$5:$C$83=D27)*('Control Mapping'!$F$5:$F$83="Y")*('Control Mapping'!$H$5:$H$83=4)))</f>
        <v>2</v>
      </c>
      <c r="L27" s="29" t="n">
        <f aca="false">IF(NOT(ISNUMBER($G27)),"",IFERROR(SUMPRODUCT(('Control Mapping'!$C$5:$C$83=D27)*'Control Mapping'!$E$5:$E$83*'Control Mapping'!$H$5:$H$83)/SUMPRODUCT(('Control Mapping'!$C$5:$C$83=D27)*'Control Mapping'!$E$5:$E$83*('Control Mapping'!$H$5:$H$83&gt;0)),""))</f>
        <v>2.6</v>
      </c>
      <c r="M27" s="34" t="n">
        <f aca="false">IF(NOT(ISNUMBER($G27)),"",IF(J27=0,4,MAX(MATCH(L27,'Residual Config'!$E$11:$E$14,1),IF(K27&gt;0,'Residual Config'!$C$7,1))))</f>
        <v>3</v>
      </c>
      <c r="N27" s="7" t="str">
        <f aca="false">IF(NOT(ISNUMBER($G27)),"",IF(J27=0,"Ineffective (no key control)",INDEX('Residual Config'!$B$11:$B$14,M27)))</f>
        <v>Partially effective</v>
      </c>
      <c r="O27" s="36" t="n">
        <f aca="false">IF(NOT(ISNUMBER($G27)),"",IF(J27=0,0,SUMPRODUCT(('Control Mapping'!$C$5:$C$83=D27)*'Control Mapping'!$E$5:$E$83*(('Control Mapping'!$H$5:$H$83=1)*'Residual Config'!$D$11+('Control Mapping'!$H$5:$H$83=2)*'Residual Config'!$D$12+('Control Mapping'!$H$5:$H$83=3)*'Residual Config'!$D$13+('Control Mapping'!$H$5:$H$83=4)*'Residual Config'!$D$14))/SUMPRODUCT(('Control Mapping'!$C$5:$C$83=D27)*'Control Mapping'!$E$5:$E$83*('Control Mapping'!$H$5:$H$83&gt;0))))</f>
        <v>0.28</v>
      </c>
      <c r="P27" s="31" t="n">
        <f aca="false">IF(NOT(ISNUMBER($G27)),"",INDEX('Residual Config'!$B$19:$E$23,6-G27,M27))</f>
        <v>3</v>
      </c>
      <c r="Q27" s="29" t="n">
        <f aca="false">IF(NOT(ISNUMBER($G27)),"",MAX(1,F27*(1-O27)))</f>
        <v>2.07</v>
      </c>
      <c r="R27" s="31" t="n">
        <f aca="false">IF(NOT(ISNUMBER($G27)),"",MAX(MATCH(Q27,Config!$D$5:$D$9,1),G27-'Residual Config'!$C$6))</f>
        <v>2</v>
      </c>
      <c r="S27" s="34" t="n">
        <f aca="false">IF(NOT(ISNUMBER($G27)),"",IF('Residual Config'!$C$5="Numeric",R27,P27))</f>
        <v>3</v>
      </c>
      <c r="T27" s="7" t="str">
        <f aca="false">IF(G27="N/A","N/A",IF(S27="","No data",INDEX(Config!$B$5:$B$9,S27)))</f>
        <v>Medium</v>
      </c>
      <c r="U27" s="32" t="n">
        <v>0</v>
      </c>
      <c r="V27" s="8"/>
      <c r="W27" s="33"/>
      <c r="X27" s="34" t="n">
        <f aca="false">IF(S27="","",IF(AND(W27="Y",U27&lt;&gt;0),MAX(1,MIN(5,S27+MAX(-Config!$C$27,MIN(Config!$C$27,U27)))),S27))</f>
        <v>3</v>
      </c>
      <c r="Y27" s="35" t="str">
        <f aca="false">IF(G27="N/A","N/A",IF(X27="","No data",INDEX(Config!$B$5:$B$9,X27)))</f>
        <v>Medium</v>
      </c>
      <c r="Z27" s="7" t="str">
        <f aca="false">IF(U27=0,"None",IF(W27="Y","Applied","Pending HO approval"))</f>
        <v>None</v>
      </c>
      <c r="AA27" s="12" t="str">
        <f aca="false">INDEX('Risk Taxonomy'!$G$5:$G$24,MATCH(D27,'Risk Taxonomy'!$A$5:$A$24,0))</f>
        <v>Zero tolerance</v>
      </c>
      <c r="AB27" s="7" t="str">
        <f aca="false">INDEX('Risk Taxonomy'!$H$5:$H$24,MATCH(D27,'Risk Taxonomy'!$A$5:$A$24,0))</f>
        <v>Low</v>
      </c>
      <c r="AC27" s="35" t="str">
        <f aca="false">IF(NOT(ISNUMBER(X27)),"",IF(X27&lt;=MATCH(AB27,Config!$B$5:$B$9,0),"Within",IF(OR(X27-MATCH(AB27,Config!$B$5:$B$9,0)&gt;=2,AND('Residual Config'!$C$8="Y",ISNUMBER(SEARCH("Zero",AA27)))),"Red","Amber")))</f>
        <v>Red</v>
      </c>
      <c r="AD27" s="12" t="str">
        <f aca="false">IF(AC27="Red","Group CCO / CRO and Country CEO within 2 business days; action plan in 15 days; report to Board Risk &amp; Compliance Committee",IF(AC27="Amber","Country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28" customFormat="false" ht="15" hidden="false" customHeight="false" outlineLevel="0" collapsed="false">
      <c r="A28" s="26" t="str">
        <f aca="false">Entities!$A$6</f>
        <v>JO-IIAB</v>
      </c>
      <c r="B28" s="12" t="str">
        <f aca="false">INDEX(Entities!$B$5:$B$34,MATCH(A28,Entities!$A$5:$A$34,0))</f>
        <v>Islamic International Arab Bank</v>
      </c>
      <c r="C28" s="12" t="str">
        <f aca="false">INDEX(Entities!$D$5:$D$34,MATCH(A28,Entities!$A$5:$A$34,0))</f>
        <v>Jordan (home)</v>
      </c>
      <c r="D28" s="12" t="s">
        <v>272</v>
      </c>
      <c r="E28" s="12" t="str">
        <f aca="false">INDEX('Risk Taxonomy'!$B$5:$B$24,MATCH(D28,'Risk Taxonomy'!$A$5:$A$24,0))</f>
        <v>Sanctions</v>
      </c>
      <c r="F28" s="29" t="n">
        <f aca="false">IF(NOT(ISNUMBER(G28)),"",IFERROR(IF(MATCH(SUMIFS('FC Calculation'!$N$5:$N$214,'FC Calculation'!$A$5:$A$214,A28,'FC Calculation'!$D$5:$D$214,D28),Config!$D$5:$D$9,1)=G28,SUMIFS('FC Calculation'!$N$5:$N$214,'FC Calculation'!$A$5:$A$214,A28,'FC Calculation'!$D$5:$D$214,D28),G28),G28))</f>
        <v>2.78642857142857</v>
      </c>
      <c r="G28" s="34" t="n">
        <f aca="false">IF(COUNTIFS('FC Calculation'!$A$5:$A$214,A28,'FC Calculation'!$D$5:$D$214,D28,'FC Calculation'!$T$5:$T$214,"&gt;0")=0,"",SUMIFS('FC Calculation'!$T$5:$T$214,'FC Calculation'!$A$5:$A$214,A28,'FC Calculation'!$D$5:$D$214,D28))</f>
        <v>3</v>
      </c>
      <c r="H28" s="7" t="str">
        <f aca="false">IF(G28="N/A","N/A",IF(G28="","No data",INDEX(Config!$B$5:$B$9,G28)))</f>
        <v>Medium</v>
      </c>
      <c r="I28" s="31" t="n">
        <f aca="false">IF(NOT(ISNUMBER($G28)),"",SUMPRODUCT(('Control Mapping'!$C$5:$C$83=D28)*('Control Mapping'!$H$5:$H$83&gt;0)))</f>
        <v>8</v>
      </c>
      <c r="J28" s="31" t="n">
        <f aca="false">IF(NOT(ISNUMBER($G28)),"",SUMPRODUCT(('Control Mapping'!$C$5:$C$83=D28)*('Control Mapping'!$F$5:$F$83="Y")*('Control Mapping'!$H$5:$H$83&gt;0)))</f>
        <v>5</v>
      </c>
      <c r="K28" s="31" t="n">
        <f aca="false">IF(NOT(ISNUMBER($G28)),"",SUMPRODUCT(('Control Mapping'!$C$5:$C$83=D28)*('Control Mapping'!$F$5:$F$83="Y")*('Control Mapping'!$H$5:$H$83=4)))</f>
        <v>2</v>
      </c>
      <c r="L28" s="29" t="n">
        <f aca="false">IF(NOT(ISNUMBER($G28)),"",IFERROR(SUMPRODUCT(('Control Mapping'!$C$5:$C$83=D28)*'Control Mapping'!$E$5:$E$83*'Control Mapping'!$H$5:$H$83)/SUMPRODUCT(('Control Mapping'!$C$5:$C$83=D28)*'Control Mapping'!$E$5:$E$83*('Control Mapping'!$H$5:$H$83&gt;0)),""))</f>
        <v>2.54545454545455</v>
      </c>
      <c r="M28" s="34" t="n">
        <f aca="false">IF(NOT(ISNUMBER($G28)),"",IF(J28=0,4,MAX(MATCH(L28,'Residual Config'!$E$11:$E$14,1),IF(K28&gt;0,'Residual Config'!$C$7,1))))</f>
        <v>3</v>
      </c>
      <c r="N28" s="7" t="str">
        <f aca="false">IF(NOT(ISNUMBER($G28)),"",IF(J28=0,"Ineffective (no key control)",INDEX('Residual Config'!$B$11:$B$14,M28)))</f>
        <v>Partially effective</v>
      </c>
      <c r="O28" s="36" t="n">
        <f aca="false">IF(NOT(ISNUMBER($G28)),"",IF(J28=0,0,SUMPRODUCT(('Control Mapping'!$C$5:$C$83=D28)*'Control Mapping'!$E$5:$E$83*(('Control Mapping'!$H$5:$H$83=1)*'Residual Config'!$D$11+('Control Mapping'!$H$5:$H$83=2)*'Residual Config'!$D$12+('Control Mapping'!$H$5:$H$83=3)*'Residual Config'!$D$13+('Control Mapping'!$H$5:$H$83=4)*'Residual Config'!$D$14))/SUMPRODUCT(('Control Mapping'!$C$5:$C$83=D28)*'Control Mapping'!$E$5:$E$83*('Control Mapping'!$H$5:$H$83&gt;0))))</f>
        <v>0.290909090909091</v>
      </c>
      <c r="P28" s="31" t="n">
        <f aca="false">IF(NOT(ISNUMBER($G28)),"",INDEX('Residual Config'!$B$19:$E$23,6-G28,M28))</f>
        <v>3</v>
      </c>
      <c r="Q28" s="29" t="n">
        <f aca="false">IF(NOT(ISNUMBER($G28)),"",MAX(1,F28*(1-O28)))</f>
        <v>1.97583116883117</v>
      </c>
      <c r="R28" s="31" t="n">
        <f aca="false">IF(NOT(ISNUMBER($G28)),"",MAX(MATCH(Q28,Config!$D$5:$D$9,1),G28-'Residual Config'!$C$6))</f>
        <v>2</v>
      </c>
      <c r="S28" s="34" t="n">
        <f aca="false">IF(NOT(ISNUMBER($G28)),"",IF('Residual Config'!$C$5="Numeric",R28,P28))</f>
        <v>3</v>
      </c>
      <c r="T28" s="7" t="str">
        <f aca="false">IF(G28="N/A","N/A",IF(S28="","No data",INDEX(Config!$B$5:$B$9,S28)))</f>
        <v>Medium</v>
      </c>
      <c r="U28" s="32" t="n">
        <v>0</v>
      </c>
      <c r="V28" s="8"/>
      <c r="W28" s="33"/>
      <c r="X28" s="34" t="n">
        <f aca="false">IF(S28="","",IF(AND(W28="Y",U28&lt;&gt;0),MAX(1,MIN(5,S28+MAX(-Config!$C$27,MIN(Config!$C$27,U28)))),S28))</f>
        <v>3</v>
      </c>
      <c r="Y28" s="35" t="str">
        <f aca="false">IF(G28="N/A","N/A",IF(X28="","No data",INDEX(Config!$B$5:$B$9,X28)))</f>
        <v>Medium</v>
      </c>
      <c r="Z28" s="7" t="str">
        <f aca="false">IF(U28=0,"None",IF(W28="Y","Applied","Pending HO approval"))</f>
        <v>None</v>
      </c>
      <c r="AA28" s="12" t="str">
        <f aca="false">INDEX('Risk Taxonomy'!$G$5:$G$24,MATCH(D28,'Risk Taxonomy'!$A$5:$A$24,0))</f>
        <v>Zero tolerance</v>
      </c>
      <c r="AB28" s="7" t="str">
        <f aca="false">INDEX('Risk Taxonomy'!$H$5:$H$24,MATCH(D28,'Risk Taxonomy'!$A$5:$A$24,0))</f>
        <v>Low</v>
      </c>
      <c r="AC28" s="35" t="str">
        <f aca="false">IF(NOT(ISNUMBER(X28)),"",IF(X28&lt;=MATCH(AB28,Config!$B$5:$B$9,0),"Within",IF(OR(X28-MATCH(AB28,Config!$B$5:$B$9,0)&gt;=2,AND('Residual Config'!$C$8="Y",ISNUMBER(SEARCH("Zero",AA28)))),"Red","Amber")))</f>
        <v>Red</v>
      </c>
      <c r="AD28" s="12" t="str">
        <f aca="false">IF(AC28="Red","Group CCO / CRO and Country CEO within 2 business days; action plan in 15 days; report to Board Risk &amp; Compliance Committee",IF(AC28="Amber","Country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29" customFormat="false" ht="15" hidden="false" customHeight="false" outlineLevel="0" collapsed="false">
      <c r="A29" s="26" t="str">
        <f aca="false">Entities!$A$6</f>
        <v>JO-IIAB</v>
      </c>
      <c r="B29" s="12" t="str">
        <f aca="false">INDEX(Entities!$B$5:$B$34,MATCH(A29,Entities!$A$5:$A$34,0))</f>
        <v>Islamic International Arab Bank</v>
      </c>
      <c r="C29" s="12" t="str">
        <f aca="false">INDEX(Entities!$D$5:$D$34,MATCH(A29,Entities!$A$5:$A$34,0))</f>
        <v>Jordan (home)</v>
      </c>
      <c r="D29" s="12" t="s">
        <v>275</v>
      </c>
      <c r="E29" s="12" t="str">
        <f aca="false">INDEX('Risk Taxonomy'!$B$5:$B$24,MATCH(D29,'Risk Taxonomy'!$A$5:$A$24,0))</f>
        <v>Bribery and corruption</v>
      </c>
      <c r="F29" s="29" t="n">
        <f aca="false">IF(NOT(ISNUMBER(G29)),"",IFERROR(IF(MATCH(SUMIFS('FC Calculation'!$N$5:$N$214,'FC Calculation'!$A$5:$A$214,A29,'FC Calculation'!$D$5:$D$214,D29),Config!$D$5:$D$9,1)=G29,SUMIFS('FC Calculation'!$N$5:$N$214,'FC Calculation'!$A$5:$A$214,A29,'FC Calculation'!$D$5:$D$214,D29),G29),G29))</f>
        <v>2.92</v>
      </c>
      <c r="G29" s="34" t="n">
        <f aca="false">IF(COUNTIFS('FC Calculation'!$A$5:$A$214,A29,'FC Calculation'!$D$5:$D$214,D29,'FC Calculation'!$T$5:$T$214,"&gt;0")=0,"",SUMIFS('FC Calculation'!$T$5:$T$214,'FC Calculation'!$A$5:$A$214,A29,'FC Calculation'!$D$5:$D$214,D29))</f>
        <v>3</v>
      </c>
      <c r="H29" s="7" t="str">
        <f aca="false">IF(G29="N/A","N/A",IF(G29="","No data",INDEX(Config!$B$5:$B$9,G29)))</f>
        <v>Medium</v>
      </c>
      <c r="I29" s="31" t="n">
        <f aca="false">IF(NOT(ISNUMBER($G29)),"",SUMPRODUCT(('Control Mapping'!$C$5:$C$83=D29)*('Control Mapping'!$H$5:$H$83&gt;0)))</f>
        <v>5</v>
      </c>
      <c r="J29" s="31" t="n">
        <f aca="false">IF(NOT(ISNUMBER($G29)),"",SUMPRODUCT(('Control Mapping'!$C$5:$C$83=D29)*('Control Mapping'!$F$5:$F$83="Y")*('Control Mapping'!$H$5:$H$83&gt;0)))</f>
        <v>2</v>
      </c>
      <c r="K29" s="31" t="n">
        <f aca="false">IF(NOT(ISNUMBER($G29)),"",SUMPRODUCT(('Control Mapping'!$C$5:$C$83=D29)*('Control Mapping'!$F$5:$F$83="Y")*('Control Mapping'!$H$5:$H$83=4)))</f>
        <v>0</v>
      </c>
      <c r="L29" s="29" t="n">
        <f aca="false">IF(NOT(ISNUMBER($G29)),"",IFERROR(SUMPRODUCT(('Control Mapping'!$C$5:$C$83=D29)*'Control Mapping'!$E$5:$E$83*'Control Mapping'!$H$5:$H$83)/SUMPRODUCT(('Control Mapping'!$C$5:$C$83=D29)*'Control Mapping'!$E$5:$E$83*('Control Mapping'!$H$5:$H$83&gt;0)),""))</f>
        <v>2.22222222222222</v>
      </c>
      <c r="M29" s="34" t="n">
        <f aca="false">IF(NOT(ISNUMBER($G29)),"",IF(J29=0,4,MAX(MATCH(L29,'Residual Config'!$E$11:$E$14,1),IF(K29&gt;0,'Residual Config'!$C$7,1))))</f>
        <v>2</v>
      </c>
      <c r="N29" s="7" t="str">
        <f aca="false">IF(NOT(ISNUMBER($G29)),"",IF(J29=0,"Ineffective (no key control)",INDEX('Residual Config'!$B$11:$B$14,M29)))</f>
        <v>Largely effective</v>
      </c>
      <c r="O29" s="36" t="n">
        <f aca="false">IF(NOT(ISNUMBER($G29)),"",IF(J29=0,0,SUMPRODUCT(('Control Mapping'!$C$5:$C$83=D29)*'Control Mapping'!$E$5:$E$83*(('Control Mapping'!$H$5:$H$83=1)*'Residual Config'!$D$11+('Control Mapping'!$H$5:$H$83=2)*'Residual Config'!$D$12+('Control Mapping'!$H$5:$H$83=3)*'Residual Config'!$D$13+('Control Mapping'!$H$5:$H$83=4)*'Residual Config'!$D$14))/SUMPRODUCT(('Control Mapping'!$C$5:$C$83=D29)*'Control Mapping'!$E$5:$E$83*('Control Mapping'!$H$5:$H$83&gt;0))))</f>
        <v>0.355555555555556</v>
      </c>
      <c r="P29" s="31" t="n">
        <f aca="false">IF(NOT(ISNUMBER($G29)),"",INDEX('Residual Config'!$B$19:$E$23,6-G29,M29))</f>
        <v>2</v>
      </c>
      <c r="Q29" s="29" t="n">
        <f aca="false">IF(NOT(ISNUMBER($G29)),"",MAX(1,F29*(1-O29)))</f>
        <v>1.88177777777778</v>
      </c>
      <c r="R29" s="31" t="n">
        <f aca="false">IF(NOT(ISNUMBER($G29)),"",MAX(MATCH(Q29,Config!$D$5:$D$9,1),G29-'Residual Config'!$C$6))</f>
        <v>2</v>
      </c>
      <c r="S29" s="34" t="n">
        <f aca="false">IF(NOT(ISNUMBER($G29)),"",IF('Residual Config'!$C$5="Numeric",R29,P29))</f>
        <v>2</v>
      </c>
      <c r="T29" s="7" t="str">
        <f aca="false">IF(G29="N/A","N/A",IF(S29="","No data",INDEX(Config!$B$5:$B$9,S29)))</f>
        <v>Medium-Low</v>
      </c>
      <c r="U29" s="32" t="n">
        <v>0</v>
      </c>
      <c r="V29" s="8"/>
      <c r="W29" s="33"/>
      <c r="X29" s="34" t="n">
        <f aca="false">IF(S29="","",IF(AND(W29="Y",U29&lt;&gt;0),MAX(1,MIN(5,S29+MAX(-Config!$C$27,MIN(Config!$C$27,U29)))),S29))</f>
        <v>2</v>
      </c>
      <c r="Y29" s="35" t="str">
        <f aca="false">IF(G29="N/A","N/A",IF(X29="","No data",INDEX(Config!$B$5:$B$9,X29)))</f>
        <v>Medium-Low</v>
      </c>
      <c r="Z29" s="7" t="str">
        <f aca="false">IF(U29=0,"None",IF(W29="Y","Applied","Pending HO approval"))</f>
        <v>None</v>
      </c>
      <c r="AA29" s="12" t="str">
        <f aca="false">INDEX('Risk Taxonomy'!$G$5:$G$24,MATCH(D29,'Risk Taxonomy'!$A$5:$A$24,0))</f>
        <v>Zero tolerance</v>
      </c>
      <c r="AB29" s="7" t="str">
        <f aca="false">INDEX('Risk Taxonomy'!$H$5:$H$24,MATCH(D29,'Risk Taxonomy'!$A$5:$A$24,0))</f>
        <v>Low</v>
      </c>
      <c r="AC29" s="35" t="str">
        <f aca="false">IF(NOT(ISNUMBER(X29)),"",IF(X29&lt;=MATCH(AB29,Config!$B$5:$B$9,0),"Within",IF(OR(X29-MATCH(AB29,Config!$B$5:$B$9,0)&gt;=2,AND('Residual Config'!$C$8="Y",ISNUMBER(SEARCH("Zero",AA29)))),"Red","Amber")))</f>
        <v>Amber</v>
      </c>
      <c r="AD29" s="12" t="str">
        <f aca="false">IF(AC29="Red","Group CCO / CRO and Country CEO within 2 business days; action plan in 15 days; report to Board Risk &amp; Compliance Committee",IF(AC29="Amber","Country CO, risk owner and HO Administrator within 5 business days; action plan in 30 days",""))</f>
        <v>Country CO, risk owner and HO Administrator within 5 business days; action plan in 30 days</v>
      </c>
    </row>
    <row r="30" customFormat="false" ht="15" hidden="false" customHeight="false" outlineLevel="0" collapsed="false">
      <c r="A30" s="26" t="str">
        <f aca="false">Entities!$A$6</f>
        <v>JO-IIAB</v>
      </c>
      <c r="B30" s="12" t="str">
        <f aca="false">INDEX(Entities!$B$5:$B$34,MATCH(A30,Entities!$A$5:$A$34,0))</f>
        <v>Islamic International Arab Bank</v>
      </c>
      <c r="C30" s="12" t="str">
        <f aca="false">INDEX(Entities!$D$5:$D$34,MATCH(A30,Entities!$A$5:$A$34,0))</f>
        <v>Jordan (home)</v>
      </c>
      <c r="D30" s="12" t="s">
        <v>278</v>
      </c>
      <c r="E30" s="12" t="str">
        <f aca="false">INDEX('Risk Taxonomy'!$B$5:$B$24,MATCH(D30,'Risk Taxonomy'!$A$5:$A$24,0))</f>
        <v>Fraud</v>
      </c>
      <c r="F30" s="29" t="n">
        <f aca="false">IF(NOT(ISNUMBER(G30)),"",IFERROR(IF(MATCH(SUMIFS('FC Calculation'!$N$5:$N$214,'FC Calculation'!$A$5:$A$214,A30,'FC Calculation'!$D$5:$D$214,D30),Config!$D$5:$D$9,1)=G30,SUMIFS('FC Calculation'!$N$5:$N$214,'FC Calculation'!$A$5:$A$214,A30,'FC Calculation'!$D$5:$D$214,D30),G30),G30))</f>
        <v>2.76166666666667</v>
      </c>
      <c r="G30" s="34" t="n">
        <f aca="false">IF(COUNTIFS('FC Calculation'!$A$5:$A$214,A30,'FC Calculation'!$D$5:$D$214,D30,'FC Calculation'!$T$5:$T$214,"&gt;0")=0,"",SUMIFS('FC Calculation'!$T$5:$T$214,'FC Calculation'!$A$5:$A$214,A30,'FC Calculation'!$D$5:$D$214,D30))</f>
        <v>3</v>
      </c>
      <c r="H30" s="7" t="str">
        <f aca="false">IF(G30="N/A","N/A",IF(G30="","No data",INDEX(Config!$B$5:$B$9,G30)))</f>
        <v>Medium</v>
      </c>
      <c r="I30" s="31" t="n">
        <f aca="false">IF(NOT(ISNUMBER($G30)),"",SUMPRODUCT(('Control Mapping'!$C$5:$C$83=D30)*('Control Mapping'!$H$5:$H$83&gt;0)))</f>
        <v>6</v>
      </c>
      <c r="J30" s="31" t="n">
        <f aca="false">IF(NOT(ISNUMBER($G30)),"",SUMPRODUCT(('Control Mapping'!$C$5:$C$83=D30)*('Control Mapping'!$F$5:$F$83="Y")*('Control Mapping'!$H$5:$H$83&gt;0)))</f>
        <v>5</v>
      </c>
      <c r="K30" s="31" t="n">
        <f aca="false">IF(NOT(ISNUMBER($G30)),"",SUMPRODUCT(('Control Mapping'!$C$5:$C$83=D30)*('Control Mapping'!$F$5:$F$83="Y")*('Control Mapping'!$H$5:$H$83=4)))</f>
        <v>0</v>
      </c>
      <c r="L30" s="29" t="n">
        <f aca="false">IF(NOT(ISNUMBER($G30)),"",IFERROR(SUMPRODUCT(('Control Mapping'!$C$5:$C$83=D30)*'Control Mapping'!$E$5:$E$83*'Control Mapping'!$H$5:$H$83)/SUMPRODUCT(('Control Mapping'!$C$5:$C$83=D30)*'Control Mapping'!$E$5:$E$83*('Control Mapping'!$H$5:$H$83&gt;0)),""))</f>
        <v>2</v>
      </c>
      <c r="M30" s="34" t="n">
        <f aca="false">IF(NOT(ISNUMBER($G30)),"",IF(J30=0,4,MAX(MATCH(L30,'Residual Config'!$E$11:$E$14,1),IF(K30&gt;0,'Residual Config'!$C$7,1))))</f>
        <v>2</v>
      </c>
      <c r="N30" s="7" t="str">
        <f aca="false">IF(NOT(ISNUMBER($G30)),"",IF(J30=0,"Ineffective (no key control)",INDEX('Residual Config'!$B$11:$B$14,M30)))</f>
        <v>Largely effective</v>
      </c>
      <c r="O30" s="36" t="n">
        <f aca="false">IF(NOT(ISNUMBER($G30)),"",IF(J30=0,0,SUMPRODUCT(('Control Mapping'!$C$5:$C$83=D30)*'Control Mapping'!$E$5:$E$83*(('Control Mapping'!$H$5:$H$83=1)*'Residual Config'!$D$11+('Control Mapping'!$H$5:$H$83=2)*'Residual Config'!$D$12+('Control Mapping'!$H$5:$H$83=3)*'Residual Config'!$D$13+('Control Mapping'!$H$5:$H$83=4)*'Residual Config'!$D$14))/SUMPRODUCT(('Control Mapping'!$C$5:$C$83=D30)*'Control Mapping'!$E$5:$E$83*('Control Mapping'!$H$5:$H$83&gt;0))))</f>
        <v>0.4</v>
      </c>
      <c r="P30" s="31" t="n">
        <f aca="false">IF(NOT(ISNUMBER($G30)),"",INDEX('Residual Config'!$B$19:$E$23,6-G30,M30))</f>
        <v>2</v>
      </c>
      <c r="Q30" s="29" t="n">
        <f aca="false">IF(NOT(ISNUMBER($G30)),"",MAX(1,F30*(1-O30)))</f>
        <v>1.657</v>
      </c>
      <c r="R30" s="31" t="n">
        <f aca="false">IF(NOT(ISNUMBER($G30)),"",MAX(MATCH(Q30,Config!$D$5:$D$9,1),G30-'Residual Config'!$C$6))</f>
        <v>1</v>
      </c>
      <c r="S30" s="34" t="n">
        <f aca="false">IF(NOT(ISNUMBER($G30)),"",IF('Residual Config'!$C$5="Numeric",R30,P30))</f>
        <v>2</v>
      </c>
      <c r="T30" s="7" t="str">
        <f aca="false">IF(G30="N/A","N/A",IF(S30="","No data",INDEX(Config!$B$5:$B$9,S30)))</f>
        <v>Medium-Low</v>
      </c>
      <c r="U30" s="32" t="n">
        <v>0</v>
      </c>
      <c r="V30" s="8"/>
      <c r="W30" s="33"/>
      <c r="X30" s="34" t="n">
        <f aca="false">IF(S30="","",IF(AND(W30="Y",U30&lt;&gt;0),MAX(1,MIN(5,S30+MAX(-Config!$C$27,MIN(Config!$C$27,U30)))),S30))</f>
        <v>2</v>
      </c>
      <c r="Y30" s="35" t="str">
        <f aca="false">IF(G30="N/A","N/A",IF(X30="","No data",INDEX(Config!$B$5:$B$9,X30)))</f>
        <v>Medium-Low</v>
      </c>
      <c r="Z30" s="7" t="str">
        <f aca="false">IF(U30=0,"None",IF(W30="Y","Applied","Pending HO approval"))</f>
        <v>None</v>
      </c>
      <c r="AA30" s="12" t="str">
        <f aca="false">INDEX('Risk Taxonomy'!$G$5:$G$24,MATCH(D30,'Risk Taxonomy'!$A$5:$A$24,0))</f>
        <v>Low</v>
      </c>
      <c r="AB30" s="7" t="str">
        <f aca="false">INDEX('Risk Taxonomy'!$H$5:$H$24,MATCH(D30,'Risk Taxonomy'!$A$5:$A$24,0))</f>
        <v>Medium</v>
      </c>
      <c r="AC30" s="35" t="str">
        <f aca="false">IF(NOT(ISNUMBER(X30)),"",IF(X30&lt;=MATCH(AB30,Config!$B$5:$B$9,0),"Within",IF(OR(X30-MATCH(AB30,Config!$B$5:$B$9,0)&gt;=2,AND('Residual Config'!$C$8="Y",ISNUMBER(SEARCH("Zero",AA30)))),"Red","Amber")))</f>
        <v>Within</v>
      </c>
      <c r="AD30" s="12" t="str">
        <f aca="false">IF(AC30="Red","Group CCO / CRO and Country CEO within 2 business days; action plan in 15 days; report to Board Risk &amp; Compliance Committee",IF(AC30="Amber","Country CO, risk owner and HO Administrator within 5 business days; action plan in 30 days",""))</f>
        <v/>
      </c>
    </row>
    <row r="31" customFormat="false" ht="15" hidden="false" customHeight="false" outlineLevel="0" collapsed="false">
      <c r="A31" s="26" t="str">
        <f aca="false">Entities!$A$6</f>
        <v>JO-IIAB</v>
      </c>
      <c r="B31" s="12" t="str">
        <f aca="false">INDEX(Entities!$B$5:$B$34,MATCH(A31,Entities!$A$5:$A$34,0))</f>
        <v>Islamic International Arab Bank</v>
      </c>
      <c r="C31" s="12" t="str">
        <f aca="false">INDEX(Entities!$D$5:$D$34,MATCH(A31,Entities!$A$5:$A$34,0))</f>
        <v>Jordan (home)</v>
      </c>
      <c r="D31" s="12" t="s">
        <v>281</v>
      </c>
      <c r="E31" s="12" t="str">
        <f aca="false">INDEX('Risk Taxonomy'!$B$5:$B$24,MATCH(D31,'Risk Taxonomy'!$A$5:$A$24,0))</f>
        <v>Tax evasion and tax transparency</v>
      </c>
      <c r="F31" s="29" t="n">
        <f aca="false">IF(NOT(ISNUMBER(G31)),"",IFERROR(IF(MATCH(SUMIFS('FC Calculation'!$N$5:$N$214,'FC Calculation'!$A$5:$A$214,A31,'FC Calculation'!$D$5:$D$214,D31),Config!$D$5:$D$9,1)=G31,SUMIFS('FC Calculation'!$N$5:$N$214,'FC Calculation'!$A$5:$A$214,A31,'FC Calculation'!$D$5:$D$214,D31),G31),G31))</f>
        <v>2.83611111111111</v>
      </c>
      <c r="G31" s="34" t="n">
        <f aca="false">IF(COUNTIFS('FC Calculation'!$A$5:$A$214,A31,'FC Calculation'!$D$5:$D$214,D31,'FC Calculation'!$T$5:$T$214,"&gt;0")=0,"",SUMIFS('FC Calculation'!$T$5:$T$214,'FC Calculation'!$A$5:$A$214,A31,'FC Calculation'!$D$5:$D$214,D31))</f>
        <v>3</v>
      </c>
      <c r="H31" s="7" t="str">
        <f aca="false">IF(G31="N/A","N/A",IF(G31="","No data",INDEX(Config!$B$5:$B$9,G31)))</f>
        <v>Medium</v>
      </c>
      <c r="I31" s="31" t="n">
        <f aca="false">IF(NOT(ISNUMBER($G31)),"",SUMPRODUCT(('Control Mapping'!$C$5:$C$83=D31)*('Control Mapping'!$H$5:$H$83&gt;0)))</f>
        <v>5</v>
      </c>
      <c r="J31" s="31" t="n">
        <f aca="false">IF(NOT(ISNUMBER($G31)),"",SUMPRODUCT(('Control Mapping'!$C$5:$C$83=D31)*('Control Mapping'!$F$5:$F$83="Y")*('Control Mapping'!$H$5:$H$83&gt;0)))</f>
        <v>4</v>
      </c>
      <c r="K31" s="31" t="n">
        <f aca="false">IF(NOT(ISNUMBER($G31)),"",SUMPRODUCT(('Control Mapping'!$C$5:$C$83=D31)*('Control Mapping'!$F$5:$F$83="Y")*('Control Mapping'!$H$5:$H$83=4)))</f>
        <v>1</v>
      </c>
      <c r="L31" s="29" t="n">
        <f aca="false">IF(NOT(ISNUMBER($G31)),"",IFERROR(SUMPRODUCT(('Control Mapping'!$C$5:$C$83=D31)*'Control Mapping'!$E$5:$E$83*'Control Mapping'!$H$5:$H$83)/SUMPRODUCT(('Control Mapping'!$C$5:$C$83=D31)*'Control Mapping'!$E$5:$E$83*('Control Mapping'!$H$5:$H$83&gt;0)),""))</f>
        <v>2.11111111111111</v>
      </c>
      <c r="M31" s="34" t="n">
        <f aca="false">IF(NOT(ISNUMBER($G31)),"",IF(J31=0,4,MAX(MATCH(L31,'Residual Config'!$E$11:$E$14,1),IF(K31&gt;0,'Residual Config'!$C$7,1))))</f>
        <v>3</v>
      </c>
      <c r="N31" s="7" t="str">
        <f aca="false">IF(NOT(ISNUMBER($G31)),"",IF(J31=0,"Ineffective (no key control)",INDEX('Residual Config'!$B$11:$B$14,M31)))</f>
        <v>Partially effective</v>
      </c>
      <c r="O31" s="36" t="n">
        <f aca="false">IF(NOT(ISNUMBER($G31)),"",IF(J31=0,0,SUMPRODUCT(('Control Mapping'!$C$5:$C$83=D31)*'Control Mapping'!$E$5:$E$83*(('Control Mapping'!$H$5:$H$83=1)*'Residual Config'!$D$11+('Control Mapping'!$H$5:$H$83=2)*'Residual Config'!$D$12+('Control Mapping'!$H$5:$H$83=3)*'Residual Config'!$D$13+('Control Mapping'!$H$5:$H$83=4)*'Residual Config'!$D$14))/SUMPRODUCT(('Control Mapping'!$C$5:$C$83=D31)*'Control Mapping'!$E$5:$E$83*('Control Mapping'!$H$5:$H$83&gt;0))))</f>
        <v>0.377777777777778</v>
      </c>
      <c r="P31" s="31" t="n">
        <f aca="false">IF(NOT(ISNUMBER($G31)),"",INDEX('Residual Config'!$B$19:$E$23,6-G31,M31))</f>
        <v>3</v>
      </c>
      <c r="Q31" s="29" t="n">
        <f aca="false">IF(NOT(ISNUMBER($G31)),"",MAX(1,F31*(1-O31)))</f>
        <v>1.76469135802469</v>
      </c>
      <c r="R31" s="31" t="n">
        <f aca="false">IF(NOT(ISNUMBER($G31)),"",MAX(MATCH(Q31,Config!$D$5:$D$9,1),G31-'Residual Config'!$C$6))</f>
        <v>1</v>
      </c>
      <c r="S31" s="34" t="n">
        <f aca="false">IF(NOT(ISNUMBER($G31)),"",IF('Residual Config'!$C$5="Numeric",R31,P31))</f>
        <v>3</v>
      </c>
      <c r="T31" s="7" t="str">
        <f aca="false">IF(G31="N/A","N/A",IF(S31="","No data",INDEX(Config!$B$5:$B$9,S31)))</f>
        <v>Medium</v>
      </c>
      <c r="U31" s="32" t="n">
        <v>0</v>
      </c>
      <c r="V31" s="8"/>
      <c r="W31" s="33"/>
      <c r="X31" s="34" t="n">
        <f aca="false">IF(S31="","",IF(AND(W31="Y",U31&lt;&gt;0),MAX(1,MIN(5,S31+MAX(-Config!$C$27,MIN(Config!$C$27,U31)))),S31))</f>
        <v>3</v>
      </c>
      <c r="Y31" s="35" t="str">
        <f aca="false">IF(G31="N/A","N/A",IF(X31="","No data",INDEX(Config!$B$5:$B$9,X31)))</f>
        <v>Medium</v>
      </c>
      <c r="Z31" s="7" t="str">
        <f aca="false">IF(U31=0,"None",IF(W31="Y","Applied","Pending HO approval"))</f>
        <v>None</v>
      </c>
      <c r="AA31" s="12" t="str">
        <f aca="false">INDEX('Risk Taxonomy'!$G$5:$G$24,MATCH(D31,'Risk Taxonomy'!$A$5:$A$24,0))</f>
        <v>Zero tolerance (facilitation)</v>
      </c>
      <c r="AB31" s="7" t="str">
        <f aca="false">INDEX('Risk Taxonomy'!$H$5:$H$24,MATCH(D31,'Risk Taxonomy'!$A$5:$A$24,0))</f>
        <v>Low</v>
      </c>
      <c r="AC31" s="35" t="str">
        <f aca="false">IF(NOT(ISNUMBER(X31)),"",IF(X31&lt;=MATCH(AB31,Config!$B$5:$B$9,0),"Within",IF(OR(X31-MATCH(AB31,Config!$B$5:$B$9,0)&gt;=2,AND('Residual Config'!$C$8="Y",ISNUMBER(SEARCH("Zero",AA31)))),"Red","Amber")))</f>
        <v>Red</v>
      </c>
      <c r="AD31" s="12" t="str">
        <f aca="false">IF(AC31="Red","Group CCO / CRO and Country CEO within 2 business days; action plan in 15 days; report to Board Risk &amp; Compliance Committee",IF(AC31="Amber","Country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2" customFormat="false" ht="15" hidden="false" customHeight="false" outlineLevel="0" collapsed="false">
      <c r="A32" s="26" t="str">
        <f aca="false">Entities!$A$6</f>
        <v>JO-IIAB</v>
      </c>
      <c r="B32" s="12" t="str">
        <f aca="false">INDEX(Entities!$B$5:$B$34,MATCH(A32,Entities!$A$5:$A$34,0))</f>
        <v>Islamic International Arab Bank</v>
      </c>
      <c r="C32" s="12" t="str">
        <f aca="false">INDEX(Entities!$D$5:$D$34,MATCH(A32,Entities!$A$5:$A$34,0))</f>
        <v>Jordan (home)</v>
      </c>
      <c r="D32" s="12" t="s">
        <v>284</v>
      </c>
      <c r="E32" s="12" t="str">
        <f aca="false">INDEX('Risk Taxonomy'!$B$5:$B$24,MATCH(D32,'Risk Taxonomy'!$A$5:$A$24,0))</f>
        <v>Regulatory compliance</v>
      </c>
      <c r="F32" s="29" t="n">
        <f aca="false">IF(NOT(ISNUMBER(G32)),"",G32)</f>
        <v>5</v>
      </c>
      <c r="G32" s="34" t="n">
        <f aca="false">IF(COUNTIFS('LxI Assessment'!$A$5:$A$394,A32,'LxI Assessment'!$D$5:$D$394,D32,'LxI Assessment'!$F$5:$F$394,"N/A")&gt;0,"N/A",IF(COUNTIFS('LxI Assessment'!$A$5:$A$394,A32,'LxI Assessment'!$D$5:$D$394,D32,'LxI Assessment'!$S$5:$S$394,"&gt;0")=0,"",SUMIFS('LxI Assessment'!$S$5:$S$394,'LxI Assessment'!$A$5:$A$394,A32,'LxI Assessment'!$D$5:$D$394,D32)))</f>
        <v>5</v>
      </c>
      <c r="H32" s="7" t="str">
        <f aca="false">IF(G32="N/A","N/A",IF(G32="","No data",INDEX(Config!$B$5:$B$9,G32)))</f>
        <v>High</v>
      </c>
      <c r="I32" s="31" t="n">
        <f aca="false">IF(NOT(ISNUMBER($G32)),"",SUMPRODUCT(('Control Mapping'!$C$5:$C$83=D32)*('Control Mapping'!$H$5:$H$83&gt;0)))</f>
        <v>4</v>
      </c>
      <c r="J32" s="31" t="n">
        <f aca="false">IF(NOT(ISNUMBER($G32)),"",SUMPRODUCT(('Control Mapping'!$C$5:$C$83=D32)*('Control Mapping'!$F$5:$F$83="Y")*('Control Mapping'!$H$5:$H$83&gt;0)))</f>
        <v>3</v>
      </c>
      <c r="K32" s="31" t="n">
        <f aca="false">IF(NOT(ISNUMBER($G32)),"",SUMPRODUCT(('Control Mapping'!$C$5:$C$83=D32)*('Control Mapping'!$F$5:$F$83="Y")*('Control Mapping'!$H$5:$H$83=4)))</f>
        <v>0</v>
      </c>
      <c r="L32" s="29" t="n">
        <f aca="false">IF(NOT(ISNUMBER($G32)),"",IFERROR(SUMPRODUCT(('Control Mapping'!$C$5:$C$83=D32)*'Control Mapping'!$E$5:$E$83*'Control Mapping'!$H$5:$H$83)/SUMPRODUCT(('Control Mapping'!$C$5:$C$83=D32)*'Control Mapping'!$E$5:$E$83*('Control Mapping'!$H$5:$H$83&gt;0)),""))</f>
        <v>1.85714285714286</v>
      </c>
      <c r="M32" s="34" t="n">
        <f aca="false">IF(NOT(ISNUMBER($G32)),"",IF(J32=0,4,MAX(MATCH(L32,'Residual Config'!$E$11:$E$14,1),IF(K32&gt;0,'Residual Config'!$C$7,1))))</f>
        <v>2</v>
      </c>
      <c r="N32" s="7" t="str">
        <f aca="false">IF(NOT(ISNUMBER($G32)),"",IF(J32=0,"Ineffective (no key control)",INDEX('Residual Config'!$B$11:$B$14,M32)))</f>
        <v>Largely effective</v>
      </c>
      <c r="O32" s="36" t="n">
        <f aca="false">IF(NOT(ISNUMBER($G32)),"",IF(J32=0,0,SUMPRODUCT(('Control Mapping'!$C$5:$C$83=D32)*'Control Mapping'!$E$5:$E$83*(('Control Mapping'!$H$5:$H$83=1)*'Residual Config'!$D$11+('Control Mapping'!$H$5:$H$83=2)*'Residual Config'!$D$12+('Control Mapping'!$H$5:$H$83=3)*'Residual Config'!$D$13+('Control Mapping'!$H$5:$H$83=4)*'Residual Config'!$D$14))/SUMPRODUCT(('Control Mapping'!$C$5:$C$83=D32)*'Control Mapping'!$E$5:$E$83*('Control Mapping'!$H$5:$H$83&gt;0))))</f>
        <v>0.428571428571429</v>
      </c>
      <c r="P32" s="31" t="n">
        <f aca="false">IF(NOT(ISNUMBER($G32)),"",INDEX('Residual Config'!$B$19:$E$23,6-G32,M32))</f>
        <v>4</v>
      </c>
      <c r="Q32" s="29" t="n">
        <f aca="false">IF(NOT(ISNUMBER($G32)),"",MAX(1,F32*(1-O32)))</f>
        <v>2.85714285714286</v>
      </c>
      <c r="R32" s="31" t="n">
        <f aca="false">IF(NOT(ISNUMBER($G32)),"",MAX(MATCH(Q32,Config!$D$5:$D$9,1),G32-'Residual Config'!$C$6))</f>
        <v>3</v>
      </c>
      <c r="S32" s="34" t="n">
        <f aca="false">IF(NOT(ISNUMBER($G32)),"",IF('Residual Config'!$C$5="Numeric",R32,P32))</f>
        <v>4</v>
      </c>
      <c r="T32" s="7" t="str">
        <f aca="false">IF(G32="N/A","N/A",IF(S32="","No data",INDEX(Config!$B$5:$B$9,S32)))</f>
        <v>Medium-High</v>
      </c>
      <c r="U32" s="32" t="n">
        <v>0</v>
      </c>
      <c r="V32" s="8"/>
      <c r="W32" s="33"/>
      <c r="X32" s="34" t="n">
        <f aca="false">IF(S32="","",IF(AND(W32="Y",U32&lt;&gt;0),MAX(1,MIN(5,S32+MAX(-Config!$C$27,MIN(Config!$C$27,U32)))),S32))</f>
        <v>4</v>
      </c>
      <c r="Y32" s="35" t="str">
        <f aca="false">IF(G32="N/A","N/A",IF(X32="","No data",INDEX(Config!$B$5:$B$9,X32)))</f>
        <v>Medium-High</v>
      </c>
      <c r="Z32" s="7" t="str">
        <f aca="false">IF(U32=0,"None",IF(W32="Y","Applied","Pending HO approval"))</f>
        <v>None</v>
      </c>
      <c r="AA32" s="12" t="str">
        <f aca="false">INDEX('Risk Taxonomy'!$G$5:$G$24,MATCH(D32,'Risk Taxonomy'!$A$5:$A$24,0))</f>
        <v>Very low</v>
      </c>
      <c r="AB32" s="7" t="str">
        <f aca="false">INDEX('Risk Taxonomy'!$H$5:$H$24,MATCH(D32,'Risk Taxonomy'!$A$5:$A$24,0))</f>
        <v>Medium-Low</v>
      </c>
      <c r="AC32" s="35" t="str">
        <f aca="false">IF(NOT(ISNUMBER(X32)),"",IF(X32&lt;=MATCH(AB32,Config!$B$5:$B$9,0),"Within",IF(OR(X32-MATCH(AB32,Config!$B$5:$B$9,0)&gt;=2,AND('Residual Config'!$C$8="Y",ISNUMBER(SEARCH("Zero",AA32)))),"Red","Amber")))</f>
        <v>Red</v>
      </c>
      <c r="AD32" s="12" t="str">
        <f aca="false">IF(AC32="Red","Group CCO / CRO and Country CEO within 2 business days; action plan in 15 days; report to Board Risk &amp; Compliance Committee",IF(AC32="Amber","Country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3" customFormat="false" ht="15" hidden="false" customHeight="false" outlineLevel="0" collapsed="false">
      <c r="A33" s="26" t="str">
        <f aca="false">Entities!$A$6</f>
        <v>JO-IIAB</v>
      </c>
      <c r="B33" s="12" t="str">
        <f aca="false">INDEX(Entities!$B$5:$B$34,MATCH(A33,Entities!$A$5:$A$34,0))</f>
        <v>Islamic International Arab Bank</v>
      </c>
      <c r="C33" s="12" t="str">
        <f aca="false">INDEX(Entities!$D$5:$D$34,MATCH(A33,Entities!$A$5:$A$34,0))</f>
        <v>Jordan (home)</v>
      </c>
      <c r="D33" s="12" t="s">
        <v>288</v>
      </c>
      <c r="E33" s="12" t="str">
        <f aca="false">INDEX('Risk Taxonomy'!$B$5:$B$24,MATCH(D33,'Risk Taxonomy'!$A$5:$A$24,0))</f>
        <v>Conduct and consumer protection</v>
      </c>
      <c r="F33" s="29" t="n">
        <f aca="false">IF(NOT(ISNUMBER(G33)),"",G33)</f>
        <v>3</v>
      </c>
      <c r="G33" s="34" t="n">
        <f aca="false">IF(COUNTIFS('LxI Assessment'!$A$5:$A$394,A33,'LxI Assessment'!$D$5:$D$394,D33,'LxI Assessment'!$F$5:$F$394,"N/A")&gt;0,"N/A",IF(COUNTIFS('LxI Assessment'!$A$5:$A$394,A33,'LxI Assessment'!$D$5:$D$394,D33,'LxI Assessment'!$S$5:$S$394,"&gt;0")=0,"",SUMIFS('LxI Assessment'!$S$5:$S$394,'LxI Assessment'!$A$5:$A$394,A33,'LxI Assessment'!$D$5:$D$394,D33)))</f>
        <v>3</v>
      </c>
      <c r="H33" s="7" t="str">
        <f aca="false">IF(G33="N/A","N/A",IF(G33="","No data",INDEX(Config!$B$5:$B$9,G33)))</f>
        <v>Medium</v>
      </c>
      <c r="I33" s="31" t="n">
        <f aca="false">IF(NOT(ISNUMBER($G33)),"",SUMPRODUCT(('Control Mapping'!$C$5:$C$83=D33)*('Control Mapping'!$H$5:$H$83&gt;0)))</f>
        <v>2</v>
      </c>
      <c r="J33" s="31" t="n">
        <f aca="false">IF(NOT(ISNUMBER($G33)),"",SUMPRODUCT(('Control Mapping'!$C$5:$C$83=D33)*('Control Mapping'!$F$5:$F$83="Y")*('Control Mapping'!$H$5:$H$83&gt;0)))</f>
        <v>1</v>
      </c>
      <c r="K33" s="31" t="n">
        <f aca="false">IF(NOT(ISNUMBER($G33)),"",SUMPRODUCT(('Control Mapping'!$C$5:$C$83=D33)*('Control Mapping'!$F$5:$F$83="Y")*('Control Mapping'!$H$5:$H$83=4)))</f>
        <v>0</v>
      </c>
      <c r="L33" s="29" t="n">
        <f aca="false">IF(NOT(ISNUMBER($G33)),"",IFERROR(SUMPRODUCT(('Control Mapping'!$C$5:$C$83=D33)*'Control Mapping'!$E$5:$E$83*'Control Mapping'!$H$5:$H$83)/SUMPRODUCT(('Control Mapping'!$C$5:$C$83=D33)*'Control Mapping'!$E$5:$E$83*('Control Mapping'!$H$5:$H$83&gt;0)),""))</f>
        <v>2</v>
      </c>
      <c r="M33" s="34" t="n">
        <f aca="false">IF(NOT(ISNUMBER($G33)),"",IF(J33=0,4,MAX(MATCH(L33,'Residual Config'!$E$11:$E$14,1),IF(K33&gt;0,'Residual Config'!$C$7,1))))</f>
        <v>2</v>
      </c>
      <c r="N33" s="7" t="str">
        <f aca="false">IF(NOT(ISNUMBER($G33)),"",IF(J33=0,"Ineffective (no key control)",INDEX('Residual Config'!$B$11:$B$14,M33)))</f>
        <v>Largely effective</v>
      </c>
      <c r="O33" s="36" t="n">
        <f aca="false">IF(NOT(ISNUMBER($G33)),"",IF(J33=0,0,SUMPRODUCT(('Control Mapping'!$C$5:$C$83=D33)*'Control Mapping'!$E$5:$E$83*(('Control Mapping'!$H$5:$H$83=1)*'Residual Config'!$D$11+('Control Mapping'!$H$5:$H$83=2)*'Residual Config'!$D$12+('Control Mapping'!$H$5:$H$83=3)*'Residual Config'!$D$13+('Control Mapping'!$H$5:$H$83=4)*'Residual Config'!$D$14))/SUMPRODUCT(('Control Mapping'!$C$5:$C$83=D33)*'Control Mapping'!$E$5:$E$83*('Control Mapping'!$H$5:$H$83&gt;0))))</f>
        <v>0.4</v>
      </c>
      <c r="P33" s="31" t="n">
        <f aca="false">IF(NOT(ISNUMBER($G33)),"",INDEX('Residual Config'!$B$19:$E$23,6-G33,M33))</f>
        <v>2</v>
      </c>
      <c r="Q33" s="29" t="n">
        <f aca="false">IF(NOT(ISNUMBER($G33)),"",MAX(1,F33*(1-O33)))</f>
        <v>1.8</v>
      </c>
      <c r="R33" s="31" t="n">
        <f aca="false">IF(NOT(ISNUMBER($G33)),"",MAX(MATCH(Q33,Config!$D$5:$D$9,1),G33-'Residual Config'!$C$6))</f>
        <v>1</v>
      </c>
      <c r="S33" s="34" t="n">
        <f aca="false">IF(NOT(ISNUMBER($G33)),"",IF('Residual Config'!$C$5="Numeric",R33,P33))</f>
        <v>2</v>
      </c>
      <c r="T33" s="7" t="str">
        <f aca="false">IF(G33="N/A","N/A",IF(S33="","No data",INDEX(Config!$B$5:$B$9,S33)))</f>
        <v>Medium-Low</v>
      </c>
      <c r="U33" s="32" t="n">
        <v>0</v>
      </c>
      <c r="V33" s="8"/>
      <c r="W33" s="33"/>
      <c r="X33" s="34" t="n">
        <f aca="false">IF(S33="","",IF(AND(W33="Y",U33&lt;&gt;0),MAX(1,MIN(5,S33+MAX(-Config!$C$27,MIN(Config!$C$27,U33)))),S33))</f>
        <v>2</v>
      </c>
      <c r="Y33" s="35" t="str">
        <f aca="false">IF(G33="N/A","N/A",IF(X33="","No data",INDEX(Config!$B$5:$B$9,X33)))</f>
        <v>Medium-Low</v>
      </c>
      <c r="Z33" s="7" t="str">
        <f aca="false">IF(U33=0,"None",IF(W33="Y","Applied","Pending HO approval"))</f>
        <v>None</v>
      </c>
      <c r="AA33" s="12" t="str">
        <f aca="false">INDEX('Risk Taxonomy'!$G$5:$G$24,MATCH(D33,'Risk Taxonomy'!$A$5:$A$24,0))</f>
        <v>Low</v>
      </c>
      <c r="AB33" s="7" t="str">
        <f aca="false">INDEX('Risk Taxonomy'!$H$5:$H$24,MATCH(D33,'Risk Taxonomy'!$A$5:$A$24,0))</f>
        <v>Medium</v>
      </c>
      <c r="AC33" s="35" t="str">
        <f aca="false">IF(NOT(ISNUMBER(X33)),"",IF(X33&lt;=MATCH(AB33,Config!$B$5:$B$9,0),"Within",IF(OR(X33-MATCH(AB33,Config!$B$5:$B$9,0)&gt;=2,AND('Residual Config'!$C$8="Y",ISNUMBER(SEARCH("Zero",AA33)))),"Red","Amber")))</f>
        <v>Within</v>
      </c>
      <c r="AD33" s="12" t="str">
        <f aca="false">IF(AC33="Red","Group CCO / CRO and Country CEO within 2 business days; action plan in 15 days; report to Board Risk &amp; Compliance Committee",IF(AC33="Amber","Country CO, risk owner and HO Administrator within 5 business days; action plan in 30 days",""))</f>
        <v/>
      </c>
    </row>
    <row r="34" customFormat="false" ht="15" hidden="false" customHeight="false" outlineLevel="0" collapsed="false">
      <c r="A34" s="26" t="str">
        <f aca="false">Entities!$A$6</f>
        <v>JO-IIAB</v>
      </c>
      <c r="B34" s="12" t="str">
        <f aca="false">INDEX(Entities!$B$5:$B$34,MATCH(A34,Entities!$A$5:$A$34,0))</f>
        <v>Islamic International Arab Bank</v>
      </c>
      <c r="C34" s="12" t="str">
        <f aca="false">INDEX(Entities!$D$5:$D$34,MATCH(A34,Entities!$A$5:$A$34,0))</f>
        <v>Jordan (home)</v>
      </c>
      <c r="D34" s="12" t="s">
        <v>290</v>
      </c>
      <c r="E34" s="12" t="str">
        <f aca="false">INDEX('Risk Taxonomy'!$B$5:$B$24,MATCH(D34,'Risk Taxonomy'!$A$5:$A$24,0))</f>
        <v>Data protection and privacy</v>
      </c>
      <c r="F34" s="29" t="n">
        <f aca="false">IF(NOT(ISNUMBER(G34)),"",G34)</f>
        <v>2</v>
      </c>
      <c r="G34" s="34" t="n">
        <f aca="false">IF(COUNTIFS('LxI Assessment'!$A$5:$A$394,A34,'LxI Assessment'!$D$5:$D$394,D34,'LxI Assessment'!$F$5:$F$394,"N/A")&gt;0,"N/A",IF(COUNTIFS('LxI Assessment'!$A$5:$A$394,A34,'LxI Assessment'!$D$5:$D$394,D34,'LxI Assessment'!$S$5:$S$394,"&gt;0")=0,"",SUMIFS('LxI Assessment'!$S$5:$S$394,'LxI Assessment'!$A$5:$A$394,A34,'LxI Assessment'!$D$5:$D$394,D34)))</f>
        <v>2</v>
      </c>
      <c r="H34" s="7" t="str">
        <f aca="false">IF(G34="N/A","N/A",IF(G34="","No data",INDEX(Config!$B$5:$B$9,G34)))</f>
        <v>Medium-Low</v>
      </c>
      <c r="I34" s="31" t="n">
        <f aca="false">IF(NOT(ISNUMBER($G34)),"",SUMPRODUCT(('Control Mapping'!$C$5:$C$83=D34)*('Control Mapping'!$H$5:$H$83&gt;0)))</f>
        <v>2</v>
      </c>
      <c r="J34" s="31" t="n">
        <f aca="false">IF(NOT(ISNUMBER($G34)),"",SUMPRODUCT(('Control Mapping'!$C$5:$C$83=D34)*('Control Mapping'!$F$5:$F$83="Y")*('Control Mapping'!$H$5:$H$83&gt;0)))</f>
        <v>2</v>
      </c>
      <c r="K34" s="31" t="n">
        <f aca="false">IF(NOT(ISNUMBER($G34)),"",SUMPRODUCT(('Control Mapping'!$C$5:$C$83=D34)*('Control Mapping'!$F$5:$F$83="Y")*('Control Mapping'!$H$5:$H$83=4)))</f>
        <v>0</v>
      </c>
      <c r="L34" s="29" t="n">
        <f aca="false">IF(NOT(ISNUMBER($G34)),"",IFERROR(SUMPRODUCT(('Control Mapping'!$C$5:$C$83=D34)*'Control Mapping'!$E$5:$E$83*'Control Mapping'!$H$5:$H$83)/SUMPRODUCT(('Control Mapping'!$C$5:$C$83=D34)*'Control Mapping'!$E$5:$E$83*('Control Mapping'!$H$5:$H$83&gt;0)),""))</f>
        <v>1.5</v>
      </c>
      <c r="M34" s="34" t="n">
        <f aca="false">IF(NOT(ISNUMBER($G34)),"",IF(J34=0,4,MAX(MATCH(L34,'Residual Config'!$E$11:$E$14,1),IF(K34&gt;0,'Residual Config'!$C$7,1))))</f>
        <v>2</v>
      </c>
      <c r="N34" s="7" t="str">
        <f aca="false">IF(NOT(ISNUMBER($G34)),"",IF(J34=0,"Ineffective (no key control)",INDEX('Residual Config'!$B$11:$B$14,M34)))</f>
        <v>Largely effective</v>
      </c>
      <c r="O34" s="36" t="n">
        <f aca="false">IF(NOT(ISNUMBER($G34)),"",IF(J34=0,0,SUMPRODUCT(('Control Mapping'!$C$5:$C$83=D34)*'Control Mapping'!$E$5:$E$83*(('Control Mapping'!$H$5:$H$83=1)*'Residual Config'!$D$11+('Control Mapping'!$H$5:$H$83=2)*'Residual Config'!$D$12+('Control Mapping'!$H$5:$H$83=3)*'Residual Config'!$D$13+('Control Mapping'!$H$5:$H$83=4)*'Residual Config'!$D$14))/SUMPRODUCT(('Control Mapping'!$C$5:$C$83=D34)*'Control Mapping'!$E$5:$E$83*('Control Mapping'!$H$5:$H$83&gt;0))))</f>
        <v>0.5</v>
      </c>
      <c r="P34" s="31" t="n">
        <f aca="false">IF(NOT(ISNUMBER($G34)),"",INDEX('Residual Config'!$B$19:$E$23,6-G34,M34))</f>
        <v>1</v>
      </c>
      <c r="Q34" s="29" t="n">
        <f aca="false">IF(NOT(ISNUMBER($G34)),"",MAX(1,F34*(1-O34)))</f>
        <v>1</v>
      </c>
      <c r="R34" s="31" t="n">
        <f aca="false">IF(NOT(ISNUMBER($G34)),"",MAX(MATCH(Q34,Config!$D$5:$D$9,1),G34-'Residual Config'!$C$6))</f>
        <v>1</v>
      </c>
      <c r="S34" s="34" t="n">
        <f aca="false">IF(NOT(ISNUMBER($G34)),"",IF('Residual Config'!$C$5="Numeric",R34,P34))</f>
        <v>1</v>
      </c>
      <c r="T34" s="7" t="str">
        <f aca="false">IF(G34="N/A","N/A",IF(S34="","No data",INDEX(Config!$B$5:$B$9,S34)))</f>
        <v>Low</v>
      </c>
      <c r="U34" s="32" t="n">
        <v>0</v>
      </c>
      <c r="V34" s="8"/>
      <c r="W34" s="33"/>
      <c r="X34" s="34" t="n">
        <f aca="false">IF(S34="","",IF(AND(W34="Y",U34&lt;&gt;0),MAX(1,MIN(5,S34+MAX(-Config!$C$27,MIN(Config!$C$27,U34)))),S34))</f>
        <v>1</v>
      </c>
      <c r="Y34" s="35" t="str">
        <f aca="false">IF(G34="N/A","N/A",IF(X34="","No data",INDEX(Config!$B$5:$B$9,X34)))</f>
        <v>Low</v>
      </c>
      <c r="Z34" s="7" t="str">
        <f aca="false">IF(U34=0,"None",IF(W34="Y","Applied","Pending HO approval"))</f>
        <v>None</v>
      </c>
      <c r="AA34" s="12" t="str">
        <f aca="false">INDEX('Risk Taxonomy'!$G$5:$G$24,MATCH(D34,'Risk Taxonomy'!$A$5:$A$24,0))</f>
        <v>Very low</v>
      </c>
      <c r="AB34" s="7" t="str">
        <f aca="false">INDEX('Risk Taxonomy'!$H$5:$H$24,MATCH(D34,'Risk Taxonomy'!$A$5:$A$24,0))</f>
        <v>Medium-Low</v>
      </c>
      <c r="AC34" s="35" t="str">
        <f aca="false">IF(NOT(ISNUMBER(X34)),"",IF(X34&lt;=MATCH(AB34,Config!$B$5:$B$9,0),"Within",IF(OR(X34-MATCH(AB34,Config!$B$5:$B$9,0)&gt;=2,AND('Residual Config'!$C$8="Y",ISNUMBER(SEARCH("Zero",AA34)))),"Red","Amber")))</f>
        <v>Within</v>
      </c>
      <c r="AD34" s="12" t="str">
        <f aca="false">IF(AC34="Red","Group CCO / CRO and Country CEO within 2 business days; action plan in 15 days; report to Board Risk &amp; Compliance Committee",IF(AC34="Amber","Country CO, risk owner and HO Administrator within 5 business days; action plan in 30 days",""))</f>
        <v/>
      </c>
    </row>
    <row r="35" customFormat="false" ht="15" hidden="false" customHeight="false" outlineLevel="0" collapsed="false">
      <c r="A35" s="26" t="str">
        <f aca="false">Entities!$A$6</f>
        <v>JO-IIAB</v>
      </c>
      <c r="B35" s="12" t="str">
        <f aca="false">INDEX(Entities!$B$5:$B$34,MATCH(A35,Entities!$A$5:$A$34,0))</f>
        <v>Islamic International Arab Bank</v>
      </c>
      <c r="C35" s="12" t="str">
        <f aca="false">INDEX(Entities!$D$5:$D$34,MATCH(A35,Entities!$A$5:$A$34,0))</f>
        <v>Jordan (home)</v>
      </c>
      <c r="D35" s="12" t="s">
        <v>293</v>
      </c>
      <c r="E35" s="12" t="str">
        <f aca="false">INDEX('Risk Taxonomy'!$B$5:$B$24,MATCH(D35,'Risk Taxonomy'!$A$5:$A$24,0))</f>
        <v>Shariah non-compliance</v>
      </c>
      <c r="F35" s="29" t="n">
        <f aca="false">IF(NOT(ISNUMBER(G35)),"",G35)</f>
        <v>2</v>
      </c>
      <c r="G35" s="34" t="n">
        <f aca="false">IF(COUNTIFS('LxI Assessment'!$A$5:$A$394,A35,'LxI Assessment'!$D$5:$D$394,D35,'LxI Assessment'!$F$5:$F$394,"N/A")&gt;0,"N/A",IF(COUNTIFS('LxI Assessment'!$A$5:$A$394,A35,'LxI Assessment'!$D$5:$D$394,D35,'LxI Assessment'!$S$5:$S$394,"&gt;0")=0,"",SUMIFS('LxI Assessment'!$S$5:$S$394,'LxI Assessment'!$A$5:$A$394,A35,'LxI Assessment'!$D$5:$D$394,D35)))</f>
        <v>2</v>
      </c>
      <c r="H35" s="7" t="str">
        <f aca="false">IF(G35="N/A","N/A",IF(G35="","No data",INDEX(Config!$B$5:$B$9,G35)))</f>
        <v>Medium-Low</v>
      </c>
      <c r="I35" s="31" t="n">
        <f aca="false">IF(NOT(ISNUMBER($G35)),"",SUMPRODUCT(('Control Mapping'!$C$5:$C$83=D35)*('Control Mapping'!$H$5:$H$83&gt;0)))</f>
        <v>1</v>
      </c>
      <c r="J35" s="31" t="n">
        <f aca="false">IF(NOT(ISNUMBER($G35)),"",SUMPRODUCT(('Control Mapping'!$C$5:$C$83=D35)*('Control Mapping'!$F$5:$F$83="Y")*('Control Mapping'!$H$5:$H$83&gt;0)))</f>
        <v>1</v>
      </c>
      <c r="K35" s="31" t="n">
        <f aca="false">IF(NOT(ISNUMBER($G35)),"",SUMPRODUCT(('Control Mapping'!$C$5:$C$83=D35)*('Control Mapping'!$F$5:$F$83="Y")*('Control Mapping'!$H$5:$H$83=4)))</f>
        <v>0</v>
      </c>
      <c r="L35" s="29" t="n">
        <f aca="false">IF(NOT(ISNUMBER($G35)),"",IFERROR(SUMPRODUCT(('Control Mapping'!$C$5:$C$83=D35)*'Control Mapping'!$E$5:$E$83*'Control Mapping'!$H$5:$H$83)/SUMPRODUCT(('Control Mapping'!$C$5:$C$83=D35)*'Control Mapping'!$E$5:$E$83*('Control Mapping'!$H$5:$H$83&gt;0)),""))</f>
        <v>1</v>
      </c>
      <c r="M35" s="34" t="n">
        <f aca="false">IF(NOT(ISNUMBER($G35)),"",IF(J35=0,4,MAX(MATCH(L35,'Residual Config'!$E$11:$E$14,1),IF(K35&gt;0,'Residual Config'!$C$7,1))))</f>
        <v>1</v>
      </c>
      <c r="N35" s="7" t="str">
        <f aca="false">IF(NOT(ISNUMBER($G35)),"",IF(J35=0,"Ineffective (no key control)",INDEX('Residual Config'!$B$11:$B$14,M35)))</f>
        <v>Effective</v>
      </c>
      <c r="O35" s="36" t="n">
        <f aca="false">IF(NOT(ISNUMBER($G35)),"",IF(J35=0,0,SUMPRODUCT(('Control Mapping'!$C$5:$C$83=D35)*'Control Mapping'!$E$5:$E$83*(('Control Mapping'!$H$5:$H$83=1)*'Residual Config'!$D$11+('Control Mapping'!$H$5:$H$83=2)*'Residual Config'!$D$12+('Control Mapping'!$H$5:$H$83=3)*'Residual Config'!$D$13+('Control Mapping'!$H$5:$H$83=4)*'Residual Config'!$D$14))/SUMPRODUCT(('Control Mapping'!$C$5:$C$83=D35)*'Control Mapping'!$E$5:$E$83*('Control Mapping'!$H$5:$H$83&gt;0))))</f>
        <v>0.6</v>
      </c>
      <c r="P35" s="31" t="n">
        <f aca="false">IF(NOT(ISNUMBER($G35)),"",INDEX('Residual Config'!$B$19:$E$23,6-G35,M35))</f>
        <v>1</v>
      </c>
      <c r="Q35" s="29" t="n">
        <f aca="false">IF(NOT(ISNUMBER($G35)),"",MAX(1,F35*(1-O35)))</f>
        <v>1</v>
      </c>
      <c r="R35" s="31" t="n">
        <f aca="false">IF(NOT(ISNUMBER($G35)),"",MAX(MATCH(Q35,Config!$D$5:$D$9,1),G35-'Residual Config'!$C$6))</f>
        <v>1</v>
      </c>
      <c r="S35" s="34" t="n">
        <f aca="false">IF(NOT(ISNUMBER($G35)),"",IF('Residual Config'!$C$5="Numeric",R35,P35))</f>
        <v>1</v>
      </c>
      <c r="T35" s="7" t="str">
        <f aca="false">IF(G35="N/A","N/A",IF(S35="","No data",INDEX(Config!$B$5:$B$9,S35)))</f>
        <v>Low</v>
      </c>
      <c r="U35" s="32" t="n">
        <v>0</v>
      </c>
      <c r="V35" s="8"/>
      <c r="W35" s="33"/>
      <c r="X35" s="34" t="n">
        <f aca="false">IF(S35="","",IF(AND(W35="Y",U35&lt;&gt;0),MAX(1,MIN(5,S35+MAX(-Config!$C$27,MIN(Config!$C$27,U35)))),S35))</f>
        <v>1</v>
      </c>
      <c r="Y35" s="35" t="str">
        <f aca="false">IF(G35="N/A","N/A",IF(X35="","No data",INDEX(Config!$B$5:$B$9,X35)))</f>
        <v>Low</v>
      </c>
      <c r="Z35" s="7" t="str">
        <f aca="false">IF(U35=0,"None",IF(W35="Y","Applied","Pending HO approval"))</f>
        <v>None</v>
      </c>
      <c r="AA35" s="12" t="str">
        <f aca="false">INDEX('Risk Taxonomy'!$G$5:$G$24,MATCH(D35,'Risk Taxonomy'!$A$5:$A$24,0))</f>
        <v>Very low</v>
      </c>
      <c r="AB35" s="7" t="str">
        <f aca="false">INDEX('Risk Taxonomy'!$H$5:$H$24,MATCH(D35,'Risk Taxonomy'!$A$5:$A$24,0))</f>
        <v>Medium-Low</v>
      </c>
      <c r="AC35" s="35" t="str">
        <f aca="false">IF(NOT(ISNUMBER(X35)),"",IF(X35&lt;=MATCH(AB35,Config!$B$5:$B$9,0),"Within",IF(OR(X35-MATCH(AB35,Config!$B$5:$B$9,0)&gt;=2,AND('Residual Config'!$C$8="Y",ISNUMBER(SEARCH("Zero",AA35)))),"Red","Amber")))</f>
        <v>Within</v>
      </c>
      <c r="AD35" s="12" t="str">
        <f aca="false">IF(AC35="Red","Group CCO / CRO and Country CEO within 2 business days; action plan in 15 days; report to Board Risk &amp; Compliance Committee",IF(AC35="Amber","Country CO, risk owner and HO Administrator within 5 business days; action plan in 30 days",""))</f>
        <v/>
      </c>
    </row>
    <row r="36" customFormat="false" ht="15" hidden="false" customHeight="false" outlineLevel="0" collapsed="false">
      <c r="A36" s="26" t="str">
        <f aca="false">Entities!$A$6</f>
        <v>JO-IIAB</v>
      </c>
      <c r="B36" s="12" t="str">
        <f aca="false">INDEX(Entities!$B$5:$B$34,MATCH(A36,Entities!$A$5:$A$34,0))</f>
        <v>Islamic International Arab Bank</v>
      </c>
      <c r="C36" s="12" t="str">
        <f aca="false">INDEX(Entities!$D$5:$D$34,MATCH(A36,Entities!$A$5:$A$34,0))</f>
        <v>Jordan (home)</v>
      </c>
      <c r="D36" s="12" t="s">
        <v>297</v>
      </c>
      <c r="E36" s="12" t="str">
        <f aca="false">INDEX('Risk Taxonomy'!$B$5:$B$24,MATCH(D36,'Risk Taxonomy'!$A$5:$A$24,0))</f>
        <v>Credit risk</v>
      </c>
      <c r="F36" s="29" t="n">
        <f aca="false">IF(NOT(ISNUMBER(G36)),"",G36)</f>
        <v>4</v>
      </c>
      <c r="G36" s="34" t="n">
        <f aca="false">IF(COUNTIFS('LxI Assessment'!$A$5:$A$394,A36,'LxI Assessment'!$D$5:$D$394,D36,'LxI Assessment'!$F$5:$F$394,"N/A")&gt;0,"N/A",IF(COUNTIFS('LxI Assessment'!$A$5:$A$394,A36,'LxI Assessment'!$D$5:$D$394,D36,'LxI Assessment'!$S$5:$S$394,"&gt;0")=0,"",SUMIFS('LxI Assessment'!$S$5:$S$394,'LxI Assessment'!$A$5:$A$394,A36,'LxI Assessment'!$D$5:$D$394,D36)))</f>
        <v>4</v>
      </c>
      <c r="H36" s="7" t="str">
        <f aca="false">IF(G36="N/A","N/A",IF(G36="","No data",INDEX(Config!$B$5:$B$9,G36)))</f>
        <v>Medium-High</v>
      </c>
      <c r="I36" s="31" t="n">
        <f aca="false">IF(NOT(ISNUMBER($G36)),"",SUMPRODUCT(('Control Mapping'!$C$5:$C$83=D36)*('Control Mapping'!$H$5:$H$83&gt;0)))</f>
        <v>2</v>
      </c>
      <c r="J36" s="31" t="n">
        <f aca="false">IF(NOT(ISNUMBER($G36)),"",SUMPRODUCT(('Control Mapping'!$C$5:$C$83=D36)*('Control Mapping'!$F$5:$F$83="Y")*('Control Mapping'!$H$5:$H$83&gt;0)))</f>
        <v>1</v>
      </c>
      <c r="K36" s="31" t="n">
        <f aca="false">IF(NOT(ISNUMBER($G36)),"",SUMPRODUCT(('Control Mapping'!$C$5:$C$83=D36)*('Control Mapping'!$F$5:$F$83="Y")*('Control Mapping'!$H$5:$H$83=4)))</f>
        <v>0</v>
      </c>
      <c r="L36" s="29" t="n">
        <f aca="false">IF(NOT(ISNUMBER($G36)),"",IFERROR(SUMPRODUCT(('Control Mapping'!$C$5:$C$83=D36)*'Control Mapping'!$E$5:$E$83*'Control Mapping'!$H$5:$H$83)/SUMPRODUCT(('Control Mapping'!$C$5:$C$83=D36)*'Control Mapping'!$E$5:$E$83*('Control Mapping'!$H$5:$H$83&gt;0)),""))</f>
        <v>1.4</v>
      </c>
      <c r="M36" s="34" t="n">
        <f aca="false">IF(NOT(ISNUMBER($G36)),"",IF(J36=0,4,MAX(MATCH(L36,'Residual Config'!$E$11:$E$14,1),IF(K36&gt;0,'Residual Config'!$C$7,1))))</f>
        <v>1</v>
      </c>
      <c r="N36" s="7" t="str">
        <f aca="false">IF(NOT(ISNUMBER($G36)),"",IF(J36=0,"Ineffective (no key control)",INDEX('Residual Config'!$B$11:$B$14,M36)))</f>
        <v>Effective</v>
      </c>
      <c r="O36" s="36" t="n">
        <f aca="false">IF(NOT(ISNUMBER($G36)),"",IF(J36=0,0,SUMPRODUCT(('Control Mapping'!$C$5:$C$83=D36)*'Control Mapping'!$E$5:$E$83*(('Control Mapping'!$H$5:$H$83=1)*'Residual Config'!$D$11+('Control Mapping'!$H$5:$H$83=2)*'Residual Config'!$D$12+('Control Mapping'!$H$5:$H$83=3)*'Residual Config'!$D$13+('Control Mapping'!$H$5:$H$83=4)*'Residual Config'!$D$14))/SUMPRODUCT(('Control Mapping'!$C$5:$C$83=D36)*'Control Mapping'!$E$5:$E$83*('Control Mapping'!$H$5:$H$83&gt;0))))</f>
        <v>0.52</v>
      </c>
      <c r="P36" s="31" t="n">
        <f aca="false">IF(NOT(ISNUMBER($G36)),"",INDEX('Residual Config'!$B$19:$E$23,6-G36,M36))</f>
        <v>2</v>
      </c>
      <c r="Q36" s="29" t="n">
        <f aca="false">IF(NOT(ISNUMBER($G36)),"",MAX(1,F36*(1-O36)))</f>
        <v>1.92</v>
      </c>
      <c r="R36" s="31" t="n">
        <f aca="false">IF(NOT(ISNUMBER($G36)),"",MAX(MATCH(Q36,Config!$D$5:$D$9,1),G36-'Residual Config'!$C$6))</f>
        <v>2</v>
      </c>
      <c r="S36" s="34" t="n">
        <f aca="false">IF(NOT(ISNUMBER($G36)),"",IF('Residual Config'!$C$5="Numeric",R36,P36))</f>
        <v>2</v>
      </c>
      <c r="T36" s="7" t="str">
        <f aca="false">IF(G36="N/A","N/A",IF(S36="","No data",INDEX(Config!$B$5:$B$9,S36)))</f>
        <v>Medium-Low</v>
      </c>
      <c r="U36" s="32" t="n">
        <v>0</v>
      </c>
      <c r="V36" s="8"/>
      <c r="W36" s="33"/>
      <c r="X36" s="34" t="n">
        <f aca="false">IF(S36="","",IF(AND(W36="Y",U36&lt;&gt;0),MAX(1,MIN(5,S36+MAX(-Config!$C$27,MIN(Config!$C$27,U36)))),S36))</f>
        <v>2</v>
      </c>
      <c r="Y36" s="35" t="str">
        <f aca="false">IF(G36="N/A","N/A",IF(X36="","No data",INDEX(Config!$B$5:$B$9,X36)))</f>
        <v>Medium-Low</v>
      </c>
      <c r="Z36" s="7" t="str">
        <f aca="false">IF(U36=0,"None",IF(W36="Y","Applied","Pending HO approval"))</f>
        <v>None</v>
      </c>
      <c r="AA36" s="12" t="str">
        <f aca="false">INDEX('Risk Taxonomy'!$G$5:$G$24,MATCH(D36,'Risk Taxonomy'!$A$5:$A$24,0))</f>
        <v>Moderate</v>
      </c>
      <c r="AB36" s="7" t="str">
        <f aca="false">INDEX('Risk Taxonomy'!$H$5:$H$24,MATCH(D36,'Risk Taxonomy'!$A$5:$A$24,0))</f>
        <v>Medium-High</v>
      </c>
      <c r="AC36" s="35" t="str">
        <f aca="false">IF(NOT(ISNUMBER(X36)),"",IF(X36&lt;=MATCH(AB36,Config!$B$5:$B$9,0),"Within",IF(OR(X36-MATCH(AB36,Config!$B$5:$B$9,0)&gt;=2,AND('Residual Config'!$C$8="Y",ISNUMBER(SEARCH("Zero",AA36)))),"Red","Amber")))</f>
        <v>Within</v>
      </c>
      <c r="AD36" s="12" t="str">
        <f aca="false">IF(AC36="Red","Group CCO / CRO and Country CEO within 2 business days; action plan in 15 days; report to Board Risk &amp; Compliance Committee",IF(AC36="Amber","Country CO, risk owner and HO Administrator within 5 business days; action plan in 30 days",""))</f>
        <v/>
      </c>
    </row>
    <row r="37" customFormat="false" ht="15" hidden="false" customHeight="false" outlineLevel="0" collapsed="false">
      <c r="A37" s="26" t="str">
        <f aca="false">Entities!$A$6</f>
        <v>JO-IIAB</v>
      </c>
      <c r="B37" s="12" t="str">
        <f aca="false">INDEX(Entities!$B$5:$B$34,MATCH(A37,Entities!$A$5:$A$34,0))</f>
        <v>Islamic International Arab Bank</v>
      </c>
      <c r="C37" s="12" t="str">
        <f aca="false">INDEX(Entities!$D$5:$D$34,MATCH(A37,Entities!$A$5:$A$34,0))</f>
        <v>Jordan (home)</v>
      </c>
      <c r="D37" s="12" t="s">
        <v>302</v>
      </c>
      <c r="E37" s="12" t="str">
        <f aca="false">INDEX('Risk Taxonomy'!$B$5:$B$24,MATCH(D37,'Risk Taxonomy'!$A$5:$A$24,0))</f>
        <v>Market risk</v>
      </c>
      <c r="F37" s="29" t="n">
        <f aca="false">IF(NOT(ISNUMBER(G37)),"",G37)</f>
        <v>3</v>
      </c>
      <c r="G37" s="34" t="n">
        <f aca="false">IF(COUNTIFS('LxI Assessment'!$A$5:$A$394,A37,'LxI Assessment'!$D$5:$D$394,D37,'LxI Assessment'!$F$5:$F$394,"N/A")&gt;0,"N/A",IF(COUNTIFS('LxI Assessment'!$A$5:$A$394,A37,'LxI Assessment'!$D$5:$D$394,D37,'LxI Assessment'!$S$5:$S$394,"&gt;0")=0,"",SUMIFS('LxI Assessment'!$S$5:$S$394,'LxI Assessment'!$A$5:$A$394,A37,'LxI Assessment'!$D$5:$D$394,D37)))</f>
        <v>3</v>
      </c>
      <c r="H37" s="7" t="str">
        <f aca="false">IF(G37="N/A","N/A",IF(G37="","No data",INDEX(Config!$B$5:$B$9,G37)))</f>
        <v>Medium</v>
      </c>
      <c r="I37" s="31" t="n">
        <f aca="false">IF(NOT(ISNUMBER($G37)),"",SUMPRODUCT(('Control Mapping'!$C$5:$C$83=D37)*('Control Mapping'!$H$5:$H$83&gt;0)))</f>
        <v>1</v>
      </c>
      <c r="J37" s="31" t="n">
        <f aca="false">IF(NOT(ISNUMBER($G37)),"",SUMPRODUCT(('Control Mapping'!$C$5:$C$83=D37)*('Control Mapping'!$F$5:$F$83="Y")*('Control Mapping'!$H$5:$H$83&gt;0)))</f>
        <v>1</v>
      </c>
      <c r="K37" s="31" t="n">
        <f aca="false">IF(NOT(ISNUMBER($G37)),"",SUMPRODUCT(('Control Mapping'!$C$5:$C$83=D37)*('Control Mapping'!$F$5:$F$83="Y")*('Control Mapping'!$H$5:$H$83=4)))</f>
        <v>0</v>
      </c>
      <c r="L37" s="29" t="n">
        <f aca="false">IF(NOT(ISNUMBER($G37)),"",IFERROR(SUMPRODUCT(('Control Mapping'!$C$5:$C$83=D37)*'Control Mapping'!$E$5:$E$83*'Control Mapping'!$H$5:$H$83)/SUMPRODUCT(('Control Mapping'!$C$5:$C$83=D37)*'Control Mapping'!$E$5:$E$83*('Control Mapping'!$H$5:$H$83&gt;0)),""))</f>
        <v>3</v>
      </c>
      <c r="M37" s="34" t="n">
        <f aca="false">IF(NOT(ISNUMBER($G37)),"",IF(J37=0,4,MAX(MATCH(L37,'Residual Config'!$E$11:$E$14,1),IF(K37&gt;0,'Residual Config'!$C$7,1))))</f>
        <v>3</v>
      </c>
      <c r="N37" s="7" t="str">
        <f aca="false">IF(NOT(ISNUMBER($G37)),"",IF(J37=0,"Ineffective (no key control)",INDEX('Residual Config'!$B$11:$B$14,M37)))</f>
        <v>Partially effective</v>
      </c>
      <c r="O37" s="36" t="n">
        <f aca="false">IF(NOT(ISNUMBER($G37)),"",IF(J37=0,0,SUMPRODUCT(('Control Mapping'!$C$5:$C$83=D37)*'Control Mapping'!$E$5:$E$83*(('Control Mapping'!$H$5:$H$83=1)*'Residual Config'!$D$11+('Control Mapping'!$H$5:$H$83=2)*'Residual Config'!$D$12+('Control Mapping'!$H$5:$H$83=3)*'Residual Config'!$D$13+('Control Mapping'!$H$5:$H$83=4)*'Residual Config'!$D$14))/SUMPRODUCT(('Control Mapping'!$C$5:$C$83=D37)*'Control Mapping'!$E$5:$E$83*('Control Mapping'!$H$5:$H$83&gt;0))))</f>
        <v>0.2</v>
      </c>
      <c r="P37" s="31" t="n">
        <f aca="false">IF(NOT(ISNUMBER($G37)),"",INDEX('Residual Config'!$B$19:$E$23,6-G37,M37))</f>
        <v>3</v>
      </c>
      <c r="Q37" s="29" t="n">
        <f aca="false">IF(NOT(ISNUMBER($G37)),"",MAX(1,F37*(1-O37)))</f>
        <v>2.4</v>
      </c>
      <c r="R37" s="31" t="n">
        <f aca="false">IF(NOT(ISNUMBER($G37)),"",MAX(MATCH(Q37,Config!$D$5:$D$9,1),G37-'Residual Config'!$C$6))</f>
        <v>2</v>
      </c>
      <c r="S37" s="34" t="n">
        <f aca="false">IF(NOT(ISNUMBER($G37)),"",IF('Residual Config'!$C$5="Numeric",R37,P37))</f>
        <v>3</v>
      </c>
      <c r="T37" s="7" t="str">
        <f aca="false">IF(G37="N/A","N/A",IF(S37="","No data",INDEX(Config!$B$5:$B$9,S37)))</f>
        <v>Medium</v>
      </c>
      <c r="U37" s="32" t="n">
        <v>0</v>
      </c>
      <c r="V37" s="8"/>
      <c r="W37" s="33"/>
      <c r="X37" s="34" t="n">
        <f aca="false">IF(S37="","",IF(AND(W37="Y",U37&lt;&gt;0),MAX(1,MIN(5,S37+MAX(-Config!$C$27,MIN(Config!$C$27,U37)))),S37))</f>
        <v>3</v>
      </c>
      <c r="Y37" s="35" t="str">
        <f aca="false">IF(G37="N/A","N/A",IF(X37="","No data",INDEX(Config!$B$5:$B$9,X37)))</f>
        <v>Medium</v>
      </c>
      <c r="Z37" s="7" t="str">
        <f aca="false">IF(U37=0,"None",IF(W37="Y","Applied","Pending HO approval"))</f>
        <v>None</v>
      </c>
      <c r="AA37" s="12" t="str">
        <f aca="false">INDEX('Risk Taxonomy'!$G$5:$G$24,MATCH(D37,'Risk Taxonomy'!$A$5:$A$24,0))</f>
        <v>Moderate</v>
      </c>
      <c r="AB37" s="7" t="str">
        <f aca="false">INDEX('Risk Taxonomy'!$H$5:$H$24,MATCH(D37,'Risk Taxonomy'!$A$5:$A$24,0))</f>
        <v>Medium-High</v>
      </c>
      <c r="AC37" s="35" t="str">
        <f aca="false">IF(NOT(ISNUMBER(X37)),"",IF(X37&lt;=MATCH(AB37,Config!$B$5:$B$9,0),"Within",IF(OR(X37-MATCH(AB37,Config!$B$5:$B$9,0)&gt;=2,AND('Residual Config'!$C$8="Y",ISNUMBER(SEARCH("Zero",AA37)))),"Red","Amber")))</f>
        <v>Within</v>
      </c>
      <c r="AD37" s="12" t="str">
        <f aca="false">IF(AC37="Red","Group CCO / CRO and Country CEO within 2 business days; action plan in 15 days; report to Board Risk &amp; Compliance Committee",IF(AC37="Amber","Country CO, risk owner and HO Administrator within 5 business days; action plan in 30 days",""))</f>
        <v/>
      </c>
    </row>
    <row r="38" customFormat="false" ht="15" hidden="false" customHeight="false" outlineLevel="0" collapsed="false">
      <c r="A38" s="26" t="str">
        <f aca="false">Entities!$A$6</f>
        <v>JO-IIAB</v>
      </c>
      <c r="B38" s="12" t="str">
        <f aca="false">INDEX(Entities!$B$5:$B$34,MATCH(A38,Entities!$A$5:$A$34,0))</f>
        <v>Islamic International Arab Bank</v>
      </c>
      <c r="C38" s="12" t="str">
        <f aca="false">INDEX(Entities!$D$5:$D$34,MATCH(A38,Entities!$A$5:$A$34,0))</f>
        <v>Jordan (home)</v>
      </c>
      <c r="D38" s="12" t="s">
        <v>304</v>
      </c>
      <c r="E38" s="12" t="str">
        <f aca="false">INDEX('Risk Taxonomy'!$B$5:$B$24,MATCH(D38,'Risk Taxonomy'!$A$5:$A$24,0))</f>
        <v>Liquidity and funding risk</v>
      </c>
      <c r="F38" s="29" t="n">
        <f aca="false">IF(NOT(ISNUMBER(G38)),"",G38)</f>
        <v>2</v>
      </c>
      <c r="G38" s="34" t="n">
        <f aca="false">IF(COUNTIFS('LxI Assessment'!$A$5:$A$394,A38,'LxI Assessment'!$D$5:$D$394,D38,'LxI Assessment'!$F$5:$F$394,"N/A")&gt;0,"N/A",IF(COUNTIFS('LxI Assessment'!$A$5:$A$394,A38,'LxI Assessment'!$D$5:$D$394,D38,'LxI Assessment'!$S$5:$S$394,"&gt;0")=0,"",SUMIFS('LxI Assessment'!$S$5:$S$394,'LxI Assessment'!$A$5:$A$394,A38,'LxI Assessment'!$D$5:$D$394,D38)))</f>
        <v>2</v>
      </c>
      <c r="H38" s="7" t="str">
        <f aca="false">IF(G38="N/A","N/A",IF(G38="","No data",INDEX(Config!$B$5:$B$9,G38)))</f>
        <v>Medium-Low</v>
      </c>
      <c r="I38" s="31" t="n">
        <f aca="false">IF(NOT(ISNUMBER($G38)),"",SUMPRODUCT(('Control Mapping'!$C$5:$C$83=D38)*('Control Mapping'!$H$5:$H$83&gt;0)))</f>
        <v>1</v>
      </c>
      <c r="J38" s="31" t="n">
        <f aca="false">IF(NOT(ISNUMBER($G38)),"",SUMPRODUCT(('Control Mapping'!$C$5:$C$83=D38)*('Control Mapping'!$F$5:$F$83="Y")*('Control Mapping'!$H$5:$H$83&gt;0)))</f>
        <v>1</v>
      </c>
      <c r="K38" s="31" t="n">
        <f aca="false">IF(NOT(ISNUMBER($G38)),"",SUMPRODUCT(('Control Mapping'!$C$5:$C$83=D38)*('Control Mapping'!$F$5:$F$83="Y")*('Control Mapping'!$H$5:$H$83=4)))</f>
        <v>0</v>
      </c>
      <c r="L38" s="29" t="n">
        <f aca="false">IF(NOT(ISNUMBER($G38)),"",IFERROR(SUMPRODUCT(('Control Mapping'!$C$5:$C$83=D38)*'Control Mapping'!$E$5:$E$83*'Control Mapping'!$H$5:$H$83)/SUMPRODUCT(('Control Mapping'!$C$5:$C$83=D38)*'Control Mapping'!$E$5:$E$83*('Control Mapping'!$H$5:$H$83&gt;0)),""))</f>
        <v>2</v>
      </c>
      <c r="M38" s="34" t="n">
        <f aca="false">IF(NOT(ISNUMBER($G38)),"",IF(J38=0,4,MAX(MATCH(L38,'Residual Config'!$E$11:$E$14,1),IF(K38&gt;0,'Residual Config'!$C$7,1))))</f>
        <v>2</v>
      </c>
      <c r="N38" s="7" t="str">
        <f aca="false">IF(NOT(ISNUMBER($G38)),"",IF(J38=0,"Ineffective (no key control)",INDEX('Residual Config'!$B$11:$B$14,M38)))</f>
        <v>Largely effective</v>
      </c>
      <c r="O38" s="36" t="n">
        <f aca="false">IF(NOT(ISNUMBER($G38)),"",IF(J38=0,0,SUMPRODUCT(('Control Mapping'!$C$5:$C$83=D38)*'Control Mapping'!$E$5:$E$83*(('Control Mapping'!$H$5:$H$83=1)*'Residual Config'!$D$11+('Control Mapping'!$H$5:$H$83=2)*'Residual Config'!$D$12+('Control Mapping'!$H$5:$H$83=3)*'Residual Config'!$D$13+('Control Mapping'!$H$5:$H$83=4)*'Residual Config'!$D$14))/SUMPRODUCT(('Control Mapping'!$C$5:$C$83=D38)*'Control Mapping'!$E$5:$E$83*('Control Mapping'!$H$5:$H$83&gt;0))))</f>
        <v>0.4</v>
      </c>
      <c r="P38" s="31" t="n">
        <f aca="false">IF(NOT(ISNUMBER($G38)),"",INDEX('Residual Config'!$B$19:$E$23,6-G38,M38))</f>
        <v>1</v>
      </c>
      <c r="Q38" s="29" t="n">
        <f aca="false">IF(NOT(ISNUMBER($G38)),"",MAX(1,F38*(1-O38)))</f>
        <v>1.2</v>
      </c>
      <c r="R38" s="31" t="n">
        <f aca="false">IF(NOT(ISNUMBER($G38)),"",MAX(MATCH(Q38,Config!$D$5:$D$9,1),G38-'Residual Config'!$C$6))</f>
        <v>1</v>
      </c>
      <c r="S38" s="34" t="n">
        <f aca="false">IF(NOT(ISNUMBER($G38)),"",IF('Residual Config'!$C$5="Numeric",R38,P38))</f>
        <v>1</v>
      </c>
      <c r="T38" s="7" t="str">
        <f aca="false">IF(G38="N/A","N/A",IF(S38="","No data",INDEX(Config!$B$5:$B$9,S38)))</f>
        <v>Low</v>
      </c>
      <c r="U38" s="32" t="n">
        <v>0</v>
      </c>
      <c r="V38" s="8"/>
      <c r="W38" s="33"/>
      <c r="X38" s="34" t="n">
        <f aca="false">IF(S38="","",IF(AND(W38="Y",U38&lt;&gt;0),MAX(1,MIN(5,S38+MAX(-Config!$C$27,MIN(Config!$C$27,U38)))),S38))</f>
        <v>1</v>
      </c>
      <c r="Y38" s="35" t="str">
        <f aca="false">IF(G38="N/A","N/A",IF(X38="","No data",INDEX(Config!$B$5:$B$9,X38)))</f>
        <v>Low</v>
      </c>
      <c r="Z38" s="7" t="str">
        <f aca="false">IF(U38=0,"None",IF(W38="Y","Applied","Pending HO approval"))</f>
        <v>None</v>
      </c>
      <c r="AA38" s="12" t="str">
        <f aca="false">INDEX('Risk Taxonomy'!$G$5:$G$24,MATCH(D38,'Risk Taxonomy'!$A$5:$A$24,0))</f>
        <v>Low</v>
      </c>
      <c r="AB38" s="7" t="str">
        <f aca="false">INDEX('Risk Taxonomy'!$H$5:$H$24,MATCH(D38,'Risk Taxonomy'!$A$5:$A$24,0))</f>
        <v>Medium</v>
      </c>
      <c r="AC38" s="35" t="str">
        <f aca="false">IF(NOT(ISNUMBER(X38)),"",IF(X38&lt;=MATCH(AB38,Config!$B$5:$B$9,0),"Within",IF(OR(X38-MATCH(AB38,Config!$B$5:$B$9,0)&gt;=2,AND('Residual Config'!$C$8="Y",ISNUMBER(SEARCH("Zero",AA38)))),"Red","Amber")))</f>
        <v>Within</v>
      </c>
      <c r="AD38" s="12" t="str">
        <f aca="false">IF(AC38="Red","Group CCO / CRO and Country CEO within 2 business days; action plan in 15 days; report to Board Risk &amp; Compliance Committee",IF(AC38="Amber","Country CO, risk owner and HO Administrator within 5 business days; action plan in 30 days",""))</f>
        <v/>
      </c>
    </row>
    <row r="39" customFormat="false" ht="15" hidden="false" customHeight="false" outlineLevel="0" collapsed="false">
      <c r="A39" s="26" t="str">
        <f aca="false">Entities!$A$6</f>
        <v>JO-IIAB</v>
      </c>
      <c r="B39" s="12" t="str">
        <f aca="false">INDEX(Entities!$B$5:$B$34,MATCH(A39,Entities!$A$5:$A$34,0))</f>
        <v>Islamic International Arab Bank</v>
      </c>
      <c r="C39" s="12" t="str">
        <f aca="false">INDEX(Entities!$D$5:$D$34,MATCH(A39,Entities!$A$5:$A$34,0))</f>
        <v>Jordan (home)</v>
      </c>
      <c r="D39" s="12" t="s">
        <v>307</v>
      </c>
      <c r="E39" s="12" t="str">
        <f aca="false">INDEX('Risk Taxonomy'!$B$5:$B$24,MATCH(D39,'Risk Taxonomy'!$A$5:$A$24,0))</f>
        <v>Operational risk</v>
      </c>
      <c r="F39" s="29" t="n">
        <f aca="false">IF(NOT(ISNUMBER(G39)),"",G39)</f>
        <v>2</v>
      </c>
      <c r="G39" s="34" t="n">
        <f aca="false">IF(COUNTIFS('LxI Assessment'!$A$5:$A$394,A39,'LxI Assessment'!$D$5:$D$394,D39,'LxI Assessment'!$F$5:$F$394,"N/A")&gt;0,"N/A",IF(COUNTIFS('LxI Assessment'!$A$5:$A$394,A39,'LxI Assessment'!$D$5:$D$394,D39,'LxI Assessment'!$S$5:$S$394,"&gt;0")=0,"",SUMIFS('LxI Assessment'!$S$5:$S$394,'LxI Assessment'!$A$5:$A$394,A39,'LxI Assessment'!$D$5:$D$394,D39)))</f>
        <v>2</v>
      </c>
      <c r="H39" s="7" t="str">
        <f aca="false">IF(G39="N/A","N/A",IF(G39="","No data",INDEX(Config!$B$5:$B$9,G39)))</f>
        <v>Medium-Low</v>
      </c>
      <c r="I39" s="31" t="n">
        <f aca="false">IF(NOT(ISNUMBER($G39)),"",SUMPRODUCT(('Control Mapping'!$C$5:$C$83=D39)*('Control Mapping'!$H$5:$H$83&gt;0)))</f>
        <v>3</v>
      </c>
      <c r="J39" s="31" t="n">
        <f aca="false">IF(NOT(ISNUMBER($G39)),"",SUMPRODUCT(('Control Mapping'!$C$5:$C$83=D39)*('Control Mapping'!$F$5:$F$83="Y")*('Control Mapping'!$H$5:$H$83&gt;0)))</f>
        <v>2</v>
      </c>
      <c r="K39" s="31" t="n">
        <f aca="false">IF(NOT(ISNUMBER($G39)),"",SUMPRODUCT(('Control Mapping'!$C$5:$C$83=D39)*('Control Mapping'!$F$5:$F$83="Y")*('Control Mapping'!$H$5:$H$83=4)))</f>
        <v>0</v>
      </c>
      <c r="L39" s="29" t="n">
        <f aca="false">IF(NOT(ISNUMBER($G39)),"",IFERROR(SUMPRODUCT(('Control Mapping'!$C$5:$C$83=D39)*'Control Mapping'!$E$5:$E$83*'Control Mapping'!$H$5:$H$83)/SUMPRODUCT(('Control Mapping'!$C$5:$C$83=D39)*'Control Mapping'!$E$5:$E$83*('Control Mapping'!$H$5:$H$83&gt;0)),""))</f>
        <v>1.66666666666667</v>
      </c>
      <c r="M39" s="34" t="n">
        <f aca="false">IF(NOT(ISNUMBER($G39)),"",IF(J39=0,4,MAX(MATCH(L39,'Residual Config'!$E$11:$E$14,1),IF(K39&gt;0,'Residual Config'!$C$7,1))))</f>
        <v>2</v>
      </c>
      <c r="N39" s="7" t="str">
        <f aca="false">IF(NOT(ISNUMBER($G39)),"",IF(J39=0,"Ineffective (no key control)",INDEX('Residual Config'!$B$11:$B$14,M39)))</f>
        <v>Largely effective</v>
      </c>
      <c r="O39" s="36" t="n">
        <f aca="false">IF(NOT(ISNUMBER($G39)),"",IF(J39=0,0,SUMPRODUCT(('Control Mapping'!$C$5:$C$83=D39)*'Control Mapping'!$E$5:$E$83*(('Control Mapping'!$H$5:$H$83=1)*'Residual Config'!$D$11+('Control Mapping'!$H$5:$H$83=2)*'Residual Config'!$D$12+('Control Mapping'!$H$5:$H$83=3)*'Residual Config'!$D$13+('Control Mapping'!$H$5:$H$83=4)*'Residual Config'!$D$14))/SUMPRODUCT(('Control Mapping'!$C$5:$C$83=D39)*'Control Mapping'!$E$5:$E$83*('Control Mapping'!$H$5:$H$83&gt;0))))</f>
        <v>0.466666666666667</v>
      </c>
      <c r="P39" s="31" t="n">
        <f aca="false">IF(NOT(ISNUMBER($G39)),"",INDEX('Residual Config'!$B$19:$E$23,6-G39,M39))</f>
        <v>1</v>
      </c>
      <c r="Q39" s="29" t="n">
        <f aca="false">IF(NOT(ISNUMBER($G39)),"",MAX(1,F39*(1-O39)))</f>
        <v>1.06666666666667</v>
      </c>
      <c r="R39" s="31" t="n">
        <f aca="false">IF(NOT(ISNUMBER($G39)),"",MAX(MATCH(Q39,Config!$D$5:$D$9,1),G39-'Residual Config'!$C$6))</f>
        <v>1</v>
      </c>
      <c r="S39" s="34" t="n">
        <f aca="false">IF(NOT(ISNUMBER($G39)),"",IF('Residual Config'!$C$5="Numeric",R39,P39))</f>
        <v>1</v>
      </c>
      <c r="T39" s="7" t="str">
        <f aca="false">IF(G39="N/A","N/A",IF(S39="","No data",INDEX(Config!$B$5:$B$9,S39)))</f>
        <v>Low</v>
      </c>
      <c r="U39" s="32" t="n">
        <v>0</v>
      </c>
      <c r="V39" s="8"/>
      <c r="W39" s="33"/>
      <c r="X39" s="34" t="n">
        <f aca="false">IF(S39="","",IF(AND(W39="Y",U39&lt;&gt;0),MAX(1,MIN(5,S39+MAX(-Config!$C$27,MIN(Config!$C$27,U39)))),S39))</f>
        <v>1</v>
      </c>
      <c r="Y39" s="35" t="str">
        <f aca="false">IF(G39="N/A","N/A",IF(X39="","No data",INDEX(Config!$B$5:$B$9,X39)))</f>
        <v>Low</v>
      </c>
      <c r="Z39" s="7" t="str">
        <f aca="false">IF(U39=0,"None",IF(W39="Y","Applied","Pending HO approval"))</f>
        <v>None</v>
      </c>
      <c r="AA39" s="12" t="str">
        <f aca="false">INDEX('Risk Taxonomy'!$G$5:$G$24,MATCH(D39,'Risk Taxonomy'!$A$5:$A$24,0))</f>
        <v>Low</v>
      </c>
      <c r="AB39" s="7" t="str">
        <f aca="false">INDEX('Risk Taxonomy'!$H$5:$H$24,MATCH(D39,'Risk Taxonomy'!$A$5:$A$24,0))</f>
        <v>Medium</v>
      </c>
      <c r="AC39" s="35" t="str">
        <f aca="false">IF(NOT(ISNUMBER(X39)),"",IF(X39&lt;=MATCH(AB39,Config!$B$5:$B$9,0),"Within",IF(OR(X39-MATCH(AB39,Config!$B$5:$B$9,0)&gt;=2,AND('Residual Config'!$C$8="Y",ISNUMBER(SEARCH("Zero",AA39)))),"Red","Amber")))</f>
        <v>Within</v>
      </c>
      <c r="AD39" s="12" t="str">
        <f aca="false">IF(AC39="Red","Group CCO / CRO and Country CEO within 2 business days; action plan in 15 days; report to Board Risk &amp; Compliance Committee",IF(AC39="Amber","Country CO, risk owner and HO Administrator within 5 business days; action plan in 30 days",""))</f>
        <v/>
      </c>
    </row>
    <row r="40" customFormat="false" ht="15" hidden="false" customHeight="false" outlineLevel="0" collapsed="false">
      <c r="A40" s="26" t="str">
        <f aca="false">Entities!$A$6</f>
        <v>JO-IIAB</v>
      </c>
      <c r="B40" s="12" t="str">
        <f aca="false">INDEX(Entities!$B$5:$B$34,MATCH(A40,Entities!$A$5:$A$34,0))</f>
        <v>Islamic International Arab Bank</v>
      </c>
      <c r="C40" s="12" t="str">
        <f aca="false">INDEX(Entities!$D$5:$D$34,MATCH(A40,Entities!$A$5:$A$34,0))</f>
        <v>Jordan (home)</v>
      </c>
      <c r="D40" s="12" t="s">
        <v>310</v>
      </c>
      <c r="E40" s="12" t="str">
        <f aca="false">INDEX('Risk Taxonomy'!$B$5:$B$24,MATCH(D40,'Risk Taxonomy'!$A$5:$A$24,0))</f>
        <v>Cyber, information security and technology</v>
      </c>
      <c r="F40" s="29" t="n">
        <f aca="false">IF(NOT(ISNUMBER(G40)),"",G40)</f>
        <v>3</v>
      </c>
      <c r="G40" s="34" t="n">
        <f aca="false">IF(COUNTIFS('LxI Assessment'!$A$5:$A$394,A40,'LxI Assessment'!$D$5:$D$394,D40,'LxI Assessment'!$F$5:$F$394,"N/A")&gt;0,"N/A",IF(COUNTIFS('LxI Assessment'!$A$5:$A$394,A40,'LxI Assessment'!$D$5:$D$394,D40,'LxI Assessment'!$S$5:$S$394,"&gt;0")=0,"",SUMIFS('LxI Assessment'!$S$5:$S$394,'LxI Assessment'!$A$5:$A$394,A40,'LxI Assessment'!$D$5:$D$394,D40)))</f>
        <v>3</v>
      </c>
      <c r="H40" s="7" t="str">
        <f aca="false">IF(G40="N/A","N/A",IF(G40="","No data",INDEX(Config!$B$5:$B$9,G40)))</f>
        <v>Medium</v>
      </c>
      <c r="I40" s="31" t="n">
        <f aca="false">IF(NOT(ISNUMBER($G40)),"",SUMPRODUCT(('Control Mapping'!$C$5:$C$83=D40)*('Control Mapping'!$H$5:$H$83&gt;0)))</f>
        <v>4</v>
      </c>
      <c r="J40" s="31" t="n">
        <f aca="false">IF(NOT(ISNUMBER($G40)),"",SUMPRODUCT(('Control Mapping'!$C$5:$C$83=D40)*('Control Mapping'!$F$5:$F$83="Y")*('Control Mapping'!$H$5:$H$83&gt;0)))</f>
        <v>4</v>
      </c>
      <c r="K40" s="31" t="n">
        <f aca="false">IF(NOT(ISNUMBER($G40)),"",SUMPRODUCT(('Control Mapping'!$C$5:$C$83=D40)*('Control Mapping'!$F$5:$F$83="Y")*('Control Mapping'!$H$5:$H$83=4)))</f>
        <v>0</v>
      </c>
      <c r="L40" s="29" t="n">
        <f aca="false">IF(NOT(ISNUMBER($G40)),"",IFERROR(SUMPRODUCT(('Control Mapping'!$C$5:$C$83=D40)*'Control Mapping'!$E$5:$E$83*'Control Mapping'!$H$5:$H$83)/SUMPRODUCT(('Control Mapping'!$C$5:$C$83=D40)*'Control Mapping'!$E$5:$E$83*('Control Mapping'!$H$5:$H$83&gt;0)),""))</f>
        <v>1.85714285714286</v>
      </c>
      <c r="M40" s="34" t="n">
        <f aca="false">IF(NOT(ISNUMBER($G40)),"",IF(J40=0,4,MAX(MATCH(L40,'Residual Config'!$E$11:$E$14,1),IF(K40&gt;0,'Residual Config'!$C$7,1))))</f>
        <v>2</v>
      </c>
      <c r="N40" s="7" t="str">
        <f aca="false">IF(NOT(ISNUMBER($G40)),"",IF(J40=0,"Ineffective (no key control)",INDEX('Residual Config'!$B$11:$B$14,M40)))</f>
        <v>Largely effective</v>
      </c>
      <c r="O40" s="36" t="n">
        <f aca="false">IF(NOT(ISNUMBER($G40)),"",IF(J40=0,0,SUMPRODUCT(('Control Mapping'!$C$5:$C$83=D40)*'Control Mapping'!$E$5:$E$83*(('Control Mapping'!$H$5:$H$83=1)*'Residual Config'!$D$11+('Control Mapping'!$H$5:$H$83=2)*'Residual Config'!$D$12+('Control Mapping'!$H$5:$H$83=3)*'Residual Config'!$D$13+('Control Mapping'!$H$5:$H$83=4)*'Residual Config'!$D$14))/SUMPRODUCT(('Control Mapping'!$C$5:$C$83=D40)*'Control Mapping'!$E$5:$E$83*('Control Mapping'!$H$5:$H$83&gt;0))))</f>
        <v>0.428571428571429</v>
      </c>
      <c r="P40" s="31" t="n">
        <f aca="false">IF(NOT(ISNUMBER($G40)),"",INDEX('Residual Config'!$B$19:$E$23,6-G40,M40))</f>
        <v>2</v>
      </c>
      <c r="Q40" s="29" t="n">
        <f aca="false">IF(NOT(ISNUMBER($G40)),"",MAX(1,F40*(1-O40)))</f>
        <v>1.71428571428571</v>
      </c>
      <c r="R40" s="31" t="n">
        <f aca="false">IF(NOT(ISNUMBER($G40)),"",MAX(MATCH(Q40,Config!$D$5:$D$9,1),G40-'Residual Config'!$C$6))</f>
        <v>1</v>
      </c>
      <c r="S40" s="34" t="n">
        <f aca="false">IF(NOT(ISNUMBER($G40)),"",IF('Residual Config'!$C$5="Numeric",R40,P40))</f>
        <v>2</v>
      </c>
      <c r="T40" s="7" t="str">
        <f aca="false">IF(G40="N/A","N/A",IF(S40="","No data",INDEX(Config!$B$5:$B$9,S40)))</f>
        <v>Medium-Low</v>
      </c>
      <c r="U40" s="32" t="n">
        <v>0</v>
      </c>
      <c r="V40" s="8"/>
      <c r="W40" s="33"/>
      <c r="X40" s="34" t="n">
        <f aca="false">IF(S40="","",IF(AND(W40="Y",U40&lt;&gt;0),MAX(1,MIN(5,S40+MAX(-Config!$C$27,MIN(Config!$C$27,U40)))),S40))</f>
        <v>2</v>
      </c>
      <c r="Y40" s="35" t="str">
        <f aca="false">IF(G40="N/A","N/A",IF(X40="","No data",INDEX(Config!$B$5:$B$9,X40)))</f>
        <v>Medium-Low</v>
      </c>
      <c r="Z40" s="7" t="str">
        <f aca="false">IF(U40=0,"None",IF(W40="Y","Applied","Pending HO approval"))</f>
        <v>None</v>
      </c>
      <c r="AA40" s="12" t="str">
        <f aca="false">INDEX('Risk Taxonomy'!$G$5:$G$24,MATCH(D40,'Risk Taxonomy'!$A$5:$A$24,0))</f>
        <v>Very low</v>
      </c>
      <c r="AB40" s="7" t="str">
        <f aca="false">INDEX('Risk Taxonomy'!$H$5:$H$24,MATCH(D40,'Risk Taxonomy'!$A$5:$A$24,0))</f>
        <v>Medium-Low</v>
      </c>
      <c r="AC40" s="35" t="str">
        <f aca="false">IF(NOT(ISNUMBER(X40)),"",IF(X40&lt;=MATCH(AB40,Config!$B$5:$B$9,0),"Within",IF(OR(X40-MATCH(AB40,Config!$B$5:$B$9,0)&gt;=2,AND('Residual Config'!$C$8="Y",ISNUMBER(SEARCH("Zero",AA40)))),"Red","Amber")))</f>
        <v>Within</v>
      </c>
      <c r="AD40" s="12" t="str">
        <f aca="false">IF(AC40="Red","Group CCO / CRO and Country CEO within 2 business days; action plan in 15 days; report to Board Risk &amp; Compliance Committee",IF(AC40="Amber","Country CO, risk owner and HO Administrator within 5 business days; action plan in 30 days",""))</f>
        <v/>
      </c>
    </row>
    <row r="41" customFormat="false" ht="15" hidden="false" customHeight="false" outlineLevel="0" collapsed="false">
      <c r="A41" s="26" t="str">
        <f aca="false">Entities!$A$6</f>
        <v>JO-IIAB</v>
      </c>
      <c r="B41" s="12" t="str">
        <f aca="false">INDEX(Entities!$B$5:$B$34,MATCH(A41,Entities!$A$5:$A$34,0))</f>
        <v>Islamic International Arab Bank</v>
      </c>
      <c r="C41" s="12" t="str">
        <f aca="false">INDEX(Entities!$D$5:$D$34,MATCH(A41,Entities!$A$5:$A$34,0))</f>
        <v>Jordan (home)</v>
      </c>
      <c r="D41" s="12" t="s">
        <v>313</v>
      </c>
      <c r="E41" s="12" t="str">
        <f aca="false">INDEX('Risk Taxonomy'!$B$5:$B$24,MATCH(D41,'Risk Taxonomy'!$A$5:$A$24,0))</f>
        <v>Third-party and outsourcing</v>
      </c>
      <c r="F41" s="29" t="n">
        <f aca="false">IF(NOT(ISNUMBER(G41)),"",G41)</f>
        <v>3</v>
      </c>
      <c r="G41" s="34" t="n">
        <f aca="false">IF(COUNTIFS('LxI Assessment'!$A$5:$A$394,A41,'LxI Assessment'!$D$5:$D$394,D41,'LxI Assessment'!$F$5:$F$394,"N/A")&gt;0,"N/A",IF(COUNTIFS('LxI Assessment'!$A$5:$A$394,A41,'LxI Assessment'!$D$5:$D$394,D41,'LxI Assessment'!$S$5:$S$394,"&gt;0")=0,"",SUMIFS('LxI Assessment'!$S$5:$S$394,'LxI Assessment'!$A$5:$A$394,A41,'LxI Assessment'!$D$5:$D$394,D41)))</f>
        <v>3</v>
      </c>
      <c r="H41" s="7" t="str">
        <f aca="false">IF(G41="N/A","N/A",IF(G41="","No data",INDEX(Config!$B$5:$B$9,G41)))</f>
        <v>Medium</v>
      </c>
      <c r="I41" s="31" t="n">
        <f aca="false">IF(NOT(ISNUMBER($G41)),"",SUMPRODUCT(('Control Mapping'!$C$5:$C$83=D41)*('Control Mapping'!$H$5:$H$83&gt;0)))</f>
        <v>2</v>
      </c>
      <c r="J41" s="31" t="n">
        <f aca="false">IF(NOT(ISNUMBER($G41)),"",SUMPRODUCT(('Control Mapping'!$C$5:$C$83=D41)*('Control Mapping'!$F$5:$F$83="Y")*('Control Mapping'!$H$5:$H$83&gt;0)))</f>
        <v>2</v>
      </c>
      <c r="K41" s="31" t="n">
        <f aca="false">IF(NOT(ISNUMBER($G41)),"",SUMPRODUCT(('Control Mapping'!$C$5:$C$83=D41)*('Control Mapping'!$F$5:$F$83="Y")*('Control Mapping'!$H$5:$H$83=4)))</f>
        <v>0</v>
      </c>
      <c r="L41" s="29" t="n">
        <f aca="false">IF(NOT(ISNUMBER($G41)),"",IFERROR(SUMPRODUCT(('Control Mapping'!$C$5:$C$83=D41)*'Control Mapping'!$E$5:$E$83*'Control Mapping'!$H$5:$H$83)/SUMPRODUCT(('Control Mapping'!$C$5:$C$83=D41)*'Control Mapping'!$E$5:$E$83*('Control Mapping'!$H$5:$H$83&gt;0)),""))</f>
        <v>2</v>
      </c>
      <c r="M41" s="34" t="n">
        <f aca="false">IF(NOT(ISNUMBER($G41)),"",IF(J41=0,4,MAX(MATCH(L41,'Residual Config'!$E$11:$E$14,1),IF(K41&gt;0,'Residual Config'!$C$7,1))))</f>
        <v>2</v>
      </c>
      <c r="N41" s="7" t="str">
        <f aca="false">IF(NOT(ISNUMBER($G41)),"",IF(J41=0,"Ineffective (no key control)",INDEX('Residual Config'!$B$11:$B$14,M41)))</f>
        <v>Largely effective</v>
      </c>
      <c r="O41" s="36" t="n">
        <f aca="false">IF(NOT(ISNUMBER($G41)),"",IF(J41=0,0,SUMPRODUCT(('Control Mapping'!$C$5:$C$83=D41)*'Control Mapping'!$E$5:$E$83*(('Control Mapping'!$H$5:$H$83=1)*'Residual Config'!$D$11+('Control Mapping'!$H$5:$H$83=2)*'Residual Config'!$D$12+('Control Mapping'!$H$5:$H$83=3)*'Residual Config'!$D$13+('Control Mapping'!$H$5:$H$83=4)*'Residual Config'!$D$14))/SUMPRODUCT(('Control Mapping'!$C$5:$C$83=D41)*'Control Mapping'!$E$5:$E$83*('Control Mapping'!$H$5:$H$83&gt;0))))</f>
        <v>0.4</v>
      </c>
      <c r="P41" s="31" t="n">
        <f aca="false">IF(NOT(ISNUMBER($G41)),"",INDEX('Residual Config'!$B$19:$E$23,6-G41,M41))</f>
        <v>2</v>
      </c>
      <c r="Q41" s="29" t="n">
        <f aca="false">IF(NOT(ISNUMBER($G41)),"",MAX(1,F41*(1-O41)))</f>
        <v>1.8</v>
      </c>
      <c r="R41" s="31" t="n">
        <f aca="false">IF(NOT(ISNUMBER($G41)),"",MAX(MATCH(Q41,Config!$D$5:$D$9,1),G41-'Residual Config'!$C$6))</f>
        <v>1</v>
      </c>
      <c r="S41" s="34" t="n">
        <f aca="false">IF(NOT(ISNUMBER($G41)),"",IF('Residual Config'!$C$5="Numeric",R41,P41))</f>
        <v>2</v>
      </c>
      <c r="T41" s="7" t="str">
        <f aca="false">IF(G41="N/A","N/A",IF(S41="","No data",INDEX(Config!$B$5:$B$9,S41)))</f>
        <v>Medium-Low</v>
      </c>
      <c r="U41" s="32" t="n">
        <v>0</v>
      </c>
      <c r="V41" s="8"/>
      <c r="W41" s="33"/>
      <c r="X41" s="34" t="n">
        <f aca="false">IF(S41="","",IF(AND(W41="Y",U41&lt;&gt;0),MAX(1,MIN(5,S41+MAX(-Config!$C$27,MIN(Config!$C$27,U41)))),S41))</f>
        <v>2</v>
      </c>
      <c r="Y41" s="35" t="str">
        <f aca="false">IF(G41="N/A","N/A",IF(X41="","No data",INDEX(Config!$B$5:$B$9,X41)))</f>
        <v>Medium-Low</v>
      </c>
      <c r="Z41" s="7" t="str">
        <f aca="false">IF(U41=0,"None",IF(W41="Y","Applied","Pending HO approval"))</f>
        <v>None</v>
      </c>
      <c r="AA41" s="12" t="str">
        <f aca="false">INDEX('Risk Taxonomy'!$G$5:$G$24,MATCH(D41,'Risk Taxonomy'!$A$5:$A$24,0))</f>
        <v>Low</v>
      </c>
      <c r="AB41" s="7" t="str">
        <f aca="false">INDEX('Risk Taxonomy'!$H$5:$H$24,MATCH(D41,'Risk Taxonomy'!$A$5:$A$24,0))</f>
        <v>Medium</v>
      </c>
      <c r="AC41" s="35" t="str">
        <f aca="false">IF(NOT(ISNUMBER(X41)),"",IF(X41&lt;=MATCH(AB41,Config!$B$5:$B$9,0),"Within",IF(OR(X41-MATCH(AB41,Config!$B$5:$B$9,0)&gt;=2,AND('Residual Config'!$C$8="Y",ISNUMBER(SEARCH("Zero",AA41)))),"Red","Amber")))</f>
        <v>Within</v>
      </c>
      <c r="AD41" s="12" t="str">
        <f aca="false">IF(AC41="Red","Group CCO / CRO and Country CEO within 2 business days; action plan in 15 days; report to Board Risk &amp; Compliance Committee",IF(AC41="Amber","Country CO, risk owner and HO Administrator within 5 business days; action plan in 30 days",""))</f>
        <v/>
      </c>
    </row>
    <row r="42" customFormat="false" ht="15" hidden="false" customHeight="false" outlineLevel="0" collapsed="false">
      <c r="A42" s="26" t="str">
        <f aca="false">Entities!$A$6</f>
        <v>JO-IIAB</v>
      </c>
      <c r="B42" s="12" t="str">
        <f aca="false">INDEX(Entities!$B$5:$B$34,MATCH(A42,Entities!$A$5:$A$34,0))</f>
        <v>Islamic International Arab Bank</v>
      </c>
      <c r="C42" s="12" t="str">
        <f aca="false">INDEX(Entities!$D$5:$D$34,MATCH(A42,Entities!$A$5:$A$34,0))</f>
        <v>Jordan (home)</v>
      </c>
      <c r="D42" s="12" t="s">
        <v>316</v>
      </c>
      <c r="E42" s="12" t="str">
        <f aca="false">INDEX('Risk Taxonomy'!$B$5:$B$24,MATCH(D42,'Risk Taxonomy'!$A$5:$A$24,0))</f>
        <v>Legal and litigation</v>
      </c>
      <c r="F42" s="29" t="n">
        <f aca="false">IF(NOT(ISNUMBER(G42)),"",G42)</f>
        <v>1</v>
      </c>
      <c r="G42" s="34" t="n">
        <f aca="false">IF(COUNTIFS('LxI Assessment'!$A$5:$A$394,A42,'LxI Assessment'!$D$5:$D$394,D42,'LxI Assessment'!$F$5:$F$394,"N/A")&gt;0,"N/A",IF(COUNTIFS('LxI Assessment'!$A$5:$A$394,A42,'LxI Assessment'!$D$5:$D$394,D42,'LxI Assessment'!$S$5:$S$394,"&gt;0")=0,"",SUMIFS('LxI Assessment'!$S$5:$S$394,'LxI Assessment'!$A$5:$A$394,A42,'LxI Assessment'!$D$5:$D$394,D42)))</f>
        <v>1</v>
      </c>
      <c r="H42" s="7" t="str">
        <f aca="false">IF(G42="N/A","N/A",IF(G42="","No data",INDEX(Config!$B$5:$B$9,G42)))</f>
        <v>Low</v>
      </c>
      <c r="I42" s="31" t="n">
        <f aca="false">IF(NOT(ISNUMBER($G42)),"",SUMPRODUCT(('Control Mapping'!$C$5:$C$83=D42)*('Control Mapping'!$H$5:$H$83&gt;0)))</f>
        <v>1</v>
      </c>
      <c r="J42" s="31" t="n">
        <f aca="false">IF(NOT(ISNUMBER($G42)),"",SUMPRODUCT(('Control Mapping'!$C$5:$C$83=D42)*('Control Mapping'!$F$5:$F$83="Y")*('Control Mapping'!$H$5:$H$83&gt;0)))</f>
        <v>1</v>
      </c>
      <c r="K42" s="31" t="n">
        <f aca="false">IF(NOT(ISNUMBER($G42)),"",SUMPRODUCT(('Control Mapping'!$C$5:$C$83=D42)*('Control Mapping'!$F$5:$F$83="Y")*('Control Mapping'!$H$5:$H$83=4)))</f>
        <v>0</v>
      </c>
      <c r="L42" s="29" t="n">
        <f aca="false">IF(NOT(ISNUMBER($G42)),"",IFERROR(SUMPRODUCT(('Control Mapping'!$C$5:$C$83=D42)*'Control Mapping'!$E$5:$E$83*'Control Mapping'!$H$5:$H$83)/SUMPRODUCT(('Control Mapping'!$C$5:$C$83=D42)*'Control Mapping'!$E$5:$E$83*('Control Mapping'!$H$5:$H$83&gt;0)),""))</f>
        <v>1</v>
      </c>
      <c r="M42" s="34" t="n">
        <f aca="false">IF(NOT(ISNUMBER($G42)),"",IF(J42=0,4,MAX(MATCH(L42,'Residual Config'!$E$11:$E$14,1),IF(K42&gt;0,'Residual Config'!$C$7,1))))</f>
        <v>1</v>
      </c>
      <c r="N42" s="7" t="str">
        <f aca="false">IF(NOT(ISNUMBER($G42)),"",IF(J42=0,"Ineffective (no key control)",INDEX('Residual Config'!$B$11:$B$14,M42)))</f>
        <v>Effective</v>
      </c>
      <c r="O42" s="36" t="n">
        <f aca="false">IF(NOT(ISNUMBER($G42)),"",IF(J42=0,0,SUMPRODUCT(('Control Mapping'!$C$5:$C$83=D42)*'Control Mapping'!$E$5:$E$83*(('Control Mapping'!$H$5:$H$83=1)*'Residual Config'!$D$11+('Control Mapping'!$H$5:$H$83=2)*'Residual Config'!$D$12+('Control Mapping'!$H$5:$H$83=3)*'Residual Config'!$D$13+('Control Mapping'!$H$5:$H$83=4)*'Residual Config'!$D$14))/SUMPRODUCT(('Control Mapping'!$C$5:$C$83=D42)*'Control Mapping'!$E$5:$E$83*('Control Mapping'!$H$5:$H$83&gt;0))))</f>
        <v>0.6</v>
      </c>
      <c r="P42" s="31" t="n">
        <f aca="false">IF(NOT(ISNUMBER($G42)),"",INDEX('Residual Config'!$B$19:$E$23,6-G42,M42))</f>
        <v>1</v>
      </c>
      <c r="Q42" s="29" t="n">
        <f aca="false">IF(NOT(ISNUMBER($G42)),"",MAX(1,F42*(1-O42)))</f>
        <v>1</v>
      </c>
      <c r="R42" s="31" t="n">
        <f aca="false">IF(NOT(ISNUMBER($G42)),"",MAX(MATCH(Q42,Config!$D$5:$D$9,1),G42-'Residual Config'!$C$6))</f>
        <v>1</v>
      </c>
      <c r="S42" s="34" t="n">
        <f aca="false">IF(NOT(ISNUMBER($G42)),"",IF('Residual Config'!$C$5="Numeric",R42,P42))</f>
        <v>1</v>
      </c>
      <c r="T42" s="7" t="str">
        <f aca="false">IF(G42="N/A","N/A",IF(S42="","No data",INDEX(Config!$B$5:$B$9,S42)))</f>
        <v>Low</v>
      </c>
      <c r="U42" s="32" t="n">
        <v>0</v>
      </c>
      <c r="V42" s="8"/>
      <c r="W42" s="33"/>
      <c r="X42" s="34" t="n">
        <f aca="false">IF(S42="","",IF(AND(W42="Y",U42&lt;&gt;0),MAX(1,MIN(5,S42+MAX(-Config!$C$27,MIN(Config!$C$27,U42)))),S42))</f>
        <v>1</v>
      </c>
      <c r="Y42" s="35" t="str">
        <f aca="false">IF(G42="N/A","N/A",IF(X42="","No data",INDEX(Config!$B$5:$B$9,X42)))</f>
        <v>Low</v>
      </c>
      <c r="Z42" s="7" t="str">
        <f aca="false">IF(U42=0,"None",IF(W42="Y","Applied","Pending HO approval"))</f>
        <v>None</v>
      </c>
      <c r="AA42" s="12" t="str">
        <f aca="false">INDEX('Risk Taxonomy'!$G$5:$G$24,MATCH(D42,'Risk Taxonomy'!$A$5:$A$24,0))</f>
        <v>Very low</v>
      </c>
      <c r="AB42" s="7" t="str">
        <f aca="false">INDEX('Risk Taxonomy'!$H$5:$H$24,MATCH(D42,'Risk Taxonomy'!$A$5:$A$24,0))</f>
        <v>Medium-Low</v>
      </c>
      <c r="AC42" s="35" t="str">
        <f aca="false">IF(NOT(ISNUMBER(X42)),"",IF(X42&lt;=MATCH(AB42,Config!$B$5:$B$9,0),"Within",IF(OR(X42-MATCH(AB42,Config!$B$5:$B$9,0)&gt;=2,AND('Residual Config'!$C$8="Y",ISNUMBER(SEARCH("Zero",AA42)))),"Red","Amber")))</f>
        <v>Within</v>
      </c>
      <c r="AD42" s="12" t="str">
        <f aca="false">IF(AC42="Red","Group CCO / CRO and Country CEO within 2 business days; action plan in 15 days; report to Board Risk &amp; Compliance Committee",IF(AC42="Amber","Country CO, risk owner and HO Administrator within 5 business days; action plan in 30 days",""))</f>
        <v/>
      </c>
    </row>
    <row r="43" customFormat="false" ht="15" hidden="false" customHeight="false" outlineLevel="0" collapsed="false">
      <c r="A43" s="26" t="str">
        <f aca="false">Entities!$A$6</f>
        <v>JO-IIAB</v>
      </c>
      <c r="B43" s="12" t="str">
        <f aca="false">INDEX(Entities!$B$5:$B$34,MATCH(A43,Entities!$A$5:$A$34,0))</f>
        <v>Islamic International Arab Bank</v>
      </c>
      <c r="C43" s="12" t="str">
        <f aca="false">INDEX(Entities!$D$5:$D$34,MATCH(A43,Entities!$A$5:$A$34,0))</f>
        <v>Jordan (home)</v>
      </c>
      <c r="D43" s="12" t="s">
        <v>319</v>
      </c>
      <c r="E43" s="12" t="str">
        <f aca="false">INDEX('Risk Taxonomy'!$B$5:$B$24,MATCH(D43,'Risk Taxonomy'!$A$5:$A$24,0))</f>
        <v>Reputational</v>
      </c>
      <c r="F43" s="29" t="n">
        <f aca="false">IF(NOT(ISNUMBER(G43)),"",G43)</f>
        <v>2</v>
      </c>
      <c r="G43" s="34" t="n">
        <f aca="false">IF(COUNTIFS('LxI Assessment'!$A$5:$A$394,A43,'LxI Assessment'!$D$5:$D$394,D43,'LxI Assessment'!$F$5:$F$394,"N/A")&gt;0,"N/A",IF(COUNTIFS('LxI Assessment'!$A$5:$A$394,A43,'LxI Assessment'!$D$5:$D$394,D43,'LxI Assessment'!$S$5:$S$394,"&gt;0")=0,"",SUMIFS('LxI Assessment'!$S$5:$S$394,'LxI Assessment'!$A$5:$A$394,A43,'LxI Assessment'!$D$5:$D$394,D43)))</f>
        <v>2</v>
      </c>
      <c r="H43" s="7" t="str">
        <f aca="false">IF(G43="N/A","N/A",IF(G43="","No data",INDEX(Config!$B$5:$B$9,G43)))</f>
        <v>Medium-Low</v>
      </c>
      <c r="I43" s="31" t="n">
        <f aca="false">IF(NOT(ISNUMBER($G43)),"",SUMPRODUCT(('Control Mapping'!$C$5:$C$83=D43)*('Control Mapping'!$H$5:$H$83&gt;0)))</f>
        <v>2</v>
      </c>
      <c r="J43" s="31" t="n">
        <f aca="false">IF(NOT(ISNUMBER($G43)),"",SUMPRODUCT(('Control Mapping'!$C$5:$C$83=D43)*('Control Mapping'!$F$5:$F$83="Y")*('Control Mapping'!$H$5:$H$83&gt;0)))</f>
        <v>1</v>
      </c>
      <c r="K43" s="31" t="n">
        <f aca="false">IF(NOT(ISNUMBER($G43)),"",SUMPRODUCT(('Control Mapping'!$C$5:$C$83=D43)*('Control Mapping'!$F$5:$F$83="Y")*('Control Mapping'!$H$5:$H$83=4)))</f>
        <v>0</v>
      </c>
      <c r="L43" s="29" t="n">
        <f aca="false">IF(NOT(ISNUMBER($G43)),"",IFERROR(SUMPRODUCT(('Control Mapping'!$C$5:$C$83=D43)*'Control Mapping'!$E$5:$E$83*'Control Mapping'!$H$5:$H$83)/SUMPRODUCT(('Control Mapping'!$C$5:$C$83=D43)*'Control Mapping'!$E$5:$E$83*('Control Mapping'!$H$5:$H$83&gt;0)),""))</f>
        <v>1.33333333333333</v>
      </c>
      <c r="M43" s="34" t="n">
        <f aca="false">IF(NOT(ISNUMBER($G43)),"",IF(J43=0,4,MAX(MATCH(L43,'Residual Config'!$E$11:$E$14,1),IF(K43&gt;0,'Residual Config'!$C$7,1))))</f>
        <v>1</v>
      </c>
      <c r="N43" s="7" t="str">
        <f aca="false">IF(NOT(ISNUMBER($G43)),"",IF(J43=0,"Ineffective (no key control)",INDEX('Residual Config'!$B$11:$B$14,M43)))</f>
        <v>Effective</v>
      </c>
      <c r="O43" s="36" t="n">
        <f aca="false">IF(NOT(ISNUMBER($G43)),"",IF(J43=0,0,SUMPRODUCT(('Control Mapping'!$C$5:$C$83=D43)*'Control Mapping'!$E$5:$E$83*(('Control Mapping'!$H$5:$H$83=1)*'Residual Config'!$D$11+('Control Mapping'!$H$5:$H$83=2)*'Residual Config'!$D$12+('Control Mapping'!$H$5:$H$83=3)*'Residual Config'!$D$13+('Control Mapping'!$H$5:$H$83=4)*'Residual Config'!$D$14))/SUMPRODUCT(('Control Mapping'!$C$5:$C$83=D43)*'Control Mapping'!$E$5:$E$83*('Control Mapping'!$H$5:$H$83&gt;0))))</f>
        <v>0.533333333333333</v>
      </c>
      <c r="P43" s="31" t="n">
        <f aca="false">IF(NOT(ISNUMBER($G43)),"",INDEX('Residual Config'!$B$19:$E$23,6-G43,M43))</f>
        <v>1</v>
      </c>
      <c r="Q43" s="29" t="n">
        <f aca="false">IF(NOT(ISNUMBER($G43)),"",MAX(1,F43*(1-O43)))</f>
        <v>1</v>
      </c>
      <c r="R43" s="31" t="n">
        <f aca="false">IF(NOT(ISNUMBER($G43)),"",MAX(MATCH(Q43,Config!$D$5:$D$9,1),G43-'Residual Config'!$C$6))</f>
        <v>1</v>
      </c>
      <c r="S43" s="34" t="n">
        <f aca="false">IF(NOT(ISNUMBER($G43)),"",IF('Residual Config'!$C$5="Numeric",R43,P43))</f>
        <v>1</v>
      </c>
      <c r="T43" s="7" t="str">
        <f aca="false">IF(G43="N/A","N/A",IF(S43="","No data",INDEX(Config!$B$5:$B$9,S43)))</f>
        <v>Low</v>
      </c>
      <c r="U43" s="32" t="n">
        <v>0</v>
      </c>
      <c r="V43" s="8"/>
      <c r="W43" s="33"/>
      <c r="X43" s="34" t="n">
        <f aca="false">IF(S43="","",IF(AND(W43="Y",U43&lt;&gt;0),MAX(1,MIN(5,S43+MAX(-Config!$C$27,MIN(Config!$C$27,U43)))),S43))</f>
        <v>1</v>
      </c>
      <c r="Y43" s="35" t="str">
        <f aca="false">IF(G43="N/A","N/A",IF(X43="","No data",INDEX(Config!$B$5:$B$9,X43)))</f>
        <v>Low</v>
      </c>
      <c r="Z43" s="7" t="str">
        <f aca="false">IF(U43=0,"None",IF(W43="Y","Applied","Pending HO approval"))</f>
        <v>None</v>
      </c>
      <c r="AA43" s="12" t="str">
        <f aca="false">INDEX('Risk Taxonomy'!$G$5:$G$24,MATCH(D43,'Risk Taxonomy'!$A$5:$A$24,0))</f>
        <v>Low</v>
      </c>
      <c r="AB43" s="7" t="str">
        <f aca="false">INDEX('Risk Taxonomy'!$H$5:$H$24,MATCH(D43,'Risk Taxonomy'!$A$5:$A$24,0))</f>
        <v>Medium</v>
      </c>
      <c r="AC43" s="35" t="str">
        <f aca="false">IF(NOT(ISNUMBER(X43)),"",IF(X43&lt;=MATCH(AB43,Config!$B$5:$B$9,0),"Within",IF(OR(X43-MATCH(AB43,Config!$B$5:$B$9,0)&gt;=2,AND('Residual Config'!$C$8="Y",ISNUMBER(SEARCH("Zero",AA43)))),"Red","Amber")))</f>
        <v>Within</v>
      </c>
      <c r="AD43" s="12" t="str">
        <f aca="false">IF(AC43="Red","Group CCO / CRO and Country CEO within 2 business days; action plan in 15 days; report to Board Risk &amp; Compliance Committee",IF(AC43="Amber","Country CO, risk owner and HO Administrator within 5 business days; action plan in 30 days",""))</f>
        <v/>
      </c>
    </row>
    <row r="44" customFormat="false" ht="15" hidden="false" customHeight="false" outlineLevel="0" collapsed="false">
      <c r="A44" s="26" t="str">
        <f aca="false">Entities!$A$6</f>
        <v>JO-IIAB</v>
      </c>
      <c r="B44" s="12" t="str">
        <f aca="false">INDEX(Entities!$B$5:$B$34,MATCH(A44,Entities!$A$5:$A$34,0))</f>
        <v>Islamic International Arab Bank</v>
      </c>
      <c r="C44" s="12" t="str">
        <f aca="false">INDEX(Entities!$D$5:$D$34,MATCH(A44,Entities!$A$5:$A$34,0))</f>
        <v>Jordan (home)</v>
      </c>
      <c r="D44" s="12" t="s">
        <v>322</v>
      </c>
      <c r="E44" s="12" t="str">
        <f aca="false">INDEX('Risk Taxonomy'!$B$5:$B$24,MATCH(D44,'Risk Taxonomy'!$A$5:$A$24,0))</f>
        <v>Strategic, business model and ESG</v>
      </c>
      <c r="F44" s="29" t="n">
        <f aca="false">IF(NOT(ISNUMBER(G44)),"",G44)</f>
        <v>3</v>
      </c>
      <c r="G44" s="34" t="n">
        <f aca="false">IF(COUNTIFS('LxI Assessment'!$A$5:$A$394,A44,'LxI Assessment'!$D$5:$D$394,D44,'LxI Assessment'!$F$5:$F$394,"N/A")&gt;0,"N/A",IF(COUNTIFS('LxI Assessment'!$A$5:$A$394,A44,'LxI Assessment'!$D$5:$D$394,D44,'LxI Assessment'!$S$5:$S$394,"&gt;0")=0,"",SUMIFS('LxI Assessment'!$S$5:$S$394,'LxI Assessment'!$A$5:$A$394,A44,'LxI Assessment'!$D$5:$D$394,D44)))</f>
        <v>3</v>
      </c>
      <c r="H44" s="7" t="str">
        <f aca="false">IF(G44="N/A","N/A",IF(G44="","No data",INDEX(Config!$B$5:$B$9,G44)))</f>
        <v>Medium</v>
      </c>
      <c r="I44" s="31" t="n">
        <f aca="false">IF(NOT(ISNUMBER($G44)),"",SUMPRODUCT(('Control Mapping'!$C$5:$C$83=D44)*('Control Mapping'!$H$5:$H$83&gt;0)))</f>
        <v>1</v>
      </c>
      <c r="J44" s="31" t="n">
        <f aca="false">IF(NOT(ISNUMBER($G44)),"",SUMPRODUCT(('Control Mapping'!$C$5:$C$83=D44)*('Control Mapping'!$F$5:$F$83="Y")*('Control Mapping'!$H$5:$H$83&gt;0)))</f>
        <v>1</v>
      </c>
      <c r="K44" s="31" t="n">
        <f aca="false">IF(NOT(ISNUMBER($G44)),"",SUMPRODUCT(('Control Mapping'!$C$5:$C$83=D44)*('Control Mapping'!$F$5:$F$83="Y")*('Control Mapping'!$H$5:$H$83=4)))</f>
        <v>0</v>
      </c>
      <c r="L44" s="29" t="n">
        <f aca="false">IF(NOT(ISNUMBER($G44)),"",IFERROR(SUMPRODUCT(('Control Mapping'!$C$5:$C$83=D44)*'Control Mapping'!$E$5:$E$83*'Control Mapping'!$H$5:$H$83)/SUMPRODUCT(('Control Mapping'!$C$5:$C$83=D44)*'Control Mapping'!$E$5:$E$83*('Control Mapping'!$H$5:$H$83&gt;0)),""))</f>
        <v>2</v>
      </c>
      <c r="M44" s="34" t="n">
        <f aca="false">IF(NOT(ISNUMBER($G44)),"",IF(J44=0,4,MAX(MATCH(L44,'Residual Config'!$E$11:$E$14,1),IF(K44&gt;0,'Residual Config'!$C$7,1))))</f>
        <v>2</v>
      </c>
      <c r="N44" s="7" t="str">
        <f aca="false">IF(NOT(ISNUMBER($G44)),"",IF(J44=0,"Ineffective (no key control)",INDEX('Residual Config'!$B$11:$B$14,M44)))</f>
        <v>Largely effective</v>
      </c>
      <c r="O44" s="36" t="n">
        <f aca="false">IF(NOT(ISNUMBER($G44)),"",IF(J44=0,0,SUMPRODUCT(('Control Mapping'!$C$5:$C$83=D44)*'Control Mapping'!$E$5:$E$83*(('Control Mapping'!$H$5:$H$83=1)*'Residual Config'!$D$11+('Control Mapping'!$H$5:$H$83=2)*'Residual Config'!$D$12+('Control Mapping'!$H$5:$H$83=3)*'Residual Config'!$D$13+('Control Mapping'!$H$5:$H$83=4)*'Residual Config'!$D$14))/SUMPRODUCT(('Control Mapping'!$C$5:$C$83=D44)*'Control Mapping'!$E$5:$E$83*('Control Mapping'!$H$5:$H$83&gt;0))))</f>
        <v>0.4</v>
      </c>
      <c r="P44" s="31" t="n">
        <f aca="false">IF(NOT(ISNUMBER($G44)),"",INDEX('Residual Config'!$B$19:$E$23,6-G44,M44))</f>
        <v>2</v>
      </c>
      <c r="Q44" s="29" t="n">
        <f aca="false">IF(NOT(ISNUMBER($G44)),"",MAX(1,F44*(1-O44)))</f>
        <v>1.8</v>
      </c>
      <c r="R44" s="31" t="n">
        <f aca="false">IF(NOT(ISNUMBER($G44)),"",MAX(MATCH(Q44,Config!$D$5:$D$9,1),G44-'Residual Config'!$C$6))</f>
        <v>1</v>
      </c>
      <c r="S44" s="34" t="n">
        <f aca="false">IF(NOT(ISNUMBER($G44)),"",IF('Residual Config'!$C$5="Numeric",R44,P44))</f>
        <v>2</v>
      </c>
      <c r="T44" s="7" t="str">
        <f aca="false">IF(G44="N/A","N/A",IF(S44="","No data",INDEX(Config!$B$5:$B$9,S44)))</f>
        <v>Medium-Low</v>
      </c>
      <c r="U44" s="32" t="n">
        <v>0</v>
      </c>
      <c r="V44" s="8"/>
      <c r="W44" s="33"/>
      <c r="X44" s="34" t="n">
        <f aca="false">IF(S44="","",IF(AND(W44="Y",U44&lt;&gt;0),MAX(1,MIN(5,S44+MAX(-Config!$C$27,MIN(Config!$C$27,U44)))),S44))</f>
        <v>2</v>
      </c>
      <c r="Y44" s="35" t="str">
        <f aca="false">IF(G44="N/A","N/A",IF(X44="","No data",INDEX(Config!$B$5:$B$9,X44)))</f>
        <v>Medium-Low</v>
      </c>
      <c r="Z44" s="7" t="str">
        <f aca="false">IF(U44=0,"None",IF(W44="Y","Applied","Pending HO approval"))</f>
        <v>None</v>
      </c>
      <c r="AA44" s="12" t="str">
        <f aca="false">INDEX('Risk Taxonomy'!$G$5:$G$24,MATCH(D44,'Risk Taxonomy'!$A$5:$A$24,0))</f>
        <v>Moderate</v>
      </c>
      <c r="AB44" s="7" t="str">
        <f aca="false">INDEX('Risk Taxonomy'!$H$5:$H$24,MATCH(D44,'Risk Taxonomy'!$A$5:$A$24,0))</f>
        <v>Medium-High</v>
      </c>
      <c r="AC44" s="35" t="str">
        <f aca="false">IF(NOT(ISNUMBER(X44)),"",IF(X44&lt;=MATCH(AB44,Config!$B$5:$B$9,0),"Within",IF(OR(X44-MATCH(AB44,Config!$B$5:$B$9,0)&gt;=2,AND('Residual Config'!$C$8="Y",ISNUMBER(SEARCH("Zero",AA44)))),"Red","Amber")))</f>
        <v>Within</v>
      </c>
      <c r="AD44" s="12" t="str">
        <f aca="false">IF(AC44="Red","Group CCO / CRO and Country CEO within 2 business days; action plan in 15 days; report to Board Risk &amp; Compliance Committee",IF(AC44="Amber","Country CO, risk owner and HO Administrator within 5 business days; action plan in 30 days",""))</f>
        <v/>
      </c>
    </row>
    <row r="45" customFormat="false" ht="15" hidden="false" customHeight="false" outlineLevel="0" collapsed="false">
      <c r="A45" s="26" t="str">
        <f aca="false">Entities!$A$7</f>
        <v>JO-INV</v>
      </c>
      <c r="B45" s="12" t="str">
        <f aca="false">INDEX(Entities!$B$5:$B$34,MATCH(A45,Entities!$A$5:$A$34,0))</f>
        <v>Al-Arabi Investment Group (AB Invest)</v>
      </c>
      <c r="C45" s="12" t="str">
        <f aca="false">INDEX(Entities!$D$5:$D$34,MATCH(A45,Entities!$A$5:$A$34,0))</f>
        <v>Jordan (home)</v>
      </c>
      <c r="D45" s="12" t="s">
        <v>260</v>
      </c>
      <c r="E45" s="12" t="str">
        <f aca="false">INDEX('Risk Taxonomy'!$B$5:$B$24,MATCH(D45,'Risk Taxonomy'!$A$5:$A$24,0))</f>
        <v>Money laundering</v>
      </c>
      <c r="F45" s="29" t="n">
        <f aca="false">IF(NOT(ISNUMBER(G45)),"",IFERROR(IF(MATCH(SUMIFS('FC Calculation'!$N$5:$N$214,'FC Calculation'!$A$5:$A$214,A45,'FC Calculation'!$D$5:$D$214,D45),Config!$D$5:$D$9,1)=G45,SUMIFS('FC Calculation'!$N$5:$N$214,'FC Calculation'!$A$5:$A$214,A45,'FC Calculation'!$D$5:$D$214,D45),G45),G45))</f>
        <v>2.1147619047619</v>
      </c>
      <c r="G45" s="34" t="n">
        <f aca="false">IF(COUNTIFS('FC Calculation'!$A$5:$A$214,A45,'FC Calculation'!$D$5:$D$214,D45,'FC Calculation'!$T$5:$T$214,"&gt;0")=0,"",SUMIFS('FC Calculation'!$T$5:$T$214,'FC Calculation'!$A$5:$A$214,A45,'FC Calculation'!$D$5:$D$214,D45))</f>
        <v>2</v>
      </c>
      <c r="H45" s="7" t="str">
        <f aca="false">IF(G45="N/A","N/A",IF(G45="","No data",INDEX(Config!$B$5:$B$9,G45)))</f>
        <v>Medium-Low</v>
      </c>
      <c r="I45" s="31" t="n">
        <f aca="false">IF(NOT(ISNUMBER($G45)),"",SUMPRODUCT(('Control Mapping'!$C$5:$C$83=D45)*('Control Mapping'!$I$5:$I$83&gt;0)))</f>
        <v>8</v>
      </c>
      <c r="J45" s="31" t="n">
        <f aca="false">IF(NOT(ISNUMBER($G45)),"",SUMPRODUCT(('Control Mapping'!$C$5:$C$83=D45)*('Control Mapping'!$F$5:$F$83="Y")*('Control Mapping'!$I$5:$I$83&gt;0)))</f>
        <v>6</v>
      </c>
      <c r="K45" s="31" t="n">
        <f aca="false">IF(NOT(ISNUMBER($G45)),"",SUMPRODUCT(('Control Mapping'!$C$5:$C$83=D45)*('Control Mapping'!$F$5:$F$83="Y")*('Control Mapping'!$I$5:$I$83=4)))</f>
        <v>0</v>
      </c>
      <c r="L45" s="29" t="n">
        <f aca="false">IF(NOT(ISNUMBER($G45)),"",IFERROR(SUMPRODUCT(('Control Mapping'!$C$5:$C$83=D45)*'Control Mapping'!$E$5:$E$83*'Control Mapping'!$I$5:$I$83)/SUMPRODUCT(('Control Mapping'!$C$5:$C$83=D45)*'Control Mapping'!$E$5:$E$83*('Control Mapping'!$I$5:$I$83&gt;0)),""))</f>
        <v>1.9375</v>
      </c>
      <c r="M45" s="34" t="n">
        <f aca="false">IF(NOT(ISNUMBER($G45)),"",IF(J45=0,4,MAX(MATCH(L45,'Residual Config'!$E$11:$E$14,1),IF(K45&gt;0,'Residual Config'!$C$7,1))))</f>
        <v>2</v>
      </c>
      <c r="N45" s="7" t="str">
        <f aca="false">IF(NOT(ISNUMBER($G45)),"",IF(J45=0,"Ineffective (no key control)",INDEX('Residual Config'!$B$11:$B$14,M45)))</f>
        <v>Largely effective</v>
      </c>
      <c r="O45" s="36" t="n">
        <f aca="false">IF(NOT(ISNUMBER($G45)),"",IF(J45=0,0,SUMPRODUCT(('Control Mapping'!$C$5:$C$83=D45)*'Control Mapping'!$E$5:$E$83*(('Control Mapping'!$I$5:$I$83=1)*'Residual Config'!$D$11+('Control Mapping'!$I$5:$I$83=2)*'Residual Config'!$D$12+('Control Mapping'!$I$5:$I$83=3)*'Residual Config'!$D$13+('Control Mapping'!$I$5:$I$83=4)*'Residual Config'!$D$14))/SUMPRODUCT(('Control Mapping'!$C$5:$C$83=D45)*'Control Mapping'!$E$5:$E$83*('Control Mapping'!$I$5:$I$83&gt;0))))</f>
        <v>0.4125</v>
      </c>
      <c r="P45" s="31" t="n">
        <f aca="false">IF(NOT(ISNUMBER($G45)),"",INDEX('Residual Config'!$B$19:$E$23,6-G45,M45))</f>
        <v>1</v>
      </c>
      <c r="Q45" s="29" t="n">
        <f aca="false">IF(NOT(ISNUMBER($G45)),"",MAX(1,F45*(1-O45)))</f>
        <v>1.24242261904762</v>
      </c>
      <c r="R45" s="31" t="n">
        <f aca="false">IF(NOT(ISNUMBER($G45)),"",MAX(MATCH(Q45,Config!$D$5:$D$9,1),G45-'Residual Config'!$C$6))</f>
        <v>1</v>
      </c>
      <c r="S45" s="34" t="n">
        <f aca="false">IF(NOT(ISNUMBER($G45)),"",IF('Residual Config'!$C$5="Numeric",R45,P45))</f>
        <v>1</v>
      </c>
      <c r="T45" s="7" t="str">
        <f aca="false">IF(G45="N/A","N/A",IF(S45="","No data",INDEX(Config!$B$5:$B$9,S45)))</f>
        <v>Low</v>
      </c>
      <c r="U45" s="32" t="n">
        <v>0</v>
      </c>
      <c r="V45" s="8"/>
      <c r="W45" s="33"/>
      <c r="X45" s="34" t="n">
        <f aca="false">IF(S45="","",IF(AND(W45="Y",U45&lt;&gt;0),MAX(1,MIN(5,S45+MAX(-Config!$C$27,MIN(Config!$C$27,U45)))),S45))</f>
        <v>1</v>
      </c>
      <c r="Y45" s="35" t="str">
        <f aca="false">IF(G45="N/A","N/A",IF(X45="","No data",INDEX(Config!$B$5:$B$9,X45)))</f>
        <v>Low</v>
      </c>
      <c r="Z45" s="7" t="str">
        <f aca="false">IF(U45=0,"None",IF(W45="Y","Applied","Pending HO approval"))</f>
        <v>None</v>
      </c>
      <c r="AA45" s="12" t="str">
        <f aca="false">INDEX('Risk Taxonomy'!$G$5:$G$24,MATCH(D45,'Risk Taxonomy'!$A$5:$A$24,0))</f>
        <v>Very low</v>
      </c>
      <c r="AB45" s="7" t="str">
        <f aca="false">INDEX('Risk Taxonomy'!$H$5:$H$24,MATCH(D45,'Risk Taxonomy'!$A$5:$A$24,0))</f>
        <v>Medium-Low</v>
      </c>
      <c r="AC45" s="35" t="str">
        <f aca="false">IF(NOT(ISNUMBER(X45)),"",IF(X45&lt;=MATCH(AB45,Config!$B$5:$B$9,0),"Within",IF(OR(X45-MATCH(AB45,Config!$B$5:$B$9,0)&gt;=2,AND('Residual Config'!$C$8="Y",ISNUMBER(SEARCH("Zero",AA45)))),"Red","Amber")))</f>
        <v>Within</v>
      </c>
      <c r="AD45" s="12" t="str">
        <f aca="false">IF(AC45="Red","Group CCO / CRO and Country CEO within 2 business days; action plan in 15 days; report to Board Risk &amp; Compliance Committee",IF(AC45="Amber","Country CO, risk owner and HO Administrator within 5 business days; action plan in 30 days",""))</f>
        <v/>
      </c>
    </row>
    <row r="46" customFormat="false" ht="15" hidden="false" customHeight="false" outlineLevel="0" collapsed="false">
      <c r="A46" s="26" t="str">
        <f aca="false">Entities!$A$7</f>
        <v>JO-INV</v>
      </c>
      <c r="B46" s="12" t="str">
        <f aca="false">INDEX(Entities!$B$5:$B$34,MATCH(A46,Entities!$A$5:$A$34,0))</f>
        <v>Al-Arabi Investment Group (AB Invest)</v>
      </c>
      <c r="C46" s="12" t="str">
        <f aca="false">INDEX(Entities!$D$5:$D$34,MATCH(A46,Entities!$A$5:$A$34,0))</f>
        <v>Jordan (home)</v>
      </c>
      <c r="D46" s="12" t="s">
        <v>267</v>
      </c>
      <c r="E46" s="12" t="str">
        <f aca="false">INDEX('Risk Taxonomy'!$B$5:$B$24,MATCH(D46,'Risk Taxonomy'!$A$5:$A$24,0))</f>
        <v>Terrorist financing</v>
      </c>
      <c r="F46" s="29" t="n">
        <f aca="false">IF(NOT(ISNUMBER(G46)),"",IFERROR(IF(MATCH(SUMIFS('FC Calculation'!$N$5:$N$214,'FC Calculation'!$A$5:$A$214,A46,'FC Calculation'!$D$5:$D$214,D46),Config!$D$5:$D$9,1)=G46,SUMIFS('FC Calculation'!$N$5:$N$214,'FC Calculation'!$A$5:$A$214,A46,'FC Calculation'!$D$5:$D$214,D46),G46),G46))</f>
        <v>1.98214285714286</v>
      </c>
      <c r="G46" s="34" t="n">
        <f aca="false">IF(COUNTIFS('FC Calculation'!$A$5:$A$214,A46,'FC Calculation'!$D$5:$D$214,D46,'FC Calculation'!$T$5:$T$214,"&gt;0")=0,"",SUMIFS('FC Calculation'!$T$5:$T$214,'FC Calculation'!$A$5:$A$214,A46,'FC Calculation'!$D$5:$D$214,D46))</f>
        <v>2</v>
      </c>
      <c r="H46" s="7" t="str">
        <f aca="false">IF(G46="N/A","N/A",IF(G46="","No data",INDEX(Config!$B$5:$B$9,G46)))</f>
        <v>Medium-Low</v>
      </c>
      <c r="I46" s="31" t="n">
        <f aca="false">IF(NOT(ISNUMBER($G46)),"",SUMPRODUCT(('Control Mapping'!$C$5:$C$83=D46)*('Control Mapping'!$I$5:$I$83&gt;0)))</f>
        <v>9</v>
      </c>
      <c r="J46" s="31" t="n">
        <f aca="false">IF(NOT(ISNUMBER($G46)),"",SUMPRODUCT(('Control Mapping'!$C$5:$C$83=D46)*('Control Mapping'!$F$5:$F$83="Y")*('Control Mapping'!$I$5:$I$83&gt;0)))</f>
        <v>7</v>
      </c>
      <c r="K46" s="31" t="n">
        <f aca="false">IF(NOT(ISNUMBER($G46)),"",SUMPRODUCT(('Control Mapping'!$C$5:$C$83=D46)*('Control Mapping'!$F$5:$F$83="Y")*('Control Mapping'!$I$5:$I$83=4)))</f>
        <v>1</v>
      </c>
      <c r="L46" s="29" t="n">
        <f aca="false">IF(NOT(ISNUMBER($G46)),"",IFERROR(SUMPRODUCT(('Control Mapping'!$C$5:$C$83=D46)*'Control Mapping'!$E$5:$E$83*'Control Mapping'!$I$5:$I$83)/SUMPRODUCT(('Control Mapping'!$C$5:$C$83=D46)*'Control Mapping'!$E$5:$E$83*('Control Mapping'!$I$5:$I$83&gt;0)),""))</f>
        <v>2.13333333333333</v>
      </c>
      <c r="M46" s="34" t="n">
        <f aca="false">IF(NOT(ISNUMBER($G46)),"",IF(J46=0,4,MAX(MATCH(L46,'Residual Config'!$E$11:$E$14,1),IF(K46&gt;0,'Residual Config'!$C$7,1))))</f>
        <v>3</v>
      </c>
      <c r="N46" s="7" t="str">
        <f aca="false">IF(NOT(ISNUMBER($G46)),"",IF(J46=0,"Ineffective (no key control)",INDEX('Residual Config'!$B$11:$B$14,M46)))</f>
        <v>Partially effective</v>
      </c>
      <c r="O46" s="36" t="n">
        <f aca="false">IF(NOT(ISNUMBER($G46)),"",IF(J46=0,0,SUMPRODUCT(('Control Mapping'!$C$5:$C$83=D46)*'Control Mapping'!$E$5:$E$83*(('Control Mapping'!$I$5:$I$83=1)*'Residual Config'!$D$11+('Control Mapping'!$I$5:$I$83=2)*'Residual Config'!$D$12+('Control Mapping'!$I$5:$I$83=3)*'Residual Config'!$D$13+('Control Mapping'!$I$5:$I$83=4)*'Residual Config'!$D$14))/SUMPRODUCT(('Control Mapping'!$C$5:$C$83=D46)*'Control Mapping'!$E$5:$E$83*('Control Mapping'!$I$5:$I$83&gt;0))))</f>
        <v>0.373333333333333</v>
      </c>
      <c r="P46" s="31" t="n">
        <f aca="false">IF(NOT(ISNUMBER($G46)),"",INDEX('Residual Config'!$B$19:$E$23,6-G46,M46))</f>
        <v>2</v>
      </c>
      <c r="Q46" s="29" t="n">
        <f aca="false">IF(NOT(ISNUMBER($G46)),"",MAX(1,F46*(1-O46)))</f>
        <v>1.24214285714286</v>
      </c>
      <c r="R46" s="31" t="n">
        <f aca="false">IF(NOT(ISNUMBER($G46)),"",MAX(MATCH(Q46,Config!$D$5:$D$9,1),G46-'Residual Config'!$C$6))</f>
        <v>1</v>
      </c>
      <c r="S46" s="34" t="n">
        <f aca="false">IF(NOT(ISNUMBER($G46)),"",IF('Residual Config'!$C$5="Numeric",R46,P46))</f>
        <v>2</v>
      </c>
      <c r="T46" s="7" t="str">
        <f aca="false">IF(G46="N/A","N/A",IF(S46="","No data",INDEX(Config!$B$5:$B$9,S46)))</f>
        <v>Medium-Low</v>
      </c>
      <c r="U46" s="32" t="n">
        <v>0</v>
      </c>
      <c r="V46" s="8"/>
      <c r="W46" s="33"/>
      <c r="X46" s="34" t="n">
        <f aca="false">IF(S46="","",IF(AND(W46="Y",U46&lt;&gt;0),MAX(1,MIN(5,S46+MAX(-Config!$C$27,MIN(Config!$C$27,U46)))),S46))</f>
        <v>2</v>
      </c>
      <c r="Y46" s="35" t="str">
        <f aca="false">IF(G46="N/A","N/A",IF(X46="","No data",INDEX(Config!$B$5:$B$9,X46)))</f>
        <v>Medium-Low</v>
      </c>
      <c r="Z46" s="7" t="str">
        <f aca="false">IF(U46=0,"None",IF(W46="Y","Applied","Pending HO approval"))</f>
        <v>None</v>
      </c>
      <c r="AA46" s="12" t="str">
        <f aca="false">INDEX('Risk Taxonomy'!$G$5:$G$24,MATCH(D46,'Risk Taxonomy'!$A$5:$A$24,0))</f>
        <v>Zero tolerance</v>
      </c>
      <c r="AB46" s="7" t="str">
        <f aca="false">INDEX('Risk Taxonomy'!$H$5:$H$24,MATCH(D46,'Risk Taxonomy'!$A$5:$A$24,0))</f>
        <v>Low</v>
      </c>
      <c r="AC46" s="35" t="str">
        <f aca="false">IF(NOT(ISNUMBER(X46)),"",IF(X46&lt;=MATCH(AB46,Config!$B$5:$B$9,0),"Within",IF(OR(X46-MATCH(AB46,Config!$B$5:$B$9,0)&gt;=2,AND('Residual Config'!$C$8="Y",ISNUMBER(SEARCH("Zero",AA46)))),"Red","Amber")))</f>
        <v>Amber</v>
      </c>
      <c r="AD46" s="12" t="str">
        <f aca="false">IF(AC46="Red","Group CCO / CRO and Country CEO within 2 business days; action plan in 15 days; report to Board Risk &amp; Compliance Committee",IF(AC46="Amber","Country CO, risk owner and HO Administrator within 5 business days; action plan in 30 days",""))</f>
        <v>Country CO, risk owner and HO Administrator within 5 business days; action plan in 30 days</v>
      </c>
    </row>
    <row r="47" customFormat="false" ht="15" hidden="false" customHeight="false" outlineLevel="0" collapsed="false">
      <c r="A47" s="26" t="str">
        <f aca="false">Entities!$A$7</f>
        <v>JO-INV</v>
      </c>
      <c r="B47" s="12" t="str">
        <f aca="false">INDEX(Entities!$B$5:$B$34,MATCH(A47,Entities!$A$5:$A$34,0))</f>
        <v>Al-Arabi Investment Group (AB Invest)</v>
      </c>
      <c r="C47" s="12" t="str">
        <f aca="false">INDEX(Entities!$D$5:$D$34,MATCH(A47,Entities!$A$5:$A$34,0))</f>
        <v>Jordan (home)</v>
      </c>
      <c r="D47" s="12" t="s">
        <v>270</v>
      </c>
      <c r="E47" s="12" t="str">
        <f aca="false">INDEX('Risk Taxonomy'!$B$5:$B$24,MATCH(D47,'Risk Taxonomy'!$A$5:$A$24,0))</f>
        <v>Proliferation financing</v>
      </c>
      <c r="F47" s="29" t="n">
        <f aca="false">IF(NOT(ISNUMBER(G47)),"",IFERROR(IF(MATCH(SUMIFS('FC Calculation'!$N$5:$N$214,'FC Calculation'!$A$5:$A$214,A47,'FC Calculation'!$D$5:$D$214,D47),Config!$D$5:$D$9,1)=G47,SUMIFS('FC Calculation'!$N$5:$N$214,'FC Calculation'!$A$5:$A$214,A47,'FC Calculation'!$D$5:$D$214,D47),G47),G47))</f>
        <v>1.8625</v>
      </c>
      <c r="G47" s="34" t="n">
        <f aca="false">IF(COUNTIFS('FC Calculation'!$A$5:$A$214,A47,'FC Calculation'!$D$5:$D$214,D47,'FC Calculation'!$T$5:$T$214,"&gt;0")=0,"",SUMIFS('FC Calculation'!$T$5:$T$214,'FC Calculation'!$A$5:$A$214,A47,'FC Calculation'!$D$5:$D$214,D47))</f>
        <v>2</v>
      </c>
      <c r="H47" s="7" t="str">
        <f aca="false">IF(G47="N/A","N/A",IF(G47="","No data",INDEX(Config!$B$5:$B$9,G47)))</f>
        <v>Medium-Low</v>
      </c>
      <c r="I47" s="31" t="n">
        <f aca="false">IF(NOT(ISNUMBER($G47)),"",SUMPRODUCT(('Control Mapping'!$C$5:$C$83=D47)*('Control Mapping'!$I$5:$I$83&gt;0)))</f>
        <v>3</v>
      </c>
      <c r="J47" s="31" t="n">
        <f aca="false">IF(NOT(ISNUMBER($G47)),"",SUMPRODUCT(('Control Mapping'!$C$5:$C$83=D47)*('Control Mapping'!$F$5:$F$83="Y")*('Control Mapping'!$I$5:$I$83&gt;0)))</f>
        <v>3</v>
      </c>
      <c r="K47" s="31" t="n">
        <f aca="false">IF(NOT(ISNUMBER($G47)),"",SUMPRODUCT(('Control Mapping'!$C$5:$C$83=D47)*('Control Mapping'!$F$5:$F$83="Y")*('Control Mapping'!$I$5:$I$83=4)))</f>
        <v>1</v>
      </c>
      <c r="L47" s="29" t="n">
        <f aca="false">IF(NOT(ISNUMBER($G47)),"",IFERROR(SUMPRODUCT(('Control Mapping'!$C$5:$C$83=D47)*'Control Mapping'!$E$5:$E$83*'Control Mapping'!$I$5:$I$83)/SUMPRODUCT(('Control Mapping'!$C$5:$C$83=D47)*'Control Mapping'!$E$5:$E$83*('Control Mapping'!$I$5:$I$83&gt;0)),""))</f>
        <v>2.4</v>
      </c>
      <c r="M47" s="34" t="n">
        <f aca="false">IF(NOT(ISNUMBER($G47)),"",IF(J47=0,4,MAX(MATCH(L47,'Residual Config'!$E$11:$E$14,1),IF(K47&gt;0,'Residual Config'!$C$7,1))))</f>
        <v>3</v>
      </c>
      <c r="N47" s="7" t="str">
        <f aca="false">IF(NOT(ISNUMBER($G47)),"",IF(J47=0,"Ineffective (no key control)",INDEX('Residual Config'!$B$11:$B$14,M47)))</f>
        <v>Partially effective</v>
      </c>
      <c r="O47" s="36" t="n">
        <f aca="false">IF(NOT(ISNUMBER($G47)),"",IF(J47=0,0,SUMPRODUCT(('Control Mapping'!$C$5:$C$83=D47)*'Control Mapping'!$E$5:$E$83*(('Control Mapping'!$I$5:$I$83=1)*'Residual Config'!$D$11+('Control Mapping'!$I$5:$I$83=2)*'Residual Config'!$D$12+('Control Mapping'!$I$5:$I$83=3)*'Residual Config'!$D$13+('Control Mapping'!$I$5:$I$83=4)*'Residual Config'!$D$14))/SUMPRODUCT(('Control Mapping'!$C$5:$C$83=D47)*'Control Mapping'!$E$5:$E$83*('Control Mapping'!$I$5:$I$83&gt;0))))</f>
        <v>0.32</v>
      </c>
      <c r="P47" s="31" t="n">
        <f aca="false">IF(NOT(ISNUMBER($G47)),"",INDEX('Residual Config'!$B$19:$E$23,6-G47,M47))</f>
        <v>2</v>
      </c>
      <c r="Q47" s="29" t="n">
        <f aca="false">IF(NOT(ISNUMBER($G47)),"",MAX(1,F47*(1-O47)))</f>
        <v>1.2665</v>
      </c>
      <c r="R47" s="31" t="n">
        <f aca="false">IF(NOT(ISNUMBER($G47)),"",MAX(MATCH(Q47,Config!$D$5:$D$9,1),G47-'Residual Config'!$C$6))</f>
        <v>1</v>
      </c>
      <c r="S47" s="34" t="n">
        <f aca="false">IF(NOT(ISNUMBER($G47)),"",IF('Residual Config'!$C$5="Numeric",R47,P47))</f>
        <v>2</v>
      </c>
      <c r="T47" s="7" t="str">
        <f aca="false">IF(G47="N/A","N/A",IF(S47="","No data",INDEX(Config!$B$5:$B$9,S47)))</f>
        <v>Medium-Low</v>
      </c>
      <c r="U47" s="32" t="n">
        <v>0</v>
      </c>
      <c r="V47" s="8"/>
      <c r="W47" s="33"/>
      <c r="X47" s="34" t="n">
        <f aca="false">IF(S47="","",IF(AND(W47="Y",U47&lt;&gt;0),MAX(1,MIN(5,S47+MAX(-Config!$C$27,MIN(Config!$C$27,U47)))),S47))</f>
        <v>2</v>
      </c>
      <c r="Y47" s="35" t="str">
        <f aca="false">IF(G47="N/A","N/A",IF(X47="","No data",INDEX(Config!$B$5:$B$9,X47)))</f>
        <v>Medium-Low</v>
      </c>
      <c r="Z47" s="7" t="str">
        <f aca="false">IF(U47=0,"None",IF(W47="Y","Applied","Pending HO approval"))</f>
        <v>None</v>
      </c>
      <c r="AA47" s="12" t="str">
        <f aca="false">INDEX('Risk Taxonomy'!$G$5:$G$24,MATCH(D47,'Risk Taxonomy'!$A$5:$A$24,0))</f>
        <v>Zero tolerance</v>
      </c>
      <c r="AB47" s="7" t="str">
        <f aca="false">INDEX('Risk Taxonomy'!$H$5:$H$24,MATCH(D47,'Risk Taxonomy'!$A$5:$A$24,0))</f>
        <v>Low</v>
      </c>
      <c r="AC47" s="35" t="str">
        <f aca="false">IF(NOT(ISNUMBER(X47)),"",IF(X47&lt;=MATCH(AB47,Config!$B$5:$B$9,0),"Within",IF(OR(X47-MATCH(AB47,Config!$B$5:$B$9,0)&gt;=2,AND('Residual Config'!$C$8="Y",ISNUMBER(SEARCH("Zero",AA47)))),"Red","Amber")))</f>
        <v>Amber</v>
      </c>
      <c r="AD47" s="12" t="str">
        <f aca="false">IF(AC47="Red","Group CCO / CRO and Country CEO within 2 business days; action plan in 15 days; report to Board Risk &amp; Compliance Committee",IF(AC47="Amber","Country CO, risk owner and HO Administrator within 5 business days; action plan in 30 days",""))</f>
        <v>Country CO, risk owner and HO Administrator within 5 business days; action plan in 30 days</v>
      </c>
    </row>
    <row r="48" customFormat="false" ht="15" hidden="false" customHeight="false" outlineLevel="0" collapsed="false">
      <c r="A48" s="26" t="str">
        <f aca="false">Entities!$A$7</f>
        <v>JO-INV</v>
      </c>
      <c r="B48" s="12" t="str">
        <f aca="false">INDEX(Entities!$B$5:$B$34,MATCH(A48,Entities!$A$5:$A$34,0))</f>
        <v>Al-Arabi Investment Group (AB Invest)</v>
      </c>
      <c r="C48" s="12" t="str">
        <f aca="false">INDEX(Entities!$D$5:$D$34,MATCH(A48,Entities!$A$5:$A$34,0))</f>
        <v>Jordan (home)</v>
      </c>
      <c r="D48" s="12" t="s">
        <v>272</v>
      </c>
      <c r="E48" s="12" t="str">
        <f aca="false">INDEX('Risk Taxonomy'!$B$5:$B$24,MATCH(D48,'Risk Taxonomy'!$A$5:$A$24,0))</f>
        <v>Sanctions</v>
      </c>
      <c r="F48" s="29" t="n">
        <f aca="false">IF(NOT(ISNUMBER(G48)),"",IFERROR(IF(MATCH(SUMIFS('FC Calculation'!$N$5:$N$214,'FC Calculation'!$A$5:$A$214,A48,'FC Calculation'!$D$5:$D$214,D48),Config!$D$5:$D$9,1)=G48,SUMIFS('FC Calculation'!$N$5:$N$214,'FC Calculation'!$A$5:$A$214,A48,'FC Calculation'!$D$5:$D$214,D48),G48),G48))</f>
        <v>1.90880952380952</v>
      </c>
      <c r="G48" s="34" t="n">
        <f aca="false">IF(COUNTIFS('FC Calculation'!$A$5:$A$214,A48,'FC Calculation'!$D$5:$D$214,D48,'FC Calculation'!$T$5:$T$214,"&gt;0")=0,"",SUMIFS('FC Calculation'!$T$5:$T$214,'FC Calculation'!$A$5:$A$214,A48,'FC Calculation'!$D$5:$D$214,D48))</f>
        <v>2</v>
      </c>
      <c r="H48" s="7" t="str">
        <f aca="false">IF(G48="N/A","N/A",IF(G48="","No data",INDEX(Config!$B$5:$B$9,G48)))</f>
        <v>Medium-Low</v>
      </c>
      <c r="I48" s="31" t="n">
        <f aca="false">IF(NOT(ISNUMBER($G48)),"",SUMPRODUCT(('Control Mapping'!$C$5:$C$83=D48)*('Control Mapping'!$I$5:$I$83&gt;0)))</f>
        <v>5</v>
      </c>
      <c r="J48" s="31" t="n">
        <f aca="false">IF(NOT(ISNUMBER($G48)),"",SUMPRODUCT(('Control Mapping'!$C$5:$C$83=D48)*('Control Mapping'!$F$5:$F$83="Y")*('Control Mapping'!$I$5:$I$83&gt;0)))</f>
        <v>3</v>
      </c>
      <c r="K48" s="31" t="n">
        <f aca="false">IF(NOT(ISNUMBER($G48)),"",SUMPRODUCT(('Control Mapping'!$C$5:$C$83=D48)*('Control Mapping'!$F$5:$F$83="Y")*('Control Mapping'!$I$5:$I$83=4)))</f>
        <v>1</v>
      </c>
      <c r="L48" s="29" t="n">
        <f aca="false">IF(NOT(ISNUMBER($G48)),"",IFERROR(SUMPRODUCT(('Control Mapping'!$C$5:$C$83=D48)*'Control Mapping'!$E$5:$E$83*'Control Mapping'!$I$5:$I$83)/SUMPRODUCT(('Control Mapping'!$C$5:$C$83=D48)*'Control Mapping'!$E$5:$E$83*('Control Mapping'!$I$5:$I$83&gt;0)),""))</f>
        <v>2.625</v>
      </c>
      <c r="M48" s="34" t="n">
        <f aca="false">IF(NOT(ISNUMBER($G48)),"",IF(J48=0,4,MAX(MATCH(L48,'Residual Config'!$E$11:$E$14,1),IF(K48&gt;0,'Residual Config'!$C$7,1))))</f>
        <v>3</v>
      </c>
      <c r="N48" s="7" t="str">
        <f aca="false">IF(NOT(ISNUMBER($G48)),"",IF(J48=0,"Ineffective (no key control)",INDEX('Residual Config'!$B$11:$B$14,M48)))</f>
        <v>Partially effective</v>
      </c>
      <c r="O48" s="36" t="n">
        <f aca="false">IF(NOT(ISNUMBER($G48)),"",IF(J48=0,0,SUMPRODUCT(('Control Mapping'!$C$5:$C$83=D48)*'Control Mapping'!$E$5:$E$83*(('Control Mapping'!$I$5:$I$83=1)*'Residual Config'!$D$11+('Control Mapping'!$I$5:$I$83=2)*'Residual Config'!$D$12+('Control Mapping'!$I$5:$I$83=3)*'Residual Config'!$D$13+('Control Mapping'!$I$5:$I$83=4)*'Residual Config'!$D$14))/SUMPRODUCT(('Control Mapping'!$C$5:$C$83=D48)*'Control Mapping'!$E$5:$E$83*('Control Mapping'!$I$5:$I$83&gt;0))))</f>
        <v>0.275</v>
      </c>
      <c r="P48" s="31" t="n">
        <f aca="false">IF(NOT(ISNUMBER($G48)),"",INDEX('Residual Config'!$B$19:$E$23,6-G48,M48))</f>
        <v>2</v>
      </c>
      <c r="Q48" s="29" t="n">
        <f aca="false">IF(NOT(ISNUMBER($G48)),"",MAX(1,F48*(1-O48)))</f>
        <v>1.38388690476191</v>
      </c>
      <c r="R48" s="31" t="n">
        <f aca="false">IF(NOT(ISNUMBER($G48)),"",MAX(MATCH(Q48,Config!$D$5:$D$9,1),G48-'Residual Config'!$C$6))</f>
        <v>1</v>
      </c>
      <c r="S48" s="34" t="n">
        <f aca="false">IF(NOT(ISNUMBER($G48)),"",IF('Residual Config'!$C$5="Numeric",R48,P48))</f>
        <v>2</v>
      </c>
      <c r="T48" s="7" t="str">
        <f aca="false">IF(G48="N/A","N/A",IF(S48="","No data",INDEX(Config!$B$5:$B$9,S48)))</f>
        <v>Medium-Low</v>
      </c>
      <c r="U48" s="32" t="n">
        <v>0</v>
      </c>
      <c r="V48" s="8"/>
      <c r="W48" s="33"/>
      <c r="X48" s="34" t="n">
        <f aca="false">IF(S48="","",IF(AND(W48="Y",U48&lt;&gt;0),MAX(1,MIN(5,S48+MAX(-Config!$C$27,MIN(Config!$C$27,U48)))),S48))</f>
        <v>2</v>
      </c>
      <c r="Y48" s="35" t="str">
        <f aca="false">IF(G48="N/A","N/A",IF(X48="","No data",INDEX(Config!$B$5:$B$9,X48)))</f>
        <v>Medium-Low</v>
      </c>
      <c r="Z48" s="7" t="str">
        <f aca="false">IF(U48=0,"None",IF(W48="Y","Applied","Pending HO approval"))</f>
        <v>None</v>
      </c>
      <c r="AA48" s="12" t="str">
        <f aca="false">INDEX('Risk Taxonomy'!$G$5:$G$24,MATCH(D48,'Risk Taxonomy'!$A$5:$A$24,0))</f>
        <v>Zero tolerance</v>
      </c>
      <c r="AB48" s="7" t="str">
        <f aca="false">INDEX('Risk Taxonomy'!$H$5:$H$24,MATCH(D48,'Risk Taxonomy'!$A$5:$A$24,0))</f>
        <v>Low</v>
      </c>
      <c r="AC48" s="35" t="str">
        <f aca="false">IF(NOT(ISNUMBER(X48)),"",IF(X48&lt;=MATCH(AB48,Config!$B$5:$B$9,0),"Within",IF(OR(X48-MATCH(AB48,Config!$B$5:$B$9,0)&gt;=2,AND('Residual Config'!$C$8="Y",ISNUMBER(SEARCH("Zero",AA48)))),"Red","Amber")))</f>
        <v>Amber</v>
      </c>
      <c r="AD48" s="12" t="str">
        <f aca="false">IF(AC48="Red","Group CCO / CRO and Country CEO within 2 business days; action plan in 15 days; report to Board Risk &amp; Compliance Committee",IF(AC48="Amber","Country CO, risk owner and HO Administrator within 5 business days; action plan in 30 days",""))</f>
        <v>Country CO, risk owner and HO Administrator within 5 business days; action plan in 30 days</v>
      </c>
    </row>
    <row r="49" customFormat="false" ht="15" hidden="false" customHeight="false" outlineLevel="0" collapsed="false">
      <c r="A49" s="26" t="str">
        <f aca="false">Entities!$A$7</f>
        <v>JO-INV</v>
      </c>
      <c r="B49" s="12" t="str">
        <f aca="false">INDEX(Entities!$B$5:$B$34,MATCH(A49,Entities!$A$5:$A$34,0))</f>
        <v>Al-Arabi Investment Group (AB Invest)</v>
      </c>
      <c r="C49" s="12" t="str">
        <f aca="false">INDEX(Entities!$D$5:$D$34,MATCH(A49,Entities!$A$5:$A$34,0))</f>
        <v>Jordan (home)</v>
      </c>
      <c r="D49" s="12" t="s">
        <v>275</v>
      </c>
      <c r="E49" s="12" t="str">
        <f aca="false">INDEX('Risk Taxonomy'!$B$5:$B$24,MATCH(D49,'Risk Taxonomy'!$A$5:$A$24,0))</f>
        <v>Bribery and corruption</v>
      </c>
      <c r="F49" s="29" t="n">
        <f aca="false">IF(NOT(ISNUMBER(G49)),"",IFERROR(IF(MATCH(SUMIFS('FC Calculation'!$N$5:$N$214,'FC Calculation'!$A$5:$A$214,A49,'FC Calculation'!$D$5:$D$214,D49),Config!$D$5:$D$9,1)=G49,SUMIFS('FC Calculation'!$N$5:$N$214,'FC Calculation'!$A$5:$A$214,A49,'FC Calculation'!$D$5:$D$214,D49),G49),G49))</f>
        <v>2.415</v>
      </c>
      <c r="G49" s="34" t="n">
        <f aca="false">IF(COUNTIFS('FC Calculation'!$A$5:$A$214,A49,'FC Calculation'!$D$5:$D$214,D49,'FC Calculation'!$T$5:$T$214,"&gt;0")=0,"",SUMIFS('FC Calculation'!$T$5:$T$214,'FC Calculation'!$A$5:$A$214,A49,'FC Calculation'!$D$5:$D$214,D49))</f>
        <v>2</v>
      </c>
      <c r="H49" s="7" t="str">
        <f aca="false">IF(G49="N/A","N/A",IF(G49="","No data",INDEX(Config!$B$5:$B$9,G49)))</f>
        <v>Medium-Low</v>
      </c>
      <c r="I49" s="31" t="n">
        <f aca="false">IF(NOT(ISNUMBER($G49)),"",SUMPRODUCT(('Control Mapping'!$C$5:$C$83=D49)*('Control Mapping'!$I$5:$I$83&gt;0)))</f>
        <v>5</v>
      </c>
      <c r="J49" s="31" t="n">
        <f aca="false">IF(NOT(ISNUMBER($G49)),"",SUMPRODUCT(('Control Mapping'!$C$5:$C$83=D49)*('Control Mapping'!$F$5:$F$83="Y")*('Control Mapping'!$I$5:$I$83&gt;0)))</f>
        <v>2</v>
      </c>
      <c r="K49" s="31" t="n">
        <f aca="false">IF(NOT(ISNUMBER($G49)),"",SUMPRODUCT(('Control Mapping'!$C$5:$C$83=D49)*('Control Mapping'!$F$5:$F$83="Y")*('Control Mapping'!$I$5:$I$83=4)))</f>
        <v>0</v>
      </c>
      <c r="L49" s="29" t="n">
        <f aca="false">IF(NOT(ISNUMBER($G49)),"",IFERROR(SUMPRODUCT(('Control Mapping'!$C$5:$C$83=D49)*'Control Mapping'!$E$5:$E$83*'Control Mapping'!$I$5:$I$83)/SUMPRODUCT(('Control Mapping'!$C$5:$C$83=D49)*'Control Mapping'!$E$5:$E$83*('Control Mapping'!$I$5:$I$83&gt;0)),""))</f>
        <v>2</v>
      </c>
      <c r="M49" s="34" t="n">
        <f aca="false">IF(NOT(ISNUMBER($G49)),"",IF(J49=0,4,MAX(MATCH(L49,'Residual Config'!$E$11:$E$14,1),IF(K49&gt;0,'Residual Config'!$C$7,1))))</f>
        <v>2</v>
      </c>
      <c r="N49" s="7" t="str">
        <f aca="false">IF(NOT(ISNUMBER($G49)),"",IF(J49=0,"Ineffective (no key control)",INDEX('Residual Config'!$B$11:$B$14,M49)))</f>
        <v>Largely effective</v>
      </c>
      <c r="O49" s="36" t="n">
        <f aca="false">IF(NOT(ISNUMBER($G49)),"",IF(J49=0,0,SUMPRODUCT(('Control Mapping'!$C$5:$C$83=D49)*'Control Mapping'!$E$5:$E$83*(('Control Mapping'!$I$5:$I$83=1)*'Residual Config'!$D$11+('Control Mapping'!$I$5:$I$83=2)*'Residual Config'!$D$12+('Control Mapping'!$I$5:$I$83=3)*'Residual Config'!$D$13+('Control Mapping'!$I$5:$I$83=4)*'Residual Config'!$D$14))/SUMPRODUCT(('Control Mapping'!$C$5:$C$83=D49)*'Control Mapping'!$E$5:$E$83*('Control Mapping'!$I$5:$I$83&gt;0))))</f>
        <v>0.4</v>
      </c>
      <c r="P49" s="31" t="n">
        <f aca="false">IF(NOT(ISNUMBER($G49)),"",INDEX('Residual Config'!$B$19:$E$23,6-G49,M49))</f>
        <v>1</v>
      </c>
      <c r="Q49" s="29" t="n">
        <f aca="false">IF(NOT(ISNUMBER($G49)),"",MAX(1,F49*(1-O49)))</f>
        <v>1.449</v>
      </c>
      <c r="R49" s="31" t="n">
        <f aca="false">IF(NOT(ISNUMBER($G49)),"",MAX(MATCH(Q49,Config!$D$5:$D$9,1),G49-'Residual Config'!$C$6))</f>
        <v>1</v>
      </c>
      <c r="S49" s="34" t="n">
        <f aca="false">IF(NOT(ISNUMBER($G49)),"",IF('Residual Config'!$C$5="Numeric",R49,P49))</f>
        <v>1</v>
      </c>
      <c r="T49" s="7" t="str">
        <f aca="false">IF(G49="N/A","N/A",IF(S49="","No data",INDEX(Config!$B$5:$B$9,S49)))</f>
        <v>Low</v>
      </c>
      <c r="U49" s="32" t="n">
        <v>0</v>
      </c>
      <c r="V49" s="8"/>
      <c r="W49" s="33"/>
      <c r="X49" s="34" t="n">
        <f aca="false">IF(S49="","",IF(AND(W49="Y",U49&lt;&gt;0),MAX(1,MIN(5,S49+MAX(-Config!$C$27,MIN(Config!$C$27,U49)))),S49))</f>
        <v>1</v>
      </c>
      <c r="Y49" s="35" t="str">
        <f aca="false">IF(G49="N/A","N/A",IF(X49="","No data",INDEX(Config!$B$5:$B$9,X49)))</f>
        <v>Low</v>
      </c>
      <c r="Z49" s="7" t="str">
        <f aca="false">IF(U49=0,"None",IF(W49="Y","Applied","Pending HO approval"))</f>
        <v>None</v>
      </c>
      <c r="AA49" s="12" t="str">
        <f aca="false">INDEX('Risk Taxonomy'!$G$5:$G$24,MATCH(D49,'Risk Taxonomy'!$A$5:$A$24,0))</f>
        <v>Zero tolerance</v>
      </c>
      <c r="AB49" s="7" t="str">
        <f aca="false">INDEX('Risk Taxonomy'!$H$5:$H$24,MATCH(D49,'Risk Taxonomy'!$A$5:$A$24,0))</f>
        <v>Low</v>
      </c>
      <c r="AC49" s="35" t="str">
        <f aca="false">IF(NOT(ISNUMBER(X49)),"",IF(X49&lt;=MATCH(AB49,Config!$B$5:$B$9,0),"Within",IF(OR(X49-MATCH(AB49,Config!$B$5:$B$9,0)&gt;=2,AND('Residual Config'!$C$8="Y",ISNUMBER(SEARCH("Zero",AA49)))),"Red","Amber")))</f>
        <v>Within</v>
      </c>
      <c r="AD49" s="12" t="str">
        <f aca="false">IF(AC49="Red","Group CCO / CRO and Country CEO within 2 business days; action plan in 15 days; report to Board Risk &amp; Compliance Committee",IF(AC49="Amber","Country CO, risk owner and HO Administrator within 5 business days; action plan in 30 days",""))</f>
        <v/>
      </c>
    </row>
    <row r="50" customFormat="false" ht="15" hidden="false" customHeight="false" outlineLevel="0" collapsed="false">
      <c r="A50" s="26" t="str">
        <f aca="false">Entities!$A$7</f>
        <v>JO-INV</v>
      </c>
      <c r="B50" s="12" t="str">
        <f aca="false">INDEX(Entities!$B$5:$B$34,MATCH(A50,Entities!$A$5:$A$34,0))</f>
        <v>Al-Arabi Investment Group (AB Invest)</v>
      </c>
      <c r="C50" s="12" t="str">
        <f aca="false">INDEX(Entities!$D$5:$D$34,MATCH(A50,Entities!$A$5:$A$34,0))</f>
        <v>Jordan (home)</v>
      </c>
      <c r="D50" s="12" t="s">
        <v>278</v>
      </c>
      <c r="E50" s="12" t="str">
        <f aca="false">INDEX('Risk Taxonomy'!$B$5:$B$24,MATCH(D50,'Risk Taxonomy'!$A$5:$A$24,0))</f>
        <v>Fraud</v>
      </c>
      <c r="F50" s="29" t="n">
        <f aca="false">IF(NOT(ISNUMBER(G50)),"",IFERROR(IF(MATCH(SUMIFS('FC Calculation'!$N$5:$N$214,'FC Calculation'!$A$5:$A$214,A50,'FC Calculation'!$D$5:$D$214,D50),Config!$D$5:$D$9,1)=G50,SUMIFS('FC Calculation'!$N$5:$N$214,'FC Calculation'!$A$5:$A$214,A50,'FC Calculation'!$D$5:$D$214,D50),G50),G50))</f>
        <v>2.04333333333333</v>
      </c>
      <c r="G50" s="34" t="n">
        <f aca="false">IF(COUNTIFS('FC Calculation'!$A$5:$A$214,A50,'FC Calculation'!$D$5:$D$214,D50,'FC Calculation'!$T$5:$T$214,"&gt;0")=0,"",SUMIFS('FC Calculation'!$T$5:$T$214,'FC Calculation'!$A$5:$A$214,A50,'FC Calculation'!$D$5:$D$214,D50))</f>
        <v>2</v>
      </c>
      <c r="H50" s="7" t="str">
        <f aca="false">IF(G50="N/A","N/A",IF(G50="","No data",INDEX(Config!$B$5:$B$9,G50)))</f>
        <v>Medium-Low</v>
      </c>
      <c r="I50" s="31" t="n">
        <f aca="false">IF(NOT(ISNUMBER($G50)),"",SUMPRODUCT(('Control Mapping'!$C$5:$C$83=D50)*('Control Mapping'!$I$5:$I$83&gt;0)))</f>
        <v>4</v>
      </c>
      <c r="J50" s="31" t="n">
        <f aca="false">IF(NOT(ISNUMBER($G50)),"",SUMPRODUCT(('Control Mapping'!$C$5:$C$83=D50)*('Control Mapping'!$F$5:$F$83="Y")*('Control Mapping'!$I$5:$I$83&gt;0)))</f>
        <v>3</v>
      </c>
      <c r="K50" s="31" t="n">
        <f aca="false">IF(NOT(ISNUMBER($G50)),"",SUMPRODUCT(('Control Mapping'!$C$5:$C$83=D50)*('Control Mapping'!$F$5:$F$83="Y")*('Control Mapping'!$I$5:$I$83=4)))</f>
        <v>0</v>
      </c>
      <c r="L50" s="29" t="n">
        <f aca="false">IF(NOT(ISNUMBER($G50)),"",IFERROR(SUMPRODUCT(('Control Mapping'!$C$5:$C$83=D50)*'Control Mapping'!$E$5:$E$83*'Control Mapping'!$I$5:$I$83)/SUMPRODUCT(('Control Mapping'!$C$5:$C$83=D50)*'Control Mapping'!$E$5:$E$83*('Control Mapping'!$I$5:$I$83&gt;0)),""))</f>
        <v>2</v>
      </c>
      <c r="M50" s="34" t="n">
        <f aca="false">IF(NOT(ISNUMBER($G50)),"",IF(J50=0,4,MAX(MATCH(L50,'Residual Config'!$E$11:$E$14,1),IF(K50&gt;0,'Residual Config'!$C$7,1))))</f>
        <v>2</v>
      </c>
      <c r="N50" s="7" t="str">
        <f aca="false">IF(NOT(ISNUMBER($G50)),"",IF(J50=0,"Ineffective (no key control)",INDEX('Residual Config'!$B$11:$B$14,M50)))</f>
        <v>Largely effective</v>
      </c>
      <c r="O50" s="36" t="n">
        <f aca="false">IF(NOT(ISNUMBER($G50)),"",IF(J50=0,0,SUMPRODUCT(('Control Mapping'!$C$5:$C$83=D50)*'Control Mapping'!$E$5:$E$83*(('Control Mapping'!$I$5:$I$83=1)*'Residual Config'!$D$11+('Control Mapping'!$I$5:$I$83=2)*'Residual Config'!$D$12+('Control Mapping'!$I$5:$I$83=3)*'Residual Config'!$D$13+('Control Mapping'!$I$5:$I$83=4)*'Residual Config'!$D$14))/SUMPRODUCT(('Control Mapping'!$C$5:$C$83=D50)*'Control Mapping'!$E$5:$E$83*('Control Mapping'!$I$5:$I$83&gt;0))))</f>
        <v>0.4</v>
      </c>
      <c r="P50" s="31" t="n">
        <f aca="false">IF(NOT(ISNUMBER($G50)),"",INDEX('Residual Config'!$B$19:$E$23,6-G50,M50))</f>
        <v>1</v>
      </c>
      <c r="Q50" s="29" t="n">
        <f aca="false">IF(NOT(ISNUMBER($G50)),"",MAX(1,F50*(1-O50)))</f>
        <v>1.226</v>
      </c>
      <c r="R50" s="31" t="n">
        <f aca="false">IF(NOT(ISNUMBER($G50)),"",MAX(MATCH(Q50,Config!$D$5:$D$9,1),G50-'Residual Config'!$C$6))</f>
        <v>1</v>
      </c>
      <c r="S50" s="34" t="n">
        <f aca="false">IF(NOT(ISNUMBER($G50)),"",IF('Residual Config'!$C$5="Numeric",R50,P50))</f>
        <v>1</v>
      </c>
      <c r="T50" s="7" t="str">
        <f aca="false">IF(G50="N/A","N/A",IF(S50="","No data",INDEX(Config!$B$5:$B$9,S50)))</f>
        <v>Low</v>
      </c>
      <c r="U50" s="32" t="n">
        <v>0</v>
      </c>
      <c r="V50" s="8"/>
      <c r="W50" s="33"/>
      <c r="X50" s="34" t="n">
        <f aca="false">IF(S50="","",IF(AND(W50="Y",U50&lt;&gt;0),MAX(1,MIN(5,S50+MAX(-Config!$C$27,MIN(Config!$C$27,U50)))),S50))</f>
        <v>1</v>
      </c>
      <c r="Y50" s="35" t="str">
        <f aca="false">IF(G50="N/A","N/A",IF(X50="","No data",INDEX(Config!$B$5:$B$9,X50)))</f>
        <v>Low</v>
      </c>
      <c r="Z50" s="7" t="str">
        <f aca="false">IF(U50=0,"None",IF(W50="Y","Applied","Pending HO approval"))</f>
        <v>None</v>
      </c>
      <c r="AA50" s="12" t="str">
        <f aca="false">INDEX('Risk Taxonomy'!$G$5:$G$24,MATCH(D50,'Risk Taxonomy'!$A$5:$A$24,0))</f>
        <v>Low</v>
      </c>
      <c r="AB50" s="7" t="str">
        <f aca="false">INDEX('Risk Taxonomy'!$H$5:$H$24,MATCH(D50,'Risk Taxonomy'!$A$5:$A$24,0))</f>
        <v>Medium</v>
      </c>
      <c r="AC50" s="35" t="str">
        <f aca="false">IF(NOT(ISNUMBER(X50)),"",IF(X50&lt;=MATCH(AB50,Config!$B$5:$B$9,0),"Within",IF(OR(X50-MATCH(AB50,Config!$B$5:$B$9,0)&gt;=2,AND('Residual Config'!$C$8="Y",ISNUMBER(SEARCH("Zero",AA50)))),"Red","Amber")))</f>
        <v>Within</v>
      </c>
      <c r="AD50" s="12" t="str">
        <f aca="false">IF(AC50="Red","Group CCO / CRO and Country CEO within 2 business days; action plan in 15 days; report to Board Risk &amp; Compliance Committee",IF(AC50="Amber","Country CO, risk owner and HO Administrator within 5 business days; action plan in 30 days",""))</f>
        <v/>
      </c>
    </row>
    <row r="51" customFormat="false" ht="15" hidden="false" customHeight="false" outlineLevel="0" collapsed="false">
      <c r="A51" s="26" t="str">
        <f aca="false">Entities!$A$7</f>
        <v>JO-INV</v>
      </c>
      <c r="B51" s="12" t="str">
        <f aca="false">INDEX(Entities!$B$5:$B$34,MATCH(A51,Entities!$A$5:$A$34,0))</f>
        <v>Al-Arabi Investment Group (AB Invest)</v>
      </c>
      <c r="C51" s="12" t="str">
        <f aca="false">INDEX(Entities!$D$5:$D$34,MATCH(A51,Entities!$A$5:$A$34,0))</f>
        <v>Jordan (home)</v>
      </c>
      <c r="D51" s="12" t="s">
        <v>281</v>
      </c>
      <c r="E51" s="12" t="str">
        <f aca="false">INDEX('Risk Taxonomy'!$B$5:$B$24,MATCH(D51,'Risk Taxonomy'!$A$5:$A$24,0))</f>
        <v>Tax evasion and tax transparency</v>
      </c>
      <c r="F51" s="29" t="n">
        <f aca="false">IF(NOT(ISNUMBER(G51)),"",IFERROR(IF(MATCH(SUMIFS('FC Calculation'!$N$5:$N$214,'FC Calculation'!$A$5:$A$214,A51,'FC Calculation'!$D$5:$D$214,D51),Config!$D$5:$D$9,1)=G51,SUMIFS('FC Calculation'!$N$5:$N$214,'FC Calculation'!$A$5:$A$214,A51,'FC Calculation'!$D$5:$D$214,D51),G51),G51))</f>
        <v>2.79611111111111</v>
      </c>
      <c r="G51" s="34" t="n">
        <f aca="false">IF(COUNTIFS('FC Calculation'!$A$5:$A$214,A51,'FC Calculation'!$D$5:$D$214,D51,'FC Calculation'!$T$5:$T$214,"&gt;0")=0,"",SUMIFS('FC Calculation'!$T$5:$T$214,'FC Calculation'!$A$5:$A$214,A51,'FC Calculation'!$D$5:$D$214,D51))</f>
        <v>3</v>
      </c>
      <c r="H51" s="7" t="str">
        <f aca="false">IF(G51="N/A","N/A",IF(G51="","No data",INDEX(Config!$B$5:$B$9,G51)))</f>
        <v>Medium</v>
      </c>
      <c r="I51" s="31" t="n">
        <f aca="false">IF(NOT(ISNUMBER($G51)),"",SUMPRODUCT(('Control Mapping'!$C$5:$C$83=D51)*('Control Mapping'!$I$5:$I$83&gt;0)))</f>
        <v>5</v>
      </c>
      <c r="J51" s="31" t="n">
        <f aca="false">IF(NOT(ISNUMBER($G51)),"",SUMPRODUCT(('Control Mapping'!$C$5:$C$83=D51)*('Control Mapping'!$F$5:$F$83="Y")*('Control Mapping'!$I$5:$I$83&gt;0)))</f>
        <v>4</v>
      </c>
      <c r="K51" s="31" t="n">
        <f aca="false">IF(NOT(ISNUMBER($G51)),"",SUMPRODUCT(('Control Mapping'!$C$5:$C$83=D51)*('Control Mapping'!$F$5:$F$83="Y")*('Control Mapping'!$I$5:$I$83=4)))</f>
        <v>0</v>
      </c>
      <c r="L51" s="29" t="n">
        <f aca="false">IF(NOT(ISNUMBER($G51)),"",IFERROR(SUMPRODUCT(('Control Mapping'!$C$5:$C$83=D51)*'Control Mapping'!$E$5:$E$83*'Control Mapping'!$I$5:$I$83)/SUMPRODUCT(('Control Mapping'!$C$5:$C$83=D51)*'Control Mapping'!$E$5:$E$83*('Control Mapping'!$I$5:$I$83&gt;0)),""))</f>
        <v>1.88888888888889</v>
      </c>
      <c r="M51" s="34" t="n">
        <f aca="false">IF(NOT(ISNUMBER($G51)),"",IF(J51=0,4,MAX(MATCH(L51,'Residual Config'!$E$11:$E$14,1),IF(K51&gt;0,'Residual Config'!$C$7,1))))</f>
        <v>2</v>
      </c>
      <c r="N51" s="7" t="str">
        <f aca="false">IF(NOT(ISNUMBER($G51)),"",IF(J51=0,"Ineffective (no key control)",INDEX('Residual Config'!$B$11:$B$14,M51)))</f>
        <v>Largely effective</v>
      </c>
      <c r="O51" s="36" t="n">
        <f aca="false">IF(NOT(ISNUMBER($G51)),"",IF(J51=0,0,SUMPRODUCT(('Control Mapping'!$C$5:$C$83=D51)*'Control Mapping'!$E$5:$E$83*(('Control Mapping'!$I$5:$I$83=1)*'Residual Config'!$D$11+('Control Mapping'!$I$5:$I$83=2)*'Residual Config'!$D$12+('Control Mapping'!$I$5:$I$83=3)*'Residual Config'!$D$13+('Control Mapping'!$I$5:$I$83=4)*'Residual Config'!$D$14))/SUMPRODUCT(('Control Mapping'!$C$5:$C$83=D51)*'Control Mapping'!$E$5:$E$83*('Control Mapping'!$I$5:$I$83&gt;0))))</f>
        <v>0.422222222222222</v>
      </c>
      <c r="P51" s="31" t="n">
        <f aca="false">IF(NOT(ISNUMBER($G51)),"",INDEX('Residual Config'!$B$19:$E$23,6-G51,M51))</f>
        <v>2</v>
      </c>
      <c r="Q51" s="29" t="n">
        <f aca="false">IF(NOT(ISNUMBER($G51)),"",MAX(1,F51*(1-O51)))</f>
        <v>1.61553086419753</v>
      </c>
      <c r="R51" s="31" t="n">
        <f aca="false">IF(NOT(ISNUMBER($G51)),"",MAX(MATCH(Q51,Config!$D$5:$D$9,1),G51-'Residual Config'!$C$6))</f>
        <v>1</v>
      </c>
      <c r="S51" s="34" t="n">
        <f aca="false">IF(NOT(ISNUMBER($G51)),"",IF('Residual Config'!$C$5="Numeric",R51,P51))</f>
        <v>2</v>
      </c>
      <c r="T51" s="7" t="str">
        <f aca="false">IF(G51="N/A","N/A",IF(S51="","No data",INDEX(Config!$B$5:$B$9,S51)))</f>
        <v>Medium-Low</v>
      </c>
      <c r="U51" s="32" t="n">
        <v>0</v>
      </c>
      <c r="V51" s="8"/>
      <c r="W51" s="33"/>
      <c r="X51" s="34" t="n">
        <f aca="false">IF(S51="","",IF(AND(W51="Y",U51&lt;&gt;0),MAX(1,MIN(5,S51+MAX(-Config!$C$27,MIN(Config!$C$27,U51)))),S51))</f>
        <v>2</v>
      </c>
      <c r="Y51" s="35" t="str">
        <f aca="false">IF(G51="N/A","N/A",IF(X51="","No data",INDEX(Config!$B$5:$B$9,X51)))</f>
        <v>Medium-Low</v>
      </c>
      <c r="Z51" s="7" t="str">
        <f aca="false">IF(U51=0,"None",IF(W51="Y","Applied","Pending HO approval"))</f>
        <v>None</v>
      </c>
      <c r="AA51" s="12" t="str">
        <f aca="false">INDEX('Risk Taxonomy'!$G$5:$G$24,MATCH(D51,'Risk Taxonomy'!$A$5:$A$24,0))</f>
        <v>Zero tolerance (facilitation)</v>
      </c>
      <c r="AB51" s="7" t="str">
        <f aca="false">INDEX('Risk Taxonomy'!$H$5:$H$24,MATCH(D51,'Risk Taxonomy'!$A$5:$A$24,0))</f>
        <v>Low</v>
      </c>
      <c r="AC51" s="35" t="str">
        <f aca="false">IF(NOT(ISNUMBER(X51)),"",IF(X51&lt;=MATCH(AB51,Config!$B$5:$B$9,0),"Within",IF(OR(X51-MATCH(AB51,Config!$B$5:$B$9,0)&gt;=2,AND('Residual Config'!$C$8="Y",ISNUMBER(SEARCH("Zero",AA51)))),"Red","Amber")))</f>
        <v>Amber</v>
      </c>
      <c r="AD51" s="12" t="str">
        <f aca="false">IF(AC51="Red","Group CCO / CRO and Country CEO within 2 business days; action plan in 15 days; report to Board Risk &amp; Compliance Committee",IF(AC51="Amber","Country CO, risk owner and HO Administrator within 5 business days; action plan in 30 days",""))</f>
        <v>Country CO, risk owner and HO Administrator within 5 business days; action plan in 30 days</v>
      </c>
    </row>
    <row r="52" customFormat="false" ht="15" hidden="false" customHeight="false" outlineLevel="0" collapsed="false">
      <c r="A52" s="26" t="str">
        <f aca="false">Entities!$A$7</f>
        <v>JO-INV</v>
      </c>
      <c r="B52" s="12" t="str">
        <f aca="false">INDEX(Entities!$B$5:$B$34,MATCH(A52,Entities!$A$5:$A$34,0))</f>
        <v>Al-Arabi Investment Group (AB Invest)</v>
      </c>
      <c r="C52" s="12" t="str">
        <f aca="false">INDEX(Entities!$D$5:$D$34,MATCH(A52,Entities!$A$5:$A$34,0))</f>
        <v>Jordan (home)</v>
      </c>
      <c r="D52" s="12" t="s">
        <v>284</v>
      </c>
      <c r="E52" s="12" t="str">
        <f aca="false">INDEX('Risk Taxonomy'!$B$5:$B$24,MATCH(D52,'Risk Taxonomy'!$A$5:$A$24,0))</f>
        <v>Regulatory compliance</v>
      </c>
      <c r="F52" s="29" t="n">
        <f aca="false">IF(NOT(ISNUMBER(G52)),"",G52)</f>
        <v>3</v>
      </c>
      <c r="G52" s="34" t="n">
        <f aca="false">IF(COUNTIFS('LxI Assessment'!$A$5:$A$394,A52,'LxI Assessment'!$D$5:$D$394,D52,'LxI Assessment'!$F$5:$F$394,"N/A")&gt;0,"N/A",IF(COUNTIFS('LxI Assessment'!$A$5:$A$394,A52,'LxI Assessment'!$D$5:$D$394,D52,'LxI Assessment'!$S$5:$S$394,"&gt;0")=0,"",SUMIFS('LxI Assessment'!$S$5:$S$394,'LxI Assessment'!$A$5:$A$394,A52,'LxI Assessment'!$D$5:$D$394,D52)))</f>
        <v>3</v>
      </c>
      <c r="H52" s="7" t="str">
        <f aca="false">IF(G52="N/A","N/A",IF(G52="","No data",INDEX(Config!$B$5:$B$9,G52)))</f>
        <v>Medium</v>
      </c>
      <c r="I52" s="31" t="n">
        <f aca="false">IF(NOT(ISNUMBER($G52)),"",SUMPRODUCT(('Control Mapping'!$C$5:$C$83=D52)*('Control Mapping'!$I$5:$I$83&gt;0)))</f>
        <v>4</v>
      </c>
      <c r="J52" s="31" t="n">
        <f aca="false">IF(NOT(ISNUMBER($G52)),"",SUMPRODUCT(('Control Mapping'!$C$5:$C$83=D52)*('Control Mapping'!$F$5:$F$83="Y")*('Control Mapping'!$I$5:$I$83&gt;0)))</f>
        <v>3</v>
      </c>
      <c r="K52" s="31" t="n">
        <f aca="false">IF(NOT(ISNUMBER($G52)),"",SUMPRODUCT(('Control Mapping'!$C$5:$C$83=D52)*('Control Mapping'!$F$5:$F$83="Y")*('Control Mapping'!$I$5:$I$83=4)))</f>
        <v>0</v>
      </c>
      <c r="L52" s="29" t="n">
        <f aca="false">IF(NOT(ISNUMBER($G52)),"",IFERROR(SUMPRODUCT(('Control Mapping'!$C$5:$C$83=D52)*'Control Mapping'!$E$5:$E$83*'Control Mapping'!$I$5:$I$83)/SUMPRODUCT(('Control Mapping'!$C$5:$C$83=D52)*'Control Mapping'!$E$5:$E$83*('Control Mapping'!$I$5:$I$83&gt;0)),""))</f>
        <v>2</v>
      </c>
      <c r="M52" s="34" t="n">
        <f aca="false">IF(NOT(ISNUMBER($G52)),"",IF(J52=0,4,MAX(MATCH(L52,'Residual Config'!$E$11:$E$14,1),IF(K52&gt;0,'Residual Config'!$C$7,1))))</f>
        <v>2</v>
      </c>
      <c r="N52" s="7" t="str">
        <f aca="false">IF(NOT(ISNUMBER($G52)),"",IF(J52=0,"Ineffective (no key control)",INDEX('Residual Config'!$B$11:$B$14,M52)))</f>
        <v>Largely effective</v>
      </c>
      <c r="O52" s="36" t="n">
        <f aca="false">IF(NOT(ISNUMBER($G52)),"",IF(J52=0,0,SUMPRODUCT(('Control Mapping'!$C$5:$C$83=D52)*'Control Mapping'!$E$5:$E$83*(('Control Mapping'!$I$5:$I$83=1)*'Residual Config'!$D$11+('Control Mapping'!$I$5:$I$83=2)*'Residual Config'!$D$12+('Control Mapping'!$I$5:$I$83=3)*'Residual Config'!$D$13+('Control Mapping'!$I$5:$I$83=4)*'Residual Config'!$D$14))/SUMPRODUCT(('Control Mapping'!$C$5:$C$83=D52)*'Control Mapping'!$E$5:$E$83*('Control Mapping'!$I$5:$I$83&gt;0))))</f>
        <v>0.4</v>
      </c>
      <c r="P52" s="31" t="n">
        <f aca="false">IF(NOT(ISNUMBER($G52)),"",INDEX('Residual Config'!$B$19:$E$23,6-G52,M52))</f>
        <v>2</v>
      </c>
      <c r="Q52" s="29" t="n">
        <f aca="false">IF(NOT(ISNUMBER($G52)),"",MAX(1,F52*(1-O52)))</f>
        <v>1.8</v>
      </c>
      <c r="R52" s="31" t="n">
        <f aca="false">IF(NOT(ISNUMBER($G52)),"",MAX(MATCH(Q52,Config!$D$5:$D$9,1),G52-'Residual Config'!$C$6))</f>
        <v>1</v>
      </c>
      <c r="S52" s="34" t="n">
        <f aca="false">IF(NOT(ISNUMBER($G52)),"",IF('Residual Config'!$C$5="Numeric",R52,P52))</f>
        <v>2</v>
      </c>
      <c r="T52" s="7" t="str">
        <f aca="false">IF(G52="N/A","N/A",IF(S52="","No data",INDEX(Config!$B$5:$B$9,S52)))</f>
        <v>Medium-Low</v>
      </c>
      <c r="U52" s="32" t="n">
        <v>0</v>
      </c>
      <c r="V52" s="8"/>
      <c r="W52" s="33"/>
      <c r="X52" s="34" t="n">
        <f aca="false">IF(S52="","",IF(AND(W52="Y",U52&lt;&gt;0),MAX(1,MIN(5,S52+MAX(-Config!$C$27,MIN(Config!$C$27,U52)))),S52))</f>
        <v>2</v>
      </c>
      <c r="Y52" s="35" t="str">
        <f aca="false">IF(G52="N/A","N/A",IF(X52="","No data",INDEX(Config!$B$5:$B$9,X52)))</f>
        <v>Medium-Low</v>
      </c>
      <c r="Z52" s="7" t="str">
        <f aca="false">IF(U52=0,"None",IF(W52="Y","Applied","Pending HO approval"))</f>
        <v>None</v>
      </c>
      <c r="AA52" s="12" t="str">
        <f aca="false">INDEX('Risk Taxonomy'!$G$5:$G$24,MATCH(D52,'Risk Taxonomy'!$A$5:$A$24,0))</f>
        <v>Very low</v>
      </c>
      <c r="AB52" s="7" t="str">
        <f aca="false">INDEX('Risk Taxonomy'!$H$5:$H$24,MATCH(D52,'Risk Taxonomy'!$A$5:$A$24,0))</f>
        <v>Medium-Low</v>
      </c>
      <c r="AC52" s="35" t="str">
        <f aca="false">IF(NOT(ISNUMBER(X52)),"",IF(X52&lt;=MATCH(AB52,Config!$B$5:$B$9,0),"Within",IF(OR(X52-MATCH(AB52,Config!$B$5:$B$9,0)&gt;=2,AND('Residual Config'!$C$8="Y",ISNUMBER(SEARCH("Zero",AA52)))),"Red","Amber")))</f>
        <v>Within</v>
      </c>
      <c r="AD52" s="12" t="str">
        <f aca="false">IF(AC52="Red","Group CCO / CRO and Country CEO within 2 business days; action plan in 15 days; report to Board Risk &amp; Compliance Committee",IF(AC52="Amber","Country CO, risk owner and HO Administrator within 5 business days; action plan in 30 days",""))</f>
        <v/>
      </c>
    </row>
    <row r="53" customFormat="false" ht="15" hidden="false" customHeight="false" outlineLevel="0" collapsed="false">
      <c r="A53" s="26" t="str">
        <f aca="false">Entities!$A$7</f>
        <v>JO-INV</v>
      </c>
      <c r="B53" s="12" t="str">
        <f aca="false">INDEX(Entities!$B$5:$B$34,MATCH(A53,Entities!$A$5:$A$34,0))</f>
        <v>Al-Arabi Investment Group (AB Invest)</v>
      </c>
      <c r="C53" s="12" t="str">
        <f aca="false">INDEX(Entities!$D$5:$D$34,MATCH(A53,Entities!$A$5:$A$34,0))</f>
        <v>Jordan (home)</v>
      </c>
      <c r="D53" s="12" t="s">
        <v>288</v>
      </c>
      <c r="E53" s="12" t="str">
        <f aca="false">INDEX('Risk Taxonomy'!$B$5:$B$24,MATCH(D53,'Risk Taxonomy'!$A$5:$A$24,0))</f>
        <v>Conduct and consumer protection</v>
      </c>
      <c r="F53" s="29" t="n">
        <f aca="false">IF(NOT(ISNUMBER(G53)),"",G53)</f>
        <v>3</v>
      </c>
      <c r="G53" s="34" t="n">
        <f aca="false">IF(COUNTIFS('LxI Assessment'!$A$5:$A$394,A53,'LxI Assessment'!$D$5:$D$394,D53,'LxI Assessment'!$F$5:$F$394,"N/A")&gt;0,"N/A",IF(COUNTIFS('LxI Assessment'!$A$5:$A$394,A53,'LxI Assessment'!$D$5:$D$394,D53,'LxI Assessment'!$S$5:$S$394,"&gt;0")=0,"",SUMIFS('LxI Assessment'!$S$5:$S$394,'LxI Assessment'!$A$5:$A$394,A53,'LxI Assessment'!$D$5:$D$394,D53)))</f>
        <v>3</v>
      </c>
      <c r="H53" s="7" t="str">
        <f aca="false">IF(G53="N/A","N/A",IF(G53="","No data",INDEX(Config!$B$5:$B$9,G53)))</f>
        <v>Medium</v>
      </c>
      <c r="I53" s="31" t="n">
        <f aca="false">IF(NOT(ISNUMBER($G53)),"",SUMPRODUCT(('Control Mapping'!$C$5:$C$83=D53)*('Control Mapping'!$I$5:$I$83&gt;0)))</f>
        <v>2</v>
      </c>
      <c r="J53" s="31" t="n">
        <f aca="false">IF(NOT(ISNUMBER($G53)),"",SUMPRODUCT(('Control Mapping'!$C$5:$C$83=D53)*('Control Mapping'!$F$5:$F$83="Y")*('Control Mapping'!$I$5:$I$83&gt;0)))</f>
        <v>1</v>
      </c>
      <c r="K53" s="31" t="n">
        <f aca="false">IF(NOT(ISNUMBER($G53)),"",SUMPRODUCT(('Control Mapping'!$C$5:$C$83=D53)*('Control Mapping'!$F$5:$F$83="Y")*('Control Mapping'!$I$5:$I$83=4)))</f>
        <v>0</v>
      </c>
      <c r="L53" s="29" t="n">
        <f aca="false">IF(NOT(ISNUMBER($G53)),"",IFERROR(SUMPRODUCT(('Control Mapping'!$C$5:$C$83=D53)*'Control Mapping'!$E$5:$E$83*'Control Mapping'!$I$5:$I$83)/SUMPRODUCT(('Control Mapping'!$C$5:$C$83=D53)*'Control Mapping'!$E$5:$E$83*('Control Mapping'!$I$5:$I$83&gt;0)),""))</f>
        <v>2</v>
      </c>
      <c r="M53" s="34" t="n">
        <f aca="false">IF(NOT(ISNUMBER($G53)),"",IF(J53=0,4,MAX(MATCH(L53,'Residual Config'!$E$11:$E$14,1),IF(K53&gt;0,'Residual Config'!$C$7,1))))</f>
        <v>2</v>
      </c>
      <c r="N53" s="7" t="str">
        <f aca="false">IF(NOT(ISNUMBER($G53)),"",IF(J53=0,"Ineffective (no key control)",INDEX('Residual Config'!$B$11:$B$14,M53)))</f>
        <v>Largely effective</v>
      </c>
      <c r="O53" s="36" t="n">
        <f aca="false">IF(NOT(ISNUMBER($G53)),"",IF(J53=0,0,SUMPRODUCT(('Control Mapping'!$C$5:$C$83=D53)*'Control Mapping'!$E$5:$E$83*(('Control Mapping'!$I$5:$I$83=1)*'Residual Config'!$D$11+('Control Mapping'!$I$5:$I$83=2)*'Residual Config'!$D$12+('Control Mapping'!$I$5:$I$83=3)*'Residual Config'!$D$13+('Control Mapping'!$I$5:$I$83=4)*'Residual Config'!$D$14))/SUMPRODUCT(('Control Mapping'!$C$5:$C$83=D53)*'Control Mapping'!$E$5:$E$83*('Control Mapping'!$I$5:$I$83&gt;0))))</f>
        <v>0.4</v>
      </c>
      <c r="P53" s="31" t="n">
        <f aca="false">IF(NOT(ISNUMBER($G53)),"",INDEX('Residual Config'!$B$19:$E$23,6-G53,M53))</f>
        <v>2</v>
      </c>
      <c r="Q53" s="29" t="n">
        <f aca="false">IF(NOT(ISNUMBER($G53)),"",MAX(1,F53*(1-O53)))</f>
        <v>1.8</v>
      </c>
      <c r="R53" s="31" t="n">
        <f aca="false">IF(NOT(ISNUMBER($G53)),"",MAX(MATCH(Q53,Config!$D$5:$D$9,1),G53-'Residual Config'!$C$6))</f>
        <v>1</v>
      </c>
      <c r="S53" s="34" t="n">
        <f aca="false">IF(NOT(ISNUMBER($G53)),"",IF('Residual Config'!$C$5="Numeric",R53,P53))</f>
        <v>2</v>
      </c>
      <c r="T53" s="7" t="str">
        <f aca="false">IF(G53="N/A","N/A",IF(S53="","No data",INDEX(Config!$B$5:$B$9,S53)))</f>
        <v>Medium-Low</v>
      </c>
      <c r="U53" s="32" t="n">
        <v>0</v>
      </c>
      <c r="V53" s="8"/>
      <c r="W53" s="33"/>
      <c r="X53" s="34" t="n">
        <f aca="false">IF(S53="","",IF(AND(W53="Y",U53&lt;&gt;0),MAX(1,MIN(5,S53+MAX(-Config!$C$27,MIN(Config!$C$27,U53)))),S53))</f>
        <v>2</v>
      </c>
      <c r="Y53" s="35" t="str">
        <f aca="false">IF(G53="N/A","N/A",IF(X53="","No data",INDEX(Config!$B$5:$B$9,X53)))</f>
        <v>Medium-Low</v>
      </c>
      <c r="Z53" s="7" t="str">
        <f aca="false">IF(U53=0,"None",IF(W53="Y","Applied","Pending HO approval"))</f>
        <v>None</v>
      </c>
      <c r="AA53" s="12" t="str">
        <f aca="false">INDEX('Risk Taxonomy'!$G$5:$G$24,MATCH(D53,'Risk Taxonomy'!$A$5:$A$24,0))</f>
        <v>Low</v>
      </c>
      <c r="AB53" s="7" t="str">
        <f aca="false">INDEX('Risk Taxonomy'!$H$5:$H$24,MATCH(D53,'Risk Taxonomy'!$A$5:$A$24,0))</f>
        <v>Medium</v>
      </c>
      <c r="AC53" s="35" t="str">
        <f aca="false">IF(NOT(ISNUMBER(X53)),"",IF(X53&lt;=MATCH(AB53,Config!$B$5:$B$9,0),"Within",IF(OR(X53-MATCH(AB53,Config!$B$5:$B$9,0)&gt;=2,AND('Residual Config'!$C$8="Y",ISNUMBER(SEARCH("Zero",AA53)))),"Red","Amber")))</f>
        <v>Within</v>
      </c>
      <c r="AD53" s="12" t="str">
        <f aca="false">IF(AC53="Red","Group CCO / CRO and Country CEO within 2 business days; action plan in 15 days; report to Board Risk &amp; Compliance Committee",IF(AC53="Amber","Country CO, risk owner and HO Administrator within 5 business days; action plan in 30 days",""))</f>
        <v/>
      </c>
    </row>
    <row r="54" customFormat="false" ht="15" hidden="false" customHeight="false" outlineLevel="0" collapsed="false">
      <c r="A54" s="26" t="str">
        <f aca="false">Entities!$A$7</f>
        <v>JO-INV</v>
      </c>
      <c r="B54" s="12" t="str">
        <f aca="false">INDEX(Entities!$B$5:$B$34,MATCH(A54,Entities!$A$5:$A$34,0))</f>
        <v>Al-Arabi Investment Group (AB Invest)</v>
      </c>
      <c r="C54" s="12" t="str">
        <f aca="false">INDEX(Entities!$D$5:$D$34,MATCH(A54,Entities!$A$5:$A$34,0))</f>
        <v>Jordan (home)</v>
      </c>
      <c r="D54" s="12" t="s">
        <v>290</v>
      </c>
      <c r="E54" s="12" t="str">
        <f aca="false">INDEX('Risk Taxonomy'!$B$5:$B$24,MATCH(D54,'Risk Taxonomy'!$A$5:$A$24,0))</f>
        <v>Data protection and privacy</v>
      </c>
      <c r="F54" s="29" t="n">
        <f aca="false">IF(NOT(ISNUMBER(G54)),"",G54)</f>
        <v>2</v>
      </c>
      <c r="G54" s="34" t="n">
        <f aca="false">IF(COUNTIFS('LxI Assessment'!$A$5:$A$394,A54,'LxI Assessment'!$D$5:$D$394,D54,'LxI Assessment'!$F$5:$F$394,"N/A")&gt;0,"N/A",IF(COUNTIFS('LxI Assessment'!$A$5:$A$394,A54,'LxI Assessment'!$D$5:$D$394,D54,'LxI Assessment'!$S$5:$S$394,"&gt;0")=0,"",SUMIFS('LxI Assessment'!$S$5:$S$394,'LxI Assessment'!$A$5:$A$394,A54,'LxI Assessment'!$D$5:$D$394,D54)))</f>
        <v>2</v>
      </c>
      <c r="H54" s="7" t="str">
        <f aca="false">IF(G54="N/A","N/A",IF(G54="","No data",INDEX(Config!$B$5:$B$9,G54)))</f>
        <v>Medium-Low</v>
      </c>
      <c r="I54" s="31" t="n">
        <f aca="false">IF(NOT(ISNUMBER($G54)),"",SUMPRODUCT(('Control Mapping'!$C$5:$C$83=D54)*('Control Mapping'!$I$5:$I$83&gt;0)))</f>
        <v>2</v>
      </c>
      <c r="J54" s="31" t="n">
        <f aca="false">IF(NOT(ISNUMBER($G54)),"",SUMPRODUCT(('Control Mapping'!$C$5:$C$83=D54)*('Control Mapping'!$F$5:$F$83="Y")*('Control Mapping'!$I$5:$I$83&gt;0)))</f>
        <v>2</v>
      </c>
      <c r="K54" s="31" t="n">
        <f aca="false">IF(NOT(ISNUMBER($G54)),"",SUMPRODUCT(('Control Mapping'!$C$5:$C$83=D54)*('Control Mapping'!$F$5:$F$83="Y")*('Control Mapping'!$I$5:$I$83=4)))</f>
        <v>0</v>
      </c>
      <c r="L54" s="29" t="n">
        <f aca="false">IF(NOT(ISNUMBER($G54)),"",IFERROR(SUMPRODUCT(('Control Mapping'!$C$5:$C$83=D54)*'Control Mapping'!$E$5:$E$83*'Control Mapping'!$I$5:$I$83)/SUMPRODUCT(('Control Mapping'!$C$5:$C$83=D54)*'Control Mapping'!$E$5:$E$83*('Control Mapping'!$I$5:$I$83&gt;0)),""))</f>
        <v>2</v>
      </c>
      <c r="M54" s="34" t="n">
        <f aca="false">IF(NOT(ISNUMBER($G54)),"",IF(J54=0,4,MAX(MATCH(L54,'Residual Config'!$E$11:$E$14,1),IF(K54&gt;0,'Residual Config'!$C$7,1))))</f>
        <v>2</v>
      </c>
      <c r="N54" s="7" t="str">
        <f aca="false">IF(NOT(ISNUMBER($G54)),"",IF(J54=0,"Ineffective (no key control)",INDEX('Residual Config'!$B$11:$B$14,M54)))</f>
        <v>Largely effective</v>
      </c>
      <c r="O54" s="36" t="n">
        <f aca="false">IF(NOT(ISNUMBER($G54)),"",IF(J54=0,0,SUMPRODUCT(('Control Mapping'!$C$5:$C$83=D54)*'Control Mapping'!$E$5:$E$83*(('Control Mapping'!$I$5:$I$83=1)*'Residual Config'!$D$11+('Control Mapping'!$I$5:$I$83=2)*'Residual Config'!$D$12+('Control Mapping'!$I$5:$I$83=3)*'Residual Config'!$D$13+('Control Mapping'!$I$5:$I$83=4)*'Residual Config'!$D$14))/SUMPRODUCT(('Control Mapping'!$C$5:$C$83=D54)*'Control Mapping'!$E$5:$E$83*('Control Mapping'!$I$5:$I$83&gt;0))))</f>
        <v>0.4</v>
      </c>
      <c r="P54" s="31" t="n">
        <f aca="false">IF(NOT(ISNUMBER($G54)),"",INDEX('Residual Config'!$B$19:$E$23,6-G54,M54))</f>
        <v>1</v>
      </c>
      <c r="Q54" s="29" t="n">
        <f aca="false">IF(NOT(ISNUMBER($G54)),"",MAX(1,F54*(1-O54)))</f>
        <v>1.2</v>
      </c>
      <c r="R54" s="31" t="n">
        <f aca="false">IF(NOT(ISNUMBER($G54)),"",MAX(MATCH(Q54,Config!$D$5:$D$9,1),G54-'Residual Config'!$C$6))</f>
        <v>1</v>
      </c>
      <c r="S54" s="34" t="n">
        <f aca="false">IF(NOT(ISNUMBER($G54)),"",IF('Residual Config'!$C$5="Numeric",R54,P54))</f>
        <v>1</v>
      </c>
      <c r="T54" s="7" t="str">
        <f aca="false">IF(G54="N/A","N/A",IF(S54="","No data",INDEX(Config!$B$5:$B$9,S54)))</f>
        <v>Low</v>
      </c>
      <c r="U54" s="32" t="n">
        <v>0</v>
      </c>
      <c r="V54" s="8"/>
      <c r="W54" s="33"/>
      <c r="X54" s="34" t="n">
        <f aca="false">IF(S54="","",IF(AND(W54="Y",U54&lt;&gt;0),MAX(1,MIN(5,S54+MAX(-Config!$C$27,MIN(Config!$C$27,U54)))),S54))</f>
        <v>1</v>
      </c>
      <c r="Y54" s="35" t="str">
        <f aca="false">IF(G54="N/A","N/A",IF(X54="","No data",INDEX(Config!$B$5:$B$9,X54)))</f>
        <v>Low</v>
      </c>
      <c r="Z54" s="7" t="str">
        <f aca="false">IF(U54=0,"None",IF(W54="Y","Applied","Pending HO approval"))</f>
        <v>None</v>
      </c>
      <c r="AA54" s="12" t="str">
        <f aca="false">INDEX('Risk Taxonomy'!$G$5:$G$24,MATCH(D54,'Risk Taxonomy'!$A$5:$A$24,0))</f>
        <v>Very low</v>
      </c>
      <c r="AB54" s="7" t="str">
        <f aca="false">INDEX('Risk Taxonomy'!$H$5:$H$24,MATCH(D54,'Risk Taxonomy'!$A$5:$A$24,0))</f>
        <v>Medium-Low</v>
      </c>
      <c r="AC54" s="35" t="str">
        <f aca="false">IF(NOT(ISNUMBER(X54)),"",IF(X54&lt;=MATCH(AB54,Config!$B$5:$B$9,0),"Within",IF(OR(X54-MATCH(AB54,Config!$B$5:$B$9,0)&gt;=2,AND('Residual Config'!$C$8="Y",ISNUMBER(SEARCH("Zero",AA54)))),"Red","Amber")))</f>
        <v>Within</v>
      </c>
      <c r="AD54" s="12" t="str">
        <f aca="false">IF(AC54="Red","Group CCO / CRO and Country CEO within 2 business days; action plan in 15 days; report to Board Risk &amp; Compliance Committee",IF(AC54="Amber","Country CO, risk owner and HO Administrator within 5 business days; action plan in 30 days",""))</f>
        <v/>
      </c>
    </row>
    <row r="55" customFormat="false" ht="15" hidden="false" customHeight="false" outlineLevel="0" collapsed="false">
      <c r="A55" s="26" t="str">
        <f aca="false">Entities!$A$7</f>
        <v>JO-INV</v>
      </c>
      <c r="B55" s="12" t="str">
        <f aca="false">INDEX(Entities!$B$5:$B$34,MATCH(A55,Entities!$A$5:$A$34,0))</f>
        <v>Al-Arabi Investment Group (AB Invest)</v>
      </c>
      <c r="C55" s="12" t="str">
        <f aca="false">INDEX(Entities!$D$5:$D$34,MATCH(A55,Entities!$A$5:$A$34,0))</f>
        <v>Jordan (home)</v>
      </c>
      <c r="D55" s="12" t="s">
        <v>293</v>
      </c>
      <c r="E55" s="12" t="str">
        <f aca="false">INDEX('Risk Taxonomy'!$B$5:$B$24,MATCH(D55,'Risk Taxonomy'!$A$5:$A$24,0))</f>
        <v>Shariah non-compliance</v>
      </c>
      <c r="F55" s="29" t="str">
        <f aca="false">IF(NOT(ISNUMBER(G55)),"",G55)</f>
        <v/>
      </c>
      <c r="G55" s="34" t="str">
        <f aca="false">IF(COUNTIFS('LxI Assessment'!$A$5:$A$394,A55,'LxI Assessment'!$D$5:$D$394,D55,'LxI Assessment'!$F$5:$F$394,"N/A")&gt;0,"N/A",IF(COUNTIFS('LxI Assessment'!$A$5:$A$394,A55,'LxI Assessment'!$D$5:$D$394,D55,'LxI Assessment'!$S$5:$S$394,"&gt;0")=0,"",SUMIFS('LxI Assessment'!$S$5:$S$394,'LxI Assessment'!$A$5:$A$394,A55,'LxI Assessment'!$D$5:$D$394,D55)))</f>
        <v>N/A</v>
      </c>
      <c r="H55" s="7" t="str">
        <f aca="false">IF(G55="N/A","N/A",IF(G55="","No data",INDEX(Config!$B$5:$B$9,G55)))</f>
        <v>N/A</v>
      </c>
      <c r="I55" s="31" t="str">
        <f aca="false">IF(NOT(ISNUMBER($G55)),"",SUMPRODUCT(('Control Mapping'!$C$5:$C$83=D55)*('Control Mapping'!$I$5:$I$83&gt;0)))</f>
        <v/>
      </c>
      <c r="J55" s="31" t="str">
        <f aca="false">IF(NOT(ISNUMBER($G55)),"",SUMPRODUCT(('Control Mapping'!$C$5:$C$83=D55)*('Control Mapping'!$F$5:$F$83="Y")*('Control Mapping'!$I$5:$I$83&gt;0)))</f>
        <v/>
      </c>
      <c r="K55" s="31" t="str">
        <f aca="false">IF(NOT(ISNUMBER($G55)),"",SUMPRODUCT(('Control Mapping'!$C$5:$C$83=D55)*('Control Mapping'!$F$5:$F$83="Y")*('Control Mapping'!$I$5:$I$83=4)))</f>
        <v/>
      </c>
      <c r="L55" s="29" t="str">
        <f aca="false">IF(NOT(ISNUMBER($G55)),"",IFERROR(SUMPRODUCT(('Control Mapping'!$C$5:$C$83=D55)*'Control Mapping'!$E$5:$E$83*'Control Mapping'!$I$5:$I$83)/SUMPRODUCT(('Control Mapping'!$C$5:$C$83=D55)*'Control Mapping'!$E$5:$E$83*('Control Mapping'!$I$5:$I$83&gt;0)),""))</f>
        <v/>
      </c>
      <c r="M55" s="34" t="str">
        <f aca="false">IF(NOT(ISNUMBER($G55)),"",IF(J55=0,4,MAX(MATCH(L55,'Residual Config'!$E$11:$E$14,1),IF(K55&gt;0,'Residual Config'!$C$7,1))))</f>
        <v/>
      </c>
      <c r="N55" s="7" t="str">
        <f aca="false">IF(NOT(ISNUMBER($G55)),"",IF(J55=0,"Ineffective (no key control)",INDEX('Residual Config'!$B$11:$B$14,M55)))</f>
        <v/>
      </c>
      <c r="O55" s="36" t="str">
        <f aca="false">IF(NOT(ISNUMBER($G55)),"",IF(J55=0,0,SUMPRODUCT(('Control Mapping'!$C$5:$C$83=D55)*'Control Mapping'!$E$5:$E$83*(('Control Mapping'!$I$5:$I$83=1)*'Residual Config'!$D$11+('Control Mapping'!$I$5:$I$83=2)*'Residual Config'!$D$12+('Control Mapping'!$I$5:$I$83=3)*'Residual Config'!$D$13+('Control Mapping'!$I$5:$I$83=4)*'Residual Config'!$D$14))/SUMPRODUCT(('Control Mapping'!$C$5:$C$83=D55)*'Control Mapping'!$E$5:$E$83*('Control Mapping'!$I$5:$I$83&gt;0))))</f>
        <v/>
      </c>
      <c r="P55" s="31" t="str">
        <f aca="false">IF(NOT(ISNUMBER($G55)),"",INDEX('Residual Config'!$B$19:$E$23,6-G55,M55))</f>
        <v/>
      </c>
      <c r="Q55" s="29" t="str">
        <f aca="false">IF(NOT(ISNUMBER($G55)),"",MAX(1,F55*(1-O55)))</f>
        <v/>
      </c>
      <c r="R55" s="31" t="str">
        <f aca="false">IF(NOT(ISNUMBER($G55)),"",MAX(MATCH(Q55,Config!$D$5:$D$9,1),G55-'Residual Config'!$C$6))</f>
        <v/>
      </c>
      <c r="S55" s="34" t="str">
        <f aca="false">IF(NOT(ISNUMBER($G55)),"",IF('Residual Config'!$C$5="Numeric",R55,P55))</f>
        <v/>
      </c>
      <c r="T55" s="7" t="str">
        <f aca="false">IF(G55="N/A","N/A",IF(S55="","No data",INDEX(Config!$B$5:$B$9,S55)))</f>
        <v>N/A</v>
      </c>
      <c r="U55" s="32" t="n">
        <v>0</v>
      </c>
      <c r="V55" s="8"/>
      <c r="W55" s="33"/>
      <c r="X55" s="34" t="str">
        <f aca="false">IF(S55="","",IF(AND(W55="Y",U55&lt;&gt;0),MAX(1,MIN(5,S55+MAX(-Config!$C$27,MIN(Config!$C$27,U55)))),S55))</f>
        <v/>
      </c>
      <c r="Y55" s="35" t="str">
        <f aca="false">IF(G55="N/A","N/A",IF(X55="","No data",INDEX(Config!$B$5:$B$9,X55)))</f>
        <v>N/A</v>
      </c>
      <c r="Z55" s="7" t="str">
        <f aca="false">IF(U55=0,"None",IF(W55="Y","Applied","Pending HO approval"))</f>
        <v>None</v>
      </c>
      <c r="AA55" s="12" t="str">
        <f aca="false">INDEX('Risk Taxonomy'!$G$5:$G$24,MATCH(D55,'Risk Taxonomy'!$A$5:$A$24,0))</f>
        <v>Very low</v>
      </c>
      <c r="AB55" s="7" t="str">
        <f aca="false">INDEX('Risk Taxonomy'!$H$5:$H$24,MATCH(D55,'Risk Taxonomy'!$A$5:$A$24,0))</f>
        <v>Medium-Low</v>
      </c>
      <c r="AC55" s="35" t="str">
        <f aca="false">IF(NOT(ISNUMBER(X55)),"",IF(X55&lt;=MATCH(AB55,Config!$B$5:$B$9,0),"Within",IF(OR(X55-MATCH(AB55,Config!$B$5:$B$9,0)&gt;=2,AND('Residual Config'!$C$8="Y",ISNUMBER(SEARCH("Zero",AA55)))),"Red","Amber")))</f>
        <v/>
      </c>
      <c r="AD55" s="12" t="str">
        <f aca="false">IF(AC55="Red","Group CCO / CRO and Country CEO within 2 business days; action plan in 15 days; report to Board Risk &amp; Compliance Committee",IF(AC55="Amber","Country CO, risk owner and HO Administrator within 5 business days; action plan in 30 days",""))</f>
        <v/>
      </c>
    </row>
    <row r="56" customFormat="false" ht="15" hidden="false" customHeight="false" outlineLevel="0" collapsed="false">
      <c r="A56" s="26" t="str">
        <f aca="false">Entities!$A$7</f>
        <v>JO-INV</v>
      </c>
      <c r="B56" s="12" t="str">
        <f aca="false">INDEX(Entities!$B$5:$B$34,MATCH(A56,Entities!$A$5:$A$34,0))</f>
        <v>Al-Arabi Investment Group (AB Invest)</v>
      </c>
      <c r="C56" s="12" t="str">
        <f aca="false">INDEX(Entities!$D$5:$D$34,MATCH(A56,Entities!$A$5:$A$34,0))</f>
        <v>Jordan (home)</v>
      </c>
      <c r="D56" s="12" t="s">
        <v>297</v>
      </c>
      <c r="E56" s="12" t="str">
        <f aca="false">INDEX('Risk Taxonomy'!$B$5:$B$24,MATCH(D56,'Risk Taxonomy'!$A$5:$A$24,0))</f>
        <v>Credit risk</v>
      </c>
      <c r="F56" s="29" t="n">
        <f aca="false">IF(NOT(ISNUMBER(G56)),"",G56)</f>
        <v>3</v>
      </c>
      <c r="G56" s="34" t="n">
        <f aca="false">IF(COUNTIFS('LxI Assessment'!$A$5:$A$394,A56,'LxI Assessment'!$D$5:$D$394,D56,'LxI Assessment'!$F$5:$F$394,"N/A")&gt;0,"N/A",IF(COUNTIFS('LxI Assessment'!$A$5:$A$394,A56,'LxI Assessment'!$D$5:$D$394,D56,'LxI Assessment'!$S$5:$S$394,"&gt;0")=0,"",SUMIFS('LxI Assessment'!$S$5:$S$394,'LxI Assessment'!$A$5:$A$394,A56,'LxI Assessment'!$D$5:$D$394,D56)))</f>
        <v>3</v>
      </c>
      <c r="H56" s="7" t="str">
        <f aca="false">IF(G56="N/A","N/A",IF(G56="","No data",INDEX(Config!$B$5:$B$9,G56)))</f>
        <v>Medium</v>
      </c>
      <c r="I56" s="31" t="n">
        <f aca="false">IF(NOT(ISNUMBER($G56)),"",SUMPRODUCT(('Control Mapping'!$C$5:$C$83=D56)*('Control Mapping'!$I$5:$I$83&gt;0)))</f>
        <v>2</v>
      </c>
      <c r="J56" s="31" t="n">
        <f aca="false">IF(NOT(ISNUMBER($G56)),"",SUMPRODUCT(('Control Mapping'!$C$5:$C$83=D56)*('Control Mapping'!$F$5:$F$83="Y")*('Control Mapping'!$I$5:$I$83&gt;0)))</f>
        <v>1</v>
      </c>
      <c r="K56" s="31" t="n">
        <f aca="false">IF(NOT(ISNUMBER($G56)),"",SUMPRODUCT(('Control Mapping'!$C$5:$C$83=D56)*('Control Mapping'!$F$5:$F$83="Y")*('Control Mapping'!$I$5:$I$83=4)))</f>
        <v>0</v>
      </c>
      <c r="L56" s="29" t="n">
        <f aca="false">IF(NOT(ISNUMBER($G56)),"",IFERROR(SUMPRODUCT(('Control Mapping'!$C$5:$C$83=D56)*'Control Mapping'!$E$5:$E$83*'Control Mapping'!$I$5:$I$83)/SUMPRODUCT(('Control Mapping'!$C$5:$C$83=D56)*'Control Mapping'!$E$5:$E$83*('Control Mapping'!$I$5:$I$83&gt;0)),""))</f>
        <v>2</v>
      </c>
      <c r="M56" s="34" t="n">
        <f aca="false">IF(NOT(ISNUMBER($G56)),"",IF(J56=0,4,MAX(MATCH(L56,'Residual Config'!$E$11:$E$14,1),IF(K56&gt;0,'Residual Config'!$C$7,1))))</f>
        <v>2</v>
      </c>
      <c r="N56" s="7" t="str">
        <f aca="false">IF(NOT(ISNUMBER($G56)),"",IF(J56=0,"Ineffective (no key control)",INDEX('Residual Config'!$B$11:$B$14,M56)))</f>
        <v>Largely effective</v>
      </c>
      <c r="O56" s="36" t="n">
        <f aca="false">IF(NOT(ISNUMBER($G56)),"",IF(J56=0,0,SUMPRODUCT(('Control Mapping'!$C$5:$C$83=D56)*'Control Mapping'!$E$5:$E$83*(('Control Mapping'!$I$5:$I$83=1)*'Residual Config'!$D$11+('Control Mapping'!$I$5:$I$83=2)*'Residual Config'!$D$12+('Control Mapping'!$I$5:$I$83=3)*'Residual Config'!$D$13+('Control Mapping'!$I$5:$I$83=4)*'Residual Config'!$D$14))/SUMPRODUCT(('Control Mapping'!$C$5:$C$83=D56)*'Control Mapping'!$E$5:$E$83*('Control Mapping'!$I$5:$I$83&gt;0))))</f>
        <v>0.4</v>
      </c>
      <c r="P56" s="31" t="n">
        <f aca="false">IF(NOT(ISNUMBER($G56)),"",INDEX('Residual Config'!$B$19:$E$23,6-G56,M56))</f>
        <v>2</v>
      </c>
      <c r="Q56" s="29" t="n">
        <f aca="false">IF(NOT(ISNUMBER($G56)),"",MAX(1,F56*(1-O56)))</f>
        <v>1.8</v>
      </c>
      <c r="R56" s="31" t="n">
        <f aca="false">IF(NOT(ISNUMBER($G56)),"",MAX(MATCH(Q56,Config!$D$5:$D$9,1),G56-'Residual Config'!$C$6))</f>
        <v>1</v>
      </c>
      <c r="S56" s="34" t="n">
        <f aca="false">IF(NOT(ISNUMBER($G56)),"",IF('Residual Config'!$C$5="Numeric",R56,P56))</f>
        <v>2</v>
      </c>
      <c r="T56" s="7" t="str">
        <f aca="false">IF(G56="N/A","N/A",IF(S56="","No data",INDEX(Config!$B$5:$B$9,S56)))</f>
        <v>Medium-Low</v>
      </c>
      <c r="U56" s="32" t="n">
        <v>0</v>
      </c>
      <c r="V56" s="8"/>
      <c r="W56" s="33"/>
      <c r="X56" s="34" t="n">
        <f aca="false">IF(S56="","",IF(AND(W56="Y",U56&lt;&gt;0),MAX(1,MIN(5,S56+MAX(-Config!$C$27,MIN(Config!$C$27,U56)))),S56))</f>
        <v>2</v>
      </c>
      <c r="Y56" s="35" t="str">
        <f aca="false">IF(G56="N/A","N/A",IF(X56="","No data",INDEX(Config!$B$5:$B$9,X56)))</f>
        <v>Medium-Low</v>
      </c>
      <c r="Z56" s="7" t="str">
        <f aca="false">IF(U56=0,"None",IF(W56="Y","Applied","Pending HO approval"))</f>
        <v>None</v>
      </c>
      <c r="AA56" s="12" t="str">
        <f aca="false">INDEX('Risk Taxonomy'!$G$5:$G$24,MATCH(D56,'Risk Taxonomy'!$A$5:$A$24,0))</f>
        <v>Moderate</v>
      </c>
      <c r="AB56" s="7" t="str">
        <f aca="false">INDEX('Risk Taxonomy'!$H$5:$H$24,MATCH(D56,'Risk Taxonomy'!$A$5:$A$24,0))</f>
        <v>Medium-High</v>
      </c>
      <c r="AC56" s="35" t="str">
        <f aca="false">IF(NOT(ISNUMBER(X56)),"",IF(X56&lt;=MATCH(AB56,Config!$B$5:$B$9,0),"Within",IF(OR(X56-MATCH(AB56,Config!$B$5:$B$9,0)&gt;=2,AND('Residual Config'!$C$8="Y",ISNUMBER(SEARCH("Zero",AA56)))),"Red","Amber")))</f>
        <v>Within</v>
      </c>
      <c r="AD56" s="12" t="str">
        <f aca="false">IF(AC56="Red","Group CCO / CRO and Country CEO within 2 business days; action plan in 15 days; report to Board Risk &amp; Compliance Committee",IF(AC56="Amber","Country CO, risk owner and HO Administrator within 5 business days; action plan in 30 days",""))</f>
        <v/>
      </c>
    </row>
    <row r="57" customFormat="false" ht="15" hidden="false" customHeight="false" outlineLevel="0" collapsed="false">
      <c r="A57" s="26" t="str">
        <f aca="false">Entities!$A$7</f>
        <v>JO-INV</v>
      </c>
      <c r="B57" s="12" t="str">
        <f aca="false">INDEX(Entities!$B$5:$B$34,MATCH(A57,Entities!$A$5:$A$34,0))</f>
        <v>Al-Arabi Investment Group (AB Invest)</v>
      </c>
      <c r="C57" s="12" t="str">
        <f aca="false">INDEX(Entities!$D$5:$D$34,MATCH(A57,Entities!$A$5:$A$34,0))</f>
        <v>Jordan (home)</v>
      </c>
      <c r="D57" s="12" t="s">
        <v>302</v>
      </c>
      <c r="E57" s="12" t="str">
        <f aca="false">INDEX('Risk Taxonomy'!$B$5:$B$24,MATCH(D57,'Risk Taxonomy'!$A$5:$A$24,0))</f>
        <v>Market risk</v>
      </c>
      <c r="F57" s="29" t="n">
        <f aca="false">IF(NOT(ISNUMBER(G57)),"",G57)</f>
        <v>2</v>
      </c>
      <c r="G57" s="34" t="n">
        <f aca="false">IF(COUNTIFS('LxI Assessment'!$A$5:$A$394,A57,'LxI Assessment'!$D$5:$D$394,D57,'LxI Assessment'!$F$5:$F$394,"N/A")&gt;0,"N/A",IF(COUNTIFS('LxI Assessment'!$A$5:$A$394,A57,'LxI Assessment'!$D$5:$D$394,D57,'LxI Assessment'!$S$5:$S$394,"&gt;0")=0,"",SUMIFS('LxI Assessment'!$S$5:$S$394,'LxI Assessment'!$A$5:$A$394,A57,'LxI Assessment'!$D$5:$D$394,D57)))</f>
        <v>2</v>
      </c>
      <c r="H57" s="7" t="str">
        <f aca="false">IF(G57="N/A","N/A",IF(G57="","No data",INDEX(Config!$B$5:$B$9,G57)))</f>
        <v>Medium-Low</v>
      </c>
      <c r="I57" s="31" t="n">
        <f aca="false">IF(NOT(ISNUMBER($G57)),"",SUMPRODUCT(('Control Mapping'!$C$5:$C$83=D57)*('Control Mapping'!$I$5:$I$83&gt;0)))</f>
        <v>1</v>
      </c>
      <c r="J57" s="31" t="n">
        <f aca="false">IF(NOT(ISNUMBER($G57)),"",SUMPRODUCT(('Control Mapping'!$C$5:$C$83=D57)*('Control Mapping'!$F$5:$F$83="Y")*('Control Mapping'!$I$5:$I$83&gt;0)))</f>
        <v>1</v>
      </c>
      <c r="K57" s="31" t="n">
        <f aca="false">IF(NOT(ISNUMBER($G57)),"",SUMPRODUCT(('Control Mapping'!$C$5:$C$83=D57)*('Control Mapping'!$F$5:$F$83="Y")*('Control Mapping'!$I$5:$I$83=4)))</f>
        <v>0</v>
      </c>
      <c r="L57" s="29" t="n">
        <f aca="false">IF(NOT(ISNUMBER($G57)),"",IFERROR(SUMPRODUCT(('Control Mapping'!$C$5:$C$83=D57)*'Control Mapping'!$E$5:$E$83*'Control Mapping'!$I$5:$I$83)/SUMPRODUCT(('Control Mapping'!$C$5:$C$83=D57)*'Control Mapping'!$E$5:$E$83*('Control Mapping'!$I$5:$I$83&gt;0)),""))</f>
        <v>2</v>
      </c>
      <c r="M57" s="34" t="n">
        <f aca="false">IF(NOT(ISNUMBER($G57)),"",IF(J57=0,4,MAX(MATCH(L57,'Residual Config'!$E$11:$E$14,1),IF(K57&gt;0,'Residual Config'!$C$7,1))))</f>
        <v>2</v>
      </c>
      <c r="N57" s="7" t="str">
        <f aca="false">IF(NOT(ISNUMBER($G57)),"",IF(J57=0,"Ineffective (no key control)",INDEX('Residual Config'!$B$11:$B$14,M57)))</f>
        <v>Largely effective</v>
      </c>
      <c r="O57" s="36" t="n">
        <f aca="false">IF(NOT(ISNUMBER($G57)),"",IF(J57=0,0,SUMPRODUCT(('Control Mapping'!$C$5:$C$83=D57)*'Control Mapping'!$E$5:$E$83*(('Control Mapping'!$I$5:$I$83=1)*'Residual Config'!$D$11+('Control Mapping'!$I$5:$I$83=2)*'Residual Config'!$D$12+('Control Mapping'!$I$5:$I$83=3)*'Residual Config'!$D$13+('Control Mapping'!$I$5:$I$83=4)*'Residual Config'!$D$14))/SUMPRODUCT(('Control Mapping'!$C$5:$C$83=D57)*'Control Mapping'!$E$5:$E$83*('Control Mapping'!$I$5:$I$83&gt;0))))</f>
        <v>0.4</v>
      </c>
      <c r="P57" s="31" t="n">
        <f aca="false">IF(NOT(ISNUMBER($G57)),"",INDEX('Residual Config'!$B$19:$E$23,6-G57,M57))</f>
        <v>1</v>
      </c>
      <c r="Q57" s="29" t="n">
        <f aca="false">IF(NOT(ISNUMBER($G57)),"",MAX(1,F57*(1-O57)))</f>
        <v>1.2</v>
      </c>
      <c r="R57" s="31" t="n">
        <f aca="false">IF(NOT(ISNUMBER($G57)),"",MAX(MATCH(Q57,Config!$D$5:$D$9,1),G57-'Residual Config'!$C$6))</f>
        <v>1</v>
      </c>
      <c r="S57" s="34" t="n">
        <f aca="false">IF(NOT(ISNUMBER($G57)),"",IF('Residual Config'!$C$5="Numeric",R57,P57))</f>
        <v>1</v>
      </c>
      <c r="T57" s="7" t="str">
        <f aca="false">IF(G57="N/A","N/A",IF(S57="","No data",INDEX(Config!$B$5:$B$9,S57)))</f>
        <v>Low</v>
      </c>
      <c r="U57" s="32" t="n">
        <v>0</v>
      </c>
      <c r="V57" s="8"/>
      <c r="W57" s="33"/>
      <c r="X57" s="34" t="n">
        <f aca="false">IF(S57="","",IF(AND(W57="Y",U57&lt;&gt;0),MAX(1,MIN(5,S57+MAX(-Config!$C$27,MIN(Config!$C$27,U57)))),S57))</f>
        <v>1</v>
      </c>
      <c r="Y57" s="35" t="str">
        <f aca="false">IF(G57="N/A","N/A",IF(X57="","No data",INDEX(Config!$B$5:$B$9,X57)))</f>
        <v>Low</v>
      </c>
      <c r="Z57" s="7" t="str">
        <f aca="false">IF(U57=0,"None",IF(W57="Y","Applied","Pending HO approval"))</f>
        <v>None</v>
      </c>
      <c r="AA57" s="12" t="str">
        <f aca="false">INDEX('Risk Taxonomy'!$G$5:$G$24,MATCH(D57,'Risk Taxonomy'!$A$5:$A$24,0))</f>
        <v>Moderate</v>
      </c>
      <c r="AB57" s="7" t="str">
        <f aca="false">INDEX('Risk Taxonomy'!$H$5:$H$24,MATCH(D57,'Risk Taxonomy'!$A$5:$A$24,0))</f>
        <v>Medium-High</v>
      </c>
      <c r="AC57" s="35" t="str">
        <f aca="false">IF(NOT(ISNUMBER(X57)),"",IF(X57&lt;=MATCH(AB57,Config!$B$5:$B$9,0),"Within",IF(OR(X57-MATCH(AB57,Config!$B$5:$B$9,0)&gt;=2,AND('Residual Config'!$C$8="Y",ISNUMBER(SEARCH("Zero",AA57)))),"Red","Amber")))</f>
        <v>Within</v>
      </c>
      <c r="AD57" s="12" t="str">
        <f aca="false">IF(AC57="Red","Group CCO / CRO and Country CEO within 2 business days; action plan in 15 days; report to Board Risk &amp; Compliance Committee",IF(AC57="Amber","Country CO, risk owner and HO Administrator within 5 business days; action plan in 30 days",""))</f>
        <v/>
      </c>
    </row>
    <row r="58" customFormat="false" ht="15" hidden="false" customHeight="false" outlineLevel="0" collapsed="false">
      <c r="A58" s="26" t="str">
        <f aca="false">Entities!$A$7</f>
        <v>JO-INV</v>
      </c>
      <c r="B58" s="12" t="str">
        <f aca="false">INDEX(Entities!$B$5:$B$34,MATCH(A58,Entities!$A$5:$A$34,0))</f>
        <v>Al-Arabi Investment Group (AB Invest)</v>
      </c>
      <c r="C58" s="12" t="str">
        <f aca="false">INDEX(Entities!$D$5:$D$34,MATCH(A58,Entities!$A$5:$A$34,0))</f>
        <v>Jordan (home)</v>
      </c>
      <c r="D58" s="12" t="s">
        <v>304</v>
      </c>
      <c r="E58" s="12" t="str">
        <f aca="false">INDEX('Risk Taxonomy'!$B$5:$B$24,MATCH(D58,'Risk Taxonomy'!$A$5:$A$24,0))</f>
        <v>Liquidity and funding risk</v>
      </c>
      <c r="F58" s="29" t="n">
        <f aca="false">IF(NOT(ISNUMBER(G58)),"",G58)</f>
        <v>4</v>
      </c>
      <c r="G58" s="34" t="n">
        <f aca="false">IF(COUNTIFS('LxI Assessment'!$A$5:$A$394,A58,'LxI Assessment'!$D$5:$D$394,D58,'LxI Assessment'!$F$5:$F$394,"N/A")&gt;0,"N/A",IF(COUNTIFS('LxI Assessment'!$A$5:$A$394,A58,'LxI Assessment'!$D$5:$D$394,D58,'LxI Assessment'!$S$5:$S$394,"&gt;0")=0,"",SUMIFS('LxI Assessment'!$S$5:$S$394,'LxI Assessment'!$A$5:$A$394,A58,'LxI Assessment'!$D$5:$D$394,D58)))</f>
        <v>4</v>
      </c>
      <c r="H58" s="7" t="str">
        <f aca="false">IF(G58="N/A","N/A",IF(G58="","No data",INDEX(Config!$B$5:$B$9,G58)))</f>
        <v>Medium-High</v>
      </c>
      <c r="I58" s="31" t="n">
        <f aca="false">IF(NOT(ISNUMBER($G58)),"",SUMPRODUCT(('Control Mapping'!$C$5:$C$83=D58)*('Control Mapping'!$I$5:$I$83&gt;0)))</f>
        <v>1</v>
      </c>
      <c r="J58" s="31" t="n">
        <f aca="false">IF(NOT(ISNUMBER($G58)),"",SUMPRODUCT(('Control Mapping'!$C$5:$C$83=D58)*('Control Mapping'!$F$5:$F$83="Y")*('Control Mapping'!$I$5:$I$83&gt;0)))</f>
        <v>1</v>
      </c>
      <c r="K58" s="31" t="n">
        <f aca="false">IF(NOT(ISNUMBER($G58)),"",SUMPRODUCT(('Control Mapping'!$C$5:$C$83=D58)*('Control Mapping'!$F$5:$F$83="Y")*('Control Mapping'!$I$5:$I$83=4)))</f>
        <v>0</v>
      </c>
      <c r="L58" s="29" t="n">
        <f aca="false">IF(NOT(ISNUMBER($G58)),"",IFERROR(SUMPRODUCT(('Control Mapping'!$C$5:$C$83=D58)*'Control Mapping'!$E$5:$E$83*'Control Mapping'!$I$5:$I$83)/SUMPRODUCT(('Control Mapping'!$C$5:$C$83=D58)*'Control Mapping'!$E$5:$E$83*('Control Mapping'!$I$5:$I$83&gt;0)),""))</f>
        <v>2</v>
      </c>
      <c r="M58" s="34" t="n">
        <f aca="false">IF(NOT(ISNUMBER($G58)),"",IF(J58=0,4,MAX(MATCH(L58,'Residual Config'!$E$11:$E$14,1),IF(K58&gt;0,'Residual Config'!$C$7,1))))</f>
        <v>2</v>
      </c>
      <c r="N58" s="7" t="str">
        <f aca="false">IF(NOT(ISNUMBER($G58)),"",IF(J58=0,"Ineffective (no key control)",INDEX('Residual Config'!$B$11:$B$14,M58)))</f>
        <v>Largely effective</v>
      </c>
      <c r="O58" s="36" t="n">
        <f aca="false">IF(NOT(ISNUMBER($G58)),"",IF(J58=0,0,SUMPRODUCT(('Control Mapping'!$C$5:$C$83=D58)*'Control Mapping'!$E$5:$E$83*(('Control Mapping'!$I$5:$I$83=1)*'Residual Config'!$D$11+('Control Mapping'!$I$5:$I$83=2)*'Residual Config'!$D$12+('Control Mapping'!$I$5:$I$83=3)*'Residual Config'!$D$13+('Control Mapping'!$I$5:$I$83=4)*'Residual Config'!$D$14))/SUMPRODUCT(('Control Mapping'!$C$5:$C$83=D58)*'Control Mapping'!$E$5:$E$83*('Control Mapping'!$I$5:$I$83&gt;0))))</f>
        <v>0.4</v>
      </c>
      <c r="P58" s="31" t="n">
        <f aca="false">IF(NOT(ISNUMBER($G58)),"",INDEX('Residual Config'!$B$19:$E$23,6-G58,M58))</f>
        <v>3</v>
      </c>
      <c r="Q58" s="29" t="n">
        <f aca="false">IF(NOT(ISNUMBER($G58)),"",MAX(1,F58*(1-O58)))</f>
        <v>2.4</v>
      </c>
      <c r="R58" s="31" t="n">
        <f aca="false">IF(NOT(ISNUMBER($G58)),"",MAX(MATCH(Q58,Config!$D$5:$D$9,1),G58-'Residual Config'!$C$6))</f>
        <v>2</v>
      </c>
      <c r="S58" s="34" t="n">
        <f aca="false">IF(NOT(ISNUMBER($G58)),"",IF('Residual Config'!$C$5="Numeric",R58,P58))</f>
        <v>3</v>
      </c>
      <c r="T58" s="7" t="str">
        <f aca="false">IF(G58="N/A","N/A",IF(S58="","No data",INDEX(Config!$B$5:$B$9,S58)))</f>
        <v>Medium</v>
      </c>
      <c r="U58" s="32" t="n">
        <v>0</v>
      </c>
      <c r="V58" s="8"/>
      <c r="W58" s="33"/>
      <c r="X58" s="34" t="n">
        <f aca="false">IF(S58="","",IF(AND(W58="Y",U58&lt;&gt;0),MAX(1,MIN(5,S58+MAX(-Config!$C$27,MIN(Config!$C$27,U58)))),S58))</f>
        <v>3</v>
      </c>
      <c r="Y58" s="35" t="str">
        <f aca="false">IF(G58="N/A","N/A",IF(X58="","No data",INDEX(Config!$B$5:$B$9,X58)))</f>
        <v>Medium</v>
      </c>
      <c r="Z58" s="7" t="str">
        <f aca="false">IF(U58=0,"None",IF(W58="Y","Applied","Pending HO approval"))</f>
        <v>None</v>
      </c>
      <c r="AA58" s="12" t="str">
        <f aca="false">INDEX('Risk Taxonomy'!$G$5:$G$24,MATCH(D58,'Risk Taxonomy'!$A$5:$A$24,0))</f>
        <v>Low</v>
      </c>
      <c r="AB58" s="7" t="str">
        <f aca="false">INDEX('Risk Taxonomy'!$H$5:$H$24,MATCH(D58,'Risk Taxonomy'!$A$5:$A$24,0))</f>
        <v>Medium</v>
      </c>
      <c r="AC58" s="35" t="str">
        <f aca="false">IF(NOT(ISNUMBER(X58)),"",IF(X58&lt;=MATCH(AB58,Config!$B$5:$B$9,0),"Within",IF(OR(X58-MATCH(AB58,Config!$B$5:$B$9,0)&gt;=2,AND('Residual Config'!$C$8="Y",ISNUMBER(SEARCH("Zero",AA58)))),"Red","Amber")))</f>
        <v>Within</v>
      </c>
      <c r="AD58" s="12" t="str">
        <f aca="false">IF(AC58="Red","Group CCO / CRO and Country CEO within 2 business days; action plan in 15 days; report to Board Risk &amp; Compliance Committee",IF(AC58="Amber","Country CO, risk owner and HO Administrator within 5 business days; action plan in 30 days",""))</f>
        <v/>
      </c>
    </row>
    <row r="59" customFormat="false" ht="15" hidden="false" customHeight="false" outlineLevel="0" collapsed="false">
      <c r="A59" s="26" t="str">
        <f aca="false">Entities!$A$7</f>
        <v>JO-INV</v>
      </c>
      <c r="B59" s="12" t="str">
        <f aca="false">INDEX(Entities!$B$5:$B$34,MATCH(A59,Entities!$A$5:$A$34,0))</f>
        <v>Al-Arabi Investment Group (AB Invest)</v>
      </c>
      <c r="C59" s="12" t="str">
        <f aca="false">INDEX(Entities!$D$5:$D$34,MATCH(A59,Entities!$A$5:$A$34,0))</f>
        <v>Jordan (home)</v>
      </c>
      <c r="D59" s="12" t="s">
        <v>307</v>
      </c>
      <c r="E59" s="12" t="str">
        <f aca="false">INDEX('Risk Taxonomy'!$B$5:$B$24,MATCH(D59,'Risk Taxonomy'!$A$5:$A$24,0))</f>
        <v>Operational risk</v>
      </c>
      <c r="F59" s="29" t="n">
        <f aca="false">IF(NOT(ISNUMBER(G59)),"",G59)</f>
        <v>3</v>
      </c>
      <c r="G59" s="34" t="n">
        <f aca="false">IF(COUNTIFS('LxI Assessment'!$A$5:$A$394,A59,'LxI Assessment'!$D$5:$D$394,D59,'LxI Assessment'!$F$5:$F$394,"N/A")&gt;0,"N/A",IF(COUNTIFS('LxI Assessment'!$A$5:$A$394,A59,'LxI Assessment'!$D$5:$D$394,D59,'LxI Assessment'!$S$5:$S$394,"&gt;0")=0,"",SUMIFS('LxI Assessment'!$S$5:$S$394,'LxI Assessment'!$A$5:$A$394,A59,'LxI Assessment'!$D$5:$D$394,D59)))</f>
        <v>3</v>
      </c>
      <c r="H59" s="7" t="str">
        <f aca="false">IF(G59="N/A","N/A",IF(G59="","No data",INDEX(Config!$B$5:$B$9,G59)))</f>
        <v>Medium</v>
      </c>
      <c r="I59" s="31" t="n">
        <f aca="false">IF(NOT(ISNUMBER($G59)),"",SUMPRODUCT(('Control Mapping'!$C$5:$C$83=D59)*('Control Mapping'!$I$5:$I$83&gt;0)))</f>
        <v>3</v>
      </c>
      <c r="J59" s="31" t="n">
        <f aca="false">IF(NOT(ISNUMBER($G59)),"",SUMPRODUCT(('Control Mapping'!$C$5:$C$83=D59)*('Control Mapping'!$F$5:$F$83="Y")*('Control Mapping'!$I$5:$I$83&gt;0)))</f>
        <v>2</v>
      </c>
      <c r="K59" s="31" t="n">
        <f aca="false">IF(NOT(ISNUMBER($G59)),"",SUMPRODUCT(('Control Mapping'!$C$5:$C$83=D59)*('Control Mapping'!$F$5:$F$83="Y")*('Control Mapping'!$I$5:$I$83=4)))</f>
        <v>0</v>
      </c>
      <c r="L59" s="29" t="n">
        <f aca="false">IF(NOT(ISNUMBER($G59)),"",IFERROR(SUMPRODUCT(('Control Mapping'!$C$5:$C$83=D59)*'Control Mapping'!$E$5:$E$83*'Control Mapping'!$I$5:$I$83)/SUMPRODUCT(('Control Mapping'!$C$5:$C$83=D59)*'Control Mapping'!$E$5:$E$83*('Control Mapping'!$I$5:$I$83&gt;0)),""))</f>
        <v>2.33333333333333</v>
      </c>
      <c r="M59" s="34" t="n">
        <f aca="false">IF(NOT(ISNUMBER($G59)),"",IF(J59=0,4,MAX(MATCH(L59,'Residual Config'!$E$11:$E$14,1),IF(K59&gt;0,'Residual Config'!$C$7,1))))</f>
        <v>2</v>
      </c>
      <c r="N59" s="7" t="str">
        <f aca="false">IF(NOT(ISNUMBER($G59)),"",IF(J59=0,"Ineffective (no key control)",INDEX('Residual Config'!$B$11:$B$14,M59)))</f>
        <v>Largely effective</v>
      </c>
      <c r="O59" s="36" t="n">
        <f aca="false">IF(NOT(ISNUMBER($G59)),"",IF(J59=0,0,SUMPRODUCT(('Control Mapping'!$C$5:$C$83=D59)*'Control Mapping'!$E$5:$E$83*(('Control Mapping'!$I$5:$I$83=1)*'Residual Config'!$D$11+('Control Mapping'!$I$5:$I$83=2)*'Residual Config'!$D$12+('Control Mapping'!$I$5:$I$83=3)*'Residual Config'!$D$13+('Control Mapping'!$I$5:$I$83=4)*'Residual Config'!$D$14))/SUMPRODUCT(('Control Mapping'!$C$5:$C$83=D59)*'Control Mapping'!$E$5:$E$83*('Control Mapping'!$I$5:$I$83&gt;0))))</f>
        <v>0.333333333333333</v>
      </c>
      <c r="P59" s="31" t="n">
        <f aca="false">IF(NOT(ISNUMBER($G59)),"",INDEX('Residual Config'!$B$19:$E$23,6-G59,M59))</f>
        <v>2</v>
      </c>
      <c r="Q59" s="29" t="n">
        <f aca="false">IF(NOT(ISNUMBER($G59)),"",MAX(1,F59*(1-O59)))</f>
        <v>2</v>
      </c>
      <c r="R59" s="31" t="n">
        <f aca="false">IF(NOT(ISNUMBER($G59)),"",MAX(MATCH(Q59,Config!$D$5:$D$9,1),G59-'Residual Config'!$C$6))</f>
        <v>2</v>
      </c>
      <c r="S59" s="34" t="n">
        <f aca="false">IF(NOT(ISNUMBER($G59)),"",IF('Residual Config'!$C$5="Numeric",R59,P59))</f>
        <v>2</v>
      </c>
      <c r="T59" s="7" t="str">
        <f aca="false">IF(G59="N/A","N/A",IF(S59="","No data",INDEX(Config!$B$5:$B$9,S59)))</f>
        <v>Medium-Low</v>
      </c>
      <c r="U59" s="32" t="n">
        <v>0</v>
      </c>
      <c r="V59" s="8"/>
      <c r="W59" s="33"/>
      <c r="X59" s="34" t="n">
        <f aca="false">IF(S59="","",IF(AND(W59="Y",U59&lt;&gt;0),MAX(1,MIN(5,S59+MAX(-Config!$C$27,MIN(Config!$C$27,U59)))),S59))</f>
        <v>2</v>
      </c>
      <c r="Y59" s="35" t="str">
        <f aca="false">IF(G59="N/A","N/A",IF(X59="","No data",INDEX(Config!$B$5:$B$9,X59)))</f>
        <v>Medium-Low</v>
      </c>
      <c r="Z59" s="7" t="str">
        <f aca="false">IF(U59=0,"None",IF(W59="Y","Applied","Pending HO approval"))</f>
        <v>None</v>
      </c>
      <c r="AA59" s="12" t="str">
        <f aca="false">INDEX('Risk Taxonomy'!$G$5:$G$24,MATCH(D59,'Risk Taxonomy'!$A$5:$A$24,0))</f>
        <v>Low</v>
      </c>
      <c r="AB59" s="7" t="str">
        <f aca="false">INDEX('Risk Taxonomy'!$H$5:$H$24,MATCH(D59,'Risk Taxonomy'!$A$5:$A$24,0))</f>
        <v>Medium</v>
      </c>
      <c r="AC59" s="35" t="str">
        <f aca="false">IF(NOT(ISNUMBER(X59)),"",IF(X59&lt;=MATCH(AB59,Config!$B$5:$B$9,0),"Within",IF(OR(X59-MATCH(AB59,Config!$B$5:$B$9,0)&gt;=2,AND('Residual Config'!$C$8="Y",ISNUMBER(SEARCH("Zero",AA59)))),"Red","Amber")))</f>
        <v>Within</v>
      </c>
      <c r="AD59" s="12" t="str">
        <f aca="false">IF(AC59="Red","Group CCO / CRO and Country CEO within 2 business days; action plan in 15 days; report to Board Risk &amp; Compliance Committee",IF(AC59="Amber","Country CO, risk owner and HO Administrator within 5 business days; action plan in 30 days",""))</f>
        <v/>
      </c>
    </row>
    <row r="60" customFormat="false" ht="15" hidden="false" customHeight="false" outlineLevel="0" collapsed="false">
      <c r="A60" s="26" t="str">
        <f aca="false">Entities!$A$7</f>
        <v>JO-INV</v>
      </c>
      <c r="B60" s="12" t="str">
        <f aca="false">INDEX(Entities!$B$5:$B$34,MATCH(A60,Entities!$A$5:$A$34,0))</f>
        <v>Al-Arabi Investment Group (AB Invest)</v>
      </c>
      <c r="C60" s="12" t="str">
        <f aca="false">INDEX(Entities!$D$5:$D$34,MATCH(A60,Entities!$A$5:$A$34,0))</f>
        <v>Jordan (home)</v>
      </c>
      <c r="D60" s="12" t="s">
        <v>310</v>
      </c>
      <c r="E60" s="12" t="str">
        <f aca="false">INDEX('Risk Taxonomy'!$B$5:$B$24,MATCH(D60,'Risk Taxonomy'!$A$5:$A$24,0))</f>
        <v>Cyber, information security and technology</v>
      </c>
      <c r="F60" s="29" t="n">
        <f aca="false">IF(NOT(ISNUMBER(G60)),"",G60)</f>
        <v>3</v>
      </c>
      <c r="G60" s="34" t="n">
        <f aca="false">IF(COUNTIFS('LxI Assessment'!$A$5:$A$394,A60,'LxI Assessment'!$D$5:$D$394,D60,'LxI Assessment'!$F$5:$F$394,"N/A")&gt;0,"N/A",IF(COUNTIFS('LxI Assessment'!$A$5:$A$394,A60,'LxI Assessment'!$D$5:$D$394,D60,'LxI Assessment'!$S$5:$S$394,"&gt;0")=0,"",SUMIFS('LxI Assessment'!$S$5:$S$394,'LxI Assessment'!$A$5:$A$394,A60,'LxI Assessment'!$D$5:$D$394,D60)))</f>
        <v>3</v>
      </c>
      <c r="H60" s="7" t="str">
        <f aca="false">IF(G60="N/A","N/A",IF(G60="","No data",INDEX(Config!$B$5:$B$9,G60)))</f>
        <v>Medium</v>
      </c>
      <c r="I60" s="31" t="n">
        <f aca="false">IF(NOT(ISNUMBER($G60)),"",SUMPRODUCT(('Control Mapping'!$C$5:$C$83=D60)*('Control Mapping'!$I$5:$I$83&gt;0)))</f>
        <v>4</v>
      </c>
      <c r="J60" s="31" t="n">
        <f aca="false">IF(NOT(ISNUMBER($G60)),"",SUMPRODUCT(('Control Mapping'!$C$5:$C$83=D60)*('Control Mapping'!$F$5:$F$83="Y")*('Control Mapping'!$I$5:$I$83&gt;0)))</f>
        <v>4</v>
      </c>
      <c r="K60" s="31" t="n">
        <f aca="false">IF(NOT(ISNUMBER($G60)),"",SUMPRODUCT(('Control Mapping'!$C$5:$C$83=D60)*('Control Mapping'!$F$5:$F$83="Y")*('Control Mapping'!$I$5:$I$83=4)))</f>
        <v>0</v>
      </c>
      <c r="L60" s="29" t="n">
        <f aca="false">IF(NOT(ISNUMBER($G60)),"",IFERROR(SUMPRODUCT(('Control Mapping'!$C$5:$C$83=D60)*'Control Mapping'!$E$5:$E$83*'Control Mapping'!$I$5:$I$83)/SUMPRODUCT(('Control Mapping'!$C$5:$C$83=D60)*'Control Mapping'!$E$5:$E$83*('Control Mapping'!$I$5:$I$83&gt;0)),""))</f>
        <v>2</v>
      </c>
      <c r="M60" s="34" t="n">
        <f aca="false">IF(NOT(ISNUMBER($G60)),"",IF(J60=0,4,MAX(MATCH(L60,'Residual Config'!$E$11:$E$14,1),IF(K60&gt;0,'Residual Config'!$C$7,1))))</f>
        <v>2</v>
      </c>
      <c r="N60" s="7" t="str">
        <f aca="false">IF(NOT(ISNUMBER($G60)),"",IF(J60=0,"Ineffective (no key control)",INDEX('Residual Config'!$B$11:$B$14,M60)))</f>
        <v>Largely effective</v>
      </c>
      <c r="O60" s="36" t="n">
        <f aca="false">IF(NOT(ISNUMBER($G60)),"",IF(J60=0,0,SUMPRODUCT(('Control Mapping'!$C$5:$C$83=D60)*'Control Mapping'!$E$5:$E$83*(('Control Mapping'!$I$5:$I$83=1)*'Residual Config'!$D$11+('Control Mapping'!$I$5:$I$83=2)*'Residual Config'!$D$12+('Control Mapping'!$I$5:$I$83=3)*'Residual Config'!$D$13+('Control Mapping'!$I$5:$I$83=4)*'Residual Config'!$D$14))/SUMPRODUCT(('Control Mapping'!$C$5:$C$83=D60)*'Control Mapping'!$E$5:$E$83*('Control Mapping'!$I$5:$I$83&gt;0))))</f>
        <v>0.4</v>
      </c>
      <c r="P60" s="31" t="n">
        <f aca="false">IF(NOT(ISNUMBER($G60)),"",INDEX('Residual Config'!$B$19:$E$23,6-G60,M60))</f>
        <v>2</v>
      </c>
      <c r="Q60" s="29" t="n">
        <f aca="false">IF(NOT(ISNUMBER($G60)),"",MAX(1,F60*(1-O60)))</f>
        <v>1.8</v>
      </c>
      <c r="R60" s="31" t="n">
        <f aca="false">IF(NOT(ISNUMBER($G60)),"",MAX(MATCH(Q60,Config!$D$5:$D$9,1),G60-'Residual Config'!$C$6))</f>
        <v>1</v>
      </c>
      <c r="S60" s="34" t="n">
        <f aca="false">IF(NOT(ISNUMBER($G60)),"",IF('Residual Config'!$C$5="Numeric",R60,P60))</f>
        <v>2</v>
      </c>
      <c r="T60" s="7" t="str">
        <f aca="false">IF(G60="N/A","N/A",IF(S60="","No data",INDEX(Config!$B$5:$B$9,S60)))</f>
        <v>Medium-Low</v>
      </c>
      <c r="U60" s="32" t="n">
        <v>0</v>
      </c>
      <c r="V60" s="8"/>
      <c r="W60" s="33"/>
      <c r="X60" s="34" t="n">
        <f aca="false">IF(S60="","",IF(AND(W60="Y",U60&lt;&gt;0),MAX(1,MIN(5,S60+MAX(-Config!$C$27,MIN(Config!$C$27,U60)))),S60))</f>
        <v>2</v>
      </c>
      <c r="Y60" s="35" t="str">
        <f aca="false">IF(G60="N/A","N/A",IF(X60="","No data",INDEX(Config!$B$5:$B$9,X60)))</f>
        <v>Medium-Low</v>
      </c>
      <c r="Z60" s="7" t="str">
        <f aca="false">IF(U60=0,"None",IF(W60="Y","Applied","Pending HO approval"))</f>
        <v>None</v>
      </c>
      <c r="AA60" s="12" t="str">
        <f aca="false">INDEX('Risk Taxonomy'!$G$5:$G$24,MATCH(D60,'Risk Taxonomy'!$A$5:$A$24,0))</f>
        <v>Very low</v>
      </c>
      <c r="AB60" s="7" t="str">
        <f aca="false">INDEX('Risk Taxonomy'!$H$5:$H$24,MATCH(D60,'Risk Taxonomy'!$A$5:$A$24,0))</f>
        <v>Medium-Low</v>
      </c>
      <c r="AC60" s="35" t="str">
        <f aca="false">IF(NOT(ISNUMBER(X60)),"",IF(X60&lt;=MATCH(AB60,Config!$B$5:$B$9,0),"Within",IF(OR(X60-MATCH(AB60,Config!$B$5:$B$9,0)&gt;=2,AND('Residual Config'!$C$8="Y",ISNUMBER(SEARCH("Zero",AA60)))),"Red","Amber")))</f>
        <v>Within</v>
      </c>
      <c r="AD60" s="12" t="str">
        <f aca="false">IF(AC60="Red","Group CCO / CRO and Country CEO within 2 business days; action plan in 15 days; report to Board Risk &amp; Compliance Committee",IF(AC60="Amber","Country CO, risk owner and HO Administrator within 5 business days; action plan in 30 days",""))</f>
        <v/>
      </c>
    </row>
    <row r="61" customFormat="false" ht="15" hidden="false" customHeight="false" outlineLevel="0" collapsed="false">
      <c r="A61" s="26" t="str">
        <f aca="false">Entities!$A$7</f>
        <v>JO-INV</v>
      </c>
      <c r="B61" s="12" t="str">
        <f aca="false">INDEX(Entities!$B$5:$B$34,MATCH(A61,Entities!$A$5:$A$34,0))</f>
        <v>Al-Arabi Investment Group (AB Invest)</v>
      </c>
      <c r="C61" s="12" t="str">
        <f aca="false">INDEX(Entities!$D$5:$D$34,MATCH(A61,Entities!$A$5:$A$34,0))</f>
        <v>Jordan (home)</v>
      </c>
      <c r="D61" s="12" t="s">
        <v>313</v>
      </c>
      <c r="E61" s="12" t="str">
        <f aca="false">INDEX('Risk Taxonomy'!$B$5:$B$24,MATCH(D61,'Risk Taxonomy'!$A$5:$A$24,0))</f>
        <v>Third-party and outsourcing</v>
      </c>
      <c r="F61" s="29" t="n">
        <f aca="false">IF(NOT(ISNUMBER(G61)),"",G61)</f>
        <v>3</v>
      </c>
      <c r="G61" s="34" t="n">
        <f aca="false">IF(COUNTIFS('LxI Assessment'!$A$5:$A$394,A61,'LxI Assessment'!$D$5:$D$394,D61,'LxI Assessment'!$F$5:$F$394,"N/A")&gt;0,"N/A",IF(COUNTIFS('LxI Assessment'!$A$5:$A$394,A61,'LxI Assessment'!$D$5:$D$394,D61,'LxI Assessment'!$S$5:$S$394,"&gt;0")=0,"",SUMIFS('LxI Assessment'!$S$5:$S$394,'LxI Assessment'!$A$5:$A$394,A61,'LxI Assessment'!$D$5:$D$394,D61)))</f>
        <v>3</v>
      </c>
      <c r="H61" s="7" t="str">
        <f aca="false">IF(G61="N/A","N/A",IF(G61="","No data",INDEX(Config!$B$5:$B$9,G61)))</f>
        <v>Medium</v>
      </c>
      <c r="I61" s="31" t="n">
        <f aca="false">IF(NOT(ISNUMBER($G61)),"",SUMPRODUCT(('Control Mapping'!$C$5:$C$83=D61)*('Control Mapping'!$I$5:$I$83&gt;0)))</f>
        <v>2</v>
      </c>
      <c r="J61" s="31" t="n">
        <f aca="false">IF(NOT(ISNUMBER($G61)),"",SUMPRODUCT(('Control Mapping'!$C$5:$C$83=D61)*('Control Mapping'!$F$5:$F$83="Y")*('Control Mapping'!$I$5:$I$83&gt;0)))</f>
        <v>2</v>
      </c>
      <c r="K61" s="31" t="n">
        <f aca="false">IF(NOT(ISNUMBER($G61)),"",SUMPRODUCT(('Control Mapping'!$C$5:$C$83=D61)*('Control Mapping'!$F$5:$F$83="Y")*('Control Mapping'!$I$5:$I$83=4)))</f>
        <v>0</v>
      </c>
      <c r="L61" s="29" t="n">
        <f aca="false">IF(NOT(ISNUMBER($G61)),"",IFERROR(SUMPRODUCT(('Control Mapping'!$C$5:$C$83=D61)*'Control Mapping'!$E$5:$E$83*'Control Mapping'!$I$5:$I$83)/SUMPRODUCT(('Control Mapping'!$C$5:$C$83=D61)*'Control Mapping'!$E$5:$E$83*('Control Mapping'!$I$5:$I$83&gt;0)),""))</f>
        <v>2</v>
      </c>
      <c r="M61" s="34" t="n">
        <f aca="false">IF(NOT(ISNUMBER($G61)),"",IF(J61=0,4,MAX(MATCH(L61,'Residual Config'!$E$11:$E$14,1),IF(K61&gt;0,'Residual Config'!$C$7,1))))</f>
        <v>2</v>
      </c>
      <c r="N61" s="7" t="str">
        <f aca="false">IF(NOT(ISNUMBER($G61)),"",IF(J61=0,"Ineffective (no key control)",INDEX('Residual Config'!$B$11:$B$14,M61)))</f>
        <v>Largely effective</v>
      </c>
      <c r="O61" s="36" t="n">
        <f aca="false">IF(NOT(ISNUMBER($G61)),"",IF(J61=0,0,SUMPRODUCT(('Control Mapping'!$C$5:$C$83=D61)*'Control Mapping'!$E$5:$E$83*(('Control Mapping'!$I$5:$I$83=1)*'Residual Config'!$D$11+('Control Mapping'!$I$5:$I$83=2)*'Residual Config'!$D$12+('Control Mapping'!$I$5:$I$83=3)*'Residual Config'!$D$13+('Control Mapping'!$I$5:$I$83=4)*'Residual Config'!$D$14))/SUMPRODUCT(('Control Mapping'!$C$5:$C$83=D61)*'Control Mapping'!$E$5:$E$83*('Control Mapping'!$I$5:$I$83&gt;0))))</f>
        <v>0.4</v>
      </c>
      <c r="P61" s="31" t="n">
        <f aca="false">IF(NOT(ISNUMBER($G61)),"",INDEX('Residual Config'!$B$19:$E$23,6-G61,M61))</f>
        <v>2</v>
      </c>
      <c r="Q61" s="29" t="n">
        <f aca="false">IF(NOT(ISNUMBER($G61)),"",MAX(1,F61*(1-O61)))</f>
        <v>1.8</v>
      </c>
      <c r="R61" s="31" t="n">
        <f aca="false">IF(NOT(ISNUMBER($G61)),"",MAX(MATCH(Q61,Config!$D$5:$D$9,1),G61-'Residual Config'!$C$6))</f>
        <v>1</v>
      </c>
      <c r="S61" s="34" t="n">
        <f aca="false">IF(NOT(ISNUMBER($G61)),"",IF('Residual Config'!$C$5="Numeric",R61,P61))</f>
        <v>2</v>
      </c>
      <c r="T61" s="7" t="str">
        <f aca="false">IF(G61="N/A","N/A",IF(S61="","No data",INDEX(Config!$B$5:$B$9,S61)))</f>
        <v>Medium-Low</v>
      </c>
      <c r="U61" s="32" t="n">
        <v>0</v>
      </c>
      <c r="V61" s="8"/>
      <c r="W61" s="33"/>
      <c r="X61" s="34" t="n">
        <f aca="false">IF(S61="","",IF(AND(W61="Y",U61&lt;&gt;0),MAX(1,MIN(5,S61+MAX(-Config!$C$27,MIN(Config!$C$27,U61)))),S61))</f>
        <v>2</v>
      </c>
      <c r="Y61" s="35" t="str">
        <f aca="false">IF(G61="N/A","N/A",IF(X61="","No data",INDEX(Config!$B$5:$B$9,X61)))</f>
        <v>Medium-Low</v>
      </c>
      <c r="Z61" s="7" t="str">
        <f aca="false">IF(U61=0,"None",IF(W61="Y","Applied","Pending HO approval"))</f>
        <v>None</v>
      </c>
      <c r="AA61" s="12" t="str">
        <f aca="false">INDEX('Risk Taxonomy'!$G$5:$G$24,MATCH(D61,'Risk Taxonomy'!$A$5:$A$24,0))</f>
        <v>Low</v>
      </c>
      <c r="AB61" s="7" t="str">
        <f aca="false">INDEX('Risk Taxonomy'!$H$5:$H$24,MATCH(D61,'Risk Taxonomy'!$A$5:$A$24,0))</f>
        <v>Medium</v>
      </c>
      <c r="AC61" s="35" t="str">
        <f aca="false">IF(NOT(ISNUMBER(X61)),"",IF(X61&lt;=MATCH(AB61,Config!$B$5:$B$9,0),"Within",IF(OR(X61-MATCH(AB61,Config!$B$5:$B$9,0)&gt;=2,AND('Residual Config'!$C$8="Y",ISNUMBER(SEARCH("Zero",AA61)))),"Red","Amber")))</f>
        <v>Within</v>
      </c>
      <c r="AD61" s="12" t="str">
        <f aca="false">IF(AC61="Red","Group CCO / CRO and Country CEO within 2 business days; action plan in 15 days; report to Board Risk &amp; Compliance Committee",IF(AC61="Amber","Country CO, risk owner and HO Administrator within 5 business days; action plan in 30 days",""))</f>
        <v/>
      </c>
    </row>
    <row r="62" customFormat="false" ht="15" hidden="false" customHeight="false" outlineLevel="0" collapsed="false">
      <c r="A62" s="26" t="str">
        <f aca="false">Entities!$A$7</f>
        <v>JO-INV</v>
      </c>
      <c r="B62" s="12" t="str">
        <f aca="false">INDEX(Entities!$B$5:$B$34,MATCH(A62,Entities!$A$5:$A$34,0))</f>
        <v>Al-Arabi Investment Group (AB Invest)</v>
      </c>
      <c r="C62" s="12" t="str">
        <f aca="false">INDEX(Entities!$D$5:$D$34,MATCH(A62,Entities!$A$5:$A$34,0))</f>
        <v>Jordan (home)</v>
      </c>
      <c r="D62" s="12" t="s">
        <v>316</v>
      </c>
      <c r="E62" s="12" t="str">
        <f aca="false">INDEX('Risk Taxonomy'!$B$5:$B$24,MATCH(D62,'Risk Taxonomy'!$A$5:$A$24,0))</f>
        <v>Legal and litigation</v>
      </c>
      <c r="F62" s="29" t="n">
        <f aca="false">IF(NOT(ISNUMBER(G62)),"",G62)</f>
        <v>2</v>
      </c>
      <c r="G62" s="34" t="n">
        <f aca="false">IF(COUNTIFS('LxI Assessment'!$A$5:$A$394,A62,'LxI Assessment'!$D$5:$D$394,D62,'LxI Assessment'!$F$5:$F$394,"N/A")&gt;0,"N/A",IF(COUNTIFS('LxI Assessment'!$A$5:$A$394,A62,'LxI Assessment'!$D$5:$D$394,D62,'LxI Assessment'!$S$5:$S$394,"&gt;0")=0,"",SUMIFS('LxI Assessment'!$S$5:$S$394,'LxI Assessment'!$A$5:$A$394,A62,'LxI Assessment'!$D$5:$D$394,D62)))</f>
        <v>2</v>
      </c>
      <c r="H62" s="7" t="str">
        <f aca="false">IF(G62="N/A","N/A",IF(G62="","No data",INDEX(Config!$B$5:$B$9,G62)))</f>
        <v>Medium-Low</v>
      </c>
      <c r="I62" s="31" t="n">
        <f aca="false">IF(NOT(ISNUMBER($G62)),"",SUMPRODUCT(('Control Mapping'!$C$5:$C$83=D62)*('Control Mapping'!$I$5:$I$83&gt;0)))</f>
        <v>1</v>
      </c>
      <c r="J62" s="31" t="n">
        <f aca="false">IF(NOT(ISNUMBER($G62)),"",SUMPRODUCT(('Control Mapping'!$C$5:$C$83=D62)*('Control Mapping'!$F$5:$F$83="Y")*('Control Mapping'!$I$5:$I$83&gt;0)))</f>
        <v>1</v>
      </c>
      <c r="K62" s="31" t="n">
        <f aca="false">IF(NOT(ISNUMBER($G62)),"",SUMPRODUCT(('Control Mapping'!$C$5:$C$83=D62)*('Control Mapping'!$F$5:$F$83="Y")*('Control Mapping'!$I$5:$I$83=4)))</f>
        <v>0</v>
      </c>
      <c r="L62" s="29" t="n">
        <f aca="false">IF(NOT(ISNUMBER($G62)),"",IFERROR(SUMPRODUCT(('Control Mapping'!$C$5:$C$83=D62)*'Control Mapping'!$E$5:$E$83*'Control Mapping'!$I$5:$I$83)/SUMPRODUCT(('Control Mapping'!$C$5:$C$83=D62)*'Control Mapping'!$E$5:$E$83*('Control Mapping'!$I$5:$I$83&gt;0)),""))</f>
        <v>1</v>
      </c>
      <c r="M62" s="34" t="n">
        <f aca="false">IF(NOT(ISNUMBER($G62)),"",IF(J62=0,4,MAX(MATCH(L62,'Residual Config'!$E$11:$E$14,1),IF(K62&gt;0,'Residual Config'!$C$7,1))))</f>
        <v>1</v>
      </c>
      <c r="N62" s="7" t="str">
        <f aca="false">IF(NOT(ISNUMBER($G62)),"",IF(J62=0,"Ineffective (no key control)",INDEX('Residual Config'!$B$11:$B$14,M62)))</f>
        <v>Effective</v>
      </c>
      <c r="O62" s="36" t="n">
        <f aca="false">IF(NOT(ISNUMBER($G62)),"",IF(J62=0,0,SUMPRODUCT(('Control Mapping'!$C$5:$C$83=D62)*'Control Mapping'!$E$5:$E$83*(('Control Mapping'!$I$5:$I$83=1)*'Residual Config'!$D$11+('Control Mapping'!$I$5:$I$83=2)*'Residual Config'!$D$12+('Control Mapping'!$I$5:$I$83=3)*'Residual Config'!$D$13+('Control Mapping'!$I$5:$I$83=4)*'Residual Config'!$D$14))/SUMPRODUCT(('Control Mapping'!$C$5:$C$83=D62)*'Control Mapping'!$E$5:$E$83*('Control Mapping'!$I$5:$I$83&gt;0))))</f>
        <v>0.6</v>
      </c>
      <c r="P62" s="31" t="n">
        <f aca="false">IF(NOT(ISNUMBER($G62)),"",INDEX('Residual Config'!$B$19:$E$23,6-G62,M62))</f>
        <v>1</v>
      </c>
      <c r="Q62" s="29" t="n">
        <f aca="false">IF(NOT(ISNUMBER($G62)),"",MAX(1,F62*(1-O62)))</f>
        <v>1</v>
      </c>
      <c r="R62" s="31" t="n">
        <f aca="false">IF(NOT(ISNUMBER($G62)),"",MAX(MATCH(Q62,Config!$D$5:$D$9,1),G62-'Residual Config'!$C$6))</f>
        <v>1</v>
      </c>
      <c r="S62" s="34" t="n">
        <f aca="false">IF(NOT(ISNUMBER($G62)),"",IF('Residual Config'!$C$5="Numeric",R62,P62))</f>
        <v>1</v>
      </c>
      <c r="T62" s="7" t="str">
        <f aca="false">IF(G62="N/A","N/A",IF(S62="","No data",INDEX(Config!$B$5:$B$9,S62)))</f>
        <v>Low</v>
      </c>
      <c r="U62" s="32" t="n">
        <v>0</v>
      </c>
      <c r="V62" s="8"/>
      <c r="W62" s="33"/>
      <c r="X62" s="34" t="n">
        <f aca="false">IF(S62="","",IF(AND(W62="Y",U62&lt;&gt;0),MAX(1,MIN(5,S62+MAX(-Config!$C$27,MIN(Config!$C$27,U62)))),S62))</f>
        <v>1</v>
      </c>
      <c r="Y62" s="35" t="str">
        <f aca="false">IF(G62="N/A","N/A",IF(X62="","No data",INDEX(Config!$B$5:$B$9,X62)))</f>
        <v>Low</v>
      </c>
      <c r="Z62" s="7" t="str">
        <f aca="false">IF(U62=0,"None",IF(W62="Y","Applied","Pending HO approval"))</f>
        <v>None</v>
      </c>
      <c r="AA62" s="12" t="str">
        <f aca="false">INDEX('Risk Taxonomy'!$G$5:$G$24,MATCH(D62,'Risk Taxonomy'!$A$5:$A$24,0))</f>
        <v>Very low</v>
      </c>
      <c r="AB62" s="7" t="str">
        <f aca="false">INDEX('Risk Taxonomy'!$H$5:$H$24,MATCH(D62,'Risk Taxonomy'!$A$5:$A$24,0))</f>
        <v>Medium-Low</v>
      </c>
      <c r="AC62" s="35" t="str">
        <f aca="false">IF(NOT(ISNUMBER(X62)),"",IF(X62&lt;=MATCH(AB62,Config!$B$5:$B$9,0),"Within",IF(OR(X62-MATCH(AB62,Config!$B$5:$B$9,0)&gt;=2,AND('Residual Config'!$C$8="Y",ISNUMBER(SEARCH("Zero",AA62)))),"Red","Amber")))</f>
        <v>Within</v>
      </c>
      <c r="AD62" s="12" t="str">
        <f aca="false">IF(AC62="Red","Group CCO / CRO and Country CEO within 2 business days; action plan in 15 days; report to Board Risk &amp; Compliance Committee",IF(AC62="Amber","Country CO, risk owner and HO Administrator within 5 business days; action plan in 30 days",""))</f>
        <v/>
      </c>
    </row>
    <row r="63" customFormat="false" ht="15" hidden="false" customHeight="false" outlineLevel="0" collapsed="false">
      <c r="A63" s="26" t="str">
        <f aca="false">Entities!$A$7</f>
        <v>JO-INV</v>
      </c>
      <c r="B63" s="12" t="str">
        <f aca="false">INDEX(Entities!$B$5:$B$34,MATCH(A63,Entities!$A$5:$A$34,0))</f>
        <v>Al-Arabi Investment Group (AB Invest)</v>
      </c>
      <c r="C63" s="12" t="str">
        <f aca="false">INDEX(Entities!$D$5:$D$34,MATCH(A63,Entities!$A$5:$A$34,0))</f>
        <v>Jordan (home)</v>
      </c>
      <c r="D63" s="12" t="s">
        <v>319</v>
      </c>
      <c r="E63" s="12" t="str">
        <f aca="false">INDEX('Risk Taxonomy'!$B$5:$B$24,MATCH(D63,'Risk Taxonomy'!$A$5:$A$24,0))</f>
        <v>Reputational</v>
      </c>
      <c r="F63" s="29" t="n">
        <f aca="false">IF(NOT(ISNUMBER(G63)),"",G63)</f>
        <v>3</v>
      </c>
      <c r="G63" s="34" t="n">
        <f aca="false">IF(COUNTIFS('LxI Assessment'!$A$5:$A$394,A63,'LxI Assessment'!$D$5:$D$394,D63,'LxI Assessment'!$F$5:$F$394,"N/A")&gt;0,"N/A",IF(COUNTIFS('LxI Assessment'!$A$5:$A$394,A63,'LxI Assessment'!$D$5:$D$394,D63,'LxI Assessment'!$S$5:$S$394,"&gt;0")=0,"",SUMIFS('LxI Assessment'!$S$5:$S$394,'LxI Assessment'!$A$5:$A$394,A63,'LxI Assessment'!$D$5:$D$394,D63)))</f>
        <v>3</v>
      </c>
      <c r="H63" s="7" t="str">
        <f aca="false">IF(G63="N/A","N/A",IF(G63="","No data",INDEX(Config!$B$5:$B$9,G63)))</f>
        <v>Medium</v>
      </c>
      <c r="I63" s="31" t="n">
        <f aca="false">IF(NOT(ISNUMBER($G63)),"",SUMPRODUCT(('Control Mapping'!$C$5:$C$83=D63)*('Control Mapping'!$I$5:$I$83&gt;0)))</f>
        <v>2</v>
      </c>
      <c r="J63" s="31" t="n">
        <f aca="false">IF(NOT(ISNUMBER($G63)),"",SUMPRODUCT(('Control Mapping'!$C$5:$C$83=D63)*('Control Mapping'!$F$5:$F$83="Y")*('Control Mapping'!$I$5:$I$83&gt;0)))</f>
        <v>1</v>
      </c>
      <c r="K63" s="31" t="n">
        <f aca="false">IF(NOT(ISNUMBER($G63)),"",SUMPRODUCT(('Control Mapping'!$C$5:$C$83=D63)*('Control Mapping'!$F$5:$F$83="Y")*('Control Mapping'!$I$5:$I$83=4)))</f>
        <v>0</v>
      </c>
      <c r="L63" s="29" t="n">
        <f aca="false">IF(NOT(ISNUMBER($G63)),"",IFERROR(SUMPRODUCT(('Control Mapping'!$C$5:$C$83=D63)*'Control Mapping'!$E$5:$E$83*'Control Mapping'!$I$5:$I$83)/SUMPRODUCT(('Control Mapping'!$C$5:$C$83=D63)*'Control Mapping'!$E$5:$E$83*('Control Mapping'!$I$5:$I$83&gt;0)),""))</f>
        <v>2</v>
      </c>
      <c r="M63" s="34" t="n">
        <f aca="false">IF(NOT(ISNUMBER($G63)),"",IF(J63=0,4,MAX(MATCH(L63,'Residual Config'!$E$11:$E$14,1),IF(K63&gt;0,'Residual Config'!$C$7,1))))</f>
        <v>2</v>
      </c>
      <c r="N63" s="7" t="str">
        <f aca="false">IF(NOT(ISNUMBER($G63)),"",IF(J63=0,"Ineffective (no key control)",INDEX('Residual Config'!$B$11:$B$14,M63)))</f>
        <v>Largely effective</v>
      </c>
      <c r="O63" s="36" t="n">
        <f aca="false">IF(NOT(ISNUMBER($G63)),"",IF(J63=0,0,SUMPRODUCT(('Control Mapping'!$C$5:$C$83=D63)*'Control Mapping'!$E$5:$E$83*(('Control Mapping'!$I$5:$I$83=1)*'Residual Config'!$D$11+('Control Mapping'!$I$5:$I$83=2)*'Residual Config'!$D$12+('Control Mapping'!$I$5:$I$83=3)*'Residual Config'!$D$13+('Control Mapping'!$I$5:$I$83=4)*'Residual Config'!$D$14))/SUMPRODUCT(('Control Mapping'!$C$5:$C$83=D63)*'Control Mapping'!$E$5:$E$83*('Control Mapping'!$I$5:$I$83&gt;0))))</f>
        <v>0.4</v>
      </c>
      <c r="P63" s="31" t="n">
        <f aca="false">IF(NOT(ISNUMBER($G63)),"",INDEX('Residual Config'!$B$19:$E$23,6-G63,M63))</f>
        <v>2</v>
      </c>
      <c r="Q63" s="29" t="n">
        <f aca="false">IF(NOT(ISNUMBER($G63)),"",MAX(1,F63*(1-O63)))</f>
        <v>1.8</v>
      </c>
      <c r="R63" s="31" t="n">
        <f aca="false">IF(NOT(ISNUMBER($G63)),"",MAX(MATCH(Q63,Config!$D$5:$D$9,1),G63-'Residual Config'!$C$6))</f>
        <v>1</v>
      </c>
      <c r="S63" s="34" t="n">
        <f aca="false">IF(NOT(ISNUMBER($G63)),"",IF('Residual Config'!$C$5="Numeric",R63,P63))</f>
        <v>2</v>
      </c>
      <c r="T63" s="7" t="str">
        <f aca="false">IF(G63="N/A","N/A",IF(S63="","No data",INDEX(Config!$B$5:$B$9,S63)))</f>
        <v>Medium-Low</v>
      </c>
      <c r="U63" s="32" t="n">
        <v>0</v>
      </c>
      <c r="V63" s="8"/>
      <c r="W63" s="33"/>
      <c r="X63" s="34" t="n">
        <f aca="false">IF(S63="","",IF(AND(W63="Y",U63&lt;&gt;0),MAX(1,MIN(5,S63+MAX(-Config!$C$27,MIN(Config!$C$27,U63)))),S63))</f>
        <v>2</v>
      </c>
      <c r="Y63" s="35" t="str">
        <f aca="false">IF(G63="N/A","N/A",IF(X63="","No data",INDEX(Config!$B$5:$B$9,X63)))</f>
        <v>Medium-Low</v>
      </c>
      <c r="Z63" s="7" t="str">
        <f aca="false">IF(U63=0,"None",IF(W63="Y","Applied","Pending HO approval"))</f>
        <v>None</v>
      </c>
      <c r="AA63" s="12" t="str">
        <f aca="false">INDEX('Risk Taxonomy'!$G$5:$G$24,MATCH(D63,'Risk Taxonomy'!$A$5:$A$24,0))</f>
        <v>Low</v>
      </c>
      <c r="AB63" s="7" t="str">
        <f aca="false">INDEX('Risk Taxonomy'!$H$5:$H$24,MATCH(D63,'Risk Taxonomy'!$A$5:$A$24,0))</f>
        <v>Medium</v>
      </c>
      <c r="AC63" s="35" t="str">
        <f aca="false">IF(NOT(ISNUMBER(X63)),"",IF(X63&lt;=MATCH(AB63,Config!$B$5:$B$9,0),"Within",IF(OR(X63-MATCH(AB63,Config!$B$5:$B$9,0)&gt;=2,AND('Residual Config'!$C$8="Y",ISNUMBER(SEARCH("Zero",AA63)))),"Red","Amber")))</f>
        <v>Within</v>
      </c>
      <c r="AD63" s="12" t="str">
        <f aca="false">IF(AC63="Red","Group CCO / CRO and Country CEO within 2 business days; action plan in 15 days; report to Board Risk &amp; Compliance Committee",IF(AC63="Amber","Country CO, risk owner and HO Administrator within 5 business days; action plan in 30 days",""))</f>
        <v/>
      </c>
    </row>
    <row r="64" customFormat="false" ht="15" hidden="false" customHeight="false" outlineLevel="0" collapsed="false">
      <c r="A64" s="26" t="str">
        <f aca="false">Entities!$A$7</f>
        <v>JO-INV</v>
      </c>
      <c r="B64" s="12" t="str">
        <f aca="false">INDEX(Entities!$B$5:$B$34,MATCH(A64,Entities!$A$5:$A$34,0))</f>
        <v>Al-Arabi Investment Group (AB Invest)</v>
      </c>
      <c r="C64" s="12" t="str">
        <f aca="false">INDEX(Entities!$D$5:$D$34,MATCH(A64,Entities!$A$5:$A$34,0))</f>
        <v>Jordan (home)</v>
      </c>
      <c r="D64" s="12" t="s">
        <v>322</v>
      </c>
      <c r="E64" s="12" t="str">
        <f aca="false">INDEX('Risk Taxonomy'!$B$5:$B$24,MATCH(D64,'Risk Taxonomy'!$A$5:$A$24,0))</f>
        <v>Strategic, business model and ESG</v>
      </c>
      <c r="F64" s="29" t="n">
        <f aca="false">IF(NOT(ISNUMBER(G64)),"",G64)</f>
        <v>2</v>
      </c>
      <c r="G64" s="34" t="n">
        <f aca="false">IF(COUNTIFS('LxI Assessment'!$A$5:$A$394,A64,'LxI Assessment'!$D$5:$D$394,D64,'LxI Assessment'!$F$5:$F$394,"N/A")&gt;0,"N/A",IF(COUNTIFS('LxI Assessment'!$A$5:$A$394,A64,'LxI Assessment'!$D$5:$D$394,D64,'LxI Assessment'!$S$5:$S$394,"&gt;0")=0,"",SUMIFS('LxI Assessment'!$S$5:$S$394,'LxI Assessment'!$A$5:$A$394,A64,'LxI Assessment'!$D$5:$D$394,D64)))</f>
        <v>2</v>
      </c>
      <c r="H64" s="7" t="str">
        <f aca="false">IF(G64="N/A","N/A",IF(G64="","No data",INDEX(Config!$B$5:$B$9,G64)))</f>
        <v>Medium-Low</v>
      </c>
      <c r="I64" s="31" t="n">
        <f aca="false">IF(NOT(ISNUMBER($G64)),"",SUMPRODUCT(('Control Mapping'!$C$5:$C$83=D64)*('Control Mapping'!$I$5:$I$83&gt;0)))</f>
        <v>1</v>
      </c>
      <c r="J64" s="31" t="n">
        <f aca="false">IF(NOT(ISNUMBER($G64)),"",SUMPRODUCT(('Control Mapping'!$C$5:$C$83=D64)*('Control Mapping'!$F$5:$F$83="Y")*('Control Mapping'!$I$5:$I$83&gt;0)))</f>
        <v>1</v>
      </c>
      <c r="K64" s="31" t="n">
        <f aca="false">IF(NOT(ISNUMBER($G64)),"",SUMPRODUCT(('Control Mapping'!$C$5:$C$83=D64)*('Control Mapping'!$F$5:$F$83="Y")*('Control Mapping'!$I$5:$I$83=4)))</f>
        <v>0</v>
      </c>
      <c r="L64" s="29" t="n">
        <f aca="false">IF(NOT(ISNUMBER($G64)),"",IFERROR(SUMPRODUCT(('Control Mapping'!$C$5:$C$83=D64)*'Control Mapping'!$E$5:$E$83*'Control Mapping'!$I$5:$I$83)/SUMPRODUCT(('Control Mapping'!$C$5:$C$83=D64)*'Control Mapping'!$E$5:$E$83*('Control Mapping'!$I$5:$I$83&gt;0)),""))</f>
        <v>2</v>
      </c>
      <c r="M64" s="34" t="n">
        <f aca="false">IF(NOT(ISNUMBER($G64)),"",IF(J64=0,4,MAX(MATCH(L64,'Residual Config'!$E$11:$E$14,1),IF(K64&gt;0,'Residual Config'!$C$7,1))))</f>
        <v>2</v>
      </c>
      <c r="N64" s="7" t="str">
        <f aca="false">IF(NOT(ISNUMBER($G64)),"",IF(J64=0,"Ineffective (no key control)",INDEX('Residual Config'!$B$11:$B$14,M64)))</f>
        <v>Largely effective</v>
      </c>
      <c r="O64" s="36" t="n">
        <f aca="false">IF(NOT(ISNUMBER($G64)),"",IF(J64=0,0,SUMPRODUCT(('Control Mapping'!$C$5:$C$83=D64)*'Control Mapping'!$E$5:$E$83*(('Control Mapping'!$I$5:$I$83=1)*'Residual Config'!$D$11+('Control Mapping'!$I$5:$I$83=2)*'Residual Config'!$D$12+('Control Mapping'!$I$5:$I$83=3)*'Residual Config'!$D$13+('Control Mapping'!$I$5:$I$83=4)*'Residual Config'!$D$14))/SUMPRODUCT(('Control Mapping'!$C$5:$C$83=D64)*'Control Mapping'!$E$5:$E$83*('Control Mapping'!$I$5:$I$83&gt;0))))</f>
        <v>0.4</v>
      </c>
      <c r="P64" s="31" t="n">
        <f aca="false">IF(NOT(ISNUMBER($G64)),"",INDEX('Residual Config'!$B$19:$E$23,6-G64,M64))</f>
        <v>1</v>
      </c>
      <c r="Q64" s="29" t="n">
        <f aca="false">IF(NOT(ISNUMBER($G64)),"",MAX(1,F64*(1-O64)))</f>
        <v>1.2</v>
      </c>
      <c r="R64" s="31" t="n">
        <f aca="false">IF(NOT(ISNUMBER($G64)),"",MAX(MATCH(Q64,Config!$D$5:$D$9,1),G64-'Residual Config'!$C$6))</f>
        <v>1</v>
      </c>
      <c r="S64" s="34" t="n">
        <f aca="false">IF(NOT(ISNUMBER($G64)),"",IF('Residual Config'!$C$5="Numeric",R64,P64))</f>
        <v>1</v>
      </c>
      <c r="T64" s="7" t="str">
        <f aca="false">IF(G64="N/A","N/A",IF(S64="","No data",INDEX(Config!$B$5:$B$9,S64)))</f>
        <v>Low</v>
      </c>
      <c r="U64" s="32" t="n">
        <v>0</v>
      </c>
      <c r="V64" s="8"/>
      <c r="W64" s="33"/>
      <c r="X64" s="34" t="n">
        <f aca="false">IF(S64="","",IF(AND(W64="Y",U64&lt;&gt;0),MAX(1,MIN(5,S64+MAX(-Config!$C$27,MIN(Config!$C$27,U64)))),S64))</f>
        <v>1</v>
      </c>
      <c r="Y64" s="35" t="str">
        <f aca="false">IF(G64="N/A","N/A",IF(X64="","No data",INDEX(Config!$B$5:$B$9,X64)))</f>
        <v>Low</v>
      </c>
      <c r="Z64" s="7" t="str">
        <f aca="false">IF(U64=0,"None",IF(W64="Y","Applied","Pending HO approval"))</f>
        <v>None</v>
      </c>
      <c r="AA64" s="12" t="str">
        <f aca="false">INDEX('Risk Taxonomy'!$G$5:$G$24,MATCH(D64,'Risk Taxonomy'!$A$5:$A$24,0))</f>
        <v>Moderate</v>
      </c>
      <c r="AB64" s="7" t="str">
        <f aca="false">INDEX('Risk Taxonomy'!$H$5:$H$24,MATCH(D64,'Risk Taxonomy'!$A$5:$A$24,0))</f>
        <v>Medium-High</v>
      </c>
      <c r="AC64" s="35" t="str">
        <f aca="false">IF(NOT(ISNUMBER(X64)),"",IF(X64&lt;=MATCH(AB64,Config!$B$5:$B$9,0),"Within",IF(OR(X64-MATCH(AB64,Config!$B$5:$B$9,0)&gt;=2,AND('Residual Config'!$C$8="Y",ISNUMBER(SEARCH("Zero",AA64)))),"Red","Amber")))</f>
        <v>Within</v>
      </c>
      <c r="AD64" s="12" t="str">
        <f aca="false">IF(AC64="Red","Group CCO / CRO and Country CEO within 2 business days; action plan in 15 days; report to Board Risk &amp; Compliance Committee",IF(AC64="Amber","Country CO, risk owner and HO Administrator within 5 business days; action plan in 30 days",""))</f>
        <v/>
      </c>
    </row>
    <row r="65" customFormat="false" ht="15" hidden="false" customHeight="false" outlineLevel="0" collapsed="false">
      <c r="A65" s="26" t="str">
        <f aca="false">Entities!$A$8</f>
        <v>JO-INS</v>
      </c>
      <c r="B65" s="12" t="str">
        <f aca="false">INDEX(Entities!$B$5:$B$34,MATCH(A65,Entities!$A$5:$A$34,0))</f>
        <v>Insurance subsidiary – Jordan</v>
      </c>
      <c r="C65" s="12" t="str">
        <f aca="false">INDEX(Entities!$D$5:$D$34,MATCH(A65,Entities!$A$5:$A$34,0))</f>
        <v>Jordan (home)</v>
      </c>
      <c r="D65" s="12" t="s">
        <v>260</v>
      </c>
      <c r="E65" s="12" t="str">
        <f aca="false">INDEX('Risk Taxonomy'!$B$5:$B$24,MATCH(D65,'Risk Taxonomy'!$A$5:$A$24,0))</f>
        <v>Money laundering</v>
      </c>
      <c r="F65" s="29" t="n">
        <f aca="false">IF(NOT(ISNUMBER(G65)),"",IFERROR(IF(MATCH(SUMIFS('FC Calculation'!$N$5:$N$214,'FC Calculation'!$A$5:$A$214,A65,'FC Calculation'!$D$5:$D$214,D65),Config!$D$5:$D$9,1)=G65,SUMIFS('FC Calculation'!$N$5:$N$214,'FC Calculation'!$A$5:$A$214,A65,'FC Calculation'!$D$5:$D$214,D65),G65),G65))</f>
        <v>2.68134920634921</v>
      </c>
      <c r="G65" s="34" t="n">
        <f aca="false">IF(COUNTIFS('FC Calculation'!$A$5:$A$214,A65,'FC Calculation'!$D$5:$D$214,D65,'FC Calculation'!$T$5:$T$214,"&gt;0")=0,"",SUMIFS('FC Calculation'!$T$5:$T$214,'FC Calculation'!$A$5:$A$214,A65,'FC Calculation'!$D$5:$D$214,D65))</f>
        <v>3</v>
      </c>
      <c r="H65" s="7" t="str">
        <f aca="false">IF(G65="N/A","N/A",IF(G65="","No data",INDEX(Config!$B$5:$B$9,G65)))</f>
        <v>Medium</v>
      </c>
      <c r="I65" s="31" t="n">
        <f aca="false">IF(NOT(ISNUMBER($G65)),"",SUMPRODUCT(('Control Mapping'!$C$5:$C$83=D65)*('Control Mapping'!$J$5:$J$83&gt;0)))</f>
        <v>8</v>
      </c>
      <c r="J65" s="31" t="n">
        <f aca="false">IF(NOT(ISNUMBER($G65)),"",SUMPRODUCT(('Control Mapping'!$C$5:$C$83=D65)*('Control Mapping'!$F$5:$F$83="Y")*('Control Mapping'!$J$5:$J$83&gt;0)))</f>
        <v>6</v>
      </c>
      <c r="K65" s="31" t="n">
        <f aca="false">IF(NOT(ISNUMBER($G65)),"",SUMPRODUCT(('Control Mapping'!$C$5:$C$83=D65)*('Control Mapping'!$F$5:$F$83="Y")*('Control Mapping'!$J$5:$J$83=4)))</f>
        <v>1</v>
      </c>
      <c r="L65" s="29" t="n">
        <f aca="false">IF(NOT(ISNUMBER($G65)),"",IFERROR(SUMPRODUCT(('Control Mapping'!$C$5:$C$83=D65)*'Control Mapping'!$E$5:$E$83*'Control Mapping'!$J$5:$J$83)/SUMPRODUCT(('Control Mapping'!$C$5:$C$83=D65)*'Control Mapping'!$E$5:$E$83*('Control Mapping'!$J$5:$J$83&gt;0)),""))</f>
        <v>2.3125</v>
      </c>
      <c r="M65" s="34" t="n">
        <f aca="false">IF(NOT(ISNUMBER($G65)),"",IF(J65=0,4,MAX(MATCH(L65,'Residual Config'!$E$11:$E$14,1),IF(K65&gt;0,'Residual Config'!$C$7,1))))</f>
        <v>3</v>
      </c>
      <c r="N65" s="7" t="str">
        <f aca="false">IF(NOT(ISNUMBER($G65)),"",IF(J65=0,"Ineffective (no key control)",INDEX('Residual Config'!$B$11:$B$14,M65)))</f>
        <v>Partially effective</v>
      </c>
      <c r="O65" s="36" t="n">
        <f aca="false">IF(NOT(ISNUMBER($G65)),"",IF(J65=0,0,SUMPRODUCT(('Control Mapping'!$C$5:$C$83=D65)*'Control Mapping'!$E$5:$E$83*(('Control Mapping'!$J$5:$J$83=1)*'Residual Config'!$D$11+('Control Mapping'!$J$5:$J$83=2)*'Residual Config'!$D$12+('Control Mapping'!$J$5:$J$83=3)*'Residual Config'!$D$13+('Control Mapping'!$J$5:$J$83=4)*'Residual Config'!$D$14))/SUMPRODUCT(('Control Mapping'!$C$5:$C$83=D65)*'Control Mapping'!$E$5:$E$83*('Control Mapping'!$J$5:$J$83&gt;0))))</f>
        <v>0.3375</v>
      </c>
      <c r="P65" s="31" t="n">
        <f aca="false">IF(NOT(ISNUMBER($G65)),"",INDEX('Residual Config'!$B$19:$E$23,6-G65,M65))</f>
        <v>3</v>
      </c>
      <c r="Q65" s="29" t="n">
        <f aca="false">IF(NOT(ISNUMBER($G65)),"",MAX(1,F65*(1-O65)))</f>
        <v>1.77639384920635</v>
      </c>
      <c r="R65" s="31" t="n">
        <f aca="false">IF(NOT(ISNUMBER($G65)),"",MAX(MATCH(Q65,Config!$D$5:$D$9,1),G65-'Residual Config'!$C$6))</f>
        <v>1</v>
      </c>
      <c r="S65" s="34" t="n">
        <f aca="false">IF(NOT(ISNUMBER($G65)),"",IF('Residual Config'!$C$5="Numeric",R65,P65))</f>
        <v>3</v>
      </c>
      <c r="T65" s="7" t="str">
        <f aca="false">IF(G65="N/A","N/A",IF(S65="","No data",INDEX(Config!$B$5:$B$9,S65)))</f>
        <v>Medium</v>
      </c>
      <c r="U65" s="32" t="n">
        <v>0</v>
      </c>
      <c r="V65" s="8"/>
      <c r="W65" s="33"/>
      <c r="X65" s="34" t="n">
        <f aca="false">IF(S65="","",IF(AND(W65="Y",U65&lt;&gt;0),MAX(1,MIN(5,S65+MAX(-Config!$C$27,MIN(Config!$C$27,U65)))),S65))</f>
        <v>3</v>
      </c>
      <c r="Y65" s="35" t="str">
        <f aca="false">IF(G65="N/A","N/A",IF(X65="","No data",INDEX(Config!$B$5:$B$9,X65)))</f>
        <v>Medium</v>
      </c>
      <c r="Z65" s="7" t="str">
        <f aca="false">IF(U65=0,"None",IF(W65="Y","Applied","Pending HO approval"))</f>
        <v>None</v>
      </c>
      <c r="AA65" s="12" t="str">
        <f aca="false">INDEX('Risk Taxonomy'!$G$5:$G$24,MATCH(D65,'Risk Taxonomy'!$A$5:$A$24,0))</f>
        <v>Very low</v>
      </c>
      <c r="AB65" s="7" t="str">
        <f aca="false">INDEX('Risk Taxonomy'!$H$5:$H$24,MATCH(D65,'Risk Taxonomy'!$A$5:$A$24,0))</f>
        <v>Medium-Low</v>
      </c>
      <c r="AC65" s="35" t="str">
        <f aca="false">IF(NOT(ISNUMBER(X65)),"",IF(X65&lt;=MATCH(AB65,Config!$B$5:$B$9,0),"Within",IF(OR(X65-MATCH(AB65,Config!$B$5:$B$9,0)&gt;=2,AND('Residual Config'!$C$8="Y",ISNUMBER(SEARCH("Zero",AA65)))),"Red","Amber")))</f>
        <v>Amber</v>
      </c>
      <c r="AD65" s="12" t="str">
        <f aca="false">IF(AC65="Red","Group CCO / CRO and Country CEO within 2 business days; action plan in 15 days; report to Board Risk &amp; Compliance Committee",IF(AC65="Amber","Country CO, risk owner and HO Administrator within 5 business days; action plan in 30 days",""))</f>
        <v>Country CO, risk owner and HO Administrator within 5 business days; action plan in 30 days</v>
      </c>
    </row>
    <row r="66" customFormat="false" ht="15" hidden="false" customHeight="false" outlineLevel="0" collapsed="false">
      <c r="A66" s="26" t="str">
        <f aca="false">Entities!$A$8</f>
        <v>JO-INS</v>
      </c>
      <c r="B66" s="12" t="str">
        <f aca="false">INDEX(Entities!$B$5:$B$34,MATCH(A66,Entities!$A$5:$A$34,0))</f>
        <v>Insurance subsidiary – Jordan</v>
      </c>
      <c r="C66" s="12" t="str">
        <f aca="false">INDEX(Entities!$D$5:$D$34,MATCH(A66,Entities!$A$5:$A$34,0))</f>
        <v>Jordan (home)</v>
      </c>
      <c r="D66" s="12" t="s">
        <v>267</v>
      </c>
      <c r="E66" s="12" t="str">
        <f aca="false">INDEX('Risk Taxonomy'!$B$5:$B$24,MATCH(D66,'Risk Taxonomy'!$A$5:$A$24,0))</f>
        <v>Terrorist financing</v>
      </c>
      <c r="F66" s="29" t="n">
        <f aca="false">IF(NOT(ISNUMBER(G66)),"",IFERROR(IF(MATCH(SUMIFS('FC Calculation'!$N$5:$N$214,'FC Calculation'!$A$5:$A$214,A66,'FC Calculation'!$D$5:$D$214,D66),Config!$D$5:$D$9,1)=G66,SUMIFS('FC Calculation'!$N$5:$N$214,'FC Calculation'!$A$5:$A$214,A66,'FC Calculation'!$D$5:$D$214,D66),G66),G66))</f>
        <v>2.4702380952381</v>
      </c>
      <c r="G66" s="34" t="n">
        <f aca="false">IF(COUNTIFS('FC Calculation'!$A$5:$A$214,A66,'FC Calculation'!$D$5:$D$214,D66,'FC Calculation'!$T$5:$T$214,"&gt;0")=0,"",SUMIFS('FC Calculation'!$T$5:$T$214,'FC Calculation'!$A$5:$A$214,A66,'FC Calculation'!$D$5:$D$214,D66))</f>
        <v>2</v>
      </c>
      <c r="H66" s="7" t="str">
        <f aca="false">IF(G66="N/A","N/A",IF(G66="","No data",INDEX(Config!$B$5:$B$9,G66)))</f>
        <v>Medium-Low</v>
      </c>
      <c r="I66" s="31" t="n">
        <f aca="false">IF(NOT(ISNUMBER($G66)),"",SUMPRODUCT(('Control Mapping'!$C$5:$C$83=D66)*('Control Mapping'!$J$5:$J$83&gt;0)))</f>
        <v>9</v>
      </c>
      <c r="J66" s="31" t="n">
        <f aca="false">IF(NOT(ISNUMBER($G66)),"",SUMPRODUCT(('Control Mapping'!$C$5:$C$83=D66)*('Control Mapping'!$F$5:$F$83="Y")*('Control Mapping'!$J$5:$J$83&gt;0)))</f>
        <v>7</v>
      </c>
      <c r="K66" s="31" t="n">
        <f aca="false">IF(NOT(ISNUMBER($G66)),"",SUMPRODUCT(('Control Mapping'!$C$5:$C$83=D66)*('Control Mapping'!$F$5:$F$83="Y")*('Control Mapping'!$J$5:$J$83=4)))</f>
        <v>1</v>
      </c>
      <c r="L66" s="29" t="n">
        <f aca="false">IF(NOT(ISNUMBER($G66)),"",IFERROR(SUMPRODUCT(('Control Mapping'!$C$5:$C$83=D66)*'Control Mapping'!$E$5:$E$83*'Control Mapping'!$J$5:$J$83)/SUMPRODUCT(('Control Mapping'!$C$5:$C$83=D66)*'Control Mapping'!$E$5:$E$83*('Control Mapping'!$J$5:$J$83&gt;0)),""))</f>
        <v>2.26666666666667</v>
      </c>
      <c r="M66" s="34" t="n">
        <f aca="false">IF(NOT(ISNUMBER($G66)),"",IF(J66=0,4,MAX(MATCH(L66,'Residual Config'!$E$11:$E$14,1),IF(K66&gt;0,'Residual Config'!$C$7,1))))</f>
        <v>3</v>
      </c>
      <c r="N66" s="7" t="str">
        <f aca="false">IF(NOT(ISNUMBER($G66)),"",IF(J66=0,"Ineffective (no key control)",INDEX('Residual Config'!$B$11:$B$14,M66)))</f>
        <v>Partially effective</v>
      </c>
      <c r="O66" s="36" t="n">
        <f aca="false">IF(NOT(ISNUMBER($G66)),"",IF(J66=0,0,SUMPRODUCT(('Control Mapping'!$C$5:$C$83=D66)*'Control Mapping'!$E$5:$E$83*(('Control Mapping'!$J$5:$J$83=1)*'Residual Config'!$D$11+('Control Mapping'!$J$5:$J$83=2)*'Residual Config'!$D$12+('Control Mapping'!$J$5:$J$83=3)*'Residual Config'!$D$13+('Control Mapping'!$J$5:$J$83=4)*'Residual Config'!$D$14))/SUMPRODUCT(('Control Mapping'!$C$5:$C$83=D66)*'Control Mapping'!$E$5:$E$83*('Control Mapping'!$J$5:$J$83&gt;0))))</f>
        <v>0.346666666666667</v>
      </c>
      <c r="P66" s="31" t="n">
        <f aca="false">IF(NOT(ISNUMBER($G66)),"",INDEX('Residual Config'!$B$19:$E$23,6-G66,M66))</f>
        <v>2</v>
      </c>
      <c r="Q66" s="29" t="n">
        <f aca="false">IF(NOT(ISNUMBER($G66)),"",MAX(1,F66*(1-O66)))</f>
        <v>1.61388888888889</v>
      </c>
      <c r="R66" s="31" t="n">
        <f aca="false">IF(NOT(ISNUMBER($G66)),"",MAX(MATCH(Q66,Config!$D$5:$D$9,1),G66-'Residual Config'!$C$6))</f>
        <v>1</v>
      </c>
      <c r="S66" s="34" t="n">
        <f aca="false">IF(NOT(ISNUMBER($G66)),"",IF('Residual Config'!$C$5="Numeric",R66,P66))</f>
        <v>2</v>
      </c>
      <c r="T66" s="7" t="str">
        <f aca="false">IF(G66="N/A","N/A",IF(S66="","No data",INDEX(Config!$B$5:$B$9,S66)))</f>
        <v>Medium-Low</v>
      </c>
      <c r="U66" s="32" t="n">
        <v>0</v>
      </c>
      <c r="V66" s="8"/>
      <c r="W66" s="33"/>
      <c r="X66" s="34" t="n">
        <f aca="false">IF(S66="","",IF(AND(W66="Y",U66&lt;&gt;0),MAX(1,MIN(5,S66+MAX(-Config!$C$27,MIN(Config!$C$27,U66)))),S66))</f>
        <v>2</v>
      </c>
      <c r="Y66" s="35" t="str">
        <f aca="false">IF(G66="N/A","N/A",IF(X66="","No data",INDEX(Config!$B$5:$B$9,X66)))</f>
        <v>Medium-Low</v>
      </c>
      <c r="Z66" s="7" t="str">
        <f aca="false">IF(U66=0,"None",IF(W66="Y","Applied","Pending HO approval"))</f>
        <v>None</v>
      </c>
      <c r="AA66" s="12" t="str">
        <f aca="false">INDEX('Risk Taxonomy'!$G$5:$G$24,MATCH(D66,'Risk Taxonomy'!$A$5:$A$24,0))</f>
        <v>Zero tolerance</v>
      </c>
      <c r="AB66" s="7" t="str">
        <f aca="false">INDEX('Risk Taxonomy'!$H$5:$H$24,MATCH(D66,'Risk Taxonomy'!$A$5:$A$24,0))</f>
        <v>Low</v>
      </c>
      <c r="AC66" s="35" t="str">
        <f aca="false">IF(NOT(ISNUMBER(X66)),"",IF(X66&lt;=MATCH(AB66,Config!$B$5:$B$9,0),"Within",IF(OR(X66-MATCH(AB66,Config!$B$5:$B$9,0)&gt;=2,AND('Residual Config'!$C$8="Y",ISNUMBER(SEARCH("Zero",AA66)))),"Red","Amber")))</f>
        <v>Amber</v>
      </c>
      <c r="AD66" s="12" t="str">
        <f aca="false">IF(AC66="Red","Group CCO / CRO and Country CEO within 2 business days; action plan in 15 days; report to Board Risk &amp; Compliance Committee",IF(AC66="Amber","Country CO, risk owner and HO Administrator within 5 business days; action plan in 30 days",""))</f>
        <v>Country CO, risk owner and HO Administrator within 5 business days; action plan in 30 days</v>
      </c>
    </row>
    <row r="67" customFormat="false" ht="15" hidden="false" customHeight="false" outlineLevel="0" collapsed="false">
      <c r="A67" s="26" t="str">
        <f aca="false">Entities!$A$8</f>
        <v>JO-INS</v>
      </c>
      <c r="B67" s="12" t="str">
        <f aca="false">INDEX(Entities!$B$5:$B$34,MATCH(A67,Entities!$A$5:$A$34,0))</f>
        <v>Insurance subsidiary – Jordan</v>
      </c>
      <c r="C67" s="12" t="str">
        <f aca="false">INDEX(Entities!$D$5:$D$34,MATCH(A67,Entities!$A$5:$A$34,0))</f>
        <v>Jordan (home)</v>
      </c>
      <c r="D67" s="12" t="s">
        <v>270</v>
      </c>
      <c r="E67" s="12" t="str">
        <f aca="false">INDEX('Risk Taxonomy'!$B$5:$B$24,MATCH(D67,'Risk Taxonomy'!$A$5:$A$24,0))</f>
        <v>Proliferation financing</v>
      </c>
      <c r="F67" s="29" t="n">
        <f aca="false">IF(NOT(ISNUMBER(G67)),"",IFERROR(IF(MATCH(SUMIFS('FC Calculation'!$N$5:$N$214,'FC Calculation'!$A$5:$A$214,A67,'FC Calculation'!$D$5:$D$214,D67),Config!$D$5:$D$9,1)=G67,SUMIFS('FC Calculation'!$N$5:$N$214,'FC Calculation'!$A$5:$A$214,A67,'FC Calculation'!$D$5:$D$214,D67),G67),G67))</f>
        <v>2.6875</v>
      </c>
      <c r="G67" s="34" t="n">
        <f aca="false">IF(COUNTIFS('FC Calculation'!$A$5:$A$214,A67,'FC Calculation'!$D$5:$D$214,D67,'FC Calculation'!$T$5:$T$214,"&gt;0")=0,"",SUMIFS('FC Calculation'!$T$5:$T$214,'FC Calculation'!$A$5:$A$214,A67,'FC Calculation'!$D$5:$D$214,D67))</f>
        <v>3</v>
      </c>
      <c r="H67" s="7" t="str">
        <f aca="false">IF(G67="N/A","N/A",IF(G67="","No data",INDEX(Config!$B$5:$B$9,G67)))</f>
        <v>Medium</v>
      </c>
      <c r="I67" s="31" t="n">
        <f aca="false">IF(NOT(ISNUMBER($G67)),"",SUMPRODUCT(('Control Mapping'!$C$5:$C$83=D67)*('Control Mapping'!$J$5:$J$83&gt;0)))</f>
        <v>3</v>
      </c>
      <c r="J67" s="31" t="n">
        <f aca="false">IF(NOT(ISNUMBER($G67)),"",SUMPRODUCT(('Control Mapping'!$C$5:$C$83=D67)*('Control Mapping'!$F$5:$F$83="Y")*('Control Mapping'!$J$5:$J$83&gt;0)))</f>
        <v>3</v>
      </c>
      <c r="K67" s="31" t="n">
        <f aca="false">IF(NOT(ISNUMBER($G67)),"",SUMPRODUCT(('Control Mapping'!$C$5:$C$83=D67)*('Control Mapping'!$F$5:$F$83="Y")*('Control Mapping'!$J$5:$J$83=4)))</f>
        <v>0</v>
      </c>
      <c r="L67" s="29" t="n">
        <f aca="false">IF(NOT(ISNUMBER($G67)),"",IFERROR(SUMPRODUCT(('Control Mapping'!$C$5:$C$83=D67)*'Control Mapping'!$E$5:$E$83*'Control Mapping'!$J$5:$J$83)/SUMPRODUCT(('Control Mapping'!$C$5:$C$83=D67)*'Control Mapping'!$E$5:$E$83*('Control Mapping'!$J$5:$J$83&gt;0)),""))</f>
        <v>2</v>
      </c>
      <c r="M67" s="34" t="n">
        <f aca="false">IF(NOT(ISNUMBER($G67)),"",IF(J67=0,4,MAX(MATCH(L67,'Residual Config'!$E$11:$E$14,1),IF(K67&gt;0,'Residual Config'!$C$7,1))))</f>
        <v>2</v>
      </c>
      <c r="N67" s="7" t="str">
        <f aca="false">IF(NOT(ISNUMBER($G67)),"",IF(J67=0,"Ineffective (no key control)",INDEX('Residual Config'!$B$11:$B$14,M67)))</f>
        <v>Largely effective</v>
      </c>
      <c r="O67" s="36" t="n">
        <f aca="false">IF(NOT(ISNUMBER($G67)),"",IF(J67=0,0,SUMPRODUCT(('Control Mapping'!$C$5:$C$83=D67)*'Control Mapping'!$E$5:$E$83*(('Control Mapping'!$J$5:$J$83=1)*'Residual Config'!$D$11+('Control Mapping'!$J$5:$J$83=2)*'Residual Config'!$D$12+('Control Mapping'!$J$5:$J$83=3)*'Residual Config'!$D$13+('Control Mapping'!$J$5:$J$83=4)*'Residual Config'!$D$14))/SUMPRODUCT(('Control Mapping'!$C$5:$C$83=D67)*'Control Mapping'!$E$5:$E$83*('Control Mapping'!$J$5:$J$83&gt;0))))</f>
        <v>0.4</v>
      </c>
      <c r="P67" s="31" t="n">
        <f aca="false">IF(NOT(ISNUMBER($G67)),"",INDEX('Residual Config'!$B$19:$E$23,6-G67,M67))</f>
        <v>2</v>
      </c>
      <c r="Q67" s="29" t="n">
        <f aca="false">IF(NOT(ISNUMBER($G67)),"",MAX(1,F67*(1-O67)))</f>
        <v>1.6125</v>
      </c>
      <c r="R67" s="31" t="n">
        <f aca="false">IF(NOT(ISNUMBER($G67)),"",MAX(MATCH(Q67,Config!$D$5:$D$9,1),G67-'Residual Config'!$C$6))</f>
        <v>1</v>
      </c>
      <c r="S67" s="34" t="n">
        <f aca="false">IF(NOT(ISNUMBER($G67)),"",IF('Residual Config'!$C$5="Numeric",R67,P67))</f>
        <v>2</v>
      </c>
      <c r="T67" s="7" t="str">
        <f aca="false">IF(G67="N/A","N/A",IF(S67="","No data",INDEX(Config!$B$5:$B$9,S67)))</f>
        <v>Medium-Low</v>
      </c>
      <c r="U67" s="32" t="n">
        <v>0</v>
      </c>
      <c r="V67" s="8"/>
      <c r="W67" s="33"/>
      <c r="X67" s="34" t="n">
        <f aca="false">IF(S67="","",IF(AND(W67="Y",U67&lt;&gt;0),MAX(1,MIN(5,S67+MAX(-Config!$C$27,MIN(Config!$C$27,U67)))),S67))</f>
        <v>2</v>
      </c>
      <c r="Y67" s="35" t="str">
        <f aca="false">IF(G67="N/A","N/A",IF(X67="","No data",INDEX(Config!$B$5:$B$9,X67)))</f>
        <v>Medium-Low</v>
      </c>
      <c r="Z67" s="7" t="str">
        <f aca="false">IF(U67=0,"None",IF(W67="Y","Applied","Pending HO approval"))</f>
        <v>None</v>
      </c>
      <c r="AA67" s="12" t="str">
        <f aca="false">INDEX('Risk Taxonomy'!$G$5:$G$24,MATCH(D67,'Risk Taxonomy'!$A$5:$A$24,0))</f>
        <v>Zero tolerance</v>
      </c>
      <c r="AB67" s="7" t="str">
        <f aca="false">INDEX('Risk Taxonomy'!$H$5:$H$24,MATCH(D67,'Risk Taxonomy'!$A$5:$A$24,0))</f>
        <v>Low</v>
      </c>
      <c r="AC67" s="35" t="str">
        <f aca="false">IF(NOT(ISNUMBER(X67)),"",IF(X67&lt;=MATCH(AB67,Config!$B$5:$B$9,0),"Within",IF(OR(X67-MATCH(AB67,Config!$B$5:$B$9,0)&gt;=2,AND('Residual Config'!$C$8="Y",ISNUMBER(SEARCH("Zero",AA67)))),"Red","Amber")))</f>
        <v>Amber</v>
      </c>
      <c r="AD67" s="12" t="str">
        <f aca="false">IF(AC67="Red","Group CCO / CRO and Country CEO within 2 business days; action plan in 15 days; report to Board Risk &amp; Compliance Committee",IF(AC67="Amber","Country CO, risk owner and HO Administrator within 5 business days; action plan in 30 days",""))</f>
        <v>Country CO, risk owner and HO Administrator within 5 business days; action plan in 30 days</v>
      </c>
    </row>
    <row r="68" customFormat="false" ht="15" hidden="false" customHeight="false" outlineLevel="0" collapsed="false">
      <c r="A68" s="26" t="str">
        <f aca="false">Entities!$A$8</f>
        <v>JO-INS</v>
      </c>
      <c r="B68" s="12" t="str">
        <f aca="false">INDEX(Entities!$B$5:$B$34,MATCH(A68,Entities!$A$5:$A$34,0))</f>
        <v>Insurance subsidiary – Jordan</v>
      </c>
      <c r="C68" s="12" t="str">
        <f aca="false">INDEX(Entities!$D$5:$D$34,MATCH(A68,Entities!$A$5:$A$34,0))</f>
        <v>Jordan (home)</v>
      </c>
      <c r="D68" s="12" t="s">
        <v>272</v>
      </c>
      <c r="E68" s="12" t="str">
        <f aca="false">INDEX('Risk Taxonomy'!$B$5:$B$24,MATCH(D68,'Risk Taxonomy'!$A$5:$A$24,0))</f>
        <v>Sanctions</v>
      </c>
      <c r="F68" s="29" t="n">
        <f aca="false">IF(NOT(ISNUMBER(G68)),"",IFERROR(IF(MATCH(SUMIFS('FC Calculation'!$N$5:$N$214,'FC Calculation'!$A$5:$A$214,A68,'FC Calculation'!$D$5:$D$214,D68),Config!$D$5:$D$9,1)=G68,SUMIFS('FC Calculation'!$N$5:$N$214,'FC Calculation'!$A$5:$A$214,A68,'FC Calculation'!$D$5:$D$214,D68),G68),G68))</f>
        <v>2.93880952380952</v>
      </c>
      <c r="G68" s="34" t="n">
        <f aca="false">IF(COUNTIFS('FC Calculation'!$A$5:$A$214,A68,'FC Calculation'!$D$5:$D$214,D68,'FC Calculation'!$T$5:$T$214,"&gt;0")=0,"",SUMIFS('FC Calculation'!$T$5:$T$214,'FC Calculation'!$A$5:$A$214,A68,'FC Calculation'!$D$5:$D$214,D68))</f>
        <v>3</v>
      </c>
      <c r="H68" s="7" t="str">
        <f aca="false">IF(G68="N/A","N/A",IF(G68="","No data",INDEX(Config!$B$5:$B$9,G68)))</f>
        <v>Medium</v>
      </c>
      <c r="I68" s="31" t="n">
        <f aca="false">IF(NOT(ISNUMBER($G68)),"",SUMPRODUCT(('Control Mapping'!$C$5:$C$83=D68)*('Control Mapping'!$J$5:$J$83&gt;0)))</f>
        <v>5</v>
      </c>
      <c r="J68" s="31" t="n">
        <f aca="false">IF(NOT(ISNUMBER($G68)),"",SUMPRODUCT(('Control Mapping'!$C$5:$C$83=D68)*('Control Mapping'!$F$5:$F$83="Y")*('Control Mapping'!$J$5:$J$83&gt;0)))</f>
        <v>3</v>
      </c>
      <c r="K68" s="31" t="n">
        <f aca="false">IF(NOT(ISNUMBER($G68)),"",SUMPRODUCT(('Control Mapping'!$C$5:$C$83=D68)*('Control Mapping'!$F$5:$F$83="Y")*('Control Mapping'!$J$5:$J$83=4)))</f>
        <v>0</v>
      </c>
      <c r="L68" s="29" t="n">
        <f aca="false">IF(NOT(ISNUMBER($G68)),"",IFERROR(SUMPRODUCT(('Control Mapping'!$C$5:$C$83=D68)*'Control Mapping'!$E$5:$E$83*'Control Mapping'!$J$5:$J$83)/SUMPRODUCT(('Control Mapping'!$C$5:$C$83=D68)*'Control Mapping'!$E$5:$E$83*('Control Mapping'!$J$5:$J$83&gt;0)),""))</f>
        <v>2</v>
      </c>
      <c r="M68" s="34" t="n">
        <f aca="false">IF(NOT(ISNUMBER($G68)),"",IF(J68=0,4,MAX(MATCH(L68,'Residual Config'!$E$11:$E$14,1),IF(K68&gt;0,'Residual Config'!$C$7,1))))</f>
        <v>2</v>
      </c>
      <c r="N68" s="7" t="str">
        <f aca="false">IF(NOT(ISNUMBER($G68)),"",IF(J68=0,"Ineffective (no key control)",INDEX('Residual Config'!$B$11:$B$14,M68)))</f>
        <v>Largely effective</v>
      </c>
      <c r="O68" s="36" t="n">
        <f aca="false">IF(NOT(ISNUMBER($G68)),"",IF(J68=0,0,SUMPRODUCT(('Control Mapping'!$C$5:$C$83=D68)*'Control Mapping'!$E$5:$E$83*(('Control Mapping'!$J$5:$J$83=1)*'Residual Config'!$D$11+('Control Mapping'!$J$5:$J$83=2)*'Residual Config'!$D$12+('Control Mapping'!$J$5:$J$83=3)*'Residual Config'!$D$13+('Control Mapping'!$J$5:$J$83=4)*'Residual Config'!$D$14))/SUMPRODUCT(('Control Mapping'!$C$5:$C$83=D68)*'Control Mapping'!$E$5:$E$83*('Control Mapping'!$J$5:$J$83&gt;0))))</f>
        <v>0.4</v>
      </c>
      <c r="P68" s="31" t="n">
        <f aca="false">IF(NOT(ISNUMBER($G68)),"",INDEX('Residual Config'!$B$19:$E$23,6-G68,M68))</f>
        <v>2</v>
      </c>
      <c r="Q68" s="29" t="n">
        <f aca="false">IF(NOT(ISNUMBER($G68)),"",MAX(1,F68*(1-O68)))</f>
        <v>1.76328571428571</v>
      </c>
      <c r="R68" s="31" t="n">
        <f aca="false">IF(NOT(ISNUMBER($G68)),"",MAX(MATCH(Q68,Config!$D$5:$D$9,1),G68-'Residual Config'!$C$6))</f>
        <v>1</v>
      </c>
      <c r="S68" s="34" t="n">
        <f aca="false">IF(NOT(ISNUMBER($G68)),"",IF('Residual Config'!$C$5="Numeric",R68,P68))</f>
        <v>2</v>
      </c>
      <c r="T68" s="7" t="str">
        <f aca="false">IF(G68="N/A","N/A",IF(S68="","No data",INDEX(Config!$B$5:$B$9,S68)))</f>
        <v>Medium-Low</v>
      </c>
      <c r="U68" s="32" t="n">
        <v>0</v>
      </c>
      <c r="V68" s="8"/>
      <c r="W68" s="33"/>
      <c r="X68" s="34" t="n">
        <f aca="false">IF(S68="","",IF(AND(W68="Y",U68&lt;&gt;0),MAX(1,MIN(5,S68+MAX(-Config!$C$27,MIN(Config!$C$27,U68)))),S68))</f>
        <v>2</v>
      </c>
      <c r="Y68" s="35" t="str">
        <f aca="false">IF(G68="N/A","N/A",IF(X68="","No data",INDEX(Config!$B$5:$B$9,X68)))</f>
        <v>Medium-Low</v>
      </c>
      <c r="Z68" s="7" t="str">
        <f aca="false">IF(U68=0,"None",IF(W68="Y","Applied","Pending HO approval"))</f>
        <v>None</v>
      </c>
      <c r="AA68" s="12" t="str">
        <f aca="false">INDEX('Risk Taxonomy'!$G$5:$G$24,MATCH(D68,'Risk Taxonomy'!$A$5:$A$24,0))</f>
        <v>Zero tolerance</v>
      </c>
      <c r="AB68" s="7" t="str">
        <f aca="false">INDEX('Risk Taxonomy'!$H$5:$H$24,MATCH(D68,'Risk Taxonomy'!$A$5:$A$24,0))</f>
        <v>Low</v>
      </c>
      <c r="AC68" s="35" t="str">
        <f aca="false">IF(NOT(ISNUMBER(X68)),"",IF(X68&lt;=MATCH(AB68,Config!$B$5:$B$9,0),"Within",IF(OR(X68-MATCH(AB68,Config!$B$5:$B$9,0)&gt;=2,AND('Residual Config'!$C$8="Y",ISNUMBER(SEARCH("Zero",AA68)))),"Red","Amber")))</f>
        <v>Amber</v>
      </c>
      <c r="AD68" s="12" t="str">
        <f aca="false">IF(AC68="Red","Group CCO / CRO and Country CEO within 2 business days; action plan in 15 days; report to Board Risk &amp; Compliance Committee",IF(AC68="Amber","Country CO, risk owner and HO Administrator within 5 business days; action plan in 30 days",""))</f>
        <v>Country CO, risk owner and HO Administrator within 5 business days; action plan in 30 days</v>
      </c>
    </row>
    <row r="69" customFormat="false" ht="15" hidden="false" customHeight="false" outlineLevel="0" collapsed="false">
      <c r="A69" s="26" t="str">
        <f aca="false">Entities!$A$8</f>
        <v>JO-INS</v>
      </c>
      <c r="B69" s="12" t="str">
        <f aca="false">INDEX(Entities!$B$5:$B$34,MATCH(A69,Entities!$A$5:$A$34,0))</f>
        <v>Insurance subsidiary – Jordan</v>
      </c>
      <c r="C69" s="12" t="str">
        <f aca="false">INDEX(Entities!$D$5:$D$34,MATCH(A69,Entities!$A$5:$A$34,0))</f>
        <v>Jordan (home)</v>
      </c>
      <c r="D69" s="12" t="s">
        <v>275</v>
      </c>
      <c r="E69" s="12" t="str">
        <f aca="false">INDEX('Risk Taxonomy'!$B$5:$B$24,MATCH(D69,'Risk Taxonomy'!$A$5:$A$24,0))</f>
        <v>Bribery and corruption</v>
      </c>
      <c r="F69" s="29" t="n">
        <f aca="false">IF(NOT(ISNUMBER(G69)),"",IFERROR(IF(MATCH(SUMIFS('FC Calculation'!$N$5:$N$214,'FC Calculation'!$A$5:$A$214,A69,'FC Calculation'!$D$5:$D$214,D69),Config!$D$5:$D$9,1)=G69,SUMIFS('FC Calculation'!$N$5:$N$214,'FC Calculation'!$A$5:$A$214,A69,'FC Calculation'!$D$5:$D$214,D69),G69),G69))</f>
        <v>3.025</v>
      </c>
      <c r="G69" s="34" t="n">
        <f aca="false">IF(COUNTIFS('FC Calculation'!$A$5:$A$214,A69,'FC Calculation'!$D$5:$D$214,D69,'FC Calculation'!$T$5:$T$214,"&gt;0")=0,"",SUMIFS('FC Calculation'!$T$5:$T$214,'FC Calculation'!$A$5:$A$214,A69,'FC Calculation'!$D$5:$D$214,D69))</f>
        <v>3</v>
      </c>
      <c r="H69" s="7" t="str">
        <f aca="false">IF(G69="N/A","N/A",IF(G69="","No data",INDEX(Config!$B$5:$B$9,G69)))</f>
        <v>Medium</v>
      </c>
      <c r="I69" s="31" t="n">
        <f aca="false">IF(NOT(ISNUMBER($G69)),"",SUMPRODUCT(('Control Mapping'!$C$5:$C$83=D69)*('Control Mapping'!$J$5:$J$83&gt;0)))</f>
        <v>5</v>
      </c>
      <c r="J69" s="31" t="n">
        <f aca="false">IF(NOT(ISNUMBER($G69)),"",SUMPRODUCT(('Control Mapping'!$C$5:$C$83=D69)*('Control Mapping'!$F$5:$F$83="Y")*('Control Mapping'!$J$5:$J$83&gt;0)))</f>
        <v>2</v>
      </c>
      <c r="K69" s="31" t="n">
        <f aca="false">IF(NOT(ISNUMBER($G69)),"",SUMPRODUCT(('Control Mapping'!$C$5:$C$83=D69)*('Control Mapping'!$F$5:$F$83="Y")*('Control Mapping'!$J$5:$J$83=4)))</f>
        <v>0</v>
      </c>
      <c r="L69" s="29" t="n">
        <f aca="false">IF(NOT(ISNUMBER($G69)),"",IFERROR(SUMPRODUCT(('Control Mapping'!$C$5:$C$83=D69)*'Control Mapping'!$E$5:$E$83*'Control Mapping'!$J$5:$J$83)/SUMPRODUCT(('Control Mapping'!$C$5:$C$83=D69)*'Control Mapping'!$E$5:$E$83*('Control Mapping'!$J$5:$J$83&gt;0)),""))</f>
        <v>2.55555555555556</v>
      </c>
      <c r="M69" s="34" t="n">
        <f aca="false">IF(NOT(ISNUMBER($G69)),"",IF(J69=0,4,MAX(MATCH(L69,'Residual Config'!$E$11:$E$14,1),IF(K69&gt;0,'Residual Config'!$C$7,1))))</f>
        <v>3</v>
      </c>
      <c r="N69" s="7" t="str">
        <f aca="false">IF(NOT(ISNUMBER($G69)),"",IF(J69=0,"Ineffective (no key control)",INDEX('Residual Config'!$B$11:$B$14,M69)))</f>
        <v>Partially effective</v>
      </c>
      <c r="O69" s="36" t="n">
        <f aca="false">IF(NOT(ISNUMBER($G69)),"",IF(J69=0,0,SUMPRODUCT(('Control Mapping'!$C$5:$C$83=D69)*'Control Mapping'!$E$5:$E$83*(('Control Mapping'!$J$5:$J$83=1)*'Residual Config'!$D$11+('Control Mapping'!$J$5:$J$83=2)*'Residual Config'!$D$12+('Control Mapping'!$J$5:$J$83=3)*'Residual Config'!$D$13+('Control Mapping'!$J$5:$J$83=4)*'Residual Config'!$D$14))/SUMPRODUCT(('Control Mapping'!$C$5:$C$83=D69)*'Control Mapping'!$E$5:$E$83*('Control Mapping'!$J$5:$J$83&gt;0))))</f>
        <v>0.288888888888889</v>
      </c>
      <c r="P69" s="31" t="n">
        <f aca="false">IF(NOT(ISNUMBER($G69)),"",INDEX('Residual Config'!$B$19:$E$23,6-G69,M69))</f>
        <v>3</v>
      </c>
      <c r="Q69" s="29" t="n">
        <f aca="false">IF(NOT(ISNUMBER($G69)),"",MAX(1,F69*(1-O69)))</f>
        <v>2.15111111111111</v>
      </c>
      <c r="R69" s="31" t="n">
        <f aca="false">IF(NOT(ISNUMBER($G69)),"",MAX(MATCH(Q69,Config!$D$5:$D$9,1),G69-'Residual Config'!$C$6))</f>
        <v>2</v>
      </c>
      <c r="S69" s="34" t="n">
        <f aca="false">IF(NOT(ISNUMBER($G69)),"",IF('Residual Config'!$C$5="Numeric",R69,P69))</f>
        <v>3</v>
      </c>
      <c r="T69" s="7" t="str">
        <f aca="false">IF(G69="N/A","N/A",IF(S69="","No data",INDEX(Config!$B$5:$B$9,S69)))</f>
        <v>Medium</v>
      </c>
      <c r="U69" s="32" t="n">
        <v>0</v>
      </c>
      <c r="V69" s="8"/>
      <c r="W69" s="33"/>
      <c r="X69" s="34" t="n">
        <f aca="false">IF(S69="","",IF(AND(W69="Y",U69&lt;&gt;0),MAX(1,MIN(5,S69+MAX(-Config!$C$27,MIN(Config!$C$27,U69)))),S69))</f>
        <v>3</v>
      </c>
      <c r="Y69" s="35" t="str">
        <f aca="false">IF(G69="N/A","N/A",IF(X69="","No data",INDEX(Config!$B$5:$B$9,X69)))</f>
        <v>Medium</v>
      </c>
      <c r="Z69" s="7" t="str">
        <f aca="false">IF(U69=0,"None",IF(W69="Y","Applied","Pending HO approval"))</f>
        <v>None</v>
      </c>
      <c r="AA69" s="12" t="str">
        <f aca="false">INDEX('Risk Taxonomy'!$G$5:$G$24,MATCH(D69,'Risk Taxonomy'!$A$5:$A$24,0))</f>
        <v>Zero tolerance</v>
      </c>
      <c r="AB69" s="7" t="str">
        <f aca="false">INDEX('Risk Taxonomy'!$H$5:$H$24,MATCH(D69,'Risk Taxonomy'!$A$5:$A$24,0))</f>
        <v>Low</v>
      </c>
      <c r="AC69" s="35" t="str">
        <f aca="false">IF(NOT(ISNUMBER(X69)),"",IF(X69&lt;=MATCH(AB69,Config!$B$5:$B$9,0),"Within",IF(OR(X69-MATCH(AB69,Config!$B$5:$B$9,0)&gt;=2,AND('Residual Config'!$C$8="Y",ISNUMBER(SEARCH("Zero",AA69)))),"Red","Amber")))</f>
        <v>Red</v>
      </c>
      <c r="AD69" s="12" t="str">
        <f aca="false">IF(AC69="Red","Group CCO / CRO and Country CEO within 2 business days; action plan in 15 days; report to Board Risk &amp; Compliance Committee",IF(AC69="Amber","Country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70" customFormat="false" ht="15" hidden="false" customHeight="false" outlineLevel="0" collapsed="false">
      <c r="A70" s="26" t="str">
        <f aca="false">Entities!$A$8</f>
        <v>JO-INS</v>
      </c>
      <c r="B70" s="12" t="str">
        <f aca="false">INDEX(Entities!$B$5:$B$34,MATCH(A70,Entities!$A$5:$A$34,0))</f>
        <v>Insurance subsidiary – Jordan</v>
      </c>
      <c r="C70" s="12" t="str">
        <f aca="false">INDEX(Entities!$D$5:$D$34,MATCH(A70,Entities!$A$5:$A$34,0))</f>
        <v>Jordan (home)</v>
      </c>
      <c r="D70" s="12" t="s">
        <v>278</v>
      </c>
      <c r="E70" s="12" t="str">
        <f aca="false">INDEX('Risk Taxonomy'!$B$5:$B$24,MATCH(D70,'Risk Taxonomy'!$A$5:$A$24,0))</f>
        <v>Fraud</v>
      </c>
      <c r="F70" s="29" t="n">
        <f aca="false">IF(NOT(ISNUMBER(G70)),"",IFERROR(IF(MATCH(SUMIFS('FC Calculation'!$N$5:$N$214,'FC Calculation'!$A$5:$A$214,A70,'FC Calculation'!$D$5:$D$214,D70),Config!$D$5:$D$9,1)=G70,SUMIFS('FC Calculation'!$N$5:$N$214,'FC Calculation'!$A$5:$A$214,A70,'FC Calculation'!$D$5:$D$214,D70),G70),G70))</f>
        <v>2.12666666666667</v>
      </c>
      <c r="G70" s="34" t="n">
        <f aca="false">IF(COUNTIFS('FC Calculation'!$A$5:$A$214,A70,'FC Calculation'!$D$5:$D$214,D70,'FC Calculation'!$T$5:$T$214,"&gt;0")=0,"",SUMIFS('FC Calculation'!$T$5:$T$214,'FC Calculation'!$A$5:$A$214,A70,'FC Calculation'!$D$5:$D$214,D70))</f>
        <v>2</v>
      </c>
      <c r="H70" s="7" t="str">
        <f aca="false">IF(G70="N/A","N/A",IF(G70="","No data",INDEX(Config!$B$5:$B$9,G70)))</f>
        <v>Medium-Low</v>
      </c>
      <c r="I70" s="31" t="n">
        <f aca="false">IF(NOT(ISNUMBER($G70)),"",SUMPRODUCT(('Control Mapping'!$C$5:$C$83=D70)*('Control Mapping'!$J$5:$J$83&gt;0)))</f>
        <v>4</v>
      </c>
      <c r="J70" s="31" t="n">
        <f aca="false">IF(NOT(ISNUMBER($G70)),"",SUMPRODUCT(('Control Mapping'!$C$5:$C$83=D70)*('Control Mapping'!$F$5:$F$83="Y")*('Control Mapping'!$J$5:$J$83&gt;0)))</f>
        <v>3</v>
      </c>
      <c r="K70" s="31" t="n">
        <f aca="false">IF(NOT(ISNUMBER($G70)),"",SUMPRODUCT(('Control Mapping'!$C$5:$C$83=D70)*('Control Mapping'!$F$5:$F$83="Y")*('Control Mapping'!$J$5:$J$83=4)))</f>
        <v>0</v>
      </c>
      <c r="L70" s="29" t="n">
        <f aca="false">IF(NOT(ISNUMBER($G70)),"",IFERROR(SUMPRODUCT(('Control Mapping'!$C$5:$C$83=D70)*'Control Mapping'!$E$5:$E$83*'Control Mapping'!$J$5:$J$83)/SUMPRODUCT(('Control Mapping'!$C$5:$C$83=D70)*'Control Mapping'!$E$5:$E$83*('Control Mapping'!$J$5:$J$83&gt;0)),""))</f>
        <v>2.16666666666667</v>
      </c>
      <c r="M70" s="34" t="n">
        <f aca="false">IF(NOT(ISNUMBER($G70)),"",IF(J70=0,4,MAX(MATCH(L70,'Residual Config'!$E$11:$E$14,1),IF(K70&gt;0,'Residual Config'!$C$7,1))))</f>
        <v>2</v>
      </c>
      <c r="N70" s="7" t="str">
        <f aca="false">IF(NOT(ISNUMBER($G70)),"",IF(J70=0,"Ineffective (no key control)",INDEX('Residual Config'!$B$11:$B$14,M70)))</f>
        <v>Largely effective</v>
      </c>
      <c r="O70" s="36" t="n">
        <f aca="false">IF(NOT(ISNUMBER($G70)),"",IF(J70=0,0,SUMPRODUCT(('Control Mapping'!$C$5:$C$83=D70)*'Control Mapping'!$E$5:$E$83*(('Control Mapping'!$J$5:$J$83=1)*'Residual Config'!$D$11+('Control Mapping'!$J$5:$J$83=2)*'Residual Config'!$D$12+('Control Mapping'!$J$5:$J$83=3)*'Residual Config'!$D$13+('Control Mapping'!$J$5:$J$83=4)*'Residual Config'!$D$14))/SUMPRODUCT(('Control Mapping'!$C$5:$C$83=D70)*'Control Mapping'!$E$5:$E$83*('Control Mapping'!$J$5:$J$83&gt;0))))</f>
        <v>0.366666666666667</v>
      </c>
      <c r="P70" s="31" t="n">
        <f aca="false">IF(NOT(ISNUMBER($G70)),"",INDEX('Residual Config'!$B$19:$E$23,6-G70,M70))</f>
        <v>1</v>
      </c>
      <c r="Q70" s="29" t="n">
        <f aca="false">IF(NOT(ISNUMBER($G70)),"",MAX(1,F70*(1-O70)))</f>
        <v>1.34688888888889</v>
      </c>
      <c r="R70" s="31" t="n">
        <f aca="false">IF(NOT(ISNUMBER($G70)),"",MAX(MATCH(Q70,Config!$D$5:$D$9,1),G70-'Residual Config'!$C$6))</f>
        <v>1</v>
      </c>
      <c r="S70" s="34" t="n">
        <f aca="false">IF(NOT(ISNUMBER($G70)),"",IF('Residual Config'!$C$5="Numeric",R70,P70))</f>
        <v>1</v>
      </c>
      <c r="T70" s="7" t="str">
        <f aca="false">IF(G70="N/A","N/A",IF(S70="","No data",INDEX(Config!$B$5:$B$9,S70)))</f>
        <v>Low</v>
      </c>
      <c r="U70" s="32" t="n">
        <v>0</v>
      </c>
      <c r="V70" s="8"/>
      <c r="W70" s="33"/>
      <c r="X70" s="34" t="n">
        <f aca="false">IF(S70="","",IF(AND(W70="Y",U70&lt;&gt;0),MAX(1,MIN(5,S70+MAX(-Config!$C$27,MIN(Config!$C$27,U70)))),S70))</f>
        <v>1</v>
      </c>
      <c r="Y70" s="35" t="str">
        <f aca="false">IF(G70="N/A","N/A",IF(X70="","No data",INDEX(Config!$B$5:$B$9,X70)))</f>
        <v>Low</v>
      </c>
      <c r="Z70" s="7" t="str">
        <f aca="false">IF(U70=0,"None",IF(W70="Y","Applied","Pending HO approval"))</f>
        <v>None</v>
      </c>
      <c r="AA70" s="12" t="str">
        <f aca="false">INDEX('Risk Taxonomy'!$G$5:$G$24,MATCH(D70,'Risk Taxonomy'!$A$5:$A$24,0))</f>
        <v>Low</v>
      </c>
      <c r="AB70" s="7" t="str">
        <f aca="false">INDEX('Risk Taxonomy'!$H$5:$H$24,MATCH(D70,'Risk Taxonomy'!$A$5:$A$24,0))</f>
        <v>Medium</v>
      </c>
      <c r="AC70" s="35" t="str">
        <f aca="false">IF(NOT(ISNUMBER(X70)),"",IF(X70&lt;=MATCH(AB70,Config!$B$5:$B$9,0),"Within",IF(OR(X70-MATCH(AB70,Config!$B$5:$B$9,0)&gt;=2,AND('Residual Config'!$C$8="Y",ISNUMBER(SEARCH("Zero",AA70)))),"Red","Amber")))</f>
        <v>Within</v>
      </c>
      <c r="AD70" s="12" t="str">
        <f aca="false">IF(AC70="Red","Group CCO / CRO and Country CEO within 2 business days; action plan in 15 days; report to Board Risk &amp; Compliance Committee",IF(AC70="Amber","Country CO, risk owner and HO Administrator within 5 business days; action plan in 30 days",""))</f>
        <v/>
      </c>
    </row>
    <row r="71" customFormat="false" ht="15" hidden="false" customHeight="false" outlineLevel="0" collapsed="false">
      <c r="A71" s="26" t="str">
        <f aca="false">Entities!$A$8</f>
        <v>JO-INS</v>
      </c>
      <c r="B71" s="12" t="str">
        <f aca="false">INDEX(Entities!$B$5:$B$34,MATCH(A71,Entities!$A$5:$A$34,0))</f>
        <v>Insurance subsidiary – Jordan</v>
      </c>
      <c r="C71" s="12" t="str">
        <f aca="false">INDEX(Entities!$D$5:$D$34,MATCH(A71,Entities!$A$5:$A$34,0))</f>
        <v>Jordan (home)</v>
      </c>
      <c r="D71" s="12" t="s">
        <v>281</v>
      </c>
      <c r="E71" s="12" t="str">
        <f aca="false">INDEX('Risk Taxonomy'!$B$5:$B$24,MATCH(D71,'Risk Taxonomy'!$A$5:$A$24,0))</f>
        <v>Tax evasion and tax transparency</v>
      </c>
      <c r="F71" s="29" t="n">
        <f aca="false">IF(NOT(ISNUMBER(G71)),"",IFERROR(IF(MATCH(SUMIFS('FC Calculation'!$N$5:$N$214,'FC Calculation'!$A$5:$A$214,A71,'FC Calculation'!$D$5:$D$214,D71),Config!$D$5:$D$9,1)=G71,SUMIFS('FC Calculation'!$N$5:$N$214,'FC Calculation'!$A$5:$A$214,A71,'FC Calculation'!$D$5:$D$214,D71),G71),G71))</f>
        <v>2.92388888888889</v>
      </c>
      <c r="G71" s="34" t="n">
        <f aca="false">IF(COUNTIFS('FC Calculation'!$A$5:$A$214,A71,'FC Calculation'!$D$5:$D$214,D71,'FC Calculation'!$T$5:$T$214,"&gt;0")=0,"",SUMIFS('FC Calculation'!$T$5:$T$214,'FC Calculation'!$A$5:$A$214,A71,'FC Calculation'!$D$5:$D$214,D71))</f>
        <v>3</v>
      </c>
      <c r="H71" s="7" t="str">
        <f aca="false">IF(G71="N/A","N/A",IF(G71="","No data",INDEX(Config!$B$5:$B$9,G71)))</f>
        <v>Medium</v>
      </c>
      <c r="I71" s="31" t="n">
        <f aca="false">IF(NOT(ISNUMBER($G71)),"",SUMPRODUCT(('Control Mapping'!$C$5:$C$83=D71)*('Control Mapping'!$J$5:$J$83&gt;0)))</f>
        <v>5</v>
      </c>
      <c r="J71" s="31" t="n">
        <f aca="false">IF(NOT(ISNUMBER($G71)),"",SUMPRODUCT(('Control Mapping'!$C$5:$C$83=D71)*('Control Mapping'!$F$5:$F$83="Y")*('Control Mapping'!$J$5:$J$83&gt;0)))</f>
        <v>4</v>
      </c>
      <c r="K71" s="31" t="n">
        <f aca="false">IF(NOT(ISNUMBER($G71)),"",SUMPRODUCT(('Control Mapping'!$C$5:$C$83=D71)*('Control Mapping'!$F$5:$F$83="Y")*('Control Mapping'!$J$5:$J$83=4)))</f>
        <v>1</v>
      </c>
      <c r="L71" s="29" t="n">
        <f aca="false">IF(NOT(ISNUMBER($G71)),"",IFERROR(SUMPRODUCT(('Control Mapping'!$C$5:$C$83=D71)*'Control Mapping'!$E$5:$E$83*'Control Mapping'!$J$5:$J$83)/SUMPRODUCT(('Control Mapping'!$C$5:$C$83=D71)*'Control Mapping'!$E$5:$E$83*('Control Mapping'!$J$5:$J$83&gt;0)),""))</f>
        <v>2.66666666666667</v>
      </c>
      <c r="M71" s="34" t="n">
        <f aca="false">IF(NOT(ISNUMBER($G71)),"",IF(J71=0,4,MAX(MATCH(L71,'Residual Config'!$E$11:$E$14,1),IF(K71&gt;0,'Residual Config'!$C$7,1))))</f>
        <v>3</v>
      </c>
      <c r="N71" s="7" t="str">
        <f aca="false">IF(NOT(ISNUMBER($G71)),"",IF(J71=0,"Ineffective (no key control)",INDEX('Residual Config'!$B$11:$B$14,M71)))</f>
        <v>Partially effective</v>
      </c>
      <c r="O71" s="36" t="n">
        <f aca="false">IF(NOT(ISNUMBER($G71)),"",IF(J71=0,0,SUMPRODUCT(('Control Mapping'!$C$5:$C$83=D71)*'Control Mapping'!$E$5:$E$83*(('Control Mapping'!$J$5:$J$83=1)*'Residual Config'!$D$11+('Control Mapping'!$J$5:$J$83=2)*'Residual Config'!$D$12+('Control Mapping'!$J$5:$J$83=3)*'Residual Config'!$D$13+('Control Mapping'!$J$5:$J$83=4)*'Residual Config'!$D$14))/SUMPRODUCT(('Control Mapping'!$C$5:$C$83=D71)*'Control Mapping'!$E$5:$E$83*('Control Mapping'!$J$5:$J$83&gt;0))))</f>
        <v>0.266666666666667</v>
      </c>
      <c r="P71" s="31" t="n">
        <f aca="false">IF(NOT(ISNUMBER($G71)),"",INDEX('Residual Config'!$B$19:$E$23,6-G71,M71))</f>
        <v>3</v>
      </c>
      <c r="Q71" s="29" t="n">
        <f aca="false">IF(NOT(ISNUMBER($G71)),"",MAX(1,F71*(1-O71)))</f>
        <v>2.14418518518519</v>
      </c>
      <c r="R71" s="31" t="n">
        <f aca="false">IF(NOT(ISNUMBER($G71)),"",MAX(MATCH(Q71,Config!$D$5:$D$9,1),G71-'Residual Config'!$C$6))</f>
        <v>2</v>
      </c>
      <c r="S71" s="34" t="n">
        <f aca="false">IF(NOT(ISNUMBER($G71)),"",IF('Residual Config'!$C$5="Numeric",R71,P71))</f>
        <v>3</v>
      </c>
      <c r="T71" s="7" t="str">
        <f aca="false">IF(G71="N/A","N/A",IF(S71="","No data",INDEX(Config!$B$5:$B$9,S71)))</f>
        <v>Medium</v>
      </c>
      <c r="U71" s="32" t="n">
        <v>0</v>
      </c>
      <c r="V71" s="8"/>
      <c r="W71" s="33"/>
      <c r="X71" s="34" t="n">
        <f aca="false">IF(S71="","",IF(AND(W71="Y",U71&lt;&gt;0),MAX(1,MIN(5,S71+MAX(-Config!$C$27,MIN(Config!$C$27,U71)))),S71))</f>
        <v>3</v>
      </c>
      <c r="Y71" s="35" t="str">
        <f aca="false">IF(G71="N/A","N/A",IF(X71="","No data",INDEX(Config!$B$5:$B$9,X71)))</f>
        <v>Medium</v>
      </c>
      <c r="Z71" s="7" t="str">
        <f aca="false">IF(U71=0,"None",IF(W71="Y","Applied","Pending HO approval"))</f>
        <v>None</v>
      </c>
      <c r="AA71" s="12" t="str">
        <f aca="false">INDEX('Risk Taxonomy'!$G$5:$G$24,MATCH(D71,'Risk Taxonomy'!$A$5:$A$24,0))</f>
        <v>Zero tolerance (facilitation)</v>
      </c>
      <c r="AB71" s="7" t="str">
        <f aca="false">INDEX('Risk Taxonomy'!$H$5:$H$24,MATCH(D71,'Risk Taxonomy'!$A$5:$A$24,0))</f>
        <v>Low</v>
      </c>
      <c r="AC71" s="35" t="str">
        <f aca="false">IF(NOT(ISNUMBER(X71)),"",IF(X71&lt;=MATCH(AB71,Config!$B$5:$B$9,0),"Within",IF(OR(X71-MATCH(AB71,Config!$B$5:$B$9,0)&gt;=2,AND('Residual Config'!$C$8="Y",ISNUMBER(SEARCH("Zero",AA71)))),"Red","Amber")))</f>
        <v>Red</v>
      </c>
      <c r="AD71" s="12" t="str">
        <f aca="false">IF(AC71="Red","Group CCO / CRO and Country CEO within 2 business days; action plan in 15 days; report to Board Risk &amp; Compliance Committee",IF(AC71="Amber","Country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72" customFormat="false" ht="15" hidden="false" customHeight="false" outlineLevel="0" collapsed="false">
      <c r="A72" s="26" t="str">
        <f aca="false">Entities!$A$8</f>
        <v>JO-INS</v>
      </c>
      <c r="B72" s="12" t="str">
        <f aca="false">INDEX(Entities!$B$5:$B$34,MATCH(A72,Entities!$A$5:$A$34,0))</f>
        <v>Insurance subsidiary – Jordan</v>
      </c>
      <c r="C72" s="12" t="str">
        <f aca="false">INDEX(Entities!$D$5:$D$34,MATCH(A72,Entities!$A$5:$A$34,0))</f>
        <v>Jordan (home)</v>
      </c>
      <c r="D72" s="12" t="s">
        <v>284</v>
      </c>
      <c r="E72" s="12" t="str">
        <f aca="false">INDEX('Risk Taxonomy'!$B$5:$B$24,MATCH(D72,'Risk Taxonomy'!$A$5:$A$24,0))</f>
        <v>Regulatory compliance</v>
      </c>
      <c r="F72" s="29" t="n">
        <f aca="false">IF(NOT(ISNUMBER(G72)),"",G72)</f>
        <v>3</v>
      </c>
      <c r="G72" s="34" t="n">
        <f aca="false">IF(COUNTIFS('LxI Assessment'!$A$5:$A$394,A72,'LxI Assessment'!$D$5:$D$394,D72,'LxI Assessment'!$F$5:$F$394,"N/A")&gt;0,"N/A",IF(COUNTIFS('LxI Assessment'!$A$5:$A$394,A72,'LxI Assessment'!$D$5:$D$394,D72,'LxI Assessment'!$S$5:$S$394,"&gt;0")=0,"",SUMIFS('LxI Assessment'!$S$5:$S$394,'LxI Assessment'!$A$5:$A$394,A72,'LxI Assessment'!$D$5:$D$394,D72)))</f>
        <v>3</v>
      </c>
      <c r="H72" s="7" t="str">
        <f aca="false">IF(G72="N/A","N/A",IF(G72="","No data",INDEX(Config!$B$5:$B$9,G72)))</f>
        <v>Medium</v>
      </c>
      <c r="I72" s="31" t="n">
        <f aca="false">IF(NOT(ISNUMBER($G72)),"",SUMPRODUCT(('Control Mapping'!$C$5:$C$83=D72)*('Control Mapping'!$J$5:$J$83&gt;0)))</f>
        <v>4</v>
      </c>
      <c r="J72" s="31" t="n">
        <f aca="false">IF(NOT(ISNUMBER($G72)),"",SUMPRODUCT(('Control Mapping'!$C$5:$C$83=D72)*('Control Mapping'!$F$5:$F$83="Y")*('Control Mapping'!$J$5:$J$83&gt;0)))</f>
        <v>3</v>
      </c>
      <c r="K72" s="31" t="n">
        <f aca="false">IF(NOT(ISNUMBER($G72)),"",SUMPRODUCT(('Control Mapping'!$C$5:$C$83=D72)*('Control Mapping'!$F$5:$F$83="Y")*('Control Mapping'!$J$5:$J$83=4)))</f>
        <v>1</v>
      </c>
      <c r="L72" s="29" t="n">
        <f aca="false">IF(NOT(ISNUMBER($G72)),"",IFERROR(SUMPRODUCT(('Control Mapping'!$C$5:$C$83=D72)*'Control Mapping'!$E$5:$E$83*'Control Mapping'!$J$5:$J$83)/SUMPRODUCT(('Control Mapping'!$C$5:$C$83=D72)*'Control Mapping'!$E$5:$E$83*('Control Mapping'!$J$5:$J$83&gt;0)),""))</f>
        <v>1.85714285714286</v>
      </c>
      <c r="M72" s="34" t="n">
        <f aca="false">IF(NOT(ISNUMBER($G72)),"",IF(J72=0,4,MAX(MATCH(L72,'Residual Config'!$E$11:$E$14,1),IF(K72&gt;0,'Residual Config'!$C$7,1))))</f>
        <v>3</v>
      </c>
      <c r="N72" s="7" t="str">
        <f aca="false">IF(NOT(ISNUMBER($G72)),"",IF(J72=0,"Ineffective (no key control)",INDEX('Residual Config'!$B$11:$B$14,M72)))</f>
        <v>Partially effective</v>
      </c>
      <c r="O72" s="36" t="n">
        <f aca="false">IF(NOT(ISNUMBER($G72)),"",IF(J72=0,0,SUMPRODUCT(('Control Mapping'!$C$5:$C$83=D72)*'Control Mapping'!$E$5:$E$83*(('Control Mapping'!$J$5:$J$83=1)*'Residual Config'!$D$11+('Control Mapping'!$J$5:$J$83=2)*'Residual Config'!$D$12+('Control Mapping'!$J$5:$J$83=3)*'Residual Config'!$D$13+('Control Mapping'!$J$5:$J$83=4)*'Residual Config'!$D$14))/SUMPRODUCT(('Control Mapping'!$C$5:$C$83=D72)*'Control Mapping'!$E$5:$E$83*('Control Mapping'!$J$5:$J$83&gt;0))))</f>
        <v>0.428571428571429</v>
      </c>
      <c r="P72" s="31" t="n">
        <f aca="false">IF(NOT(ISNUMBER($G72)),"",INDEX('Residual Config'!$B$19:$E$23,6-G72,M72))</f>
        <v>3</v>
      </c>
      <c r="Q72" s="29" t="n">
        <f aca="false">IF(NOT(ISNUMBER($G72)),"",MAX(1,F72*(1-O72)))</f>
        <v>1.71428571428571</v>
      </c>
      <c r="R72" s="31" t="n">
        <f aca="false">IF(NOT(ISNUMBER($G72)),"",MAX(MATCH(Q72,Config!$D$5:$D$9,1),G72-'Residual Config'!$C$6))</f>
        <v>1</v>
      </c>
      <c r="S72" s="34" t="n">
        <f aca="false">IF(NOT(ISNUMBER($G72)),"",IF('Residual Config'!$C$5="Numeric",R72,P72))</f>
        <v>3</v>
      </c>
      <c r="T72" s="7" t="str">
        <f aca="false">IF(G72="N/A","N/A",IF(S72="","No data",INDEX(Config!$B$5:$B$9,S72)))</f>
        <v>Medium</v>
      </c>
      <c r="U72" s="32" t="n">
        <v>0</v>
      </c>
      <c r="V72" s="8"/>
      <c r="W72" s="33"/>
      <c r="X72" s="34" t="n">
        <f aca="false">IF(S72="","",IF(AND(W72="Y",U72&lt;&gt;0),MAX(1,MIN(5,S72+MAX(-Config!$C$27,MIN(Config!$C$27,U72)))),S72))</f>
        <v>3</v>
      </c>
      <c r="Y72" s="35" t="str">
        <f aca="false">IF(G72="N/A","N/A",IF(X72="","No data",INDEX(Config!$B$5:$B$9,X72)))</f>
        <v>Medium</v>
      </c>
      <c r="Z72" s="7" t="str">
        <f aca="false">IF(U72=0,"None",IF(W72="Y","Applied","Pending HO approval"))</f>
        <v>None</v>
      </c>
      <c r="AA72" s="12" t="str">
        <f aca="false">INDEX('Risk Taxonomy'!$G$5:$G$24,MATCH(D72,'Risk Taxonomy'!$A$5:$A$24,0))</f>
        <v>Very low</v>
      </c>
      <c r="AB72" s="7" t="str">
        <f aca="false">INDEX('Risk Taxonomy'!$H$5:$H$24,MATCH(D72,'Risk Taxonomy'!$A$5:$A$24,0))</f>
        <v>Medium-Low</v>
      </c>
      <c r="AC72" s="35" t="str">
        <f aca="false">IF(NOT(ISNUMBER(X72)),"",IF(X72&lt;=MATCH(AB72,Config!$B$5:$B$9,0),"Within",IF(OR(X72-MATCH(AB72,Config!$B$5:$B$9,0)&gt;=2,AND('Residual Config'!$C$8="Y",ISNUMBER(SEARCH("Zero",AA72)))),"Red","Amber")))</f>
        <v>Amber</v>
      </c>
      <c r="AD72" s="12" t="str">
        <f aca="false">IF(AC72="Red","Group CCO / CRO and Country CEO within 2 business days; action plan in 15 days; report to Board Risk &amp; Compliance Committee",IF(AC72="Amber","Country CO, risk owner and HO Administrator within 5 business days; action plan in 30 days",""))</f>
        <v>Country CO, risk owner and HO Administrator within 5 business days; action plan in 30 days</v>
      </c>
    </row>
    <row r="73" customFormat="false" ht="15" hidden="false" customHeight="false" outlineLevel="0" collapsed="false">
      <c r="A73" s="26" t="str">
        <f aca="false">Entities!$A$8</f>
        <v>JO-INS</v>
      </c>
      <c r="B73" s="12" t="str">
        <f aca="false">INDEX(Entities!$B$5:$B$34,MATCH(A73,Entities!$A$5:$A$34,0))</f>
        <v>Insurance subsidiary – Jordan</v>
      </c>
      <c r="C73" s="12" t="str">
        <f aca="false">INDEX(Entities!$D$5:$D$34,MATCH(A73,Entities!$A$5:$A$34,0))</f>
        <v>Jordan (home)</v>
      </c>
      <c r="D73" s="12" t="s">
        <v>288</v>
      </c>
      <c r="E73" s="12" t="str">
        <f aca="false">INDEX('Risk Taxonomy'!$B$5:$B$24,MATCH(D73,'Risk Taxonomy'!$A$5:$A$24,0))</f>
        <v>Conduct and consumer protection</v>
      </c>
      <c r="F73" s="29" t="n">
        <f aca="false">IF(NOT(ISNUMBER(G73)),"",G73)</f>
        <v>3</v>
      </c>
      <c r="G73" s="34" t="n">
        <f aca="false">IF(COUNTIFS('LxI Assessment'!$A$5:$A$394,A73,'LxI Assessment'!$D$5:$D$394,D73,'LxI Assessment'!$F$5:$F$394,"N/A")&gt;0,"N/A",IF(COUNTIFS('LxI Assessment'!$A$5:$A$394,A73,'LxI Assessment'!$D$5:$D$394,D73,'LxI Assessment'!$S$5:$S$394,"&gt;0")=0,"",SUMIFS('LxI Assessment'!$S$5:$S$394,'LxI Assessment'!$A$5:$A$394,A73,'LxI Assessment'!$D$5:$D$394,D73)))</f>
        <v>3</v>
      </c>
      <c r="H73" s="7" t="str">
        <f aca="false">IF(G73="N/A","N/A",IF(G73="","No data",INDEX(Config!$B$5:$B$9,G73)))</f>
        <v>Medium</v>
      </c>
      <c r="I73" s="31" t="n">
        <f aca="false">IF(NOT(ISNUMBER($G73)),"",SUMPRODUCT(('Control Mapping'!$C$5:$C$83=D73)*('Control Mapping'!$J$5:$J$83&gt;0)))</f>
        <v>2</v>
      </c>
      <c r="J73" s="31" t="n">
        <f aca="false">IF(NOT(ISNUMBER($G73)),"",SUMPRODUCT(('Control Mapping'!$C$5:$C$83=D73)*('Control Mapping'!$F$5:$F$83="Y")*('Control Mapping'!$J$5:$J$83&gt;0)))</f>
        <v>1</v>
      </c>
      <c r="K73" s="31" t="n">
        <f aca="false">IF(NOT(ISNUMBER($G73)),"",SUMPRODUCT(('Control Mapping'!$C$5:$C$83=D73)*('Control Mapping'!$F$5:$F$83="Y")*('Control Mapping'!$J$5:$J$83=4)))</f>
        <v>0</v>
      </c>
      <c r="L73" s="29" t="n">
        <f aca="false">IF(NOT(ISNUMBER($G73)),"",IFERROR(SUMPRODUCT(('Control Mapping'!$C$5:$C$83=D73)*'Control Mapping'!$E$5:$E$83*'Control Mapping'!$J$5:$J$83)/SUMPRODUCT(('Control Mapping'!$C$5:$C$83=D73)*'Control Mapping'!$E$5:$E$83*('Control Mapping'!$J$5:$J$83&gt;0)),""))</f>
        <v>1.6</v>
      </c>
      <c r="M73" s="34" t="n">
        <f aca="false">IF(NOT(ISNUMBER($G73)),"",IF(J73=0,4,MAX(MATCH(L73,'Residual Config'!$E$11:$E$14,1),IF(K73&gt;0,'Residual Config'!$C$7,1))))</f>
        <v>2</v>
      </c>
      <c r="N73" s="7" t="str">
        <f aca="false">IF(NOT(ISNUMBER($G73)),"",IF(J73=0,"Ineffective (no key control)",INDEX('Residual Config'!$B$11:$B$14,M73)))</f>
        <v>Largely effective</v>
      </c>
      <c r="O73" s="36" t="n">
        <f aca="false">IF(NOT(ISNUMBER($G73)),"",IF(J73=0,0,SUMPRODUCT(('Control Mapping'!$C$5:$C$83=D73)*'Control Mapping'!$E$5:$E$83*(('Control Mapping'!$J$5:$J$83=1)*'Residual Config'!$D$11+('Control Mapping'!$J$5:$J$83=2)*'Residual Config'!$D$12+('Control Mapping'!$J$5:$J$83=3)*'Residual Config'!$D$13+('Control Mapping'!$J$5:$J$83=4)*'Residual Config'!$D$14))/SUMPRODUCT(('Control Mapping'!$C$5:$C$83=D73)*'Control Mapping'!$E$5:$E$83*('Control Mapping'!$J$5:$J$83&gt;0))))</f>
        <v>0.48</v>
      </c>
      <c r="P73" s="31" t="n">
        <f aca="false">IF(NOT(ISNUMBER($G73)),"",INDEX('Residual Config'!$B$19:$E$23,6-G73,M73))</f>
        <v>2</v>
      </c>
      <c r="Q73" s="29" t="n">
        <f aca="false">IF(NOT(ISNUMBER($G73)),"",MAX(1,F73*(1-O73)))</f>
        <v>1.56</v>
      </c>
      <c r="R73" s="31" t="n">
        <f aca="false">IF(NOT(ISNUMBER($G73)),"",MAX(MATCH(Q73,Config!$D$5:$D$9,1),G73-'Residual Config'!$C$6))</f>
        <v>1</v>
      </c>
      <c r="S73" s="34" t="n">
        <f aca="false">IF(NOT(ISNUMBER($G73)),"",IF('Residual Config'!$C$5="Numeric",R73,P73))</f>
        <v>2</v>
      </c>
      <c r="T73" s="7" t="str">
        <f aca="false">IF(G73="N/A","N/A",IF(S73="","No data",INDEX(Config!$B$5:$B$9,S73)))</f>
        <v>Medium-Low</v>
      </c>
      <c r="U73" s="32" t="n">
        <v>0</v>
      </c>
      <c r="V73" s="8"/>
      <c r="W73" s="33"/>
      <c r="X73" s="34" t="n">
        <f aca="false">IF(S73="","",IF(AND(W73="Y",U73&lt;&gt;0),MAX(1,MIN(5,S73+MAX(-Config!$C$27,MIN(Config!$C$27,U73)))),S73))</f>
        <v>2</v>
      </c>
      <c r="Y73" s="35" t="str">
        <f aca="false">IF(G73="N/A","N/A",IF(X73="","No data",INDEX(Config!$B$5:$B$9,X73)))</f>
        <v>Medium-Low</v>
      </c>
      <c r="Z73" s="7" t="str">
        <f aca="false">IF(U73=0,"None",IF(W73="Y","Applied","Pending HO approval"))</f>
        <v>None</v>
      </c>
      <c r="AA73" s="12" t="str">
        <f aca="false">INDEX('Risk Taxonomy'!$G$5:$G$24,MATCH(D73,'Risk Taxonomy'!$A$5:$A$24,0))</f>
        <v>Low</v>
      </c>
      <c r="AB73" s="7" t="str">
        <f aca="false">INDEX('Risk Taxonomy'!$H$5:$H$24,MATCH(D73,'Risk Taxonomy'!$A$5:$A$24,0))</f>
        <v>Medium</v>
      </c>
      <c r="AC73" s="35" t="str">
        <f aca="false">IF(NOT(ISNUMBER(X73)),"",IF(X73&lt;=MATCH(AB73,Config!$B$5:$B$9,0),"Within",IF(OR(X73-MATCH(AB73,Config!$B$5:$B$9,0)&gt;=2,AND('Residual Config'!$C$8="Y",ISNUMBER(SEARCH("Zero",AA73)))),"Red","Amber")))</f>
        <v>Within</v>
      </c>
      <c r="AD73" s="12" t="str">
        <f aca="false">IF(AC73="Red","Group CCO / CRO and Country CEO within 2 business days; action plan in 15 days; report to Board Risk &amp; Compliance Committee",IF(AC73="Amber","Country CO, risk owner and HO Administrator within 5 business days; action plan in 30 days",""))</f>
        <v/>
      </c>
    </row>
    <row r="74" customFormat="false" ht="15" hidden="false" customHeight="false" outlineLevel="0" collapsed="false">
      <c r="A74" s="26" t="str">
        <f aca="false">Entities!$A$8</f>
        <v>JO-INS</v>
      </c>
      <c r="B74" s="12" t="str">
        <f aca="false">INDEX(Entities!$B$5:$B$34,MATCH(A74,Entities!$A$5:$A$34,0))</f>
        <v>Insurance subsidiary – Jordan</v>
      </c>
      <c r="C74" s="12" t="str">
        <f aca="false">INDEX(Entities!$D$5:$D$34,MATCH(A74,Entities!$A$5:$A$34,0))</f>
        <v>Jordan (home)</v>
      </c>
      <c r="D74" s="12" t="s">
        <v>290</v>
      </c>
      <c r="E74" s="12" t="str">
        <f aca="false">INDEX('Risk Taxonomy'!$B$5:$B$24,MATCH(D74,'Risk Taxonomy'!$A$5:$A$24,0))</f>
        <v>Data protection and privacy</v>
      </c>
      <c r="F74" s="29" t="n">
        <f aca="false">IF(NOT(ISNUMBER(G74)),"",G74)</f>
        <v>4</v>
      </c>
      <c r="G74" s="34" t="n">
        <f aca="false">IF(COUNTIFS('LxI Assessment'!$A$5:$A$394,A74,'LxI Assessment'!$D$5:$D$394,D74,'LxI Assessment'!$F$5:$F$394,"N/A")&gt;0,"N/A",IF(COUNTIFS('LxI Assessment'!$A$5:$A$394,A74,'LxI Assessment'!$D$5:$D$394,D74,'LxI Assessment'!$S$5:$S$394,"&gt;0")=0,"",SUMIFS('LxI Assessment'!$S$5:$S$394,'LxI Assessment'!$A$5:$A$394,A74,'LxI Assessment'!$D$5:$D$394,D74)))</f>
        <v>4</v>
      </c>
      <c r="H74" s="7" t="str">
        <f aca="false">IF(G74="N/A","N/A",IF(G74="","No data",INDEX(Config!$B$5:$B$9,G74)))</f>
        <v>Medium-High</v>
      </c>
      <c r="I74" s="31" t="n">
        <f aca="false">IF(NOT(ISNUMBER($G74)),"",SUMPRODUCT(('Control Mapping'!$C$5:$C$83=D74)*('Control Mapping'!$J$5:$J$83&gt;0)))</f>
        <v>2</v>
      </c>
      <c r="J74" s="31" t="n">
        <f aca="false">IF(NOT(ISNUMBER($G74)),"",SUMPRODUCT(('Control Mapping'!$C$5:$C$83=D74)*('Control Mapping'!$F$5:$F$83="Y")*('Control Mapping'!$J$5:$J$83&gt;0)))</f>
        <v>2</v>
      </c>
      <c r="K74" s="31" t="n">
        <f aca="false">IF(NOT(ISNUMBER($G74)),"",SUMPRODUCT(('Control Mapping'!$C$5:$C$83=D74)*('Control Mapping'!$F$5:$F$83="Y")*('Control Mapping'!$J$5:$J$83=4)))</f>
        <v>0</v>
      </c>
      <c r="L74" s="29" t="n">
        <f aca="false">IF(NOT(ISNUMBER($G74)),"",IFERROR(SUMPRODUCT(('Control Mapping'!$C$5:$C$83=D74)*'Control Mapping'!$E$5:$E$83*'Control Mapping'!$J$5:$J$83)/SUMPRODUCT(('Control Mapping'!$C$5:$C$83=D74)*'Control Mapping'!$E$5:$E$83*('Control Mapping'!$J$5:$J$83&gt;0)),""))</f>
        <v>2</v>
      </c>
      <c r="M74" s="34" t="n">
        <f aca="false">IF(NOT(ISNUMBER($G74)),"",IF(J74=0,4,MAX(MATCH(L74,'Residual Config'!$E$11:$E$14,1),IF(K74&gt;0,'Residual Config'!$C$7,1))))</f>
        <v>2</v>
      </c>
      <c r="N74" s="7" t="str">
        <f aca="false">IF(NOT(ISNUMBER($G74)),"",IF(J74=0,"Ineffective (no key control)",INDEX('Residual Config'!$B$11:$B$14,M74)))</f>
        <v>Largely effective</v>
      </c>
      <c r="O74" s="36" t="n">
        <f aca="false">IF(NOT(ISNUMBER($G74)),"",IF(J74=0,0,SUMPRODUCT(('Control Mapping'!$C$5:$C$83=D74)*'Control Mapping'!$E$5:$E$83*(('Control Mapping'!$J$5:$J$83=1)*'Residual Config'!$D$11+('Control Mapping'!$J$5:$J$83=2)*'Residual Config'!$D$12+('Control Mapping'!$J$5:$J$83=3)*'Residual Config'!$D$13+('Control Mapping'!$J$5:$J$83=4)*'Residual Config'!$D$14))/SUMPRODUCT(('Control Mapping'!$C$5:$C$83=D74)*'Control Mapping'!$E$5:$E$83*('Control Mapping'!$J$5:$J$83&gt;0))))</f>
        <v>0.4</v>
      </c>
      <c r="P74" s="31" t="n">
        <f aca="false">IF(NOT(ISNUMBER($G74)),"",INDEX('Residual Config'!$B$19:$E$23,6-G74,M74))</f>
        <v>3</v>
      </c>
      <c r="Q74" s="29" t="n">
        <f aca="false">IF(NOT(ISNUMBER($G74)),"",MAX(1,F74*(1-O74)))</f>
        <v>2.4</v>
      </c>
      <c r="R74" s="31" t="n">
        <f aca="false">IF(NOT(ISNUMBER($G74)),"",MAX(MATCH(Q74,Config!$D$5:$D$9,1),G74-'Residual Config'!$C$6))</f>
        <v>2</v>
      </c>
      <c r="S74" s="34" t="n">
        <f aca="false">IF(NOT(ISNUMBER($G74)),"",IF('Residual Config'!$C$5="Numeric",R74,P74))</f>
        <v>3</v>
      </c>
      <c r="T74" s="7" t="str">
        <f aca="false">IF(G74="N/A","N/A",IF(S74="","No data",INDEX(Config!$B$5:$B$9,S74)))</f>
        <v>Medium</v>
      </c>
      <c r="U74" s="32" t="n">
        <v>0</v>
      </c>
      <c r="V74" s="8"/>
      <c r="W74" s="33"/>
      <c r="X74" s="34" t="n">
        <f aca="false">IF(S74="","",IF(AND(W74="Y",U74&lt;&gt;0),MAX(1,MIN(5,S74+MAX(-Config!$C$27,MIN(Config!$C$27,U74)))),S74))</f>
        <v>3</v>
      </c>
      <c r="Y74" s="35" t="str">
        <f aca="false">IF(G74="N/A","N/A",IF(X74="","No data",INDEX(Config!$B$5:$B$9,X74)))</f>
        <v>Medium</v>
      </c>
      <c r="Z74" s="7" t="str">
        <f aca="false">IF(U74=0,"None",IF(W74="Y","Applied","Pending HO approval"))</f>
        <v>None</v>
      </c>
      <c r="AA74" s="12" t="str">
        <f aca="false">INDEX('Risk Taxonomy'!$G$5:$G$24,MATCH(D74,'Risk Taxonomy'!$A$5:$A$24,0))</f>
        <v>Very low</v>
      </c>
      <c r="AB74" s="7" t="str">
        <f aca="false">INDEX('Risk Taxonomy'!$H$5:$H$24,MATCH(D74,'Risk Taxonomy'!$A$5:$A$24,0))</f>
        <v>Medium-Low</v>
      </c>
      <c r="AC74" s="35" t="str">
        <f aca="false">IF(NOT(ISNUMBER(X74)),"",IF(X74&lt;=MATCH(AB74,Config!$B$5:$B$9,0),"Within",IF(OR(X74-MATCH(AB74,Config!$B$5:$B$9,0)&gt;=2,AND('Residual Config'!$C$8="Y",ISNUMBER(SEARCH("Zero",AA74)))),"Red","Amber")))</f>
        <v>Amber</v>
      </c>
      <c r="AD74" s="12" t="str">
        <f aca="false">IF(AC74="Red","Group CCO / CRO and Country CEO within 2 business days; action plan in 15 days; report to Board Risk &amp; Compliance Committee",IF(AC74="Amber","Country CO, risk owner and HO Administrator within 5 business days; action plan in 30 days",""))</f>
        <v>Country CO, risk owner and HO Administrator within 5 business days; action plan in 30 days</v>
      </c>
    </row>
    <row r="75" customFormat="false" ht="15" hidden="false" customHeight="false" outlineLevel="0" collapsed="false">
      <c r="A75" s="26" t="str">
        <f aca="false">Entities!$A$8</f>
        <v>JO-INS</v>
      </c>
      <c r="B75" s="12" t="str">
        <f aca="false">INDEX(Entities!$B$5:$B$34,MATCH(A75,Entities!$A$5:$A$34,0))</f>
        <v>Insurance subsidiary – Jordan</v>
      </c>
      <c r="C75" s="12" t="str">
        <f aca="false">INDEX(Entities!$D$5:$D$34,MATCH(A75,Entities!$A$5:$A$34,0))</f>
        <v>Jordan (home)</v>
      </c>
      <c r="D75" s="12" t="s">
        <v>293</v>
      </c>
      <c r="E75" s="12" t="str">
        <f aca="false">INDEX('Risk Taxonomy'!$B$5:$B$24,MATCH(D75,'Risk Taxonomy'!$A$5:$A$24,0))</f>
        <v>Shariah non-compliance</v>
      </c>
      <c r="F75" s="29" t="str">
        <f aca="false">IF(NOT(ISNUMBER(G75)),"",G75)</f>
        <v/>
      </c>
      <c r="G75" s="34" t="str">
        <f aca="false">IF(COUNTIFS('LxI Assessment'!$A$5:$A$394,A75,'LxI Assessment'!$D$5:$D$394,D75,'LxI Assessment'!$F$5:$F$394,"N/A")&gt;0,"N/A",IF(COUNTIFS('LxI Assessment'!$A$5:$A$394,A75,'LxI Assessment'!$D$5:$D$394,D75,'LxI Assessment'!$S$5:$S$394,"&gt;0")=0,"",SUMIFS('LxI Assessment'!$S$5:$S$394,'LxI Assessment'!$A$5:$A$394,A75,'LxI Assessment'!$D$5:$D$394,D75)))</f>
        <v>N/A</v>
      </c>
      <c r="H75" s="7" t="str">
        <f aca="false">IF(G75="N/A","N/A",IF(G75="","No data",INDEX(Config!$B$5:$B$9,G75)))</f>
        <v>N/A</v>
      </c>
      <c r="I75" s="31" t="str">
        <f aca="false">IF(NOT(ISNUMBER($G75)),"",SUMPRODUCT(('Control Mapping'!$C$5:$C$83=D75)*('Control Mapping'!$J$5:$J$83&gt;0)))</f>
        <v/>
      </c>
      <c r="J75" s="31" t="str">
        <f aca="false">IF(NOT(ISNUMBER($G75)),"",SUMPRODUCT(('Control Mapping'!$C$5:$C$83=D75)*('Control Mapping'!$F$5:$F$83="Y")*('Control Mapping'!$J$5:$J$83&gt;0)))</f>
        <v/>
      </c>
      <c r="K75" s="31" t="str">
        <f aca="false">IF(NOT(ISNUMBER($G75)),"",SUMPRODUCT(('Control Mapping'!$C$5:$C$83=D75)*('Control Mapping'!$F$5:$F$83="Y")*('Control Mapping'!$J$5:$J$83=4)))</f>
        <v/>
      </c>
      <c r="L75" s="29" t="str">
        <f aca="false">IF(NOT(ISNUMBER($G75)),"",IFERROR(SUMPRODUCT(('Control Mapping'!$C$5:$C$83=D75)*'Control Mapping'!$E$5:$E$83*'Control Mapping'!$J$5:$J$83)/SUMPRODUCT(('Control Mapping'!$C$5:$C$83=D75)*'Control Mapping'!$E$5:$E$83*('Control Mapping'!$J$5:$J$83&gt;0)),""))</f>
        <v/>
      </c>
      <c r="M75" s="34" t="str">
        <f aca="false">IF(NOT(ISNUMBER($G75)),"",IF(J75=0,4,MAX(MATCH(L75,'Residual Config'!$E$11:$E$14,1),IF(K75&gt;0,'Residual Config'!$C$7,1))))</f>
        <v/>
      </c>
      <c r="N75" s="7" t="str">
        <f aca="false">IF(NOT(ISNUMBER($G75)),"",IF(J75=0,"Ineffective (no key control)",INDEX('Residual Config'!$B$11:$B$14,M75)))</f>
        <v/>
      </c>
      <c r="O75" s="36" t="str">
        <f aca="false">IF(NOT(ISNUMBER($G75)),"",IF(J75=0,0,SUMPRODUCT(('Control Mapping'!$C$5:$C$83=D75)*'Control Mapping'!$E$5:$E$83*(('Control Mapping'!$J$5:$J$83=1)*'Residual Config'!$D$11+('Control Mapping'!$J$5:$J$83=2)*'Residual Config'!$D$12+('Control Mapping'!$J$5:$J$83=3)*'Residual Config'!$D$13+('Control Mapping'!$J$5:$J$83=4)*'Residual Config'!$D$14))/SUMPRODUCT(('Control Mapping'!$C$5:$C$83=D75)*'Control Mapping'!$E$5:$E$83*('Control Mapping'!$J$5:$J$83&gt;0))))</f>
        <v/>
      </c>
      <c r="P75" s="31" t="str">
        <f aca="false">IF(NOT(ISNUMBER($G75)),"",INDEX('Residual Config'!$B$19:$E$23,6-G75,M75))</f>
        <v/>
      </c>
      <c r="Q75" s="29" t="str">
        <f aca="false">IF(NOT(ISNUMBER($G75)),"",MAX(1,F75*(1-O75)))</f>
        <v/>
      </c>
      <c r="R75" s="31" t="str">
        <f aca="false">IF(NOT(ISNUMBER($G75)),"",MAX(MATCH(Q75,Config!$D$5:$D$9,1),G75-'Residual Config'!$C$6))</f>
        <v/>
      </c>
      <c r="S75" s="34" t="str">
        <f aca="false">IF(NOT(ISNUMBER($G75)),"",IF('Residual Config'!$C$5="Numeric",R75,P75))</f>
        <v/>
      </c>
      <c r="T75" s="7" t="str">
        <f aca="false">IF(G75="N/A","N/A",IF(S75="","No data",INDEX(Config!$B$5:$B$9,S75)))</f>
        <v>N/A</v>
      </c>
      <c r="U75" s="32" t="n">
        <v>0</v>
      </c>
      <c r="V75" s="8"/>
      <c r="W75" s="33"/>
      <c r="X75" s="34" t="str">
        <f aca="false">IF(S75="","",IF(AND(W75="Y",U75&lt;&gt;0),MAX(1,MIN(5,S75+MAX(-Config!$C$27,MIN(Config!$C$27,U75)))),S75))</f>
        <v/>
      </c>
      <c r="Y75" s="35" t="str">
        <f aca="false">IF(G75="N/A","N/A",IF(X75="","No data",INDEX(Config!$B$5:$B$9,X75)))</f>
        <v>N/A</v>
      </c>
      <c r="Z75" s="7" t="str">
        <f aca="false">IF(U75=0,"None",IF(W75="Y","Applied","Pending HO approval"))</f>
        <v>None</v>
      </c>
      <c r="AA75" s="12" t="str">
        <f aca="false">INDEX('Risk Taxonomy'!$G$5:$G$24,MATCH(D75,'Risk Taxonomy'!$A$5:$A$24,0))</f>
        <v>Very low</v>
      </c>
      <c r="AB75" s="7" t="str">
        <f aca="false">INDEX('Risk Taxonomy'!$H$5:$H$24,MATCH(D75,'Risk Taxonomy'!$A$5:$A$24,0))</f>
        <v>Medium-Low</v>
      </c>
      <c r="AC75" s="35" t="str">
        <f aca="false">IF(NOT(ISNUMBER(X75)),"",IF(X75&lt;=MATCH(AB75,Config!$B$5:$B$9,0),"Within",IF(OR(X75-MATCH(AB75,Config!$B$5:$B$9,0)&gt;=2,AND('Residual Config'!$C$8="Y",ISNUMBER(SEARCH("Zero",AA75)))),"Red","Amber")))</f>
        <v/>
      </c>
      <c r="AD75" s="12" t="str">
        <f aca="false">IF(AC75="Red","Group CCO / CRO and Country CEO within 2 business days; action plan in 15 days; report to Board Risk &amp; Compliance Committee",IF(AC75="Amber","Country CO, risk owner and HO Administrator within 5 business days; action plan in 30 days",""))</f>
        <v/>
      </c>
    </row>
    <row r="76" customFormat="false" ht="15" hidden="false" customHeight="false" outlineLevel="0" collapsed="false">
      <c r="A76" s="26" t="str">
        <f aca="false">Entities!$A$8</f>
        <v>JO-INS</v>
      </c>
      <c r="B76" s="12" t="str">
        <f aca="false">INDEX(Entities!$B$5:$B$34,MATCH(A76,Entities!$A$5:$A$34,0))</f>
        <v>Insurance subsidiary – Jordan</v>
      </c>
      <c r="C76" s="12" t="str">
        <f aca="false">INDEX(Entities!$D$5:$D$34,MATCH(A76,Entities!$A$5:$A$34,0))</f>
        <v>Jordan (home)</v>
      </c>
      <c r="D76" s="12" t="s">
        <v>297</v>
      </c>
      <c r="E76" s="12" t="str">
        <f aca="false">INDEX('Risk Taxonomy'!$B$5:$B$24,MATCH(D76,'Risk Taxonomy'!$A$5:$A$24,0))</f>
        <v>Credit risk</v>
      </c>
      <c r="F76" s="29" t="n">
        <f aca="false">IF(NOT(ISNUMBER(G76)),"",G76)</f>
        <v>3</v>
      </c>
      <c r="G76" s="34" t="n">
        <f aca="false">IF(COUNTIFS('LxI Assessment'!$A$5:$A$394,A76,'LxI Assessment'!$D$5:$D$394,D76,'LxI Assessment'!$F$5:$F$394,"N/A")&gt;0,"N/A",IF(COUNTIFS('LxI Assessment'!$A$5:$A$394,A76,'LxI Assessment'!$D$5:$D$394,D76,'LxI Assessment'!$S$5:$S$394,"&gt;0")=0,"",SUMIFS('LxI Assessment'!$S$5:$S$394,'LxI Assessment'!$A$5:$A$394,A76,'LxI Assessment'!$D$5:$D$394,D76)))</f>
        <v>3</v>
      </c>
      <c r="H76" s="7" t="str">
        <f aca="false">IF(G76="N/A","N/A",IF(G76="","No data",INDEX(Config!$B$5:$B$9,G76)))</f>
        <v>Medium</v>
      </c>
      <c r="I76" s="31" t="n">
        <f aca="false">IF(NOT(ISNUMBER($G76)),"",SUMPRODUCT(('Control Mapping'!$C$5:$C$83=D76)*('Control Mapping'!$J$5:$J$83&gt;0)))</f>
        <v>2</v>
      </c>
      <c r="J76" s="31" t="n">
        <f aca="false">IF(NOT(ISNUMBER($G76)),"",SUMPRODUCT(('Control Mapping'!$C$5:$C$83=D76)*('Control Mapping'!$F$5:$F$83="Y")*('Control Mapping'!$J$5:$J$83&gt;0)))</f>
        <v>1</v>
      </c>
      <c r="K76" s="31" t="n">
        <f aca="false">IF(NOT(ISNUMBER($G76)),"",SUMPRODUCT(('Control Mapping'!$C$5:$C$83=D76)*('Control Mapping'!$F$5:$F$83="Y")*('Control Mapping'!$J$5:$J$83=4)))</f>
        <v>0</v>
      </c>
      <c r="L76" s="29" t="n">
        <f aca="false">IF(NOT(ISNUMBER($G76)),"",IFERROR(SUMPRODUCT(('Control Mapping'!$C$5:$C$83=D76)*'Control Mapping'!$E$5:$E$83*'Control Mapping'!$J$5:$J$83)/SUMPRODUCT(('Control Mapping'!$C$5:$C$83=D76)*'Control Mapping'!$E$5:$E$83*('Control Mapping'!$J$5:$J$83&gt;0)),""))</f>
        <v>1.6</v>
      </c>
      <c r="M76" s="34" t="n">
        <f aca="false">IF(NOT(ISNUMBER($G76)),"",IF(J76=0,4,MAX(MATCH(L76,'Residual Config'!$E$11:$E$14,1),IF(K76&gt;0,'Residual Config'!$C$7,1))))</f>
        <v>2</v>
      </c>
      <c r="N76" s="7" t="str">
        <f aca="false">IF(NOT(ISNUMBER($G76)),"",IF(J76=0,"Ineffective (no key control)",INDEX('Residual Config'!$B$11:$B$14,M76)))</f>
        <v>Largely effective</v>
      </c>
      <c r="O76" s="36" t="n">
        <f aca="false">IF(NOT(ISNUMBER($G76)),"",IF(J76=0,0,SUMPRODUCT(('Control Mapping'!$C$5:$C$83=D76)*'Control Mapping'!$E$5:$E$83*(('Control Mapping'!$J$5:$J$83=1)*'Residual Config'!$D$11+('Control Mapping'!$J$5:$J$83=2)*'Residual Config'!$D$12+('Control Mapping'!$J$5:$J$83=3)*'Residual Config'!$D$13+('Control Mapping'!$J$5:$J$83=4)*'Residual Config'!$D$14))/SUMPRODUCT(('Control Mapping'!$C$5:$C$83=D76)*'Control Mapping'!$E$5:$E$83*('Control Mapping'!$J$5:$J$83&gt;0))))</f>
        <v>0.48</v>
      </c>
      <c r="P76" s="31" t="n">
        <f aca="false">IF(NOT(ISNUMBER($G76)),"",INDEX('Residual Config'!$B$19:$E$23,6-G76,M76))</f>
        <v>2</v>
      </c>
      <c r="Q76" s="29" t="n">
        <f aca="false">IF(NOT(ISNUMBER($G76)),"",MAX(1,F76*(1-O76)))</f>
        <v>1.56</v>
      </c>
      <c r="R76" s="31" t="n">
        <f aca="false">IF(NOT(ISNUMBER($G76)),"",MAX(MATCH(Q76,Config!$D$5:$D$9,1),G76-'Residual Config'!$C$6))</f>
        <v>1</v>
      </c>
      <c r="S76" s="34" t="n">
        <f aca="false">IF(NOT(ISNUMBER($G76)),"",IF('Residual Config'!$C$5="Numeric",R76,P76))</f>
        <v>2</v>
      </c>
      <c r="T76" s="7" t="str">
        <f aca="false">IF(G76="N/A","N/A",IF(S76="","No data",INDEX(Config!$B$5:$B$9,S76)))</f>
        <v>Medium-Low</v>
      </c>
      <c r="U76" s="32" t="n">
        <v>0</v>
      </c>
      <c r="V76" s="8"/>
      <c r="W76" s="33"/>
      <c r="X76" s="34" t="n">
        <f aca="false">IF(S76="","",IF(AND(W76="Y",U76&lt;&gt;0),MAX(1,MIN(5,S76+MAX(-Config!$C$27,MIN(Config!$C$27,U76)))),S76))</f>
        <v>2</v>
      </c>
      <c r="Y76" s="35" t="str">
        <f aca="false">IF(G76="N/A","N/A",IF(X76="","No data",INDEX(Config!$B$5:$B$9,X76)))</f>
        <v>Medium-Low</v>
      </c>
      <c r="Z76" s="7" t="str">
        <f aca="false">IF(U76=0,"None",IF(W76="Y","Applied","Pending HO approval"))</f>
        <v>None</v>
      </c>
      <c r="AA76" s="12" t="str">
        <f aca="false">INDEX('Risk Taxonomy'!$G$5:$G$24,MATCH(D76,'Risk Taxonomy'!$A$5:$A$24,0))</f>
        <v>Moderate</v>
      </c>
      <c r="AB76" s="7" t="str">
        <f aca="false">INDEX('Risk Taxonomy'!$H$5:$H$24,MATCH(D76,'Risk Taxonomy'!$A$5:$A$24,0))</f>
        <v>Medium-High</v>
      </c>
      <c r="AC76" s="35" t="str">
        <f aca="false">IF(NOT(ISNUMBER(X76)),"",IF(X76&lt;=MATCH(AB76,Config!$B$5:$B$9,0),"Within",IF(OR(X76-MATCH(AB76,Config!$B$5:$B$9,0)&gt;=2,AND('Residual Config'!$C$8="Y",ISNUMBER(SEARCH("Zero",AA76)))),"Red","Amber")))</f>
        <v>Within</v>
      </c>
      <c r="AD76" s="12" t="str">
        <f aca="false">IF(AC76="Red","Group CCO / CRO and Country CEO within 2 business days; action plan in 15 days; report to Board Risk &amp; Compliance Committee",IF(AC76="Amber","Country CO, risk owner and HO Administrator within 5 business days; action plan in 30 days",""))</f>
        <v/>
      </c>
    </row>
    <row r="77" customFormat="false" ht="15" hidden="false" customHeight="false" outlineLevel="0" collapsed="false">
      <c r="A77" s="26" t="str">
        <f aca="false">Entities!$A$8</f>
        <v>JO-INS</v>
      </c>
      <c r="B77" s="12" t="str">
        <f aca="false">INDEX(Entities!$B$5:$B$34,MATCH(A77,Entities!$A$5:$A$34,0))</f>
        <v>Insurance subsidiary – Jordan</v>
      </c>
      <c r="C77" s="12" t="str">
        <f aca="false">INDEX(Entities!$D$5:$D$34,MATCH(A77,Entities!$A$5:$A$34,0))</f>
        <v>Jordan (home)</v>
      </c>
      <c r="D77" s="12" t="s">
        <v>302</v>
      </c>
      <c r="E77" s="12" t="str">
        <f aca="false">INDEX('Risk Taxonomy'!$B$5:$B$24,MATCH(D77,'Risk Taxonomy'!$A$5:$A$24,0))</f>
        <v>Market risk</v>
      </c>
      <c r="F77" s="29" t="n">
        <f aca="false">IF(NOT(ISNUMBER(G77)),"",G77)</f>
        <v>3</v>
      </c>
      <c r="G77" s="34" t="n">
        <f aca="false">IF(COUNTIFS('LxI Assessment'!$A$5:$A$394,A77,'LxI Assessment'!$D$5:$D$394,D77,'LxI Assessment'!$F$5:$F$394,"N/A")&gt;0,"N/A",IF(COUNTIFS('LxI Assessment'!$A$5:$A$394,A77,'LxI Assessment'!$D$5:$D$394,D77,'LxI Assessment'!$S$5:$S$394,"&gt;0")=0,"",SUMIFS('LxI Assessment'!$S$5:$S$394,'LxI Assessment'!$A$5:$A$394,A77,'LxI Assessment'!$D$5:$D$394,D77)))</f>
        <v>3</v>
      </c>
      <c r="H77" s="7" t="str">
        <f aca="false">IF(G77="N/A","N/A",IF(G77="","No data",INDEX(Config!$B$5:$B$9,G77)))</f>
        <v>Medium</v>
      </c>
      <c r="I77" s="31" t="n">
        <f aca="false">IF(NOT(ISNUMBER($G77)),"",SUMPRODUCT(('Control Mapping'!$C$5:$C$83=D77)*('Control Mapping'!$J$5:$J$83&gt;0)))</f>
        <v>1</v>
      </c>
      <c r="J77" s="31" t="n">
        <f aca="false">IF(NOT(ISNUMBER($G77)),"",SUMPRODUCT(('Control Mapping'!$C$5:$C$83=D77)*('Control Mapping'!$F$5:$F$83="Y")*('Control Mapping'!$J$5:$J$83&gt;0)))</f>
        <v>1</v>
      </c>
      <c r="K77" s="31" t="n">
        <f aca="false">IF(NOT(ISNUMBER($G77)),"",SUMPRODUCT(('Control Mapping'!$C$5:$C$83=D77)*('Control Mapping'!$F$5:$F$83="Y")*('Control Mapping'!$J$5:$J$83=4)))</f>
        <v>0</v>
      </c>
      <c r="L77" s="29" t="n">
        <f aca="false">IF(NOT(ISNUMBER($G77)),"",IFERROR(SUMPRODUCT(('Control Mapping'!$C$5:$C$83=D77)*'Control Mapping'!$E$5:$E$83*'Control Mapping'!$J$5:$J$83)/SUMPRODUCT(('Control Mapping'!$C$5:$C$83=D77)*'Control Mapping'!$E$5:$E$83*('Control Mapping'!$J$5:$J$83&gt;0)),""))</f>
        <v>2</v>
      </c>
      <c r="M77" s="34" t="n">
        <f aca="false">IF(NOT(ISNUMBER($G77)),"",IF(J77=0,4,MAX(MATCH(L77,'Residual Config'!$E$11:$E$14,1),IF(K77&gt;0,'Residual Config'!$C$7,1))))</f>
        <v>2</v>
      </c>
      <c r="N77" s="7" t="str">
        <f aca="false">IF(NOT(ISNUMBER($G77)),"",IF(J77=0,"Ineffective (no key control)",INDEX('Residual Config'!$B$11:$B$14,M77)))</f>
        <v>Largely effective</v>
      </c>
      <c r="O77" s="36" t="n">
        <f aca="false">IF(NOT(ISNUMBER($G77)),"",IF(J77=0,0,SUMPRODUCT(('Control Mapping'!$C$5:$C$83=D77)*'Control Mapping'!$E$5:$E$83*(('Control Mapping'!$J$5:$J$83=1)*'Residual Config'!$D$11+('Control Mapping'!$J$5:$J$83=2)*'Residual Config'!$D$12+('Control Mapping'!$J$5:$J$83=3)*'Residual Config'!$D$13+('Control Mapping'!$J$5:$J$83=4)*'Residual Config'!$D$14))/SUMPRODUCT(('Control Mapping'!$C$5:$C$83=D77)*'Control Mapping'!$E$5:$E$83*('Control Mapping'!$J$5:$J$83&gt;0))))</f>
        <v>0.4</v>
      </c>
      <c r="P77" s="31" t="n">
        <f aca="false">IF(NOT(ISNUMBER($G77)),"",INDEX('Residual Config'!$B$19:$E$23,6-G77,M77))</f>
        <v>2</v>
      </c>
      <c r="Q77" s="29" t="n">
        <f aca="false">IF(NOT(ISNUMBER($G77)),"",MAX(1,F77*(1-O77)))</f>
        <v>1.8</v>
      </c>
      <c r="R77" s="31" t="n">
        <f aca="false">IF(NOT(ISNUMBER($G77)),"",MAX(MATCH(Q77,Config!$D$5:$D$9,1),G77-'Residual Config'!$C$6))</f>
        <v>1</v>
      </c>
      <c r="S77" s="34" t="n">
        <f aca="false">IF(NOT(ISNUMBER($G77)),"",IF('Residual Config'!$C$5="Numeric",R77,P77))</f>
        <v>2</v>
      </c>
      <c r="T77" s="7" t="str">
        <f aca="false">IF(G77="N/A","N/A",IF(S77="","No data",INDEX(Config!$B$5:$B$9,S77)))</f>
        <v>Medium-Low</v>
      </c>
      <c r="U77" s="32" t="n">
        <v>0</v>
      </c>
      <c r="V77" s="8"/>
      <c r="W77" s="33"/>
      <c r="X77" s="34" t="n">
        <f aca="false">IF(S77="","",IF(AND(W77="Y",U77&lt;&gt;0),MAX(1,MIN(5,S77+MAX(-Config!$C$27,MIN(Config!$C$27,U77)))),S77))</f>
        <v>2</v>
      </c>
      <c r="Y77" s="35" t="str">
        <f aca="false">IF(G77="N/A","N/A",IF(X77="","No data",INDEX(Config!$B$5:$B$9,X77)))</f>
        <v>Medium-Low</v>
      </c>
      <c r="Z77" s="7" t="str">
        <f aca="false">IF(U77=0,"None",IF(W77="Y","Applied","Pending HO approval"))</f>
        <v>None</v>
      </c>
      <c r="AA77" s="12" t="str">
        <f aca="false">INDEX('Risk Taxonomy'!$G$5:$G$24,MATCH(D77,'Risk Taxonomy'!$A$5:$A$24,0))</f>
        <v>Moderate</v>
      </c>
      <c r="AB77" s="7" t="str">
        <f aca="false">INDEX('Risk Taxonomy'!$H$5:$H$24,MATCH(D77,'Risk Taxonomy'!$A$5:$A$24,0))</f>
        <v>Medium-High</v>
      </c>
      <c r="AC77" s="35" t="str">
        <f aca="false">IF(NOT(ISNUMBER(X77)),"",IF(X77&lt;=MATCH(AB77,Config!$B$5:$B$9,0),"Within",IF(OR(X77-MATCH(AB77,Config!$B$5:$B$9,0)&gt;=2,AND('Residual Config'!$C$8="Y",ISNUMBER(SEARCH("Zero",AA77)))),"Red","Amber")))</f>
        <v>Within</v>
      </c>
      <c r="AD77" s="12" t="str">
        <f aca="false">IF(AC77="Red","Group CCO / CRO and Country CEO within 2 business days; action plan in 15 days; report to Board Risk &amp; Compliance Committee",IF(AC77="Amber","Country CO, risk owner and HO Administrator within 5 business days; action plan in 30 days",""))</f>
        <v/>
      </c>
    </row>
    <row r="78" customFormat="false" ht="15" hidden="false" customHeight="false" outlineLevel="0" collapsed="false">
      <c r="A78" s="26" t="str">
        <f aca="false">Entities!$A$8</f>
        <v>JO-INS</v>
      </c>
      <c r="B78" s="12" t="str">
        <f aca="false">INDEX(Entities!$B$5:$B$34,MATCH(A78,Entities!$A$5:$A$34,0))</f>
        <v>Insurance subsidiary – Jordan</v>
      </c>
      <c r="C78" s="12" t="str">
        <f aca="false">INDEX(Entities!$D$5:$D$34,MATCH(A78,Entities!$A$5:$A$34,0))</f>
        <v>Jordan (home)</v>
      </c>
      <c r="D78" s="12" t="s">
        <v>304</v>
      </c>
      <c r="E78" s="12" t="str">
        <f aca="false">INDEX('Risk Taxonomy'!$B$5:$B$24,MATCH(D78,'Risk Taxonomy'!$A$5:$A$24,0))</f>
        <v>Liquidity and funding risk</v>
      </c>
      <c r="F78" s="29" t="n">
        <f aca="false">IF(NOT(ISNUMBER(G78)),"",G78)</f>
        <v>3</v>
      </c>
      <c r="G78" s="34" t="n">
        <f aca="false">IF(COUNTIFS('LxI Assessment'!$A$5:$A$394,A78,'LxI Assessment'!$D$5:$D$394,D78,'LxI Assessment'!$F$5:$F$394,"N/A")&gt;0,"N/A",IF(COUNTIFS('LxI Assessment'!$A$5:$A$394,A78,'LxI Assessment'!$D$5:$D$394,D78,'LxI Assessment'!$S$5:$S$394,"&gt;0")=0,"",SUMIFS('LxI Assessment'!$S$5:$S$394,'LxI Assessment'!$A$5:$A$394,A78,'LxI Assessment'!$D$5:$D$394,D78)))</f>
        <v>3</v>
      </c>
      <c r="H78" s="7" t="str">
        <f aca="false">IF(G78="N/A","N/A",IF(G78="","No data",INDEX(Config!$B$5:$B$9,G78)))</f>
        <v>Medium</v>
      </c>
      <c r="I78" s="31" t="n">
        <f aca="false">IF(NOT(ISNUMBER($G78)),"",SUMPRODUCT(('Control Mapping'!$C$5:$C$83=D78)*('Control Mapping'!$J$5:$J$83&gt;0)))</f>
        <v>1</v>
      </c>
      <c r="J78" s="31" t="n">
        <f aca="false">IF(NOT(ISNUMBER($G78)),"",SUMPRODUCT(('Control Mapping'!$C$5:$C$83=D78)*('Control Mapping'!$F$5:$F$83="Y")*('Control Mapping'!$J$5:$J$83&gt;0)))</f>
        <v>1</v>
      </c>
      <c r="K78" s="31" t="n">
        <f aca="false">IF(NOT(ISNUMBER($G78)),"",SUMPRODUCT(('Control Mapping'!$C$5:$C$83=D78)*('Control Mapping'!$F$5:$F$83="Y")*('Control Mapping'!$J$5:$J$83=4)))</f>
        <v>0</v>
      </c>
      <c r="L78" s="29" t="n">
        <f aca="false">IF(NOT(ISNUMBER($G78)),"",IFERROR(SUMPRODUCT(('Control Mapping'!$C$5:$C$83=D78)*'Control Mapping'!$E$5:$E$83*'Control Mapping'!$J$5:$J$83)/SUMPRODUCT(('Control Mapping'!$C$5:$C$83=D78)*'Control Mapping'!$E$5:$E$83*('Control Mapping'!$J$5:$J$83&gt;0)),""))</f>
        <v>1</v>
      </c>
      <c r="M78" s="34" t="n">
        <f aca="false">IF(NOT(ISNUMBER($G78)),"",IF(J78=0,4,MAX(MATCH(L78,'Residual Config'!$E$11:$E$14,1),IF(K78&gt;0,'Residual Config'!$C$7,1))))</f>
        <v>1</v>
      </c>
      <c r="N78" s="7" t="str">
        <f aca="false">IF(NOT(ISNUMBER($G78)),"",IF(J78=0,"Ineffective (no key control)",INDEX('Residual Config'!$B$11:$B$14,M78)))</f>
        <v>Effective</v>
      </c>
      <c r="O78" s="36" t="n">
        <f aca="false">IF(NOT(ISNUMBER($G78)),"",IF(J78=0,0,SUMPRODUCT(('Control Mapping'!$C$5:$C$83=D78)*'Control Mapping'!$E$5:$E$83*(('Control Mapping'!$J$5:$J$83=1)*'Residual Config'!$D$11+('Control Mapping'!$J$5:$J$83=2)*'Residual Config'!$D$12+('Control Mapping'!$J$5:$J$83=3)*'Residual Config'!$D$13+('Control Mapping'!$J$5:$J$83=4)*'Residual Config'!$D$14))/SUMPRODUCT(('Control Mapping'!$C$5:$C$83=D78)*'Control Mapping'!$E$5:$E$83*('Control Mapping'!$J$5:$J$83&gt;0))))</f>
        <v>0.6</v>
      </c>
      <c r="P78" s="31" t="n">
        <f aca="false">IF(NOT(ISNUMBER($G78)),"",INDEX('Residual Config'!$B$19:$E$23,6-G78,M78))</f>
        <v>1</v>
      </c>
      <c r="Q78" s="29" t="n">
        <f aca="false">IF(NOT(ISNUMBER($G78)),"",MAX(1,F78*(1-O78)))</f>
        <v>1.2</v>
      </c>
      <c r="R78" s="31" t="n">
        <f aca="false">IF(NOT(ISNUMBER($G78)),"",MAX(MATCH(Q78,Config!$D$5:$D$9,1),G78-'Residual Config'!$C$6))</f>
        <v>1</v>
      </c>
      <c r="S78" s="34" t="n">
        <f aca="false">IF(NOT(ISNUMBER($G78)),"",IF('Residual Config'!$C$5="Numeric",R78,P78))</f>
        <v>1</v>
      </c>
      <c r="T78" s="7" t="str">
        <f aca="false">IF(G78="N/A","N/A",IF(S78="","No data",INDEX(Config!$B$5:$B$9,S78)))</f>
        <v>Low</v>
      </c>
      <c r="U78" s="32" t="n">
        <v>0</v>
      </c>
      <c r="V78" s="8"/>
      <c r="W78" s="33"/>
      <c r="X78" s="34" t="n">
        <f aca="false">IF(S78="","",IF(AND(W78="Y",U78&lt;&gt;0),MAX(1,MIN(5,S78+MAX(-Config!$C$27,MIN(Config!$C$27,U78)))),S78))</f>
        <v>1</v>
      </c>
      <c r="Y78" s="35" t="str">
        <f aca="false">IF(G78="N/A","N/A",IF(X78="","No data",INDEX(Config!$B$5:$B$9,X78)))</f>
        <v>Low</v>
      </c>
      <c r="Z78" s="7" t="str">
        <f aca="false">IF(U78=0,"None",IF(W78="Y","Applied","Pending HO approval"))</f>
        <v>None</v>
      </c>
      <c r="AA78" s="12" t="str">
        <f aca="false">INDEX('Risk Taxonomy'!$G$5:$G$24,MATCH(D78,'Risk Taxonomy'!$A$5:$A$24,0))</f>
        <v>Low</v>
      </c>
      <c r="AB78" s="7" t="str">
        <f aca="false">INDEX('Risk Taxonomy'!$H$5:$H$24,MATCH(D78,'Risk Taxonomy'!$A$5:$A$24,0))</f>
        <v>Medium</v>
      </c>
      <c r="AC78" s="35" t="str">
        <f aca="false">IF(NOT(ISNUMBER(X78)),"",IF(X78&lt;=MATCH(AB78,Config!$B$5:$B$9,0),"Within",IF(OR(X78-MATCH(AB78,Config!$B$5:$B$9,0)&gt;=2,AND('Residual Config'!$C$8="Y",ISNUMBER(SEARCH("Zero",AA78)))),"Red","Amber")))</f>
        <v>Within</v>
      </c>
      <c r="AD78" s="12" t="str">
        <f aca="false">IF(AC78="Red","Group CCO / CRO and Country CEO within 2 business days; action plan in 15 days; report to Board Risk &amp; Compliance Committee",IF(AC78="Amber","Country CO, risk owner and HO Administrator within 5 business days; action plan in 30 days",""))</f>
        <v/>
      </c>
    </row>
    <row r="79" customFormat="false" ht="15" hidden="false" customHeight="false" outlineLevel="0" collapsed="false">
      <c r="A79" s="26" t="str">
        <f aca="false">Entities!$A$8</f>
        <v>JO-INS</v>
      </c>
      <c r="B79" s="12" t="str">
        <f aca="false">INDEX(Entities!$B$5:$B$34,MATCH(A79,Entities!$A$5:$A$34,0))</f>
        <v>Insurance subsidiary – Jordan</v>
      </c>
      <c r="C79" s="12" t="str">
        <f aca="false">INDEX(Entities!$D$5:$D$34,MATCH(A79,Entities!$A$5:$A$34,0))</f>
        <v>Jordan (home)</v>
      </c>
      <c r="D79" s="12" t="s">
        <v>307</v>
      </c>
      <c r="E79" s="12" t="str">
        <f aca="false">INDEX('Risk Taxonomy'!$B$5:$B$24,MATCH(D79,'Risk Taxonomy'!$A$5:$A$24,0))</f>
        <v>Operational risk</v>
      </c>
      <c r="F79" s="29" t="n">
        <f aca="false">IF(NOT(ISNUMBER(G79)),"",G79)</f>
        <v>3</v>
      </c>
      <c r="G79" s="34" t="n">
        <f aca="false">IF(COUNTIFS('LxI Assessment'!$A$5:$A$394,A79,'LxI Assessment'!$D$5:$D$394,D79,'LxI Assessment'!$F$5:$F$394,"N/A")&gt;0,"N/A",IF(COUNTIFS('LxI Assessment'!$A$5:$A$394,A79,'LxI Assessment'!$D$5:$D$394,D79,'LxI Assessment'!$S$5:$S$394,"&gt;0")=0,"",SUMIFS('LxI Assessment'!$S$5:$S$394,'LxI Assessment'!$A$5:$A$394,A79,'LxI Assessment'!$D$5:$D$394,D79)))</f>
        <v>3</v>
      </c>
      <c r="H79" s="7" t="str">
        <f aca="false">IF(G79="N/A","N/A",IF(G79="","No data",INDEX(Config!$B$5:$B$9,G79)))</f>
        <v>Medium</v>
      </c>
      <c r="I79" s="31" t="n">
        <f aca="false">IF(NOT(ISNUMBER($G79)),"",SUMPRODUCT(('Control Mapping'!$C$5:$C$83=D79)*('Control Mapping'!$J$5:$J$83&gt;0)))</f>
        <v>3</v>
      </c>
      <c r="J79" s="31" t="n">
        <f aca="false">IF(NOT(ISNUMBER($G79)),"",SUMPRODUCT(('Control Mapping'!$C$5:$C$83=D79)*('Control Mapping'!$F$5:$F$83="Y")*('Control Mapping'!$J$5:$J$83&gt;0)))</f>
        <v>2</v>
      </c>
      <c r="K79" s="31" t="n">
        <f aca="false">IF(NOT(ISNUMBER($G79)),"",SUMPRODUCT(('Control Mapping'!$C$5:$C$83=D79)*('Control Mapping'!$F$5:$F$83="Y")*('Control Mapping'!$J$5:$J$83=4)))</f>
        <v>0</v>
      </c>
      <c r="L79" s="29" t="n">
        <f aca="false">IF(NOT(ISNUMBER($G79)),"",IFERROR(SUMPRODUCT(('Control Mapping'!$C$5:$C$83=D79)*'Control Mapping'!$E$5:$E$83*'Control Mapping'!$J$5:$J$83)/SUMPRODUCT(('Control Mapping'!$C$5:$C$83=D79)*'Control Mapping'!$E$5:$E$83*('Control Mapping'!$J$5:$J$83&gt;0)),""))</f>
        <v>2</v>
      </c>
      <c r="M79" s="34" t="n">
        <f aca="false">IF(NOT(ISNUMBER($G79)),"",IF(J79=0,4,MAX(MATCH(L79,'Residual Config'!$E$11:$E$14,1),IF(K79&gt;0,'Residual Config'!$C$7,1))))</f>
        <v>2</v>
      </c>
      <c r="N79" s="7" t="str">
        <f aca="false">IF(NOT(ISNUMBER($G79)),"",IF(J79=0,"Ineffective (no key control)",INDEX('Residual Config'!$B$11:$B$14,M79)))</f>
        <v>Largely effective</v>
      </c>
      <c r="O79" s="36" t="n">
        <f aca="false">IF(NOT(ISNUMBER($G79)),"",IF(J79=0,0,SUMPRODUCT(('Control Mapping'!$C$5:$C$83=D79)*'Control Mapping'!$E$5:$E$83*(('Control Mapping'!$J$5:$J$83=1)*'Residual Config'!$D$11+('Control Mapping'!$J$5:$J$83=2)*'Residual Config'!$D$12+('Control Mapping'!$J$5:$J$83=3)*'Residual Config'!$D$13+('Control Mapping'!$J$5:$J$83=4)*'Residual Config'!$D$14))/SUMPRODUCT(('Control Mapping'!$C$5:$C$83=D79)*'Control Mapping'!$E$5:$E$83*('Control Mapping'!$J$5:$J$83&gt;0))))</f>
        <v>0.4</v>
      </c>
      <c r="P79" s="31" t="n">
        <f aca="false">IF(NOT(ISNUMBER($G79)),"",INDEX('Residual Config'!$B$19:$E$23,6-G79,M79))</f>
        <v>2</v>
      </c>
      <c r="Q79" s="29" t="n">
        <f aca="false">IF(NOT(ISNUMBER($G79)),"",MAX(1,F79*(1-O79)))</f>
        <v>1.8</v>
      </c>
      <c r="R79" s="31" t="n">
        <f aca="false">IF(NOT(ISNUMBER($G79)),"",MAX(MATCH(Q79,Config!$D$5:$D$9,1),G79-'Residual Config'!$C$6))</f>
        <v>1</v>
      </c>
      <c r="S79" s="34" t="n">
        <f aca="false">IF(NOT(ISNUMBER($G79)),"",IF('Residual Config'!$C$5="Numeric",R79,P79))</f>
        <v>2</v>
      </c>
      <c r="T79" s="7" t="str">
        <f aca="false">IF(G79="N/A","N/A",IF(S79="","No data",INDEX(Config!$B$5:$B$9,S79)))</f>
        <v>Medium-Low</v>
      </c>
      <c r="U79" s="32" t="n">
        <v>0</v>
      </c>
      <c r="V79" s="8"/>
      <c r="W79" s="33"/>
      <c r="X79" s="34" t="n">
        <f aca="false">IF(S79="","",IF(AND(W79="Y",U79&lt;&gt;0),MAX(1,MIN(5,S79+MAX(-Config!$C$27,MIN(Config!$C$27,U79)))),S79))</f>
        <v>2</v>
      </c>
      <c r="Y79" s="35" t="str">
        <f aca="false">IF(G79="N/A","N/A",IF(X79="","No data",INDEX(Config!$B$5:$B$9,X79)))</f>
        <v>Medium-Low</v>
      </c>
      <c r="Z79" s="7" t="str">
        <f aca="false">IF(U79=0,"None",IF(W79="Y","Applied","Pending HO approval"))</f>
        <v>None</v>
      </c>
      <c r="AA79" s="12" t="str">
        <f aca="false">INDEX('Risk Taxonomy'!$G$5:$G$24,MATCH(D79,'Risk Taxonomy'!$A$5:$A$24,0))</f>
        <v>Low</v>
      </c>
      <c r="AB79" s="7" t="str">
        <f aca="false">INDEX('Risk Taxonomy'!$H$5:$H$24,MATCH(D79,'Risk Taxonomy'!$A$5:$A$24,0))</f>
        <v>Medium</v>
      </c>
      <c r="AC79" s="35" t="str">
        <f aca="false">IF(NOT(ISNUMBER(X79)),"",IF(X79&lt;=MATCH(AB79,Config!$B$5:$B$9,0),"Within",IF(OR(X79-MATCH(AB79,Config!$B$5:$B$9,0)&gt;=2,AND('Residual Config'!$C$8="Y",ISNUMBER(SEARCH("Zero",AA79)))),"Red","Amber")))</f>
        <v>Within</v>
      </c>
      <c r="AD79" s="12" t="str">
        <f aca="false">IF(AC79="Red","Group CCO / CRO and Country CEO within 2 business days; action plan in 15 days; report to Board Risk &amp; Compliance Committee",IF(AC79="Amber","Country CO, risk owner and HO Administrator within 5 business days; action plan in 30 days",""))</f>
        <v/>
      </c>
    </row>
    <row r="80" customFormat="false" ht="15" hidden="false" customHeight="false" outlineLevel="0" collapsed="false">
      <c r="A80" s="26" t="str">
        <f aca="false">Entities!$A$8</f>
        <v>JO-INS</v>
      </c>
      <c r="B80" s="12" t="str">
        <f aca="false">INDEX(Entities!$B$5:$B$34,MATCH(A80,Entities!$A$5:$A$34,0))</f>
        <v>Insurance subsidiary – Jordan</v>
      </c>
      <c r="C80" s="12" t="str">
        <f aca="false">INDEX(Entities!$D$5:$D$34,MATCH(A80,Entities!$A$5:$A$34,0))</f>
        <v>Jordan (home)</v>
      </c>
      <c r="D80" s="12" t="s">
        <v>310</v>
      </c>
      <c r="E80" s="12" t="str">
        <f aca="false">INDEX('Risk Taxonomy'!$B$5:$B$24,MATCH(D80,'Risk Taxonomy'!$A$5:$A$24,0))</f>
        <v>Cyber, information security and technology</v>
      </c>
      <c r="F80" s="29" t="n">
        <f aca="false">IF(NOT(ISNUMBER(G80)),"",G80)</f>
        <v>3</v>
      </c>
      <c r="G80" s="34" t="n">
        <f aca="false">IF(COUNTIFS('LxI Assessment'!$A$5:$A$394,A80,'LxI Assessment'!$D$5:$D$394,D80,'LxI Assessment'!$F$5:$F$394,"N/A")&gt;0,"N/A",IF(COUNTIFS('LxI Assessment'!$A$5:$A$394,A80,'LxI Assessment'!$D$5:$D$394,D80,'LxI Assessment'!$S$5:$S$394,"&gt;0")=0,"",SUMIFS('LxI Assessment'!$S$5:$S$394,'LxI Assessment'!$A$5:$A$394,A80,'LxI Assessment'!$D$5:$D$394,D80)))</f>
        <v>3</v>
      </c>
      <c r="H80" s="7" t="str">
        <f aca="false">IF(G80="N/A","N/A",IF(G80="","No data",INDEX(Config!$B$5:$B$9,G80)))</f>
        <v>Medium</v>
      </c>
      <c r="I80" s="31" t="n">
        <f aca="false">IF(NOT(ISNUMBER($G80)),"",SUMPRODUCT(('Control Mapping'!$C$5:$C$83=D80)*('Control Mapping'!$J$5:$J$83&gt;0)))</f>
        <v>4</v>
      </c>
      <c r="J80" s="31" t="n">
        <f aca="false">IF(NOT(ISNUMBER($G80)),"",SUMPRODUCT(('Control Mapping'!$C$5:$C$83=D80)*('Control Mapping'!$F$5:$F$83="Y")*('Control Mapping'!$J$5:$J$83&gt;0)))</f>
        <v>4</v>
      </c>
      <c r="K80" s="31" t="n">
        <f aca="false">IF(NOT(ISNUMBER($G80)),"",SUMPRODUCT(('Control Mapping'!$C$5:$C$83=D80)*('Control Mapping'!$F$5:$F$83="Y")*('Control Mapping'!$J$5:$J$83=4)))</f>
        <v>0</v>
      </c>
      <c r="L80" s="29" t="n">
        <f aca="false">IF(NOT(ISNUMBER($G80)),"",IFERROR(SUMPRODUCT(('Control Mapping'!$C$5:$C$83=D80)*'Control Mapping'!$E$5:$E$83*'Control Mapping'!$J$5:$J$83)/SUMPRODUCT(('Control Mapping'!$C$5:$C$83=D80)*'Control Mapping'!$E$5:$E$83*('Control Mapping'!$J$5:$J$83&gt;0)),""))</f>
        <v>2</v>
      </c>
      <c r="M80" s="34" t="n">
        <f aca="false">IF(NOT(ISNUMBER($G80)),"",IF(J80=0,4,MAX(MATCH(L80,'Residual Config'!$E$11:$E$14,1),IF(K80&gt;0,'Residual Config'!$C$7,1))))</f>
        <v>2</v>
      </c>
      <c r="N80" s="7" t="str">
        <f aca="false">IF(NOT(ISNUMBER($G80)),"",IF(J80=0,"Ineffective (no key control)",INDEX('Residual Config'!$B$11:$B$14,M80)))</f>
        <v>Largely effective</v>
      </c>
      <c r="O80" s="36" t="n">
        <f aca="false">IF(NOT(ISNUMBER($G80)),"",IF(J80=0,0,SUMPRODUCT(('Control Mapping'!$C$5:$C$83=D80)*'Control Mapping'!$E$5:$E$83*(('Control Mapping'!$J$5:$J$83=1)*'Residual Config'!$D$11+('Control Mapping'!$J$5:$J$83=2)*'Residual Config'!$D$12+('Control Mapping'!$J$5:$J$83=3)*'Residual Config'!$D$13+('Control Mapping'!$J$5:$J$83=4)*'Residual Config'!$D$14))/SUMPRODUCT(('Control Mapping'!$C$5:$C$83=D80)*'Control Mapping'!$E$5:$E$83*('Control Mapping'!$J$5:$J$83&gt;0))))</f>
        <v>0.4</v>
      </c>
      <c r="P80" s="31" t="n">
        <f aca="false">IF(NOT(ISNUMBER($G80)),"",INDEX('Residual Config'!$B$19:$E$23,6-G80,M80))</f>
        <v>2</v>
      </c>
      <c r="Q80" s="29" t="n">
        <f aca="false">IF(NOT(ISNUMBER($G80)),"",MAX(1,F80*(1-O80)))</f>
        <v>1.8</v>
      </c>
      <c r="R80" s="31" t="n">
        <f aca="false">IF(NOT(ISNUMBER($G80)),"",MAX(MATCH(Q80,Config!$D$5:$D$9,1),G80-'Residual Config'!$C$6))</f>
        <v>1</v>
      </c>
      <c r="S80" s="34" t="n">
        <f aca="false">IF(NOT(ISNUMBER($G80)),"",IF('Residual Config'!$C$5="Numeric",R80,P80))</f>
        <v>2</v>
      </c>
      <c r="T80" s="7" t="str">
        <f aca="false">IF(G80="N/A","N/A",IF(S80="","No data",INDEX(Config!$B$5:$B$9,S80)))</f>
        <v>Medium-Low</v>
      </c>
      <c r="U80" s="32" t="n">
        <v>0</v>
      </c>
      <c r="V80" s="8"/>
      <c r="W80" s="33"/>
      <c r="X80" s="34" t="n">
        <f aca="false">IF(S80="","",IF(AND(W80="Y",U80&lt;&gt;0),MAX(1,MIN(5,S80+MAX(-Config!$C$27,MIN(Config!$C$27,U80)))),S80))</f>
        <v>2</v>
      </c>
      <c r="Y80" s="35" t="str">
        <f aca="false">IF(G80="N/A","N/A",IF(X80="","No data",INDEX(Config!$B$5:$B$9,X80)))</f>
        <v>Medium-Low</v>
      </c>
      <c r="Z80" s="7" t="str">
        <f aca="false">IF(U80=0,"None",IF(W80="Y","Applied","Pending HO approval"))</f>
        <v>None</v>
      </c>
      <c r="AA80" s="12" t="str">
        <f aca="false">INDEX('Risk Taxonomy'!$G$5:$G$24,MATCH(D80,'Risk Taxonomy'!$A$5:$A$24,0))</f>
        <v>Very low</v>
      </c>
      <c r="AB80" s="7" t="str">
        <f aca="false">INDEX('Risk Taxonomy'!$H$5:$H$24,MATCH(D80,'Risk Taxonomy'!$A$5:$A$24,0))</f>
        <v>Medium-Low</v>
      </c>
      <c r="AC80" s="35" t="str">
        <f aca="false">IF(NOT(ISNUMBER(X80)),"",IF(X80&lt;=MATCH(AB80,Config!$B$5:$B$9,0),"Within",IF(OR(X80-MATCH(AB80,Config!$B$5:$B$9,0)&gt;=2,AND('Residual Config'!$C$8="Y",ISNUMBER(SEARCH("Zero",AA80)))),"Red","Amber")))</f>
        <v>Within</v>
      </c>
      <c r="AD80" s="12" t="str">
        <f aca="false">IF(AC80="Red","Group CCO / CRO and Country CEO within 2 business days; action plan in 15 days; report to Board Risk &amp; Compliance Committee",IF(AC80="Amber","Country CO, risk owner and HO Administrator within 5 business days; action plan in 30 days",""))</f>
        <v/>
      </c>
    </row>
    <row r="81" customFormat="false" ht="15" hidden="false" customHeight="false" outlineLevel="0" collapsed="false">
      <c r="A81" s="26" t="str">
        <f aca="false">Entities!$A$8</f>
        <v>JO-INS</v>
      </c>
      <c r="B81" s="12" t="str">
        <f aca="false">INDEX(Entities!$B$5:$B$34,MATCH(A81,Entities!$A$5:$A$34,0))</f>
        <v>Insurance subsidiary – Jordan</v>
      </c>
      <c r="C81" s="12" t="str">
        <f aca="false">INDEX(Entities!$D$5:$D$34,MATCH(A81,Entities!$A$5:$A$34,0))</f>
        <v>Jordan (home)</v>
      </c>
      <c r="D81" s="12" t="s">
        <v>313</v>
      </c>
      <c r="E81" s="12" t="str">
        <f aca="false">INDEX('Risk Taxonomy'!$B$5:$B$24,MATCH(D81,'Risk Taxonomy'!$A$5:$A$24,0))</f>
        <v>Third-party and outsourcing</v>
      </c>
      <c r="F81" s="29" t="n">
        <f aca="false">IF(NOT(ISNUMBER(G81)),"",G81)</f>
        <v>3</v>
      </c>
      <c r="G81" s="34" t="n">
        <f aca="false">IF(COUNTIFS('LxI Assessment'!$A$5:$A$394,A81,'LxI Assessment'!$D$5:$D$394,D81,'LxI Assessment'!$F$5:$F$394,"N/A")&gt;0,"N/A",IF(COUNTIFS('LxI Assessment'!$A$5:$A$394,A81,'LxI Assessment'!$D$5:$D$394,D81,'LxI Assessment'!$S$5:$S$394,"&gt;0")=0,"",SUMIFS('LxI Assessment'!$S$5:$S$394,'LxI Assessment'!$A$5:$A$394,A81,'LxI Assessment'!$D$5:$D$394,D81)))</f>
        <v>3</v>
      </c>
      <c r="H81" s="7" t="str">
        <f aca="false">IF(G81="N/A","N/A",IF(G81="","No data",INDEX(Config!$B$5:$B$9,G81)))</f>
        <v>Medium</v>
      </c>
      <c r="I81" s="31" t="n">
        <f aca="false">IF(NOT(ISNUMBER($G81)),"",SUMPRODUCT(('Control Mapping'!$C$5:$C$83=D81)*('Control Mapping'!$J$5:$J$83&gt;0)))</f>
        <v>2</v>
      </c>
      <c r="J81" s="31" t="n">
        <f aca="false">IF(NOT(ISNUMBER($G81)),"",SUMPRODUCT(('Control Mapping'!$C$5:$C$83=D81)*('Control Mapping'!$F$5:$F$83="Y")*('Control Mapping'!$J$5:$J$83&gt;0)))</f>
        <v>2</v>
      </c>
      <c r="K81" s="31" t="n">
        <f aca="false">IF(NOT(ISNUMBER($G81)),"",SUMPRODUCT(('Control Mapping'!$C$5:$C$83=D81)*('Control Mapping'!$F$5:$F$83="Y")*('Control Mapping'!$J$5:$J$83=4)))</f>
        <v>0</v>
      </c>
      <c r="L81" s="29" t="n">
        <f aca="false">IF(NOT(ISNUMBER($G81)),"",IFERROR(SUMPRODUCT(('Control Mapping'!$C$5:$C$83=D81)*'Control Mapping'!$E$5:$E$83*'Control Mapping'!$J$5:$J$83)/SUMPRODUCT(('Control Mapping'!$C$5:$C$83=D81)*'Control Mapping'!$E$5:$E$83*('Control Mapping'!$J$5:$J$83&gt;0)),""))</f>
        <v>2</v>
      </c>
      <c r="M81" s="34" t="n">
        <f aca="false">IF(NOT(ISNUMBER($G81)),"",IF(J81=0,4,MAX(MATCH(L81,'Residual Config'!$E$11:$E$14,1),IF(K81&gt;0,'Residual Config'!$C$7,1))))</f>
        <v>2</v>
      </c>
      <c r="N81" s="7" t="str">
        <f aca="false">IF(NOT(ISNUMBER($G81)),"",IF(J81=0,"Ineffective (no key control)",INDEX('Residual Config'!$B$11:$B$14,M81)))</f>
        <v>Largely effective</v>
      </c>
      <c r="O81" s="36" t="n">
        <f aca="false">IF(NOT(ISNUMBER($G81)),"",IF(J81=0,0,SUMPRODUCT(('Control Mapping'!$C$5:$C$83=D81)*'Control Mapping'!$E$5:$E$83*(('Control Mapping'!$J$5:$J$83=1)*'Residual Config'!$D$11+('Control Mapping'!$J$5:$J$83=2)*'Residual Config'!$D$12+('Control Mapping'!$J$5:$J$83=3)*'Residual Config'!$D$13+('Control Mapping'!$J$5:$J$83=4)*'Residual Config'!$D$14))/SUMPRODUCT(('Control Mapping'!$C$5:$C$83=D81)*'Control Mapping'!$E$5:$E$83*('Control Mapping'!$J$5:$J$83&gt;0))))</f>
        <v>0.4</v>
      </c>
      <c r="P81" s="31" t="n">
        <f aca="false">IF(NOT(ISNUMBER($G81)),"",INDEX('Residual Config'!$B$19:$E$23,6-G81,M81))</f>
        <v>2</v>
      </c>
      <c r="Q81" s="29" t="n">
        <f aca="false">IF(NOT(ISNUMBER($G81)),"",MAX(1,F81*(1-O81)))</f>
        <v>1.8</v>
      </c>
      <c r="R81" s="31" t="n">
        <f aca="false">IF(NOT(ISNUMBER($G81)),"",MAX(MATCH(Q81,Config!$D$5:$D$9,1),G81-'Residual Config'!$C$6))</f>
        <v>1</v>
      </c>
      <c r="S81" s="34" t="n">
        <f aca="false">IF(NOT(ISNUMBER($G81)),"",IF('Residual Config'!$C$5="Numeric",R81,P81))</f>
        <v>2</v>
      </c>
      <c r="T81" s="7" t="str">
        <f aca="false">IF(G81="N/A","N/A",IF(S81="","No data",INDEX(Config!$B$5:$B$9,S81)))</f>
        <v>Medium-Low</v>
      </c>
      <c r="U81" s="32" t="n">
        <v>0</v>
      </c>
      <c r="V81" s="8"/>
      <c r="W81" s="33"/>
      <c r="X81" s="34" t="n">
        <f aca="false">IF(S81="","",IF(AND(W81="Y",U81&lt;&gt;0),MAX(1,MIN(5,S81+MAX(-Config!$C$27,MIN(Config!$C$27,U81)))),S81))</f>
        <v>2</v>
      </c>
      <c r="Y81" s="35" t="str">
        <f aca="false">IF(G81="N/A","N/A",IF(X81="","No data",INDEX(Config!$B$5:$B$9,X81)))</f>
        <v>Medium-Low</v>
      </c>
      <c r="Z81" s="7" t="str">
        <f aca="false">IF(U81=0,"None",IF(W81="Y","Applied","Pending HO approval"))</f>
        <v>None</v>
      </c>
      <c r="AA81" s="12" t="str">
        <f aca="false">INDEX('Risk Taxonomy'!$G$5:$G$24,MATCH(D81,'Risk Taxonomy'!$A$5:$A$24,0))</f>
        <v>Low</v>
      </c>
      <c r="AB81" s="7" t="str">
        <f aca="false">INDEX('Risk Taxonomy'!$H$5:$H$24,MATCH(D81,'Risk Taxonomy'!$A$5:$A$24,0))</f>
        <v>Medium</v>
      </c>
      <c r="AC81" s="35" t="str">
        <f aca="false">IF(NOT(ISNUMBER(X81)),"",IF(X81&lt;=MATCH(AB81,Config!$B$5:$B$9,0),"Within",IF(OR(X81-MATCH(AB81,Config!$B$5:$B$9,0)&gt;=2,AND('Residual Config'!$C$8="Y",ISNUMBER(SEARCH("Zero",AA81)))),"Red","Amber")))</f>
        <v>Within</v>
      </c>
      <c r="AD81" s="12" t="str">
        <f aca="false">IF(AC81="Red","Group CCO / CRO and Country CEO within 2 business days; action plan in 15 days; report to Board Risk &amp; Compliance Committee",IF(AC81="Amber","Country CO, risk owner and HO Administrator within 5 business days; action plan in 30 days",""))</f>
        <v/>
      </c>
    </row>
    <row r="82" customFormat="false" ht="15" hidden="false" customHeight="false" outlineLevel="0" collapsed="false">
      <c r="A82" s="26" t="str">
        <f aca="false">Entities!$A$8</f>
        <v>JO-INS</v>
      </c>
      <c r="B82" s="12" t="str">
        <f aca="false">INDEX(Entities!$B$5:$B$34,MATCH(A82,Entities!$A$5:$A$34,0))</f>
        <v>Insurance subsidiary – Jordan</v>
      </c>
      <c r="C82" s="12" t="str">
        <f aca="false">INDEX(Entities!$D$5:$D$34,MATCH(A82,Entities!$A$5:$A$34,0))</f>
        <v>Jordan (home)</v>
      </c>
      <c r="D82" s="12" t="s">
        <v>316</v>
      </c>
      <c r="E82" s="12" t="str">
        <f aca="false">INDEX('Risk Taxonomy'!$B$5:$B$24,MATCH(D82,'Risk Taxonomy'!$A$5:$A$24,0))</f>
        <v>Legal and litigation</v>
      </c>
      <c r="F82" s="29" t="n">
        <f aca="false">IF(NOT(ISNUMBER(G82)),"",G82)</f>
        <v>3</v>
      </c>
      <c r="G82" s="34" t="n">
        <f aca="false">IF(COUNTIFS('LxI Assessment'!$A$5:$A$394,A82,'LxI Assessment'!$D$5:$D$394,D82,'LxI Assessment'!$F$5:$F$394,"N/A")&gt;0,"N/A",IF(COUNTIFS('LxI Assessment'!$A$5:$A$394,A82,'LxI Assessment'!$D$5:$D$394,D82,'LxI Assessment'!$S$5:$S$394,"&gt;0")=0,"",SUMIFS('LxI Assessment'!$S$5:$S$394,'LxI Assessment'!$A$5:$A$394,A82,'LxI Assessment'!$D$5:$D$394,D82)))</f>
        <v>3</v>
      </c>
      <c r="H82" s="7" t="str">
        <f aca="false">IF(G82="N/A","N/A",IF(G82="","No data",INDEX(Config!$B$5:$B$9,G82)))</f>
        <v>Medium</v>
      </c>
      <c r="I82" s="31" t="n">
        <f aca="false">IF(NOT(ISNUMBER($G82)),"",SUMPRODUCT(('Control Mapping'!$C$5:$C$83=D82)*('Control Mapping'!$J$5:$J$83&gt;0)))</f>
        <v>1</v>
      </c>
      <c r="J82" s="31" t="n">
        <f aca="false">IF(NOT(ISNUMBER($G82)),"",SUMPRODUCT(('Control Mapping'!$C$5:$C$83=D82)*('Control Mapping'!$F$5:$F$83="Y")*('Control Mapping'!$J$5:$J$83&gt;0)))</f>
        <v>1</v>
      </c>
      <c r="K82" s="31" t="n">
        <f aca="false">IF(NOT(ISNUMBER($G82)),"",SUMPRODUCT(('Control Mapping'!$C$5:$C$83=D82)*('Control Mapping'!$F$5:$F$83="Y")*('Control Mapping'!$J$5:$J$83=4)))</f>
        <v>0</v>
      </c>
      <c r="L82" s="29" t="n">
        <f aca="false">IF(NOT(ISNUMBER($G82)),"",IFERROR(SUMPRODUCT(('Control Mapping'!$C$5:$C$83=D82)*'Control Mapping'!$E$5:$E$83*'Control Mapping'!$J$5:$J$83)/SUMPRODUCT(('Control Mapping'!$C$5:$C$83=D82)*'Control Mapping'!$E$5:$E$83*('Control Mapping'!$J$5:$J$83&gt;0)),""))</f>
        <v>2</v>
      </c>
      <c r="M82" s="34" t="n">
        <f aca="false">IF(NOT(ISNUMBER($G82)),"",IF(J82=0,4,MAX(MATCH(L82,'Residual Config'!$E$11:$E$14,1),IF(K82&gt;0,'Residual Config'!$C$7,1))))</f>
        <v>2</v>
      </c>
      <c r="N82" s="7" t="str">
        <f aca="false">IF(NOT(ISNUMBER($G82)),"",IF(J82=0,"Ineffective (no key control)",INDEX('Residual Config'!$B$11:$B$14,M82)))</f>
        <v>Largely effective</v>
      </c>
      <c r="O82" s="36" t="n">
        <f aca="false">IF(NOT(ISNUMBER($G82)),"",IF(J82=0,0,SUMPRODUCT(('Control Mapping'!$C$5:$C$83=D82)*'Control Mapping'!$E$5:$E$83*(('Control Mapping'!$J$5:$J$83=1)*'Residual Config'!$D$11+('Control Mapping'!$J$5:$J$83=2)*'Residual Config'!$D$12+('Control Mapping'!$J$5:$J$83=3)*'Residual Config'!$D$13+('Control Mapping'!$J$5:$J$83=4)*'Residual Config'!$D$14))/SUMPRODUCT(('Control Mapping'!$C$5:$C$83=D82)*'Control Mapping'!$E$5:$E$83*('Control Mapping'!$J$5:$J$83&gt;0))))</f>
        <v>0.4</v>
      </c>
      <c r="P82" s="31" t="n">
        <f aca="false">IF(NOT(ISNUMBER($G82)),"",INDEX('Residual Config'!$B$19:$E$23,6-G82,M82))</f>
        <v>2</v>
      </c>
      <c r="Q82" s="29" t="n">
        <f aca="false">IF(NOT(ISNUMBER($G82)),"",MAX(1,F82*(1-O82)))</f>
        <v>1.8</v>
      </c>
      <c r="R82" s="31" t="n">
        <f aca="false">IF(NOT(ISNUMBER($G82)),"",MAX(MATCH(Q82,Config!$D$5:$D$9,1),G82-'Residual Config'!$C$6))</f>
        <v>1</v>
      </c>
      <c r="S82" s="34" t="n">
        <f aca="false">IF(NOT(ISNUMBER($G82)),"",IF('Residual Config'!$C$5="Numeric",R82,P82))</f>
        <v>2</v>
      </c>
      <c r="T82" s="7" t="str">
        <f aca="false">IF(G82="N/A","N/A",IF(S82="","No data",INDEX(Config!$B$5:$B$9,S82)))</f>
        <v>Medium-Low</v>
      </c>
      <c r="U82" s="32" t="n">
        <v>0</v>
      </c>
      <c r="V82" s="8"/>
      <c r="W82" s="33"/>
      <c r="X82" s="34" t="n">
        <f aca="false">IF(S82="","",IF(AND(W82="Y",U82&lt;&gt;0),MAX(1,MIN(5,S82+MAX(-Config!$C$27,MIN(Config!$C$27,U82)))),S82))</f>
        <v>2</v>
      </c>
      <c r="Y82" s="35" t="str">
        <f aca="false">IF(G82="N/A","N/A",IF(X82="","No data",INDEX(Config!$B$5:$B$9,X82)))</f>
        <v>Medium-Low</v>
      </c>
      <c r="Z82" s="7" t="str">
        <f aca="false">IF(U82=0,"None",IF(W82="Y","Applied","Pending HO approval"))</f>
        <v>None</v>
      </c>
      <c r="AA82" s="12" t="str">
        <f aca="false">INDEX('Risk Taxonomy'!$G$5:$G$24,MATCH(D82,'Risk Taxonomy'!$A$5:$A$24,0))</f>
        <v>Very low</v>
      </c>
      <c r="AB82" s="7" t="str">
        <f aca="false">INDEX('Risk Taxonomy'!$H$5:$H$24,MATCH(D82,'Risk Taxonomy'!$A$5:$A$24,0))</f>
        <v>Medium-Low</v>
      </c>
      <c r="AC82" s="35" t="str">
        <f aca="false">IF(NOT(ISNUMBER(X82)),"",IF(X82&lt;=MATCH(AB82,Config!$B$5:$B$9,0),"Within",IF(OR(X82-MATCH(AB82,Config!$B$5:$B$9,0)&gt;=2,AND('Residual Config'!$C$8="Y",ISNUMBER(SEARCH("Zero",AA82)))),"Red","Amber")))</f>
        <v>Within</v>
      </c>
      <c r="AD82" s="12" t="str">
        <f aca="false">IF(AC82="Red","Group CCO / CRO and Country CEO within 2 business days; action plan in 15 days; report to Board Risk &amp; Compliance Committee",IF(AC82="Amber","Country CO, risk owner and HO Administrator within 5 business days; action plan in 30 days",""))</f>
        <v/>
      </c>
    </row>
    <row r="83" customFormat="false" ht="15" hidden="false" customHeight="false" outlineLevel="0" collapsed="false">
      <c r="A83" s="26" t="str">
        <f aca="false">Entities!$A$8</f>
        <v>JO-INS</v>
      </c>
      <c r="B83" s="12" t="str">
        <f aca="false">INDEX(Entities!$B$5:$B$34,MATCH(A83,Entities!$A$5:$A$34,0))</f>
        <v>Insurance subsidiary – Jordan</v>
      </c>
      <c r="C83" s="12" t="str">
        <f aca="false">INDEX(Entities!$D$5:$D$34,MATCH(A83,Entities!$A$5:$A$34,0))</f>
        <v>Jordan (home)</v>
      </c>
      <c r="D83" s="12" t="s">
        <v>319</v>
      </c>
      <c r="E83" s="12" t="str">
        <f aca="false">INDEX('Risk Taxonomy'!$B$5:$B$24,MATCH(D83,'Risk Taxonomy'!$A$5:$A$24,0))</f>
        <v>Reputational</v>
      </c>
      <c r="F83" s="29" t="n">
        <f aca="false">IF(NOT(ISNUMBER(G83)),"",G83)</f>
        <v>3</v>
      </c>
      <c r="G83" s="34" t="n">
        <f aca="false">IF(COUNTIFS('LxI Assessment'!$A$5:$A$394,A83,'LxI Assessment'!$D$5:$D$394,D83,'LxI Assessment'!$F$5:$F$394,"N/A")&gt;0,"N/A",IF(COUNTIFS('LxI Assessment'!$A$5:$A$394,A83,'LxI Assessment'!$D$5:$D$394,D83,'LxI Assessment'!$S$5:$S$394,"&gt;0")=0,"",SUMIFS('LxI Assessment'!$S$5:$S$394,'LxI Assessment'!$A$5:$A$394,A83,'LxI Assessment'!$D$5:$D$394,D83)))</f>
        <v>3</v>
      </c>
      <c r="H83" s="7" t="str">
        <f aca="false">IF(G83="N/A","N/A",IF(G83="","No data",INDEX(Config!$B$5:$B$9,G83)))</f>
        <v>Medium</v>
      </c>
      <c r="I83" s="31" t="n">
        <f aca="false">IF(NOT(ISNUMBER($G83)),"",SUMPRODUCT(('Control Mapping'!$C$5:$C$83=D83)*('Control Mapping'!$J$5:$J$83&gt;0)))</f>
        <v>2</v>
      </c>
      <c r="J83" s="31" t="n">
        <f aca="false">IF(NOT(ISNUMBER($G83)),"",SUMPRODUCT(('Control Mapping'!$C$5:$C$83=D83)*('Control Mapping'!$F$5:$F$83="Y")*('Control Mapping'!$J$5:$J$83&gt;0)))</f>
        <v>1</v>
      </c>
      <c r="K83" s="31" t="n">
        <f aca="false">IF(NOT(ISNUMBER($G83)),"",SUMPRODUCT(('Control Mapping'!$C$5:$C$83=D83)*('Control Mapping'!$F$5:$F$83="Y")*('Control Mapping'!$J$5:$J$83=4)))</f>
        <v>0</v>
      </c>
      <c r="L83" s="29" t="n">
        <f aca="false">IF(NOT(ISNUMBER($G83)),"",IFERROR(SUMPRODUCT(('Control Mapping'!$C$5:$C$83=D83)*'Control Mapping'!$E$5:$E$83*'Control Mapping'!$J$5:$J$83)/SUMPRODUCT(('Control Mapping'!$C$5:$C$83=D83)*'Control Mapping'!$E$5:$E$83*('Control Mapping'!$J$5:$J$83&gt;0)),""))</f>
        <v>2.33333333333333</v>
      </c>
      <c r="M83" s="34" t="n">
        <f aca="false">IF(NOT(ISNUMBER($G83)),"",IF(J83=0,4,MAX(MATCH(L83,'Residual Config'!$E$11:$E$14,1),IF(K83&gt;0,'Residual Config'!$C$7,1))))</f>
        <v>2</v>
      </c>
      <c r="N83" s="7" t="str">
        <f aca="false">IF(NOT(ISNUMBER($G83)),"",IF(J83=0,"Ineffective (no key control)",INDEX('Residual Config'!$B$11:$B$14,M83)))</f>
        <v>Largely effective</v>
      </c>
      <c r="O83" s="36" t="n">
        <f aca="false">IF(NOT(ISNUMBER($G83)),"",IF(J83=0,0,SUMPRODUCT(('Control Mapping'!$C$5:$C$83=D83)*'Control Mapping'!$E$5:$E$83*(('Control Mapping'!$J$5:$J$83=1)*'Residual Config'!$D$11+('Control Mapping'!$J$5:$J$83=2)*'Residual Config'!$D$12+('Control Mapping'!$J$5:$J$83=3)*'Residual Config'!$D$13+('Control Mapping'!$J$5:$J$83=4)*'Residual Config'!$D$14))/SUMPRODUCT(('Control Mapping'!$C$5:$C$83=D83)*'Control Mapping'!$E$5:$E$83*('Control Mapping'!$J$5:$J$83&gt;0))))</f>
        <v>0.333333333333333</v>
      </c>
      <c r="P83" s="31" t="n">
        <f aca="false">IF(NOT(ISNUMBER($G83)),"",INDEX('Residual Config'!$B$19:$E$23,6-G83,M83))</f>
        <v>2</v>
      </c>
      <c r="Q83" s="29" t="n">
        <f aca="false">IF(NOT(ISNUMBER($G83)),"",MAX(1,F83*(1-O83)))</f>
        <v>2</v>
      </c>
      <c r="R83" s="31" t="n">
        <f aca="false">IF(NOT(ISNUMBER($G83)),"",MAX(MATCH(Q83,Config!$D$5:$D$9,1),G83-'Residual Config'!$C$6))</f>
        <v>2</v>
      </c>
      <c r="S83" s="34" t="n">
        <f aca="false">IF(NOT(ISNUMBER($G83)),"",IF('Residual Config'!$C$5="Numeric",R83,P83))</f>
        <v>2</v>
      </c>
      <c r="T83" s="7" t="str">
        <f aca="false">IF(G83="N/A","N/A",IF(S83="","No data",INDEX(Config!$B$5:$B$9,S83)))</f>
        <v>Medium-Low</v>
      </c>
      <c r="U83" s="32" t="n">
        <v>0</v>
      </c>
      <c r="V83" s="8"/>
      <c r="W83" s="33"/>
      <c r="X83" s="34" t="n">
        <f aca="false">IF(S83="","",IF(AND(W83="Y",U83&lt;&gt;0),MAX(1,MIN(5,S83+MAX(-Config!$C$27,MIN(Config!$C$27,U83)))),S83))</f>
        <v>2</v>
      </c>
      <c r="Y83" s="35" t="str">
        <f aca="false">IF(G83="N/A","N/A",IF(X83="","No data",INDEX(Config!$B$5:$B$9,X83)))</f>
        <v>Medium-Low</v>
      </c>
      <c r="Z83" s="7" t="str">
        <f aca="false">IF(U83=0,"None",IF(W83="Y","Applied","Pending HO approval"))</f>
        <v>None</v>
      </c>
      <c r="AA83" s="12" t="str">
        <f aca="false">INDEX('Risk Taxonomy'!$G$5:$G$24,MATCH(D83,'Risk Taxonomy'!$A$5:$A$24,0))</f>
        <v>Low</v>
      </c>
      <c r="AB83" s="7" t="str">
        <f aca="false">INDEX('Risk Taxonomy'!$H$5:$H$24,MATCH(D83,'Risk Taxonomy'!$A$5:$A$24,0))</f>
        <v>Medium</v>
      </c>
      <c r="AC83" s="35" t="str">
        <f aca="false">IF(NOT(ISNUMBER(X83)),"",IF(X83&lt;=MATCH(AB83,Config!$B$5:$B$9,0),"Within",IF(OR(X83-MATCH(AB83,Config!$B$5:$B$9,0)&gt;=2,AND('Residual Config'!$C$8="Y",ISNUMBER(SEARCH("Zero",AA83)))),"Red","Amber")))</f>
        <v>Within</v>
      </c>
      <c r="AD83" s="12" t="str">
        <f aca="false">IF(AC83="Red","Group CCO / CRO and Country CEO within 2 business days; action plan in 15 days; report to Board Risk &amp; Compliance Committee",IF(AC83="Amber","Country CO, risk owner and HO Administrator within 5 business days; action plan in 30 days",""))</f>
        <v/>
      </c>
    </row>
    <row r="84" customFormat="false" ht="15" hidden="false" customHeight="false" outlineLevel="0" collapsed="false">
      <c r="A84" s="26" t="str">
        <f aca="false">Entities!$A$8</f>
        <v>JO-INS</v>
      </c>
      <c r="B84" s="12" t="str">
        <f aca="false">INDEX(Entities!$B$5:$B$34,MATCH(A84,Entities!$A$5:$A$34,0))</f>
        <v>Insurance subsidiary – Jordan</v>
      </c>
      <c r="C84" s="12" t="str">
        <f aca="false">INDEX(Entities!$D$5:$D$34,MATCH(A84,Entities!$A$5:$A$34,0))</f>
        <v>Jordan (home)</v>
      </c>
      <c r="D84" s="12" t="s">
        <v>322</v>
      </c>
      <c r="E84" s="12" t="str">
        <f aca="false">INDEX('Risk Taxonomy'!$B$5:$B$24,MATCH(D84,'Risk Taxonomy'!$A$5:$A$24,0))</f>
        <v>Strategic, business model and ESG</v>
      </c>
      <c r="F84" s="29" t="n">
        <f aca="false">IF(NOT(ISNUMBER(G84)),"",G84)</f>
        <v>2</v>
      </c>
      <c r="G84" s="34" t="n">
        <f aca="false">IF(COUNTIFS('LxI Assessment'!$A$5:$A$394,A84,'LxI Assessment'!$D$5:$D$394,D84,'LxI Assessment'!$F$5:$F$394,"N/A")&gt;0,"N/A",IF(COUNTIFS('LxI Assessment'!$A$5:$A$394,A84,'LxI Assessment'!$D$5:$D$394,D84,'LxI Assessment'!$S$5:$S$394,"&gt;0")=0,"",SUMIFS('LxI Assessment'!$S$5:$S$394,'LxI Assessment'!$A$5:$A$394,A84,'LxI Assessment'!$D$5:$D$394,D84)))</f>
        <v>2</v>
      </c>
      <c r="H84" s="7" t="str">
        <f aca="false">IF(G84="N/A","N/A",IF(G84="","No data",INDEX(Config!$B$5:$B$9,G84)))</f>
        <v>Medium-Low</v>
      </c>
      <c r="I84" s="31" t="n">
        <f aca="false">IF(NOT(ISNUMBER($G84)),"",SUMPRODUCT(('Control Mapping'!$C$5:$C$83=D84)*('Control Mapping'!$J$5:$J$83&gt;0)))</f>
        <v>1</v>
      </c>
      <c r="J84" s="31" t="n">
        <f aca="false">IF(NOT(ISNUMBER($G84)),"",SUMPRODUCT(('Control Mapping'!$C$5:$C$83=D84)*('Control Mapping'!$F$5:$F$83="Y")*('Control Mapping'!$J$5:$J$83&gt;0)))</f>
        <v>1</v>
      </c>
      <c r="K84" s="31" t="n">
        <f aca="false">IF(NOT(ISNUMBER($G84)),"",SUMPRODUCT(('Control Mapping'!$C$5:$C$83=D84)*('Control Mapping'!$F$5:$F$83="Y")*('Control Mapping'!$J$5:$J$83=4)))</f>
        <v>0</v>
      </c>
      <c r="L84" s="29" t="n">
        <f aca="false">IF(NOT(ISNUMBER($G84)),"",IFERROR(SUMPRODUCT(('Control Mapping'!$C$5:$C$83=D84)*'Control Mapping'!$E$5:$E$83*'Control Mapping'!$J$5:$J$83)/SUMPRODUCT(('Control Mapping'!$C$5:$C$83=D84)*'Control Mapping'!$E$5:$E$83*('Control Mapping'!$J$5:$J$83&gt;0)),""))</f>
        <v>2</v>
      </c>
      <c r="M84" s="34" t="n">
        <f aca="false">IF(NOT(ISNUMBER($G84)),"",IF(J84=0,4,MAX(MATCH(L84,'Residual Config'!$E$11:$E$14,1),IF(K84&gt;0,'Residual Config'!$C$7,1))))</f>
        <v>2</v>
      </c>
      <c r="N84" s="7" t="str">
        <f aca="false">IF(NOT(ISNUMBER($G84)),"",IF(J84=0,"Ineffective (no key control)",INDEX('Residual Config'!$B$11:$B$14,M84)))</f>
        <v>Largely effective</v>
      </c>
      <c r="O84" s="36" t="n">
        <f aca="false">IF(NOT(ISNUMBER($G84)),"",IF(J84=0,0,SUMPRODUCT(('Control Mapping'!$C$5:$C$83=D84)*'Control Mapping'!$E$5:$E$83*(('Control Mapping'!$J$5:$J$83=1)*'Residual Config'!$D$11+('Control Mapping'!$J$5:$J$83=2)*'Residual Config'!$D$12+('Control Mapping'!$J$5:$J$83=3)*'Residual Config'!$D$13+('Control Mapping'!$J$5:$J$83=4)*'Residual Config'!$D$14))/SUMPRODUCT(('Control Mapping'!$C$5:$C$83=D84)*'Control Mapping'!$E$5:$E$83*('Control Mapping'!$J$5:$J$83&gt;0))))</f>
        <v>0.4</v>
      </c>
      <c r="P84" s="31" t="n">
        <f aca="false">IF(NOT(ISNUMBER($G84)),"",INDEX('Residual Config'!$B$19:$E$23,6-G84,M84))</f>
        <v>1</v>
      </c>
      <c r="Q84" s="29" t="n">
        <f aca="false">IF(NOT(ISNUMBER($G84)),"",MAX(1,F84*(1-O84)))</f>
        <v>1.2</v>
      </c>
      <c r="R84" s="31" t="n">
        <f aca="false">IF(NOT(ISNUMBER($G84)),"",MAX(MATCH(Q84,Config!$D$5:$D$9,1),G84-'Residual Config'!$C$6))</f>
        <v>1</v>
      </c>
      <c r="S84" s="34" t="n">
        <f aca="false">IF(NOT(ISNUMBER($G84)),"",IF('Residual Config'!$C$5="Numeric",R84,P84))</f>
        <v>1</v>
      </c>
      <c r="T84" s="7" t="str">
        <f aca="false">IF(G84="N/A","N/A",IF(S84="","No data",INDEX(Config!$B$5:$B$9,S84)))</f>
        <v>Low</v>
      </c>
      <c r="U84" s="32" t="n">
        <v>0</v>
      </c>
      <c r="V84" s="8"/>
      <c r="W84" s="33"/>
      <c r="X84" s="34" t="n">
        <f aca="false">IF(S84="","",IF(AND(W84="Y",U84&lt;&gt;0),MAX(1,MIN(5,S84+MAX(-Config!$C$27,MIN(Config!$C$27,U84)))),S84))</f>
        <v>1</v>
      </c>
      <c r="Y84" s="35" t="str">
        <f aca="false">IF(G84="N/A","N/A",IF(X84="","No data",INDEX(Config!$B$5:$B$9,X84)))</f>
        <v>Low</v>
      </c>
      <c r="Z84" s="7" t="str">
        <f aca="false">IF(U84=0,"None",IF(W84="Y","Applied","Pending HO approval"))</f>
        <v>None</v>
      </c>
      <c r="AA84" s="12" t="str">
        <f aca="false">INDEX('Risk Taxonomy'!$G$5:$G$24,MATCH(D84,'Risk Taxonomy'!$A$5:$A$24,0))</f>
        <v>Moderate</v>
      </c>
      <c r="AB84" s="7" t="str">
        <f aca="false">INDEX('Risk Taxonomy'!$H$5:$H$24,MATCH(D84,'Risk Taxonomy'!$A$5:$A$24,0))</f>
        <v>Medium-High</v>
      </c>
      <c r="AC84" s="35" t="str">
        <f aca="false">IF(NOT(ISNUMBER(X84)),"",IF(X84&lt;=MATCH(AB84,Config!$B$5:$B$9,0),"Within",IF(OR(X84-MATCH(AB84,Config!$B$5:$B$9,0)&gt;=2,AND('Residual Config'!$C$8="Y",ISNUMBER(SEARCH("Zero",AA84)))),"Red","Amber")))</f>
        <v>Within</v>
      </c>
      <c r="AD84" s="12" t="str">
        <f aca="false">IF(AC84="Red","Group CCO / CRO and Country CEO within 2 business days; action plan in 15 days; report to Board Risk &amp; Compliance Committee",IF(AC84="Amber","Country CO, risk owner and HO Administrator within 5 business days; action plan in 30 days",""))</f>
        <v/>
      </c>
    </row>
    <row r="85" customFormat="false" ht="15" hidden="false" customHeight="false" outlineLevel="0" collapsed="false">
      <c r="A85" s="26" t="str">
        <f aca="false">Entities!$A$9</f>
        <v>JO-LSG</v>
      </c>
      <c r="B85" s="12" t="str">
        <f aca="false">INDEX(Entities!$B$5:$B$34,MATCH(A85,Entities!$A$5:$A$34,0))</f>
        <v>Leasing subsidiary – Jordan</v>
      </c>
      <c r="C85" s="12" t="str">
        <f aca="false">INDEX(Entities!$D$5:$D$34,MATCH(A85,Entities!$A$5:$A$34,0))</f>
        <v>Jordan (home)</v>
      </c>
      <c r="D85" s="12" t="s">
        <v>260</v>
      </c>
      <c r="E85" s="12" t="str">
        <f aca="false">INDEX('Risk Taxonomy'!$B$5:$B$24,MATCH(D85,'Risk Taxonomy'!$A$5:$A$24,0))</f>
        <v>Money laundering</v>
      </c>
      <c r="F85" s="29" t="n">
        <f aca="false">IF(NOT(ISNUMBER(G85)),"",IFERROR(IF(MATCH(SUMIFS('FC Calculation'!$N$5:$N$214,'FC Calculation'!$A$5:$A$214,A85,'FC Calculation'!$D$5:$D$214,D85),Config!$D$5:$D$9,1)=G85,SUMIFS('FC Calculation'!$N$5:$N$214,'FC Calculation'!$A$5:$A$214,A85,'FC Calculation'!$D$5:$D$214,D85),G85),G85))</f>
        <v>2.8034126984127</v>
      </c>
      <c r="G85" s="34" t="n">
        <f aca="false">IF(COUNTIFS('FC Calculation'!$A$5:$A$214,A85,'FC Calculation'!$D$5:$D$214,D85,'FC Calculation'!$T$5:$T$214,"&gt;0")=0,"",SUMIFS('FC Calculation'!$T$5:$T$214,'FC Calculation'!$A$5:$A$214,A85,'FC Calculation'!$D$5:$D$214,D85))</f>
        <v>3</v>
      </c>
      <c r="H85" s="7" t="str">
        <f aca="false">IF(G85="N/A","N/A",IF(G85="","No data",INDEX(Config!$B$5:$B$9,G85)))</f>
        <v>Medium</v>
      </c>
      <c r="I85" s="31" t="n">
        <f aca="false">IF(NOT(ISNUMBER($G85)),"",SUMPRODUCT(('Control Mapping'!$C$5:$C$83=D85)*('Control Mapping'!$K$5:$K$83&gt;0)))</f>
        <v>8</v>
      </c>
      <c r="J85" s="31" t="n">
        <f aca="false">IF(NOT(ISNUMBER($G85)),"",SUMPRODUCT(('Control Mapping'!$C$5:$C$83=D85)*('Control Mapping'!$F$5:$F$83="Y")*('Control Mapping'!$K$5:$K$83&gt;0)))</f>
        <v>6</v>
      </c>
      <c r="K85" s="31" t="n">
        <f aca="false">IF(NOT(ISNUMBER($G85)),"",SUMPRODUCT(('Control Mapping'!$C$5:$C$83=D85)*('Control Mapping'!$F$5:$F$83="Y")*('Control Mapping'!$K$5:$K$83=4)))</f>
        <v>0</v>
      </c>
      <c r="L85" s="29" t="n">
        <f aca="false">IF(NOT(ISNUMBER($G85)),"",IFERROR(SUMPRODUCT(('Control Mapping'!$C$5:$C$83=D85)*'Control Mapping'!$E$5:$E$83*'Control Mapping'!$K$5:$K$83)/SUMPRODUCT(('Control Mapping'!$C$5:$C$83=D85)*'Control Mapping'!$E$5:$E$83*('Control Mapping'!$K$5:$K$83&gt;0)),""))</f>
        <v>1.8125</v>
      </c>
      <c r="M85" s="34" t="n">
        <f aca="false">IF(NOT(ISNUMBER($G85)),"",IF(J85=0,4,MAX(MATCH(L85,'Residual Config'!$E$11:$E$14,1),IF(K85&gt;0,'Residual Config'!$C$7,1))))</f>
        <v>2</v>
      </c>
      <c r="N85" s="7" t="str">
        <f aca="false">IF(NOT(ISNUMBER($G85)),"",IF(J85=0,"Ineffective (no key control)",INDEX('Residual Config'!$B$11:$B$14,M85)))</f>
        <v>Largely effective</v>
      </c>
      <c r="O85" s="36" t="n">
        <f aca="false">IF(NOT(ISNUMBER($G85)),"",IF(J85=0,0,SUMPRODUCT(('Control Mapping'!$C$5:$C$83=D85)*'Control Mapping'!$E$5:$E$83*(('Control Mapping'!$K$5:$K$83=1)*'Residual Config'!$D$11+('Control Mapping'!$K$5:$K$83=2)*'Residual Config'!$D$12+('Control Mapping'!$K$5:$K$83=3)*'Residual Config'!$D$13+('Control Mapping'!$K$5:$K$83=4)*'Residual Config'!$D$14))/SUMPRODUCT(('Control Mapping'!$C$5:$C$83=D85)*'Control Mapping'!$E$5:$E$83*('Control Mapping'!$K$5:$K$83&gt;0))))</f>
        <v>0.4375</v>
      </c>
      <c r="P85" s="31" t="n">
        <f aca="false">IF(NOT(ISNUMBER($G85)),"",INDEX('Residual Config'!$B$19:$E$23,6-G85,M85))</f>
        <v>2</v>
      </c>
      <c r="Q85" s="29" t="n">
        <f aca="false">IF(NOT(ISNUMBER($G85)),"",MAX(1,F85*(1-O85)))</f>
        <v>1.57691964285714</v>
      </c>
      <c r="R85" s="31" t="n">
        <f aca="false">IF(NOT(ISNUMBER($G85)),"",MAX(MATCH(Q85,Config!$D$5:$D$9,1),G85-'Residual Config'!$C$6))</f>
        <v>1</v>
      </c>
      <c r="S85" s="34" t="n">
        <f aca="false">IF(NOT(ISNUMBER($G85)),"",IF('Residual Config'!$C$5="Numeric",R85,P85))</f>
        <v>2</v>
      </c>
      <c r="T85" s="7" t="str">
        <f aca="false">IF(G85="N/A","N/A",IF(S85="","No data",INDEX(Config!$B$5:$B$9,S85)))</f>
        <v>Medium-Low</v>
      </c>
      <c r="U85" s="32" t="n">
        <v>0</v>
      </c>
      <c r="V85" s="8"/>
      <c r="W85" s="33"/>
      <c r="X85" s="34" t="n">
        <f aca="false">IF(S85="","",IF(AND(W85="Y",U85&lt;&gt;0),MAX(1,MIN(5,S85+MAX(-Config!$C$27,MIN(Config!$C$27,U85)))),S85))</f>
        <v>2</v>
      </c>
      <c r="Y85" s="35" t="str">
        <f aca="false">IF(G85="N/A","N/A",IF(X85="","No data",INDEX(Config!$B$5:$B$9,X85)))</f>
        <v>Medium-Low</v>
      </c>
      <c r="Z85" s="7" t="str">
        <f aca="false">IF(U85=0,"None",IF(W85="Y","Applied","Pending HO approval"))</f>
        <v>None</v>
      </c>
      <c r="AA85" s="12" t="str">
        <f aca="false">INDEX('Risk Taxonomy'!$G$5:$G$24,MATCH(D85,'Risk Taxonomy'!$A$5:$A$24,0))</f>
        <v>Very low</v>
      </c>
      <c r="AB85" s="7" t="str">
        <f aca="false">INDEX('Risk Taxonomy'!$H$5:$H$24,MATCH(D85,'Risk Taxonomy'!$A$5:$A$24,0))</f>
        <v>Medium-Low</v>
      </c>
      <c r="AC85" s="35" t="str">
        <f aca="false">IF(NOT(ISNUMBER(X85)),"",IF(X85&lt;=MATCH(AB85,Config!$B$5:$B$9,0),"Within",IF(OR(X85-MATCH(AB85,Config!$B$5:$B$9,0)&gt;=2,AND('Residual Config'!$C$8="Y",ISNUMBER(SEARCH("Zero",AA85)))),"Red","Amber")))</f>
        <v>Within</v>
      </c>
      <c r="AD85" s="12" t="str">
        <f aca="false">IF(AC85="Red","Group CCO / CRO and Country CEO within 2 business days; action plan in 15 days; report to Board Risk &amp; Compliance Committee",IF(AC85="Amber","Country CO, risk owner and HO Administrator within 5 business days; action plan in 30 days",""))</f>
        <v/>
      </c>
    </row>
    <row r="86" customFormat="false" ht="15" hidden="false" customHeight="false" outlineLevel="0" collapsed="false">
      <c r="A86" s="26" t="str">
        <f aca="false">Entities!$A$9</f>
        <v>JO-LSG</v>
      </c>
      <c r="B86" s="12" t="str">
        <f aca="false">INDEX(Entities!$B$5:$B$34,MATCH(A86,Entities!$A$5:$A$34,0))</f>
        <v>Leasing subsidiary – Jordan</v>
      </c>
      <c r="C86" s="12" t="str">
        <f aca="false">INDEX(Entities!$D$5:$D$34,MATCH(A86,Entities!$A$5:$A$34,0))</f>
        <v>Jordan (home)</v>
      </c>
      <c r="D86" s="12" t="s">
        <v>267</v>
      </c>
      <c r="E86" s="12" t="str">
        <f aca="false">INDEX('Risk Taxonomy'!$B$5:$B$24,MATCH(D86,'Risk Taxonomy'!$A$5:$A$24,0))</f>
        <v>Terrorist financing</v>
      </c>
      <c r="F86" s="29" t="n">
        <f aca="false">IF(NOT(ISNUMBER(G86)),"",IFERROR(IF(MATCH(SUMIFS('FC Calculation'!$N$5:$N$214,'FC Calculation'!$A$5:$A$214,A86,'FC Calculation'!$D$5:$D$214,D86),Config!$D$5:$D$9,1)=G86,SUMIFS('FC Calculation'!$N$5:$N$214,'FC Calculation'!$A$5:$A$214,A86,'FC Calculation'!$D$5:$D$214,D86),G86),G86))</f>
        <v>2.53690476190476</v>
      </c>
      <c r="G86" s="34" t="n">
        <f aca="false">IF(COUNTIFS('FC Calculation'!$A$5:$A$214,A86,'FC Calculation'!$D$5:$D$214,D86,'FC Calculation'!$T$5:$T$214,"&gt;0")=0,"",SUMIFS('FC Calculation'!$T$5:$T$214,'FC Calculation'!$A$5:$A$214,A86,'FC Calculation'!$D$5:$D$214,D86))</f>
        <v>2</v>
      </c>
      <c r="H86" s="7" t="str">
        <f aca="false">IF(G86="N/A","N/A",IF(G86="","No data",INDEX(Config!$B$5:$B$9,G86)))</f>
        <v>Medium-Low</v>
      </c>
      <c r="I86" s="31" t="n">
        <f aca="false">IF(NOT(ISNUMBER($G86)),"",SUMPRODUCT(('Control Mapping'!$C$5:$C$83=D86)*('Control Mapping'!$K$5:$K$83&gt;0)))</f>
        <v>9</v>
      </c>
      <c r="J86" s="31" t="n">
        <f aca="false">IF(NOT(ISNUMBER($G86)),"",SUMPRODUCT(('Control Mapping'!$C$5:$C$83=D86)*('Control Mapping'!$F$5:$F$83="Y")*('Control Mapping'!$K$5:$K$83&gt;0)))</f>
        <v>7</v>
      </c>
      <c r="K86" s="31" t="n">
        <f aca="false">IF(NOT(ISNUMBER($G86)),"",SUMPRODUCT(('Control Mapping'!$C$5:$C$83=D86)*('Control Mapping'!$F$5:$F$83="Y")*('Control Mapping'!$K$5:$K$83=4)))</f>
        <v>0</v>
      </c>
      <c r="L86" s="29" t="n">
        <f aca="false">IF(NOT(ISNUMBER($G86)),"",IFERROR(SUMPRODUCT(('Control Mapping'!$C$5:$C$83=D86)*'Control Mapping'!$E$5:$E$83*'Control Mapping'!$K$5:$K$83)/SUMPRODUCT(('Control Mapping'!$C$5:$C$83=D86)*'Control Mapping'!$E$5:$E$83*('Control Mapping'!$K$5:$K$83&gt;0)),""))</f>
        <v>1.73333333333333</v>
      </c>
      <c r="M86" s="34" t="n">
        <f aca="false">IF(NOT(ISNUMBER($G86)),"",IF(J86=0,4,MAX(MATCH(L86,'Residual Config'!$E$11:$E$14,1),IF(K86&gt;0,'Residual Config'!$C$7,1))))</f>
        <v>2</v>
      </c>
      <c r="N86" s="7" t="str">
        <f aca="false">IF(NOT(ISNUMBER($G86)),"",IF(J86=0,"Ineffective (no key control)",INDEX('Residual Config'!$B$11:$B$14,M86)))</f>
        <v>Largely effective</v>
      </c>
      <c r="O86" s="36" t="n">
        <f aca="false">IF(NOT(ISNUMBER($G86)),"",IF(J86=0,0,SUMPRODUCT(('Control Mapping'!$C$5:$C$83=D86)*'Control Mapping'!$E$5:$E$83*(('Control Mapping'!$K$5:$K$83=1)*'Residual Config'!$D$11+('Control Mapping'!$K$5:$K$83=2)*'Residual Config'!$D$12+('Control Mapping'!$K$5:$K$83=3)*'Residual Config'!$D$13+('Control Mapping'!$K$5:$K$83=4)*'Residual Config'!$D$14))/SUMPRODUCT(('Control Mapping'!$C$5:$C$83=D86)*'Control Mapping'!$E$5:$E$83*('Control Mapping'!$K$5:$K$83&gt;0))))</f>
        <v>0.453333333333333</v>
      </c>
      <c r="P86" s="31" t="n">
        <f aca="false">IF(NOT(ISNUMBER($G86)),"",INDEX('Residual Config'!$B$19:$E$23,6-G86,M86))</f>
        <v>1</v>
      </c>
      <c r="Q86" s="29" t="n">
        <f aca="false">IF(NOT(ISNUMBER($G86)),"",MAX(1,F86*(1-O86)))</f>
        <v>1.38684126984127</v>
      </c>
      <c r="R86" s="31" t="n">
        <f aca="false">IF(NOT(ISNUMBER($G86)),"",MAX(MATCH(Q86,Config!$D$5:$D$9,1),G86-'Residual Config'!$C$6))</f>
        <v>1</v>
      </c>
      <c r="S86" s="34" t="n">
        <f aca="false">IF(NOT(ISNUMBER($G86)),"",IF('Residual Config'!$C$5="Numeric",R86,P86))</f>
        <v>1</v>
      </c>
      <c r="T86" s="7" t="str">
        <f aca="false">IF(G86="N/A","N/A",IF(S86="","No data",INDEX(Config!$B$5:$B$9,S86)))</f>
        <v>Low</v>
      </c>
      <c r="U86" s="32" t="n">
        <v>0</v>
      </c>
      <c r="V86" s="8"/>
      <c r="W86" s="33"/>
      <c r="X86" s="34" t="n">
        <f aca="false">IF(S86="","",IF(AND(W86="Y",U86&lt;&gt;0),MAX(1,MIN(5,S86+MAX(-Config!$C$27,MIN(Config!$C$27,U86)))),S86))</f>
        <v>1</v>
      </c>
      <c r="Y86" s="35" t="str">
        <f aca="false">IF(G86="N/A","N/A",IF(X86="","No data",INDEX(Config!$B$5:$B$9,X86)))</f>
        <v>Low</v>
      </c>
      <c r="Z86" s="7" t="str">
        <f aca="false">IF(U86=0,"None",IF(W86="Y","Applied","Pending HO approval"))</f>
        <v>None</v>
      </c>
      <c r="AA86" s="12" t="str">
        <f aca="false">INDEX('Risk Taxonomy'!$G$5:$G$24,MATCH(D86,'Risk Taxonomy'!$A$5:$A$24,0))</f>
        <v>Zero tolerance</v>
      </c>
      <c r="AB86" s="7" t="str">
        <f aca="false">INDEX('Risk Taxonomy'!$H$5:$H$24,MATCH(D86,'Risk Taxonomy'!$A$5:$A$24,0))</f>
        <v>Low</v>
      </c>
      <c r="AC86" s="35" t="str">
        <f aca="false">IF(NOT(ISNUMBER(X86)),"",IF(X86&lt;=MATCH(AB86,Config!$B$5:$B$9,0),"Within",IF(OR(X86-MATCH(AB86,Config!$B$5:$B$9,0)&gt;=2,AND('Residual Config'!$C$8="Y",ISNUMBER(SEARCH("Zero",AA86)))),"Red","Amber")))</f>
        <v>Within</v>
      </c>
      <c r="AD86" s="12" t="str">
        <f aca="false">IF(AC86="Red","Group CCO / CRO and Country CEO within 2 business days; action plan in 15 days; report to Board Risk &amp; Compliance Committee",IF(AC86="Amber","Country CO, risk owner and HO Administrator within 5 business days; action plan in 30 days",""))</f>
        <v/>
      </c>
    </row>
    <row r="87" customFormat="false" ht="15" hidden="false" customHeight="false" outlineLevel="0" collapsed="false">
      <c r="A87" s="26" t="str">
        <f aca="false">Entities!$A$9</f>
        <v>JO-LSG</v>
      </c>
      <c r="B87" s="12" t="str">
        <f aca="false">INDEX(Entities!$B$5:$B$34,MATCH(A87,Entities!$A$5:$A$34,0))</f>
        <v>Leasing subsidiary – Jordan</v>
      </c>
      <c r="C87" s="12" t="str">
        <f aca="false">INDEX(Entities!$D$5:$D$34,MATCH(A87,Entities!$A$5:$A$34,0))</f>
        <v>Jordan (home)</v>
      </c>
      <c r="D87" s="12" t="s">
        <v>270</v>
      </c>
      <c r="E87" s="12" t="str">
        <f aca="false">INDEX('Risk Taxonomy'!$B$5:$B$24,MATCH(D87,'Risk Taxonomy'!$A$5:$A$24,0))</f>
        <v>Proliferation financing</v>
      </c>
      <c r="F87" s="29" t="n">
        <f aca="false">IF(NOT(ISNUMBER(G87)),"",IFERROR(IF(MATCH(SUMIFS('FC Calculation'!$N$5:$N$214,'FC Calculation'!$A$5:$A$214,A87,'FC Calculation'!$D$5:$D$214,D87),Config!$D$5:$D$9,1)=G87,SUMIFS('FC Calculation'!$N$5:$N$214,'FC Calculation'!$A$5:$A$214,A87,'FC Calculation'!$D$5:$D$214,D87),G87),G87))</f>
        <v>2.47916666666667</v>
      </c>
      <c r="G87" s="34" t="n">
        <f aca="false">IF(COUNTIFS('FC Calculation'!$A$5:$A$214,A87,'FC Calculation'!$D$5:$D$214,D87,'FC Calculation'!$T$5:$T$214,"&gt;0")=0,"",SUMIFS('FC Calculation'!$T$5:$T$214,'FC Calculation'!$A$5:$A$214,A87,'FC Calculation'!$D$5:$D$214,D87))</f>
        <v>2</v>
      </c>
      <c r="H87" s="7" t="str">
        <f aca="false">IF(G87="N/A","N/A",IF(G87="","No data",INDEX(Config!$B$5:$B$9,G87)))</f>
        <v>Medium-Low</v>
      </c>
      <c r="I87" s="31" t="n">
        <f aca="false">IF(NOT(ISNUMBER($G87)),"",SUMPRODUCT(('Control Mapping'!$C$5:$C$83=D87)*('Control Mapping'!$K$5:$K$83&gt;0)))</f>
        <v>3</v>
      </c>
      <c r="J87" s="31" t="n">
        <f aca="false">IF(NOT(ISNUMBER($G87)),"",SUMPRODUCT(('Control Mapping'!$C$5:$C$83=D87)*('Control Mapping'!$F$5:$F$83="Y")*('Control Mapping'!$K$5:$K$83&gt;0)))</f>
        <v>3</v>
      </c>
      <c r="K87" s="31" t="n">
        <f aca="false">IF(NOT(ISNUMBER($G87)),"",SUMPRODUCT(('Control Mapping'!$C$5:$C$83=D87)*('Control Mapping'!$F$5:$F$83="Y")*('Control Mapping'!$K$5:$K$83=4)))</f>
        <v>0</v>
      </c>
      <c r="L87" s="29" t="n">
        <f aca="false">IF(NOT(ISNUMBER($G87)),"",IFERROR(SUMPRODUCT(('Control Mapping'!$C$5:$C$83=D87)*'Control Mapping'!$E$5:$E$83*'Control Mapping'!$K$5:$K$83)/SUMPRODUCT(('Control Mapping'!$C$5:$C$83=D87)*'Control Mapping'!$E$5:$E$83*('Control Mapping'!$K$5:$K$83&gt;0)),""))</f>
        <v>2</v>
      </c>
      <c r="M87" s="34" t="n">
        <f aca="false">IF(NOT(ISNUMBER($G87)),"",IF(J87=0,4,MAX(MATCH(L87,'Residual Config'!$E$11:$E$14,1),IF(K87&gt;0,'Residual Config'!$C$7,1))))</f>
        <v>2</v>
      </c>
      <c r="N87" s="7" t="str">
        <f aca="false">IF(NOT(ISNUMBER($G87)),"",IF(J87=0,"Ineffective (no key control)",INDEX('Residual Config'!$B$11:$B$14,M87)))</f>
        <v>Largely effective</v>
      </c>
      <c r="O87" s="36" t="n">
        <f aca="false">IF(NOT(ISNUMBER($G87)),"",IF(J87=0,0,SUMPRODUCT(('Control Mapping'!$C$5:$C$83=D87)*'Control Mapping'!$E$5:$E$83*(('Control Mapping'!$K$5:$K$83=1)*'Residual Config'!$D$11+('Control Mapping'!$K$5:$K$83=2)*'Residual Config'!$D$12+('Control Mapping'!$K$5:$K$83=3)*'Residual Config'!$D$13+('Control Mapping'!$K$5:$K$83=4)*'Residual Config'!$D$14))/SUMPRODUCT(('Control Mapping'!$C$5:$C$83=D87)*'Control Mapping'!$E$5:$E$83*('Control Mapping'!$K$5:$K$83&gt;0))))</f>
        <v>0.4</v>
      </c>
      <c r="P87" s="31" t="n">
        <f aca="false">IF(NOT(ISNUMBER($G87)),"",INDEX('Residual Config'!$B$19:$E$23,6-G87,M87))</f>
        <v>1</v>
      </c>
      <c r="Q87" s="29" t="n">
        <f aca="false">IF(NOT(ISNUMBER($G87)),"",MAX(1,F87*(1-O87)))</f>
        <v>1.4875</v>
      </c>
      <c r="R87" s="31" t="n">
        <f aca="false">IF(NOT(ISNUMBER($G87)),"",MAX(MATCH(Q87,Config!$D$5:$D$9,1),G87-'Residual Config'!$C$6))</f>
        <v>1</v>
      </c>
      <c r="S87" s="34" t="n">
        <f aca="false">IF(NOT(ISNUMBER($G87)),"",IF('Residual Config'!$C$5="Numeric",R87,P87))</f>
        <v>1</v>
      </c>
      <c r="T87" s="7" t="str">
        <f aca="false">IF(G87="N/A","N/A",IF(S87="","No data",INDEX(Config!$B$5:$B$9,S87)))</f>
        <v>Low</v>
      </c>
      <c r="U87" s="32" t="n">
        <v>0</v>
      </c>
      <c r="V87" s="8"/>
      <c r="W87" s="33"/>
      <c r="X87" s="34" t="n">
        <f aca="false">IF(S87="","",IF(AND(W87="Y",U87&lt;&gt;0),MAX(1,MIN(5,S87+MAX(-Config!$C$27,MIN(Config!$C$27,U87)))),S87))</f>
        <v>1</v>
      </c>
      <c r="Y87" s="35" t="str">
        <f aca="false">IF(G87="N/A","N/A",IF(X87="","No data",INDEX(Config!$B$5:$B$9,X87)))</f>
        <v>Low</v>
      </c>
      <c r="Z87" s="7" t="str">
        <f aca="false">IF(U87=0,"None",IF(W87="Y","Applied","Pending HO approval"))</f>
        <v>None</v>
      </c>
      <c r="AA87" s="12" t="str">
        <f aca="false">INDEX('Risk Taxonomy'!$G$5:$G$24,MATCH(D87,'Risk Taxonomy'!$A$5:$A$24,0))</f>
        <v>Zero tolerance</v>
      </c>
      <c r="AB87" s="7" t="str">
        <f aca="false">INDEX('Risk Taxonomy'!$H$5:$H$24,MATCH(D87,'Risk Taxonomy'!$A$5:$A$24,0))</f>
        <v>Low</v>
      </c>
      <c r="AC87" s="35" t="str">
        <f aca="false">IF(NOT(ISNUMBER(X87)),"",IF(X87&lt;=MATCH(AB87,Config!$B$5:$B$9,0),"Within",IF(OR(X87-MATCH(AB87,Config!$B$5:$B$9,0)&gt;=2,AND('Residual Config'!$C$8="Y",ISNUMBER(SEARCH("Zero",AA87)))),"Red","Amber")))</f>
        <v>Within</v>
      </c>
      <c r="AD87" s="12" t="str">
        <f aca="false">IF(AC87="Red","Group CCO / CRO and Country CEO within 2 business days; action plan in 15 days; report to Board Risk &amp; Compliance Committee",IF(AC87="Amber","Country CO, risk owner and HO Administrator within 5 business days; action plan in 30 days",""))</f>
        <v/>
      </c>
    </row>
    <row r="88" customFormat="false" ht="15" hidden="false" customHeight="false" outlineLevel="0" collapsed="false">
      <c r="A88" s="26" t="str">
        <f aca="false">Entities!$A$9</f>
        <v>JO-LSG</v>
      </c>
      <c r="B88" s="12" t="str">
        <f aca="false">INDEX(Entities!$B$5:$B$34,MATCH(A88,Entities!$A$5:$A$34,0))</f>
        <v>Leasing subsidiary – Jordan</v>
      </c>
      <c r="C88" s="12" t="str">
        <f aca="false">INDEX(Entities!$D$5:$D$34,MATCH(A88,Entities!$A$5:$A$34,0))</f>
        <v>Jordan (home)</v>
      </c>
      <c r="D88" s="12" t="s">
        <v>272</v>
      </c>
      <c r="E88" s="12" t="str">
        <f aca="false">INDEX('Risk Taxonomy'!$B$5:$B$24,MATCH(D88,'Risk Taxonomy'!$A$5:$A$24,0))</f>
        <v>Sanctions</v>
      </c>
      <c r="F88" s="29" t="n">
        <f aca="false">IF(NOT(ISNUMBER(G88)),"",IFERROR(IF(MATCH(SUMIFS('FC Calculation'!$N$5:$N$214,'FC Calculation'!$A$5:$A$214,A88,'FC Calculation'!$D$5:$D$214,D88),Config!$D$5:$D$9,1)=G88,SUMIFS('FC Calculation'!$N$5:$N$214,'FC Calculation'!$A$5:$A$214,A88,'FC Calculation'!$D$5:$D$214,D88),G88),G88))</f>
        <v>2.64690476190476</v>
      </c>
      <c r="G88" s="34" t="n">
        <f aca="false">IF(COUNTIFS('FC Calculation'!$A$5:$A$214,A88,'FC Calculation'!$D$5:$D$214,D88,'FC Calculation'!$T$5:$T$214,"&gt;0")=0,"",SUMIFS('FC Calculation'!$T$5:$T$214,'FC Calculation'!$A$5:$A$214,A88,'FC Calculation'!$D$5:$D$214,D88))</f>
        <v>3</v>
      </c>
      <c r="H88" s="7" t="str">
        <f aca="false">IF(G88="N/A","N/A",IF(G88="","No data",INDEX(Config!$B$5:$B$9,G88)))</f>
        <v>Medium</v>
      </c>
      <c r="I88" s="31" t="n">
        <f aca="false">IF(NOT(ISNUMBER($G88)),"",SUMPRODUCT(('Control Mapping'!$C$5:$C$83=D88)*('Control Mapping'!$K$5:$K$83&gt;0)))</f>
        <v>5</v>
      </c>
      <c r="J88" s="31" t="n">
        <f aca="false">IF(NOT(ISNUMBER($G88)),"",SUMPRODUCT(('Control Mapping'!$C$5:$C$83=D88)*('Control Mapping'!$F$5:$F$83="Y")*('Control Mapping'!$K$5:$K$83&gt;0)))</f>
        <v>3</v>
      </c>
      <c r="K88" s="31" t="n">
        <f aca="false">IF(NOT(ISNUMBER($G88)),"",SUMPRODUCT(('Control Mapping'!$C$5:$C$83=D88)*('Control Mapping'!$F$5:$F$83="Y")*('Control Mapping'!$K$5:$K$83=4)))</f>
        <v>0</v>
      </c>
      <c r="L88" s="29" t="n">
        <f aca="false">IF(NOT(ISNUMBER($G88)),"",IFERROR(SUMPRODUCT(('Control Mapping'!$C$5:$C$83=D88)*'Control Mapping'!$E$5:$E$83*'Control Mapping'!$K$5:$K$83)/SUMPRODUCT(('Control Mapping'!$C$5:$C$83=D88)*'Control Mapping'!$E$5:$E$83*('Control Mapping'!$K$5:$K$83&gt;0)),""))</f>
        <v>2</v>
      </c>
      <c r="M88" s="34" t="n">
        <f aca="false">IF(NOT(ISNUMBER($G88)),"",IF(J88=0,4,MAX(MATCH(L88,'Residual Config'!$E$11:$E$14,1),IF(K88&gt;0,'Residual Config'!$C$7,1))))</f>
        <v>2</v>
      </c>
      <c r="N88" s="7" t="str">
        <f aca="false">IF(NOT(ISNUMBER($G88)),"",IF(J88=0,"Ineffective (no key control)",INDEX('Residual Config'!$B$11:$B$14,M88)))</f>
        <v>Largely effective</v>
      </c>
      <c r="O88" s="36" t="n">
        <f aca="false">IF(NOT(ISNUMBER($G88)),"",IF(J88=0,0,SUMPRODUCT(('Control Mapping'!$C$5:$C$83=D88)*'Control Mapping'!$E$5:$E$83*(('Control Mapping'!$K$5:$K$83=1)*'Residual Config'!$D$11+('Control Mapping'!$K$5:$K$83=2)*'Residual Config'!$D$12+('Control Mapping'!$K$5:$K$83=3)*'Residual Config'!$D$13+('Control Mapping'!$K$5:$K$83=4)*'Residual Config'!$D$14))/SUMPRODUCT(('Control Mapping'!$C$5:$C$83=D88)*'Control Mapping'!$E$5:$E$83*('Control Mapping'!$K$5:$K$83&gt;0))))</f>
        <v>0.4</v>
      </c>
      <c r="P88" s="31" t="n">
        <f aca="false">IF(NOT(ISNUMBER($G88)),"",INDEX('Residual Config'!$B$19:$E$23,6-G88,M88))</f>
        <v>2</v>
      </c>
      <c r="Q88" s="29" t="n">
        <f aca="false">IF(NOT(ISNUMBER($G88)),"",MAX(1,F88*(1-O88)))</f>
        <v>1.58814285714286</v>
      </c>
      <c r="R88" s="31" t="n">
        <f aca="false">IF(NOT(ISNUMBER($G88)),"",MAX(MATCH(Q88,Config!$D$5:$D$9,1),G88-'Residual Config'!$C$6))</f>
        <v>1</v>
      </c>
      <c r="S88" s="34" t="n">
        <f aca="false">IF(NOT(ISNUMBER($G88)),"",IF('Residual Config'!$C$5="Numeric",R88,P88))</f>
        <v>2</v>
      </c>
      <c r="T88" s="7" t="str">
        <f aca="false">IF(G88="N/A","N/A",IF(S88="","No data",INDEX(Config!$B$5:$B$9,S88)))</f>
        <v>Medium-Low</v>
      </c>
      <c r="U88" s="32" t="n">
        <v>0</v>
      </c>
      <c r="V88" s="8"/>
      <c r="W88" s="33"/>
      <c r="X88" s="34" t="n">
        <f aca="false">IF(S88="","",IF(AND(W88="Y",U88&lt;&gt;0),MAX(1,MIN(5,S88+MAX(-Config!$C$27,MIN(Config!$C$27,U88)))),S88))</f>
        <v>2</v>
      </c>
      <c r="Y88" s="35" t="str">
        <f aca="false">IF(G88="N/A","N/A",IF(X88="","No data",INDEX(Config!$B$5:$B$9,X88)))</f>
        <v>Medium-Low</v>
      </c>
      <c r="Z88" s="7" t="str">
        <f aca="false">IF(U88=0,"None",IF(W88="Y","Applied","Pending HO approval"))</f>
        <v>None</v>
      </c>
      <c r="AA88" s="12" t="str">
        <f aca="false">INDEX('Risk Taxonomy'!$G$5:$G$24,MATCH(D88,'Risk Taxonomy'!$A$5:$A$24,0))</f>
        <v>Zero tolerance</v>
      </c>
      <c r="AB88" s="7" t="str">
        <f aca="false">INDEX('Risk Taxonomy'!$H$5:$H$24,MATCH(D88,'Risk Taxonomy'!$A$5:$A$24,0))</f>
        <v>Low</v>
      </c>
      <c r="AC88" s="35" t="str">
        <f aca="false">IF(NOT(ISNUMBER(X88)),"",IF(X88&lt;=MATCH(AB88,Config!$B$5:$B$9,0),"Within",IF(OR(X88-MATCH(AB88,Config!$B$5:$B$9,0)&gt;=2,AND('Residual Config'!$C$8="Y",ISNUMBER(SEARCH("Zero",AA88)))),"Red","Amber")))</f>
        <v>Amber</v>
      </c>
      <c r="AD88" s="12" t="str">
        <f aca="false">IF(AC88="Red","Group CCO / CRO and Country CEO within 2 business days; action plan in 15 days; report to Board Risk &amp; Compliance Committee",IF(AC88="Amber","Country CO, risk owner and HO Administrator within 5 business days; action plan in 30 days",""))</f>
        <v>Country CO, risk owner and HO Administrator within 5 business days; action plan in 30 days</v>
      </c>
    </row>
    <row r="89" customFormat="false" ht="15" hidden="false" customHeight="false" outlineLevel="0" collapsed="false">
      <c r="A89" s="26" t="str">
        <f aca="false">Entities!$A$9</f>
        <v>JO-LSG</v>
      </c>
      <c r="B89" s="12" t="str">
        <f aca="false">INDEX(Entities!$B$5:$B$34,MATCH(A89,Entities!$A$5:$A$34,0))</f>
        <v>Leasing subsidiary – Jordan</v>
      </c>
      <c r="C89" s="12" t="str">
        <f aca="false">INDEX(Entities!$D$5:$D$34,MATCH(A89,Entities!$A$5:$A$34,0))</f>
        <v>Jordan (home)</v>
      </c>
      <c r="D89" s="12" t="s">
        <v>275</v>
      </c>
      <c r="E89" s="12" t="str">
        <f aca="false">INDEX('Risk Taxonomy'!$B$5:$B$24,MATCH(D89,'Risk Taxonomy'!$A$5:$A$24,0))</f>
        <v>Bribery and corruption</v>
      </c>
      <c r="F89" s="29" t="n">
        <f aca="false">IF(NOT(ISNUMBER(G89)),"",IFERROR(IF(MATCH(SUMIFS('FC Calculation'!$N$5:$N$214,'FC Calculation'!$A$5:$A$214,A89,'FC Calculation'!$D$5:$D$214,D89),Config!$D$5:$D$9,1)=G89,SUMIFS('FC Calculation'!$N$5:$N$214,'FC Calculation'!$A$5:$A$214,A89,'FC Calculation'!$D$5:$D$214,D89),G89),G89))</f>
        <v>2.60333333333333</v>
      </c>
      <c r="G89" s="34" t="n">
        <f aca="false">IF(COUNTIFS('FC Calculation'!$A$5:$A$214,A89,'FC Calculation'!$D$5:$D$214,D89,'FC Calculation'!$T$5:$T$214,"&gt;0")=0,"",SUMIFS('FC Calculation'!$T$5:$T$214,'FC Calculation'!$A$5:$A$214,A89,'FC Calculation'!$D$5:$D$214,D89))</f>
        <v>2</v>
      </c>
      <c r="H89" s="7" t="str">
        <f aca="false">IF(G89="N/A","N/A",IF(G89="","No data",INDEX(Config!$B$5:$B$9,G89)))</f>
        <v>Medium-Low</v>
      </c>
      <c r="I89" s="31" t="n">
        <f aca="false">IF(NOT(ISNUMBER($G89)),"",SUMPRODUCT(('Control Mapping'!$C$5:$C$83=D89)*('Control Mapping'!$K$5:$K$83&gt;0)))</f>
        <v>5</v>
      </c>
      <c r="J89" s="31" t="n">
        <f aca="false">IF(NOT(ISNUMBER($G89)),"",SUMPRODUCT(('Control Mapping'!$C$5:$C$83=D89)*('Control Mapping'!$F$5:$F$83="Y")*('Control Mapping'!$K$5:$K$83&gt;0)))</f>
        <v>2</v>
      </c>
      <c r="K89" s="31" t="n">
        <f aca="false">IF(NOT(ISNUMBER($G89)),"",SUMPRODUCT(('Control Mapping'!$C$5:$C$83=D89)*('Control Mapping'!$F$5:$F$83="Y")*('Control Mapping'!$K$5:$K$83=4)))</f>
        <v>0</v>
      </c>
      <c r="L89" s="29" t="n">
        <f aca="false">IF(NOT(ISNUMBER($G89)),"",IFERROR(SUMPRODUCT(('Control Mapping'!$C$5:$C$83=D89)*'Control Mapping'!$E$5:$E$83*'Control Mapping'!$K$5:$K$83)/SUMPRODUCT(('Control Mapping'!$C$5:$C$83=D89)*'Control Mapping'!$E$5:$E$83*('Control Mapping'!$K$5:$K$83&gt;0)),""))</f>
        <v>2</v>
      </c>
      <c r="M89" s="34" t="n">
        <f aca="false">IF(NOT(ISNUMBER($G89)),"",IF(J89=0,4,MAX(MATCH(L89,'Residual Config'!$E$11:$E$14,1),IF(K89&gt;0,'Residual Config'!$C$7,1))))</f>
        <v>2</v>
      </c>
      <c r="N89" s="7" t="str">
        <f aca="false">IF(NOT(ISNUMBER($G89)),"",IF(J89=0,"Ineffective (no key control)",INDEX('Residual Config'!$B$11:$B$14,M89)))</f>
        <v>Largely effective</v>
      </c>
      <c r="O89" s="36" t="n">
        <f aca="false">IF(NOT(ISNUMBER($G89)),"",IF(J89=0,0,SUMPRODUCT(('Control Mapping'!$C$5:$C$83=D89)*'Control Mapping'!$E$5:$E$83*(('Control Mapping'!$K$5:$K$83=1)*'Residual Config'!$D$11+('Control Mapping'!$K$5:$K$83=2)*'Residual Config'!$D$12+('Control Mapping'!$K$5:$K$83=3)*'Residual Config'!$D$13+('Control Mapping'!$K$5:$K$83=4)*'Residual Config'!$D$14))/SUMPRODUCT(('Control Mapping'!$C$5:$C$83=D89)*'Control Mapping'!$E$5:$E$83*('Control Mapping'!$K$5:$K$83&gt;0))))</f>
        <v>0.4</v>
      </c>
      <c r="P89" s="31" t="n">
        <f aca="false">IF(NOT(ISNUMBER($G89)),"",INDEX('Residual Config'!$B$19:$E$23,6-G89,M89))</f>
        <v>1</v>
      </c>
      <c r="Q89" s="29" t="n">
        <f aca="false">IF(NOT(ISNUMBER($G89)),"",MAX(1,F89*(1-O89)))</f>
        <v>1.562</v>
      </c>
      <c r="R89" s="31" t="n">
        <f aca="false">IF(NOT(ISNUMBER($G89)),"",MAX(MATCH(Q89,Config!$D$5:$D$9,1),G89-'Residual Config'!$C$6))</f>
        <v>1</v>
      </c>
      <c r="S89" s="34" t="n">
        <f aca="false">IF(NOT(ISNUMBER($G89)),"",IF('Residual Config'!$C$5="Numeric",R89,P89))</f>
        <v>1</v>
      </c>
      <c r="T89" s="7" t="str">
        <f aca="false">IF(G89="N/A","N/A",IF(S89="","No data",INDEX(Config!$B$5:$B$9,S89)))</f>
        <v>Low</v>
      </c>
      <c r="U89" s="32" t="n">
        <v>0</v>
      </c>
      <c r="V89" s="8"/>
      <c r="W89" s="33"/>
      <c r="X89" s="34" t="n">
        <f aca="false">IF(S89="","",IF(AND(W89="Y",U89&lt;&gt;0),MAX(1,MIN(5,S89+MAX(-Config!$C$27,MIN(Config!$C$27,U89)))),S89))</f>
        <v>1</v>
      </c>
      <c r="Y89" s="35" t="str">
        <f aca="false">IF(G89="N/A","N/A",IF(X89="","No data",INDEX(Config!$B$5:$B$9,X89)))</f>
        <v>Low</v>
      </c>
      <c r="Z89" s="7" t="str">
        <f aca="false">IF(U89=0,"None",IF(W89="Y","Applied","Pending HO approval"))</f>
        <v>None</v>
      </c>
      <c r="AA89" s="12" t="str">
        <f aca="false">INDEX('Risk Taxonomy'!$G$5:$G$24,MATCH(D89,'Risk Taxonomy'!$A$5:$A$24,0))</f>
        <v>Zero tolerance</v>
      </c>
      <c r="AB89" s="7" t="str">
        <f aca="false">INDEX('Risk Taxonomy'!$H$5:$H$24,MATCH(D89,'Risk Taxonomy'!$A$5:$A$24,0))</f>
        <v>Low</v>
      </c>
      <c r="AC89" s="35" t="str">
        <f aca="false">IF(NOT(ISNUMBER(X89)),"",IF(X89&lt;=MATCH(AB89,Config!$B$5:$B$9,0),"Within",IF(OR(X89-MATCH(AB89,Config!$B$5:$B$9,0)&gt;=2,AND('Residual Config'!$C$8="Y",ISNUMBER(SEARCH("Zero",AA89)))),"Red","Amber")))</f>
        <v>Within</v>
      </c>
      <c r="AD89" s="12" t="str">
        <f aca="false">IF(AC89="Red","Group CCO / CRO and Country CEO within 2 business days; action plan in 15 days; report to Board Risk &amp; Compliance Committee",IF(AC89="Amber","Country CO, risk owner and HO Administrator within 5 business days; action plan in 30 days",""))</f>
        <v/>
      </c>
    </row>
    <row r="90" customFormat="false" ht="15" hidden="false" customHeight="false" outlineLevel="0" collapsed="false">
      <c r="A90" s="26" t="str">
        <f aca="false">Entities!$A$9</f>
        <v>JO-LSG</v>
      </c>
      <c r="B90" s="12" t="str">
        <f aca="false">INDEX(Entities!$B$5:$B$34,MATCH(A90,Entities!$A$5:$A$34,0))</f>
        <v>Leasing subsidiary – Jordan</v>
      </c>
      <c r="C90" s="12" t="str">
        <f aca="false">INDEX(Entities!$D$5:$D$34,MATCH(A90,Entities!$A$5:$A$34,0))</f>
        <v>Jordan (home)</v>
      </c>
      <c r="D90" s="12" t="s">
        <v>278</v>
      </c>
      <c r="E90" s="12" t="str">
        <f aca="false">INDEX('Risk Taxonomy'!$B$5:$B$24,MATCH(D90,'Risk Taxonomy'!$A$5:$A$24,0))</f>
        <v>Fraud</v>
      </c>
      <c r="F90" s="29" t="n">
        <f aca="false">IF(NOT(ISNUMBER(G90)),"",IFERROR(IF(MATCH(SUMIFS('FC Calculation'!$N$5:$N$214,'FC Calculation'!$A$5:$A$214,A90,'FC Calculation'!$D$5:$D$214,D90),Config!$D$5:$D$9,1)=G90,SUMIFS('FC Calculation'!$N$5:$N$214,'FC Calculation'!$A$5:$A$214,A90,'FC Calculation'!$D$5:$D$214,D90),G90),G90))</f>
        <v>2.99833333333333</v>
      </c>
      <c r="G90" s="34" t="n">
        <f aca="false">IF(COUNTIFS('FC Calculation'!$A$5:$A$214,A90,'FC Calculation'!$D$5:$D$214,D90,'FC Calculation'!$T$5:$T$214,"&gt;0")=0,"",SUMIFS('FC Calculation'!$T$5:$T$214,'FC Calculation'!$A$5:$A$214,A90,'FC Calculation'!$D$5:$D$214,D90))</f>
        <v>3</v>
      </c>
      <c r="H90" s="7" t="str">
        <f aca="false">IF(G90="N/A","N/A",IF(G90="","No data",INDEX(Config!$B$5:$B$9,G90)))</f>
        <v>Medium</v>
      </c>
      <c r="I90" s="31" t="n">
        <f aca="false">IF(NOT(ISNUMBER($G90)),"",SUMPRODUCT(('Control Mapping'!$C$5:$C$83=D90)*('Control Mapping'!$K$5:$K$83&gt;0)))</f>
        <v>4</v>
      </c>
      <c r="J90" s="31" t="n">
        <f aca="false">IF(NOT(ISNUMBER($G90)),"",SUMPRODUCT(('Control Mapping'!$C$5:$C$83=D90)*('Control Mapping'!$F$5:$F$83="Y")*('Control Mapping'!$K$5:$K$83&gt;0)))</f>
        <v>3</v>
      </c>
      <c r="K90" s="31" t="n">
        <f aca="false">IF(NOT(ISNUMBER($G90)),"",SUMPRODUCT(('Control Mapping'!$C$5:$C$83=D90)*('Control Mapping'!$F$5:$F$83="Y")*('Control Mapping'!$K$5:$K$83=4)))</f>
        <v>0</v>
      </c>
      <c r="L90" s="29" t="n">
        <f aca="false">IF(NOT(ISNUMBER($G90)),"",IFERROR(SUMPRODUCT(('Control Mapping'!$C$5:$C$83=D90)*'Control Mapping'!$E$5:$E$83*'Control Mapping'!$K$5:$K$83)/SUMPRODUCT(('Control Mapping'!$C$5:$C$83=D90)*'Control Mapping'!$E$5:$E$83*('Control Mapping'!$K$5:$K$83&gt;0)),""))</f>
        <v>1.66666666666667</v>
      </c>
      <c r="M90" s="34" t="n">
        <f aca="false">IF(NOT(ISNUMBER($G90)),"",IF(J90=0,4,MAX(MATCH(L90,'Residual Config'!$E$11:$E$14,1),IF(K90&gt;0,'Residual Config'!$C$7,1))))</f>
        <v>2</v>
      </c>
      <c r="N90" s="7" t="str">
        <f aca="false">IF(NOT(ISNUMBER($G90)),"",IF(J90=0,"Ineffective (no key control)",INDEX('Residual Config'!$B$11:$B$14,M90)))</f>
        <v>Largely effective</v>
      </c>
      <c r="O90" s="36" t="n">
        <f aca="false">IF(NOT(ISNUMBER($G90)),"",IF(J90=0,0,SUMPRODUCT(('Control Mapping'!$C$5:$C$83=D90)*'Control Mapping'!$E$5:$E$83*(('Control Mapping'!$K$5:$K$83=1)*'Residual Config'!$D$11+('Control Mapping'!$K$5:$K$83=2)*'Residual Config'!$D$12+('Control Mapping'!$K$5:$K$83=3)*'Residual Config'!$D$13+('Control Mapping'!$K$5:$K$83=4)*'Residual Config'!$D$14))/SUMPRODUCT(('Control Mapping'!$C$5:$C$83=D90)*'Control Mapping'!$E$5:$E$83*('Control Mapping'!$K$5:$K$83&gt;0))))</f>
        <v>0.466666666666667</v>
      </c>
      <c r="P90" s="31" t="n">
        <f aca="false">IF(NOT(ISNUMBER($G90)),"",INDEX('Residual Config'!$B$19:$E$23,6-G90,M90))</f>
        <v>2</v>
      </c>
      <c r="Q90" s="29" t="n">
        <f aca="false">IF(NOT(ISNUMBER($G90)),"",MAX(1,F90*(1-O90)))</f>
        <v>1.59911111111111</v>
      </c>
      <c r="R90" s="31" t="n">
        <f aca="false">IF(NOT(ISNUMBER($G90)),"",MAX(MATCH(Q90,Config!$D$5:$D$9,1),G90-'Residual Config'!$C$6))</f>
        <v>1</v>
      </c>
      <c r="S90" s="34" t="n">
        <f aca="false">IF(NOT(ISNUMBER($G90)),"",IF('Residual Config'!$C$5="Numeric",R90,P90))</f>
        <v>2</v>
      </c>
      <c r="T90" s="7" t="str">
        <f aca="false">IF(G90="N/A","N/A",IF(S90="","No data",INDEX(Config!$B$5:$B$9,S90)))</f>
        <v>Medium-Low</v>
      </c>
      <c r="U90" s="32" t="n">
        <v>0</v>
      </c>
      <c r="V90" s="8"/>
      <c r="W90" s="33"/>
      <c r="X90" s="34" t="n">
        <f aca="false">IF(S90="","",IF(AND(W90="Y",U90&lt;&gt;0),MAX(1,MIN(5,S90+MAX(-Config!$C$27,MIN(Config!$C$27,U90)))),S90))</f>
        <v>2</v>
      </c>
      <c r="Y90" s="35" t="str">
        <f aca="false">IF(G90="N/A","N/A",IF(X90="","No data",INDEX(Config!$B$5:$B$9,X90)))</f>
        <v>Medium-Low</v>
      </c>
      <c r="Z90" s="7" t="str">
        <f aca="false">IF(U90=0,"None",IF(W90="Y","Applied","Pending HO approval"))</f>
        <v>None</v>
      </c>
      <c r="AA90" s="12" t="str">
        <f aca="false">INDEX('Risk Taxonomy'!$G$5:$G$24,MATCH(D90,'Risk Taxonomy'!$A$5:$A$24,0))</f>
        <v>Low</v>
      </c>
      <c r="AB90" s="7" t="str">
        <f aca="false">INDEX('Risk Taxonomy'!$H$5:$H$24,MATCH(D90,'Risk Taxonomy'!$A$5:$A$24,0))</f>
        <v>Medium</v>
      </c>
      <c r="AC90" s="35" t="str">
        <f aca="false">IF(NOT(ISNUMBER(X90)),"",IF(X90&lt;=MATCH(AB90,Config!$B$5:$B$9,0),"Within",IF(OR(X90-MATCH(AB90,Config!$B$5:$B$9,0)&gt;=2,AND('Residual Config'!$C$8="Y",ISNUMBER(SEARCH("Zero",AA90)))),"Red","Amber")))</f>
        <v>Within</v>
      </c>
      <c r="AD90" s="12" t="str">
        <f aca="false">IF(AC90="Red","Group CCO / CRO and Country CEO within 2 business days; action plan in 15 days; report to Board Risk &amp; Compliance Committee",IF(AC90="Amber","Country CO, risk owner and HO Administrator within 5 business days; action plan in 30 days",""))</f>
        <v/>
      </c>
    </row>
    <row r="91" customFormat="false" ht="15" hidden="false" customHeight="false" outlineLevel="0" collapsed="false">
      <c r="A91" s="26" t="str">
        <f aca="false">Entities!$A$9</f>
        <v>JO-LSG</v>
      </c>
      <c r="B91" s="12" t="str">
        <f aca="false">INDEX(Entities!$B$5:$B$34,MATCH(A91,Entities!$A$5:$A$34,0))</f>
        <v>Leasing subsidiary – Jordan</v>
      </c>
      <c r="C91" s="12" t="str">
        <f aca="false">INDEX(Entities!$D$5:$D$34,MATCH(A91,Entities!$A$5:$A$34,0))</f>
        <v>Jordan (home)</v>
      </c>
      <c r="D91" s="12" t="s">
        <v>281</v>
      </c>
      <c r="E91" s="12" t="str">
        <f aca="false">INDEX('Risk Taxonomy'!$B$5:$B$24,MATCH(D91,'Risk Taxonomy'!$A$5:$A$24,0))</f>
        <v>Tax evasion and tax transparency</v>
      </c>
      <c r="F91" s="29" t="n">
        <f aca="false">IF(NOT(ISNUMBER(G91)),"",IFERROR(IF(MATCH(SUMIFS('FC Calculation'!$N$5:$N$214,'FC Calculation'!$A$5:$A$214,A91,'FC Calculation'!$D$5:$D$214,D91),Config!$D$5:$D$9,1)=G91,SUMIFS('FC Calculation'!$N$5:$N$214,'FC Calculation'!$A$5:$A$214,A91,'FC Calculation'!$D$5:$D$214,D91),G91),G91))</f>
        <v>2.93833333333333</v>
      </c>
      <c r="G91" s="34" t="n">
        <f aca="false">IF(COUNTIFS('FC Calculation'!$A$5:$A$214,A91,'FC Calculation'!$D$5:$D$214,D91,'FC Calculation'!$T$5:$T$214,"&gt;0")=0,"",SUMIFS('FC Calculation'!$T$5:$T$214,'FC Calculation'!$A$5:$A$214,A91,'FC Calculation'!$D$5:$D$214,D91))</f>
        <v>3</v>
      </c>
      <c r="H91" s="7" t="str">
        <f aca="false">IF(G91="N/A","N/A",IF(G91="","No data",INDEX(Config!$B$5:$B$9,G91)))</f>
        <v>Medium</v>
      </c>
      <c r="I91" s="31" t="n">
        <f aca="false">IF(NOT(ISNUMBER($G91)),"",SUMPRODUCT(('Control Mapping'!$C$5:$C$83=D91)*('Control Mapping'!$K$5:$K$83&gt;0)))</f>
        <v>5</v>
      </c>
      <c r="J91" s="31" t="n">
        <f aca="false">IF(NOT(ISNUMBER($G91)),"",SUMPRODUCT(('Control Mapping'!$C$5:$C$83=D91)*('Control Mapping'!$F$5:$F$83="Y")*('Control Mapping'!$K$5:$K$83&gt;0)))</f>
        <v>4</v>
      </c>
      <c r="K91" s="31" t="n">
        <f aca="false">IF(NOT(ISNUMBER($G91)),"",SUMPRODUCT(('Control Mapping'!$C$5:$C$83=D91)*('Control Mapping'!$F$5:$F$83="Y")*('Control Mapping'!$K$5:$K$83=4)))</f>
        <v>0</v>
      </c>
      <c r="L91" s="29" t="n">
        <f aca="false">IF(NOT(ISNUMBER($G91)),"",IFERROR(SUMPRODUCT(('Control Mapping'!$C$5:$C$83=D91)*'Control Mapping'!$E$5:$E$83*'Control Mapping'!$K$5:$K$83)/SUMPRODUCT(('Control Mapping'!$C$5:$C$83=D91)*'Control Mapping'!$E$5:$E$83*('Control Mapping'!$K$5:$K$83&gt;0)),""))</f>
        <v>1.55555555555556</v>
      </c>
      <c r="M91" s="34" t="n">
        <f aca="false">IF(NOT(ISNUMBER($G91)),"",IF(J91=0,4,MAX(MATCH(L91,'Residual Config'!$E$11:$E$14,1),IF(K91&gt;0,'Residual Config'!$C$7,1))))</f>
        <v>2</v>
      </c>
      <c r="N91" s="7" t="str">
        <f aca="false">IF(NOT(ISNUMBER($G91)),"",IF(J91=0,"Ineffective (no key control)",INDEX('Residual Config'!$B$11:$B$14,M91)))</f>
        <v>Largely effective</v>
      </c>
      <c r="O91" s="36" t="n">
        <f aca="false">IF(NOT(ISNUMBER($G91)),"",IF(J91=0,0,SUMPRODUCT(('Control Mapping'!$C$5:$C$83=D91)*'Control Mapping'!$E$5:$E$83*(('Control Mapping'!$K$5:$K$83=1)*'Residual Config'!$D$11+('Control Mapping'!$K$5:$K$83=2)*'Residual Config'!$D$12+('Control Mapping'!$K$5:$K$83=3)*'Residual Config'!$D$13+('Control Mapping'!$K$5:$K$83=4)*'Residual Config'!$D$14))/SUMPRODUCT(('Control Mapping'!$C$5:$C$83=D91)*'Control Mapping'!$E$5:$E$83*('Control Mapping'!$K$5:$K$83&gt;0))))</f>
        <v>0.488888888888889</v>
      </c>
      <c r="P91" s="31" t="n">
        <f aca="false">IF(NOT(ISNUMBER($G91)),"",INDEX('Residual Config'!$B$19:$E$23,6-G91,M91))</f>
        <v>2</v>
      </c>
      <c r="Q91" s="29" t="n">
        <f aca="false">IF(NOT(ISNUMBER($G91)),"",MAX(1,F91*(1-O91)))</f>
        <v>1.50181481481481</v>
      </c>
      <c r="R91" s="31" t="n">
        <f aca="false">IF(NOT(ISNUMBER($G91)),"",MAX(MATCH(Q91,Config!$D$5:$D$9,1),G91-'Residual Config'!$C$6))</f>
        <v>1</v>
      </c>
      <c r="S91" s="34" t="n">
        <f aca="false">IF(NOT(ISNUMBER($G91)),"",IF('Residual Config'!$C$5="Numeric",R91,P91))</f>
        <v>2</v>
      </c>
      <c r="T91" s="7" t="str">
        <f aca="false">IF(G91="N/A","N/A",IF(S91="","No data",INDEX(Config!$B$5:$B$9,S91)))</f>
        <v>Medium-Low</v>
      </c>
      <c r="U91" s="32" t="n">
        <v>0</v>
      </c>
      <c r="V91" s="8"/>
      <c r="W91" s="33"/>
      <c r="X91" s="34" t="n">
        <f aca="false">IF(S91="","",IF(AND(W91="Y",U91&lt;&gt;0),MAX(1,MIN(5,S91+MAX(-Config!$C$27,MIN(Config!$C$27,U91)))),S91))</f>
        <v>2</v>
      </c>
      <c r="Y91" s="35" t="str">
        <f aca="false">IF(G91="N/A","N/A",IF(X91="","No data",INDEX(Config!$B$5:$B$9,X91)))</f>
        <v>Medium-Low</v>
      </c>
      <c r="Z91" s="7" t="str">
        <f aca="false">IF(U91=0,"None",IF(W91="Y","Applied","Pending HO approval"))</f>
        <v>None</v>
      </c>
      <c r="AA91" s="12" t="str">
        <f aca="false">INDEX('Risk Taxonomy'!$G$5:$G$24,MATCH(D91,'Risk Taxonomy'!$A$5:$A$24,0))</f>
        <v>Zero tolerance (facilitation)</v>
      </c>
      <c r="AB91" s="7" t="str">
        <f aca="false">INDEX('Risk Taxonomy'!$H$5:$H$24,MATCH(D91,'Risk Taxonomy'!$A$5:$A$24,0))</f>
        <v>Low</v>
      </c>
      <c r="AC91" s="35" t="str">
        <f aca="false">IF(NOT(ISNUMBER(X91)),"",IF(X91&lt;=MATCH(AB91,Config!$B$5:$B$9,0),"Within",IF(OR(X91-MATCH(AB91,Config!$B$5:$B$9,0)&gt;=2,AND('Residual Config'!$C$8="Y",ISNUMBER(SEARCH("Zero",AA91)))),"Red","Amber")))</f>
        <v>Amber</v>
      </c>
      <c r="AD91" s="12" t="str">
        <f aca="false">IF(AC91="Red","Group CCO / CRO and Country CEO within 2 business days; action plan in 15 days; report to Board Risk &amp; Compliance Committee",IF(AC91="Amber","Country CO, risk owner and HO Administrator within 5 business days; action plan in 30 days",""))</f>
        <v>Country CO, risk owner and HO Administrator within 5 business days; action plan in 30 days</v>
      </c>
    </row>
    <row r="92" customFormat="false" ht="15" hidden="false" customHeight="false" outlineLevel="0" collapsed="false">
      <c r="A92" s="26" t="str">
        <f aca="false">Entities!$A$9</f>
        <v>JO-LSG</v>
      </c>
      <c r="B92" s="12" t="str">
        <f aca="false">INDEX(Entities!$B$5:$B$34,MATCH(A92,Entities!$A$5:$A$34,0))</f>
        <v>Leasing subsidiary – Jordan</v>
      </c>
      <c r="C92" s="12" t="str">
        <f aca="false">INDEX(Entities!$D$5:$D$34,MATCH(A92,Entities!$A$5:$A$34,0))</f>
        <v>Jordan (home)</v>
      </c>
      <c r="D92" s="12" t="s">
        <v>284</v>
      </c>
      <c r="E92" s="12" t="str">
        <f aca="false">INDEX('Risk Taxonomy'!$B$5:$B$24,MATCH(D92,'Risk Taxonomy'!$A$5:$A$24,0))</f>
        <v>Regulatory compliance</v>
      </c>
      <c r="F92" s="29" t="n">
        <f aca="false">IF(NOT(ISNUMBER(G92)),"",G92)</f>
        <v>3</v>
      </c>
      <c r="G92" s="34" t="n">
        <f aca="false">IF(COUNTIFS('LxI Assessment'!$A$5:$A$394,A92,'LxI Assessment'!$D$5:$D$394,D92,'LxI Assessment'!$F$5:$F$394,"N/A")&gt;0,"N/A",IF(COUNTIFS('LxI Assessment'!$A$5:$A$394,A92,'LxI Assessment'!$D$5:$D$394,D92,'LxI Assessment'!$S$5:$S$394,"&gt;0")=0,"",SUMIFS('LxI Assessment'!$S$5:$S$394,'LxI Assessment'!$A$5:$A$394,A92,'LxI Assessment'!$D$5:$D$394,D92)))</f>
        <v>3</v>
      </c>
      <c r="H92" s="7" t="str">
        <f aca="false">IF(G92="N/A","N/A",IF(G92="","No data",INDEX(Config!$B$5:$B$9,G92)))</f>
        <v>Medium</v>
      </c>
      <c r="I92" s="31" t="n">
        <f aca="false">IF(NOT(ISNUMBER($G92)),"",SUMPRODUCT(('Control Mapping'!$C$5:$C$83=D92)*('Control Mapping'!$K$5:$K$83&gt;0)))</f>
        <v>4</v>
      </c>
      <c r="J92" s="31" t="n">
        <f aca="false">IF(NOT(ISNUMBER($G92)),"",SUMPRODUCT(('Control Mapping'!$C$5:$C$83=D92)*('Control Mapping'!$F$5:$F$83="Y")*('Control Mapping'!$K$5:$K$83&gt;0)))</f>
        <v>3</v>
      </c>
      <c r="K92" s="31" t="n">
        <f aca="false">IF(NOT(ISNUMBER($G92)),"",SUMPRODUCT(('Control Mapping'!$C$5:$C$83=D92)*('Control Mapping'!$F$5:$F$83="Y")*('Control Mapping'!$K$5:$K$83=4)))</f>
        <v>0</v>
      </c>
      <c r="L92" s="29" t="n">
        <f aca="false">IF(NOT(ISNUMBER($G92)),"",IFERROR(SUMPRODUCT(('Control Mapping'!$C$5:$C$83=D92)*'Control Mapping'!$E$5:$E$83*'Control Mapping'!$K$5:$K$83)/SUMPRODUCT(('Control Mapping'!$C$5:$C$83=D92)*'Control Mapping'!$E$5:$E$83*('Control Mapping'!$K$5:$K$83&gt;0)),""))</f>
        <v>2</v>
      </c>
      <c r="M92" s="34" t="n">
        <f aca="false">IF(NOT(ISNUMBER($G92)),"",IF(J92=0,4,MAX(MATCH(L92,'Residual Config'!$E$11:$E$14,1),IF(K92&gt;0,'Residual Config'!$C$7,1))))</f>
        <v>2</v>
      </c>
      <c r="N92" s="7" t="str">
        <f aca="false">IF(NOT(ISNUMBER($G92)),"",IF(J92=0,"Ineffective (no key control)",INDEX('Residual Config'!$B$11:$B$14,M92)))</f>
        <v>Largely effective</v>
      </c>
      <c r="O92" s="36" t="n">
        <f aca="false">IF(NOT(ISNUMBER($G92)),"",IF(J92=0,0,SUMPRODUCT(('Control Mapping'!$C$5:$C$83=D92)*'Control Mapping'!$E$5:$E$83*(('Control Mapping'!$K$5:$K$83=1)*'Residual Config'!$D$11+('Control Mapping'!$K$5:$K$83=2)*'Residual Config'!$D$12+('Control Mapping'!$K$5:$K$83=3)*'Residual Config'!$D$13+('Control Mapping'!$K$5:$K$83=4)*'Residual Config'!$D$14))/SUMPRODUCT(('Control Mapping'!$C$5:$C$83=D92)*'Control Mapping'!$E$5:$E$83*('Control Mapping'!$K$5:$K$83&gt;0))))</f>
        <v>0.4</v>
      </c>
      <c r="P92" s="31" t="n">
        <f aca="false">IF(NOT(ISNUMBER($G92)),"",INDEX('Residual Config'!$B$19:$E$23,6-G92,M92))</f>
        <v>2</v>
      </c>
      <c r="Q92" s="29" t="n">
        <f aca="false">IF(NOT(ISNUMBER($G92)),"",MAX(1,F92*(1-O92)))</f>
        <v>1.8</v>
      </c>
      <c r="R92" s="31" t="n">
        <f aca="false">IF(NOT(ISNUMBER($G92)),"",MAX(MATCH(Q92,Config!$D$5:$D$9,1),G92-'Residual Config'!$C$6))</f>
        <v>1</v>
      </c>
      <c r="S92" s="34" t="n">
        <f aca="false">IF(NOT(ISNUMBER($G92)),"",IF('Residual Config'!$C$5="Numeric",R92,P92))</f>
        <v>2</v>
      </c>
      <c r="T92" s="7" t="str">
        <f aca="false">IF(G92="N/A","N/A",IF(S92="","No data",INDEX(Config!$B$5:$B$9,S92)))</f>
        <v>Medium-Low</v>
      </c>
      <c r="U92" s="32" t="n">
        <v>0</v>
      </c>
      <c r="V92" s="8"/>
      <c r="W92" s="33"/>
      <c r="X92" s="34" t="n">
        <f aca="false">IF(S92="","",IF(AND(W92="Y",U92&lt;&gt;0),MAX(1,MIN(5,S92+MAX(-Config!$C$27,MIN(Config!$C$27,U92)))),S92))</f>
        <v>2</v>
      </c>
      <c r="Y92" s="35" t="str">
        <f aca="false">IF(G92="N/A","N/A",IF(X92="","No data",INDEX(Config!$B$5:$B$9,X92)))</f>
        <v>Medium-Low</v>
      </c>
      <c r="Z92" s="7" t="str">
        <f aca="false">IF(U92=0,"None",IF(W92="Y","Applied","Pending HO approval"))</f>
        <v>None</v>
      </c>
      <c r="AA92" s="12" t="str">
        <f aca="false">INDEX('Risk Taxonomy'!$G$5:$G$24,MATCH(D92,'Risk Taxonomy'!$A$5:$A$24,0))</f>
        <v>Very low</v>
      </c>
      <c r="AB92" s="7" t="str">
        <f aca="false">INDEX('Risk Taxonomy'!$H$5:$H$24,MATCH(D92,'Risk Taxonomy'!$A$5:$A$24,0))</f>
        <v>Medium-Low</v>
      </c>
      <c r="AC92" s="35" t="str">
        <f aca="false">IF(NOT(ISNUMBER(X92)),"",IF(X92&lt;=MATCH(AB92,Config!$B$5:$B$9,0),"Within",IF(OR(X92-MATCH(AB92,Config!$B$5:$B$9,0)&gt;=2,AND('Residual Config'!$C$8="Y",ISNUMBER(SEARCH("Zero",AA92)))),"Red","Amber")))</f>
        <v>Within</v>
      </c>
      <c r="AD92" s="12" t="str">
        <f aca="false">IF(AC92="Red","Group CCO / CRO and Country CEO within 2 business days; action plan in 15 days; report to Board Risk &amp; Compliance Committee",IF(AC92="Amber","Country CO, risk owner and HO Administrator within 5 business days; action plan in 30 days",""))</f>
        <v/>
      </c>
    </row>
    <row r="93" customFormat="false" ht="15" hidden="false" customHeight="false" outlineLevel="0" collapsed="false">
      <c r="A93" s="26" t="str">
        <f aca="false">Entities!$A$9</f>
        <v>JO-LSG</v>
      </c>
      <c r="B93" s="12" t="str">
        <f aca="false">INDEX(Entities!$B$5:$B$34,MATCH(A93,Entities!$A$5:$A$34,0))</f>
        <v>Leasing subsidiary – Jordan</v>
      </c>
      <c r="C93" s="12" t="str">
        <f aca="false">INDEX(Entities!$D$5:$D$34,MATCH(A93,Entities!$A$5:$A$34,0))</f>
        <v>Jordan (home)</v>
      </c>
      <c r="D93" s="12" t="s">
        <v>288</v>
      </c>
      <c r="E93" s="12" t="str">
        <f aca="false">INDEX('Risk Taxonomy'!$B$5:$B$24,MATCH(D93,'Risk Taxonomy'!$A$5:$A$24,0))</f>
        <v>Conduct and consumer protection</v>
      </c>
      <c r="F93" s="29" t="n">
        <f aca="false">IF(NOT(ISNUMBER(G93)),"",G93)</f>
        <v>1</v>
      </c>
      <c r="G93" s="34" t="n">
        <f aca="false">IF(COUNTIFS('LxI Assessment'!$A$5:$A$394,A93,'LxI Assessment'!$D$5:$D$394,D93,'LxI Assessment'!$F$5:$F$394,"N/A")&gt;0,"N/A",IF(COUNTIFS('LxI Assessment'!$A$5:$A$394,A93,'LxI Assessment'!$D$5:$D$394,D93,'LxI Assessment'!$S$5:$S$394,"&gt;0")=0,"",SUMIFS('LxI Assessment'!$S$5:$S$394,'LxI Assessment'!$A$5:$A$394,A93,'LxI Assessment'!$D$5:$D$394,D93)))</f>
        <v>1</v>
      </c>
      <c r="H93" s="7" t="str">
        <f aca="false">IF(G93="N/A","N/A",IF(G93="","No data",INDEX(Config!$B$5:$B$9,G93)))</f>
        <v>Low</v>
      </c>
      <c r="I93" s="31" t="n">
        <f aca="false">IF(NOT(ISNUMBER($G93)),"",SUMPRODUCT(('Control Mapping'!$C$5:$C$83=D93)*('Control Mapping'!$K$5:$K$83&gt;0)))</f>
        <v>2</v>
      </c>
      <c r="J93" s="31" t="n">
        <f aca="false">IF(NOT(ISNUMBER($G93)),"",SUMPRODUCT(('Control Mapping'!$C$5:$C$83=D93)*('Control Mapping'!$F$5:$F$83="Y")*('Control Mapping'!$K$5:$K$83&gt;0)))</f>
        <v>1</v>
      </c>
      <c r="K93" s="31" t="n">
        <f aca="false">IF(NOT(ISNUMBER($G93)),"",SUMPRODUCT(('Control Mapping'!$C$5:$C$83=D93)*('Control Mapping'!$F$5:$F$83="Y")*('Control Mapping'!$K$5:$K$83=4)))</f>
        <v>0</v>
      </c>
      <c r="L93" s="29" t="n">
        <f aca="false">IF(NOT(ISNUMBER($G93)),"",IFERROR(SUMPRODUCT(('Control Mapping'!$C$5:$C$83=D93)*'Control Mapping'!$E$5:$E$83*'Control Mapping'!$K$5:$K$83)/SUMPRODUCT(('Control Mapping'!$C$5:$C$83=D93)*'Control Mapping'!$E$5:$E$83*('Control Mapping'!$K$5:$K$83&gt;0)),""))</f>
        <v>2.6</v>
      </c>
      <c r="M93" s="34" t="n">
        <f aca="false">IF(NOT(ISNUMBER($G93)),"",IF(J93=0,4,MAX(MATCH(L93,'Residual Config'!$E$11:$E$14,1),IF(K93&gt;0,'Residual Config'!$C$7,1))))</f>
        <v>3</v>
      </c>
      <c r="N93" s="7" t="str">
        <f aca="false">IF(NOT(ISNUMBER($G93)),"",IF(J93=0,"Ineffective (no key control)",INDEX('Residual Config'!$B$11:$B$14,M93)))</f>
        <v>Partially effective</v>
      </c>
      <c r="O93" s="36" t="n">
        <f aca="false">IF(NOT(ISNUMBER($G93)),"",IF(J93=0,0,SUMPRODUCT(('Control Mapping'!$C$5:$C$83=D93)*'Control Mapping'!$E$5:$E$83*(('Control Mapping'!$K$5:$K$83=1)*'Residual Config'!$D$11+('Control Mapping'!$K$5:$K$83=2)*'Residual Config'!$D$12+('Control Mapping'!$K$5:$K$83=3)*'Residual Config'!$D$13+('Control Mapping'!$K$5:$K$83=4)*'Residual Config'!$D$14))/SUMPRODUCT(('Control Mapping'!$C$5:$C$83=D93)*'Control Mapping'!$E$5:$E$83*('Control Mapping'!$K$5:$K$83&gt;0))))</f>
        <v>0.28</v>
      </c>
      <c r="P93" s="31" t="n">
        <f aca="false">IF(NOT(ISNUMBER($G93)),"",INDEX('Residual Config'!$B$19:$E$23,6-G93,M93))</f>
        <v>1</v>
      </c>
      <c r="Q93" s="29" t="n">
        <f aca="false">IF(NOT(ISNUMBER($G93)),"",MAX(1,F93*(1-O93)))</f>
        <v>1</v>
      </c>
      <c r="R93" s="31" t="n">
        <f aca="false">IF(NOT(ISNUMBER($G93)),"",MAX(MATCH(Q93,Config!$D$5:$D$9,1),G93-'Residual Config'!$C$6))</f>
        <v>1</v>
      </c>
      <c r="S93" s="34" t="n">
        <f aca="false">IF(NOT(ISNUMBER($G93)),"",IF('Residual Config'!$C$5="Numeric",R93,P93))</f>
        <v>1</v>
      </c>
      <c r="T93" s="7" t="str">
        <f aca="false">IF(G93="N/A","N/A",IF(S93="","No data",INDEX(Config!$B$5:$B$9,S93)))</f>
        <v>Low</v>
      </c>
      <c r="U93" s="32" t="n">
        <v>0</v>
      </c>
      <c r="V93" s="8"/>
      <c r="W93" s="33"/>
      <c r="X93" s="34" t="n">
        <f aca="false">IF(S93="","",IF(AND(W93="Y",U93&lt;&gt;0),MAX(1,MIN(5,S93+MAX(-Config!$C$27,MIN(Config!$C$27,U93)))),S93))</f>
        <v>1</v>
      </c>
      <c r="Y93" s="35" t="str">
        <f aca="false">IF(G93="N/A","N/A",IF(X93="","No data",INDEX(Config!$B$5:$B$9,X93)))</f>
        <v>Low</v>
      </c>
      <c r="Z93" s="7" t="str">
        <f aca="false">IF(U93=0,"None",IF(W93="Y","Applied","Pending HO approval"))</f>
        <v>None</v>
      </c>
      <c r="AA93" s="12" t="str">
        <f aca="false">INDEX('Risk Taxonomy'!$G$5:$G$24,MATCH(D93,'Risk Taxonomy'!$A$5:$A$24,0))</f>
        <v>Low</v>
      </c>
      <c r="AB93" s="7" t="str">
        <f aca="false">INDEX('Risk Taxonomy'!$H$5:$H$24,MATCH(D93,'Risk Taxonomy'!$A$5:$A$24,0))</f>
        <v>Medium</v>
      </c>
      <c r="AC93" s="35" t="str">
        <f aca="false">IF(NOT(ISNUMBER(X93)),"",IF(X93&lt;=MATCH(AB93,Config!$B$5:$B$9,0),"Within",IF(OR(X93-MATCH(AB93,Config!$B$5:$B$9,0)&gt;=2,AND('Residual Config'!$C$8="Y",ISNUMBER(SEARCH("Zero",AA93)))),"Red","Amber")))</f>
        <v>Within</v>
      </c>
      <c r="AD93" s="12" t="str">
        <f aca="false">IF(AC93="Red","Group CCO / CRO and Country CEO within 2 business days; action plan in 15 days; report to Board Risk &amp; Compliance Committee",IF(AC93="Amber","Country CO, risk owner and HO Administrator within 5 business days; action plan in 30 days",""))</f>
        <v/>
      </c>
    </row>
    <row r="94" customFormat="false" ht="15" hidden="false" customHeight="false" outlineLevel="0" collapsed="false">
      <c r="A94" s="26" t="str">
        <f aca="false">Entities!$A$9</f>
        <v>JO-LSG</v>
      </c>
      <c r="B94" s="12" t="str">
        <f aca="false">INDEX(Entities!$B$5:$B$34,MATCH(A94,Entities!$A$5:$A$34,0))</f>
        <v>Leasing subsidiary – Jordan</v>
      </c>
      <c r="C94" s="12" t="str">
        <f aca="false">INDEX(Entities!$D$5:$D$34,MATCH(A94,Entities!$A$5:$A$34,0))</f>
        <v>Jordan (home)</v>
      </c>
      <c r="D94" s="12" t="s">
        <v>290</v>
      </c>
      <c r="E94" s="12" t="str">
        <f aca="false">INDEX('Risk Taxonomy'!$B$5:$B$24,MATCH(D94,'Risk Taxonomy'!$A$5:$A$24,0))</f>
        <v>Data protection and privacy</v>
      </c>
      <c r="F94" s="29" t="n">
        <f aca="false">IF(NOT(ISNUMBER(G94)),"",G94)</f>
        <v>4</v>
      </c>
      <c r="G94" s="34" t="n">
        <f aca="false">IF(COUNTIFS('LxI Assessment'!$A$5:$A$394,A94,'LxI Assessment'!$D$5:$D$394,D94,'LxI Assessment'!$F$5:$F$394,"N/A")&gt;0,"N/A",IF(COUNTIFS('LxI Assessment'!$A$5:$A$394,A94,'LxI Assessment'!$D$5:$D$394,D94,'LxI Assessment'!$S$5:$S$394,"&gt;0")=0,"",SUMIFS('LxI Assessment'!$S$5:$S$394,'LxI Assessment'!$A$5:$A$394,A94,'LxI Assessment'!$D$5:$D$394,D94)))</f>
        <v>4</v>
      </c>
      <c r="H94" s="7" t="str">
        <f aca="false">IF(G94="N/A","N/A",IF(G94="","No data",INDEX(Config!$B$5:$B$9,G94)))</f>
        <v>Medium-High</v>
      </c>
      <c r="I94" s="31" t="n">
        <f aca="false">IF(NOT(ISNUMBER($G94)),"",SUMPRODUCT(('Control Mapping'!$C$5:$C$83=D94)*('Control Mapping'!$K$5:$K$83&gt;0)))</f>
        <v>2</v>
      </c>
      <c r="J94" s="31" t="n">
        <f aca="false">IF(NOT(ISNUMBER($G94)),"",SUMPRODUCT(('Control Mapping'!$C$5:$C$83=D94)*('Control Mapping'!$F$5:$F$83="Y")*('Control Mapping'!$K$5:$K$83&gt;0)))</f>
        <v>2</v>
      </c>
      <c r="K94" s="31" t="n">
        <f aca="false">IF(NOT(ISNUMBER($G94)),"",SUMPRODUCT(('Control Mapping'!$C$5:$C$83=D94)*('Control Mapping'!$F$5:$F$83="Y")*('Control Mapping'!$K$5:$K$83=4)))</f>
        <v>0</v>
      </c>
      <c r="L94" s="29" t="n">
        <f aca="false">IF(NOT(ISNUMBER($G94)),"",IFERROR(SUMPRODUCT(('Control Mapping'!$C$5:$C$83=D94)*'Control Mapping'!$E$5:$E$83*'Control Mapping'!$K$5:$K$83)/SUMPRODUCT(('Control Mapping'!$C$5:$C$83=D94)*'Control Mapping'!$E$5:$E$83*('Control Mapping'!$K$5:$K$83&gt;0)),""))</f>
        <v>1</v>
      </c>
      <c r="M94" s="34" t="n">
        <f aca="false">IF(NOT(ISNUMBER($G94)),"",IF(J94=0,4,MAX(MATCH(L94,'Residual Config'!$E$11:$E$14,1),IF(K94&gt;0,'Residual Config'!$C$7,1))))</f>
        <v>1</v>
      </c>
      <c r="N94" s="7" t="str">
        <f aca="false">IF(NOT(ISNUMBER($G94)),"",IF(J94=0,"Ineffective (no key control)",INDEX('Residual Config'!$B$11:$B$14,M94)))</f>
        <v>Effective</v>
      </c>
      <c r="O94" s="36" t="n">
        <f aca="false">IF(NOT(ISNUMBER($G94)),"",IF(J94=0,0,SUMPRODUCT(('Control Mapping'!$C$5:$C$83=D94)*'Control Mapping'!$E$5:$E$83*(('Control Mapping'!$K$5:$K$83=1)*'Residual Config'!$D$11+('Control Mapping'!$K$5:$K$83=2)*'Residual Config'!$D$12+('Control Mapping'!$K$5:$K$83=3)*'Residual Config'!$D$13+('Control Mapping'!$K$5:$K$83=4)*'Residual Config'!$D$14))/SUMPRODUCT(('Control Mapping'!$C$5:$C$83=D94)*'Control Mapping'!$E$5:$E$83*('Control Mapping'!$K$5:$K$83&gt;0))))</f>
        <v>0.6</v>
      </c>
      <c r="P94" s="31" t="n">
        <f aca="false">IF(NOT(ISNUMBER($G94)),"",INDEX('Residual Config'!$B$19:$E$23,6-G94,M94))</f>
        <v>2</v>
      </c>
      <c r="Q94" s="29" t="n">
        <f aca="false">IF(NOT(ISNUMBER($G94)),"",MAX(1,F94*(1-O94)))</f>
        <v>1.6</v>
      </c>
      <c r="R94" s="31" t="n">
        <f aca="false">IF(NOT(ISNUMBER($G94)),"",MAX(MATCH(Q94,Config!$D$5:$D$9,1),G94-'Residual Config'!$C$6))</f>
        <v>2</v>
      </c>
      <c r="S94" s="34" t="n">
        <f aca="false">IF(NOT(ISNUMBER($G94)),"",IF('Residual Config'!$C$5="Numeric",R94,P94))</f>
        <v>2</v>
      </c>
      <c r="T94" s="7" t="str">
        <f aca="false">IF(G94="N/A","N/A",IF(S94="","No data",INDEX(Config!$B$5:$B$9,S94)))</f>
        <v>Medium-Low</v>
      </c>
      <c r="U94" s="32" t="n">
        <v>0</v>
      </c>
      <c r="V94" s="8"/>
      <c r="W94" s="33"/>
      <c r="X94" s="34" t="n">
        <f aca="false">IF(S94="","",IF(AND(W94="Y",U94&lt;&gt;0),MAX(1,MIN(5,S94+MAX(-Config!$C$27,MIN(Config!$C$27,U94)))),S94))</f>
        <v>2</v>
      </c>
      <c r="Y94" s="35" t="str">
        <f aca="false">IF(G94="N/A","N/A",IF(X94="","No data",INDEX(Config!$B$5:$B$9,X94)))</f>
        <v>Medium-Low</v>
      </c>
      <c r="Z94" s="7" t="str">
        <f aca="false">IF(U94=0,"None",IF(W94="Y","Applied","Pending HO approval"))</f>
        <v>None</v>
      </c>
      <c r="AA94" s="12" t="str">
        <f aca="false">INDEX('Risk Taxonomy'!$G$5:$G$24,MATCH(D94,'Risk Taxonomy'!$A$5:$A$24,0))</f>
        <v>Very low</v>
      </c>
      <c r="AB94" s="7" t="str">
        <f aca="false">INDEX('Risk Taxonomy'!$H$5:$H$24,MATCH(D94,'Risk Taxonomy'!$A$5:$A$24,0))</f>
        <v>Medium-Low</v>
      </c>
      <c r="AC94" s="35" t="str">
        <f aca="false">IF(NOT(ISNUMBER(X94)),"",IF(X94&lt;=MATCH(AB94,Config!$B$5:$B$9,0),"Within",IF(OR(X94-MATCH(AB94,Config!$B$5:$B$9,0)&gt;=2,AND('Residual Config'!$C$8="Y",ISNUMBER(SEARCH("Zero",AA94)))),"Red","Amber")))</f>
        <v>Within</v>
      </c>
      <c r="AD94" s="12" t="str">
        <f aca="false">IF(AC94="Red","Group CCO / CRO and Country CEO within 2 business days; action plan in 15 days; report to Board Risk &amp; Compliance Committee",IF(AC94="Amber","Country CO, risk owner and HO Administrator within 5 business days; action plan in 30 days",""))</f>
        <v/>
      </c>
    </row>
    <row r="95" customFormat="false" ht="15" hidden="false" customHeight="false" outlineLevel="0" collapsed="false">
      <c r="A95" s="26" t="str">
        <f aca="false">Entities!$A$9</f>
        <v>JO-LSG</v>
      </c>
      <c r="B95" s="12" t="str">
        <f aca="false">INDEX(Entities!$B$5:$B$34,MATCH(A95,Entities!$A$5:$A$34,0))</f>
        <v>Leasing subsidiary – Jordan</v>
      </c>
      <c r="C95" s="12" t="str">
        <f aca="false">INDEX(Entities!$D$5:$D$34,MATCH(A95,Entities!$A$5:$A$34,0))</f>
        <v>Jordan (home)</v>
      </c>
      <c r="D95" s="12" t="s">
        <v>293</v>
      </c>
      <c r="E95" s="12" t="str">
        <f aca="false">INDEX('Risk Taxonomy'!$B$5:$B$24,MATCH(D95,'Risk Taxonomy'!$A$5:$A$24,0))</f>
        <v>Shariah non-compliance</v>
      </c>
      <c r="F95" s="29" t="str">
        <f aca="false">IF(NOT(ISNUMBER(G95)),"",G95)</f>
        <v/>
      </c>
      <c r="G95" s="34" t="str">
        <f aca="false">IF(COUNTIFS('LxI Assessment'!$A$5:$A$394,A95,'LxI Assessment'!$D$5:$D$394,D95,'LxI Assessment'!$F$5:$F$394,"N/A")&gt;0,"N/A",IF(COUNTIFS('LxI Assessment'!$A$5:$A$394,A95,'LxI Assessment'!$D$5:$D$394,D95,'LxI Assessment'!$S$5:$S$394,"&gt;0")=0,"",SUMIFS('LxI Assessment'!$S$5:$S$394,'LxI Assessment'!$A$5:$A$394,A95,'LxI Assessment'!$D$5:$D$394,D95)))</f>
        <v>N/A</v>
      </c>
      <c r="H95" s="7" t="str">
        <f aca="false">IF(G95="N/A","N/A",IF(G95="","No data",INDEX(Config!$B$5:$B$9,G95)))</f>
        <v>N/A</v>
      </c>
      <c r="I95" s="31" t="str">
        <f aca="false">IF(NOT(ISNUMBER($G95)),"",SUMPRODUCT(('Control Mapping'!$C$5:$C$83=D95)*('Control Mapping'!$K$5:$K$83&gt;0)))</f>
        <v/>
      </c>
      <c r="J95" s="31" t="str">
        <f aca="false">IF(NOT(ISNUMBER($G95)),"",SUMPRODUCT(('Control Mapping'!$C$5:$C$83=D95)*('Control Mapping'!$F$5:$F$83="Y")*('Control Mapping'!$K$5:$K$83&gt;0)))</f>
        <v/>
      </c>
      <c r="K95" s="31" t="str">
        <f aca="false">IF(NOT(ISNUMBER($G95)),"",SUMPRODUCT(('Control Mapping'!$C$5:$C$83=D95)*('Control Mapping'!$F$5:$F$83="Y")*('Control Mapping'!$K$5:$K$83=4)))</f>
        <v/>
      </c>
      <c r="L95" s="29" t="str">
        <f aca="false">IF(NOT(ISNUMBER($G95)),"",IFERROR(SUMPRODUCT(('Control Mapping'!$C$5:$C$83=D95)*'Control Mapping'!$E$5:$E$83*'Control Mapping'!$K$5:$K$83)/SUMPRODUCT(('Control Mapping'!$C$5:$C$83=D95)*'Control Mapping'!$E$5:$E$83*('Control Mapping'!$K$5:$K$83&gt;0)),""))</f>
        <v/>
      </c>
      <c r="M95" s="34" t="str">
        <f aca="false">IF(NOT(ISNUMBER($G95)),"",IF(J95=0,4,MAX(MATCH(L95,'Residual Config'!$E$11:$E$14,1),IF(K95&gt;0,'Residual Config'!$C$7,1))))</f>
        <v/>
      </c>
      <c r="N95" s="7" t="str">
        <f aca="false">IF(NOT(ISNUMBER($G95)),"",IF(J95=0,"Ineffective (no key control)",INDEX('Residual Config'!$B$11:$B$14,M95)))</f>
        <v/>
      </c>
      <c r="O95" s="36" t="str">
        <f aca="false">IF(NOT(ISNUMBER($G95)),"",IF(J95=0,0,SUMPRODUCT(('Control Mapping'!$C$5:$C$83=D95)*'Control Mapping'!$E$5:$E$83*(('Control Mapping'!$K$5:$K$83=1)*'Residual Config'!$D$11+('Control Mapping'!$K$5:$K$83=2)*'Residual Config'!$D$12+('Control Mapping'!$K$5:$K$83=3)*'Residual Config'!$D$13+('Control Mapping'!$K$5:$K$83=4)*'Residual Config'!$D$14))/SUMPRODUCT(('Control Mapping'!$C$5:$C$83=D95)*'Control Mapping'!$E$5:$E$83*('Control Mapping'!$K$5:$K$83&gt;0))))</f>
        <v/>
      </c>
      <c r="P95" s="31" t="str">
        <f aca="false">IF(NOT(ISNUMBER($G95)),"",INDEX('Residual Config'!$B$19:$E$23,6-G95,M95))</f>
        <v/>
      </c>
      <c r="Q95" s="29" t="str">
        <f aca="false">IF(NOT(ISNUMBER($G95)),"",MAX(1,F95*(1-O95)))</f>
        <v/>
      </c>
      <c r="R95" s="31" t="str">
        <f aca="false">IF(NOT(ISNUMBER($G95)),"",MAX(MATCH(Q95,Config!$D$5:$D$9,1),G95-'Residual Config'!$C$6))</f>
        <v/>
      </c>
      <c r="S95" s="34" t="str">
        <f aca="false">IF(NOT(ISNUMBER($G95)),"",IF('Residual Config'!$C$5="Numeric",R95,P95))</f>
        <v/>
      </c>
      <c r="T95" s="7" t="str">
        <f aca="false">IF(G95="N/A","N/A",IF(S95="","No data",INDEX(Config!$B$5:$B$9,S95)))</f>
        <v>N/A</v>
      </c>
      <c r="U95" s="32" t="n">
        <v>0</v>
      </c>
      <c r="V95" s="8"/>
      <c r="W95" s="33"/>
      <c r="X95" s="34" t="str">
        <f aca="false">IF(S95="","",IF(AND(W95="Y",U95&lt;&gt;0),MAX(1,MIN(5,S95+MAX(-Config!$C$27,MIN(Config!$C$27,U95)))),S95))</f>
        <v/>
      </c>
      <c r="Y95" s="35" t="str">
        <f aca="false">IF(G95="N/A","N/A",IF(X95="","No data",INDEX(Config!$B$5:$B$9,X95)))</f>
        <v>N/A</v>
      </c>
      <c r="Z95" s="7" t="str">
        <f aca="false">IF(U95=0,"None",IF(W95="Y","Applied","Pending HO approval"))</f>
        <v>None</v>
      </c>
      <c r="AA95" s="12" t="str">
        <f aca="false">INDEX('Risk Taxonomy'!$G$5:$G$24,MATCH(D95,'Risk Taxonomy'!$A$5:$A$24,0))</f>
        <v>Very low</v>
      </c>
      <c r="AB95" s="7" t="str">
        <f aca="false">INDEX('Risk Taxonomy'!$H$5:$H$24,MATCH(D95,'Risk Taxonomy'!$A$5:$A$24,0))</f>
        <v>Medium-Low</v>
      </c>
      <c r="AC95" s="35" t="str">
        <f aca="false">IF(NOT(ISNUMBER(X95)),"",IF(X95&lt;=MATCH(AB95,Config!$B$5:$B$9,0),"Within",IF(OR(X95-MATCH(AB95,Config!$B$5:$B$9,0)&gt;=2,AND('Residual Config'!$C$8="Y",ISNUMBER(SEARCH("Zero",AA95)))),"Red","Amber")))</f>
        <v/>
      </c>
      <c r="AD95" s="12" t="str">
        <f aca="false">IF(AC95="Red","Group CCO / CRO and Country CEO within 2 business days; action plan in 15 days; report to Board Risk &amp; Compliance Committee",IF(AC95="Amber","Country CO, risk owner and HO Administrator within 5 business days; action plan in 30 days",""))</f>
        <v/>
      </c>
    </row>
    <row r="96" customFormat="false" ht="15" hidden="false" customHeight="false" outlineLevel="0" collapsed="false">
      <c r="A96" s="26" t="str">
        <f aca="false">Entities!$A$9</f>
        <v>JO-LSG</v>
      </c>
      <c r="B96" s="12" t="str">
        <f aca="false">INDEX(Entities!$B$5:$B$34,MATCH(A96,Entities!$A$5:$A$34,0))</f>
        <v>Leasing subsidiary – Jordan</v>
      </c>
      <c r="C96" s="12" t="str">
        <f aca="false">INDEX(Entities!$D$5:$D$34,MATCH(A96,Entities!$A$5:$A$34,0))</f>
        <v>Jordan (home)</v>
      </c>
      <c r="D96" s="12" t="s">
        <v>297</v>
      </c>
      <c r="E96" s="12" t="str">
        <f aca="false">INDEX('Risk Taxonomy'!$B$5:$B$24,MATCH(D96,'Risk Taxonomy'!$A$5:$A$24,0))</f>
        <v>Credit risk</v>
      </c>
      <c r="F96" s="29" t="n">
        <f aca="false">IF(NOT(ISNUMBER(G96)),"",G96)</f>
        <v>4</v>
      </c>
      <c r="G96" s="34" t="n">
        <f aca="false">IF(COUNTIFS('LxI Assessment'!$A$5:$A$394,A96,'LxI Assessment'!$D$5:$D$394,D96,'LxI Assessment'!$F$5:$F$394,"N/A")&gt;0,"N/A",IF(COUNTIFS('LxI Assessment'!$A$5:$A$394,A96,'LxI Assessment'!$D$5:$D$394,D96,'LxI Assessment'!$S$5:$S$394,"&gt;0")=0,"",SUMIFS('LxI Assessment'!$S$5:$S$394,'LxI Assessment'!$A$5:$A$394,A96,'LxI Assessment'!$D$5:$D$394,D96)))</f>
        <v>4</v>
      </c>
      <c r="H96" s="7" t="str">
        <f aca="false">IF(G96="N/A","N/A",IF(G96="","No data",INDEX(Config!$B$5:$B$9,G96)))</f>
        <v>Medium-High</v>
      </c>
      <c r="I96" s="31" t="n">
        <f aca="false">IF(NOT(ISNUMBER($G96)),"",SUMPRODUCT(('Control Mapping'!$C$5:$C$83=D96)*('Control Mapping'!$K$5:$K$83&gt;0)))</f>
        <v>2</v>
      </c>
      <c r="J96" s="31" t="n">
        <f aca="false">IF(NOT(ISNUMBER($G96)),"",SUMPRODUCT(('Control Mapping'!$C$5:$C$83=D96)*('Control Mapping'!$F$5:$F$83="Y")*('Control Mapping'!$K$5:$K$83&gt;0)))</f>
        <v>1</v>
      </c>
      <c r="K96" s="31" t="n">
        <f aca="false">IF(NOT(ISNUMBER($G96)),"",SUMPRODUCT(('Control Mapping'!$C$5:$C$83=D96)*('Control Mapping'!$F$5:$F$83="Y")*('Control Mapping'!$K$5:$K$83=4)))</f>
        <v>0</v>
      </c>
      <c r="L96" s="29" t="n">
        <f aca="false">IF(NOT(ISNUMBER($G96)),"",IFERROR(SUMPRODUCT(('Control Mapping'!$C$5:$C$83=D96)*'Control Mapping'!$E$5:$E$83*'Control Mapping'!$K$5:$K$83)/SUMPRODUCT(('Control Mapping'!$C$5:$C$83=D96)*'Control Mapping'!$E$5:$E$83*('Control Mapping'!$K$5:$K$83&gt;0)),""))</f>
        <v>1.6</v>
      </c>
      <c r="M96" s="34" t="n">
        <f aca="false">IF(NOT(ISNUMBER($G96)),"",IF(J96=0,4,MAX(MATCH(L96,'Residual Config'!$E$11:$E$14,1),IF(K96&gt;0,'Residual Config'!$C$7,1))))</f>
        <v>2</v>
      </c>
      <c r="N96" s="7" t="str">
        <f aca="false">IF(NOT(ISNUMBER($G96)),"",IF(J96=0,"Ineffective (no key control)",INDEX('Residual Config'!$B$11:$B$14,M96)))</f>
        <v>Largely effective</v>
      </c>
      <c r="O96" s="36" t="n">
        <f aca="false">IF(NOT(ISNUMBER($G96)),"",IF(J96=0,0,SUMPRODUCT(('Control Mapping'!$C$5:$C$83=D96)*'Control Mapping'!$E$5:$E$83*(('Control Mapping'!$K$5:$K$83=1)*'Residual Config'!$D$11+('Control Mapping'!$K$5:$K$83=2)*'Residual Config'!$D$12+('Control Mapping'!$K$5:$K$83=3)*'Residual Config'!$D$13+('Control Mapping'!$K$5:$K$83=4)*'Residual Config'!$D$14))/SUMPRODUCT(('Control Mapping'!$C$5:$C$83=D96)*'Control Mapping'!$E$5:$E$83*('Control Mapping'!$K$5:$K$83&gt;0))))</f>
        <v>0.48</v>
      </c>
      <c r="P96" s="31" t="n">
        <f aca="false">IF(NOT(ISNUMBER($G96)),"",INDEX('Residual Config'!$B$19:$E$23,6-G96,M96))</f>
        <v>3</v>
      </c>
      <c r="Q96" s="29" t="n">
        <f aca="false">IF(NOT(ISNUMBER($G96)),"",MAX(1,F96*(1-O96)))</f>
        <v>2.08</v>
      </c>
      <c r="R96" s="31" t="n">
        <f aca="false">IF(NOT(ISNUMBER($G96)),"",MAX(MATCH(Q96,Config!$D$5:$D$9,1),G96-'Residual Config'!$C$6))</f>
        <v>2</v>
      </c>
      <c r="S96" s="34" t="n">
        <f aca="false">IF(NOT(ISNUMBER($G96)),"",IF('Residual Config'!$C$5="Numeric",R96,P96))</f>
        <v>3</v>
      </c>
      <c r="T96" s="7" t="str">
        <f aca="false">IF(G96="N/A","N/A",IF(S96="","No data",INDEX(Config!$B$5:$B$9,S96)))</f>
        <v>Medium</v>
      </c>
      <c r="U96" s="32" t="n">
        <v>0</v>
      </c>
      <c r="V96" s="8"/>
      <c r="W96" s="33"/>
      <c r="X96" s="34" t="n">
        <f aca="false">IF(S96="","",IF(AND(W96="Y",U96&lt;&gt;0),MAX(1,MIN(5,S96+MAX(-Config!$C$27,MIN(Config!$C$27,U96)))),S96))</f>
        <v>3</v>
      </c>
      <c r="Y96" s="35" t="str">
        <f aca="false">IF(G96="N/A","N/A",IF(X96="","No data",INDEX(Config!$B$5:$B$9,X96)))</f>
        <v>Medium</v>
      </c>
      <c r="Z96" s="7" t="str">
        <f aca="false">IF(U96=0,"None",IF(W96="Y","Applied","Pending HO approval"))</f>
        <v>None</v>
      </c>
      <c r="AA96" s="12" t="str">
        <f aca="false">INDEX('Risk Taxonomy'!$G$5:$G$24,MATCH(D96,'Risk Taxonomy'!$A$5:$A$24,0))</f>
        <v>Moderate</v>
      </c>
      <c r="AB96" s="7" t="str">
        <f aca="false">INDEX('Risk Taxonomy'!$H$5:$H$24,MATCH(D96,'Risk Taxonomy'!$A$5:$A$24,0))</f>
        <v>Medium-High</v>
      </c>
      <c r="AC96" s="35" t="str">
        <f aca="false">IF(NOT(ISNUMBER(X96)),"",IF(X96&lt;=MATCH(AB96,Config!$B$5:$B$9,0),"Within",IF(OR(X96-MATCH(AB96,Config!$B$5:$B$9,0)&gt;=2,AND('Residual Config'!$C$8="Y",ISNUMBER(SEARCH("Zero",AA96)))),"Red","Amber")))</f>
        <v>Within</v>
      </c>
      <c r="AD96" s="12" t="str">
        <f aca="false">IF(AC96="Red","Group CCO / CRO and Country CEO within 2 business days; action plan in 15 days; report to Board Risk &amp; Compliance Committee",IF(AC96="Amber","Country CO, risk owner and HO Administrator within 5 business days; action plan in 30 days",""))</f>
        <v/>
      </c>
    </row>
    <row r="97" customFormat="false" ht="15" hidden="false" customHeight="false" outlineLevel="0" collapsed="false">
      <c r="A97" s="26" t="str">
        <f aca="false">Entities!$A$9</f>
        <v>JO-LSG</v>
      </c>
      <c r="B97" s="12" t="str">
        <f aca="false">INDEX(Entities!$B$5:$B$34,MATCH(A97,Entities!$A$5:$A$34,0))</f>
        <v>Leasing subsidiary – Jordan</v>
      </c>
      <c r="C97" s="12" t="str">
        <f aca="false">INDEX(Entities!$D$5:$D$34,MATCH(A97,Entities!$A$5:$A$34,0))</f>
        <v>Jordan (home)</v>
      </c>
      <c r="D97" s="12" t="s">
        <v>302</v>
      </c>
      <c r="E97" s="12" t="str">
        <f aca="false">INDEX('Risk Taxonomy'!$B$5:$B$24,MATCH(D97,'Risk Taxonomy'!$A$5:$A$24,0))</f>
        <v>Market risk</v>
      </c>
      <c r="F97" s="29" t="n">
        <f aca="false">IF(NOT(ISNUMBER(G97)),"",G97)</f>
        <v>2</v>
      </c>
      <c r="G97" s="34" t="n">
        <f aca="false">IF(COUNTIFS('LxI Assessment'!$A$5:$A$394,A97,'LxI Assessment'!$D$5:$D$394,D97,'LxI Assessment'!$F$5:$F$394,"N/A")&gt;0,"N/A",IF(COUNTIFS('LxI Assessment'!$A$5:$A$394,A97,'LxI Assessment'!$D$5:$D$394,D97,'LxI Assessment'!$S$5:$S$394,"&gt;0")=0,"",SUMIFS('LxI Assessment'!$S$5:$S$394,'LxI Assessment'!$A$5:$A$394,A97,'LxI Assessment'!$D$5:$D$394,D97)))</f>
        <v>2</v>
      </c>
      <c r="H97" s="7" t="str">
        <f aca="false">IF(G97="N/A","N/A",IF(G97="","No data",INDEX(Config!$B$5:$B$9,G97)))</f>
        <v>Medium-Low</v>
      </c>
      <c r="I97" s="31" t="n">
        <f aca="false">IF(NOT(ISNUMBER($G97)),"",SUMPRODUCT(('Control Mapping'!$C$5:$C$83=D97)*('Control Mapping'!$K$5:$K$83&gt;0)))</f>
        <v>1</v>
      </c>
      <c r="J97" s="31" t="n">
        <f aca="false">IF(NOT(ISNUMBER($G97)),"",SUMPRODUCT(('Control Mapping'!$C$5:$C$83=D97)*('Control Mapping'!$F$5:$F$83="Y")*('Control Mapping'!$K$5:$K$83&gt;0)))</f>
        <v>1</v>
      </c>
      <c r="K97" s="31" t="n">
        <f aca="false">IF(NOT(ISNUMBER($G97)),"",SUMPRODUCT(('Control Mapping'!$C$5:$C$83=D97)*('Control Mapping'!$F$5:$F$83="Y")*('Control Mapping'!$K$5:$K$83=4)))</f>
        <v>0</v>
      </c>
      <c r="L97" s="29" t="n">
        <f aca="false">IF(NOT(ISNUMBER($G97)),"",IFERROR(SUMPRODUCT(('Control Mapping'!$C$5:$C$83=D97)*'Control Mapping'!$E$5:$E$83*'Control Mapping'!$K$5:$K$83)/SUMPRODUCT(('Control Mapping'!$C$5:$C$83=D97)*'Control Mapping'!$E$5:$E$83*('Control Mapping'!$K$5:$K$83&gt;0)),""))</f>
        <v>3</v>
      </c>
      <c r="M97" s="34" t="n">
        <f aca="false">IF(NOT(ISNUMBER($G97)),"",IF(J97=0,4,MAX(MATCH(L97,'Residual Config'!$E$11:$E$14,1),IF(K97&gt;0,'Residual Config'!$C$7,1))))</f>
        <v>3</v>
      </c>
      <c r="N97" s="7" t="str">
        <f aca="false">IF(NOT(ISNUMBER($G97)),"",IF(J97=0,"Ineffective (no key control)",INDEX('Residual Config'!$B$11:$B$14,M97)))</f>
        <v>Partially effective</v>
      </c>
      <c r="O97" s="36" t="n">
        <f aca="false">IF(NOT(ISNUMBER($G97)),"",IF(J97=0,0,SUMPRODUCT(('Control Mapping'!$C$5:$C$83=D97)*'Control Mapping'!$E$5:$E$83*(('Control Mapping'!$K$5:$K$83=1)*'Residual Config'!$D$11+('Control Mapping'!$K$5:$K$83=2)*'Residual Config'!$D$12+('Control Mapping'!$K$5:$K$83=3)*'Residual Config'!$D$13+('Control Mapping'!$K$5:$K$83=4)*'Residual Config'!$D$14))/SUMPRODUCT(('Control Mapping'!$C$5:$C$83=D97)*'Control Mapping'!$E$5:$E$83*('Control Mapping'!$K$5:$K$83&gt;0))))</f>
        <v>0.2</v>
      </c>
      <c r="P97" s="31" t="n">
        <f aca="false">IF(NOT(ISNUMBER($G97)),"",INDEX('Residual Config'!$B$19:$E$23,6-G97,M97))</f>
        <v>2</v>
      </c>
      <c r="Q97" s="29" t="n">
        <f aca="false">IF(NOT(ISNUMBER($G97)),"",MAX(1,F97*(1-O97)))</f>
        <v>1.6</v>
      </c>
      <c r="R97" s="31" t="n">
        <f aca="false">IF(NOT(ISNUMBER($G97)),"",MAX(MATCH(Q97,Config!$D$5:$D$9,1),G97-'Residual Config'!$C$6))</f>
        <v>1</v>
      </c>
      <c r="S97" s="34" t="n">
        <f aca="false">IF(NOT(ISNUMBER($G97)),"",IF('Residual Config'!$C$5="Numeric",R97,P97))</f>
        <v>2</v>
      </c>
      <c r="T97" s="7" t="str">
        <f aca="false">IF(G97="N/A","N/A",IF(S97="","No data",INDEX(Config!$B$5:$B$9,S97)))</f>
        <v>Medium-Low</v>
      </c>
      <c r="U97" s="32" t="n">
        <v>0</v>
      </c>
      <c r="V97" s="8"/>
      <c r="W97" s="33"/>
      <c r="X97" s="34" t="n">
        <f aca="false">IF(S97="","",IF(AND(W97="Y",U97&lt;&gt;0),MAX(1,MIN(5,S97+MAX(-Config!$C$27,MIN(Config!$C$27,U97)))),S97))</f>
        <v>2</v>
      </c>
      <c r="Y97" s="35" t="str">
        <f aca="false">IF(G97="N/A","N/A",IF(X97="","No data",INDEX(Config!$B$5:$B$9,X97)))</f>
        <v>Medium-Low</v>
      </c>
      <c r="Z97" s="7" t="str">
        <f aca="false">IF(U97=0,"None",IF(W97="Y","Applied","Pending HO approval"))</f>
        <v>None</v>
      </c>
      <c r="AA97" s="12" t="str">
        <f aca="false">INDEX('Risk Taxonomy'!$G$5:$G$24,MATCH(D97,'Risk Taxonomy'!$A$5:$A$24,0))</f>
        <v>Moderate</v>
      </c>
      <c r="AB97" s="7" t="str">
        <f aca="false">INDEX('Risk Taxonomy'!$H$5:$H$24,MATCH(D97,'Risk Taxonomy'!$A$5:$A$24,0))</f>
        <v>Medium-High</v>
      </c>
      <c r="AC97" s="35" t="str">
        <f aca="false">IF(NOT(ISNUMBER(X97)),"",IF(X97&lt;=MATCH(AB97,Config!$B$5:$B$9,0),"Within",IF(OR(X97-MATCH(AB97,Config!$B$5:$B$9,0)&gt;=2,AND('Residual Config'!$C$8="Y",ISNUMBER(SEARCH("Zero",AA97)))),"Red","Amber")))</f>
        <v>Within</v>
      </c>
      <c r="AD97" s="12" t="str">
        <f aca="false">IF(AC97="Red","Group CCO / CRO and Country CEO within 2 business days; action plan in 15 days; report to Board Risk &amp; Compliance Committee",IF(AC97="Amber","Country CO, risk owner and HO Administrator within 5 business days; action plan in 30 days",""))</f>
        <v/>
      </c>
    </row>
    <row r="98" customFormat="false" ht="15" hidden="false" customHeight="false" outlineLevel="0" collapsed="false">
      <c r="A98" s="26" t="str">
        <f aca="false">Entities!$A$9</f>
        <v>JO-LSG</v>
      </c>
      <c r="B98" s="12" t="str">
        <f aca="false">INDEX(Entities!$B$5:$B$34,MATCH(A98,Entities!$A$5:$A$34,0))</f>
        <v>Leasing subsidiary – Jordan</v>
      </c>
      <c r="C98" s="12" t="str">
        <f aca="false">INDEX(Entities!$D$5:$D$34,MATCH(A98,Entities!$A$5:$A$34,0))</f>
        <v>Jordan (home)</v>
      </c>
      <c r="D98" s="12" t="s">
        <v>304</v>
      </c>
      <c r="E98" s="12" t="str">
        <f aca="false">INDEX('Risk Taxonomy'!$B$5:$B$24,MATCH(D98,'Risk Taxonomy'!$A$5:$A$24,0))</f>
        <v>Liquidity and funding risk</v>
      </c>
      <c r="F98" s="29" t="n">
        <f aca="false">IF(NOT(ISNUMBER(G98)),"",G98)</f>
        <v>3</v>
      </c>
      <c r="G98" s="34" t="n">
        <f aca="false">IF(COUNTIFS('LxI Assessment'!$A$5:$A$394,A98,'LxI Assessment'!$D$5:$D$394,D98,'LxI Assessment'!$F$5:$F$394,"N/A")&gt;0,"N/A",IF(COUNTIFS('LxI Assessment'!$A$5:$A$394,A98,'LxI Assessment'!$D$5:$D$394,D98,'LxI Assessment'!$S$5:$S$394,"&gt;0")=0,"",SUMIFS('LxI Assessment'!$S$5:$S$394,'LxI Assessment'!$A$5:$A$394,A98,'LxI Assessment'!$D$5:$D$394,D98)))</f>
        <v>3</v>
      </c>
      <c r="H98" s="7" t="str">
        <f aca="false">IF(G98="N/A","N/A",IF(G98="","No data",INDEX(Config!$B$5:$B$9,G98)))</f>
        <v>Medium</v>
      </c>
      <c r="I98" s="31" t="n">
        <f aca="false">IF(NOT(ISNUMBER($G98)),"",SUMPRODUCT(('Control Mapping'!$C$5:$C$83=D98)*('Control Mapping'!$K$5:$K$83&gt;0)))</f>
        <v>1</v>
      </c>
      <c r="J98" s="31" t="n">
        <f aca="false">IF(NOT(ISNUMBER($G98)),"",SUMPRODUCT(('Control Mapping'!$C$5:$C$83=D98)*('Control Mapping'!$F$5:$F$83="Y")*('Control Mapping'!$K$5:$K$83&gt;0)))</f>
        <v>1</v>
      </c>
      <c r="K98" s="31" t="n">
        <f aca="false">IF(NOT(ISNUMBER($G98)),"",SUMPRODUCT(('Control Mapping'!$C$5:$C$83=D98)*('Control Mapping'!$F$5:$F$83="Y")*('Control Mapping'!$K$5:$K$83=4)))</f>
        <v>0</v>
      </c>
      <c r="L98" s="29" t="n">
        <f aca="false">IF(NOT(ISNUMBER($G98)),"",IFERROR(SUMPRODUCT(('Control Mapping'!$C$5:$C$83=D98)*'Control Mapping'!$E$5:$E$83*'Control Mapping'!$K$5:$K$83)/SUMPRODUCT(('Control Mapping'!$C$5:$C$83=D98)*'Control Mapping'!$E$5:$E$83*('Control Mapping'!$K$5:$K$83&gt;0)),""))</f>
        <v>2</v>
      </c>
      <c r="M98" s="34" t="n">
        <f aca="false">IF(NOT(ISNUMBER($G98)),"",IF(J98=0,4,MAX(MATCH(L98,'Residual Config'!$E$11:$E$14,1),IF(K98&gt;0,'Residual Config'!$C$7,1))))</f>
        <v>2</v>
      </c>
      <c r="N98" s="7" t="str">
        <f aca="false">IF(NOT(ISNUMBER($G98)),"",IF(J98=0,"Ineffective (no key control)",INDEX('Residual Config'!$B$11:$B$14,M98)))</f>
        <v>Largely effective</v>
      </c>
      <c r="O98" s="36" t="n">
        <f aca="false">IF(NOT(ISNUMBER($G98)),"",IF(J98=0,0,SUMPRODUCT(('Control Mapping'!$C$5:$C$83=D98)*'Control Mapping'!$E$5:$E$83*(('Control Mapping'!$K$5:$K$83=1)*'Residual Config'!$D$11+('Control Mapping'!$K$5:$K$83=2)*'Residual Config'!$D$12+('Control Mapping'!$K$5:$K$83=3)*'Residual Config'!$D$13+('Control Mapping'!$K$5:$K$83=4)*'Residual Config'!$D$14))/SUMPRODUCT(('Control Mapping'!$C$5:$C$83=D98)*'Control Mapping'!$E$5:$E$83*('Control Mapping'!$K$5:$K$83&gt;0))))</f>
        <v>0.4</v>
      </c>
      <c r="P98" s="31" t="n">
        <f aca="false">IF(NOT(ISNUMBER($G98)),"",INDEX('Residual Config'!$B$19:$E$23,6-G98,M98))</f>
        <v>2</v>
      </c>
      <c r="Q98" s="29" t="n">
        <f aca="false">IF(NOT(ISNUMBER($G98)),"",MAX(1,F98*(1-O98)))</f>
        <v>1.8</v>
      </c>
      <c r="R98" s="31" t="n">
        <f aca="false">IF(NOT(ISNUMBER($G98)),"",MAX(MATCH(Q98,Config!$D$5:$D$9,1),G98-'Residual Config'!$C$6))</f>
        <v>1</v>
      </c>
      <c r="S98" s="34" t="n">
        <f aca="false">IF(NOT(ISNUMBER($G98)),"",IF('Residual Config'!$C$5="Numeric",R98,P98))</f>
        <v>2</v>
      </c>
      <c r="T98" s="7" t="str">
        <f aca="false">IF(G98="N/A","N/A",IF(S98="","No data",INDEX(Config!$B$5:$B$9,S98)))</f>
        <v>Medium-Low</v>
      </c>
      <c r="U98" s="32" t="n">
        <v>0</v>
      </c>
      <c r="V98" s="8"/>
      <c r="W98" s="33"/>
      <c r="X98" s="34" t="n">
        <f aca="false">IF(S98="","",IF(AND(W98="Y",U98&lt;&gt;0),MAX(1,MIN(5,S98+MAX(-Config!$C$27,MIN(Config!$C$27,U98)))),S98))</f>
        <v>2</v>
      </c>
      <c r="Y98" s="35" t="str">
        <f aca="false">IF(G98="N/A","N/A",IF(X98="","No data",INDEX(Config!$B$5:$B$9,X98)))</f>
        <v>Medium-Low</v>
      </c>
      <c r="Z98" s="7" t="str">
        <f aca="false">IF(U98=0,"None",IF(W98="Y","Applied","Pending HO approval"))</f>
        <v>None</v>
      </c>
      <c r="AA98" s="12" t="str">
        <f aca="false">INDEX('Risk Taxonomy'!$G$5:$G$24,MATCH(D98,'Risk Taxonomy'!$A$5:$A$24,0))</f>
        <v>Low</v>
      </c>
      <c r="AB98" s="7" t="str">
        <f aca="false">INDEX('Risk Taxonomy'!$H$5:$H$24,MATCH(D98,'Risk Taxonomy'!$A$5:$A$24,0))</f>
        <v>Medium</v>
      </c>
      <c r="AC98" s="35" t="str">
        <f aca="false">IF(NOT(ISNUMBER(X98)),"",IF(X98&lt;=MATCH(AB98,Config!$B$5:$B$9,0),"Within",IF(OR(X98-MATCH(AB98,Config!$B$5:$B$9,0)&gt;=2,AND('Residual Config'!$C$8="Y",ISNUMBER(SEARCH("Zero",AA98)))),"Red","Amber")))</f>
        <v>Within</v>
      </c>
      <c r="AD98" s="12" t="str">
        <f aca="false">IF(AC98="Red","Group CCO / CRO and Country CEO within 2 business days; action plan in 15 days; report to Board Risk &amp; Compliance Committee",IF(AC98="Amber","Country CO, risk owner and HO Administrator within 5 business days; action plan in 30 days",""))</f>
        <v/>
      </c>
    </row>
    <row r="99" customFormat="false" ht="15" hidden="false" customHeight="false" outlineLevel="0" collapsed="false">
      <c r="A99" s="26" t="str">
        <f aca="false">Entities!$A$9</f>
        <v>JO-LSG</v>
      </c>
      <c r="B99" s="12" t="str">
        <f aca="false">INDEX(Entities!$B$5:$B$34,MATCH(A99,Entities!$A$5:$A$34,0))</f>
        <v>Leasing subsidiary – Jordan</v>
      </c>
      <c r="C99" s="12" t="str">
        <f aca="false">INDEX(Entities!$D$5:$D$34,MATCH(A99,Entities!$A$5:$A$34,0))</f>
        <v>Jordan (home)</v>
      </c>
      <c r="D99" s="12" t="s">
        <v>307</v>
      </c>
      <c r="E99" s="12" t="str">
        <f aca="false">INDEX('Risk Taxonomy'!$B$5:$B$24,MATCH(D99,'Risk Taxonomy'!$A$5:$A$24,0))</f>
        <v>Operational risk</v>
      </c>
      <c r="F99" s="29" t="n">
        <f aca="false">IF(NOT(ISNUMBER(G99)),"",G99)</f>
        <v>3</v>
      </c>
      <c r="G99" s="34" t="n">
        <f aca="false">IF(COUNTIFS('LxI Assessment'!$A$5:$A$394,A99,'LxI Assessment'!$D$5:$D$394,D99,'LxI Assessment'!$F$5:$F$394,"N/A")&gt;0,"N/A",IF(COUNTIFS('LxI Assessment'!$A$5:$A$394,A99,'LxI Assessment'!$D$5:$D$394,D99,'LxI Assessment'!$S$5:$S$394,"&gt;0")=0,"",SUMIFS('LxI Assessment'!$S$5:$S$394,'LxI Assessment'!$A$5:$A$394,A99,'LxI Assessment'!$D$5:$D$394,D99)))</f>
        <v>3</v>
      </c>
      <c r="H99" s="7" t="str">
        <f aca="false">IF(G99="N/A","N/A",IF(G99="","No data",INDEX(Config!$B$5:$B$9,G99)))</f>
        <v>Medium</v>
      </c>
      <c r="I99" s="31" t="n">
        <f aca="false">IF(NOT(ISNUMBER($G99)),"",SUMPRODUCT(('Control Mapping'!$C$5:$C$83=D99)*('Control Mapping'!$K$5:$K$83&gt;0)))</f>
        <v>3</v>
      </c>
      <c r="J99" s="31" t="n">
        <f aca="false">IF(NOT(ISNUMBER($G99)),"",SUMPRODUCT(('Control Mapping'!$C$5:$C$83=D99)*('Control Mapping'!$F$5:$F$83="Y")*('Control Mapping'!$K$5:$K$83&gt;0)))</f>
        <v>2</v>
      </c>
      <c r="K99" s="31" t="n">
        <f aca="false">IF(NOT(ISNUMBER($G99)),"",SUMPRODUCT(('Control Mapping'!$C$5:$C$83=D99)*('Control Mapping'!$F$5:$F$83="Y")*('Control Mapping'!$K$5:$K$83=4)))</f>
        <v>0</v>
      </c>
      <c r="L99" s="29" t="n">
        <f aca="false">IF(NOT(ISNUMBER($G99)),"",IFERROR(SUMPRODUCT(('Control Mapping'!$C$5:$C$83=D99)*'Control Mapping'!$E$5:$E$83*'Control Mapping'!$K$5:$K$83)/SUMPRODUCT(('Control Mapping'!$C$5:$C$83=D99)*'Control Mapping'!$E$5:$E$83*('Control Mapping'!$K$5:$K$83&gt;0)),""))</f>
        <v>1.66666666666667</v>
      </c>
      <c r="M99" s="34" t="n">
        <f aca="false">IF(NOT(ISNUMBER($G99)),"",IF(J99=0,4,MAX(MATCH(L99,'Residual Config'!$E$11:$E$14,1),IF(K99&gt;0,'Residual Config'!$C$7,1))))</f>
        <v>2</v>
      </c>
      <c r="N99" s="7" t="str">
        <f aca="false">IF(NOT(ISNUMBER($G99)),"",IF(J99=0,"Ineffective (no key control)",INDEX('Residual Config'!$B$11:$B$14,M99)))</f>
        <v>Largely effective</v>
      </c>
      <c r="O99" s="36" t="n">
        <f aca="false">IF(NOT(ISNUMBER($G99)),"",IF(J99=0,0,SUMPRODUCT(('Control Mapping'!$C$5:$C$83=D99)*'Control Mapping'!$E$5:$E$83*(('Control Mapping'!$K$5:$K$83=1)*'Residual Config'!$D$11+('Control Mapping'!$K$5:$K$83=2)*'Residual Config'!$D$12+('Control Mapping'!$K$5:$K$83=3)*'Residual Config'!$D$13+('Control Mapping'!$K$5:$K$83=4)*'Residual Config'!$D$14))/SUMPRODUCT(('Control Mapping'!$C$5:$C$83=D99)*'Control Mapping'!$E$5:$E$83*('Control Mapping'!$K$5:$K$83&gt;0))))</f>
        <v>0.466666666666667</v>
      </c>
      <c r="P99" s="31" t="n">
        <f aca="false">IF(NOT(ISNUMBER($G99)),"",INDEX('Residual Config'!$B$19:$E$23,6-G99,M99))</f>
        <v>2</v>
      </c>
      <c r="Q99" s="29" t="n">
        <f aca="false">IF(NOT(ISNUMBER($G99)),"",MAX(1,F99*(1-O99)))</f>
        <v>1.6</v>
      </c>
      <c r="R99" s="31" t="n">
        <f aca="false">IF(NOT(ISNUMBER($G99)),"",MAX(MATCH(Q99,Config!$D$5:$D$9,1),G99-'Residual Config'!$C$6))</f>
        <v>1</v>
      </c>
      <c r="S99" s="34" t="n">
        <f aca="false">IF(NOT(ISNUMBER($G99)),"",IF('Residual Config'!$C$5="Numeric",R99,P99))</f>
        <v>2</v>
      </c>
      <c r="T99" s="7" t="str">
        <f aca="false">IF(G99="N/A","N/A",IF(S99="","No data",INDEX(Config!$B$5:$B$9,S99)))</f>
        <v>Medium-Low</v>
      </c>
      <c r="U99" s="32" t="n">
        <v>0</v>
      </c>
      <c r="V99" s="8"/>
      <c r="W99" s="33"/>
      <c r="X99" s="34" t="n">
        <f aca="false">IF(S99="","",IF(AND(W99="Y",U99&lt;&gt;0),MAX(1,MIN(5,S99+MAX(-Config!$C$27,MIN(Config!$C$27,U99)))),S99))</f>
        <v>2</v>
      </c>
      <c r="Y99" s="35" t="str">
        <f aca="false">IF(G99="N/A","N/A",IF(X99="","No data",INDEX(Config!$B$5:$B$9,X99)))</f>
        <v>Medium-Low</v>
      </c>
      <c r="Z99" s="7" t="str">
        <f aca="false">IF(U99=0,"None",IF(W99="Y","Applied","Pending HO approval"))</f>
        <v>None</v>
      </c>
      <c r="AA99" s="12" t="str">
        <f aca="false">INDEX('Risk Taxonomy'!$G$5:$G$24,MATCH(D99,'Risk Taxonomy'!$A$5:$A$24,0))</f>
        <v>Low</v>
      </c>
      <c r="AB99" s="7" t="str">
        <f aca="false">INDEX('Risk Taxonomy'!$H$5:$H$24,MATCH(D99,'Risk Taxonomy'!$A$5:$A$24,0))</f>
        <v>Medium</v>
      </c>
      <c r="AC99" s="35" t="str">
        <f aca="false">IF(NOT(ISNUMBER(X99)),"",IF(X99&lt;=MATCH(AB99,Config!$B$5:$B$9,0),"Within",IF(OR(X99-MATCH(AB99,Config!$B$5:$B$9,0)&gt;=2,AND('Residual Config'!$C$8="Y",ISNUMBER(SEARCH("Zero",AA99)))),"Red","Amber")))</f>
        <v>Within</v>
      </c>
      <c r="AD99" s="12" t="str">
        <f aca="false">IF(AC99="Red","Group CCO / CRO and Country CEO within 2 business days; action plan in 15 days; report to Board Risk &amp; Compliance Committee",IF(AC99="Amber","Country CO, risk owner and HO Administrator within 5 business days; action plan in 30 days",""))</f>
        <v/>
      </c>
    </row>
    <row r="100" customFormat="false" ht="15" hidden="false" customHeight="false" outlineLevel="0" collapsed="false">
      <c r="A100" s="26" t="str">
        <f aca="false">Entities!$A$9</f>
        <v>JO-LSG</v>
      </c>
      <c r="B100" s="12" t="str">
        <f aca="false">INDEX(Entities!$B$5:$B$34,MATCH(A100,Entities!$A$5:$A$34,0))</f>
        <v>Leasing subsidiary – Jordan</v>
      </c>
      <c r="C100" s="12" t="str">
        <f aca="false">INDEX(Entities!$D$5:$D$34,MATCH(A100,Entities!$A$5:$A$34,0))</f>
        <v>Jordan (home)</v>
      </c>
      <c r="D100" s="12" t="s">
        <v>310</v>
      </c>
      <c r="E100" s="12" t="str">
        <f aca="false">INDEX('Risk Taxonomy'!$B$5:$B$24,MATCH(D100,'Risk Taxonomy'!$A$5:$A$24,0))</f>
        <v>Cyber, information security and technology</v>
      </c>
      <c r="F100" s="29" t="n">
        <f aca="false">IF(NOT(ISNUMBER(G100)),"",G100)</f>
        <v>4</v>
      </c>
      <c r="G100" s="34" t="n">
        <f aca="false">IF(COUNTIFS('LxI Assessment'!$A$5:$A$394,A100,'LxI Assessment'!$D$5:$D$394,D100,'LxI Assessment'!$F$5:$F$394,"N/A")&gt;0,"N/A",IF(COUNTIFS('LxI Assessment'!$A$5:$A$394,A100,'LxI Assessment'!$D$5:$D$394,D100,'LxI Assessment'!$S$5:$S$394,"&gt;0")=0,"",SUMIFS('LxI Assessment'!$S$5:$S$394,'LxI Assessment'!$A$5:$A$394,A100,'LxI Assessment'!$D$5:$D$394,D100)))</f>
        <v>4</v>
      </c>
      <c r="H100" s="7" t="str">
        <f aca="false">IF(G100="N/A","N/A",IF(G100="","No data",INDEX(Config!$B$5:$B$9,G100)))</f>
        <v>Medium-High</v>
      </c>
      <c r="I100" s="31" t="n">
        <f aca="false">IF(NOT(ISNUMBER($G100)),"",SUMPRODUCT(('Control Mapping'!$C$5:$C$83=D100)*('Control Mapping'!$K$5:$K$83&gt;0)))</f>
        <v>4</v>
      </c>
      <c r="J100" s="31" t="n">
        <f aca="false">IF(NOT(ISNUMBER($G100)),"",SUMPRODUCT(('Control Mapping'!$C$5:$C$83=D100)*('Control Mapping'!$F$5:$F$83="Y")*('Control Mapping'!$K$5:$K$83&gt;0)))</f>
        <v>4</v>
      </c>
      <c r="K100" s="31" t="n">
        <f aca="false">IF(NOT(ISNUMBER($G100)),"",SUMPRODUCT(('Control Mapping'!$C$5:$C$83=D100)*('Control Mapping'!$F$5:$F$83="Y")*('Control Mapping'!$K$5:$K$83=4)))</f>
        <v>0</v>
      </c>
      <c r="L100" s="29" t="n">
        <f aca="false">IF(NOT(ISNUMBER($G100)),"",IFERROR(SUMPRODUCT(('Control Mapping'!$C$5:$C$83=D100)*'Control Mapping'!$E$5:$E$83*'Control Mapping'!$K$5:$K$83)/SUMPRODUCT(('Control Mapping'!$C$5:$C$83=D100)*'Control Mapping'!$E$5:$E$83*('Control Mapping'!$K$5:$K$83&gt;0)),""))</f>
        <v>1.85714285714286</v>
      </c>
      <c r="M100" s="34" t="n">
        <f aca="false">IF(NOT(ISNUMBER($G100)),"",IF(J100=0,4,MAX(MATCH(L100,'Residual Config'!$E$11:$E$14,1),IF(K100&gt;0,'Residual Config'!$C$7,1))))</f>
        <v>2</v>
      </c>
      <c r="N100" s="7" t="str">
        <f aca="false">IF(NOT(ISNUMBER($G100)),"",IF(J100=0,"Ineffective (no key control)",INDEX('Residual Config'!$B$11:$B$14,M100)))</f>
        <v>Largely effective</v>
      </c>
      <c r="O100" s="36" t="n">
        <f aca="false">IF(NOT(ISNUMBER($G100)),"",IF(J100=0,0,SUMPRODUCT(('Control Mapping'!$C$5:$C$83=D100)*'Control Mapping'!$E$5:$E$83*(('Control Mapping'!$K$5:$K$83=1)*'Residual Config'!$D$11+('Control Mapping'!$K$5:$K$83=2)*'Residual Config'!$D$12+('Control Mapping'!$K$5:$K$83=3)*'Residual Config'!$D$13+('Control Mapping'!$K$5:$K$83=4)*'Residual Config'!$D$14))/SUMPRODUCT(('Control Mapping'!$C$5:$C$83=D100)*'Control Mapping'!$E$5:$E$83*('Control Mapping'!$K$5:$K$83&gt;0))))</f>
        <v>0.428571428571429</v>
      </c>
      <c r="P100" s="31" t="n">
        <f aca="false">IF(NOT(ISNUMBER($G100)),"",INDEX('Residual Config'!$B$19:$E$23,6-G100,M100))</f>
        <v>3</v>
      </c>
      <c r="Q100" s="29" t="n">
        <f aca="false">IF(NOT(ISNUMBER($G100)),"",MAX(1,F100*(1-O100)))</f>
        <v>2.28571428571429</v>
      </c>
      <c r="R100" s="31" t="n">
        <f aca="false">IF(NOT(ISNUMBER($G100)),"",MAX(MATCH(Q100,Config!$D$5:$D$9,1),G100-'Residual Config'!$C$6))</f>
        <v>2</v>
      </c>
      <c r="S100" s="34" t="n">
        <f aca="false">IF(NOT(ISNUMBER($G100)),"",IF('Residual Config'!$C$5="Numeric",R100,P100))</f>
        <v>3</v>
      </c>
      <c r="T100" s="7" t="str">
        <f aca="false">IF(G100="N/A","N/A",IF(S100="","No data",INDEX(Config!$B$5:$B$9,S100)))</f>
        <v>Medium</v>
      </c>
      <c r="U100" s="32" t="n">
        <v>0</v>
      </c>
      <c r="V100" s="8"/>
      <c r="W100" s="33"/>
      <c r="X100" s="34" t="n">
        <f aca="false">IF(S100="","",IF(AND(W100="Y",U100&lt;&gt;0),MAX(1,MIN(5,S100+MAX(-Config!$C$27,MIN(Config!$C$27,U100)))),S100))</f>
        <v>3</v>
      </c>
      <c r="Y100" s="35" t="str">
        <f aca="false">IF(G100="N/A","N/A",IF(X100="","No data",INDEX(Config!$B$5:$B$9,X100)))</f>
        <v>Medium</v>
      </c>
      <c r="Z100" s="7" t="str">
        <f aca="false">IF(U100=0,"None",IF(W100="Y","Applied","Pending HO approval"))</f>
        <v>None</v>
      </c>
      <c r="AA100" s="12" t="str">
        <f aca="false">INDEX('Risk Taxonomy'!$G$5:$G$24,MATCH(D100,'Risk Taxonomy'!$A$5:$A$24,0))</f>
        <v>Very low</v>
      </c>
      <c r="AB100" s="7" t="str">
        <f aca="false">INDEX('Risk Taxonomy'!$H$5:$H$24,MATCH(D100,'Risk Taxonomy'!$A$5:$A$24,0))</f>
        <v>Medium-Low</v>
      </c>
      <c r="AC100" s="35" t="str">
        <f aca="false">IF(NOT(ISNUMBER(X100)),"",IF(X100&lt;=MATCH(AB100,Config!$B$5:$B$9,0),"Within",IF(OR(X100-MATCH(AB100,Config!$B$5:$B$9,0)&gt;=2,AND('Residual Config'!$C$8="Y",ISNUMBER(SEARCH("Zero",AA100)))),"Red","Amber")))</f>
        <v>Amber</v>
      </c>
      <c r="AD100" s="12" t="str">
        <f aca="false">IF(AC100="Red","Group CCO / CRO and Country CEO within 2 business days; action plan in 15 days; report to Board Risk &amp; Compliance Committee",IF(AC100="Amber","Country CO, risk owner and HO Administrator within 5 business days; action plan in 30 days",""))</f>
        <v>Country CO, risk owner and HO Administrator within 5 business days; action plan in 30 days</v>
      </c>
    </row>
    <row r="101" customFormat="false" ht="15" hidden="false" customHeight="false" outlineLevel="0" collapsed="false">
      <c r="A101" s="26" t="str">
        <f aca="false">Entities!$A$9</f>
        <v>JO-LSG</v>
      </c>
      <c r="B101" s="12" t="str">
        <f aca="false">INDEX(Entities!$B$5:$B$34,MATCH(A101,Entities!$A$5:$A$34,0))</f>
        <v>Leasing subsidiary – Jordan</v>
      </c>
      <c r="C101" s="12" t="str">
        <f aca="false">INDEX(Entities!$D$5:$D$34,MATCH(A101,Entities!$A$5:$A$34,0))</f>
        <v>Jordan (home)</v>
      </c>
      <c r="D101" s="12" t="s">
        <v>313</v>
      </c>
      <c r="E101" s="12" t="str">
        <f aca="false">INDEX('Risk Taxonomy'!$B$5:$B$24,MATCH(D101,'Risk Taxonomy'!$A$5:$A$24,0))</f>
        <v>Third-party and outsourcing</v>
      </c>
      <c r="F101" s="29" t="n">
        <f aca="false">IF(NOT(ISNUMBER(G101)),"",G101)</f>
        <v>4</v>
      </c>
      <c r="G101" s="34" t="n">
        <f aca="false">IF(COUNTIFS('LxI Assessment'!$A$5:$A$394,A101,'LxI Assessment'!$D$5:$D$394,D101,'LxI Assessment'!$F$5:$F$394,"N/A")&gt;0,"N/A",IF(COUNTIFS('LxI Assessment'!$A$5:$A$394,A101,'LxI Assessment'!$D$5:$D$394,D101,'LxI Assessment'!$S$5:$S$394,"&gt;0")=0,"",SUMIFS('LxI Assessment'!$S$5:$S$394,'LxI Assessment'!$A$5:$A$394,A101,'LxI Assessment'!$D$5:$D$394,D101)))</f>
        <v>4</v>
      </c>
      <c r="H101" s="7" t="str">
        <f aca="false">IF(G101="N/A","N/A",IF(G101="","No data",INDEX(Config!$B$5:$B$9,G101)))</f>
        <v>Medium-High</v>
      </c>
      <c r="I101" s="31" t="n">
        <f aca="false">IF(NOT(ISNUMBER($G101)),"",SUMPRODUCT(('Control Mapping'!$C$5:$C$83=D101)*('Control Mapping'!$K$5:$K$83&gt;0)))</f>
        <v>2</v>
      </c>
      <c r="J101" s="31" t="n">
        <f aca="false">IF(NOT(ISNUMBER($G101)),"",SUMPRODUCT(('Control Mapping'!$C$5:$C$83=D101)*('Control Mapping'!$F$5:$F$83="Y")*('Control Mapping'!$K$5:$K$83&gt;0)))</f>
        <v>2</v>
      </c>
      <c r="K101" s="31" t="n">
        <f aca="false">IF(NOT(ISNUMBER($G101)),"",SUMPRODUCT(('Control Mapping'!$C$5:$C$83=D101)*('Control Mapping'!$F$5:$F$83="Y")*('Control Mapping'!$K$5:$K$83=4)))</f>
        <v>0</v>
      </c>
      <c r="L101" s="29" t="n">
        <f aca="false">IF(NOT(ISNUMBER($G101)),"",IFERROR(SUMPRODUCT(('Control Mapping'!$C$5:$C$83=D101)*'Control Mapping'!$E$5:$E$83*'Control Mapping'!$K$5:$K$83)/SUMPRODUCT(('Control Mapping'!$C$5:$C$83=D101)*'Control Mapping'!$E$5:$E$83*('Control Mapping'!$K$5:$K$83&gt;0)),""))</f>
        <v>2.75</v>
      </c>
      <c r="M101" s="34" t="n">
        <f aca="false">IF(NOT(ISNUMBER($G101)),"",IF(J101=0,4,MAX(MATCH(L101,'Residual Config'!$E$11:$E$14,1),IF(K101&gt;0,'Residual Config'!$C$7,1))))</f>
        <v>3</v>
      </c>
      <c r="N101" s="7" t="str">
        <f aca="false">IF(NOT(ISNUMBER($G101)),"",IF(J101=0,"Ineffective (no key control)",INDEX('Residual Config'!$B$11:$B$14,M101)))</f>
        <v>Partially effective</v>
      </c>
      <c r="O101" s="36" t="n">
        <f aca="false">IF(NOT(ISNUMBER($G101)),"",IF(J101=0,0,SUMPRODUCT(('Control Mapping'!$C$5:$C$83=D101)*'Control Mapping'!$E$5:$E$83*(('Control Mapping'!$K$5:$K$83=1)*'Residual Config'!$D$11+('Control Mapping'!$K$5:$K$83=2)*'Residual Config'!$D$12+('Control Mapping'!$K$5:$K$83=3)*'Residual Config'!$D$13+('Control Mapping'!$K$5:$K$83=4)*'Residual Config'!$D$14))/SUMPRODUCT(('Control Mapping'!$C$5:$C$83=D101)*'Control Mapping'!$E$5:$E$83*('Control Mapping'!$K$5:$K$83&gt;0))))</f>
        <v>0.25</v>
      </c>
      <c r="P101" s="31" t="n">
        <f aca="false">IF(NOT(ISNUMBER($G101)),"",INDEX('Residual Config'!$B$19:$E$23,6-G101,M101))</f>
        <v>4</v>
      </c>
      <c r="Q101" s="29" t="n">
        <f aca="false">IF(NOT(ISNUMBER($G101)),"",MAX(1,F101*(1-O101)))</f>
        <v>3</v>
      </c>
      <c r="R101" s="31" t="n">
        <f aca="false">IF(NOT(ISNUMBER($G101)),"",MAX(MATCH(Q101,Config!$D$5:$D$9,1),G101-'Residual Config'!$C$6))</f>
        <v>3</v>
      </c>
      <c r="S101" s="34" t="n">
        <f aca="false">IF(NOT(ISNUMBER($G101)),"",IF('Residual Config'!$C$5="Numeric",R101,P101))</f>
        <v>4</v>
      </c>
      <c r="T101" s="7" t="str">
        <f aca="false">IF(G101="N/A","N/A",IF(S101="","No data",INDEX(Config!$B$5:$B$9,S101)))</f>
        <v>Medium-High</v>
      </c>
      <c r="U101" s="32" t="n">
        <v>0</v>
      </c>
      <c r="V101" s="8"/>
      <c r="W101" s="33"/>
      <c r="X101" s="34" t="n">
        <f aca="false">IF(S101="","",IF(AND(W101="Y",U101&lt;&gt;0),MAX(1,MIN(5,S101+MAX(-Config!$C$27,MIN(Config!$C$27,U101)))),S101))</f>
        <v>4</v>
      </c>
      <c r="Y101" s="35" t="str">
        <f aca="false">IF(G101="N/A","N/A",IF(X101="","No data",INDEX(Config!$B$5:$B$9,X101)))</f>
        <v>Medium-High</v>
      </c>
      <c r="Z101" s="7" t="str">
        <f aca="false">IF(U101=0,"None",IF(W101="Y","Applied","Pending HO approval"))</f>
        <v>None</v>
      </c>
      <c r="AA101" s="12" t="str">
        <f aca="false">INDEX('Risk Taxonomy'!$G$5:$G$24,MATCH(D101,'Risk Taxonomy'!$A$5:$A$24,0))</f>
        <v>Low</v>
      </c>
      <c r="AB101" s="7" t="str">
        <f aca="false">INDEX('Risk Taxonomy'!$H$5:$H$24,MATCH(D101,'Risk Taxonomy'!$A$5:$A$24,0))</f>
        <v>Medium</v>
      </c>
      <c r="AC101" s="35" t="str">
        <f aca="false">IF(NOT(ISNUMBER(X101)),"",IF(X101&lt;=MATCH(AB101,Config!$B$5:$B$9,0),"Within",IF(OR(X101-MATCH(AB101,Config!$B$5:$B$9,0)&gt;=2,AND('Residual Config'!$C$8="Y",ISNUMBER(SEARCH("Zero",AA101)))),"Red","Amber")))</f>
        <v>Amber</v>
      </c>
      <c r="AD101" s="12" t="str">
        <f aca="false">IF(AC101="Red","Group CCO / CRO and Country CEO within 2 business days; action plan in 15 days; report to Board Risk &amp; Compliance Committee",IF(AC101="Amber","Country CO, risk owner and HO Administrator within 5 business days; action plan in 30 days",""))</f>
        <v>Country CO, risk owner and HO Administrator within 5 business days; action plan in 30 days</v>
      </c>
    </row>
    <row r="102" customFormat="false" ht="15" hidden="false" customHeight="false" outlineLevel="0" collapsed="false">
      <c r="A102" s="26" t="str">
        <f aca="false">Entities!$A$9</f>
        <v>JO-LSG</v>
      </c>
      <c r="B102" s="12" t="str">
        <f aca="false">INDEX(Entities!$B$5:$B$34,MATCH(A102,Entities!$A$5:$A$34,0))</f>
        <v>Leasing subsidiary – Jordan</v>
      </c>
      <c r="C102" s="12" t="str">
        <f aca="false">INDEX(Entities!$D$5:$D$34,MATCH(A102,Entities!$A$5:$A$34,0))</f>
        <v>Jordan (home)</v>
      </c>
      <c r="D102" s="12" t="s">
        <v>316</v>
      </c>
      <c r="E102" s="12" t="str">
        <f aca="false">INDEX('Risk Taxonomy'!$B$5:$B$24,MATCH(D102,'Risk Taxonomy'!$A$5:$A$24,0))</f>
        <v>Legal and litigation</v>
      </c>
      <c r="F102" s="29" t="n">
        <f aca="false">IF(NOT(ISNUMBER(G102)),"",G102)</f>
        <v>2</v>
      </c>
      <c r="G102" s="34" t="n">
        <f aca="false">IF(COUNTIFS('LxI Assessment'!$A$5:$A$394,A102,'LxI Assessment'!$D$5:$D$394,D102,'LxI Assessment'!$F$5:$F$394,"N/A")&gt;0,"N/A",IF(COUNTIFS('LxI Assessment'!$A$5:$A$394,A102,'LxI Assessment'!$D$5:$D$394,D102,'LxI Assessment'!$S$5:$S$394,"&gt;0")=0,"",SUMIFS('LxI Assessment'!$S$5:$S$394,'LxI Assessment'!$A$5:$A$394,A102,'LxI Assessment'!$D$5:$D$394,D102)))</f>
        <v>2</v>
      </c>
      <c r="H102" s="7" t="str">
        <f aca="false">IF(G102="N/A","N/A",IF(G102="","No data",INDEX(Config!$B$5:$B$9,G102)))</f>
        <v>Medium-Low</v>
      </c>
      <c r="I102" s="31" t="n">
        <f aca="false">IF(NOT(ISNUMBER($G102)),"",SUMPRODUCT(('Control Mapping'!$C$5:$C$83=D102)*('Control Mapping'!$K$5:$K$83&gt;0)))</f>
        <v>1</v>
      </c>
      <c r="J102" s="31" t="n">
        <f aca="false">IF(NOT(ISNUMBER($G102)),"",SUMPRODUCT(('Control Mapping'!$C$5:$C$83=D102)*('Control Mapping'!$F$5:$F$83="Y")*('Control Mapping'!$K$5:$K$83&gt;0)))</f>
        <v>1</v>
      </c>
      <c r="K102" s="31" t="n">
        <f aca="false">IF(NOT(ISNUMBER($G102)),"",SUMPRODUCT(('Control Mapping'!$C$5:$C$83=D102)*('Control Mapping'!$F$5:$F$83="Y")*('Control Mapping'!$K$5:$K$83=4)))</f>
        <v>0</v>
      </c>
      <c r="L102" s="29" t="n">
        <f aca="false">IF(NOT(ISNUMBER($G102)),"",IFERROR(SUMPRODUCT(('Control Mapping'!$C$5:$C$83=D102)*'Control Mapping'!$E$5:$E$83*'Control Mapping'!$K$5:$K$83)/SUMPRODUCT(('Control Mapping'!$C$5:$C$83=D102)*'Control Mapping'!$E$5:$E$83*('Control Mapping'!$K$5:$K$83&gt;0)),""))</f>
        <v>2</v>
      </c>
      <c r="M102" s="34" t="n">
        <f aca="false">IF(NOT(ISNUMBER($G102)),"",IF(J102=0,4,MAX(MATCH(L102,'Residual Config'!$E$11:$E$14,1),IF(K102&gt;0,'Residual Config'!$C$7,1))))</f>
        <v>2</v>
      </c>
      <c r="N102" s="7" t="str">
        <f aca="false">IF(NOT(ISNUMBER($G102)),"",IF(J102=0,"Ineffective (no key control)",INDEX('Residual Config'!$B$11:$B$14,M102)))</f>
        <v>Largely effective</v>
      </c>
      <c r="O102" s="36" t="n">
        <f aca="false">IF(NOT(ISNUMBER($G102)),"",IF(J102=0,0,SUMPRODUCT(('Control Mapping'!$C$5:$C$83=D102)*'Control Mapping'!$E$5:$E$83*(('Control Mapping'!$K$5:$K$83=1)*'Residual Config'!$D$11+('Control Mapping'!$K$5:$K$83=2)*'Residual Config'!$D$12+('Control Mapping'!$K$5:$K$83=3)*'Residual Config'!$D$13+('Control Mapping'!$K$5:$K$83=4)*'Residual Config'!$D$14))/SUMPRODUCT(('Control Mapping'!$C$5:$C$83=D102)*'Control Mapping'!$E$5:$E$83*('Control Mapping'!$K$5:$K$83&gt;0))))</f>
        <v>0.4</v>
      </c>
      <c r="P102" s="31" t="n">
        <f aca="false">IF(NOT(ISNUMBER($G102)),"",INDEX('Residual Config'!$B$19:$E$23,6-G102,M102))</f>
        <v>1</v>
      </c>
      <c r="Q102" s="29" t="n">
        <f aca="false">IF(NOT(ISNUMBER($G102)),"",MAX(1,F102*(1-O102)))</f>
        <v>1.2</v>
      </c>
      <c r="R102" s="31" t="n">
        <f aca="false">IF(NOT(ISNUMBER($G102)),"",MAX(MATCH(Q102,Config!$D$5:$D$9,1),G102-'Residual Config'!$C$6))</f>
        <v>1</v>
      </c>
      <c r="S102" s="34" t="n">
        <f aca="false">IF(NOT(ISNUMBER($G102)),"",IF('Residual Config'!$C$5="Numeric",R102,P102))</f>
        <v>1</v>
      </c>
      <c r="T102" s="7" t="str">
        <f aca="false">IF(G102="N/A","N/A",IF(S102="","No data",INDEX(Config!$B$5:$B$9,S102)))</f>
        <v>Low</v>
      </c>
      <c r="U102" s="32" t="n">
        <v>0</v>
      </c>
      <c r="V102" s="8"/>
      <c r="W102" s="33"/>
      <c r="X102" s="34" t="n">
        <f aca="false">IF(S102="","",IF(AND(W102="Y",U102&lt;&gt;0),MAX(1,MIN(5,S102+MAX(-Config!$C$27,MIN(Config!$C$27,U102)))),S102))</f>
        <v>1</v>
      </c>
      <c r="Y102" s="35" t="str">
        <f aca="false">IF(G102="N/A","N/A",IF(X102="","No data",INDEX(Config!$B$5:$B$9,X102)))</f>
        <v>Low</v>
      </c>
      <c r="Z102" s="7" t="str">
        <f aca="false">IF(U102=0,"None",IF(W102="Y","Applied","Pending HO approval"))</f>
        <v>None</v>
      </c>
      <c r="AA102" s="12" t="str">
        <f aca="false">INDEX('Risk Taxonomy'!$G$5:$G$24,MATCH(D102,'Risk Taxonomy'!$A$5:$A$24,0))</f>
        <v>Very low</v>
      </c>
      <c r="AB102" s="7" t="str">
        <f aca="false">INDEX('Risk Taxonomy'!$H$5:$H$24,MATCH(D102,'Risk Taxonomy'!$A$5:$A$24,0))</f>
        <v>Medium-Low</v>
      </c>
      <c r="AC102" s="35" t="str">
        <f aca="false">IF(NOT(ISNUMBER(X102)),"",IF(X102&lt;=MATCH(AB102,Config!$B$5:$B$9,0),"Within",IF(OR(X102-MATCH(AB102,Config!$B$5:$B$9,0)&gt;=2,AND('Residual Config'!$C$8="Y",ISNUMBER(SEARCH("Zero",AA102)))),"Red","Amber")))</f>
        <v>Within</v>
      </c>
      <c r="AD102" s="12" t="str">
        <f aca="false">IF(AC102="Red","Group CCO / CRO and Country CEO within 2 business days; action plan in 15 days; report to Board Risk &amp; Compliance Committee",IF(AC102="Amber","Country CO, risk owner and HO Administrator within 5 business days; action plan in 30 days",""))</f>
        <v/>
      </c>
    </row>
    <row r="103" customFormat="false" ht="15" hidden="false" customHeight="false" outlineLevel="0" collapsed="false">
      <c r="A103" s="26" t="str">
        <f aca="false">Entities!$A$9</f>
        <v>JO-LSG</v>
      </c>
      <c r="B103" s="12" t="str">
        <f aca="false">INDEX(Entities!$B$5:$B$34,MATCH(A103,Entities!$A$5:$A$34,0))</f>
        <v>Leasing subsidiary – Jordan</v>
      </c>
      <c r="C103" s="12" t="str">
        <f aca="false">INDEX(Entities!$D$5:$D$34,MATCH(A103,Entities!$A$5:$A$34,0))</f>
        <v>Jordan (home)</v>
      </c>
      <c r="D103" s="12" t="s">
        <v>319</v>
      </c>
      <c r="E103" s="12" t="str">
        <f aca="false">INDEX('Risk Taxonomy'!$B$5:$B$24,MATCH(D103,'Risk Taxonomy'!$A$5:$A$24,0))</f>
        <v>Reputational</v>
      </c>
      <c r="F103" s="29" t="n">
        <f aca="false">IF(NOT(ISNUMBER(G103)),"",G103)</f>
        <v>2</v>
      </c>
      <c r="G103" s="34" t="n">
        <f aca="false">IF(COUNTIFS('LxI Assessment'!$A$5:$A$394,A103,'LxI Assessment'!$D$5:$D$394,D103,'LxI Assessment'!$F$5:$F$394,"N/A")&gt;0,"N/A",IF(COUNTIFS('LxI Assessment'!$A$5:$A$394,A103,'LxI Assessment'!$D$5:$D$394,D103,'LxI Assessment'!$S$5:$S$394,"&gt;0")=0,"",SUMIFS('LxI Assessment'!$S$5:$S$394,'LxI Assessment'!$A$5:$A$394,A103,'LxI Assessment'!$D$5:$D$394,D103)))</f>
        <v>2</v>
      </c>
      <c r="H103" s="7" t="str">
        <f aca="false">IF(G103="N/A","N/A",IF(G103="","No data",INDEX(Config!$B$5:$B$9,G103)))</f>
        <v>Medium-Low</v>
      </c>
      <c r="I103" s="31" t="n">
        <f aca="false">IF(NOT(ISNUMBER($G103)),"",SUMPRODUCT(('Control Mapping'!$C$5:$C$83=D103)*('Control Mapping'!$K$5:$K$83&gt;0)))</f>
        <v>2</v>
      </c>
      <c r="J103" s="31" t="n">
        <f aca="false">IF(NOT(ISNUMBER($G103)),"",SUMPRODUCT(('Control Mapping'!$C$5:$C$83=D103)*('Control Mapping'!$F$5:$F$83="Y")*('Control Mapping'!$K$5:$K$83&gt;0)))</f>
        <v>1</v>
      </c>
      <c r="K103" s="31" t="n">
        <f aca="false">IF(NOT(ISNUMBER($G103)),"",SUMPRODUCT(('Control Mapping'!$C$5:$C$83=D103)*('Control Mapping'!$F$5:$F$83="Y")*('Control Mapping'!$K$5:$K$83=4)))</f>
        <v>0</v>
      </c>
      <c r="L103" s="29" t="n">
        <f aca="false">IF(NOT(ISNUMBER($G103)),"",IFERROR(SUMPRODUCT(('Control Mapping'!$C$5:$C$83=D103)*'Control Mapping'!$E$5:$E$83*'Control Mapping'!$K$5:$K$83)/SUMPRODUCT(('Control Mapping'!$C$5:$C$83=D103)*'Control Mapping'!$E$5:$E$83*('Control Mapping'!$K$5:$K$83&gt;0)),""))</f>
        <v>2</v>
      </c>
      <c r="M103" s="34" t="n">
        <f aca="false">IF(NOT(ISNUMBER($G103)),"",IF(J103=0,4,MAX(MATCH(L103,'Residual Config'!$E$11:$E$14,1),IF(K103&gt;0,'Residual Config'!$C$7,1))))</f>
        <v>2</v>
      </c>
      <c r="N103" s="7" t="str">
        <f aca="false">IF(NOT(ISNUMBER($G103)),"",IF(J103=0,"Ineffective (no key control)",INDEX('Residual Config'!$B$11:$B$14,M103)))</f>
        <v>Largely effective</v>
      </c>
      <c r="O103" s="36" t="n">
        <f aca="false">IF(NOT(ISNUMBER($G103)),"",IF(J103=0,0,SUMPRODUCT(('Control Mapping'!$C$5:$C$83=D103)*'Control Mapping'!$E$5:$E$83*(('Control Mapping'!$K$5:$K$83=1)*'Residual Config'!$D$11+('Control Mapping'!$K$5:$K$83=2)*'Residual Config'!$D$12+('Control Mapping'!$K$5:$K$83=3)*'Residual Config'!$D$13+('Control Mapping'!$K$5:$K$83=4)*'Residual Config'!$D$14))/SUMPRODUCT(('Control Mapping'!$C$5:$C$83=D103)*'Control Mapping'!$E$5:$E$83*('Control Mapping'!$K$5:$K$83&gt;0))))</f>
        <v>0.4</v>
      </c>
      <c r="P103" s="31" t="n">
        <f aca="false">IF(NOT(ISNUMBER($G103)),"",INDEX('Residual Config'!$B$19:$E$23,6-G103,M103))</f>
        <v>1</v>
      </c>
      <c r="Q103" s="29" t="n">
        <f aca="false">IF(NOT(ISNUMBER($G103)),"",MAX(1,F103*(1-O103)))</f>
        <v>1.2</v>
      </c>
      <c r="R103" s="31" t="n">
        <f aca="false">IF(NOT(ISNUMBER($G103)),"",MAX(MATCH(Q103,Config!$D$5:$D$9,1),G103-'Residual Config'!$C$6))</f>
        <v>1</v>
      </c>
      <c r="S103" s="34" t="n">
        <f aca="false">IF(NOT(ISNUMBER($G103)),"",IF('Residual Config'!$C$5="Numeric",R103,P103))</f>
        <v>1</v>
      </c>
      <c r="T103" s="7" t="str">
        <f aca="false">IF(G103="N/A","N/A",IF(S103="","No data",INDEX(Config!$B$5:$B$9,S103)))</f>
        <v>Low</v>
      </c>
      <c r="U103" s="32" t="n">
        <v>0</v>
      </c>
      <c r="V103" s="8"/>
      <c r="W103" s="33"/>
      <c r="X103" s="34" t="n">
        <f aca="false">IF(S103="","",IF(AND(W103="Y",U103&lt;&gt;0),MAX(1,MIN(5,S103+MAX(-Config!$C$27,MIN(Config!$C$27,U103)))),S103))</f>
        <v>1</v>
      </c>
      <c r="Y103" s="35" t="str">
        <f aca="false">IF(G103="N/A","N/A",IF(X103="","No data",INDEX(Config!$B$5:$B$9,X103)))</f>
        <v>Low</v>
      </c>
      <c r="Z103" s="7" t="str">
        <f aca="false">IF(U103=0,"None",IF(W103="Y","Applied","Pending HO approval"))</f>
        <v>None</v>
      </c>
      <c r="AA103" s="12" t="str">
        <f aca="false">INDEX('Risk Taxonomy'!$G$5:$G$24,MATCH(D103,'Risk Taxonomy'!$A$5:$A$24,0))</f>
        <v>Low</v>
      </c>
      <c r="AB103" s="7" t="str">
        <f aca="false">INDEX('Risk Taxonomy'!$H$5:$H$24,MATCH(D103,'Risk Taxonomy'!$A$5:$A$24,0))</f>
        <v>Medium</v>
      </c>
      <c r="AC103" s="35" t="str">
        <f aca="false">IF(NOT(ISNUMBER(X103)),"",IF(X103&lt;=MATCH(AB103,Config!$B$5:$B$9,0),"Within",IF(OR(X103-MATCH(AB103,Config!$B$5:$B$9,0)&gt;=2,AND('Residual Config'!$C$8="Y",ISNUMBER(SEARCH("Zero",AA103)))),"Red","Amber")))</f>
        <v>Within</v>
      </c>
      <c r="AD103" s="12" t="str">
        <f aca="false">IF(AC103="Red","Group CCO / CRO and Country CEO within 2 business days; action plan in 15 days; report to Board Risk &amp; Compliance Committee",IF(AC103="Amber","Country CO, risk owner and HO Administrator within 5 business days; action plan in 30 days",""))</f>
        <v/>
      </c>
    </row>
    <row r="104" customFormat="false" ht="15" hidden="false" customHeight="false" outlineLevel="0" collapsed="false">
      <c r="A104" s="26" t="str">
        <f aca="false">Entities!$A$9</f>
        <v>JO-LSG</v>
      </c>
      <c r="B104" s="12" t="str">
        <f aca="false">INDEX(Entities!$B$5:$B$34,MATCH(A104,Entities!$A$5:$A$34,0))</f>
        <v>Leasing subsidiary – Jordan</v>
      </c>
      <c r="C104" s="12" t="str">
        <f aca="false">INDEX(Entities!$D$5:$D$34,MATCH(A104,Entities!$A$5:$A$34,0))</f>
        <v>Jordan (home)</v>
      </c>
      <c r="D104" s="12" t="s">
        <v>322</v>
      </c>
      <c r="E104" s="12" t="str">
        <f aca="false">INDEX('Risk Taxonomy'!$B$5:$B$24,MATCH(D104,'Risk Taxonomy'!$A$5:$A$24,0))</f>
        <v>Strategic, business model and ESG</v>
      </c>
      <c r="F104" s="29" t="n">
        <f aca="false">IF(NOT(ISNUMBER(G104)),"",G104)</f>
        <v>2</v>
      </c>
      <c r="G104" s="34" t="n">
        <f aca="false">IF(COUNTIFS('LxI Assessment'!$A$5:$A$394,A104,'LxI Assessment'!$D$5:$D$394,D104,'LxI Assessment'!$F$5:$F$394,"N/A")&gt;0,"N/A",IF(COUNTIFS('LxI Assessment'!$A$5:$A$394,A104,'LxI Assessment'!$D$5:$D$394,D104,'LxI Assessment'!$S$5:$S$394,"&gt;0")=0,"",SUMIFS('LxI Assessment'!$S$5:$S$394,'LxI Assessment'!$A$5:$A$394,A104,'LxI Assessment'!$D$5:$D$394,D104)))</f>
        <v>2</v>
      </c>
      <c r="H104" s="7" t="str">
        <f aca="false">IF(G104="N/A","N/A",IF(G104="","No data",INDEX(Config!$B$5:$B$9,G104)))</f>
        <v>Medium-Low</v>
      </c>
      <c r="I104" s="31" t="n">
        <f aca="false">IF(NOT(ISNUMBER($G104)),"",SUMPRODUCT(('Control Mapping'!$C$5:$C$83=D104)*('Control Mapping'!$K$5:$K$83&gt;0)))</f>
        <v>1</v>
      </c>
      <c r="J104" s="31" t="n">
        <f aca="false">IF(NOT(ISNUMBER($G104)),"",SUMPRODUCT(('Control Mapping'!$C$5:$C$83=D104)*('Control Mapping'!$F$5:$F$83="Y")*('Control Mapping'!$K$5:$K$83&gt;0)))</f>
        <v>1</v>
      </c>
      <c r="K104" s="31" t="n">
        <f aca="false">IF(NOT(ISNUMBER($G104)),"",SUMPRODUCT(('Control Mapping'!$C$5:$C$83=D104)*('Control Mapping'!$F$5:$F$83="Y")*('Control Mapping'!$K$5:$K$83=4)))</f>
        <v>0</v>
      </c>
      <c r="L104" s="29" t="n">
        <f aca="false">IF(NOT(ISNUMBER($G104)),"",IFERROR(SUMPRODUCT(('Control Mapping'!$C$5:$C$83=D104)*'Control Mapping'!$E$5:$E$83*'Control Mapping'!$K$5:$K$83)/SUMPRODUCT(('Control Mapping'!$C$5:$C$83=D104)*'Control Mapping'!$E$5:$E$83*('Control Mapping'!$K$5:$K$83&gt;0)),""))</f>
        <v>2</v>
      </c>
      <c r="M104" s="34" t="n">
        <f aca="false">IF(NOT(ISNUMBER($G104)),"",IF(J104=0,4,MAX(MATCH(L104,'Residual Config'!$E$11:$E$14,1),IF(K104&gt;0,'Residual Config'!$C$7,1))))</f>
        <v>2</v>
      </c>
      <c r="N104" s="7" t="str">
        <f aca="false">IF(NOT(ISNUMBER($G104)),"",IF(J104=0,"Ineffective (no key control)",INDEX('Residual Config'!$B$11:$B$14,M104)))</f>
        <v>Largely effective</v>
      </c>
      <c r="O104" s="36" t="n">
        <f aca="false">IF(NOT(ISNUMBER($G104)),"",IF(J104=0,0,SUMPRODUCT(('Control Mapping'!$C$5:$C$83=D104)*'Control Mapping'!$E$5:$E$83*(('Control Mapping'!$K$5:$K$83=1)*'Residual Config'!$D$11+('Control Mapping'!$K$5:$K$83=2)*'Residual Config'!$D$12+('Control Mapping'!$K$5:$K$83=3)*'Residual Config'!$D$13+('Control Mapping'!$K$5:$K$83=4)*'Residual Config'!$D$14))/SUMPRODUCT(('Control Mapping'!$C$5:$C$83=D104)*'Control Mapping'!$E$5:$E$83*('Control Mapping'!$K$5:$K$83&gt;0))))</f>
        <v>0.4</v>
      </c>
      <c r="P104" s="31" t="n">
        <f aca="false">IF(NOT(ISNUMBER($G104)),"",INDEX('Residual Config'!$B$19:$E$23,6-G104,M104))</f>
        <v>1</v>
      </c>
      <c r="Q104" s="29" t="n">
        <f aca="false">IF(NOT(ISNUMBER($G104)),"",MAX(1,F104*(1-O104)))</f>
        <v>1.2</v>
      </c>
      <c r="R104" s="31" t="n">
        <f aca="false">IF(NOT(ISNUMBER($G104)),"",MAX(MATCH(Q104,Config!$D$5:$D$9,1),G104-'Residual Config'!$C$6))</f>
        <v>1</v>
      </c>
      <c r="S104" s="34" t="n">
        <f aca="false">IF(NOT(ISNUMBER($G104)),"",IF('Residual Config'!$C$5="Numeric",R104,P104))</f>
        <v>1</v>
      </c>
      <c r="T104" s="7" t="str">
        <f aca="false">IF(G104="N/A","N/A",IF(S104="","No data",INDEX(Config!$B$5:$B$9,S104)))</f>
        <v>Low</v>
      </c>
      <c r="U104" s="32" t="n">
        <v>0</v>
      </c>
      <c r="V104" s="8"/>
      <c r="W104" s="33"/>
      <c r="X104" s="34" t="n">
        <f aca="false">IF(S104="","",IF(AND(W104="Y",U104&lt;&gt;0),MAX(1,MIN(5,S104+MAX(-Config!$C$27,MIN(Config!$C$27,U104)))),S104))</f>
        <v>1</v>
      </c>
      <c r="Y104" s="35" t="str">
        <f aca="false">IF(G104="N/A","N/A",IF(X104="","No data",INDEX(Config!$B$5:$B$9,X104)))</f>
        <v>Low</v>
      </c>
      <c r="Z104" s="7" t="str">
        <f aca="false">IF(U104=0,"None",IF(W104="Y","Applied","Pending HO approval"))</f>
        <v>None</v>
      </c>
      <c r="AA104" s="12" t="str">
        <f aca="false">INDEX('Risk Taxonomy'!$G$5:$G$24,MATCH(D104,'Risk Taxonomy'!$A$5:$A$24,0))</f>
        <v>Moderate</v>
      </c>
      <c r="AB104" s="7" t="str">
        <f aca="false">INDEX('Risk Taxonomy'!$H$5:$H$24,MATCH(D104,'Risk Taxonomy'!$A$5:$A$24,0))</f>
        <v>Medium-High</v>
      </c>
      <c r="AC104" s="35" t="str">
        <f aca="false">IF(NOT(ISNUMBER(X104)),"",IF(X104&lt;=MATCH(AB104,Config!$B$5:$B$9,0),"Within",IF(OR(X104-MATCH(AB104,Config!$B$5:$B$9,0)&gt;=2,AND('Residual Config'!$C$8="Y",ISNUMBER(SEARCH("Zero",AA104)))),"Red","Amber")))</f>
        <v>Within</v>
      </c>
      <c r="AD104" s="12" t="str">
        <f aca="false">IF(AC104="Red","Group CCO / CRO and Country CEO within 2 business days; action plan in 15 days; report to Board Risk &amp; Compliance Committee",IF(AC104="Amber","Country CO, risk owner and HO Administrator within 5 business days; action plan in 30 days",""))</f>
        <v/>
      </c>
    </row>
    <row r="105" customFormat="false" ht="15" hidden="false" customHeight="false" outlineLevel="0" collapsed="false">
      <c r="A105" s="26" t="str">
        <f aca="false">Entities!$A$10</f>
        <v>PS</v>
      </c>
      <c r="B105" s="12" t="str">
        <f aca="false">INDEX(Entities!$B$5:$B$34,MATCH(A105,Entities!$A$5:$A$34,0))</f>
        <v>Arab Bank – Palestine</v>
      </c>
      <c r="C105" s="12" t="str">
        <f aca="false">INDEX(Entities!$D$5:$D$34,MATCH(A105,Entities!$A$5:$A$34,0))</f>
        <v>Levant</v>
      </c>
      <c r="D105" s="12" t="s">
        <v>260</v>
      </c>
      <c r="E105" s="12" t="str">
        <f aca="false">INDEX('Risk Taxonomy'!$B$5:$B$24,MATCH(D105,'Risk Taxonomy'!$A$5:$A$24,0))</f>
        <v>Money laundering</v>
      </c>
      <c r="F105" s="29" t="n">
        <f aca="false">IF(NOT(ISNUMBER(G105)),"",IFERROR(IF(MATCH(SUMIFS('FC Calculation'!$N$5:$N$214,'FC Calculation'!$A$5:$A$214,A105,'FC Calculation'!$D$5:$D$214,D105),Config!$D$5:$D$9,1)=G105,SUMIFS('FC Calculation'!$N$5:$N$214,'FC Calculation'!$A$5:$A$214,A105,'FC Calculation'!$D$5:$D$214,D105),G105),G105))</f>
        <v>3.98190476190476</v>
      </c>
      <c r="G105" s="34" t="n">
        <f aca="false">IF(COUNTIFS('FC Calculation'!$A$5:$A$214,A105,'FC Calculation'!$D$5:$D$214,D105,'FC Calculation'!$T$5:$T$214,"&gt;0")=0,"",SUMIFS('FC Calculation'!$T$5:$T$214,'FC Calculation'!$A$5:$A$214,A105,'FC Calculation'!$D$5:$D$214,D105))</f>
        <v>4</v>
      </c>
      <c r="H105" s="7" t="str">
        <f aca="false">IF(G105="N/A","N/A",IF(G105="","No data",INDEX(Config!$B$5:$B$9,G105)))</f>
        <v>Medium-High</v>
      </c>
      <c r="I105" s="31" t="n">
        <f aca="false">IF(NOT(ISNUMBER($G105)),"",SUMPRODUCT(('Control Mapping'!$C$5:$C$83=D105)*('Control Mapping'!$L$5:$L$83&gt;0)))</f>
        <v>12</v>
      </c>
      <c r="J105" s="31" t="n">
        <f aca="false">IF(NOT(ISNUMBER($G105)),"",SUMPRODUCT(('Control Mapping'!$C$5:$C$83=D105)*('Control Mapping'!$F$5:$F$83="Y")*('Control Mapping'!$L$5:$L$83&gt;0)))</f>
        <v>9</v>
      </c>
      <c r="K105" s="31" t="n">
        <f aca="false">IF(NOT(ISNUMBER($G105)),"",SUMPRODUCT(('Control Mapping'!$C$5:$C$83=D105)*('Control Mapping'!$F$5:$F$83="Y")*('Control Mapping'!$L$5:$L$83=4)))</f>
        <v>0</v>
      </c>
      <c r="L105" s="29" t="n">
        <f aca="false">IF(NOT(ISNUMBER($G105)),"",IFERROR(SUMPRODUCT(('Control Mapping'!$C$5:$C$83=D105)*'Control Mapping'!$E$5:$E$83*'Control Mapping'!$L$5:$L$83)/SUMPRODUCT(('Control Mapping'!$C$5:$C$83=D105)*'Control Mapping'!$E$5:$E$83*('Control Mapping'!$L$5:$L$83&gt;0)),""))</f>
        <v>2.47826086956522</v>
      </c>
      <c r="M105" s="34" t="n">
        <f aca="false">IF(NOT(ISNUMBER($G105)),"",IF(J105=0,4,MAX(MATCH(L105,'Residual Config'!$E$11:$E$14,1),IF(K105&gt;0,'Residual Config'!$C$7,1))))</f>
        <v>2</v>
      </c>
      <c r="N105" s="7" t="str">
        <f aca="false">IF(NOT(ISNUMBER($G105)),"",IF(J105=0,"Ineffective (no key control)",INDEX('Residual Config'!$B$11:$B$14,M105)))</f>
        <v>Largely effective</v>
      </c>
      <c r="O105" s="36" t="n">
        <f aca="false">IF(NOT(ISNUMBER($G105)),"",IF(J105=0,0,SUMPRODUCT(('Control Mapping'!$C$5:$C$83=D105)*'Control Mapping'!$E$5:$E$83*(('Control Mapping'!$L$5:$L$83=1)*'Residual Config'!$D$11+('Control Mapping'!$L$5:$L$83=2)*'Residual Config'!$D$12+('Control Mapping'!$L$5:$L$83=3)*'Residual Config'!$D$13+('Control Mapping'!$L$5:$L$83=4)*'Residual Config'!$D$14))/SUMPRODUCT(('Control Mapping'!$C$5:$C$83=D105)*'Control Mapping'!$E$5:$E$83*('Control Mapping'!$L$5:$L$83&gt;0))))</f>
        <v>0.304347826086957</v>
      </c>
      <c r="P105" s="31" t="n">
        <f aca="false">IF(NOT(ISNUMBER($G105)),"",INDEX('Residual Config'!$B$19:$E$23,6-G105,M105))</f>
        <v>3</v>
      </c>
      <c r="Q105" s="29" t="n">
        <f aca="false">IF(NOT(ISNUMBER($G105)),"",MAX(1,F105*(1-O105)))</f>
        <v>2.77002070393375</v>
      </c>
      <c r="R105" s="31" t="n">
        <f aca="false">IF(NOT(ISNUMBER($G105)),"",MAX(MATCH(Q105,Config!$D$5:$D$9,1),G105-'Residual Config'!$C$6))</f>
        <v>3</v>
      </c>
      <c r="S105" s="34" t="n">
        <f aca="false">IF(NOT(ISNUMBER($G105)),"",IF('Residual Config'!$C$5="Numeric",R105,P105))</f>
        <v>3</v>
      </c>
      <c r="T105" s="7" t="str">
        <f aca="false">IF(G105="N/A","N/A",IF(S105="","No data",INDEX(Config!$B$5:$B$9,S105)))</f>
        <v>Medium</v>
      </c>
      <c r="U105" s="32" t="n">
        <v>0</v>
      </c>
      <c r="V105" s="8"/>
      <c r="W105" s="33"/>
      <c r="X105" s="34" t="n">
        <f aca="false">IF(S105="","",IF(AND(W105="Y",U105&lt;&gt;0),MAX(1,MIN(5,S105+MAX(-Config!$C$27,MIN(Config!$C$27,U105)))),S105))</f>
        <v>3</v>
      </c>
      <c r="Y105" s="35" t="str">
        <f aca="false">IF(G105="N/A","N/A",IF(X105="","No data",INDEX(Config!$B$5:$B$9,X105)))</f>
        <v>Medium</v>
      </c>
      <c r="Z105" s="7" t="str">
        <f aca="false">IF(U105=0,"None",IF(W105="Y","Applied","Pending HO approval"))</f>
        <v>None</v>
      </c>
      <c r="AA105" s="12" t="str">
        <f aca="false">INDEX('Risk Taxonomy'!$G$5:$G$24,MATCH(D105,'Risk Taxonomy'!$A$5:$A$24,0))</f>
        <v>Very low</v>
      </c>
      <c r="AB105" s="7" t="str">
        <f aca="false">INDEX('Risk Taxonomy'!$H$5:$H$24,MATCH(D105,'Risk Taxonomy'!$A$5:$A$24,0))</f>
        <v>Medium-Low</v>
      </c>
      <c r="AC105" s="35" t="str">
        <f aca="false">IF(NOT(ISNUMBER(X105)),"",IF(X105&lt;=MATCH(AB105,Config!$B$5:$B$9,0),"Within",IF(OR(X105-MATCH(AB105,Config!$B$5:$B$9,0)&gt;=2,AND('Residual Config'!$C$8="Y",ISNUMBER(SEARCH("Zero",AA105)))),"Red","Amber")))</f>
        <v>Amber</v>
      </c>
      <c r="AD105" s="12" t="str">
        <f aca="false">IF(AC105="Red","Group CCO / CRO and Country CEO within 2 business days; action plan in 15 days; report to Board Risk &amp; Compliance Committee",IF(AC105="Amber","Country CO, risk owner and HO Administrator within 5 business days; action plan in 30 days",""))</f>
        <v>Country CO, risk owner and HO Administrator within 5 business days; action plan in 30 days</v>
      </c>
    </row>
    <row r="106" customFormat="false" ht="15" hidden="false" customHeight="false" outlineLevel="0" collapsed="false">
      <c r="A106" s="26" t="str">
        <f aca="false">Entities!$A$10</f>
        <v>PS</v>
      </c>
      <c r="B106" s="12" t="str">
        <f aca="false">INDEX(Entities!$B$5:$B$34,MATCH(A106,Entities!$A$5:$A$34,0))</f>
        <v>Arab Bank – Palestine</v>
      </c>
      <c r="C106" s="12" t="str">
        <f aca="false">INDEX(Entities!$D$5:$D$34,MATCH(A106,Entities!$A$5:$A$34,0))</f>
        <v>Levant</v>
      </c>
      <c r="D106" s="12" t="s">
        <v>267</v>
      </c>
      <c r="E106" s="12" t="str">
        <f aca="false">INDEX('Risk Taxonomy'!$B$5:$B$24,MATCH(D106,'Risk Taxonomy'!$A$5:$A$24,0))</f>
        <v>Terrorist financing</v>
      </c>
      <c r="F106" s="29" t="n">
        <f aca="false">IF(NOT(ISNUMBER(G106)),"",IFERROR(IF(MATCH(SUMIFS('FC Calculation'!$N$5:$N$214,'FC Calculation'!$A$5:$A$214,A106,'FC Calculation'!$D$5:$D$214,D106),Config!$D$5:$D$9,1)=G106,SUMIFS('FC Calculation'!$N$5:$N$214,'FC Calculation'!$A$5:$A$214,A106,'FC Calculation'!$D$5:$D$214,D106),G106),G106))</f>
        <v>3.82738095238095</v>
      </c>
      <c r="G106" s="34" t="n">
        <f aca="false">IF(COUNTIFS('FC Calculation'!$A$5:$A$214,A106,'FC Calculation'!$D$5:$D$214,D106,'FC Calculation'!$T$5:$T$214,"&gt;0")=0,"",SUMIFS('FC Calculation'!$T$5:$T$214,'FC Calculation'!$A$5:$A$214,A106,'FC Calculation'!$D$5:$D$214,D106))</f>
        <v>4</v>
      </c>
      <c r="H106" s="7" t="str">
        <f aca="false">IF(G106="N/A","N/A",IF(G106="","No data",INDEX(Config!$B$5:$B$9,G106)))</f>
        <v>Medium-High</v>
      </c>
      <c r="I106" s="31" t="n">
        <f aca="false">IF(NOT(ISNUMBER($G106)),"",SUMPRODUCT(('Control Mapping'!$C$5:$C$83=D106)*('Control Mapping'!$L$5:$L$83&gt;0)))</f>
        <v>12</v>
      </c>
      <c r="J106" s="31" t="n">
        <f aca="false">IF(NOT(ISNUMBER($G106)),"",SUMPRODUCT(('Control Mapping'!$C$5:$C$83=D106)*('Control Mapping'!$F$5:$F$83="Y")*('Control Mapping'!$L$5:$L$83&gt;0)))</f>
        <v>9</v>
      </c>
      <c r="K106" s="31" t="n">
        <f aca="false">IF(NOT(ISNUMBER($G106)),"",SUMPRODUCT(('Control Mapping'!$C$5:$C$83=D106)*('Control Mapping'!$F$5:$F$83="Y")*('Control Mapping'!$L$5:$L$83=4)))</f>
        <v>0</v>
      </c>
      <c r="L106" s="29" t="n">
        <f aca="false">IF(NOT(ISNUMBER($G106)),"",IFERROR(SUMPRODUCT(('Control Mapping'!$C$5:$C$83=D106)*'Control Mapping'!$E$5:$E$83*'Control Mapping'!$L$5:$L$83)/SUMPRODUCT(('Control Mapping'!$C$5:$C$83=D106)*'Control Mapping'!$E$5:$E$83*('Control Mapping'!$L$5:$L$83&gt;0)),""))</f>
        <v>2.42105263157895</v>
      </c>
      <c r="M106" s="34" t="n">
        <f aca="false">IF(NOT(ISNUMBER($G106)),"",IF(J106=0,4,MAX(MATCH(L106,'Residual Config'!$E$11:$E$14,1),IF(K106&gt;0,'Residual Config'!$C$7,1))))</f>
        <v>2</v>
      </c>
      <c r="N106" s="7" t="str">
        <f aca="false">IF(NOT(ISNUMBER($G106)),"",IF(J106=0,"Ineffective (no key control)",INDEX('Residual Config'!$B$11:$B$14,M106)))</f>
        <v>Largely effective</v>
      </c>
      <c r="O106" s="36" t="n">
        <f aca="false">IF(NOT(ISNUMBER($G106)),"",IF(J106=0,0,SUMPRODUCT(('Control Mapping'!$C$5:$C$83=D106)*'Control Mapping'!$E$5:$E$83*(('Control Mapping'!$L$5:$L$83=1)*'Residual Config'!$D$11+('Control Mapping'!$L$5:$L$83=2)*'Residual Config'!$D$12+('Control Mapping'!$L$5:$L$83=3)*'Residual Config'!$D$13+('Control Mapping'!$L$5:$L$83=4)*'Residual Config'!$D$14))/SUMPRODUCT(('Control Mapping'!$C$5:$C$83=D106)*'Control Mapping'!$E$5:$E$83*('Control Mapping'!$L$5:$L$83&gt;0))))</f>
        <v>0.315789473684211</v>
      </c>
      <c r="P106" s="31" t="n">
        <f aca="false">IF(NOT(ISNUMBER($G106)),"",INDEX('Residual Config'!$B$19:$E$23,6-G106,M106))</f>
        <v>3</v>
      </c>
      <c r="Q106" s="29" t="n">
        <f aca="false">IF(NOT(ISNUMBER($G106)),"",MAX(1,F106*(1-O106)))</f>
        <v>2.6187343358396</v>
      </c>
      <c r="R106" s="31" t="n">
        <f aca="false">IF(NOT(ISNUMBER($G106)),"",MAX(MATCH(Q106,Config!$D$5:$D$9,1),G106-'Residual Config'!$C$6))</f>
        <v>3</v>
      </c>
      <c r="S106" s="34" t="n">
        <f aca="false">IF(NOT(ISNUMBER($G106)),"",IF('Residual Config'!$C$5="Numeric",R106,P106))</f>
        <v>3</v>
      </c>
      <c r="T106" s="7" t="str">
        <f aca="false">IF(G106="N/A","N/A",IF(S106="","No data",INDEX(Config!$B$5:$B$9,S106)))</f>
        <v>Medium</v>
      </c>
      <c r="U106" s="32" t="n">
        <v>0</v>
      </c>
      <c r="V106" s="8"/>
      <c r="W106" s="33"/>
      <c r="X106" s="34" t="n">
        <f aca="false">IF(S106="","",IF(AND(W106="Y",U106&lt;&gt;0),MAX(1,MIN(5,S106+MAX(-Config!$C$27,MIN(Config!$C$27,U106)))),S106))</f>
        <v>3</v>
      </c>
      <c r="Y106" s="35" t="str">
        <f aca="false">IF(G106="N/A","N/A",IF(X106="","No data",INDEX(Config!$B$5:$B$9,X106)))</f>
        <v>Medium</v>
      </c>
      <c r="Z106" s="7" t="str">
        <f aca="false">IF(U106=0,"None",IF(W106="Y","Applied","Pending HO approval"))</f>
        <v>None</v>
      </c>
      <c r="AA106" s="12" t="str">
        <f aca="false">INDEX('Risk Taxonomy'!$G$5:$G$24,MATCH(D106,'Risk Taxonomy'!$A$5:$A$24,0))</f>
        <v>Zero tolerance</v>
      </c>
      <c r="AB106" s="7" t="str">
        <f aca="false">INDEX('Risk Taxonomy'!$H$5:$H$24,MATCH(D106,'Risk Taxonomy'!$A$5:$A$24,0))</f>
        <v>Low</v>
      </c>
      <c r="AC106" s="35" t="str">
        <f aca="false">IF(NOT(ISNUMBER(X106)),"",IF(X106&lt;=MATCH(AB106,Config!$B$5:$B$9,0),"Within",IF(OR(X106-MATCH(AB106,Config!$B$5:$B$9,0)&gt;=2,AND('Residual Config'!$C$8="Y",ISNUMBER(SEARCH("Zero",AA106)))),"Red","Amber")))</f>
        <v>Red</v>
      </c>
      <c r="AD106" s="12" t="str">
        <f aca="false">IF(AC106="Red","Group CCO / CRO and Country CEO within 2 business days; action plan in 15 days; report to Board Risk &amp; Compliance Committee",IF(AC106="Amber","Country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07" customFormat="false" ht="15" hidden="false" customHeight="false" outlineLevel="0" collapsed="false">
      <c r="A107" s="26" t="str">
        <f aca="false">Entities!$A$10</f>
        <v>PS</v>
      </c>
      <c r="B107" s="12" t="str">
        <f aca="false">INDEX(Entities!$B$5:$B$34,MATCH(A107,Entities!$A$5:$A$34,0))</f>
        <v>Arab Bank – Palestine</v>
      </c>
      <c r="C107" s="12" t="str">
        <f aca="false">INDEX(Entities!$D$5:$D$34,MATCH(A107,Entities!$A$5:$A$34,0))</f>
        <v>Levant</v>
      </c>
      <c r="D107" s="12" t="s">
        <v>270</v>
      </c>
      <c r="E107" s="12" t="str">
        <f aca="false">INDEX('Risk Taxonomy'!$B$5:$B$24,MATCH(D107,'Risk Taxonomy'!$A$5:$A$24,0))</f>
        <v>Proliferation financing</v>
      </c>
      <c r="F107" s="29" t="n">
        <f aca="false">IF(NOT(ISNUMBER(G107)),"",IFERROR(IF(MATCH(SUMIFS('FC Calculation'!$N$5:$N$214,'FC Calculation'!$A$5:$A$214,A107,'FC Calculation'!$D$5:$D$214,D107),Config!$D$5:$D$9,1)=G107,SUMIFS('FC Calculation'!$N$5:$N$214,'FC Calculation'!$A$5:$A$214,A107,'FC Calculation'!$D$5:$D$214,D107),G107),G107))</f>
        <v>4.10416666666667</v>
      </c>
      <c r="G107" s="34" t="n">
        <f aca="false">IF(COUNTIFS('FC Calculation'!$A$5:$A$214,A107,'FC Calculation'!$D$5:$D$214,D107,'FC Calculation'!$T$5:$T$214,"&gt;0")=0,"",SUMIFS('FC Calculation'!$T$5:$T$214,'FC Calculation'!$A$5:$A$214,A107,'FC Calculation'!$D$5:$D$214,D107))</f>
        <v>4</v>
      </c>
      <c r="H107" s="7" t="str">
        <f aca="false">IF(G107="N/A","N/A",IF(G107="","No data",INDEX(Config!$B$5:$B$9,G107)))</f>
        <v>Medium-High</v>
      </c>
      <c r="I107" s="31" t="n">
        <f aca="false">IF(NOT(ISNUMBER($G107)),"",SUMPRODUCT(('Control Mapping'!$C$5:$C$83=D107)*('Control Mapping'!$L$5:$L$83&gt;0)))</f>
        <v>5</v>
      </c>
      <c r="J107" s="31" t="n">
        <f aca="false">IF(NOT(ISNUMBER($G107)),"",SUMPRODUCT(('Control Mapping'!$C$5:$C$83=D107)*('Control Mapping'!$F$5:$F$83="Y")*('Control Mapping'!$L$5:$L$83&gt;0)))</f>
        <v>5</v>
      </c>
      <c r="K107" s="31" t="n">
        <f aca="false">IF(NOT(ISNUMBER($G107)),"",SUMPRODUCT(('Control Mapping'!$C$5:$C$83=D107)*('Control Mapping'!$F$5:$F$83="Y")*('Control Mapping'!$L$5:$L$83=4)))</f>
        <v>0</v>
      </c>
      <c r="L107" s="29" t="n">
        <f aca="false">IF(NOT(ISNUMBER($G107)),"",IFERROR(SUMPRODUCT(('Control Mapping'!$C$5:$C$83=D107)*'Control Mapping'!$E$5:$E$83*'Control Mapping'!$L$5:$L$83)/SUMPRODUCT(('Control Mapping'!$C$5:$C$83=D107)*'Control Mapping'!$E$5:$E$83*('Control Mapping'!$L$5:$L$83&gt;0)),""))</f>
        <v>2.2</v>
      </c>
      <c r="M107" s="34" t="n">
        <f aca="false">IF(NOT(ISNUMBER($G107)),"",IF(J107=0,4,MAX(MATCH(L107,'Residual Config'!$E$11:$E$14,1),IF(K107&gt;0,'Residual Config'!$C$7,1))))</f>
        <v>2</v>
      </c>
      <c r="N107" s="7" t="str">
        <f aca="false">IF(NOT(ISNUMBER($G107)),"",IF(J107=0,"Ineffective (no key control)",INDEX('Residual Config'!$B$11:$B$14,M107)))</f>
        <v>Largely effective</v>
      </c>
      <c r="O107" s="36" t="n">
        <f aca="false">IF(NOT(ISNUMBER($G107)),"",IF(J107=0,0,SUMPRODUCT(('Control Mapping'!$C$5:$C$83=D107)*'Control Mapping'!$E$5:$E$83*(('Control Mapping'!$L$5:$L$83=1)*'Residual Config'!$D$11+('Control Mapping'!$L$5:$L$83=2)*'Residual Config'!$D$12+('Control Mapping'!$L$5:$L$83=3)*'Residual Config'!$D$13+('Control Mapping'!$L$5:$L$83=4)*'Residual Config'!$D$14))/SUMPRODUCT(('Control Mapping'!$C$5:$C$83=D107)*'Control Mapping'!$E$5:$E$83*('Control Mapping'!$L$5:$L$83&gt;0))))</f>
        <v>0.36</v>
      </c>
      <c r="P107" s="31" t="n">
        <f aca="false">IF(NOT(ISNUMBER($G107)),"",INDEX('Residual Config'!$B$19:$E$23,6-G107,M107))</f>
        <v>3</v>
      </c>
      <c r="Q107" s="29" t="n">
        <f aca="false">IF(NOT(ISNUMBER($G107)),"",MAX(1,F107*(1-O107)))</f>
        <v>2.62666666666667</v>
      </c>
      <c r="R107" s="31" t="n">
        <f aca="false">IF(NOT(ISNUMBER($G107)),"",MAX(MATCH(Q107,Config!$D$5:$D$9,1),G107-'Residual Config'!$C$6))</f>
        <v>3</v>
      </c>
      <c r="S107" s="34" t="n">
        <f aca="false">IF(NOT(ISNUMBER($G107)),"",IF('Residual Config'!$C$5="Numeric",R107,P107))</f>
        <v>3</v>
      </c>
      <c r="T107" s="7" t="str">
        <f aca="false">IF(G107="N/A","N/A",IF(S107="","No data",INDEX(Config!$B$5:$B$9,S107)))</f>
        <v>Medium</v>
      </c>
      <c r="U107" s="32" t="n">
        <v>0</v>
      </c>
      <c r="V107" s="8"/>
      <c r="W107" s="33"/>
      <c r="X107" s="34" t="n">
        <f aca="false">IF(S107="","",IF(AND(W107="Y",U107&lt;&gt;0),MAX(1,MIN(5,S107+MAX(-Config!$C$27,MIN(Config!$C$27,U107)))),S107))</f>
        <v>3</v>
      </c>
      <c r="Y107" s="35" t="str">
        <f aca="false">IF(G107="N/A","N/A",IF(X107="","No data",INDEX(Config!$B$5:$B$9,X107)))</f>
        <v>Medium</v>
      </c>
      <c r="Z107" s="7" t="str">
        <f aca="false">IF(U107=0,"None",IF(W107="Y","Applied","Pending HO approval"))</f>
        <v>None</v>
      </c>
      <c r="AA107" s="12" t="str">
        <f aca="false">INDEX('Risk Taxonomy'!$G$5:$G$24,MATCH(D107,'Risk Taxonomy'!$A$5:$A$24,0))</f>
        <v>Zero tolerance</v>
      </c>
      <c r="AB107" s="7" t="str">
        <f aca="false">INDEX('Risk Taxonomy'!$H$5:$H$24,MATCH(D107,'Risk Taxonomy'!$A$5:$A$24,0))</f>
        <v>Low</v>
      </c>
      <c r="AC107" s="35" t="str">
        <f aca="false">IF(NOT(ISNUMBER(X107)),"",IF(X107&lt;=MATCH(AB107,Config!$B$5:$B$9,0),"Within",IF(OR(X107-MATCH(AB107,Config!$B$5:$B$9,0)&gt;=2,AND('Residual Config'!$C$8="Y",ISNUMBER(SEARCH("Zero",AA107)))),"Red","Amber")))</f>
        <v>Red</v>
      </c>
      <c r="AD107" s="12" t="str">
        <f aca="false">IF(AC107="Red","Group CCO / CRO and Country CEO within 2 business days; action plan in 15 days; report to Board Risk &amp; Compliance Committee",IF(AC107="Amber","Country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08" customFormat="false" ht="15" hidden="false" customHeight="false" outlineLevel="0" collapsed="false">
      <c r="A108" s="26" t="str">
        <f aca="false">Entities!$A$10</f>
        <v>PS</v>
      </c>
      <c r="B108" s="12" t="str">
        <f aca="false">INDEX(Entities!$B$5:$B$34,MATCH(A108,Entities!$A$5:$A$34,0))</f>
        <v>Arab Bank – Palestine</v>
      </c>
      <c r="C108" s="12" t="str">
        <f aca="false">INDEX(Entities!$D$5:$D$34,MATCH(A108,Entities!$A$5:$A$34,0))</f>
        <v>Levant</v>
      </c>
      <c r="D108" s="12" t="s">
        <v>272</v>
      </c>
      <c r="E108" s="12" t="str">
        <f aca="false">INDEX('Risk Taxonomy'!$B$5:$B$24,MATCH(D108,'Risk Taxonomy'!$A$5:$A$24,0))</f>
        <v>Sanctions</v>
      </c>
      <c r="F108" s="29" t="n">
        <f aca="false">IF(NOT(ISNUMBER(G108)),"",IFERROR(IF(MATCH(SUMIFS('FC Calculation'!$N$5:$N$214,'FC Calculation'!$A$5:$A$214,A108,'FC Calculation'!$D$5:$D$214,D108),Config!$D$5:$D$9,1)=G108,SUMIFS('FC Calculation'!$N$5:$N$214,'FC Calculation'!$A$5:$A$214,A108,'FC Calculation'!$D$5:$D$214,D108),G108),G108))</f>
        <v>4.14404761904762</v>
      </c>
      <c r="G108" s="34" t="n">
        <f aca="false">IF(COUNTIFS('FC Calculation'!$A$5:$A$214,A108,'FC Calculation'!$D$5:$D$214,D108,'FC Calculation'!$T$5:$T$214,"&gt;0")=0,"",SUMIFS('FC Calculation'!$T$5:$T$214,'FC Calculation'!$A$5:$A$214,A108,'FC Calculation'!$D$5:$D$214,D108))</f>
        <v>4</v>
      </c>
      <c r="H108" s="7" t="str">
        <f aca="false">IF(G108="N/A","N/A",IF(G108="","No data",INDEX(Config!$B$5:$B$9,G108)))</f>
        <v>Medium-High</v>
      </c>
      <c r="I108" s="31" t="n">
        <f aca="false">IF(NOT(ISNUMBER($G108)),"",SUMPRODUCT(('Control Mapping'!$C$5:$C$83=D108)*('Control Mapping'!$L$5:$L$83&gt;0)))</f>
        <v>8</v>
      </c>
      <c r="J108" s="31" t="n">
        <f aca="false">IF(NOT(ISNUMBER($G108)),"",SUMPRODUCT(('Control Mapping'!$C$5:$C$83=D108)*('Control Mapping'!$F$5:$F$83="Y")*('Control Mapping'!$L$5:$L$83&gt;0)))</f>
        <v>5</v>
      </c>
      <c r="K108" s="31" t="n">
        <f aca="false">IF(NOT(ISNUMBER($G108)),"",SUMPRODUCT(('Control Mapping'!$C$5:$C$83=D108)*('Control Mapping'!$F$5:$F$83="Y")*('Control Mapping'!$L$5:$L$83=4)))</f>
        <v>0</v>
      </c>
      <c r="L108" s="29" t="n">
        <f aca="false">IF(NOT(ISNUMBER($G108)),"",IFERROR(SUMPRODUCT(('Control Mapping'!$C$5:$C$83=D108)*'Control Mapping'!$E$5:$E$83*'Control Mapping'!$L$5:$L$83)/SUMPRODUCT(('Control Mapping'!$C$5:$C$83=D108)*'Control Mapping'!$E$5:$E$83*('Control Mapping'!$L$5:$L$83&gt;0)),""))</f>
        <v>2.09090909090909</v>
      </c>
      <c r="M108" s="34" t="n">
        <f aca="false">IF(NOT(ISNUMBER($G108)),"",IF(J108=0,4,MAX(MATCH(L108,'Residual Config'!$E$11:$E$14,1),IF(K108&gt;0,'Residual Config'!$C$7,1))))</f>
        <v>2</v>
      </c>
      <c r="N108" s="7" t="str">
        <f aca="false">IF(NOT(ISNUMBER($G108)),"",IF(J108=0,"Ineffective (no key control)",INDEX('Residual Config'!$B$11:$B$14,M108)))</f>
        <v>Largely effective</v>
      </c>
      <c r="O108" s="36" t="n">
        <f aca="false">IF(NOT(ISNUMBER($G108)),"",IF(J108=0,0,SUMPRODUCT(('Control Mapping'!$C$5:$C$83=D108)*'Control Mapping'!$E$5:$E$83*(('Control Mapping'!$L$5:$L$83=1)*'Residual Config'!$D$11+('Control Mapping'!$L$5:$L$83=2)*'Residual Config'!$D$12+('Control Mapping'!$L$5:$L$83=3)*'Residual Config'!$D$13+('Control Mapping'!$L$5:$L$83=4)*'Residual Config'!$D$14))/SUMPRODUCT(('Control Mapping'!$C$5:$C$83=D108)*'Control Mapping'!$E$5:$E$83*('Control Mapping'!$L$5:$L$83&gt;0))))</f>
        <v>0.381818181818182</v>
      </c>
      <c r="P108" s="31" t="n">
        <f aca="false">IF(NOT(ISNUMBER($G108)),"",INDEX('Residual Config'!$B$19:$E$23,6-G108,M108))</f>
        <v>3</v>
      </c>
      <c r="Q108" s="29" t="n">
        <f aca="false">IF(NOT(ISNUMBER($G108)),"",MAX(1,F108*(1-O108)))</f>
        <v>2.56177489177489</v>
      </c>
      <c r="R108" s="31" t="n">
        <f aca="false">IF(NOT(ISNUMBER($G108)),"",MAX(MATCH(Q108,Config!$D$5:$D$9,1),G108-'Residual Config'!$C$6))</f>
        <v>2</v>
      </c>
      <c r="S108" s="34" t="n">
        <f aca="false">IF(NOT(ISNUMBER($G108)),"",IF('Residual Config'!$C$5="Numeric",R108,P108))</f>
        <v>3</v>
      </c>
      <c r="T108" s="7" t="str">
        <f aca="false">IF(G108="N/A","N/A",IF(S108="","No data",INDEX(Config!$B$5:$B$9,S108)))</f>
        <v>Medium</v>
      </c>
      <c r="U108" s="32" t="n">
        <v>0</v>
      </c>
      <c r="V108" s="8"/>
      <c r="W108" s="33"/>
      <c r="X108" s="34" t="n">
        <f aca="false">IF(S108="","",IF(AND(W108="Y",U108&lt;&gt;0),MAX(1,MIN(5,S108+MAX(-Config!$C$27,MIN(Config!$C$27,U108)))),S108))</f>
        <v>3</v>
      </c>
      <c r="Y108" s="35" t="str">
        <f aca="false">IF(G108="N/A","N/A",IF(X108="","No data",INDEX(Config!$B$5:$B$9,X108)))</f>
        <v>Medium</v>
      </c>
      <c r="Z108" s="7" t="str">
        <f aca="false">IF(U108=0,"None",IF(W108="Y","Applied","Pending HO approval"))</f>
        <v>None</v>
      </c>
      <c r="AA108" s="12" t="str">
        <f aca="false">INDEX('Risk Taxonomy'!$G$5:$G$24,MATCH(D108,'Risk Taxonomy'!$A$5:$A$24,0))</f>
        <v>Zero tolerance</v>
      </c>
      <c r="AB108" s="7" t="str">
        <f aca="false">INDEX('Risk Taxonomy'!$H$5:$H$24,MATCH(D108,'Risk Taxonomy'!$A$5:$A$24,0))</f>
        <v>Low</v>
      </c>
      <c r="AC108" s="35" t="str">
        <f aca="false">IF(NOT(ISNUMBER(X108)),"",IF(X108&lt;=MATCH(AB108,Config!$B$5:$B$9,0),"Within",IF(OR(X108-MATCH(AB108,Config!$B$5:$B$9,0)&gt;=2,AND('Residual Config'!$C$8="Y",ISNUMBER(SEARCH("Zero",AA108)))),"Red","Amber")))</f>
        <v>Red</v>
      </c>
      <c r="AD108" s="12" t="str">
        <f aca="false">IF(AC108="Red","Group CCO / CRO and Country CEO within 2 business days; action plan in 15 days; report to Board Risk &amp; Compliance Committee",IF(AC108="Amber","Country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09" customFormat="false" ht="15" hidden="false" customHeight="false" outlineLevel="0" collapsed="false">
      <c r="A109" s="26" t="str">
        <f aca="false">Entities!$A$10</f>
        <v>PS</v>
      </c>
      <c r="B109" s="12" t="str">
        <f aca="false">INDEX(Entities!$B$5:$B$34,MATCH(A109,Entities!$A$5:$A$34,0))</f>
        <v>Arab Bank – Palestine</v>
      </c>
      <c r="C109" s="12" t="str">
        <f aca="false">INDEX(Entities!$D$5:$D$34,MATCH(A109,Entities!$A$5:$A$34,0))</f>
        <v>Levant</v>
      </c>
      <c r="D109" s="12" t="s">
        <v>275</v>
      </c>
      <c r="E109" s="12" t="str">
        <f aca="false">INDEX('Risk Taxonomy'!$B$5:$B$24,MATCH(D109,'Risk Taxonomy'!$A$5:$A$24,0))</f>
        <v>Bribery and corruption</v>
      </c>
      <c r="F109" s="29" t="n">
        <f aca="false">IF(NOT(ISNUMBER(G109)),"",IFERROR(IF(MATCH(SUMIFS('FC Calculation'!$N$5:$N$214,'FC Calculation'!$A$5:$A$214,A109,'FC Calculation'!$D$5:$D$214,D109),Config!$D$5:$D$9,1)=G109,SUMIFS('FC Calculation'!$N$5:$N$214,'FC Calculation'!$A$5:$A$214,A109,'FC Calculation'!$D$5:$D$214,D109),G109),G109))</f>
        <v>3.99</v>
      </c>
      <c r="G109" s="34" t="n">
        <f aca="false">IF(COUNTIFS('FC Calculation'!$A$5:$A$214,A109,'FC Calculation'!$D$5:$D$214,D109,'FC Calculation'!$T$5:$T$214,"&gt;0")=0,"",SUMIFS('FC Calculation'!$T$5:$T$214,'FC Calculation'!$A$5:$A$214,A109,'FC Calculation'!$D$5:$D$214,D109))</f>
        <v>4</v>
      </c>
      <c r="H109" s="7" t="str">
        <f aca="false">IF(G109="N/A","N/A",IF(G109="","No data",INDEX(Config!$B$5:$B$9,G109)))</f>
        <v>Medium-High</v>
      </c>
      <c r="I109" s="31" t="n">
        <f aca="false">IF(NOT(ISNUMBER($G109)),"",SUMPRODUCT(('Control Mapping'!$C$5:$C$83=D109)*('Control Mapping'!$L$5:$L$83&gt;0)))</f>
        <v>5</v>
      </c>
      <c r="J109" s="31" t="n">
        <f aca="false">IF(NOT(ISNUMBER($G109)),"",SUMPRODUCT(('Control Mapping'!$C$5:$C$83=D109)*('Control Mapping'!$F$5:$F$83="Y")*('Control Mapping'!$L$5:$L$83&gt;0)))</f>
        <v>2</v>
      </c>
      <c r="K109" s="31" t="n">
        <f aca="false">IF(NOT(ISNUMBER($G109)),"",SUMPRODUCT(('Control Mapping'!$C$5:$C$83=D109)*('Control Mapping'!$F$5:$F$83="Y")*('Control Mapping'!$L$5:$L$83=4)))</f>
        <v>0</v>
      </c>
      <c r="L109" s="29" t="n">
        <f aca="false">IF(NOT(ISNUMBER($G109)),"",IFERROR(SUMPRODUCT(('Control Mapping'!$C$5:$C$83=D109)*'Control Mapping'!$E$5:$E$83*'Control Mapping'!$L$5:$L$83)/SUMPRODUCT(('Control Mapping'!$C$5:$C$83=D109)*'Control Mapping'!$E$5:$E$83*('Control Mapping'!$L$5:$L$83&gt;0)),""))</f>
        <v>2.66666666666667</v>
      </c>
      <c r="M109" s="34" t="n">
        <f aca="false">IF(NOT(ISNUMBER($G109)),"",IF(J109=0,4,MAX(MATCH(L109,'Residual Config'!$E$11:$E$14,1),IF(K109&gt;0,'Residual Config'!$C$7,1))))</f>
        <v>3</v>
      </c>
      <c r="N109" s="7" t="str">
        <f aca="false">IF(NOT(ISNUMBER($G109)),"",IF(J109=0,"Ineffective (no key control)",INDEX('Residual Config'!$B$11:$B$14,M109)))</f>
        <v>Partially effective</v>
      </c>
      <c r="O109" s="36" t="n">
        <f aca="false">IF(NOT(ISNUMBER($G109)),"",IF(J109=0,0,SUMPRODUCT(('Control Mapping'!$C$5:$C$83=D109)*'Control Mapping'!$E$5:$E$83*(('Control Mapping'!$L$5:$L$83=1)*'Residual Config'!$D$11+('Control Mapping'!$L$5:$L$83=2)*'Residual Config'!$D$12+('Control Mapping'!$L$5:$L$83=3)*'Residual Config'!$D$13+('Control Mapping'!$L$5:$L$83=4)*'Residual Config'!$D$14))/SUMPRODUCT(('Control Mapping'!$C$5:$C$83=D109)*'Control Mapping'!$E$5:$E$83*('Control Mapping'!$L$5:$L$83&gt;0))))</f>
        <v>0.266666666666667</v>
      </c>
      <c r="P109" s="31" t="n">
        <f aca="false">IF(NOT(ISNUMBER($G109)),"",INDEX('Residual Config'!$B$19:$E$23,6-G109,M109))</f>
        <v>4</v>
      </c>
      <c r="Q109" s="29" t="n">
        <f aca="false">IF(NOT(ISNUMBER($G109)),"",MAX(1,F109*(1-O109)))</f>
        <v>2.926</v>
      </c>
      <c r="R109" s="31" t="n">
        <f aca="false">IF(NOT(ISNUMBER($G109)),"",MAX(MATCH(Q109,Config!$D$5:$D$9,1),G109-'Residual Config'!$C$6))</f>
        <v>3</v>
      </c>
      <c r="S109" s="34" t="n">
        <f aca="false">IF(NOT(ISNUMBER($G109)),"",IF('Residual Config'!$C$5="Numeric",R109,P109))</f>
        <v>4</v>
      </c>
      <c r="T109" s="7" t="str">
        <f aca="false">IF(G109="N/A","N/A",IF(S109="","No data",INDEX(Config!$B$5:$B$9,S109)))</f>
        <v>Medium-High</v>
      </c>
      <c r="U109" s="32" t="n">
        <v>0</v>
      </c>
      <c r="V109" s="8"/>
      <c r="W109" s="33"/>
      <c r="X109" s="34" t="n">
        <f aca="false">IF(S109="","",IF(AND(W109="Y",U109&lt;&gt;0),MAX(1,MIN(5,S109+MAX(-Config!$C$27,MIN(Config!$C$27,U109)))),S109))</f>
        <v>4</v>
      </c>
      <c r="Y109" s="35" t="str">
        <f aca="false">IF(G109="N/A","N/A",IF(X109="","No data",INDEX(Config!$B$5:$B$9,X109)))</f>
        <v>Medium-High</v>
      </c>
      <c r="Z109" s="7" t="str">
        <f aca="false">IF(U109=0,"None",IF(W109="Y","Applied","Pending HO approval"))</f>
        <v>None</v>
      </c>
      <c r="AA109" s="12" t="str">
        <f aca="false">INDEX('Risk Taxonomy'!$G$5:$G$24,MATCH(D109,'Risk Taxonomy'!$A$5:$A$24,0))</f>
        <v>Zero tolerance</v>
      </c>
      <c r="AB109" s="7" t="str">
        <f aca="false">INDEX('Risk Taxonomy'!$H$5:$H$24,MATCH(D109,'Risk Taxonomy'!$A$5:$A$24,0))</f>
        <v>Low</v>
      </c>
      <c r="AC109" s="35" t="str">
        <f aca="false">IF(NOT(ISNUMBER(X109)),"",IF(X109&lt;=MATCH(AB109,Config!$B$5:$B$9,0),"Within",IF(OR(X109-MATCH(AB109,Config!$B$5:$B$9,0)&gt;=2,AND('Residual Config'!$C$8="Y",ISNUMBER(SEARCH("Zero",AA109)))),"Red","Amber")))</f>
        <v>Red</v>
      </c>
      <c r="AD109" s="12" t="str">
        <f aca="false">IF(AC109="Red","Group CCO / CRO and Country CEO within 2 business days; action plan in 15 days; report to Board Risk &amp; Compliance Committee",IF(AC109="Amber","Country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10" customFormat="false" ht="15" hidden="false" customHeight="false" outlineLevel="0" collapsed="false">
      <c r="A110" s="26" t="str">
        <f aca="false">Entities!$A$10</f>
        <v>PS</v>
      </c>
      <c r="B110" s="12" t="str">
        <f aca="false">INDEX(Entities!$B$5:$B$34,MATCH(A110,Entities!$A$5:$A$34,0))</f>
        <v>Arab Bank – Palestine</v>
      </c>
      <c r="C110" s="12" t="str">
        <f aca="false">INDEX(Entities!$D$5:$D$34,MATCH(A110,Entities!$A$5:$A$34,0))</f>
        <v>Levant</v>
      </c>
      <c r="D110" s="12" t="s">
        <v>278</v>
      </c>
      <c r="E110" s="12" t="str">
        <f aca="false">INDEX('Risk Taxonomy'!$B$5:$B$24,MATCH(D110,'Risk Taxonomy'!$A$5:$A$24,0))</f>
        <v>Fraud</v>
      </c>
      <c r="F110" s="29" t="n">
        <f aca="false">IF(NOT(ISNUMBER(G110)),"",IFERROR(IF(MATCH(SUMIFS('FC Calculation'!$N$5:$N$214,'FC Calculation'!$A$5:$A$214,A110,'FC Calculation'!$D$5:$D$214,D110),Config!$D$5:$D$9,1)=G110,SUMIFS('FC Calculation'!$N$5:$N$214,'FC Calculation'!$A$5:$A$214,A110,'FC Calculation'!$D$5:$D$214,D110),G110),G110))</f>
        <v>4.075</v>
      </c>
      <c r="G110" s="34" t="n">
        <f aca="false">IF(COUNTIFS('FC Calculation'!$A$5:$A$214,A110,'FC Calculation'!$D$5:$D$214,D110,'FC Calculation'!$T$5:$T$214,"&gt;0")=0,"",SUMIFS('FC Calculation'!$T$5:$T$214,'FC Calculation'!$A$5:$A$214,A110,'FC Calculation'!$D$5:$D$214,D110))</f>
        <v>4</v>
      </c>
      <c r="H110" s="7" t="str">
        <f aca="false">IF(G110="N/A","N/A",IF(G110="","No data",INDEX(Config!$B$5:$B$9,G110)))</f>
        <v>Medium-High</v>
      </c>
      <c r="I110" s="31" t="n">
        <f aca="false">IF(NOT(ISNUMBER($G110)),"",SUMPRODUCT(('Control Mapping'!$C$5:$C$83=D110)*('Control Mapping'!$L$5:$L$83&gt;0)))</f>
        <v>6</v>
      </c>
      <c r="J110" s="31" t="n">
        <f aca="false">IF(NOT(ISNUMBER($G110)),"",SUMPRODUCT(('Control Mapping'!$C$5:$C$83=D110)*('Control Mapping'!$F$5:$F$83="Y")*('Control Mapping'!$L$5:$L$83&gt;0)))</f>
        <v>5</v>
      </c>
      <c r="K110" s="31" t="n">
        <f aca="false">IF(NOT(ISNUMBER($G110)),"",SUMPRODUCT(('Control Mapping'!$C$5:$C$83=D110)*('Control Mapping'!$F$5:$F$83="Y")*('Control Mapping'!$L$5:$L$83=4)))</f>
        <v>0</v>
      </c>
      <c r="L110" s="29" t="n">
        <f aca="false">IF(NOT(ISNUMBER($G110)),"",IFERROR(SUMPRODUCT(('Control Mapping'!$C$5:$C$83=D110)*'Control Mapping'!$E$5:$E$83*'Control Mapping'!$L$5:$L$83)/SUMPRODUCT(('Control Mapping'!$C$5:$C$83=D110)*'Control Mapping'!$E$5:$E$83*('Control Mapping'!$L$5:$L$83&gt;0)),""))</f>
        <v>2.4</v>
      </c>
      <c r="M110" s="34" t="n">
        <f aca="false">IF(NOT(ISNUMBER($G110)),"",IF(J110=0,4,MAX(MATCH(L110,'Residual Config'!$E$11:$E$14,1),IF(K110&gt;0,'Residual Config'!$C$7,1))))</f>
        <v>2</v>
      </c>
      <c r="N110" s="7" t="str">
        <f aca="false">IF(NOT(ISNUMBER($G110)),"",IF(J110=0,"Ineffective (no key control)",INDEX('Residual Config'!$B$11:$B$14,M110)))</f>
        <v>Largely effective</v>
      </c>
      <c r="O110" s="36" t="n">
        <f aca="false">IF(NOT(ISNUMBER($G110)),"",IF(J110=0,0,SUMPRODUCT(('Control Mapping'!$C$5:$C$83=D110)*'Control Mapping'!$E$5:$E$83*(('Control Mapping'!$L$5:$L$83=1)*'Residual Config'!$D$11+('Control Mapping'!$L$5:$L$83=2)*'Residual Config'!$D$12+('Control Mapping'!$L$5:$L$83=3)*'Residual Config'!$D$13+('Control Mapping'!$L$5:$L$83=4)*'Residual Config'!$D$14))/SUMPRODUCT(('Control Mapping'!$C$5:$C$83=D110)*'Control Mapping'!$E$5:$E$83*('Control Mapping'!$L$5:$L$83&gt;0))))</f>
        <v>0.32</v>
      </c>
      <c r="P110" s="31" t="n">
        <f aca="false">IF(NOT(ISNUMBER($G110)),"",INDEX('Residual Config'!$B$19:$E$23,6-G110,M110))</f>
        <v>3</v>
      </c>
      <c r="Q110" s="29" t="n">
        <f aca="false">IF(NOT(ISNUMBER($G110)),"",MAX(1,F110*(1-O110)))</f>
        <v>2.771</v>
      </c>
      <c r="R110" s="31" t="n">
        <f aca="false">IF(NOT(ISNUMBER($G110)),"",MAX(MATCH(Q110,Config!$D$5:$D$9,1),G110-'Residual Config'!$C$6))</f>
        <v>3</v>
      </c>
      <c r="S110" s="34" t="n">
        <f aca="false">IF(NOT(ISNUMBER($G110)),"",IF('Residual Config'!$C$5="Numeric",R110,P110))</f>
        <v>3</v>
      </c>
      <c r="T110" s="7" t="str">
        <f aca="false">IF(G110="N/A","N/A",IF(S110="","No data",INDEX(Config!$B$5:$B$9,S110)))</f>
        <v>Medium</v>
      </c>
      <c r="U110" s="32" t="n">
        <v>0</v>
      </c>
      <c r="V110" s="8"/>
      <c r="W110" s="33"/>
      <c r="X110" s="34" t="n">
        <f aca="false">IF(S110="","",IF(AND(W110="Y",U110&lt;&gt;0),MAX(1,MIN(5,S110+MAX(-Config!$C$27,MIN(Config!$C$27,U110)))),S110))</f>
        <v>3</v>
      </c>
      <c r="Y110" s="35" t="str">
        <f aca="false">IF(G110="N/A","N/A",IF(X110="","No data",INDEX(Config!$B$5:$B$9,X110)))</f>
        <v>Medium</v>
      </c>
      <c r="Z110" s="7" t="str">
        <f aca="false">IF(U110=0,"None",IF(W110="Y","Applied","Pending HO approval"))</f>
        <v>None</v>
      </c>
      <c r="AA110" s="12" t="str">
        <f aca="false">INDEX('Risk Taxonomy'!$G$5:$G$24,MATCH(D110,'Risk Taxonomy'!$A$5:$A$24,0))</f>
        <v>Low</v>
      </c>
      <c r="AB110" s="7" t="str">
        <f aca="false">INDEX('Risk Taxonomy'!$H$5:$H$24,MATCH(D110,'Risk Taxonomy'!$A$5:$A$24,0))</f>
        <v>Medium</v>
      </c>
      <c r="AC110" s="35" t="str">
        <f aca="false">IF(NOT(ISNUMBER(X110)),"",IF(X110&lt;=MATCH(AB110,Config!$B$5:$B$9,0),"Within",IF(OR(X110-MATCH(AB110,Config!$B$5:$B$9,0)&gt;=2,AND('Residual Config'!$C$8="Y",ISNUMBER(SEARCH("Zero",AA110)))),"Red","Amber")))</f>
        <v>Within</v>
      </c>
      <c r="AD110" s="12" t="str">
        <f aca="false">IF(AC110="Red","Group CCO / CRO and Country CEO within 2 business days; action plan in 15 days; report to Board Risk &amp; Compliance Committee",IF(AC110="Amber","Country CO, risk owner and HO Administrator within 5 business days; action plan in 30 days",""))</f>
        <v/>
      </c>
    </row>
    <row r="111" customFormat="false" ht="15" hidden="false" customHeight="false" outlineLevel="0" collapsed="false">
      <c r="A111" s="26" t="str">
        <f aca="false">Entities!$A$10</f>
        <v>PS</v>
      </c>
      <c r="B111" s="12" t="str">
        <f aca="false">INDEX(Entities!$B$5:$B$34,MATCH(A111,Entities!$A$5:$A$34,0))</f>
        <v>Arab Bank – Palestine</v>
      </c>
      <c r="C111" s="12" t="str">
        <f aca="false">INDEX(Entities!$D$5:$D$34,MATCH(A111,Entities!$A$5:$A$34,0))</f>
        <v>Levant</v>
      </c>
      <c r="D111" s="12" t="s">
        <v>281</v>
      </c>
      <c r="E111" s="12" t="str">
        <f aca="false">INDEX('Risk Taxonomy'!$B$5:$B$24,MATCH(D111,'Risk Taxonomy'!$A$5:$A$24,0))</f>
        <v>Tax evasion and tax transparency</v>
      </c>
      <c r="F111" s="29" t="n">
        <f aca="false">IF(NOT(ISNUMBER(G111)),"",IFERROR(IF(MATCH(SUMIFS('FC Calculation'!$N$5:$N$214,'FC Calculation'!$A$5:$A$214,A111,'FC Calculation'!$D$5:$D$214,D111),Config!$D$5:$D$9,1)=G111,SUMIFS('FC Calculation'!$N$5:$N$214,'FC Calculation'!$A$5:$A$214,A111,'FC Calculation'!$D$5:$D$214,D111),G111),G111))</f>
        <v>3.94444444444444</v>
      </c>
      <c r="G111" s="34" t="n">
        <f aca="false">IF(COUNTIFS('FC Calculation'!$A$5:$A$214,A111,'FC Calculation'!$D$5:$D$214,D111,'FC Calculation'!$T$5:$T$214,"&gt;0")=0,"",SUMIFS('FC Calculation'!$T$5:$T$214,'FC Calculation'!$A$5:$A$214,A111,'FC Calculation'!$D$5:$D$214,D111))</f>
        <v>4</v>
      </c>
      <c r="H111" s="7" t="str">
        <f aca="false">IF(G111="N/A","N/A",IF(G111="","No data",INDEX(Config!$B$5:$B$9,G111)))</f>
        <v>Medium-High</v>
      </c>
      <c r="I111" s="31" t="n">
        <f aca="false">IF(NOT(ISNUMBER($G111)),"",SUMPRODUCT(('Control Mapping'!$C$5:$C$83=D111)*('Control Mapping'!$L$5:$L$83&gt;0)))</f>
        <v>5</v>
      </c>
      <c r="J111" s="31" t="n">
        <f aca="false">IF(NOT(ISNUMBER($G111)),"",SUMPRODUCT(('Control Mapping'!$C$5:$C$83=D111)*('Control Mapping'!$F$5:$F$83="Y")*('Control Mapping'!$L$5:$L$83&gt;0)))</f>
        <v>4</v>
      </c>
      <c r="K111" s="31" t="n">
        <f aca="false">IF(NOT(ISNUMBER($G111)),"",SUMPRODUCT(('Control Mapping'!$C$5:$C$83=D111)*('Control Mapping'!$F$5:$F$83="Y")*('Control Mapping'!$L$5:$L$83=4)))</f>
        <v>0</v>
      </c>
      <c r="L111" s="29" t="n">
        <f aca="false">IF(NOT(ISNUMBER($G111)),"",IFERROR(SUMPRODUCT(('Control Mapping'!$C$5:$C$83=D111)*'Control Mapping'!$E$5:$E$83*'Control Mapping'!$L$5:$L$83)/SUMPRODUCT(('Control Mapping'!$C$5:$C$83=D111)*'Control Mapping'!$E$5:$E$83*('Control Mapping'!$L$5:$L$83&gt;0)),""))</f>
        <v>2.77777777777778</v>
      </c>
      <c r="M111" s="34" t="n">
        <f aca="false">IF(NOT(ISNUMBER($G111)),"",IF(J111=0,4,MAX(MATCH(L111,'Residual Config'!$E$11:$E$14,1),IF(K111&gt;0,'Residual Config'!$C$7,1))))</f>
        <v>3</v>
      </c>
      <c r="N111" s="7" t="str">
        <f aca="false">IF(NOT(ISNUMBER($G111)),"",IF(J111=0,"Ineffective (no key control)",INDEX('Residual Config'!$B$11:$B$14,M111)))</f>
        <v>Partially effective</v>
      </c>
      <c r="O111" s="36" t="n">
        <f aca="false">IF(NOT(ISNUMBER($G111)),"",IF(J111=0,0,SUMPRODUCT(('Control Mapping'!$C$5:$C$83=D111)*'Control Mapping'!$E$5:$E$83*(('Control Mapping'!$L$5:$L$83=1)*'Residual Config'!$D$11+('Control Mapping'!$L$5:$L$83=2)*'Residual Config'!$D$12+('Control Mapping'!$L$5:$L$83=3)*'Residual Config'!$D$13+('Control Mapping'!$L$5:$L$83=4)*'Residual Config'!$D$14))/SUMPRODUCT(('Control Mapping'!$C$5:$C$83=D111)*'Control Mapping'!$E$5:$E$83*('Control Mapping'!$L$5:$L$83&gt;0))))</f>
        <v>0.244444444444444</v>
      </c>
      <c r="P111" s="31" t="n">
        <f aca="false">IF(NOT(ISNUMBER($G111)),"",INDEX('Residual Config'!$B$19:$E$23,6-G111,M111))</f>
        <v>4</v>
      </c>
      <c r="Q111" s="29" t="n">
        <f aca="false">IF(NOT(ISNUMBER($G111)),"",MAX(1,F111*(1-O111)))</f>
        <v>2.98024691358025</v>
      </c>
      <c r="R111" s="31" t="n">
        <f aca="false">IF(NOT(ISNUMBER($G111)),"",MAX(MATCH(Q111,Config!$D$5:$D$9,1),G111-'Residual Config'!$C$6))</f>
        <v>3</v>
      </c>
      <c r="S111" s="34" t="n">
        <f aca="false">IF(NOT(ISNUMBER($G111)),"",IF('Residual Config'!$C$5="Numeric",R111,P111))</f>
        <v>4</v>
      </c>
      <c r="T111" s="7" t="str">
        <f aca="false">IF(G111="N/A","N/A",IF(S111="","No data",INDEX(Config!$B$5:$B$9,S111)))</f>
        <v>Medium-High</v>
      </c>
      <c r="U111" s="32" t="n">
        <v>0</v>
      </c>
      <c r="V111" s="8"/>
      <c r="W111" s="33"/>
      <c r="X111" s="34" t="n">
        <f aca="false">IF(S111="","",IF(AND(W111="Y",U111&lt;&gt;0),MAX(1,MIN(5,S111+MAX(-Config!$C$27,MIN(Config!$C$27,U111)))),S111))</f>
        <v>4</v>
      </c>
      <c r="Y111" s="35" t="str">
        <f aca="false">IF(G111="N/A","N/A",IF(X111="","No data",INDEX(Config!$B$5:$B$9,X111)))</f>
        <v>Medium-High</v>
      </c>
      <c r="Z111" s="7" t="str">
        <f aca="false">IF(U111=0,"None",IF(W111="Y","Applied","Pending HO approval"))</f>
        <v>None</v>
      </c>
      <c r="AA111" s="12" t="str">
        <f aca="false">INDEX('Risk Taxonomy'!$G$5:$G$24,MATCH(D111,'Risk Taxonomy'!$A$5:$A$24,0))</f>
        <v>Zero tolerance (facilitation)</v>
      </c>
      <c r="AB111" s="7" t="str">
        <f aca="false">INDEX('Risk Taxonomy'!$H$5:$H$24,MATCH(D111,'Risk Taxonomy'!$A$5:$A$24,0))</f>
        <v>Low</v>
      </c>
      <c r="AC111" s="35" t="str">
        <f aca="false">IF(NOT(ISNUMBER(X111)),"",IF(X111&lt;=MATCH(AB111,Config!$B$5:$B$9,0),"Within",IF(OR(X111-MATCH(AB111,Config!$B$5:$B$9,0)&gt;=2,AND('Residual Config'!$C$8="Y",ISNUMBER(SEARCH("Zero",AA111)))),"Red","Amber")))</f>
        <v>Red</v>
      </c>
      <c r="AD111" s="12" t="str">
        <f aca="false">IF(AC111="Red","Group CCO / CRO and Country CEO within 2 business days; action plan in 15 days; report to Board Risk &amp; Compliance Committee",IF(AC111="Amber","Country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12" customFormat="false" ht="15" hidden="false" customHeight="false" outlineLevel="0" collapsed="false">
      <c r="A112" s="26" t="str">
        <f aca="false">Entities!$A$10</f>
        <v>PS</v>
      </c>
      <c r="B112" s="12" t="str">
        <f aca="false">INDEX(Entities!$B$5:$B$34,MATCH(A112,Entities!$A$5:$A$34,0))</f>
        <v>Arab Bank – Palestine</v>
      </c>
      <c r="C112" s="12" t="str">
        <f aca="false">INDEX(Entities!$D$5:$D$34,MATCH(A112,Entities!$A$5:$A$34,0))</f>
        <v>Levant</v>
      </c>
      <c r="D112" s="12" t="s">
        <v>284</v>
      </c>
      <c r="E112" s="12" t="str">
        <f aca="false">INDEX('Risk Taxonomy'!$B$5:$B$24,MATCH(D112,'Risk Taxonomy'!$A$5:$A$24,0))</f>
        <v>Regulatory compliance</v>
      </c>
      <c r="F112" s="29" t="n">
        <f aca="false">IF(NOT(ISNUMBER(G112)),"",G112)</f>
        <v>5</v>
      </c>
      <c r="G112" s="34" t="n">
        <f aca="false">IF(COUNTIFS('LxI Assessment'!$A$5:$A$394,A112,'LxI Assessment'!$D$5:$D$394,D112,'LxI Assessment'!$F$5:$F$394,"N/A")&gt;0,"N/A",IF(COUNTIFS('LxI Assessment'!$A$5:$A$394,A112,'LxI Assessment'!$D$5:$D$394,D112,'LxI Assessment'!$S$5:$S$394,"&gt;0")=0,"",SUMIFS('LxI Assessment'!$S$5:$S$394,'LxI Assessment'!$A$5:$A$394,A112,'LxI Assessment'!$D$5:$D$394,D112)))</f>
        <v>5</v>
      </c>
      <c r="H112" s="7" t="str">
        <f aca="false">IF(G112="N/A","N/A",IF(G112="","No data",INDEX(Config!$B$5:$B$9,G112)))</f>
        <v>High</v>
      </c>
      <c r="I112" s="31" t="n">
        <f aca="false">IF(NOT(ISNUMBER($G112)),"",SUMPRODUCT(('Control Mapping'!$C$5:$C$83=D112)*('Control Mapping'!$L$5:$L$83&gt;0)))</f>
        <v>4</v>
      </c>
      <c r="J112" s="31" t="n">
        <f aca="false">IF(NOT(ISNUMBER($G112)),"",SUMPRODUCT(('Control Mapping'!$C$5:$C$83=D112)*('Control Mapping'!$F$5:$F$83="Y")*('Control Mapping'!$L$5:$L$83&gt;0)))</f>
        <v>3</v>
      </c>
      <c r="K112" s="31" t="n">
        <f aca="false">IF(NOT(ISNUMBER($G112)),"",SUMPRODUCT(('Control Mapping'!$C$5:$C$83=D112)*('Control Mapping'!$F$5:$F$83="Y")*('Control Mapping'!$L$5:$L$83=4)))</f>
        <v>0</v>
      </c>
      <c r="L112" s="29" t="n">
        <f aca="false">IF(NOT(ISNUMBER($G112)),"",IFERROR(SUMPRODUCT(('Control Mapping'!$C$5:$C$83=D112)*'Control Mapping'!$E$5:$E$83*'Control Mapping'!$L$5:$L$83)/SUMPRODUCT(('Control Mapping'!$C$5:$C$83=D112)*'Control Mapping'!$E$5:$E$83*('Control Mapping'!$L$5:$L$83&gt;0)),""))</f>
        <v>2.42857142857143</v>
      </c>
      <c r="M112" s="34" t="n">
        <f aca="false">IF(NOT(ISNUMBER($G112)),"",IF(J112=0,4,MAX(MATCH(L112,'Residual Config'!$E$11:$E$14,1),IF(K112&gt;0,'Residual Config'!$C$7,1))))</f>
        <v>2</v>
      </c>
      <c r="N112" s="7" t="str">
        <f aca="false">IF(NOT(ISNUMBER($G112)),"",IF(J112=0,"Ineffective (no key control)",INDEX('Residual Config'!$B$11:$B$14,M112)))</f>
        <v>Largely effective</v>
      </c>
      <c r="O112" s="36" t="n">
        <f aca="false">IF(NOT(ISNUMBER($G112)),"",IF(J112=0,0,SUMPRODUCT(('Control Mapping'!$C$5:$C$83=D112)*'Control Mapping'!$E$5:$E$83*(('Control Mapping'!$L$5:$L$83=1)*'Residual Config'!$D$11+('Control Mapping'!$L$5:$L$83=2)*'Residual Config'!$D$12+('Control Mapping'!$L$5:$L$83=3)*'Residual Config'!$D$13+('Control Mapping'!$L$5:$L$83=4)*'Residual Config'!$D$14))/SUMPRODUCT(('Control Mapping'!$C$5:$C$83=D112)*'Control Mapping'!$E$5:$E$83*('Control Mapping'!$L$5:$L$83&gt;0))))</f>
        <v>0.314285714285714</v>
      </c>
      <c r="P112" s="31" t="n">
        <f aca="false">IF(NOT(ISNUMBER($G112)),"",INDEX('Residual Config'!$B$19:$E$23,6-G112,M112))</f>
        <v>4</v>
      </c>
      <c r="Q112" s="29" t="n">
        <f aca="false">IF(NOT(ISNUMBER($G112)),"",MAX(1,F112*(1-O112)))</f>
        <v>3.42857142857143</v>
      </c>
      <c r="R112" s="31" t="n">
        <f aca="false">IF(NOT(ISNUMBER($G112)),"",MAX(MATCH(Q112,Config!$D$5:$D$9,1),G112-'Residual Config'!$C$6))</f>
        <v>4</v>
      </c>
      <c r="S112" s="34" t="n">
        <f aca="false">IF(NOT(ISNUMBER($G112)),"",IF('Residual Config'!$C$5="Numeric",R112,P112))</f>
        <v>4</v>
      </c>
      <c r="T112" s="7" t="str">
        <f aca="false">IF(G112="N/A","N/A",IF(S112="","No data",INDEX(Config!$B$5:$B$9,S112)))</f>
        <v>Medium-High</v>
      </c>
      <c r="U112" s="32" t="n">
        <v>0</v>
      </c>
      <c r="V112" s="8"/>
      <c r="W112" s="33"/>
      <c r="X112" s="34" t="n">
        <f aca="false">IF(S112="","",IF(AND(W112="Y",U112&lt;&gt;0),MAX(1,MIN(5,S112+MAX(-Config!$C$27,MIN(Config!$C$27,U112)))),S112))</f>
        <v>4</v>
      </c>
      <c r="Y112" s="35" t="str">
        <f aca="false">IF(G112="N/A","N/A",IF(X112="","No data",INDEX(Config!$B$5:$B$9,X112)))</f>
        <v>Medium-High</v>
      </c>
      <c r="Z112" s="7" t="str">
        <f aca="false">IF(U112=0,"None",IF(W112="Y","Applied","Pending HO approval"))</f>
        <v>None</v>
      </c>
      <c r="AA112" s="12" t="str">
        <f aca="false">INDEX('Risk Taxonomy'!$G$5:$G$24,MATCH(D112,'Risk Taxonomy'!$A$5:$A$24,0))</f>
        <v>Very low</v>
      </c>
      <c r="AB112" s="7" t="str">
        <f aca="false">INDEX('Risk Taxonomy'!$H$5:$H$24,MATCH(D112,'Risk Taxonomy'!$A$5:$A$24,0))</f>
        <v>Medium-Low</v>
      </c>
      <c r="AC112" s="35" t="str">
        <f aca="false">IF(NOT(ISNUMBER(X112)),"",IF(X112&lt;=MATCH(AB112,Config!$B$5:$B$9,0),"Within",IF(OR(X112-MATCH(AB112,Config!$B$5:$B$9,0)&gt;=2,AND('Residual Config'!$C$8="Y",ISNUMBER(SEARCH("Zero",AA112)))),"Red","Amber")))</f>
        <v>Red</v>
      </c>
      <c r="AD112" s="12" t="str">
        <f aca="false">IF(AC112="Red","Group CCO / CRO and Country CEO within 2 business days; action plan in 15 days; report to Board Risk &amp; Compliance Committee",IF(AC112="Amber","Country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13" customFormat="false" ht="15" hidden="false" customHeight="false" outlineLevel="0" collapsed="false">
      <c r="A113" s="26" t="str">
        <f aca="false">Entities!$A$10</f>
        <v>PS</v>
      </c>
      <c r="B113" s="12" t="str">
        <f aca="false">INDEX(Entities!$B$5:$B$34,MATCH(A113,Entities!$A$5:$A$34,0))</f>
        <v>Arab Bank – Palestine</v>
      </c>
      <c r="C113" s="12" t="str">
        <f aca="false">INDEX(Entities!$D$5:$D$34,MATCH(A113,Entities!$A$5:$A$34,0))</f>
        <v>Levant</v>
      </c>
      <c r="D113" s="12" t="s">
        <v>288</v>
      </c>
      <c r="E113" s="12" t="str">
        <f aca="false">INDEX('Risk Taxonomy'!$B$5:$B$24,MATCH(D113,'Risk Taxonomy'!$A$5:$A$24,0))</f>
        <v>Conduct and consumer protection</v>
      </c>
      <c r="F113" s="29" t="n">
        <f aca="false">IF(NOT(ISNUMBER(G113)),"",G113)</f>
        <v>2</v>
      </c>
      <c r="G113" s="34" t="n">
        <f aca="false">IF(COUNTIFS('LxI Assessment'!$A$5:$A$394,A113,'LxI Assessment'!$D$5:$D$394,D113,'LxI Assessment'!$F$5:$F$394,"N/A")&gt;0,"N/A",IF(COUNTIFS('LxI Assessment'!$A$5:$A$394,A113,'LxI Assessment'!$D$5:$D$394,D113,'LxI Assessment'!$S$5:$S$394,"&gt;0")=0,"",SUMIFS('LxI Assessment'!$S$5:$S$394,'LxI Assessment'!$A$5:$A$394,A113,'LxI Assessment'!$D$5:$D$394,D113)))</f>
        <v>2</v>
      </c>
      <c r="H113" s="7" t="str">
        <f aca="false">IF(G113="N/A","N/A",IF(G113="","No data",INDEX(Config!$B$5:$B$9,G113)))</f>
        <v>Medium-Low</v>
      </c>
      <c r="I113" s="31" t="n">
        <f aca="false">IF(NOT(ISNUMBER($G113)),"",SUMPRODUCT(('Control Mapping'!$C$5:$C$83=D113)*('Control Mapping'!$L$5:$L$83&gt;0)))</f>
        <v>2</v>
      </c>
      <c r="J113" s="31" t="n">
        <f aca="false">IF(NOT(ISNUMBER($G113)),"",SUMPRODUCT(('Control Mapping'!$C$5:$C$83=D113)*('Control Mapping'!$F$5:$F$83="Y")*('Control Mapping'!$L$5:$L$83&gt;0)))</f>
        <v>1</v>
      </c>
      <c r="K113" s="31" t="n">
        <f aca="false">IF(NOT(ISNUMBER($G113)),"",SUMPRODUCT(('Control Mapping'!$C$5:$C$83=D113)*('Control Mapping'!$F$5:$F$83="Y")*('Control Mapping'!$L$5:$L$83=4)))</f>
        <v>0</v>
      </c>
      <c r="L113" s="29" t="n">
        <f aca="false">IF(NOT(ISNUMBER($G113)),"",IFERROR(SUMPRODUCT(('Control Mapping'!$C$5:$C$83=D113)*'Control Mapping'!$E$5:$E$83*'Control Mapping'!$L$5:$L$83)/SUMPRODUCT(('Control Mapping'!$C$5:$C$83=D113)*'Control Mapping'!$E$5:$E$83*('Control Mapping'!$L$5:$L$83&gt;0)),""))</f>
        <v>2.6</v>
      </c>
      <c r="M113" s="34" t="n">
        <f aca="false">IF(NOT(ISNUMBER($G113)),"",IF(J113=0,4,MAX(MATCH(L113,'Residual Config'!$E$11:$E$14,1),IF(K113&gt;0,'Residual Config'!$C$7,1))))</f>
        <v>3</v>
      </c>
      <c r="N113" s="7" t="str">
        <f aca="false">IF(NOT(ISNUMBER($G113)),"",IF(J113=0,"Ineffective (no key control)",INDEX('Residual Config'!$B$11:$B$14,M113)))</f>
        <v>Partially effective</v>
      </c>
      <c r="O113" s="36" t="n">
        <f aca="false">IF(NOT(ISNUMBER($G113)),"",IF(J113=0,0,SUMPRODUCT(('Control Mapping'!$C$5:$C$83=D113)*'Control Mapping'!$E$5:$E$83*(('Control Mapping'!$L$5:$L$83=1)*'Residual Config'!$D$11+('Control Mapping'!$L$5:$L$83=2)*'Residual Config'!$D$12+('Control Mapping'!$L$5:$L$83=3)*'Residual Config'!$D$13+('Control Mapping'!$L$5:$L$83=4)*'Residual Config'!$D$14))/SUMPRODUCT(('Control Mapping'!$C$5:$C$83=D113)*'Control Mapping'!$E$5:$E$83*('Control Mapping'!$L$5:$L$83&gt;0))))</f>
        <v>0.28</v>
      </c>
      <c r="P113" s="31" t="n">
        <f aca="false">IF(NOT(ISNUMBER($G113)),"",INDEX('Residual Config'!$B$19:$E$23,6-G113,M113))</f>
        <v>2</v>
      </c>
      <c r="Q113" s="29" t="n">
        <f aca="false">IF(NOT(ISNUMBER($G113)),"",MAX(1,F113*(1-O113)))</f>
        <v>1.44</v>
      </c>
      <c r="R113" s="31" t="n">
        <f aca="false">IF(NOT(ISNUMBER($G113)),"",MAX(MATCH(Q113,Config!$D$5:$D$9,1),G113-'Residual Config'!$C$6))</f>
        <v>1</v>
      </c>
      <c r="S113" s="34" t="n">
        <f aca="false">IF(NOT(ISNUMBER($G113)),"",IF('Residual Config'!$C$5="Numeric",R113,P113))</f>
        <v>2</v>
      </c>
      <c r="T113" s="7" t="str">
        <f aca="false">IF(G113="N/A","N/A",IF(S113="","No data",INDEX(Config!$B$5:$B$9,S113)))</f>
        <v>Medium-Low</v>
      </c>
      <c r="U113" s="32" t="n">
        <v>0</v>
      </c>
      <c r="V113" s="8"/>
      <c r="W113" s="33"/>
      <c r="X113" s="34" t="n">
        <f aca="false">IF(S113="","",IF(AND(W113="Y",U113&lt;&gt;0),MAX(1,MIN(5,S113+MAX(-Config!$C$27,MIN(Config!$C$27,U113)))),S113))</f>
        <v>2</v>
      </c>
      <c r="Y113" s="35" t="str">
        <f aca="false">IF(G113="N/A","N/A",IF(X113="","No data",INDEX(Config!$B$5:$B$9,X113)))</f>
        <v>Medium-Low</v>
      </c>
      <c r="Z113" s="7" t="str">
        <f aca="false">IF(U113=0,"None",IF(W113="Y","Applied","Pending HO approval"))</f>
        <v>None</v>
      </c>
      <c r="AA113" s="12" t="str">
        <f aca="false">INDEX('Risk Taxonomy'!$G$5:$G$24,MATCH(D113,'Risk Taxonomy'!$A$5:$A$24,0))</f>
        <v>Low</v>
      </c>
      <c r="AB113" s="7" t="str">
        <f aca="false">INDEX('Risk Taxonomy'!$H$5:$H$24,MATCH(D113,'Risk Taxonomy'!$A$5:$A$24,0))</f>
        <v>Medium</v>
      </c>
      <c r="AC113" s="35" t="str">
        <f aca="false">IF(NOT(ISNUMBER(X113)),"",IF(X113&lt;=MATCH(AB113,Config!$B$5:$B$9,0),"Within",IF(OR(X113-MATCH(AB113,Config!$B$5:$B$9,0)&gt;=2,AND('Residual Config'!$C$8="Y",ISNUMBER(SEARCH("Zero",AA113)))),"Red","Amber")))</f>
        <v>Within</v>
      </c>
      <c r="AD113" s="12" t="str">
        <f aca="false">IF(AC113="Red","Group CCO / CRO and Country CEO within 2 business days; action plan in 15 days; report to Board Risk &amp; Compliance Committee",IF(AC113="Amber","Country CO, risk owner and HO Administrator within 5 business days; action plan in 30 days",""))</f>
        <v/>
      </c>
    </row>
    <row r="114" customFormat="false" ht="15" hidden="false" customHeight="false" outlineLevel="0" collapsed="false">
      <c r="A114" s="26" t="str">
        <f aca="false">Entities!$A$10</f>
        <v>PS</v>
      </c>
      <c r="B114" s="12" t="str">
        <f aca="false">INDEX(Entities!$B$5:$B$34,MATCH(A114,Entities!$A$5:$A$34,0))</f>
        <v>Arab Bank – Palestine</v>
      </c>
      <c r="C114" s="12" t="str">
        <f aca="false">INDEX(Entities!$D$5:$D$34,MATCH(A114,Entities!$A$5:$A$34,0))</f>
        <v>Levant</v>
      </c>
      <c r="D114" s="12" t="s">
        <v>290</v>
      </c>
      <c r="E114" s="12" t="str">
        <f aca="false">INDEX('Risk Taxonomy'!$B$5:$B$24,MATCH(D114,'Risk Taxonomy'!$A$5:$A$24,0))</f>
        <v>Data protection and privacy</v>
      </c>
      <c r="F114" s="29" t="n">
        <f aca="false">IF(NOT(ISNUMBER(G114)),"",G114)</f>
        <v>4</v>
      </c>
      <c r="G114" s="34" t="n">
        <f aca="false">IF(COUNTIFS('LxI Assessment'!$A$5:$A$394,A114,'LxI Assessment'!$D$5:$D$394,D114,'LxI Assessment'!$F$5:$F$394,"N/A")&gt;0,"N/A",IF(COUNTIFS('LxI Assessment'!$A$5:$A$394,A114,'LxI Assessment'!$D$5:$D$394,D114,'LxI Assessment'!$S$5:$S$394,"&gt;0")=0,"",SUMIFS('LxI Assessment'!$S$5:$S$394,'LxI Assessment'!$A$5:$A$394,A114,'LxI Assessment'!$D$5:$D$394,D114)))</f>
        <v>4</v>
      </c>
      <c r="H114" s="7" t="str">
        <f aca="false">IF(G114="N/A","N/A",IF(G114="","No data",INDEX(Config!$B$5:$B$9,G114)))</f>
        <v>Medium-High</v>
      </c>
      <c r="I114" s="31" t="n">
        <f aca="false">IF(NOT(ISNUMBER($G114)),"",SUMPRODUCT(('Control Mapping'!$C$5:$C$83=D114)*('Control Mapping'!$L$5:$L$83&gt;0)))</f>
        <v>2</v>
      </c>
      <c r="J114" s="31" t="n">
        <f aca="false">IF(NOT(ISNUMBER($G114)),"",SUMPRODUCT(('Control Mapping'!$C$5:$C$83=D114)*('Control Mapping'!$F$5:$F$83="Y")*('Control Mapping'!$L$5:$L$83&gt;0)))</f>
        <v>2</v>
      </c>
      <c r="K114" s="31" t="n">
        <f aca="false">IF(NOT(ISNUMBER($G114)),"",SUMPRODUCT(('Control Mapping'!$C$5:$C$83=D114)*('Control Mapping'!$F$5:$F$83="Y")*('Control Mapping'!$L$5:$L$83=4)))</f>
        <v>0</v>
      </c>
      <c r="L114" s="29" t="n">
        <f aca="false">IF(NOT(ISNUMBER($G114)),"",IFERROR(SUMPRODUCT(('Control Mapping'!$C$5:$C$83=D114)*'Control Mapping'!$E$5:$E$83*'Control Mapping'!$L$5:$L$83)/SUMPRODUCT(('Control Mapping'!$C$5:$C$83=D114)*'Control Mapping'!$E$5:$E$83*('Control Mapping'!$L$5:$L$83&gt;0)),""))</f>
        <v>2.5</v>
      </c>
      <c r="M114" s="34" t="n">
        <f aca="false">IF(NOT(ISNUMBER($G114)),"",IF(J114=0,4,MAX(MATCH(L114,'Residual Config'!$E$11:$E$14,1),IF(K114&gt;0,'Residual Config'!$C$7,1))))</f>
        <v>3</v>
      </c>
      <c r="N114" s="7" t="str">
        <f aca="false">IF(NOT(ISNUMBER($G114)),"",IF(J114=0,"Ineffective (no key control)",INDEX('Residual Config'!$B$11:$B$14,M114)))</f>
        <v>Partially effective</v>
      </c>
      <c r="O114" s="36" t="n">
        <f aca="false">IF(NOT(ISNUMBER($G114)),"",IF(J114=0,0,SUMPRODUCT(('Control Mapping'!$C$5:$C$83=D114)*'Control Mapping'!$E$5:$E$83*(('Control Mapping'!$L$5:$L$83=1)*'Residual Config'!$D$11+('Control Mapping'!$L$5:$L$83=2)*'Residual Config'!$D$12+('Control Mapping'!$L$5:$L$83=3)*'Residual Config'!$D$13+('Control Mapping'!$L$5:$L$83=4)*'Residual Config'!$D$14))/SUMPRODUCT(('Control Mapping'!$C$5:$C$83=D114)*'Control Mapping'!$E$5:$E$83*('Control Mapping'!$L$5:$L$83&gt;0))))</f>
        <v>0.3</v>
      </c>
      <c r="P114" s="31" t="n">
        <f aca="false">IF(NOT(ISNUMBER($G114)),"",INDEX('Residual Config'!$B$19:$E$23,6-G114,M114))</f>
        <v>4</v>
      </c>
      <c r="Q114" s="29" t="n">
        <f aca="false">IF(NOT(ISNUMBER($G114)),"",MAX(1,F114*(1-O114)))</f>
        <v>2.8</v>
      </c>
      <c r="R114" s="31" t="n">
        <f aca="false">IF(NOT(ISNUMBER($G114)),"",MAX(MATCH(Q114,Config!$D$5:$D$9,1),G114-'Residual Config'!$C$6))</f>
        <v>3</v>
      </c>
      <c r="S114" s="34" t="n">
        <f aca="false">IF(NOT(ISNUMBER($G114)),"",IF('Residual Config'!$C$5="Numeric",R114,P114))</f>
        <v>4</v>
      </c>
      <c r="T114" s="7" t="str">
        <f aca="false">IF(G114="N/A","N/A",IF(S114="","No data",INDEX(Config!$B$5:$B$9,S114)))</f>
        <v>Medium-High</v>
      </c>
      <c r="U114" s="32" t="n">
        <v>0</v>
      </c>
      <c r="V114" s="8"/>
      <c r="W114" s="33"/>
      <c r="X114" s="34" t="n">
        <f aca="false">IF(S114="","",IF(AND(W114="Y",U114&lt;&gt;0),MAX(1,MIN(5,S114+MAX(-Config!$C$27,MIN(Config!$C$27,U114)))),S114))</f>
        <v>4</v>
      </c>
      <c r="Y114" s="35" t="str">
        <f aca="false">IF(G114="N/A","N/A",IF(X114="","No data",INDEX(Config!$B$5:$B$9,X114)))</f>
        <v>Medium-High</v>
      </c>
      <c r="Z114" s="7" t="str">
        <f aca="false">IF(U114=0,"None",IF(W114="Y","Applied","Pending HO approval"))</f>
        <v>None</v>
      </c>
      <c r="AA114" s="12" t="str">
        <f aca="false">INDEX('Risk Taxonomy'!$G$5:$G$24,MATCH(D114,'Risk Taxonomy'!$A$5:$A$24,0))</f>
        <v>Very low</v>
      </c>
      <c r="AB114" s="7" t="str">
        <f aca="false">INDEX('Risk Taxonomy'!$H$5:$H$24,MATCH(D114,'Risk Taxonomy'!$A$5:$A$24,0))</f>
        <v>Medium-Low</v>
      </c>
      <c r="AC114" s="35" t="str">
        <f aca="false">IF(NOT(ISNUMBER(X114)),"",IF(X114&lt;=MATCH(AB114,Config!$B$5:$B$9,0),"Within",IF(OR(X114-MATCH(AB114,Config!$B$5:$B$9,0)&gt;=2,AND('Residual Config'!$C$8="Y",ISNUMBER(SEARCH("Zero",AA114)))),"Red","Amber")))</f>
        <v>Red</v>
      </c>
      <c r="AD114" s="12" t="str">
        <f aca="false">IF(AC114="Red","Group CCO / CRO and Country CEO within 2 business days; action plan in 15 days; report to Board Risk &amp; Compliance Committee",IF(AC114="Amber","Country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15" customFormat="false" ht="15" hidden="false" customHeight="false" outlineLevel="0" collapsed="false">
      <c r="A115" s="26" t="str">
        <f aca="false">Entities!$A$10</f>
        <v>PS</v>
      </c>
      <c r="B115" s="12" t="str">
        <f aca="false">INDEX(Entities!$B$5:$B$34,MATCH(A115,Entities!$A$5:$A$34,0))</f>
        <v>Arab Bank – Palestine</v>
      </c>
      <c r="C115" s="12" t="str">
        <f aca="false">INDEX(Entities!$D$5:$D$34,MATCH(A115,Entities!$A$5:$A$34,0))</f>
        <v>Levant</v>
      </c>
      <c r="D115" s="12" t="s">
        <v>293</v>
      </c>
      <c r="E115" s="12" t="str">
        <f aca="false">INDEX('Risk Taxonomy'!$B$5:$B$24,MATCH(D115,'Risk Taxonomy'!$A$5:$A$24,0))</f>
        <v>Shariah non-compliance</v>
      </c>
      <c r="F115" s="29" t="str">
        <f aca="false">IF(NOT(ISNUMBER(G115)),"",G115)</f>
        <v/>
      </c>
      <c r="G115" s="34" t="str">
        <f aca="false">IF(COUNTIFS('LxI Assessment'!$A$5:$A$394,A115,'LxI Assessment'!$D$5:$D$394,D115,'LxI Assessment'!$F$5:$F$394,"N/A")&gt;0,"N/A",IF(COUNTIFS('LxI Assessment'!$A$5:$A$394,A115,'LxI Assessment'!$D$5:$D$394,D115,'LxI Assessment'!$S$5:$S$394,"&gt;0")=0,"",SUMIFS('LxI Assessment'!$S$5:$S$394,'LxI Assessment'!$A$5:$A$394,A115,'LxI Assessment'!$D$5:$D$394,D115)))</f>
        <v>N/A</v>
      </c>
      <c r="H115" s="7" t="str">
        <f aca="false">IF(G115="N/A","N/A",IF(G115="","No data",INDEX(Config!$B$5:$B$9,G115)))</f>
        <v>N/A</v>
      </c>
      <c r="I115" s="31" t="str">
        <f aca="false">IF(NOT(ISNUMBER($G115)),"",SUMPRODUCT(('Control Mapping'!$C$5:$C$83=D115)*('Control Mapping'!$L$5:$L$83&gt;0)))</f>
        <v/>
      </c>
      <c r="J115" s="31" t="str">
        <f aca="false">IF(NOT(ISNUMBER($G115)),"",SUMPRODUCT(('Control Mapping'!$C$5:$C$83=D115)*('Control Mapping'!$F$5:$F$83="Y")*('Control Mapping'!$L$5:$L$83&gt;0)))</f>
        <v/>
      </c>
      <c r="K115" s="31" t="str">
        <f aca="false">IF(NOT(ISNUMBER($G115)),"",SUMPRODUCT(('Control Mapping'!$C$5:$C$83=D115)*('Control Mapping'!$F$5:$F$83="Y")*('Control Mapping'!$L$5:$L$83=4)))</f>
        <v/>
      </c>
      <c r="L115" s="29" t="str">
        <f aca="false">IF(NOT(ISNUMBER($G115)),"",IFERROR(SUMPRODUCT(('Control Mapping'!$C$5:$C$83=D115)*'Control Mapping'!$E$5:$E$83*'Control Mapping'!$L$5:$L$83)/SUMPRODUCT(('Control Mapping'!$C$5:$C$83=D115)*'Control Mapping'!$E$5:$E$83*('Control Mapping'!$L$5:$L$83&gt;0)),""))</f>
        <v/>
      </c>
      <c r="M115" s="34" t="str">
        <f aca="false">IF(NOT(ISNUMBER($G115)),"",IF(J115=0,4,MAX(MATCH(L115,'Residual Config'!$E$11:$E$14,1),IF(K115&gt;0,'Residual Config'!$C$7,1))))</f>
        <v/>
      </c>
      <c r="N115" s="7" t="str">
        <f aca="false">IF(NOT(ISNUMBER($G115)),"",IF(J115=0,"Ineffective (no key control)",INDEX('Residual Config'!$B$11:$B$14,M115)))</f>
        <v/>
      </c>
      <c r="O115" s="36" t="str">
        <f aca="false">IF(NOT(ISNUMBER($G115)),"",IF(J115=0,0,SUMPRODUCT(('Control Mapping'!$C$5:$C$83=D115)*'Control Mapping'!$E$5:$E$83*(('Control Mapping'!$L$5:$L$83=1)*'Residual Config'!$D$11+('Control Mapping'!$L$5:$L$83=2)*'Residual Config'!$D$12+('Control Mapping'!$L$5:$L$83=3)*'Residual Config'!$D$13+('Control Mapping'!$L$5:$L$83=4)*'Residual Config'!$D$14))/SUMPRODUCT(('Control Mapping'!$C$5:$C$83=D115)*'Control Mapping'!$E$5:$E$83*('Control Mapping'!$L$5:$L$83&gt;0))))</f>
        <v/>
      </c>
      <c r="P115" s="31" t="str">
        <f aca="false">IF(NOT(ISNUMBER($G115)),"",INDEX('Residual Config'!$B$19:$E$23,6-G115,M115))</f>
        <v/>
      </c>
      <c r="Q115" s="29" t="str">
        <f aca="false">IF(NOT(ISNUMBER($G115)),"",MAX(1,F115*(1-O115)))</f>
        <v/>
      </c>
      <c r="R115" s="31" t="str">
        <f aca="false">IF(NOT(ISNUMBER($G115)),"",MAX(MATCH(Q115,Config!$D$5:$D$9,1),G115-'Residual Config'!$C$6))</f>
        <v/>
      </c>
      <c r="S115" s="34" t="str">
        <f aca="false">IF(NOT(ISNUMBER($G115)),"",IF('Residual Config'!$C$5="Numeric",R115,P115))</f>
        <v/>
      </c>
      <c r="T115" s="7" t="str">
        <f aca="false">IF(G115="N/A","N/A",IF(S115="","No data",INDEX(Config!$B$5:$B$9,S115)))</f>
        <v>N/A</v>
      </c>
      <c r="U115" s="32" t="n">
        <v>0</v>
      </c>
      <c r="V115" s="8"/>
      <c r="W115" s="33"/>
      <c r="X115" s="34" t="str">
        <f aca="false">IF(S115="","",IF(AND(W115="Y",U115&lt;&gt;0),MAX(1,MIN(5,S115+MAX(-Config!$C$27,MIN(Config!$C$27,U115)))),S115))</f>
        <v/>
      </c>
      <c r="Y115" s="35" t="str">
        <f aca="false">IF(G115="N/A","N/A",IF(X115="","No data",INDEX(Config!$B$5:$B$9,X115)))</f>
        <v>N/A</v>
      </c>
      <c r="Z115" s="7" t="str">
        <f aca="false">IF(U115=0,"None",IF(W115="Y","Applied","Pending HO approval"))</f>
        <v>None</v>
      </c>
      <c r="AA115" s="12" t="str">
        <f aca="false">INDEX('Risk Taxonomy'!$G$5:$G$24,MATCH(D115,'Risk Taxonomy'!$A$5:$A$24,0))</f>
        <v>Very low</v>
      </c>
      <c r="AB115" s="7" t="str">
        <f aca="false">INDEX('Risk Taxonomy'!$H$5:$H$24,MATCH(D115,'Risk Taxonomy'!$A$5:$A$24,0))</f>
        <v>Medium-Low</v>
      </c>
      <c r="AC115" s="35" t="str">
        <f aca="false">IF(NOT(ISNUMBER(X115)),"",IF(X115&lt;=MATCH(AB115,Config!$B$5:$B$9,0),"Within",IF(OR(X115-MATCH(AB115,Config!$B$5:$B$9,0)&gt;=2,AND('Residual Config'!$C$8="Y",ISNUMBER(SEARCH("Zero",AA115)))),"Red","Amber")))</f>
        <v/>
      </c>
      <c r="AD115" s="12" t="str">
        <f aca="false">IF(AC115="Red","Group CCO / CRO and Country CEO within 2 business days; action plan in 15 days; report to Board Risk &amp; Compliance Committee",IF(AC115="Amber","Country CO, risk owner and HO Administrator within 5 business days; action plan in 30 days",""))</f>
        <v/>
      </c>
    </row>
    <row r="116" customFormat="false" ht="15" hidden="false" customHeight="false" outlineLevel="0" collapsed="false">
      <c r="A116" s="26" t="str">
        <f aca="false">Entities!$A$10</f>
        <v>PS</v>
      </c>
      <c r="B116" s="12" t="str">
        <f aca="false">INDEX(Entities!$B$5:$B$34,MATCH(A116,Entities!$A$5:$A$34,0))</f>
        <v>Arab Bank – Palestine</v>
      </c>
      <c r="C116" s="12" t="str">
        <f aca="false">INDEX(Entities!$D$5:$D$34,MATCH(A116,Entities!$A$5:$A$34,0))</f>
        <v>Levant</v>
      </c>
      <c r="D116" s="12" t="s">
        <v>297</v>
      </c>
      <c r="E116" s="12" t="str">
        <f aca="false">INDEX('Risk Taxonomy'!$B$5:$B$24,MATCH(D116,'Risk Taxonomy'!$A$5:$A$24,0))</f>
        <v>Credit risk</v>
      </c>
      <c r="F116" s="29" t="n">
        <f aca="false">IF(NOT(ISNUMBER(G116)),"",G116)</f>
        <v>5</v>
      </c>
      <c r="G116" s="34" t="n">
        <f aca="false">IF(COUNTIFS('LxI Assessment'!$A$5:$A$394,A116,'LxI Assessment'!$D$5:$D$394,D116,'LxI Assessment'!$F$5:$F$394,"N/A")&gt;0,"N/A",IF(COUNTIFS('LxI Assessment'!$A$5:$A$394,A116,'LxI Assessment'!$D$5:$D$394,D116,'LxI Assessment'!$S$5:$S$394,"&gt;0")=0,"",SUMIFS('LxI Assessment'!$S$5:$S$394,'LxI Assessment'!$A$5:$A$394,A116,'LxI Assessment'!$D$5:$D$394,D116)))</f>
        <v>5</v>
      </c>
      <c r="H116" s="7" t="str">
        <f aca="false">IF(G116="N/A","N/A",IF(G116="","No data",INDEX(Config!$B$5:$B$9,G116)))</f>
        <v>High</v>
      </c>
      <c r="I116" s="31" t="n">
        <f aca="false">IF(NOT(ISNUMBER($G116)),"",SUMPRODUCT(('Control Mapping'!$C$5:$C$83=D116)*('Control Mapping'!$L$5:$L$83&gt;0)))</f>
        <v>2</v>
      </c>
      <c r="J116" s="31" t="n">
        <f aca="false">IF(NOT(ISNUMBER($G116)),"",SUMPRODUCT(('Control Mapping'!$C$5:$C$83=D116)*('Control Mapping'!$F$5:$F$83="Y")*('Control Mapping'!$L$5:$L$83&gt;0)))</f>
        <v>1</v>
      </c>
      <c r="K116" s="31" t="n">
        <f aca="false">IF(NOT(ISNUMBER($G116)),"",SUMPRODUCT(('Control Mapping'!$C$5:$C$83=D116)*('Control Mapping'!$F$5:$F$83="Y")*('Control Mapping'!$L$5:$L$83=4)))</f>
        <v>0</v>
      </c>
      <c r="L116" s="29" t="n">
        <f aca="false">IF(NOT(ISNUMBER($G116)),"",IFERROR(SUMPRODUCT(('Control Mapping'!$C$5:$C$83=D116)*'Control Mapping'!$E$5:$E$83*'Control Mapping'!$L$5:$L$83)/SUMPRODUCT(('Control Mapping'!$C$5:$C$83=D116)*'Control Mapping'!$E$5:$E$83*('Control Mapping'!$L$5:$L$83&gt;0)),""))</f>
        <v>2</v>
      </c>
      <c r="M116" s="34" t="n">
        <f aca="false">IF(NOT(ISNUMBER($G116)),"",IF(J116=0,4,MAX(MATCH(L116,'Residual Config'!$E$11:$E$14,1),IF(K116&gt;0,'Residual Config'!$C$7,1))))</f>
        <v>2</v>
      </c>
      <c r="N116" s="7" t="str">
        <f aca="false">IF(NOT(ISNUMBER($G116)),"",IF(J116=0,"Ineffective (no key control)",INDEX('Residual Config'!$B$11:$B$14,M116)))</f>
        <v>Largely effective</v>
      </c>
      <c r="O116" s="36" t="n">
        <f aca="false">IF(NOT(ISNUMBER($G116)),"",IF(J116=0,0,SUMPRODUCT(('Control Mapping'!$C$5:$C$83=D116)*'Control Mapping'!$E$5:$E$83*(('Control Mapping'!$L$5:$L$83=1)*'Residual Config'!$D$11+('Control Mapping'!$L$5:$L$83=2)*'Residual Config'!$D$12+('Control Mapping'!$L$5:$L$83=3)*'Residual Config'!$D$13+('Control Mapping'!$L$5:$L$83=4)*'Residual Config'!$D$14))/SUMPRODUCT(('Control Mapping'!$C$5:$C$83=D116)*'Control Mapping'!$E$5:$E$83*('Control Mapping'!$L$5:$L$83&gt;0))))</f>
        <v>0.4</v>
      </c>
      <c r="P116" s="31" t="n">
        <f aca="false">IF(NOT(ISNUMBER($G116)),"",INDEX('Residual Config'!$B$19:$E$23,6-G116,M116))</f>
        <v>4</v>
      </c>
      <c r="Q116" s="29" t="n">
        <f aca="false">IF(NOT(ISNUMBER($G116)),"",MAX(1,F116*(1-O116)))</f>
        <v>3</v>
      </c>
      <c r="R116" s="31" t="n">
        <f aca="false">IF(NOT(ISNUMBER($G116)),"",MAX(MATCH(Q116,Config!$D$5:$D$9,1),G116-'Residual Config'!$C$6))</f>
        <v>3</v>
      </c>
      <c r="S116" s="34" t="n">
        <f aca="false">IF(NOT(ISNUMBER($G116)),"",IF('Residual Config'!$C$5="Numeric",R116,P116))</f>
        <v>4</v>
      </c>
      <c r="T116" s="7" t="str">
        <f aca="false">IF(G116="N/A","N/A",IF(S116="","No data",INDEX(Config!$B$5:$B$9,S116)))</f>
        <v>Medium-High</v>
      </c>
      <c r="U116" s="32" t="n">
        <v>0</v>
      </c>
      <c r="V116" s="8"/>
      <c r="W116" s="33"/>
      <c r="X116" s="34" t="n">
        <f aca="false">IF(S116="","",IF(AND(W116="Y",U116&lt;&gt;0),MAX(1,MIN(5,S116+MAX(-Config!$C$27,MIN(Config!$C$27,U116)))),S116))</f>
        <v>4</v>
      </c>
      <c r="Y116" s="35" t="str">
        <f aca="false">IF(G116="N/A","N/A",IF(X116="","No data",INDEX(Config!$B$5:$B$9,X116)))</f>
        <v>Medium-High</v>
      </c>
      <c r="Z116" s="7" t="str">
        <f aca="false">IF(U116=0,"None",IF(W116="Y","Applied","Pending HO approval"))</f>
        <v>None</v>
      </c>
      <c r="AA116" s="12" t="str">
        <f aca="false">INDEX('Risk Taxonomy'!$G$5:$G$24,MATCH(D116,'Risk Taxonomy'!$A$5:$A$24,0))</f>
        <v>Moderate</v>
      </c>
      <c r="AB116" s="7" t="str">
        <f aca="false">INDEX('Risk Taxonomy'!$H$5:$H$24,MATCH(D116,'Risk Taxonomy'!$A$5:$A$24,0))</f>
        <v>Medium-High</v>
      </c>
      <c r="AC116" s="35" t="str">
        <f aca="false">IF(NOT(ISNUMBER(X116)),"",IF(X116&lt;=MATCH(AB116,Config!$B$5:$B$9,0),"Within",IF(OR(X116-MATCH(AB116,Config!$B$5:$B$9,0)&gt;=2,AND('Residual Config'!$C$8="Y",ISNUMBER(SEARCH("Zero",AA116)))),"Red","Amber")))</f>
        <v>Within</v>
      </c>
      <c r="AD116" s="12" t="str">
        <f aca="false">IF(AC116="Red","Group CCO / CRO and Country CEO within 2 business days; action plan in 15 days; report to Board Risk &amp; Compliance Committee",IF(AC116="Amber","Country CO, risk owner and HO Administrator within 5 business days; action plan in 30 days",""))</f>
        <v/>
      </c>
    </row>
    <row r="117" customFormat="false" ht="15" hidden="false" customHeight="false" outlineLevel="0" collapsed="false">
      <c r="A117" s="26" t="str">
        <f aca="false">Entities!$A$10</f>
        <v>PS</v>
      </c>
      <c r="B117" s="12" t="str">
        <f aca="false">INDEX(Entities!$B$5:$B$34,MATCH(A117,Entities!$A$5:$A$34,0))</f>
        <v>Arab Bank – Palestine</v>
      </c>
      <c r="C117" s="12" t="str">
        <f aca="false">INDEX(Entities!$D$5:$D$34,MATCH(A117,Entities!$A$5:$A$34,0))</f>
        <v>Levant</v>
      </c>
      <c r="D117" s="12" t="s">
        <v>302</v>
      </c>
      <c r="E117" s="12" t="str">
        <f aca="false">INDEX('Risk Taxonomy'!$B$5:$B$24,MATCH(D117,'Risk Taxonomy'!$A$5:$A$24,0))</f>
        <v>Market risk</v>
      </c>
      <c r="F117" s="29" t="n">
        <f aca="false">IF(NOT(ISNUMBER(G117)),"",G117)</f>
        <v>4</v>
      </c>
      <c r="G117" s="34" t="n">
        <f aca="false">IF(COUNTIFS('LxI Assessment'!$A$5:$A$394,A117,'LxI Assessment'!$D$5:$D$394,D117,'LxI Assessment'!$F$5:$F$394,"N/A")&gt;0,"N/A",IF(COUNTIFS('LxI Assessment'!$A$5:$A$394,A117,'LxI Assessment'!$D$5:$D$394,D117,'LxI Assessment'!$S$5:$S$394,"&gt;0")=0,"",SUMIFS('LxI Assessment'!$S$5:$S$394,'LxI Assessment'!$A$5:$A$394,A117,'LxI Assessment'!$D$5:$D$394,D117)))</f>
        <v>4</v>
      </c>
      <c r="H117" s="7" t="str">
        <f aca="false">IF(G117="N/A","N/A",IF(G117="","No data",INDEX(Config!$B$5:$B$9,G117)))</f>
        <v>Medium-High</v>
      </c>
      <c r="I117" s="31" t="n">
        <f aca="false">IF(NOT(ISNUMBER($G117)),"",SUMPRODUCT(('Control Mapping'!$C$5:$C$83=D117)*('Control Mapping'!$L$5:$L$83&gt;0)))</f>
        <v>1</v>
      </c>
      <c r="J117" s="31" t="n">
        <f aca="false">IF(NOT(ISNUMBER($G117)),"",SUMPRODUCT(('Control Mapping'!$C$5:$C$83=D117)*('Control Mapping'!$F$5:$F$83="Y")*('Control Mapping'!$L$5:$L$83&gt;0)))</f>
        <v>1</v>
      </c>
      <c r="K117" s="31" t="n">
        <f aca="false">IF(NOT(ISNUMBER($G117)),"",SUMPRODUCT(('Control Mapping'!$C$5:$C$83=D117)*('Control Mapping'!$F$5:$F$83="Y")*('Control Mapping'!$L$5:$L$83=4)))</f>
        <v>0</v>
      </c>
      <c r="L117" s="29" t="n">
        <f aca="false">IF(NOT(ISNUMBER($G117)),"",IFERROR(SUMPRODUCT(('Control Mapping'!$C$5:$C$83=D117)*'Control Mapping'!$E$5:$E$83*'Control Mapping'!$L$5:$L$83)/SUMPRODUCT(('Control Mapping'!$C$5:$C$83=D117)*'Control Mapping'!$E$5:$E$83*('Control Mapping'!$L$5:$L$83&gt;0)),""))</f>
        <v>3</v>
      </c>
      <c r="M117" s="34" t="n">
        <f aca="false">IF(NOT(ISNUMBER($G117)),"",IF(J117=0,4,MAX(MATCH(L117,'Residual Config'!$E$11:$E$14,1),IF(K117&gt;0,'Residual Config'!$C$7,1))))</f>
        <v>3</v>
      </c>
      <c r="N117" s="7" t="str">
        <f aca="false">IF(NOT(ISNUMBER($G117)),"",IF(J117=0,"Ineffective (no key control)",INDEX('Residual Config'!$B$11:$B$14,M117)))</f>
        <v>Partially effective</v>
      </c>
      <c r="O117" s="36" t="n">
        <f aca="false">IF(NOT(ISNUMBER($G117)),"",IF(J117=0,0,SUMPRODUCT(('Control Mapping'!$C$5:$C$83=D117)*'Control Mapping'!$E$5:$E$83*(('Control Mapping'!$L$5:$L$83=1)*'Residual Config'!$D$11+('Control Mapping'!$L$5:$L$83=2)*'Residual Config'!$D$12+('Control Mapping'!$L$5:$L$83=3)*'Residual Config'!$D$13+('Control Mapping'!$L$5:$L$83=4)*'Residual Config'!$D$14))/SUMPRODUCT(('Control Mapping'!$C$5:$C$83=D117)*'Control Mapping'!$E$5:$E$83*('Control Mapping'!$L$5:$L$83&gt;0))))</f>
        <v>0.2</v>
      </c>
      <c r="P117" s="31" t="n">
        <f aca="false">IF(NOT(ISNUMBER($G117)),"",INDEX('Residual Config'!$B$19:$E$23,6-G117,M117))</f>
        <v>4</v>
      </c>
      <c r="Q117" s="29" t="n">
        <f aca="false">IF(NOT(ISNUMBER($G117)),"",MAX(1,F117*(1-O117)))</f>
        <v>3.2</v>
      </c>
      <c r="R117" s="31" t="n">
        <f aca="false">IF(NOT(ISNUMBER($G117)),"",MAX(MATCH(Q117,Config!$D$5:$D$9,1),G117-'Residual Config'!$C$6))</f>
        <v>3</v>
      </c>
      <c r="S117" s="34" t="n">
        <f aca="false">IF(NOT(ISNUMBER($G117)),"",IF('Residual Config'!$C$5="Numeric",R117,P117))</f>
        <v>4</v>
      </c>
      <c r="T117" s="7" t="str">
        <f aca="false">IF(G117="N/A","N/A",IF(S117="","No data",INDEX(Config!$B$5:$B$9,S117)))</f>
        <v>Medium-High</v>
      </c>
      <c r="U117" s="32" t="n">
        <v>0</v>
      </c>
      <c r="V117" s="8"/>
      <c r="W117" s="33"/>
      <c r="X117" s="34" t="n">
        <f aca="false">IF(S117="","",IF(AND(W117="Y",U117&lt;&gt;0),MAX(1,MIN(5,S117+MAX(-Config!$C$27,MIN(Config!$C$27,U117)))),S117))</f>
        <v>4</v>
      </c>
      <c r="Y117" s="35" t="str">
        <f aca="false">IF(G117="N/A","N/A",IF(X117="","No data",INDEX(Config!$B$5:$B$9,X117)))</f>
        <v>Medium-High</v>
      </c>
      <c r="Z117" s="7" t="str">
        <f aca="false">IF(U117=0,"None",IF(W117="Y","Applied","Pending HO approval"))</f>
        <v>None</v>
      </c>
      <c r="AA117" s="12" t="str">
        <f aca="false">INDEX('Risk Taxonomy'!$G$5:$G$24,MATCH(D117,'Risk Taxonomy'!$A$5:$A$24,0))</f>
        <v>Moderate</v>
      </c>
      <c r="AB117" s="7" t="str">
        <f aca="false">INDEX('Risk Taxonomy'!$H$5:$H$24,MATCH(D117,'Risk Taxonomy'!$A$5:$A$24,0))</f>
        <v>Medium-High</v>
      </c>
      <c r="AC117" s="35" t="str">
        <f aca="false">IF(NOT(ISNUMBER(X117)),"",IF(X117&lt;=MATCH(AB117,Config!$B$5:$B$9,0),"Within",IF(OR(X117-MATCH(AB117,Config!$B$5:$B$9,0)&gt;=2,AND('Residual Config'!$C$8="Y",ISNUMBER(SEARCH("Zero",AA117)))),"Red","Amber")))</f>
        <v>Within</v>
      </c>
      <c r="AD117" s="12" t="str">
        <f aca="false">IF(AC117="Red","Group CCO / CRO and Country CEO within 2 business days; action plan in 15 days; report to Board Risk &amp; Compliance Committee",IF(AC117="Amber","Country CO, risk owner and HO Administrator within 5 business days; action plan in 30 days",""))</f>
        <v/>
      </c>
    </row>
    <row r="118" customFormat="false" ht="15" hidden="false" customHeight="false" outlineLevel="0" collapsed="false">
      <c r="A118" s="26" t="str">
        <f aca="false">Entities!$A$10</f>
        <v>PS</v>
      </c>
      <c r="B118" s="12" t="str">
        <f aca="false">INDEX(Entities!$B$5:$B$34,MATCH(A118,Entities!$A$5:$A$34,0))</f>
        <v>Arab Bank – Palestine</v>
      </c>
      <c r="C118" s="12" t="str">
        <f aca="false">INDEX(Entities!$D$5:$D$34,MATCH(A118,Entities!$A$5:$A$34,0))</f>
        <v>Levant</v>
      </c>
      <c r="D118" s="12" t="s">
        <v>304</v>
      </c>
      <c r="E118" s="12" t="str">
        <f aca="false">INDEX('Risk Taxonomy'!$B$5:$B$24,MATCH(D118,'Risk Taxonomy'!$A$5:$A$24,0))</f>
        <v>Liquidity and funding risk</v>
      </c>
      <c r="F118" s="29" t="n">
        <f aca="false">IF(NOT(ISNUMBER(G118)),"",G118)</f>
        <v>5</v>
      </c>
      <c r="G118" s="34" t="n">
        <f aca="false">IF(COUNTIFS('LxI Assessment'!$A$5:$A$394,A118,'LxI Assessment'!$D$5:$D$394,D118,'LxI Assessment'!$F$5:$F$394,"N/A")&gt;0,"N/A",IF(COUNTIFS('LxI Assessment'!$A$5:$A$394,A118,'LxI Assessment'!$D$5:$D$394,D118,'LxI Assessment'!$S$5:$S$394,"&gt;0")=0,"",SUMIFS('LxI Assessment'!$S$5:$S$394,'LxI Assessment'!$A$5:$A$394,A118,'LxI Assessment'!$D$5:$D$394,D118)))</f>
        <v>5</v>
      </c>
      <c r="H118" s="7" t="str">
        <f aca="false">IF(G118="N/A","N/A",IF(G118="","No data",INDEX(Config!$B$5:$B$9,G118)))</f>
        <v>High</v>
      </c>
      <c r="I118" s="31" t="n">
        <f aca="false">IF(NOT(ISNUMBER($G118)),"",SUMPRODUCT(('Control Mapping'!$C$5:$C$83=D118)*('Control Mapping'!$L$5:$L$83&gt;0)))</f>
        <v>1</v>
      </c>
      <c r="J118" s="31" t="n">
        <f aca="false">IF(NOT(ISNUMBER($G118)),"",SUMPRODUCT(('Control Mapping'!$C$5:$C$83=D118)*('Control Mapping'!$F$5:$F$83="Y")*('Control Mapping'!$L$5:$L$83&gt;0)))</f>
        <v>1</v>
      </c>
      <c r="K118" s="31" t="n">
        <f aca="false">IF(NOT(ISNUMBER($G118)),"",SUMPRODUCT(('Control Mapping'!$C$5:$C$83=D118)*('Control Mapping'!$F$5:$F$83="Y")*('Control Mapping'!$L$5:$L$83=4)))</f>
        <v>0</v>
      </c>
      <c r="L118" s="29" t="n">
        <f aca="false">IF(NOT(ISNUMBER($G118)),"",IFERROR(SUMPRODUCT(('Control Mapping'!$C$5:$C$83=D118)*'Control Mapping'!$E$5:$E$83*'Control Mapping'!$L$5:$L$83)/SUMPRODUCT(('Control Mapping'!$C$5:$C$83=D118)*'Control Mapping'!$E$5:$E$83*('Control Mapping'!$L$5:$L$83&gt;0)),""))</f>
        <v>2</v>
      </c>
      <c r="M118" s="34" t="n">
        <f aca="false">IF(NOT(ISNUMBER($G118)),"",IF(J118=0,4,MAX(MATCH(L118,'Residual Config'!$E$11:$E$14,1),IF(K118&gt;0,'Residual Config'!$C$7,1))))</f>
        <v>2</v>
      </c>
      <c r="N118" s="7" t="str">
        <f aca="false">IF(NOT(ISNUMBER($G118)),"",IF(J118=0,"Ineffective (no key control)",INDEX('Residual Config'!$B$11:$B$14,M118)))</f>
        <v>Largely effective</v>
      </c>
      <c r="O118" s="36" t="n">
        <f aca="false">IF(NOT(ISNUMBER($G118)),"",IF(J118=0,0,SUMPRODUCT(('Control Mapping'!$C$5:$C$83=D118)*'Control Mapping'!$E$5:$E$83*(('Control Mapping'!$L$5:$L$83=1)*'Residual Config'!$D$11+('Control Mapping'!$L$5:$L$83=2)*'Residual Config'!$D$12+('Control Mapping'!$L$5:$L$83=3)*'Residual Config'!$D$13+('Control Mapping'!$L$5:$L$83=4)*'Residual Config'!$D$14))/SUMPRODUCT(('Control Mapping'!$C$5:$C$83=D118)*'Control Mapping'!$E$5:$E$83*('Control Mapping'!$L$5:$L$83&gt;0))))</f>
        <v>0.4</v>
      </c>
      <c r="P118" s="31" t="n">
        <f aca="false">IF(NOT(ISNUMBER($G118)),"",INDEX('Residual Config'!$B$19:$E$23,6-G118,M118))</f>
        <v>4</v>
      </c>
      <c r="Q118" s="29" t="n">
        <f aca="false">IF(NOT(ISNUMBER($G118)),"",MAX(1,F118*(1-O118)))</f>
        <v>3</v>
      </c>
      <c r="R118" s="31" t="n">
        <f aca="false">IF(NOT(ISNUMBER($G118)),"",MAX(MATCH(Q118,Config!$D$5:$D$9,1),G118-'Residual Config'!$C$6))</f>
        <v>3</v>
      </c>
      <c r="S118" s="34" t="n">
        <f aca="false">IF(NOT(ISNUMBER($G118)),"",IF('Residual Config'!$C$5="Numeric",R118,P118))</f>
        <v>4</v>
      </c>
      <c r="T118" s="7" t="str">
        <f aca="false">IF(G118="N/A","N/A",IF(S118="","No data",INDEX(Config!$B$5:$B$9,S118)))</f>
        <v>Medium-High</v>
      </c>
      <c r="U118" s="32" t="n">
        <v>0</v>
      </c>
      <c r="V118" s="8"/>
      <c r="W118" s="33"/>
      <c r="X118" s="34" t="n">
        <f aca="false">IF(S118="","",IF(AND(W118="Y",U118&lt;&gt;0),MAX(1,MIN(5,S118+MAX(-Config!$C$27,MIN(Config!$C$27,U118)))),S118))</f>
        <v>4</v>
      </c>
      <c r="Y118" s="35" t="str">
        <f aca="false">IF(G118="N/A","N/A",IF(X118="","No data",INDEX(Config!$B$5:$B$9,X118)))</f>
        <v>Medium-High</v>
      </c>
      <c r="Z118" s="7" t="str">
        <f aca="false">IF(U118=0,"None",IF(W118="Y","Applied","Pending HO approval"))</f>
        <v>None</v>
      </c>
      <c r="AA118" s="12" t="str">
        <f aca="false">INDEX('Risk Taxonomy'!$G$5:$G$24,MATCH(D118,'Risk Taxonomy'!$A$5:$A$24,0))</f>
        <v>Low</v>
      </c>
      <c r="AB118" s="7" t="str">
        <f aca="false">INDEX('Risk Taxonomy'!$H$5:$H$24,MATCH(D118,'Risk Taxonomy'!$A$5:$A$24,0))</f>
        <v>Medium</v>
      </c>
      <c r="AC118" s="35" t="str">
        <f aca="false">IF(NOT(ISNUMBER(X118)),"",IF(X118&lt;=MATCH(AB118,Config!$B$5:$B$9,0),"Within",IF(OR(X118-MATCH(AB118,Config!$B$5:$B$9,0)&gt;=2,AND('Residual Config'!$C$8="Y",ISNUMBER(SEARCH("Zero",AA118)))),"Red","Amber")))</f>
        <v>Amber</v>
      </c>
      <c r="AD118" s="12" t="str">
        <f aca="false">IF(AC118="Red","Group CCO / CRO and Country CEO within 2 business days; action plan in 15 days; report to Board Risk &amp; Compliance Committee",IF(AC118="Amber","Country CO, risk owner and HO Administrator within 5 business days; action plan in 30 days",""))</f>
        <v>Country CO, risk owner and HO Administrator within 5 business days; action plan in 30 days</v>
      </c>
    </row>
    <row r="119" customFormat="false" ht="15" hidden="false" customHeight="false" outlineLevel="0" collapsed="false">
      <c r="A119" s="26" t="str">
        <f aca="false">Entities!$A$10</f>
        <v>PS</v>
      </c>
      <c r="B119" s="12" t="str">
        <f aca="false">INDEX(Entities!$B$5:$B$34,MATCH(A119,Entities!$A$5:$A$34,0))</f>
        <v>Arab Bank – Palestine</v>
      </c>
      <c r="C119" s="12" t="str">
        <f aca="false">INDEX(Entities!$D$5:$D$34,MATCH(A119,Entities!$A$5:$A$34,0))</f>
        <v>Levant</v>
      </c>
      <c r="D119" s="12" t="s">
        <v>307</v>
      </c>
      <c r="E119" s="12" t="str">
        <f aca="false">INDEX('Risk Taxonomy'!$B$5:$B$24,MATCH(D119,'Risk Taxonomy'!$A$5:$A$24,0))</f>
        <v>Operational risk</v>
      </c>
      <c r="F119" s="29" t="n">
        <f aca="false">IF(NOT(ISNUMBER(G119)),"",G119)</f>
        <v>4</v>
      </c>
      <c r="G119" s="34" t="n">
        <f aca="false">IF(COUNTIFS('LxI Assessment'!$A$5:$A$394,A119,'LxI Assessment'!$D$5:$D$394,D119,'LxI Assessment'!$F$5:$F$394,"N/A")&gt;0,"N/A",IF(COUNTIFS('LxI Assessment'!$A$5:$A$394,A119,'LxI Assessment'!$D$5:$D$394,D119,'LxI Assessment'!$S$5:$S$394,"&gt;0")=0,"",SUMIFS('LxI Assessment'!$S$5:$S$394,'LxI Assessment'!$A$5:$A$394,A119,'LxI Assessment'!$D$5:$D$394,D119)))</f>
        <v>4</v>
      </c>
      <c r="H119" s="7" t="str">
        <f aca="false">IF(G119="N/A","N/A",IF(G119="","No data",INDEX(Config!$B$5:$B$9,G119)))</f>
        <v>Medium-High</v>
      </c>
      <c r="I119" s="31" t="n">
        <f aca="false">IF(NOT(ISNUMBER($G119)),"",SUMPRODUCT(('Control Mapping'!$C$5:$C$83=D119)*('Control Mapping'!$L$5:$L$83&gt;0)))</f>
        <v>3</v>
      </c>
      <c r="J119" s="31" t="n">
        <f aca="false">IF(NOT(ISNUMBER($G119)),"",SUMPRODUCT(('Control Mapping'!$C$5:$C$83=D119)*('Control Mapping'!$F$5:$F$83="Y")*('Control Mapping'!$L$5:$L$83&gt;0)))</f>
        <v>2</v>
      </c>
      <c r="K119" s="31" t="n">
        <f aca="false">IF(NOT(ISNUMBER($G119)),"",SUMPRODUCT(('Control Mapping'!$C$5:$C$83=D119)*('Control Mapping'!$F$5:$F$83="Y")*('Control Mapping'!$L$5:$L$83=4)))</f>
        <v>0</v>
      </c>
      <c r="L119" s="29" t="n">
        <f aca="false">IF(NOT(ISNUMBER($G119)),"",IFERROR(SUMPRODUCT(('Control Mapping'!$C$5:$C$83=D119)*'Control Mapping'!$E$5:$E$83*'Control Mapping'!$L$5:$L$83)/SUMPRODUCT(('Control Mapping'!$C$5:$C$83=D119)*'Control Mapping'!$E$5:$E$83*('Control Mapping'!$L$5:$L$83&gt;0)),""))</f>
        <v>3</v>
      </c>
      <c r="M119" s="34" t="n">
        <f aca="false">IF(NOT(ISNUMBER($G119)),"",IF(J119=0,4,MAX(MATCH(L119,'Residual Config'!$E$11:$E$14,1),IF(K119&gt;0,'Residual Config'!$C$7,1))))</f>
        <v>3</v>
      </c>
      <c r="N119" s="7" t="str">
        <f aca="false">IF(NOT(ISNUMBER($G119)),"",IF(J119=0,"Ineffective (no key control)",INDEX('Residual Config'!$B$11:$B$14,M119)))</f>
        <v>Partially effective</v>
      </c>
      <c r="O119" s="36" t="n">
        <f aca="false">IF(NOT(ISNUMBER($G119)),"",IF(J119=0,0,SUMPRODUCT(('Control Mapping'!$C$5:$C$83=D119)*'Control Mapping'!$E$5:$E$83*(('Control Mapping'!$L$5:$L$83=1)*'Residual Config'!$D$11+('Control Mapping'!$L$5:$L$83=2)*'Residual Config'!$D$12+('Control Mapping'!$L$5:$L$83=3)*'Residual Config'!$D$13+('Control Mapping'!$L$5:$L$83=4)*'Residual Config'!$D$14))/SUMPRODUCT(('Control Mapping'!$C$5:$C$83=D119)*'Control Mapping'!$E$5:$E$83*('Control Mapping'!$L$5:$L$83&gt;0))))</f>
        <v>0.2</v>
      </c>
      <c r="P119" s="31" t="n">
        <f aca="false">IF(NOT(ISNUMBER($G119)),"",INDEX('Residual Config'!$B$19:$E$23,6-G119,M119))</f>
        <v>4</v>
      </c>
      <c r="Q119" s="29" t="n">
        <f aca="false">IF(NOT(ISNUMBER($G119)),"",MAX(1,F119*(1-O119)))</f>
        <v>3.2</v>
      </c>
      <c r="R119" s="31" t="n">
        <f aca="false">IF(NOT(ISNUMBER($G119)),"",MAX(MATCH(Q119,Config!$D$5:$D$9,1),G119-'Residual Config'!$C$6))</f>
        <v>3</v>
      </c>
      <c r="S119" s="34" t="n">
        <f aca="false">IF(NOT(ISNUMBER($G119)),"",IF('Residual Config'!$C$5="Numeric",R119,P119))</f>
        <v>4</v>
      </c>
      <c r="T119" s="7" t="str">
        <f aca="false">IF(G119="N/A","N/A",IF(S119="","No data",INDEX(Config!$B$5:$B$9,S119)))</f>
        <v>Medium-High</v>
      </c>
      <c r="U119" s="32" t="n">
        <v>0</v>
      </c>
      <c r="V119" s="8"/>
      <c r="W119" s="33"/>
      <c r="X119" s="34" t="n">
        <f aca="false">IF(S119="","",IF(AND(W119="Y",U119&lt;&gt;0),MAX(1,MIN(5,S119+MAX(-Config!$C$27,MIN(Config!$C$27,U119)))),S119))</f>
        <v>4</v>
      </c>
      <c r="Y119" s="35" t="str">
        <f aca="false">IF(G119="N/A","N/A",IF(X119="","No data",INDEX(Config!$B$5:$B$9,X119)))</f>
        <v>Medium-High</v>
      </c>
      <c r="Z119" s="7" t="str">
        <f aca="false">IF(U119=0,"None",IF(W119="Y","Applied","Pending HO approval"))</f>
        <v>None</v>
      </c>
      <c r="AA119" s="12" t="str">
        <f aca="false">INDEX('Risk Taxonomy'!$G$5:$G$24,MATCH(D119,'Risk Taxonomy'!$A$5:$A$24,0))</f>
        <v>Low</v>
      </c>
      <c r="AB119" s="7" t="str">
        <f aca="false">INDEX('Risk Taxonomy'!$H$5:$H$24,MATCH(D119,'Risk Taxonomy'!$A$5:$A$24,0))</f>
        <v>Medium</v>
      </c>
      <c r="AC119" s="35" t="str">
        <f aca="false">IF(NOT(ISNUMBER(X119)),"",IF(X119&lt;=MATCH(AB119,Config!$B$5:$B$9,0),"Within",IF(OR(X119-MATCH(AB119,Config!$B$5:$B$9,0)&gt;=2,AND('Residual Config'!$C$8="Y",ISNUMBER(SEARCH("Zero",AA119)))),"Red","Amber")))</f>
        <v>Amber</v>
      </c>
      <c r="AD119" s="12" t="str">
        <f aca="false">IF(AC119="Red","Group CCO / CRO and Country CEO within 2 business days; action plan in 15 days; report to Board Risk &amp; Compliance Committee",IF(AC119="Amber","Country CO, risk owner and HO Administrator within 5 business days; action plan in 30 days",""))</f>
        <v>Country CO, risk owner and HO Administrator within 5 business days; action plan in 30 days</v>
      </c>
    </row>
    <row r="120" customFormat="false" ht="15" hidden="false" customHeight="false" outlineLevel="0" collapsed="false">
      <c r="A120" s="26" t="str">
        <f aca="false">Entities!$A$10</f>
        <v>PS</v>
      </c>
      <c r="B120" s="12" t="str">
        <f aca="false">INDEX(Entities!$B$5:$B$34,MATCH(A120,Entities!$A$5:$A$34,0))</f>
        <v>Arab Bank – Palestine</v>
      </c>
      <c r="C120" s="12" t="str">
        <f aca="false">INDEX(Entities!$D$5:$D$34,MATCH(A120,Entities!$A$5:$A$34,0))</f>
        <v>Levant</v>
      </c>
      <c r="D120" s="12" t="s">
        <v>310</v>
      </c>
      <c r="E120" s="12" t="str">
        <f aca="false">INDEX('Risk Taxonomy'!$B$5:$B$24,MATCH(D120,'Risk Taxonomy'!$A$5:$A$24,0))</f>
        <v>Cyber, information security and technology</v>
      </c>
      <c r="F120" s="29" t="n">
        <f aca="false">IF(NOT(ISNUMBER(G120)),"",G120)</f>
        <v>5</v>
      </c>
      <c r="G120" s="34" t="n">
        <f aca="false">IF(COUNTIFS('LxI Assessment'!$A$5:$A$394,A120,'LxI Assessment'!$D$5:$D$394,D120,'LxI Assessment'!$F$5:$F$394,"N/A")&gt;0,"N/A",IF(COUNTIFS('LxI Assessment'!$A$5:$A$394,A120,'LxI Assessment'!$D$5:$D$394,D120,'LxI Assessment'!$S$5:$S$394,"&gt;0")=0,"",SUMIFS('LxI Assessment'!$S$5:$S$394,'LxI Assessment'!$A$5:$A$394,A120,'LxI Assessment'!$D$5:$D$394,D120)))</f>
        <v>5</v>
      </c>
      <c r="H120" s="7" t="str">
        <f aca="false">IF(G120="N/A","N/A",IF(G120="","No data",INDEX(Config!$B$5:$B$9,G120)))</f>
        <v>High</v>
      </c>
      <c r="I120" s="31" t="n">
        <f aca="false">IF(NOT(ISNUMBER($G120)),"",SUMPRODUCT(('Control Mapping'!$C$5:$C$83=D120)*('Control Mapping'!$L$5:$L$83&gt;0)))</f>
        <v>4</v>
      </c>
      <c r="J120" s="31" t="n">
        <f aca="false">IF(NOT(ISNUMBER($G120)),"",SUMPRODUCT(('Control Mapping'!$C$5:$C$83=D120)*('Control Mapping'!$F$5:$F$83="Y")*('Control Mapping'!$L$5:$L$83&gt;0)))</f>
        <v>4</v>
      </c>
      <c r="K120" s="31" t="n">
        <f aca="false">IF(NOT(ISNUMBER($G120)),"",SUMPRODUCT(('Control Mapping'!$C$5:$C$83=D120)*('Control Mapping'!$F$5:$F$83="Y")*('Control Mapping'!$L$5:$L$83=4)))</f>
        <v>0</v>
      </c>
      <c r="L120" s="29" t="n">
        <f aca="false">IF(NOT(ISNUMBER($G120)),"",IFERROR(SUMPRODUCT(('Control Mapping'!$C$5:$C$83=D120)*'Control Mapping'!$E$5:$E$83*'Control Mapping'!$L$5:$L$83)/SUMPRODUCT(('Control Mapping'!$C$5:$C$83=D120)*'Control Mapping'!$E$5:$E$83*('Control Mapping'!$L$5:$L$83&gt;0)),""))</f>
        <v>2.85714285714286</v>
      </c>
      <c r="M120" s="34" t="n">
        <f aca="false">IF(NOT(ISNUMBER($G120)),"",IF(J120=0,4,MAX(MATCH(L120,'Residual Config'!$E$11:$E$14,1),IF(K120&gt;0,'Residual Config'!$C$7,1))))</f>
        <v>3</v>
      </c>
      <c r="N120" s="7" t="str">
        <f aca="false">IF(NOT(ISNUMBER($G120)),"",IF(J120=0,"Ineffective (no key control)",INDEX('Residual Config'!$B$11:$B$14,M120)))</f>
        <v>Partially effective</v>
      </c>
      <c r="O120" s="36" t="n">
        <f aca="false">IF(NOT(ISNUMBER($G120)),"",IF(J120=0,0,SUMPRODUCT(('Control Mapping'!$C$5:$C$83=D120)*'Control Mapping'!$E$5:$E$83*(('Control Mapping'!$L$5:$L$83=1)*'Residual Config'!$D$11+('Control Mapping'!$L$5:$L$83=2)*'Residual Config'!$D$12+('Control Mapping'!$L$5:$L$83=3)*'Residual Config'!$D$13+('Control Mapping'!$L$5:$L$83=4)*'Residual Config'!$D$14))/SUMPRODUCT(('Control Mapping'!$C$5:$C$83=D120)*'Control Mapping'!$E$5:$E$83*('Control Mapping'!$L$5:$L$83&gt;0))))</f>
        <v>0.228571428571429</v>
      </c>
      <c r="P120" s="31" t="n">
        <f aca="false">IF(NOT(ISNUMBER($G120)),"",INDEX('Residual Config'!$B$19:$E$23,6-G120,M120))</f>
        <v>5</v>
      </c>
      <c r="Q120" s="29" t="n">
        <f aca="false">IF(NOT(ISNUMBER($G120)),"",MAX(1,F120*(1-O120)))</f>
        <v>3.85714285714286</v>
      </c>
      <c r="R120" s="31" t="n">
        <f aca="false">IF(NOT(ISNUMBER($G120)),"",MAX(MATCH(Q120,Config!$D$5:$D$9,1),G120-'Residual Config'!$C$6))</f>
        <v>4</v>
      </c>
      <c r="S120" s="34" t="n">
        <f aca="false">IF(NOT(ISNUMBER($G120)),"",IF('Residual Config'!$C$5="Numeric",R120,P120))</f>
        <v>5</v>
      </c>
      <c r="T120" s="7" t="str">
        <f aca="false">IF(G120="N/A","N/A",IF(S120="","No data",INDEX(Config!$B$5:$B$9,S120)))</f>
        <v>High</v>
      </c>
      <c r="U120" s="32" t="n">
        <v>0</v>
      </c>
      <c r="V120" s="8"/>
      <c r="W120" s="33"/>
      <c r="X120" s="34" t="n">
        <f aca="false">IF(S120="","",IF(AND(W120="Y",U120&lt;&gt;0),MAX(1,MIN(5,S120+MAX(-Config!$C$27,MIN(Config!$C$27,U120)))),S120))</f>
        <v>5</v>
      </c>
      <c r="Y120" s="35" t="str">
        <f aca="false">IF(G120="N/A","N/A",IF(X120="","No data",INDEX(Config!$B$5:$B$9,X120)))</f>
        <v>High</v>
      </c>
      <c r="Z120" s="7" t="str">
        <f aca="false">IF(U120=0,"None",IF(W120="Y","Applied","Pending HO approval"))</f>
        <v>None</v>
      </c>
      <c r="AA120" s="12" t="str">
        <f aca="false">INDEX('Risk Taxonomy'!$G$5:$G$24,MATCH(D120,'Risk Taxonomy'!$A$5:$A$24,0))</f>
        <v>Very low</v>
      </c>
      <c r="AB120" s="7" t="str">
        <f aca="false">INDEX('Risk Taxonomy'!$H$5:$H$24,MATCH(D120,'Risk Taxonomy'!$A$5:$A$24,0))</f>
        <v>Medium-Low</v>
      </c>
      <c r="AC120" s="35" t="str">
        <f aca="false">IF(NOT(ISNUMBER(X120)),"",IF(X120&lt;=MATCH(AB120,Config!$B$5:$B$9,0),"Within",IF(OR(X120-MATCH(AB120,Config!$B$5:$B$9,0)&gt;=2,AND('Residual Config'!$C$8="Y",ISNUMBER(SEARCH("Zero",AA120)))),"Red","Amber")))</f>
        <v>Red</v>
      </c>
      <c r="AD120" s="12" t="str">
        <f aca="false">IF(AC120="Red","Group CCO / CRO and Country CEO within 2 business days; action plan in 15 days; report to Board Risk &amp; Compliance Committee",IF(AC120="Amber","Country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21" customFormat="false" ht="15" hidden="false" customHeight="false" outlineLevel="0" collapsed="false">
      <c r="A121" s="26" t="str">
        <f aca="false">Entities!$A$10</f>
        <v>PS</v>
      </c>
      <c r="B121" s="12" t="str">
        <f aca="false">INDEX(Entities!$B$5:$B$34,MATCH(A121,Entities!$A$5:$A$34,0))</f>
        <v>Arab Bank – Palestine</v>
      </c>
      <c r="C121" s="12" t="str">
        <f aca="false">INDEX(Entities!$D$5:$D$34,MATCH(A121,Entities!$A$5:$A$34,0))</f>
        <v>Levant</v>
      </c>
      <c r="D121" s="12" t="s">
        <v>313</v>
      </c>
      <c r="E121" s="12" t="str">
        <f aca="false">INDEX('Risk Taxonomy'!$B$5:$B$24,MATCH(D121,'Risk Taxonomy'!$A$5:$A$24,0))</f>
        <v>Third-party and outsourcing</v>
      </c>
      <c r="F121" s="29" t="n">
        <f aca="false">IF(NOT(ISNUMBER(G121)),"",G121)</f>
        <v>4</v>
      </c>
      <c r="G121" s="34" t="n">
        <f aca="false">IF(COUNTIFS('LxI Assessment'!$A$5:$A$394,A121,'LxI Assessment'!$D$5:$D$394,D121,'LxI Assessment'!$F$5:$F$394,"N/A")&gt;0,"N/A",IF(COUNTIFS('LxI Assessment'!$A$5:$A$394,A121,'LxI Assessment'!$D$5:$D$394,D121,'LxI Assessment'!$S$5:$S$394,"&gt;0")=0,"",SUMIFS('LxI Assessment'!$S$5:$S$394,'LxI Assessment'!$A$5:$A$394,A121,'LxI Assessment'!$D$5:$D$394,D121)))</f>
        <v>4</v>
      </c>
      <c r="H121" s="7" t="str">
        <f aca="false">IF(G121="N/A","N/A",IF(G121="","No data",INDEX(Config!$B$5:$B$9,G121)))</f>
        <v>Medium-High</v>
      </c>
      <c r="I121" s="31" t="n">
        <f aca="false">IF(NOT(ISNUMBER($G121)),"",SUMPRODUCT(('Control Mapping'!$C$5:$C$83=D121)*('Control Mapping'!$L$5:$L$83&gt;0)))</f>
        <v>2</v>
      </c>
      <c r="J121" s="31" t="n">
        <f aca="false">IF(NOT(ISNUMBER($G121)),"",SUMPRODUCT(('Control Mapping'!$C$5:$C$83=D121)*('Control Mapping'!$F$5:$F$83="Y")*('Control Mapping'!$L$5:$L$83&gt;0)))</f>
        <v>2</v>
      </c>
      <c r="K121" s="31" t="n">
        <f aca="false">IF(NOT(ISNUMBER($G121)),"",SUMPRODUCT(('Control Mapping'!$C$5:$C$83=D121)*('Control Mapping'!$F$5:$F$83="Y")*('Control Mapping'!$L$5:$L$83=4)))</f>
        <v>0</v>
      </c>
      <c r="L121" s="29" t="n">
        <f aca="false">IF(NOT(ISNUMBER($G121)),"",IFERROR(SUMPRODUCT(('Control Mapping'!$C$5:$C$83=D121)*'Control Mapping'!$E$5:$E$83*'Control Mapping'!$L$5:$L$83)/SUMPRODUCT(('Control Mapping'!$C$5:$C$83=D121)*'Control Mapping'!$E$5:$E$83*('Control Mapping'!$L$5:$L$83&gt;0)),""))</f>
        <v>2.75</v>
      </c>
      <c r="M121" s="34" t="n">
        <f aca="false">IF(NOT(ISNUMBER($G121)),"",IF(J121=0,4,MAX(MATCH(L121,'Residual Config'!$E$11:$E$14,1),IF(K121&gt;0,'Residual Config'!$C$7,1))))</f>
        <v>3</v>
      </c>
      <c r="N121" s="7" t="str">
        <f aca="false">IF(NOT(ISNUMBER($G121)),"",IF(J121=0,"Ineffective (no key control)",INDEX('Residual Config'!$B$11:$B$14,M121)))</f>
        <v>Partially effective</v>
      </c>
      <c r="O121" s="36" t="n">
        <f aca="false">IF(NOT(ISNUMBER($G121)),"",IF(J121=0,0,SUMPRODUCT(('Control Mapping'!$C$5:$C$83=D121)*'Control Mapping'!$E$5:$E$83*(('Control Mapping'!$L$5:$L$83=1)*'Residual Config'!$D$11+('Control Mapping'!$L$5:$L$83=2)*'Residual Config'!$D$12+('Control Mapping'!$L$5:$L$83=3)*'Residual Config'!$D$13+('Control Mapping'!$L$5:$L$83=4)*'Residual Config'!$D$14))/SUMPRODUCT(('Control Mapping'!$C$5:$C$83=D121)*'Control Mapping'!$E$5:$E$83*('Control Mapping'!$L$5:$L$83&gt;0))))</f>
        <v>0.25</v>
      </c>
      <c r="P121" s="31" t="n">
        <f aca="false">IF(NOT(ISNUMBER($G121)),"",INDEX('Residual Config'!$B$19:$E$23,6-G121,M121))</f>
        <v>4</v>
      </c>
      <c r="Q121" s="29" t="n">
        <f aca="false">IF(NOT(ISNUMBER($G121)),"",MAX(1,F121*(1-O121)))</f>
        <v>3</v>
      </c>
      <c r="R121" s="31" t="n">
        <f aca="false">IF(NOT(ISNUMBER($G121)),"",MAX(MATCH(Q121,Config!$D$5:$D$9,1),G121-'Residual Config'!$C$6))</f>
        <v>3</v>
      </c>
      <c r="S121" s="34" t="n">
        <f aca="false">IF(NOT(ISNUMBER($G121)),"",IF('Residual Config'!$C$5="Numeric",R121,P121))</f>
        <v>4</v>
      </c>
      <c r="T121" s="7" t="str">
        <f aca="false">IF(G121="N/A","N/A",IF(S121="","No data",INDEX(Config!$B$5:$B$9,S121)))</f>
        <v>Medium-High</v>
      </c>
      <c r="U121" s="32" t="n">
        <v>0</v>
      </c>
      <c r="V121" s="8"/>
      <c r="W121" s="33"/>
      <c r="X121" s="34" t="n">
        <f aca="false">IF(S121="","",IF(AND(W121="Y",U121&lt;&gt;0),MAX(1,MIN(5,S121+MAX(-Config!$C$27,MIN(Config!$C$27,U121)))),S121))</f>
        <v>4</v>
      </c>
      <c r="Y121" s="35" t="str">
        <f aca="false">IF(G121="N/A","N/A",IF(X121="","No data",INDEX(Config!$B$5:$B$9,X121)))</f>
        <v>Medium-High</v>
      </c>
      <c r="Z121" s="7" t="str">
        <f aca="false">IF(U121=0,"None",IF(W121="Y","Applied","Pending HO approval"))</f>
        <v>None</v>
      </c>
      <c r="AA121" s="12" t="str">
        <f aca="false">INDEX('Risk Taxonomy'!$G$5:$G$24,MATCH(D121,'Risk Taxonomy'!$A$5:$A$24,0))</f>
        <v>Low</v>
      </c>
      <c r="AB121" s="7" t="str">
        <f aca="false">INDEX('Risk Taxonomy'!$H$5:$H$24,MATCH(D121,'Risk Taxonomy'!$A$5:$A$24,0))</f>
        <v>Medium</v>
      </c>
      <c r="AC121" s="35" t="str">
        <f aca="false">IF(NOT(ISNUMBER(X121)),"",IF(X121&lt;=MATCH(AB121,Config!$B$5:$B$9,0),"Within",IF(OR(X121-MATCH(AB121,Config!$B$5:$B$9,0)&gt;=2,AND('Residual Config'!$C$8="Y",ISNUMBER(SEARCH("Zero",AA121)))),"Red","Amber")))</f>
        <v>Amber</v>
      </c>
      <c r="AD121" s="12" t="str">
        <f aca="false">IF(AC121="Red","Group CCO / CRO and Country CEO within 2 business days; action plan in 15 days; report to Board Risk &amp; Compliance Committee",IF(AC121="Amber","Country CO, risk owner and HO Administrator within 5 business days; action plan in 30 days",""))</f>
        <v>Country CO, risk owner and HO Administrator within 5 business days; action plan in 30 days</v>
      </c>
    </row>
    <row r="122" customFormat="false" ht="15" hidden="false" customHeight="false" outlineLevel="0" collapsed="false">
      <c r="A122" s="26" t="str">
        <f aca="false">Entities!$A$10</f>
        <v>PS</v>
      </c>
      <c r="B122" s="12" t="str">
        <f aca="false">INDEX(Entities!$B$5:$B$34,MATCH(A122,Entities!$A$5:$A$34,0))</f>
        <v>Arab Bank – Palestine</v>
      </c>
      <c r="C122" s="12" t="str">
        <f aca="false">INDEX(Entities!$D$5:$D$34,MATCH(A122,Entities!$A$5:$A$34,0))</f>
        <v>Levant</v>
      </c>
      <c r="D122" s="12" t="s">
        <v>316</v>
      </c>
      <c r="E122" s="12" t="str">
        <f aca="false">INDEX('Risk Taxonomy'!$B$5:$B$24,MATCH(D122,'Risk Taxonomy'!$A$5:$A$24,0))</f>
        <v>Legal and litigation</v>
      </c>
      <c r="F122" s="29" t="n">
        <f aca="false">IF(NOT(ISNUMBER(G122)),"",G122)</f>
        <v>5</v>
      </c>
      <c r="G122" s="34" t="n">
        <f aca="false">IF(COUNTIFS('LxI Assessment'!$A$5:$A$394,A122,'LxI Assessment'!$D$5:$D$394,D122,'LxI Assessment'!$F$5:$F$394,"N/A")&gt;0,"N/A",IF(COUNTIFS('LxI Assessment'!$A$5:$A$394,A122,'LxI Assessment'!$D$5:$D$394,D122,'LxI Assessment'!$S$5:$S$394,"&gt;0")=0,"",SUMIFS('LxI Assessment'!$S$5:$S$394,'LxI Assessment'!$A$5:$A$394,A122,'LxI Assessment'!$D$5:$D$394,D122)))</f>
        <v>5</v>
      </c>
      <c r="H122" s="7" t="str">
        <f aca="false">IF(G122="N/A","N/A",IF(G122="","No data",INDEX(Config!$B$5:$B$9,G122)))</f>
        <v>High</v>
      </c>
      <c r="I122" s="31" t="n">
        <f aca="false">IF(NOT(ISNUMBER($G122)),"",SUMPRODUCT(('Control Mapping'!$C$5:$C$83=D122)*('Control Mapping'!$L$5:$L$83&gt;0)))</f>
        <v>1</v>
      </c>
      <c r="J122" s="31" t="n">
        <f aca="false">IF(NOT(ISNUMBER($G122)),"",SUMPRODUCT(('Control Mapping'!$C$5:$C$83=D122)*('Control Mapping'!$F$5:$F$83="Y")*('Control Mapping'!$L$5:$L$83&gt;0)))</f>
        <v>1</v>
      </c>
      <c r="K122" s="31" t="n">
        <f aca="false">IF(NOT(ISNUMBER($G122)),"",SUMPRODUCT(('Control Mapping'!$C$5:$C$83=D122)*('Control Mapping'!$F$5:$F$83="Y")*('Control Mapping'!$L$5:$L$83=4)))</f>
        <v>0</v>
      </c>
      <c r="L122" s="29" t="n">
        <f aca="false">IF(NOT(ISNUMBER($G122)),"",IFERROR(SUMPRODUCT(('Control Mapping'!$C$5:$C$83=D122)*'Control Mapping'!$E$5:$E$83*'Control Mapping'!$L$5:$L$83)/SUMPRODUCT(('Control Mapping'!$C$5:$C$83=D122)*'Control Mapping'!$E$5:$E$83*('Control Mapping'!$L$5:$L$83&gt;0)),""))</f>
        <v>3</v>
      </c>
      <c r="M122" s="34" t="n">
        <f aca="false">IF(NOT(ISNUMBER($G122)),"",IF(J122=0,4,MAX(MATCH(L122,'Residual Config'!$E$11:$E$14,1),IF(K122&gt;0,'Residual Config'!$C$7,1))))</f>
        <v>3</v>
      </c>
      <c r="N122" s="7" t="str">
        <f aca="false">IF(NOT(ISNUMBER($G122)),"",IF(J122=0,"Ineffective (no key control)",INDEX('Residual Config'!$B$11:$B$14,M122)))</f>
        <v>Partially effective</v>
      </c>
      <c r="O122" s="36" t="n">
        <f aca="false">IF(NOT(ISNUMBER($G122)),"",IF(J122=0,0,SUMPRODUCT(('Control Mapping'!$C$5:$C$83=D122)*'Control Mapping'!$E$5:$E$83*(('Control Mapping'!$L$5:$L$83=1)*'Residual Config'!$D$11+('Control Mapping'!$L$5:$L$83=2)*'Residual Config'!$D$12+('Control Mapping'!$L$5:$L$83=3)*'Residual Config'!$D$13+('Control Mapping'!$L$5:$L$83=4)*'Residual Config'!$D$14))/SUMPRODUCT(('Control Mapping'!$C$5:$C$83=D122)*'Control Mapping'!$E$5:$E$83*('Control Mapping'!$L$5:$L$83&gt;0))))</f>
        <v>0.2</v>
      </c>
      <c r="P122" s="31" t="n">
        <f aca="false">IF(NOT(ISNUMBER($G122)),"",INDEX('Residual Config'!$B$19:$E$23,6-G122,M122))</f>
        <v>5</v>
      </c>
      <c r="Q122" s="29" t="n">
        <f aca="false">IF(NOT(ISNUMBER($G122)),"",MAX(1,F122*(1-O122)))</f>
        <v>4</v>
      </c>
      <c r="R122" s="31" t="n">
        <f aca="false">IF(NOT(ISNUMBER($G122)),"",MAX(MATCH(Q122,Config!$D$5:$D$9,1),G122-'Residual Config'!$C$6))</f>
        <v>4</v>
      </c>
      <c r="S122" s="34" t="n">
        <f aca="false">IF(NOT(ISNUMBER($G122)),"",IF('Residual Config'!$C$5="Numeric",R122,P122))</f>
        <v>5</v>
      </c>
      <c r="T122" s="7" t="str">
        <f aca="false">IF(G122="N/A","N/A",IF(S122="","No data",INDEX(Config!$B$5:$B$9,S122)))</f>
        <v>High</v>
      </c>
      <c r="U122" s="32" t="n">
        <v>0</v>
      </c>
      <c r="V122" s="8"/>
      <c r="W122" s="33"/>
      <c r="X122" s="34" t="n">
        <f aca="false">IF(S122="","",IF(AND(W122="Y",U122&lt;&gt;0),MAX(1,MIN(5,S122+MAX(-Config!$C$27,MIN(Config!$C$27,U122)))),S122))</f>
        <v>5</v>
      </c>
      <c r="Y122" s="35" t="str">
        <f aca="false">IF(G122="N/A","N/A",IF(X122="","No data",INDEX(Config!$B$5:$B$9,X122)))</f>
        <v>High</v>
      </c>
      <c r="Z122" s="7" t="str">
        <f aca="false">IF(U122=0,"None",IF(W122="Y","Applied","Pending HO approval"))</f>
        <v>None</v>
      </c>
      <c r="AA122" s="12" t="str">
        <f aca="false">INDEX('Risk Taxonomy'!$G$5:$G$24,MATCH(D122,'Risk Taxonomy'!$A$5:$A$24,0))</f>
        <v>Very low</v>
      </c>
      <c r="AB122" s="7" t="str">
        <f aca="false">INDEX('Risk Taxonomy'!$H$5:$H$24,MATCH(D122,'Risk Taxonomy'!$A$5:$A$24,0))</f>
        <v>Medium-Low</v>
      </c>
      <c r="AC122" s="35" t="str">
        <f aca="false">IF(NOT(ISNUMBER(X122)),"",IF(X122&lt;=MATCH(AB122,Config!$B$5:$B$9,0),"Within",IF(OR(X122-MATCH(AB122,Config!$B$5:$B$9,0)&gt;=2,AND('Residual Config'!$C$8="Y",ISNUMBER(SEARCH("Zero",AA122)))),"Red","Amber")))</f>
        <v>Red</v>
      </c>
      <c r="AD122" s="12" t="str">
        <f aca="false">IF(AC122="Red","Group CCO / CRO and Country CEO within 2 business days; action plan in 15 days; report to Board Risk &amp; Compliance Committee",IF(AC122="Amber","Country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23" customFormat="false" ht="15" hidden="false" customHeight="false" outlineLevel="0" collapsed="false">
      <c r="A123" s="26" t="str">
        <f aca="false">Entities!$A$10</f>
        <v>PS</v>
      </c>
      <c r="B123" s="12" t="str">
        <f aca="false">INDEX(Entities!$B$5:$B$34,MATCH(A123,Entities!$A$5:$A$34,0))</f>
        <v>Arab Bank – Palestine</v>
      </c>
      <c r="C123" s="12" t="str">
        <f aca="false">INDEX(Entities!$D$5:$D$34,MATCH(A123,Entities!$A$5:$A$34,0))</f>
        <v>Levant</v>
      </c>
      <c r="D123" s="12" t="s">
        <v>319</v>
      </c>
      <c r="E123" s="12" t="str">
        <f aca="false">INDEX('Risk Taxonomy'!$B$5:$B$24,MATCH(D123,'Risk Taxonomy'!$A$5:$A$24,0))</f>
        <v>Reputational</v>
      </c>
      <c r="F123" s="29" t="n">
        <f aca="false">IF(NOT(ISNUMBER(G123)),"",G123)</f>
        <v>4</v>
      </c>
      <c r="G123" s="34" t="n">
        <f aca="false">IF(COUNTIFS('LxI Assessment'!$A$5:$A$394,A123,'LxI Assessment'!$D$5:$D$394,D123,'LxI Assessment'!$F$5:$F$394,"N/A")&gt;0,"N/A",IF(COUNTIFS('LxI Assessment'!$A$5:$A$394,A123,'LxI Assessment'!$D$5:$D$394,D123,'LxI Assessment'!$S$5:$S$394,"&gt;0")=0,"",SUMIFS('LxI Assessment'!$S$5:$S$394,'LxI Assessment'!$A$5:$A$394,A123,'LxI Assessment'!$D$5:$D$394,D123)))</f>
        <v>4</v>
      </c>
      <c r="H123" s="7" t="str">
        <f aca="false">IF(G123="N/A","N/A",IF(G123="","No data",INDEX(Config!$B$5:$B$9,G123)))</f>
        <v>Medium-High</v>
      </c>
      <c r="I123" s="31" t="n">
        <f aca="false">IF(NOT(ISNUMBER($G123)),"",SUMPRODUCT(('Control Mapping'!$C$5:$C$83=D123)*('Control Mapping'!$L$5:$L$83&gt;0)))</f>
        <v>2</v>
      </c>
      <c r="J123" s="31" t="n">
        <f aca="false">IF(NOT(ISNUMBER($G123)),"",SUMPRODUCT(('Control Mapping'!$C$5:$C$83=D123)*('Control Mapping'!$F$5:$F$83="Y")*('Control Mapping'!$L$5:$L$83&gt;0)))</f>
        <v>1</v>
      </c>
      <c r="K123" s="31" t="n">
        <f aca="false">IF(NOT(ISNUMBER($G123)),"",SUMPRODUCT(('Control Mapping'!$C$5:$C$83=D123)*('Control Mapping'!$F$5:$F$83="Y")*('Control Mapping'!$L$5:$L$83=4)))</f>
        <v>1</v>
      </c>
      <c r="L123" s="29" t="n">
        <f aca="false">IF(NOT(ISNUMBER($G123)),"",IFERROR(SUMPRODUCT(('Control Mapping'!$C$5:$C$83=D123)*'Control Mapping'!$E$5:$E$83*'Control Mapping'!$L$5:$L$83)/SUMPRODUCT(('Control Mapping'!$C$5:$C$83=D123)*'Control Mapping'!$E$5:$E$83*('Control Mapping'!$L$5:$L$83&gt;0)),""))</f>
        <v>3.33333333333333</v>
      </c>
      <c r="M123" s="34" t="n">
        <f aca="false">IF(NOT(ISNUMBER($G123)),"",IF(J123=0,4,MAX(MATCH(L123,'Residual Config'!$E$11:$E$14,1),IF(K123&gt;0,'Residual Config'!$C$7,1))))</f>
        <v>3</v>
      </c>
      <c r="N123" s="7" t="str">
        <f aca="false">IF(NOT(ISNUMBER($G123)),"",IF(J123=0,"Ineffective (no key control)",INDEX('Residual Config'!$B$11:$B$14,M123)))</f>
        <v>Partially effective</v>
      </c>
      <c r="O123" s="36" t="n">
        <f aca="false">IF(NOT(ISNUMBER($G123)),"",IF(J123=0,0,SUMPRODUCT(('Control Mapping'!$C$5:$C$83=D123)*'Control Mapping'!$E$5:$E$83*(('Control Mapping'!$L$5:$L$83=1)*'Residual Config'!$D$11+('Control Mapping'!$L$5:$L$83=2)*'Residual Config'!$D$12+('Control Mapping'!$L$5:$L$83=3)*'Residual Config'!$D$13+('Control Mapping'!$L$5:$L$83=4)*'Residual Config'!$D$14))/SUMPRODUCT(('Control Mapping'!$C$5:$C$83=D123)*'Control Mapping'!$E$5:$E$83*('Control Mapping'!$L$5:$L$83&gt;0))))</f>
        <v>0.133333333333333</v>
      </c>
      <c r="P123" s="31" t="n">
        <f aca="false">IF(NOT(ISNUMBER($G123)),"",INDEX('Residual Config'!$B$19:$E$23,6-G123,M123))</f>
        <v>4</v>
      </c>
      <c r="Q123" s="29" t="n">
        <f aca="false">IF(NOT(ISNUMBER($G123)),"",MAX(1,F123*(1-O123)))</f>
        <v>3.46666666666667</v>
      </c>
      <c r="R123" s="31" t="n">
        <f aca="false">IF(NOT(ISNUMBER($G123)),"",MAX(MATCH(Q123,Config!$D$5:$D$9,1),G123-'Residual Config'!$C$6))</f>
        <v>4</v>
      </c>
      <c r="S123" s="34" t="n">
        <f aca="false">IF(NOT(ISNUMBER($G123)),"",IF('Residual Config'!$C$5="Numeric",R123,P123))</f>
        <v>4</v>
      </c>
      <c r="T123" s="7" t="str">
        <f aca="false">IF(G123="N/A","N/A",IF(S123="","No data",INDEX(Config!$B$5:$B$9,S123)))</f>
        <v>Medium-High</v>
      </c>
      <c r="U123" s="32" t="n">
        <v>0</v>
      </c>
      <c r="V123" s="8"/>
      <c r="W123" s="33"/>
      <c r="X123" s="34" t="n">
        <f aca="false">IF(S123="","",IF(AND(W123="Y",U123&lt;&gt;0),MAX(1,MIN(5,S123+MAX(-Config!$C$27,MIN(Config!$C$27,U123)))),S123))</f>
        <v>4</v>
      </c>
      <c r="Y123" s="35" t="str">
        <f aca="false">IF(G123="N/A","N/A",IF(X123="","No data",INDEX(Config!$B$5:$B$9,X123)))</f>
        <v>Medium-High</v>
      </c>
      <c r="Z123" s="7" t="str">
        <f aca="false">IF(U123=0,"None",IF(W123="Y","Applied","Pending HO approval"))</f>
        <v>None</v>
      </c>
      <c r="AA123" s="12" t="str">
        <f aca="false">INDEX('Risk Taxonomy'!$G$5:$G$24,MATCH(D123,'Risk Taxonomy'!$A$5:$A$24,0))</f>
        <v>Low</v>
      </c>
      <c r="AB123" s="7" t="str">
        <f aca="false">INDEX('Risk Taxonomy'!$H$5:$H$24,MATCH(D123,'Risk Taxonomy'!$A$5:$A$24,0))</f>
        <v>Medium</v>
      </c>
      <c r="AC123" s="35" t="str">
        <f aca="false">IF(NOT(ISNUMBER(X123)),"",IF(X123&lt;=MATCH(AB123,Config!$B$5:$B$9,0),"Within",IF(OR(X123-MATCH(AB123,Config!$B$5:$B$9,0)&gt;=2,AND('Residual Config'!$C$8="Y",ISNUMBER(SEARCH("Zero",AA123)))),"Red","Amber")))</f>
        <v>Amber</v>
      </c>
      <c r="AD123" s="12" t="str">
        <f aca="false">IF(AC123="Red","Group CCO / CRO and Country CEO within 2 business days; action plan in 15 days; report to Board Risk &amp; Compliance Committee",IF(AC123="Amber","Country CO, risk owner and HO Administrator within 5 business days; action plan in 30 days",""))</f>
        <v>Country CO, risk owner and HO Administrator within 5 business days; action plan in 30 days</v>
      </c>
    </row>
    <row r="124" customFormat="false" ht="15" hidden="false" customHeight="false" outlineLevel="0" collapsed="false">
      <c r="A124" s="26" t="str">
        <f aca="false">Entities!$A$10</f>
        <v>PS</v>
      </c>
      <c r="B124" s="12" t="str">
        <f aca="false">INDEX(Entities!$B$5:$B$34,MATCH(A124,Entities!$A$5:$A$34,0))</f>
        <v>Arab Bank – Palestine</v>
      </c>
      <c r="C124" s="12" t="str">
        <f aca="false">INDEX(Entities!$D$5:$D$34,MATCH(A124,Entities!$A$5:$A$34,0))</f>
        <v>Levant</v>
      </c>
      <c r="D124" s="12" t="s">
        <v>322</v>
      </c>
      <c r="E124" s="12" t="str">
        <f aca="false">INDEX('Risk Taxonomy'!$B$5:$B$24,MATCH(D124,'Risk Taxonomy'!$A$5:$A$24,0))</f>
        <v>Strategic, business model and ESG</v>
      </c>
      <c r="F124" s="29" t="n">
        <f aca="false">IF(NOT(ISNUMBER(G124)),"",G124)</f>
        <v>5</v>
      </c>
      <c r="G124" s="34" t="n">
        <f aca="false">IF(COUNTIFS('LxI Assessment'!$A$5:$A$394,A124,'LxI Assessment'!$D$5:$D$394,D124,'LxI Assessment'!$F$5:$F$394,"N/A")&gt;0,"N/A",IF(COUNTIFS('LxI Assessment'!$A$5:$A$394,A124,'LxI Assessment'!$D$5:$D$394,D124,'LxI Assessment'!$S$5:$S$394,"&gt;0")=0,"",SUMIFS('LxI Assessment'!$S$5:$S$394,'LxI Assessment'!$A$5:$A$394,A124,'LxI Assessment'!$D$5:$D$394,D124)))</f>
        <v>5</v>
      </c>
      <c r="H124" s="7" t="str">
        <f aca="false">IF(G124="N/A","N/A",IF(G124="","No data",INDEX(Config!$B$5:$B$9,G124)))</f>
        <v>High</v>
      </c>
      <c r="I124" s="31" t="n">
        <f aca="false">IF(NOT(ISNUMBER($G124)),"",SUMPRODUCT(('Control Mapping'!$C$5:$C$83=D124)*('Control Mapping'!$L$5:$L$83&gt;0)))</f>
        <v>1</v>
      </c>
      <c r="J124" s="31" t="n">
        <f aca="false">IF(NOT(ISNUMBER($G124)),"",SUMPRODUCT(('Control Mapping'!$C$5:$C$83=D124)*('Control Mapping'!$F$5:$F$83="Y")*('Control Mapping'!$L$5:$L$83&gt;0)))</f>
        <v>1</v>
      </c>
      <c r="K124" s="31" t="n">
        <f aca="false">IF(NOT(ISNUMBER($G124)),"",SUMPRODUCT(('Control Mapping'!$C$5:$C$83=D124)*('Control Mapping'!$F$5:$F$83="Y")*('Control Mapping'!$L$5:$L$83=4)))</f>
        <v>0</v>
      </c>
      <c r="L124" s="29" t="n">
        <f aca="false">IF(NOT(ISNUMBER($G124)),"",IFERROR(SUMPRODUCT(('Control Mapping'!$C$5:$C$83=D124)*'Control Mapping'!$E$5:$E$83*'Control Mapping'!$L$5:$L$83)/SUMPRODUCT(('Control Mapping'!$C$5:$C$83=D124)*'Control Mapping'!$E$5:$E$83*('Control Mapping'!$L$5:$L$83&gt;0)),""))</f>
        <v>2</v>
      </c>
      <c r="M124" s="34" t="n">
        <f aca="false">IF(NOT(ISNUMBER($G124)),"",IF(J124=0,4,MAX(MATCH(L124,'Residual Config'!$E$11:$E$14,1),IF(K124&gt;0,'Residual Config'!$C$7,1))))</f>
        <v>2</v>
      </c>
      <c r="N124" s="7" t="str">
        <f aca="false">IF(NOT(ISNUMBER($G124)),"",IF(J124=0,"Ineffective (no key control)",INDEX('Residual Config'!$B$11:$B$14,M124)))</f>
        <v>Largely effective</v>
      </c>
      <c r="O124" s="36" t="n">
        <f aca="false">IF(NOT(ISNUMBER($G124)),"",IF(J124=0,0,SUMPRODUCT(('Control Mapping'!$C$5:$C$83=D124)*'Control Mapping'!$E$5:$E$83*(('Control Mapping'!$L$5:$L$83=1)*'Residual Config'!$D$11+('Control Mapping'!$L$5:$L$83=2)*'Residual Config'!$D$12+('Control Mapping'!$L$5:$L$83=3)*'Residual Config'!$D$13+('Control Mapping'!$L$5:$L$83=4)*'Residual Config'!$D$14))/SUMPRODUCT(('Control Mapping'!$C$5:$C$83=D124)*'Control Mapping'!$E$5:$E$83*('Control Mapping'!$L$5:$L$83&gt;0))))</f>
        <v>0.4</v>
      </c>
      <c r="P124" s="31" t="n">
        <f aca="false">IF(NOT(ISNUMBER($G124)),"",INDEX('Residual Config'!$B$19:$E$23,6-G124,M124))</f>
        <v>4</v>
      </c>
      <c r="Q124" s="29" t="n">
        <f aca="false">IF(NOT(ISNUMBER($G124)),"",MAX(1,F124*(1-O124)))</f>
        <v>3</v>
      </c>
      <c r="R124" s="31" t="n">
        <f aca="false">IF(NOT(ISNUMBER($G124)),"",MAX(MATCH(Q124,Config!$D$5:$D$9,1),G124-'Residual Config'!$C$6))</f>
        <v>3</v>
      </c>
      <c r="S124" s="34" t="n">
        <f aca="false">IF(NOT(ISNUMBER($G124)),"",IF('Residual Config'!$C$5="Numeric",R124,P124))</f>
        <v>4</v>
      </c>
      <c r="T124" s="7" t="str">
        <f aca="false">IF(G124="N/A","N/A",IF(S124="","No data",INDEX(Config!$B$5:$B$9,S124)))</f>
        <v>Medium-High</v>
      </c>
      <c r="U124" s="32" t="n">
        <v>0</v>
      </c>
      <c r="V124" s="8"/>
      <c r="W124" s="33"/>
      <c r="X124" s="34" t="n">
        <f aca="false">IF(S124="","",IF(AND(W124="Y",U124&lt;&gt;0),MAX(1,MIN(5,S124+MAX(-Config!$C$27,MIN(Config!$C$27,U124)))),S124))</f>
        <v>4</v>
      </c>
      <c r="Y124" s="35" t="str">
        <f aca="false">IF(G124="N/A","N/A",IF(X124="","No data",INDEX(Config!$B$5:$B$9,X124)))</f>
        <v>Medium-High</v>
      </c>
      <c r="Z124" s="7" t="str">
        <f aca="false">IF(U124=0,"None",IF(W124="Y","Applied","Pending HO approval"))</f>
        <v>None</v>
      </c>
      <c r="AA124" s="12" t="str">
        <f aca="false">INDEX('Risk Taxonomy'!$G$5:$G$24,MATCH(D124,'Risk Taxonomy'!$A$5:$A$24,0))</f>
        <v>Moderate</v>
      </c>
      <c r="AB124" s="7" t="str">
        <f aca="false">INDEX('Risk Taxonomy'!$H$5:$H$24,MATCH(D124,'Risk Taxonomy'!$A$5:$A$24,0))</f>
        <v>Medium-High</v>
      </c>
      <c r="AC124" s="35" t="str">
        <f aca="false">IF(NOT(ISNUMBER(X124)),"",IF(X124&lt;=MATCH(AB124,Config!$B$5:$B$9,0),"Within",IF(OR(X124-MATCH(AB124,Config!$B$5:$B$9,0)&gt;=2,AND('Residual Config'!$C$8="Y",ISNUMBER(SEARCH("Zero",AA124)))),"Red","Amber")))</f>
        <v>Within</v>
      </c>
      <c r="AD124" s="12" t="str">
        <f aca="false">IF(AC124="Red","Group CCO / CRO and Country CEO within 2 business days; action plan in 15 days; report to Board Risk &amp; Compliance Committee",IF(AC124="Amber","Country CO, risk owner and HO Administrator within 5 business days; action plan in 30 days",""))</f>
        <v/>
      </c>
    </row>
    <row r="125" customFormat="false" ht="15" hidden="false" customHeight="false" outlineLevel="0" collapsed="false">
      <c r="A125" s="26" t="str">
        <f aca="false">Entities!$A$11</f>
        <v>PS-INV</v>
      </c>
      <c r="B125" s="12" t="str">
        <f aca="false">INDEX(Entities!$B$5:$B$34,MATCH(A125,Entities!$A$5:$A$34,0))</f>
        <v>Al-Arabi Investment Group – Palestine</v>
      </c>
      <c r="C125" s="12" t="str">
        <f aca="false">INDEX(Entities!$D$5:$D$34,MATCH(A125,Entities!$A$5:$A$34,0))</f>
        <v>Levant</v>
      </c>
      <c r="D125" s="12" t="s">
        <v>260</v>
      </c>
      <c r="E125" s="12" t="str">
        <f aca="false">INDEX('Risk Taxonomy'!$B$5:$B$24,MATCH(D125,'Risk Taxonomy'!$A$5:$A$24,0))</f>
        <v>Money laundering</v>
      </c>
      <c r="F125" s="29" t="n">
        <f aca="false">IF(NOT(ISNUMBER(G125)),"",IFERROR(IF(MATCH(SUMIFS('FC Calculation'!$N$5:$N$214,'FC Calculation'!$A$5:$A$214,A125,'FC Calculation'!$D$5:$D$214,D125),Config!$D$5:$D$9,1)=G125,SUMIFS('FC Calculation'!$N$5:$N$214,'FC Calculation'!$A$5:$A$214,A125,'FC Calculation'!$D$5:$D$214,D125),G125),G125))</f>
        <v>3.42111111111111</v>
      </c>
      <c r="G125" s="34" t="n">
        <f aca="false">IF(COUNTIFS('FC Calculation'!$A$5:$A$214,A125,'FC Calculation'!$D$5:$D$214,D125,'FC Calculation'!$T$5:$T$214,"&gt;0")=0,"",SUMIFS('FC Calculation'!$T$5:$T$214,'FC Calculation'!$A$5:$A$214,A125,'FC Calculation'!$D$5:$D$214,D125))</f>
        <v>4</v>
      </c>
      <c r="H125" s="7" t="str">
        <f aca="false">IF(G125="N/A","N/A",IF(G125="","No data",INDEX(Config!$B$5:$B$9,G125)))</f>
        <v>Medium-High</v>
      </c>
      <c r="I125" s="31" t="n">
        <f aca="false">IF(NOT(ISNUMBER($G125)),"",SUMPRODUCT(('Control Mapping'!$C$5:$C$83=D125)*('Control Mapping'!$M$5:$M$83&gt;0)))</f>
        <v>8</v>
      </c>
      <c r="J125" s="31" t="n">
        <f aca="false">IF(NOT(ISNUMBER($G125)),"",SUMPRODUCT(('Control Mapping'!$C$5:$C$83=D125)*('Control Mapping'!$F$5:$F$83="Y")*('Control Mapping'!$M$5:$M$83&gt;0)))</f>
        <v>6</v>
      </c>
      <c r="K125" s="31" t="n">
        <f aca="false">IF(NOT(ISNUMBER($G125)),"",SUMPRODUCT(('Control Mapping'!$C$5:$C$83=D125)*('Control Mapping'!$F$5:$F$83="Y")*('Control Mapping'!$M$5:$M$83=4)))</f>
        <v>1</v>
      </c>
      <c r="L125" s="29" t="n">
        <f aca="false">IF(NOT(ISNUMBER($G125)),"",IFERROR(SUMPRODUCT(('Control Mapping'!$C$5:$C$83=D125)*'Control Mapping'!$E$5:$E$83*'Control Mapping'!$M$5:$M$83)/SUMPRODUCT(('Control Mapping'!$C$5:$C$83=D125)*'Control Mapping'!$E$5:$E$83*('Control Mapping'!$M$5:$M$83&gt;0)),""))</f>
        <v>2.5</v>
      </c>
      <c r="M125" s="34" t="n">
        <f aca="false">IF(NOT(ISNUMBER($G125)),"",IF(J125=0,4,MAX(MATCH(L125,'Residual Config'!$E$11:$E$14,1),IF(K125&gt;0,'Residual Config'!$C$7,1))))</f>
        <v>3</v>
      </c>
      <c r="N125" s="7" t="str">
        <f aca="false">IF(NOT(ISNUMBER($G125)),"",IF(J125=0,"Ineffective (no key control)",INDEX('Residual Config'!$B$11:$B$14,M125)))</f>
        <v>Partially effective</v>
      </c>
      <c r="O125" s="36" t="n">
        <f aca="false">IF(NOT(ISNUMBER($G125)),"",IF(J125=0,0,SUMPRODUCT(('Control Mapping'!$C$5:$C$83=D125)*'Control Mapping'!$E$5:$E$83*(('Control Mapping'!$M$5:$M$83=1)*'Residual Config'!$D$11+('Control Mapping'!$M$5:$M$83=2)*'Residual Config'!$D$12+('Control Mapping'!$M$5:$M$83=3)*'Residual Config'!$D$13+('Control Mapping'!$M$5:$M$83=4)*'Residual Config'!$D$14))/SUMPRODUCT(('Control Mapping'!$C$5:$C$83=D125)*'Control Mapping'!$E$5:$E$83*('Control Mapping'!$M$5:$M$83&gt;0))))</f>
        <v>0.3</v>
      </c>
      <c r="P125" s="31" t="n">
        <f aca="false">IF(NOT(ISNUMBER($G125)),"",INDEX('Residual Config'!$B$19:$E$23,6-G125,M125))</f>
        <v>4</v>
      </c>
      <c r="Q125" s="29" t="n">
        <f aca="false">IF(NOT(ISNUMBER($G125)),"",MAX(1,F125*(1-O125)))</f>
        <v>2.39477777777778</v>
      </c>
      <c r="R125" s="31" t="n">
        <f aca="false">IF(NOT(ISNUMBER($G125)),"",MAX(MATCH(Q125,Config!$D$5:$D$9,1),G125-'Residual Config'!$C$6))</f>
        <v>2</v>
      </c>
      <c r="S125" s="34" t="n">
        <f aca="false">IF(NOT(ISNUMBER($G125)),"",IF('Residual Config'!$C$5="Numeric",R125,P125))</f>
        <v>4</v>
      </c>
      <c r="T125" s="7" t="str">
        <f aca="false">IF(G125="N/A","N/A",IF(S125="","No data",INDEX(Config!$B$5:$B$9,S125)))</f>
        <v>Medium-High</v>
      </c>
      <c r="U125" s="32" t="n">
        <v>0</v>
      </c>
      <c r="V125" s="8"/>
      <c r="W125" s="33"/>
      <c r="X125" s="34" t="n">
        <f aca="false">IF(S125="","",IF(AND(W125="Y",U125&lt;&gt;0),MAX(1,MIN(5,S125+MAX(-Config!$C$27,MIN(Config!$C$27,U125)))),S125))</f>
        <v>4</v>
      </c>
      <c r="Y125" s="35" t="str">
        <f aca="false">IF(G125="N/A","N/A",IF(X125="","No data",INDEX(Config!$B$5:$B$9,X125)))</f>
        <v>Medium-High</v>
      </c>
      <c r="Z125" s="7" t="str">
        <f aca="false">IF(U125=0,"None",IF(W125="Y","Applied","Pending HO approval"))</f>
        <v>None</v>
      </c>
      <c r="AA125" s="12" t="str">
        <f aca="false">INDEX('Risk Taxonomy'!$G$5:$G$24,MATCH(D125,'Risk Taxonomy'!$A$5:$A$24,0))</f>
        <v>Very low</v>
      </c>
      <c r="AB125" s="7" t="str">
        <f aca="false">INDEX('Risk Taxonomy'!$H$5:$H$24,MATCH(D125,'Risk Taxonomy'!$A$5:$A$24,0))</f>
        <v>Medium-Low</v>
      </c>
      <c r="AC125" s="35" t="str">
        <f aca="false">IF(NOT(ISNUMBER(X125)),"",IF(X125&lt;=MATCH(AB125,Config!$B$5:$B$9,0),"Within",IF(OR(X125-MATCH(AB125,Config!$B$5:$B$9,0)&gt;=2,AND('Residual Config'!$C$8="Y",ISNUMBER(SEARCH("Zero",AA125)))),"Red","Amber")))</f>
        <v>Red</v>
      </c>
      <c r="AD125" s="12" t="str">
        <f aca="false">IF(AC125="Red","Group CCO / CRO and Country CEO within 2 business days; action plan in 15 days; report to Board Risk &amp; Compliance Committee",IF(AC125="Amber","Country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26" customFormat="false" ht="15" hidden="false" customHeight="false" outlineLevel="0" collapsed="false">
      <c r="A126" s="26" t="str">
        <f aca="false">Entities!$A$11</f>
        <v>PS-INV</v>
      </c>
      <c r="B126" s="12" t="str">
        <f aca="false">INDEX(Entities!$B$5:$B$34,MATCH(A126,Entities!$A$5:$A$34,0))</f>
        <v>Al-Arabi Investment Group – Palestine</v>
      </c>
      <c r="C126" s="12" t="str">
        <f aca="false">INDEX(Entities!$D$5:$D$34,MATCH(A126,Entities!$A$5:$A$34,0))</f>
        <v>Levant</v>
      </c>
      <c r="D126" s="12" t="s">
        <v>267</v>
      </c>
      <c r="E126" s="12" t="str">
        <f aca="false">INDEX('Risk Taxonomy'!$B$5:$B$24,MATCH(D126,'Risk Taxonomy'!$A$5:$A$24,0))</f>
        <v>Terrorist financing</v>
      </c>
      <c r="F126" s="29" t="n">
        <f aca="false">IF(NOT(ISNUMBER(G126)),"",IFERROR(IF(MATCH(SUMIFS('FC Calculation'!$N$5:$N$214,'FC Calculation'!$A$5:$A$214,A126,'FC Calculation'!$D$5:$D$214,D126),Config!$D$5:$D$9,1)=G126,SUMIFS('FC Calculation'!$N$5:$N$214,'FC Calculation'!$A$5:$A$214,A126,'FC Calculation'!$D$5:$D$214,D126),G126),G126))</f>
        <v>3.20952380952381</v>
      </c>
      <c r="G126" s="34" t="n">
        <f aca="false">IF(COUNTIFS('FC Calculation'!$A$5:$A$214,A126,'FC Calculation'!$D$5:$D$214,D126,'FC Calculation'!$T$5:$T$214,"&gt;0")=0,"",SUMIFS('FC Calculation'!$T$5:$T$214,'FC Calculation'!$A$5:$A$214,A126,'FC Calculation'!$D$5:$D$214,D126))</f>
        <v>3</v>
      </c>
      <c r="H126" s="7" t="str">
        <f aca="false">IF(G126="N/A","N/A",IF(G126="","No data",INDEX(Config!$B$5:$B$9,G126)))</f>
        <v>Medium</v>
      </c>
      <c r="I126" s="31" t="n">
        <f aca="false">IF(NOT(ISNUMBER($G126)),"",SUMPRODUCT(('Control Mapping'!$C$5:$C$83=D126)*('Control Mapping'!$M$5:$M$83&gt;0)))</f>
        <v>9</v>
      </c>
      <c r="J126" s="31" t="n">
        <f aca="false">IF(NOT(ISNUMBER($G126)),"",SUMPRODUCT(('Control Mapping'!$C$5:$C$83=D126)*('Control Mapping'!$F$5:$F$83="Y")*('Control Mapping'!$M$5:$M$83&gt;0)))</f>
        <v>7</v>
      </c>
      <c r="K126" s="31" t="n">
        <f aca="false">IF(NOT(ISNUMBER($G126)),"",SUMPRODUCT(('Control Mapping'!$C$5:$C$83=D126)*('Control Mapping'!$F$5:$F$83="Y")*('Control Mapping'!$M$5:$M$83=4)))</f>
        <v>2</v>
      </c>
      <c r="L126" s="29" t="n">
        <f aca="false">IF(NOT(ISNUMBER($G126)),"",IFERROR(SUMPRODUCT(('Control Mapping'!$C$5:$C$83=D126)*'Control Mapping'!$E$5:$E$83*'Control Mapping'!$M$5:$M$83)/SUMPRODUCT(('Control Mapping'!$C$5:$C$83=D126)*'Control Mapping'!$E$5:$E$83*('Control Mapping'!$M$5:$M$83&gt;0)),""))</f>
        <v>2.73333333333333</v>
      </c>
      <c r="M126" s="34" t="n">
        <f aca="false">IF(NOT(ISNUMBER($G126)),"",IF(J126=0,4,MAX(MATCH(L126,'Residual Config'!$E$11:$E$14,1),IF(K126&gt;0,'Residual Config'!$C$7,1))))</f>
        <v>3</v>
      </c>
      <c r="N126" s="7" t="str">
        <f aca="false">IF(NOT(ISNUMBER($G126)),"",IF(J126=0,"Ineffective (no key control)",INDEX('Residual Config'!$B$11:$B$14,M126)))</f>
        <v>Partially effective</v>
      </c>
      <c r="O126" s="36" t="n">
        <f aca="false">IF(NOT(ISNUMBER($G126)),"",IF(J126=0,0,SUMPRODUCT(('Control Mapping'!$C$5:$C$83=D126)*'Control Mapping'!$E$5:$E$83*(('Control Mapping'!$M$5:$M$83=1)*'Residual Config'!$D$11+('Control Mapping'!$M$5:$M$83=2)*'Residual Config'!$D$12+('Control Mapping'!$M$5:$M$83=3)*'Residual Config'!$D$13+('Control Mapping'!$M$5:$M$83=4)*'Residual Config'!$D$14))/SUMPRODUCT(('Control Mapping'!$C$5:$C$83=D126)*'Control Mapping'!$E$5:$E$83*('Control Mapping'!$M$5:$M$83&gt;0))))</f>
        <v>0.253333333333333</v>
      </c>
      <c r="P126" s="31" t="n">
        <f aca="false">IF(NOT(ISNUMBER($G126)),"",INDEX('Residual Config'!$B$19:$E$23,6-G126,M126))</f>
        <v>3</v>
      </c>
      <c r="Q126" s="29" t="n">
        <f aca="false">IF(NOT(ISNUMBER($G126)),"",MAX(1,F126*(1-O126)))</f>
        <v>2.39644444444444</v>
      </c>
      <c r="R126" s="31" t="n">
        <f aca="false">IF(NOT(ISNUMBER($G126)),"",MAX(MATCH(Q126,Config!$D$5:$D$9,1),G126-'Residual Config'!$C$6))</f>
        <v>2</v>
      </c>
      <c r="S126" s="34" t="n">
        <f aca="false">IF(NOT(ISNUMBER($G126)),"",IF('Residual Config'!$C$5="Numeric",R126,P126))</f>
        <v>3</v>
      </c>
      <c r="T126" s="7" t="str">
        <f aca="false">IF(G126="N/A","N/A",IF(S126="","No data",INDEX(Config!$B$5:$B$9,S126)))</f>
        <v>Medium</v>
      </c>
      <c r="U126" s="32" t="n">
        <v>0</v>
      </c>
      <c r="V126" s="8"/>
      <c r="W126" s="33"/>
      <c r="X126" s="34" t="n">
        <f aca="false">IF(S126="","",IF(AND(W126="Y",U126&lt;&gt;0),MAX(1,MIN(5,S126+MAX(-Config!$C$27,MIN(Config!$C$27,U126)))),S126))</f>
        <v>3</v>
      </c>
      <c r="Y126" s="35" t="str">
        <f aca="false">IF(G126="N/A","N/A",IF(X126="","No data",INDEX(Config!$B$5:$B$9,X126)))</f>
        <v>Medium</v>
      </c>
      <c r="Z126" s="7" t="str">
        <f aca="false">IF(U126=0,"None",IF(W126="Y","Applied","Pending HO approval"))</f>
        <v>None</v>
      </c>
      <c r="AA126" s="12" t="str">
        <f aca="false">INDEX('Risk Taxonomy'!$G$5:$G$24,MATCH(D126,'Risk Taxonomy'!$A$5:$A$24,0))</f>
        <v>Zero tolerance</v>
      </c>
      <c r="AB126" s="7" t="str">
        <f aca="false">INDEX('Risk Taxonomy'!$H$5:$H$24,MATCH(D126,'Risk Taxonomy'!$A$5:$A$24,0))</f>
        <v>Low</v>
      </c>
      <c r="AC126" s="35" t="str">
        <f aca="false">IF(NOT(ISNUMBER(X126)),"",IF(X126&lt;=MATCH(AB126,Config!$B$5:$B$9,0),"Within",IF(OR(X126-MATCH(AB126,Config!$B$5:$B$9,0)&gt;=2,AND('Residual Config'!$C$8="Y",ISNUMBER(SEARCH("Zero",AA126)))),"Red","Amber")))</f>
        <v>Red</v>
      </c>
      <c r="AD126" s="12" t="str">
        <f aca="false">IF(AC126="Red","Group CCO / CRO and Country CEO within 2 business days; action plan in 15 days; report to Board Risk &amp; Compliance Committee",IF(AC126="Amber","Country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27" customFormat="false" ht="15" hidden="false" customHeight="false" outlineLevel="0" collapsed="false">
      <c r="A127" s="26" t="str">
        <f aca="false">Entities!$A$11</f>
        <v>PS-INV</v>
      </c>
      <c r="B127" s="12" t="str">
        <f aca="false">INDEX(Entities!$B$5:$B$34,MATCH(A127,Entities!$A$5:$A$34,0))</f>
        <v>Al-Arabi Investment Group – Palestine</v>
      </c>
      <c r="C127" s="12" t="str">
        <f aca="false">INDEX(Entities!$D$5:$D$34,MATCH(A127,Entities!$A$5:$A$34,0))</f>
        <v>Levant</v>
      </c>
      <c r="D127" s="12" t="s">
        <v>270</v>
      </c>
      <c r="E127" s="12" t="str">
        <f aca="false">INDEX('Risk Taxonomy'!$B$5:$B$24,MATCH(D127,'Risk Taxonomy'!$A$5:$A$24,0))</f>
        <v>Proliferation financing</v>
      </c>
      <c r="F127" s="29" t="n">
        <f aca="false">IF(NOT(ISNUMBER(G127)),"",IFERROR(IF(MATCH(SUMIFS('FC Calculation'!$N$5:$N$214,'FC Calculation'!$A$5:$A$214,A127,'FC Calculation'!$D$5:$D$214,D127),Config!$D$5:$D$9,1)=G127,SUMIFS('FC Calculation'!$N$5:$N$214,'FC Calculation'!$A$5:$A$214,A127,'FC Calculation'!$D$5:$D$214,D127),G127),G127))</f>
        <v>2.74583333333333</v>
      </c>
      <c r="G127" s="34" t="n">
        <f aca="false">IF(COUNTIFS('FC Calculation'!$A$5:$A$214,A127,'FC Calculation'!$D$5:$D$214,D127,'FC Calculation'!$T$5:$T$214,"&gt;0")=0,"",SUMIFS('FC Calculation'!$T$5:$T$214,'FC Calculation'!$A$5:$A$214,A127,'FC Calculation'!$D$5:$D$214,D127))</f>
        <v>3</v>
      </c>
      <c r="H127" s="7" t="str">
        <f aca="false">IF(G127="N/A","N/A",IF(G127="","No data",INDEX(Config!$B$5:$B$9,G127)))</f>
        <v>Medium</v>
      </c>
      <c r="I127" s="31" t="n">
        <f aca="false">IF(NOT(ISNUMBER($G127)),"",SUMPRODUCT(('Control Mapping'!$C$5:$C$83=D127)*('Control Mapping'!$M$5:$M$83&gt;0)))</f>
        <v>3</v>
      </c>
      <c r="J127" s="31" t="n">
        <f aca="false">IF(NOT(ISNUMBER($G127)),"",SUMPRODUCT(('Control Mapping'!$C$5:$C$83=D127)*('Control Mapping'!$F$5:$F$83="Y")*('Control Mapping'!$M$5:$M$83&gt;0)))</f>
        <v>3</v>
      </c>
      <c r="K127" s="31" t="n">
        <f aca="false">IF(NOT(ISNUMBER($G127)),"",SUMPRODUCT(('Control Mapping'!$C$5:$C$83=D127)*('Control Mapping'!$F$5:$F$83="Y")*('Control Mapping'!$M$5:$M$83=4)))</f>
        <v>1</v>
      </c>
      <c r="L127" s="29" t="n">
        <f aca="false">IF(NOT(ISNUMBER($G127)),"",IFERROR(SUMPRODUCT(('Control Mapping'!$C$5:$C$83=D127)*'Control Mapping'!$E$5:$E$83*'Control Mapping'!$M$5:$M$83)/SUMPRODUCT(('Control Mapping'!$C$5:$C$83=D127)*'Control Mapping'!$E$5:$E$83*('Control Mapping'!$M$5:$M$83&gt;0)),""))</f>
        <v>2.4</v>
      </c>
      <c r="M127" s="34" t="n">
        <f aca="false">IF(NOT(ISNUMBER($G127)),"",IF(J127=0,4,MAX(MATCH(L127,'Residual Config'!$E$11:$E$14,1),IF(K127&gt;0,'Residual Config'!$C$7,1))))</f>
        <v>3</v>
      </c>
      <c r="N127" s="7" t="str">
        <f aca="false">IF(NOT(ISNUMBER($G127)),"",IF(J127=0,"Ineffective (no key control)",INDEX('Residual Config'!$B$11:$B$14,M127)))</f>
        <v>Partially effective</v>
      </c>
      <c r="O127" s="36" t="n">
        <f aca="false">IF(NOT(ISNUMBER($G127)),"",IF(J127=0,0,SUMPRODUCT(('Control Mapping'!$C$5:$C$83=D127)*'Control Mapping'!$E$5:$E$83*(('Control Mapping'!$M$5:$M$83=1)*'Residual Config'!$D$11+('Control Mapping'!$M$5:$M$83=2)*'Residual Config'!$D$12+('Control Mapping'!$M$5:$M$83=3)*'Residual Config'!$D$13+('Control Mapping'!$M$5:$M$83=4)*'Residual Config'!$D$14))/SUMPRODUCT(('Control Mapping'!$C$5:$C$83=D127)*'Control Mapping'!$E$5:$E$83*('Control Mapping'!$M$5:$M$83&gt;0))))</f>
        <v>0.32</v>
      </c>
      <c r="P127" s="31" t="n">
        <f aca="false">IF(NOT(ISNUMBER($G127)),"",INDEX('Residual Config'!$B$19:$E$23,6-G127,M127))</f>
        <v>3</v>
      </c>
      <c r="Q127" s="29" t="n">
        <f aca="false">IF(NOT(ISNUMBER($G127)),"",MAX(1,F127*(1-O127)))</f>
        <v>1.86716666666667</v>
      </c>
      <c r="R127" s="31" t="n">
        <f aca="false">IF(NOT(ISNUMBER($G127)),"",MAX(MATCH(Q127,Config!$D$5:$D$9,1),G127-'Residual Config'!$C$6))</f>
        <v>2</v>
      </c>
      <c r="S127" s="34" t="n">
        <f aca="false">IF(NOT(ISNUMBER($G127)),"",IF('Residual Config'!$C$5="Numeric",R127,P127))</f>
        <v>3</v>
      </c>
      <c r="T127" s="7" t="str">
        <f aca="false">IF(G127="N/A","N/A",IF(S127="","No data",INDEX(Config!$B$5:$B$9,S127)))</f>
        <v>Medium</v>
      </c>
      <c r="U127" s="32" t="n">
        <v>0</v>
      </c>
      <c r="V127" s="8"/>
      <c r="W127" s="33"/>
      <c r="X127" s="34" t="n">
        <f aca="false">IF(S127="","",IF(AND(W127="Y",U127&lt;&gt;0),MAX(1,MIN(5,S127+MAX(-Config!$C$27,MIN(Config!$C$27,U127)))),S127))</f>
        <v>3</v>
      </c>
      <c r="Y127" s="35" t="str">
        <f aca="false">IF(G127="N/A","N/A",IF(X127="","No data",INDEX(Config!$B$5:$B$9,X127)))</f>
        <v>Medium</v>
      </c>
      <c r="Z127" s="7" t="str">
        <f aca="false">IF(U127=0,"None",IF(W127="Y","Applied","Pending HO approval"))</f>
        <v>None</v>
      </c>
      <c r="AA127" s="12" t="str">
        <f aca="false">INDEX('Risk Taxonomy'!$G$5:$G$24,MATCH(D127,'Risk Taxonomy'!$A$5:$A$24,0))</f>
        <v>Zero tolerance</v>
      </c>
      <c r="AB127" s="7" t="str">
        <f aca="false">INDEX('Risk Taxonomy'!$H$5:$H$24,MATCH(D127,'Risk Taxonomy'!$A$5:$A$24,0))</f>
        <v>Low</v>
      </c>
      <c r="AC127" s="35" t="str">
        <f aca="false">IF(NOT(ISNUMBER(X127)),"",IF(X127&lt;=MATCH(AB127,Config!$B$5:$B$9,0),"Within",IF(OR(X127-MATCH(AB127,Config!$B$5:$B$9,0)&gt;=2,AND('Residual Config'!$C$8="Y",ISNUMBER(SEARCH("Zero",AA127)))),"Red","Amber")))</f>
        <v>Red</v>
      </c>
      <c r="AD127" s="12" t="str">
        <f aca="false">IF(AC127="Red","Group CCO / CRO and Country CEO within 2 business days; action plan in 15 days; report to Board Risk &amp; Compliance Committee",IF(AC127="Amber","Country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28" customFormat="false" ht="15" hidden="false" customHeight="false" outlineLevel="0" collapsed="false">
      <c r="A128" s="26" t="str">
        <f aca="false">Entities!$A$11</f>
        <v>PS-INV</v>
      </c>
      <c r="B128" s="12" t="str">
        <f aca="false">INDEX(Entities!$B$5:$B$34,MATCH(A128,Entities!$A$5:$A$34,0))</f>
        <v>Al-Arabi Investment Group – Palestine</v>
      </c>
      <c r="C128" s="12" t="str">
        <f aca="false">INDEX(Entities!$D$5:$D$34,MATCH(A128,Entities!$A$5:$A$34,0))</f>
        <v>Levant</v>
      </c>
      <c r="D128" s="12" t="s">
        <v>272</v>
      </c>
      <c r="E128" s="12" t="str">
        <f aca="false">INDEX('Risk Taxonomy'!$B$5:$B$24,MATCH(D128,'Risk Taxonomy'!$A$5:$A$24,0))</f>
        <v>Sanctions</v>
      </c>
      <c r="F128" s="29" t="n">
        <f aca="false">IF(NOT(ISNUMBER(G128)),"",IFERROR(IF(MATCH(SUMIFS('FC Calculation'!$N$5:$N$214,'FC Calculation'!$A$5:$A$214,A128,'FC Calculation'!$D$5:$D$214,D128),Config!$D$5:$D$9,1)=G128,SUMIFS('FC Calculation'!$N$5:$N$214,'FC Calculation'!$A$5:$A$214,A128,'FC Calculation'!$D$5:$D$214,D128),G128),G128))</f>
        <v>3.185</v>
      </c>
      <c r="G128" s="34" t="n">
        <f aca="false">IF(COUNTIFS('FC Calculation'!$A$5:$A$214,A128,'FC Calculation'!$D$5:$D$214,D128,'FC Calculation'!$T$5:$T$214,"&gt;0")=0,"",SUMIFS('FC Calculation'!$T$5:$T$214,'FC Calculation'!$A$5:$A$214,A128,'FC Calculation'!$D$5:$D$214,D128))</f>
        <v>3</v>
      </c>
      <c r="H128" s="7" t="str">
        <f aca="false">IF(G128="N/A","N/A",IF(G128="","No data",INDEX(Config!$B$5:$B$9,G128)))</f>
        <v>Medium</v>
      </c>
      <c r="I128" s="31" t="n">
        <f aca="false">IF(NOT(ISNUMBER($G128)),"",SUMPRODUCT(('Control Mapping'!$C$5:$C$83=D128)*('Control Mapping'!$M$5:$M$83&gt;0)))</f>
        <v>5</v>
      </c>
      <c r="J128" s="31" t="n">
        <f aca="false">IF(NOT(ISNUMBER($G128)),"",SUMPRODUCT(('Control Mapping'!$C$5:$C$83=D128)*('Control Mapping'!$F$5:$F$83="Y")*('Control Mapping'!$M$5:$M$83&gt;0)))</f>
        <v>3</v>
      </c>
      <c r="K128" s="31" t="n">
        <f aca="false">IF(NOT(ISNUMBER($G128)),"",SUMPRODUCT(('Control Mapping'!$C$5:$C$83=D128)*('Control Mapping'!$F$5:$F$83="Y")*('Control Mapping'!$M$5:$M$83=4)))</f>
        <v>1</v>
      </c>
      <c r="L128" s="29" t="n">
        <f aca="false">IF(NOT(ISNUMBER($G128)),"",IFERROR(SUMPRODUCT(('Control Mapping'!$C$5:$C$83=D128)*'Control Mapping'!$E$5:$E$83*'Control Mapping'!$M$5:$M$83)/SUMPRODUCT(('Control Mapping'!$C$5:$C$83=D128)*'Control Mapping'!$E$5:$E$83*('Control Mapping'!$M$5:$M$83&gt;0)),""))</f>
        <v>2.625</v>
      </c>
      <c r="M128" s="34" t="n">
        <f aca="false">IF(NOT(ISNUMBER($G128)),"",IF(J128=0,4,MAX(MATCH(L128,'Residual Config'!$E$11:$E$14,1),IF(K128&gt;0,'Residual Config'!$C$7,1))))</f>
        <v>3</v>
      </c>
      <c r="N128" s="7" t="str">
        <f aca="false">IF(NOT(ISNUMBER($G128)),"",IF(J128=0,"Ineffective (no key control)",INDEX('Residual Config'!$B$11:$B$14,M128)))</f>
        <v>Partially effective</v>
      </c>
      <c r="O128" s="36" t="n">
        <f aca="false">IF(NOT(ISNUMBER($G128)),"",IF(J128=0,0,SUMPRODUCT(('Control Mapping'!$C$5:$C$83=D128)*'Control Mapping'!$E$5:$E$83*(('Control Mapping'!$M$5:$M$83=1)*'Residual Config'!$D$11+('Control Mapping'!$M$5:$M$83=2)*'Residual Config'!$D$12+('Control Mapping'!$M$5:$M$83=3)*'Residual Config'!$D$13+('Control Mapping'!$M$5:$M$83=4)*'Residual Config'!$D$14))/SUMPRODUCT(('Control Mapping'!$C$5:$C$83=D128)*'Control Mapping'!$E$5:$E$83*('Control Mapping'!$M$5:$M$83&gt;0))))</f>
        <v>0.275</v>
      </c>
      <c r="P128" s="31" t="n">
        <f aca="false">IF(NOT(ISNUMBER($G128)),"",INDEX('Residual Config'!$B$19:$E$23,6-G128,M128))</f>
        <v>3</v>
      </c>
      <c r="Q128" s="29" t="n">
        <f aca="false">IF(NOT(ISNUMBER($G128)),"",MAX(1,F128*(1-O128)))</f>
        <v>2.309125</v>
      </c>
      <c r="R128" s="31" t="n">
        <f aca="false">IF(NOT(ISNUMBER($G128)),"",MAX(MATCH(Q128,Config!$D$5:$D$9,1),G128-'Residual Config'!$C$6))</f>
        <v>2</v>
      </c>
      <c r="S128" s="34" t="n">
        <f aca="false">IF(NOT(ISNUMBER($G128)),"",IF('Residual Config'!$C$5="Numeric",R128,P128))</f>
        <v>3</v>
      </c>
      <c r="T128" s="7" t="str">
        <f aca="false">IF(G128="N/A","N/A",IF(S128="","No data",INDEX(Config!$B$5:$B$9,S128)))</f>
        <v>Medium</v>
      </c>
      <c r="U128" s="32" t="n">
        <v>0</v>
      </c>
      <c r="V128" s="8"/>
      <c r="W128" s="33"/>
      <c r="X128" s="34" t="n">
        <f aca="false">IF(S128="","",IF(AND(W128="Y",U128&lt;&gt;0),MAX(1,MIN(5,S128+MAX(-Config!$C$27,MIN(Config!$C$27,U128)))),S128))</f>
        <v>3</v>
      </c>
      <c r="Y128" s="35" t="str">
        <f aca="false">IF(G128="N/A","N/A",IF(X128="","No data",INDEX(Config!$B$5:$B$9,X128)))</f>
        <v>Medium</v>
      </c>
      <c r="Z128" s="7" t="str">
        <f aca="false">IF(U128=0,"None",IF(W128="Y","Applied","Pending HO approval"))</f>
        <v>None</v>
      </c>
      <c r="AA128" s="12" t="str">
        <f aca="false">INDEX('Risk Taxonomy'!$G$5:$G$24,MATCH(D128,'Risk Taxonomy'!$A$5:$A$24,0))</f>
        <v>Zero tolerance</v>
      </c>
      <c r="AB128" s="7" t="str">
        <f aca="false">INDEX('Risk Taxonomy'!$H$5:$H$24,MATCH(D128,'Risk Taxonomy'!$A$5:$A$24,0))</f>
        <v>Low</v>
      </c>
      <c r="AC128" s="35" t="str">
        <f aca="false">IF(NOT(ISNUMBER(X128)),"",IF(X128&lt;=MATCH(AB128,Config!$B$5:$B$9,0),"Within",IF(OR(X128-MATCH(AB128,Config!$B$5:$B$9,0)&gt;=2,AND('Residual Config'!$C$8="Y",ISNUMBER(SEARCH("Zero",AA128)))),"Red","Amber")))</f>
        <v>Red</v>
      </c>
      <c r="AD128" s="12" t="str">
        <f aca="false">IF(AC128="Red","Group CCO / CRO and Country CEO within 2 business days; action plan in 15 days; report to Board Risk &amp; Compliance Committee",IF(AC128="Amber","Country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29" customFormat="false" ht="15" hidden="false" customHeight="false" outlineLevel="0" collapsed="false">
      <c r="A129" s="26" t="str">
        <f aca="false">Entities!$A$11</f>
        <v>PS-INV</v>
      </c>
      <c r="B129" s="12" t="str">
        <f aca="false">INDEX(Entities!$B$5:$B$34,MATCH(A129,Entities!$A$5:$A$34,0))</f>
        <v>Al-Arabi Investment Group – Palestine</v>
      </c>
      <c r="C129" s="12" t="str">
        <f aca="false">INDEX(Entities!$D$5:$D$34,MATCH(A129,Entities!$A$5:$A$34,0))</f>
        <v>Levant</v>
      </c>
      <c r="D129" s="12" t="s">
        <v>275</v>
      </c>
      <c r="E129" s="12" t="str">
        <f aca="false">INDEX('Risk Taxonomy'!$B$5:$B$24,MATCH(D129,'Risk Taxonomy'!$A$5:$A$24,0))</f>
        <v>Bribery and corruption</v>
      </c>
      <c r="F129" s="29" t="n">
        <f aca="false">IF(NOT(ISNUMBER(G129)),"",IFERROR(IF(MATCH(SUMIFS('FC Calculation'!$N$5:$N$214,'FC Calculation'!$A$5:$A$214,A129,'FC Calculation'!$D$5:$D$214,D129),Config!$D$5:$D$9,1)=G129,SUMIFS('FC Calculation'!$N$5:$N$214,'FC Calculation'!$A$5:$A$214,A129,'FC Calculation'!$D$5:$D$214,D129),G129),G129))</f>
        <v>3.51833333333333</v>
      </c>
      <c r="G129" s="34" t="n">
        <f aca="false">IF(COUNTIFS('FC Calculation'!$A$5:$A$214,A129,'FC Calculation'!$D$5:$D$214,D129,'FC Calculation'!$T$5:$T$214,"&gt;0")=0,"",SUMIFS('FC Calculation'!$T$5:$T$214,'FC Calculation'!$A$5:$A$214,A129,'FC Calculation'!$D$5:$D$214,D129))</f>
        <v>4</v>
      </c>
      <c r="H129" s="7" t="str">
        <f aca="false">IF(G129="N/A","N/A",IF(G129="","No data",INDEX(Config!$B$5:$B$9,G129)))</f>
        <v>Medium-High</v>
      </c>
      <c r="I129" s="31" t="n">
        <f aca="false">IF(NOT(ISNUMBER($G129)),"",SUMPRODUCT(('Control Mapping'!$C$5:$C$83=D129)*('Control Mapping'!$M$5:$M$83&gt;0)))</f>
        <v>5</v>
      </c>
      <c r="J129" s="31" t="n">
        <f aca="false">IF(NOT(ISNUMBER($G129)),"",SUMPRODUCT(('Control Mapping'!$C$5:$C$83=D129)*('Control Mapping'!$F$5:$F$83="Y")*('Control Mapping'!$M$5:$M$83&gt;0)))</f>
        <v>2</v>
      </c>
      <c r="K129" s="31" t="n">
        <f aca="false">IF(NOT(ISNUMBER($G129)),"",SUMPRODUCT(('Control Mapping'!$C$5:$C$83=D129)*('Control Mapping'!$F$5:$F$83="Y")*('Control Mapping'!$M$5:$M$83=4)))</f>
        <v>0</v>
      </c>
      <c r="L129" s="29" t="n">
        <f aca="false">IF(NOT(ISNUMBER($G129)),"",IFERROR(SUMPRODUCT(('Control Mapping'!$C$5:$C$83=D129)*'Control Mapping'!$E$5:$E$83*'Control Mapping'!$M$5:$M$83)/SUMPRODUCT(('Control Mapping'!$C$5:$C$83=D129)*'Control Mapping'!$E$5:$E$83*('Control Mapping'!$M$5:$M$83&gt;0)),""))</f>
        <v>2.88888888888889</v>
      </c>
      <c r="M129" s="34" t="n">
        <f aca="false">IF(NOT(ISNUMBER($G129)),"",IF(J129=0,4,MAX(MATCH(L129,'Residual Config'!$E$11:$E$14,1),IF(K129&gt;0,'Residual Config'!$C$7,1))))</f>
        <v>3</v>
      </c>
      <c r="N129" s="7" t="str">
        <f aca="false">IF(NOT(ISNUMBER($G129)),"",IF(J129=0,"Ineffective (no key control)",INDEX('Residual Config'!$B$11:$B$14,M129)))</f>
        <v>Partially effective</v>
      </c>
      <c r="O129" s="36" t="n">
        <f aca="false">IF(NOT(ISNUMBER($G129)),"",IF(J129=0,0,SUMPRODUCT(('Control Mapping'!$C$5:$C$83=D129)*'Control Mapping'!$E$5:$E$83*(('Control Mapping'!$M$5:$M$83=1)*'Residual Config'!$D$11+('Control Mapping'!$M$5:$M$83=2)*'Residual Config'!$D$12+('Control Mapping'!$M$5:$M$83=3)*'Residual Config'!$D$13+('Control Mapping'!$M$5:$M$83=4)*'Residual Config'!$D$14))/SUMPRODUCT(('Control Mapping'!$C$5:$C$83=D129)*'Control Mapping'!$E$5:$E$83*('Control Mapping'!$M$5:$M$83&gt;0))))</f>
        <v>0.222222222222222</v>
      </c>
      <c r="P129" s="31" t="n">
        <f aca="false">IF(NOT(ISNUMBER($G129)),"",INDEX('Residual Config'!$B$19:$E$23,6-G129,M129))</f>
        <v>4</v>
      </c>
      <c r="Q129" s="29" t="n">
        <f aca="false">IF(NOT(ISNUMBER($G129)),"",MAX(1,F129*(1-O129)))</f>
        <v>2.73648148148148</v>
      </c>
      <c r="R129" s="31" t="n">
        <f aca="false">IF(NOT(ISNUMBER($G129)),"",MAX(MATCH(Q129,Config!$D$5:$D$9,1),G129-'Residual Config'!$C$6))</f>
        <v>3</v>
      </c>
      <c r="S129" s="34" t="n">
        <f aca="false">IF(NOT(ISNUMBER($G129)),"",IF('Residual Config'!$C$5="Numeric",R129,P129))</f>
        <v>4</v>
      </c>
      <c r="T129" s="7" t="str">
        <f aca="false">IF(G129="N/A","N/A",IF(S129="","No data",INDEX(Config!$B$5:$B$9,S129)))</f>
        <v>Medium-High</v>
      </c>
      <c r="U129" s="32" t="n">
        <v>0</v>
      </c>
      <c r="V129" s="8"/>
      <c r="W129" s="33"/>
      <c r="X129" s="34" t="n">
        <f aca="false">IF(S129="","",IF(AND(W129="Y",U129&lt;&gt;0),MAX(1,MIN(5,S129+MAX(-Config!$C$27,MIN(Config!$C$27,U129)))),S129))</f>
        <v>4</v>
      </c>
      <c r="Y129" s="35" t="str">
        <f aca="false">IF(G129="N/A","N/A",IF(X129="","No data",INDEX(Config!$B$5:$B$9,X129)))</f>
        <v>Medium-High</v>
      </c>
      <c r="Z129" s="7" t="str">
        <f aca="false">IF(U129=0,"None",IF(W129="Y","Applied","Pending HO approval"))</f>
        <v>None</v>
      </c>
      <c r="AA129" s="12" t="str">
        <f aca="false">INDEX('Risk Taxonomy'!$G$5:$G$24,MATCH(D129,'Risk Taxonomy'!$A$5:$A$24,0))</f>
        <v>Zero tolerance</v>
      </c>
      <c r="AB129" s="7" t="str">
        <f aca="false">INDEX('Risk Taxonomy'!$H$5:$H$24,MATCH(D129,'Risk Taxonomy'!$A$5:$A$24,0))</f>
        <v>Low</v>
      </c>
      <c r="AC129" s="35" t="str">
        <f aca="false">IF(NOT(ISNUMBER(X129)),"",IF(X129&lt;=MATCH(AB129,Config!$B$5:$B$9,0),"Within",IF(OR(X129-MATCH(AB129,Config!$B$5:$B$9,0)&gt;=2,AND('Residual Config'!$C$8="Y",ISNUMBER(SEARCH("Zero",AA129)))),"Red","Amber")))</f>
        <v>Red</v>
      </c>
      <c r="AD129" s="12" t="str">
        <f aca="false">IF(AC129="Red","Group CCO / CRO and Country CEO within 2 business days; action plan in 15 days; report to Board Risk &amp; Compliance Committee",IF(AC129="Amber","Country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30" customFormat="false" ht="15" hidden="false" customHeight="false" outlineLevel="0" collapsed="false">
      <c r="A130" s="26" t="str">
        <f aca="false">Entities!$A$11</f>
        <v>PS-INV</v>
      </c>
      <c r="B130" s="12" t="str">
        <f aca="false">INDEX(Entities!$B$5:$B$34,MATCH(A130,Entities!$A$5:$A$34,0))</f>
        <v>Al-Arabi Investment Group – Palestine</v>
      </c>
      <c r="C130" s="12" t="str">
        <f aca="false">INDEX(Entities!$D$5:$D$34,MATCH(A130,Entities!$A$5:$A$34,0))</f>
        <v>Levant</v>
      </c>
      <c r="D130" s="12" t="s">
        <v>278</v>
      </c>
      <c r="E130" s="12" t="str">
        <f aca="false">INDEX('Risk Taxonomy'!$B$5:$B$24,MATCH(D130,'Risk Taxonomy'!$A$5:$A$24,0))</f>
        <v>Fraud</v>
      </c>
      <c r="F130" s="29" t="n">
        <f aca="false">IF(NOT(ISNUMBER(G130)),"",IFERROR(IF(MATCH(SUMIFS('FC Calculation'!$N$5:$N$214,'FC Calculation'!$A$5:$A$214,A130,'FC Calculation'!$D$5:$D$214,D130),Config!$D$5:$D$9,1)=G130,SUMIFS('FC Calculation'!$N$5:$N$214,'FC Calculation'!$A$5:$A$214,A130,'FC Calculation'!$D$5:$D$214,D130),G130),G130))</f>
        <v>3.34333333333333</v>
      </c>
      <c r="G130" s="34" t="n">
        <f aca="false">IF(COUNTIFS('FC Calculation'!$A$5:$A$214,A130,'FC Calculation'!$D$5:$D$214,D130,'FC Calculation'!$T$5:$T$214,"&gt;0")=0,"",SUMIFS('FC Calculation'!$T$5:$T$214,'FC Calculation'!$A$5:$A$214,A130,'FC Calculation'!$D$5:$D$214,D130))</f>
        <v>3</v>
      </c>
      <c r="H130" s="7" t="str">
        <f aca="false">IF(G130="N/A","N/A",IF(G130="","No data",INDEX(Config!$B$5:$B$9,G130)))</f>
        <v>Medium</v>
      </c>
      <c r="I130" s="31" t="n">
        <f aca="false">IF(NOT(ISNUMBER($G130)),"",SUMPRODUCT(('Control Mapping'!$C$5:$C$83=D130)*('Control Mapping'!$M$5:$M$83&gt;0)))</f>
        <v>4</v>
      </c>
      <c r="J130" s="31" t="n">
        <f aca="false">IF(NOT(ISNUMBER($G130)),"",SUMPRODUCT(('Control Mapping'!$C$5:$C$83=D130)*('Control Mapping'!$F$5:$F$83="Y")*('Control Mapping'!$M$5:$M$83&gt;0)))</f>
        <v>3</v>
      </c>
      <c r="K130" s="31" t="n">
        <f aca="false">IF(NOT(ISNUMBER($G130)),"",SUMPRODUCT(('Control Mapping'!$C$5:$C$83=D130)*('Control Mapping'!$F$5:$F$83="Y")*('Control Mapping'!$M$5:$M$83=4)))</f>
        <v>0</v>
      </c>
      <c r="L130" s="29" t="n">
        <f aca="false">IF(NOT(ISNUMBER($G130)),"",IFERROR(SUMPRODUCT(('Control Mapping'!$C$5:$C$83=D130)*'Control Mapping'!$E$5:$E$83*'Control Mapping'!$M$5:$M$83)/SUMPRODUCT(('Control Mapping'!$C$5:$C$83=D130)*'Control Mapping'!$E$5:$E$83*('Control Mapping'!$M$5:$M$83&gt;0)),""))</f>
        <v>2.5</v>
      </c>
      <c r="M130" s="34" t="n">
        <f aca="false">IF(NOT(ISNUMBER($G130)),"",IF(J130=0,4,MAX(MATCH(L130,'Residual Config'!$E$11:$E$14,1),IF(K130&gt;0,'Residual Config'!$C$7,1))))</f>
        <v>3</v>
      </c>
      <c r="N130" s="7" t="str">
        <f aca="false">IF(NOT(ISNUMBER($G130)),"",IF(J130=0,"Ineffective (no key control)",INDEX('Residual Config'!$B$11:$B$14,M130)))</f>
        <v>Partially effective</v>
      </c>
      <c r="O130" s="36" t="n">
        <f aca="false">IF(NOT(ISNUMBER($G130)),"",IF(J130=0,0,SUMPRODUCT(('Control Mapping'!$C$5:$C$83=D130)*'Control Mapping'!$E$5:$E$83*(('Control Mapping'!$M$5:$M$83=1)*'Residual Config'!$D$11+('Control Mapping'!$M$5:$M$83=2)*'Residual Config'!$D$12+('Control Mapping'!$M$5:$M$83=3)*'Residual Config'!$D$13+('Control Mapping'!$M$5:$M$83=4)*'Residual Config'!$D$14))/SUMPRODUCT(('Control Mapping'!$C$5:$C$83=D130)*'Control Mapping'!$E$5:$E$83*('Control Mapping'!$M$5:$M$83&gt;0))))</f>
        <v>0.3</v>
      </c>
      <c r="P130" s="31" t="n">
        <f aca="false">IF(NOT(ISNUMBER($G130)),"",INDEX('Residual Config'!$B$19:$E$23,6-G130,M130))</f>
        <v>3</v>
      </c>
      <c r="Q130" s="29" t="n">
        <f aca="false">IF(NOT(ISNUMBER($G130)),"",MAX(1,F130*(1-O130)))</f>
        <v>2.34033333333333</v>
      </c>
      <c r="R130" s="31" t="n">
        <f aca="false">IF(NOT(ISNUMBER($G130)),"",MAX(MATCH(Q130,Config!$D$5:$D$9,1),G130-'Residual Config'!$C$6))</f>
        <v>2</v>
      </c>
      <c r="S130" s="34" t="n">
        <f aca="false">IF(NOT(ISNUMBER($G130)),"",IF('Residual Config'!$C$5="Numeric",R130,P130))</f>
        <v>3</v>
      </c>
      <c r="T130" s="7" t="str">
        <f aca="false">IF(G130="N/A","N/A",IF(S130="","No data",INDEX(Config!$B$5:$B$9,S130)))</f>
        <v>Medium</v>
      </c>
      <c r="U130" s="32" t="n">
        <v>0</v>
      </c>
      <c r="V130" s="8"/>
      <c r="W130" s="33"/>
      <c r="X130" s="34" t="n">
        <f aca="false">IF(S130="","",IF(AND(W130="Y",U130&lt;&gt;0),MAX(1,MIN(5,S130+MAX(-Config!$C$27,MIN(Config!$C$27,U130)))),S130))</f>
        <v>3</v>
      </c>
      <c r="Y130" s="35" t="str">
        <f aca="false">IF(G130="N/A","N/A",IF(X130="","No data",INDEX(Config!$B$5:$B$9,X130)))</f>
        <v>Medium</v>
      </c>
      <c r="Z130" s="7" t="str">
        <f aca="false">IF(U130=0,"None",IF(W130="Y","Applied","Pending HO approval"))</f>
        <v>None</v>
      </c>
      <c r="AA130" s="12" t="str">
        <f aca="false">INDEX('Risk Taxonomy'!$G$5:$G$24,MATCH(D130,'Risk Taxonomy'!$A$5:$A$24,0))</f>
        <v>Low</v>
      </c>
      <c r="AB130" s="7" t="str">
        <f aca="false">INDEX('Risk Taxonomy'!$H$5:$H$24,MATCH(D130,'Risk Taxonomy'!$A$5:$A$24,0))</f>
        <v>Medium</v>
      </c>
      <c r="AC130" s="35" t="str">
        <f aca="false">IF(NOT(ISNUMBER(X130)),"",IF(X130&lt;=MATCH(AB130,Config!$B$5:$B$9,0),"Within",IF(OR(X130-MATCH(AB130,Config!$B$5:$B$9,0)&gt;=2,AND('Residual Config'!$C$8="Y",ISNUMBER(SEARCH("Zero",AA130)))),"Red","Amber")))</f>
        <v>Within</v>
      </c>
      <c r="AD130" s="12" t="str">
        <f aca="false">IF(AC130="Red","Group CCO / CRO and Country CEO within 2 business days; action plan in 15 days; report to Board Risk &amp; Compliance Committee",IF(AC130="Amber","Country CO, risk owner and HO Administrator within 5 business days; action plan in 30 days",""))</f>
        <v/>
      </c>
    </row>
    <row r="131" customFormat="false" ht="15" hidden="false" customHeight="false" outlineLevel="0" collapsed="false">
      <c r="A131" s="26" t="str">
        <f aca="false">Entities!$A$11</f>
        <v>PS-INV</v>
      </c>
      <c r="B131" s="12" t="str">
        <f aca="false">INDEX(Entities!$B$5:$B$34,MATCH(A131,Entities!$A$5:$A$34,0))</f>
        <v>Al-Arabi Investment Group – Palestine</v>
      </c>
      <c r="C131" s="12" t="str">
        <f aca="false">INDEX(Entities!$D$5:$D$34,MATCH(A131,Entities!$A$5:$A$34,0))</f>
        <v>Levant</v>
      </c>
      <c r="D131" s="12" t="s">
        <v>281</v>
      </c>
      <c r="E131" s="12" t="str">
        <f aca="false">INDEX('Risk Taxonomy'!$B$5:$B$24,MATCH(D131,'Risk Taxonomy'!$A$5:$A$24,0))</f>
        <v>Tax evasion and tax transparency</v>
      </c>
      <c r="F131" s="29" t="n">
        <f aca="false">IF(NOT(ISNUMBER(G131)),"",IFERROR(IF(MATCH(SUMIFS('FC Calculation'!$N$5:$N$214,'FC Calculation'!$A$5:$A$214,A131,'FC Calculation'!$D$5:$D$214,D131),Config!$D$5:$D$9,1)=G131,SUMIFS('FC Calculation'!$N$5:$N$214,'FC Calculation'!$A$5:$A$214,A131,'FC Calculation'!$D$5:$D$214,D131),G131),G131))</f>
        <v>3.88555555555556</v>
      </c>
      <c r="G131" s="34" t="n">
        <f aca="false">IF(COUNTIFS('FC Calculation'!$A$5:$A$214,A131,'FC Calculation'!$D$5:$D$214,D131,'FC Calculation'!$T$5:$T$214,"&gt;0")=0,"",SUMIFS('FC Calculation'!$T$5:$T$214,'FC Calculation'!$A$5:$A$214,A131,'FC Calculation'!$D$5:$D$214,D131))</f>
        <v>4</v>
      </c>
      <c r="H131" s="7" t="str">
        <f aca="false">IF(G131="N/A","N/A",IF(G131="","No data",INDEX(Config!$B$5:$B$9,G131)))</f>
        <v>Medium-High</v>
      </c>
      <c r="I131" s="31" t="n">
        <f aca="false">IF(NOT(ISNUMBER($G131)),"",SUMPRODUCT(('Control Mapping'!$C$5:$C$83=D131)*('Control Mapping'!$M$5:$M$83&gt;0)))</f>
        <v>5</v>
      </c>
      <c r="J131" s="31" t="n">
        <f aca="false">IF(NOT(ISNUMBER($G131)),"",SUMPRODUCT(('Control Mapping'!$C$5:$C$83=D131)*('Control Mapping'!$F$5:$F$83="Y")*('Control Mapping'!$M$5:$M$83&gt;0)))</f>
        <v>4</v>
      </c>
      <c r="K131" s="31" t="n">
        <f aca="false">IF(NOT(ISNUMBER($G131)),"",SUMPRODUCT(('Control Mapping'!$C$5:$C$83=D131)*('Control Mapping'!$F$5:$F$83="Y")*('Control Mapping'!$M$5:$M$83=4)))</f>
        <v>0</v>
      </c>
      <c r="L131" s="29" t="n">
        <f aca="false">IF(NOT(ISNUMBER($G131)),"",IFERROR(SUMPRODUCT(('Control Mapping'!$C$5:$C$83=D131)*'Control Mapping'!$E$5:$E$83*'Control Mapping'!$M$5:$M$83)/SUMPRODUCT(('Control Mapping'!$C$5:$C$83=D131)*'Control Mapping'!$E$5:$E$83*('Control Mapping'!$M$5:$M$83&gt;0)),""))</f>
        <v>2.66666666666667</v>
      </c>
      <c r="M131" s="34" t="n">
        <f aca="false">IF(NOT(ISNUMBER($G131)),"",IF(J131=0,4,MAX(MATCH(L131,'Residual Config'!$E$11:$E$14,1),IF(K131&gt;0,'Residual Config'!$C$7,1))))</f>
        <v>3</v>
      </c>
      <c r="N131" s="7" t="str">
        <f aca="false">IF(NOT(ISNUMBER($G131)),"",IF(J131=0,"Ineffective (no key control)",INDEX('Residual Config'!$B$11:$B$14,M131)))</f>
        <v>Partially effective</v>
      </c>
      <c r="O131" s="36" t="n">
        <f aca="false">IF(NOT(ISNUMBER($G131)),"",IF(J131=0,0,SUMPRODUCT(('Control Mapping'!$C$5:$C$83=D131)*'Control Mapping'!$E$5:$E$83*(('Control Mapping'!$M$5:$M$83=1)*'Residual Config'!$D$11+('Control Mapping'!$M$5:$M$83=2)*'Residual Config'!$D$12+('Control Mapping'!$M$5:$M$83=3)*'Residual Config'!$D$13+('Control Mapping'!$M$5:$M$83=4)*'Residual Config'!$D$14))/SUMPRODUCT(('Control Mapping'!$C$5:$C$83=D131)*'Control Mapping'!$E$5:$E$83*('Control Mapping'!$M$5:$M$83&gt;0))))</f>
        <v>0.266666666666667</v>
      </c>
      <c r="P131" s="31" t="n">
        <f aca="false">IF(NOT(ISNUMBER($G131)),"",INDEX('Residual Config'!$B$19:$E$23,6-G131,M131))</f>
        <v>4</v>
      </c>
      <c r="Q131" s="29" t="n">
        <f aca="false">IF(NOT(ISNUMBER($G131)),"",MAX(1,F131*(1-O131)))</f>
        <v>2.84940740740741</v>
      </c>
      <c r="R131" s="31" t="n">
        <f aca="false">IF(NOT(ISNUMBER($G131)),"",MAX(MATCH(Q131,Config!$D$5:$D$9,1),G131-'Residual Config'!$C$6))</f>
        <v>3</v>
      </c>
      <c r="S131" s="34" t="n">
        <f aca="false">IF(NOT(ISNUMBER($G131)),"",IF('Residual Config'!$C$5="Numeric",R131,P131))</f>
        <v>4</v>
      </c>
      <c r="T131" s="7" t="str">
        <f aca="false">IF(G131="N/A","N/A",IF(S131="","No data",INDEX(Config!$B$5:$B$9,S131)))</f>
        <v>Medium-High</v>
      </c>
      <c r="U131" s="32" t="n">
        <v>0</v>
      </c>
      <c r="V131" s="8"/>
      <c r="W131" s="33"/>
      <c r="X131" s="34" t="n">
        <f aca="false">IF(S131="","",IF(AND(W131="Y",U131&lt;&gt;0),MAX(1,MIN(5,S131+MAX(-Config!$C$27,MIN(Config!$C$27,U131)))),S131))</f>
        <v>4</v>
      </c>
      <c r="Y131" s="35" t="str">
        <f aca="false">IF(G131="N/A","N/A",IF(X131="","No data",INDEX(Config!$B$5:$B$9,X131)))</f>
        <v>Medium-High</v>
      </c>
      <c r="Z131" s="7" t="str">
        <f aca="false">IF(U131=0,"None",IF(W131="Y","Applied","Pending HO approval"))</f>
        <v>None</v>
      </c>
      <c r="AA131" s="12" t="str">
        <f aca="false">INDEX('Risk Taxonomy'!$G$5:$G$24,MATCH(D131,'Risk Taxonomy'!$A$5:$A$24,0))</f>
        <v>Zero tolerance (facilitation)</v>
      </c>
      <c r="AB131" s="7" t="str">
        <f aca="false">INDEX('Risk Taxonomy'!$H$5:$H$24,MATCH(D131,'Risk Taxonomy'!$A$5:$A$24,0))</f>
        <v>Low</v>
      </c>
      <c r="AC131" s="35" t="str">
        <f aca="false">IF(NOT(ISNUMBER(X131)),"",IF(X131&lt;=MATCH(AB131,Config!$B$5:$B$9,0),"Within",IF(OR(X131-MATCH(AB131,Config!$B$5:$B$9,0)&gt;=2,AND('Residual Config'!$C$8="Y",ISNUMBER(SEARCH("Zero",AA131)))),"Red","Amber")))</f>
        <v>Red</v>
      </c>
      <c r="AD131" s="12" t="str">
        <f aca="false">IF(AC131="Red","Group CCO / CRO and Country CEO within 2 business days; action plan in 15 days; report to Board Risk &amp; Compliance Committee",IF(AC131="Amber","Country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32" customFormat="false" ht="15" hidden="false" customHeight="false" outlineLevel="0" collapsed="false">
      <c r="A132" s="26" t="str">
        <f aca="false">Entities!$A$11</f>
        <v>PS-INV</v>
      </c>
      <c r="B132" s="12" t="str">
        <f aca="false">INDEX(Entities!$B$5:$B$34,MATCH(A132,Entities!$A$5:$A$34,0))</f>
        <v>Al-Arabi Investment Group – Palestine</v>
      </c>
      <c r="C132" s="12" t="str">
        <f aca="false">INDEX(Entities!$D$5:$D$34,MATCH(A132,Entities!$A$5:$A$34,0))</f>
        <v>Levant</v>
      </c>
      <c r="D132" s="12" t="s">
        <v>284</v>
      </c>
      <c r="E132" s="12" t="str">
        <f aca="false">INDEX('Risk Taxonomy'!$B$5:$B$24,MATCH(D132,'Risk Taxonomy'!$A$5:$A$24,0))</f>
        <v>Regulatory compliance</v>
      </c>
      <c r="F132" s="29" t="n">
        <f aca="false">IF(NOT(ISNUMBER(G132)),"",G132)</f>
        <v>5</v>
      </c>
      <c r="G132" s="34" t="n">
        <f aca="false">IF(COUNTIFS('LxI Assessment'!$A$5:$A$394,A132,'LxI Assessment'!$D$5:$D$394,D132,'LxI Assessment'!$F$5:$F$394,"N/A")&gt;0,"N/A",IF(COUNTIFS('LxI Assessment'!$A$5:$A$394,A132,'LxI Assessment'!$D$5:$D$394,D132,'LxI Assessment'!$S$5:$S$394,"&gt;0")=0,"",SUMIFS('LxI Assessment'!$S$5:$S$394,'LxI Assessment'!$A$5:$A$394,A132,'LxI Assessment'!$D$5:$D$394,D132)))</f>
        <v>5</v>
      </c>
      <c r="H132" s="7" t="str">
        <f aca="false">IF(G132="N/A","N/A",IF(G132="","No data",INDEX(Config!$B$5:$B$9,G132)))</f>
        <v>High</v>
      </c>
      <c r="I132" s="31" t="n">
        <f aca="false">IF(NOT(ISNUMBER($G132)),"",SUMPRODUCT(('Control Mapping'!$C$5:$C$83=D132)*('Control Mapping'!$M$5:$M$83&gt;0)))</f>
        <v>4</v>
      </c>
      <c r="J132" s="31" t="n">
        <f aca="false">IF(NOT(ISNUMBER($G132)),"",SUMPRODUCT(('Control Mapping'!$C$5:$C$83=D132)*('Control Mapping'!$F$5:$F$83="Y")*('Control Mapping'!$M$5:$M$83&gt;0)))</f>
        <v>3</v>
      </c>
      <c r="K132" s="31" t="n">
        <f aca="false">IF(NOT(ISNUMBER($G132)),"",SUMPRODUCT(('Control Mapping'!$C$5:$C$83=D132)*('Control Mapping'!$F$5:$F$83="Y")*('Control Mapping'!$M$5:$M$83=4)))</f>
        <v>0</v>
      </c>
      <c r="L132" s="29" t="n">
        <f aca="false">IF(NOT(ISNUMBER($G132)),"",IFERROR(SUMPRODUCT(('Control Mapping'!$C$5:$C$83=D132)*'Control Mapping'!$E$5:$E$83*'Control Mapping'!$M$5:$M$83)/SUMPRODUCT(('Control Mapping'!$C$5:$C$83=D132)*'Control Mapping'!$E$5:$E$83*('Control Mapping'!$M$5:$M$83&gt;0)),""))</f>
        <v>2.71428571428571</v>
      </c>
      <c r="M132" s="34" t="n">
        <f aca="false">IF(NOT(ISNUMBER($G132)),"",IF(J132=0,4,MAX(MATCH(L132,'Residual Config'!$E$11:$E$14,1),IF(K132&gt;0,'Residual Config'!$C$7,1))))</f>
        <v>3</v>
      </c>
      <c r="N132" s="7" t="str">
        <f aca="false">IF(NOT(ISNUMBER($G132)),"",IF(J132=0,"Ineffective (no key control)",INDEX('Residual Config'!$B$11:$B$14,M132)))</f>
        <v>Partially effective</v>
      </c>
      <c r="O132" s="36" t="n">
        <f aca="false">IF(NOT(ISNUMBER($G132)),"",IF(J132=0,0,SUMPRODUCT(('Control Mapping'!$C$5:$C$83=D132)*'Control Mapping'!$E$5:$E$83*(('Control Mapping'!$M$5:$M$83=1)*'Residual Config'!$D$11+('Control Mapping'!$M$5:$M$83=2)*'Residual Config'!$D$12+('Control Mapping'!$M$5:$M$83=3)*'Residual Config'!$D$13+('Control Mapping'!$M$5:$M$83=4)*'Residual Config'!$D$14))/SUMPRODUCT(('Control Mapping'!$C$5:$C$83=D132)*'Control Mapping'!$E$5:$E$83*('Control Mapping'!$M$5:$M$83&gt;0))))</f>
        <v>0.257142857142857</v>
      </c>
      <c r="P132" s="31" t="n">
        <f aca="false">IF(NOT(ISNUMBER($G132)),"",INDEX('Residual Config'!$B$19:$E$23,6-G132,M132))</f>
        <v>5</v>
      </c>
      <c r="Q132" s="29" t="n">
        <f aca="false">IF(NOT(ISNUMBER($G132)),"",MAX(1,F132*(1-O132)))</f>
        <v>3.71428571428571</v>
      </c>
      <c r="R132" s="31" t="n">
        <f aca="false">IF(NOT(ISNUMBER($G132)),"",MAX(MATCH(Q132,Config!$D$5:$D$9,1),G132-'Residual Config'!$C$6))</f>
        <v>4</v>
      </c>
      <c r="S132" s="34" t="n">
        <f aca="false">IF(NOT(ISNUMBER($G132)),"",IF('Residual Config'!$C$5="Numeric",R132,P132))</f>
        <v>5</v>
      </c>
      <c r="T132" s="7" t="str">
        <f aca="false">IF(G132="N/A","N/A",IF(S132="","No data",INDEX(Config!$B$5:$B$9,S132)))</f>
        <v>High</v>
      </c>
      <c r="U132" s="32" t="n">
        <v>0</v>
      </c>
      <c r="V132" s="8"/>
      <c r="W132" s="33"/>
      <c r="X132" s="34" t="n">
        <f aca="false">IF(S132="","",IF(AND(W132="Y",U132&lt;&gt;0),MAX(1,MIN(5,S132+MAX(-Config!$C$27,MIN(Config!$C$27,U132)))),S132))</f>
        <v>5</v>
      </c>
      <c r="Y132" s="35" t="str">
        <f aca="false">IF(G132="N/A","N/A",IF(X132="","No data",INDEX(Config!$B$5:$B$9,X132)))</f>
        <v>High</v>
      </c>
      <c r="Z132" s="7" t="str">
        <f aca="false">IF(U132=0,"None",IF(W132="Y","Applied","Pending HO approval"))</f>
        <v>None</v>
      </c>
      <c r="AA132" s="12" t="str">
        <f aca="false">INDEX('Risk Taxonomy'!$G$5:$G$24,MATCH(D132,'Risk Taxonomy'!$A$5:$A$24,0))</f>
        <v>Very low</v>
      </c>
      <c r="AB132" s="7" t="str">
        <f aca="false">INDEX('Risk Taxonomy'!$H$5:$H$24,MATCH(D132,'Risk Taxonomy'!$A$5:$A$24,0))</f>
        <v>Medium-Low</v>
      </c>
      <c r="AC132" s="35" t="str">
        <f aca="false">IF(NOT(ISNUMBER(X132)),"",IF(X132&lt;=MATCH(AB132,Config!$B$5:$B$9,0),"Within",IF(OR(X132-MATCH(AB132,Config!$B$5:$B$9,0)&gt;=2,AND('Residual Config'!$C$8="Y",ISNUMBER(SEARCH("Zero",AA132)))),"Red","Amber")))</f>
        <v>Red</v>
      </c>
      <c r="AD132" s="12" t="str">
        <f aca="false">IF(AC132="Red","Group CCO / CRO and Country CEO within 2 business days; action plan in 15 days; report to Board Risk &amp; Compliance Committee",IF(AC132="Amber","Country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33" customFormat="false" ht="15" hidden="false" customHeight="false" outlineLevel="0" collapsed="false">
      <c r="A133" s="26" t="str">
        <f aca="false">Entities!$A$11</f>
        <v>PS-INV</v>
      </c>
      <c r="B133" s="12" t="str">
        <f aca="false">INDEX(Entities!$B$5:$B$34,MATCH(A133,Entities!$A$5:$A$34,0))</f>
        <v>Al-Arabi Investment Group – Palestine</v>
      </c>
      <c r="C133" s="12" t="str">
        <f aca="false">INDEX(Entities!$D$5:$D$34,MATCH(A133,Entities!$A$5:$A$34,0))</f>
        <v>Levant</v>
      </c>
      <c r="D133" s="12" t="s">
        <v>288</v>
      </c>
      <c r="E133" s="12" t="str">
        <f aca="false">INDEX('Risk Taxonomy'!$B$5:$B$24,MATCH(D133,'Risk Taxonomy'!$A$5:$A$24,0))</f>
        <v>Conduct and consumer protection</v>
      </c>
      <c r="F133" s="29" t="n">
        <f aca="false">IF(NOT(ISNUMBER(G133)),"",G133)</f>
        <v>5</v>
      </c>
      <c r="G133" s="34" t="n">
        <f aca="false">IF(COUNTIFS('LxI Assessment'!$A$5:$A$394,A133,'LxI Assessment'!$D$5:$D$394,D133,'LxI Assessment'!$F$5:$F$394,"N/A")&gt;0,"N/A",IF(COUNTIFS('LxI Assessment'!$A$5:$A$394,A133,'LxI Assessment'!$D$5:$D$394,D133,'LxI Assessment'!$S$5:$S$394,"&gt;0")=0,"",SUMIFS('LxI Assessment'!$S$5:$S$394,'LxI Assessment'!$A$5:$A$394,A133,'LxI Assessment'!$D$5:$D$394,D133)))</f>
        <v>5</v>
      </c>
      <c r="H133" s="7" t="str">
        <f aca="false">IF(G133="N/A","N/A",IF(G133="","No data",INDEX(Config!$B$5:$B$9,G133)))</f>
        <v>High</v>
      </c>
      <c r="I133" s="31" t="n">
        <f aca="false">IF(NOT(ISNUMBER($G133)),"",SUMPRODUCT(('Control Mapping'!$C$5:$C$83=D133)*('Control Mapping'!$M$5:$M$83&gt;0)))</f>
        <v>2</v>
      </c>
      <c r="J133" s="31" t="n">
        <f aca="false">IF(NOT(ISNUMBER($G133)),"",SUMPRODUCT(('Control Mapping'!$C$5:$C$83=D133)*('Control Mapping'!$F$5:$F$83="Y")*('Control Mapping'!$M$5:$M$83&gt;0)))</f>
        <v>1</v>
      </c>
      <c r="K133" s="31" t="n">
        <f aca="false">IF(NOT(ISNUMBER($G133)),"",SUMPRODUCT(('Control Mapping'!$C$5:$C$83=D133)*('Control Mapping'!$F$5:$F$83="Y")*('Control Mapping'!$M$5:$M$83=4)))</f>
        <v>0</v>
      </c>
      <c r="L133" s="29" t="n">
        <f aca="false">IF(NOT(ISNUMBER($G133)),"",IFERROR(SUMPRODUCT(('Control Mapping'!$C$5:$C$83=D133)*'Control Mapping'!$E$5:$E$83*'Control Mapping'!$M$5:$M$83)/SUMPRODUCT(('Control Mapping'!$C$5:$C$83=D133)*'Control Mapping'!$E$5:$E$83*('Control Mapping'!$M$5:$M$83&gt;0)),""))</f>
        <v>2.8</v>
      </c>
      <c r="M133" s="34" t="n">
        <f aca="false">IF(NOT(ISNUMBER($G133)),"",IF(J133=0,4,MAX(MATCH(L133,'Residual Config'!$E$11:$E$14,1),IF(K133&gt;0,'Residual Config'!$C$7,1))))</f>
        <v>3</v>
      </c>
      <c r="N133" s="7" t="str">
        <f aca="false">IF(NOT(ISNUMBER($G133)),"",IF(J133=0,"Ineffective (no key control)",INDEX('Residual Config'!$B$11:$B$14,M133)))</f>
        <v>Partially effective</v>
      </c>
      <c r="O133" s="36" t="n">
        <f aca="false">IF(NOT(ISNUMBER($G133)),"",IF(J133=0,0,SUMPRODUCT(('Control Mapping'!$C$5:$C$83=D133)*'Control Mapping'!$E$5:$E$83*(('Control Mapping'!$M$5:$M$83=1)*'Residual Config'!$D$11+('Control Mapping'!$M$5:$M$83=2)*'Residual Config'!$D$12+('Control Mapping'!$M$5:$M$83=3)*'Residual Config'!$D$13+('Control Mapping'!$M$5:$M$83=4)*'Residual Config'!$D$14))/SUMPRODUCT(('Control Mapping'!$C$5:$C$83=D133)*'Control Mapping'!$E$5:$E$83*('Control Mapping'!$M$5:$M$83&gt;0))))</f>
        <v>0.24</v>
      </c>
      <c r="P133" s="31" t="n">
        <f aca="false">IF(NOT(ISNUMBER($G133)),"",INDEX('Residual Config'!$B$19:$E$23,6-G133,M133))</f>
        <v>5</v>
      </c>
      <c r="Q133" s="29" t="n">
        <f aca="false">IF(NOT(ISNUMBER($G133)),"",MAX(1,F133*(1-O133)))</f>
        <v>3.8</v>
      </c>
      <c r="R133" s="31" t="n">
        <f aca="false">IF(NOT(ISNUMBER($G133)),"",MAX(MATCH(Q133,Config!$D$5:$D$9,1),G133-'Residual Config'!$C$6))</f>
        <v>4</v>
      </c>
      <c r="S133" s="34" t="n">
        <f aca="false">IF(NOT(ISNUMBER($G133)),"",IF('Residual Config'!$C$5="Numeric",R133,P133))</f>
        <v>5</v>
      </c>
      <c r="T133" s="7" t="str">
        <f aca="false">IF(G133="N/A","N/A",IF(S133="","No data",INDEX(Config!$B$5:$B$9,S133)))</f>
        <v>High</v>
      </c>
      <c r="U133" s="32" t="n">
        <v>0</v>
      </c>
      <c r="V133" s="8"/>
      <c r="W133" s="33"/>
      <c r="X133" s="34" t="n">
        <f aca="false">IF(S133="","",IF(AND(W133="Y",U133&lt;&gt;0),MAX(1,MIN(5,S133+MAX(-Config!$C$27,MIN(Config!$C$27,U133)))),S133))</f>
        <v>5</v>
      </c>
      <c r="Y133" s="35" t="str">
        <f aca="false">IF(G133="N/A","N/A",IF(X133="","No data",INDEX(Config!$B$5:$B$9,X133)))</f>
        <v>High</v>
      </c>
      <c r="Z133" s="7" t="str">
        <f aca="false">IF(U133=0,"None",IF(W133="Y","Applied","Pending HO approval"))</f>
        <v>None</v>
      </c>
      <c r="AA133" s="12" t="str">
        <f aca="false">INDEX('Risk Taxonomy'!$G$5:$G$24,MATCH(D133,'Risk Taxonomy'!$A$5:$A$24,0))</f>
        <v>Low</v>
      </c>
      <c r="AB133" s="7" t="str">
        <f aca="false">INDEX('Risk Taxonomy'!$H$5:$H$24,MATCH(D133,'Risk Taxonomy'!$A$5:$A$24,0))</f>
        <v>Medium</v>
      </c>
      <c r="AC133" s="35" t="str">
        <f aca="false">IF(NOT(ISNUMBER(X133)),"",IF(X133&lt;=MATCH(AB133,Config!$B$5:$B$9,0),"Within",IF(OR(X133-MATCH(AB133,Config!$B$5:$B$9,0)&gt;=2,AND('Residual Config'!$C$8="Y",ISNUMBER(SEARCH("Zero",AA133)))),"Red","Amber")))</f>
        <v>Red</v>
      </c>
      <c r="AD133" s="12" t="str">
        <f aca="false">IF(AC133="Red","Group CCO / CRO and Country CEO within 2 business days; action plan in 15 days; report to Board Risk &amp; Compliance Committee",IF(AC133="Amber","Country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34" customFormat="false" ht="15" hidden="false" customHeight="false" outlineLevel="0" collapsed="false">
      <c r="A134" s="26" t="str">
        <f aca="false">Entities!$A$11</f>
        <v>PS-INV</v>
      </c>
      <c r="B134" s="12" t="str">
        <f aca="false">INDEX(Entities!$B$5:$B$34,MATCH(A134,Entities!$A$5:$A$34,0))</f>
        <v>Al-Arabi Investment Group – Palestine</v>
      </c>
      <c r="C134" s="12" t="str">
        <f aca="false">INDEX(Entities!$D$5:$D$34,MATCH(A134,Entities!$A$5:$A$34,0))</f>
        <v>Levant</v>
      </c>
      <c r="D134" s="12" t="s">
        <v>290</v>
      </c>
      <c r="E134" s="12" t="str">
        <f aca="false">INDEX('Risk Taxonomy'!$B$5:$B$24,MATCH(D134,'Risk Taxonomy'!$A$5:$A$24,0))</f>
        <v>Data protection and privacy</v>
      </c>
      <c r="F134" s="29" t="n">
        <f aca="false">IF(NOT(ISNUMBER(G134)),"",G134)</f>
        <v>4</v>
      </c>
      <c r="G134" s="34" t="n">
        <f aca="false">IF(COUNTIFS('LxI Assessment'!$A$5:$A$394,A134,'LxI Assessment'!$D$5:$D$394,D134,'LxI Assessment'!$F$5:$F$394,"N/A")&gt;0,"N/A",IF(COUNTIFS('LxI Assessment'!$A$5:$A$394,A134,'LxI Assessment'!$D$5:$D$394,D134,'LxI Assessment'!$S$5:$S$394,"&gt;0")=0,"",SUMIFS('LxI Assessment'!$S$5:$S$394,'LxI Assessment'!$A$5:$A$394,A134,'LxI Assessment'!$D$5:$D$394,D134)))</f>
        <v>4</v>
      </c>
      <c r="H134" s="7" t="str">
        <f aca="false">IF(G134="N/A","N/A",IF(G134="","No data",INDEX(Config!$B$5:$B$9,G134)))</f>
        <v>Medium-High</v>
      </c>
      <c r="I134" s="31" t="n">
        <f aca="false">IF(NOT(ISNUMBER($G134)),"",SUMPRODUCT(('Control Mapping'!$C$5:$C$83=D134)*('Control Mapping'!$M$5:$M$83&gt;0)))</f>
        <v>2</v>
      </c>
      <c r="J134" s="31" t="n">
        <f aca="false">IF(NOT(ISNUMBER($G134)),"",SUMPRODUCT(('Control Mapping'!$C$5:$C$83=D134)*('Control Mapping'!$F$5:$F$83="Y")*('Control Mapping'!$M$5:$M$83&gt;0)))</f>
        <v>2</v>
      </c>
      <c r="K134" s="31" t="n">
        <f aca="false">IF(NOT(ISNUMBER($G134)),"",SUMPRODUCT(('Control Mapping'!$C$5:$C$83=D134)*('Control Mapping'!$F$5:$F$83="Y")*('Control Mapping'!$M$5:$M$83=4)))</f>
        <v>0</v>
      </c>
      <c r="L134" s="29" t="n">
        <f aca="false">IF(NOT(ISNUMBER($G134)),"",IFERROR(SUMPRODUCT(('Control Mapping'!$C$5:$C$83=D134)*'Control Mapping'!$E$5:$E$83*'Control Mapping'!$M$5:$M$83)/SUMPRODUCT(('Control Mapping'!$C$5:$C$83=D134)*'Control Mapping'!$E$5:$E$83*('Control Mapping'!$M$5:$M$83&gt;0)),""))</f>
        <v>2.5</v>
      </c>
      <c r="M134" s="34" t="n">
        <f aca="false">IF(NOT(ISNUMBER($G134)),"",IF(J134=0,4,MAX(MATCH(L134,'Residual Config'!$E$11:$E$14,1),IF(K134&gt;0,'Residual Config'!$C$7,1))))</f>
        <v>3</v>
      </c>
      <c r="N134" s="7" t="str">
        <f aca="false">IF(NOT(ISNUMBER($G134)),"",IF(J134=0,"Ineffective (no key control)",INDEX('Residual Config'!$B$11:$B$14,M134)))</f>
        <v>Partially effective</v>
      </c>
      <c r="O134" s="36" t="n">
        <f aca="false">IF(NOT(ISNUMBER($G134)),"",IF(J134=0,0,SUMPRODUCT(('Control Mapping'!$C$5:$C$83=D134)*'Control Mapping'!$E$5:$E$83*(('Control Mapping'!$M$5:$M$83=1)*'Residual Config'!$D$11+('Control Mapping'!$M$5:$M$83=2)*'Residual Config'!$D$12+('Control Mapping'!$M$5:$M$83=3)*'Residual Config'!$D$13+('Control Mapping'!$M$5:$M$83=4)*'Residual Config'!$D$14))/SUMPRODUCT(('Control Mapping'!$C$5:$C$83=D134)*'Control Mapping'!$E$5:$E$83*('Control Mapping'!$M$5:$M$83&gt;0))))</f>
        <v>0.3</v>
      </c>
      <c r="P134" s="31" t="n">
        <f aca="false">IF(NOT(ISNUMBER($G134)),"",INDEX('Residual Config'!$B$19:$E$23,6-G134,M134))</f>
        <v>4</v>
      </c>
      <c r="Q134" s="29" t="n">
        <f aca="false">IF(NOT(ISNUMBER($G134)),"",MAX(1,F134*(1-O134)))</f>
        <v>2.8</v>
      </c>
      <c r="R134" s="31" t="n">
        <f aca="false">IF(NOT(ISNUMBER($G134)),"",MAX(MATCH(Q134,Config!$D$5:$D$9,1),G134-'Residual Config'!$C$6))</f>
        <v>3</v>
      </c>
      <c r="S134" s="34" t="n">
        <f aca="false">IF(NOT(ISNUMBER($G134)),"",IF('Residual Config'!$C$5="Numeric",R134,P134))</f>
        <v>4</v>
      </c>
      <c r="T134" s="7" t="str">
        <f aca="false">IF(G134="N/A","N/A",IF(S134="","No data",INDEX(Config!$B$5:$B$9,S134)))</f>
        <v>Medium-High</v>
      </c>
      <c r="U134" s="32" t="n">
        <v>0</v>
      </c>
      <c r="V134" s="8"/>
      <c r="W134" s="33"/>
      <c r="X134" s="34" t="n">
        <f aca="false">IF(S134="","",IF(AND(W134="Y",U134&lt;&gt;0),MAX(1,MIN(5,S134+MAX(-Config!$C$27,MIN(Config!$C$27,U134)))),S134))</f>
        <v>4</v>
      </c>
      <c r="Y134" s="35" t="str">
        <f aca="false">IF(G134="N/A","N/A",IF(X134="","No data",INDEX(Config!$B$5:$B$9,X134)))</f>
        <v>Medium-High</v>
      </c>
      <c r="Z134" s="7" t="str">
        <f aca="false">IF(U134=0,"None",IF(W134="Y","Applied","Pending HO approval"))</f>
        <v>None</v>
      </c>
      <c r="AA134" s="12" t="str">
        <f aca="false">INDEX('Risk Taxonomy'!$G$5:$G$24,MATCH(D134,'Risk Taxonomy'!$A$5:$A$24,0))</f>
        <v>Very low</v>
      </c>
      <c r="AB134" s="7" t="str">
        <f aca="false">INDEX('Risk Taxonomy'!$H$5:$H$24,MATCH(D134,'Risk Taxonomy'!$A$5:$A$24,0))</f>
        <v>Medium-Low</v>
      </c>
      <c r="AC134" s="35" t="str">
        <f aca="false">IF(NOT(ISNUMBER(X134)),"",IF(X134&lt;=MATCH(AB134,Config!$B$5:$B$9,0),"Within",IF(OR(X134-MATCH(AB134,Config!$B$5:$B$9,0)&gt;=2,AND('Residual Config'!$C$8="Y",ISNUMBER(SEARCH("Zero",AA134)))),"Red","Amber")))</f>
        <v>Red</v>
      </c>
      <c r="AD134" s="12" t="str">
        <f aca="false">IF(AC134="Red","Group CCO / CRO and Country CEO within 2 business days; action plan in 15 days; report to Board Risk &amp; Compliance Committee",IF(AC134="Amber","Country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35" customFormat="false" ht="15" hidden="false" customHeight="false" outlineLevel="0" collapsed="false">
      <c r="A135" s="26" t="str">
        <f aca="false">Entities!$A$11</f>
        <v>PS-INV</v>
      </c>
      <c r="B135" s="12" t="str">
        <f aca="false">INDEX(Entities!$B$5:$B$34,MATCH(A135,Entities!$A$5:$A$34,0))</f>
        <v>Al-Arabi Investment Group – Palestine</v>
      </c>
      <c r="C135" s="12" t="str">
        <f aca="false">INDEX(Entities!$D$5:$D$34,MATCH(A135,Entities!$A$5:$A$34,0))</f>
        <v>Levant</v>
      </c>
      <c r="D135" s="12" t="s">
        <v>293</v>
      </c>
      <c r="E135" s="12" t="str">
        <f aca="false">INDEX('Risk Taxonomy'!$B$5:$B$24,MATCH(D135,'Risk Taxonomy'!$A$5:$A$24,0))</f>
        <v>Shariah non-compliance</v>
      </c>
      <c r="F135" s="29" t="str">
        <f aca="false">IF(NOT(ISNUMBER(G135)),"",G135)</f>
        <v/>
      </c>
      <c r="G135" s="34" t="str">
        <f aca="false">IF(COUNTIFS('LxI Assessment'!$A$5:$A$394,A135,'LxI Assessment'!$D$5:$D$394,D135,'LxI Assessment'!$F$5:$F$394,"N/A")&gt;0,"N/A",IF(COUNTIFS('LxI Assessment'!$A$5:$A$394,A135,'LxI Assessment'!$D$5:$D$394,D135,'LxI Assessment'!$S$5:$S$394,"&gt;0")=0,"",SUMIFS('LxI Assessment'!$S$5:$S$394,'LxI Assessment'!$A$5:$A$394,A135,'LxI Assessment'!$D$5:$D$394,D135)))</f>
        <v>N/A</v>
      </c>
      <c r="H135" s="7" t="str">
        <f aca="false">IF(G135="N/A","N/A",IF(G135="","No data",INDEX(Config!$B$5:$B$9,G135)))</f>
        <v>N/A</v>
      </c>
      <c r="I135" s="31" t="str">
        <f aca="false">IF(NOT(ISNUMBER($G135)),"",SUMPRODUCT(('Control Mapping'!$C$5:$C$83=D135)*('Control Mapping'!$M$5:$M$83&gt;0)))</f>
        <v/>
      </c>
      <c r="J135" s="31" t="str">
        <f aca="false">IF(NOT(ISNUMBER($G135)),"",SUMPRODUCT(('Control Mapping'!$C$5:$C$83=D135)*('Control Mapping'!$F$5:$F$83="Y")*('Control Mapping'!$M$5:$M$83&gt;0)))</f>
        <v/>
      </c>
      <c r="K135" s="31" t="str">
        <f aca="false">IF(NOT(ISNUMBER($G135)),"",SUMPRODUCT(('Control Mapping'!$C$5:$C$83=D135)*('Control Mapping'!$F$5:$F$83="Y")*('Control Mapping'!$M$5:$M$83=4)))</f>
        <v/>
      </c>
      <c r="L135" s="29" t="str">
        <f aca="false">IF(NOT(ISNUMBER($G135)),"",IFERROR(SUMPRODUCT(('Control Mapping'!$C$5:$C$83=D135)*'Control Mapping'!$E$5:$E$83*'Control Mapping'!$M$5:$M$83)/SUMPRODUCT(('Control Mapping'!$C$5:$C$83=D135)*'Control Mapping'!$E$5:$E$83*('Control Mapping'!$M$5:$M$83&gt;0)),""))</f>
        <v/>
      </c>
      <c r="M135" s="34" t="str">
        <f aca="false">IF(NOT(ISNUMBER($G135)),"",IF(J135=0,4,MAX(MATCH(L135,'Residual Config'!$E$11:$E$14,1),IF(K135&gt;0,'Residual Config'!$C$7,1))))</f>
        <v/>
      </c>
      <c r="N135" s="7" t="str">
        <f aca="false">IF(NOT(ISNUMBER($G135)),"",IF(J135=0,"Ineffective (no key control)",INDEX('Residual Config'!$B$11:$B$14,M135)))</f>
        <v/>
      </c>
      <c r="O135" s="36" t="str">
        <f aca="false">IF(NOT(ISNUMBER($G135)),"",IF(J135=0,0,SUMPRODUCT(('Control Mapping'!$C$5:$C$83=D135)*'Control Mapping'!$E$5:$E$83*(('Control Mapping'!$M$5:$M$83=1)*'Residual Config'!$D$11+('Control Mapping'!$M$5:$M$83=2)*'Residual Config'!$D$12+('Control Mapping'!$M$5:$M$83=3)*'Residual Config'!$D$13+('Control Mapping'!$M$5:$M$83=4)*'Residual Config'!$D$14))/SUMPRODUCT(('Control Mapping'!$C$5:$C$83=D135)*'Control Mapping'!$E$5:$E$83*('Control Mapping'!$M$5:$M$83&gt;0))))</f>
        <v/>
      </c>
      <c r="P135" s="31" t="str">
        <f aca="false">IF(NOT(ISNUMBER($G135)),"",INDEX('Residual Config'!$B$19:$E$23,6-G135,M135))</f>
        <v/>
      </c>
      <c r="Q135" s="29" t="str">
        <f aca="false">IF(NOT(ISNUMBER($G135)),"",MAX(1,F135*(1-O135)))</f>
        <v/>
      </c>
      <c r="R135" s="31" t="str">
        <f aca="false">IF(NOT(ISNUMBER($G135)),"",MAX(MATCH(Q135,Config!$D$5:$D$9,1),G135-'Residual Config'!$C$6))</f>
        <v/>
      </c>
      <c r="S135" s="34" t="str">
        <f aca="false">IF(NOT(ISNUMBER($G135)),"",IF('Residual Config'!$C$5="Numeric",R135,P135))</f>
        <v/>
      </c>
      <c r="T135" s="7" t="str">
        <f aca="false">IF(G135="N/A","N/A",IF(S135="","No data",INDEX(Config!$B$5:$B$9,S135)))</f>
        <v>N/A</v>
      </c>
      <c r="U135" s="32" t="n">
        <v>0</v>
      </c>
      <c r="V135" s="8"/>
      <c r="W135" s="33"/>
      <c r="X135" s="34" t="str">
        <f aca="false">IF(S135="","",IF(AND(W135="Y",U135&lt;&gt;0),MAX(1,MIN(5,S135+MAX(-Config!$C$27,MIN(Config!$C$27,U135)))),S135))</f>
        <v/>
      </c>
      <c r="Y135" s="35" t="str">
        <f aca="false">IF(G135="N/A","N/A",IF(X135="","No data",INDEX(Config!$B$5:$B$9,X135)))</f>
        <v>N/A</v>
      </c>
      <c r="Z135" s="7" t="str">
        <f aca="false">IF(U135=0,"None",IF(W135="Y","Applied","Pending HO approval"))</f>
        <v>None</v>
      </c>
      <c r="AA135" s="12" t="str">
        <f aca="false">INDEX('Risk Taxonomy'!$G$5:$G$24,MATCH(D135,'Risk Taxonomy'!$A$5:$A$24,0))</f>
        <v>Very low</v>
      </c>
      <c r="AB135" s="7" t="str">
        <f aca="false">INDEX('Risk Taxonomy'!$H$5:$H$24,MATCH(D135,'Risk Taxonomy'!$A$5:$A$24,0))</f>
        <v>Medium-Low</v>
      </c>
      <c r="AC135" s="35" t="str">
        <f aca="false">IF(NOT(ISNUMBER(X135)),"",IF(X135&lt;=MATCH(AB135,Config!$B$5:$B$9,0),"Within",IF(OR(X135-MATCH(AB135,Config!$B$5:$B$9,0)&gt;=2,AND('Residual Config'!$C$8="Y",ISNUMBER(SEARCH("Zero",AA135)))),"Red","Amber")))</f>
        <v/>
      </c>
      <c r="AD135" s="12" t="str">
        <f aca="false">IF(AC135="Red","Group CCO / CRO and Country CEO within 2 business days; action plan in 15 days; report to Board Risk &amp; Compliance Committee",IF(AC135="Amber","Country CO, risk owner and HO Administrator within 5 business days; action plan in 30 days",""))</f>
        <v/>
      </c>
    </row>
    <row r="136" customFormat="false" ht="15" hidden="false" customHeight="false" outlineLevel="0" collapsed="false">
      <c r="A136" s="26" t="str">
        <f aca="false">Entities!$A$11</f>
        <v>PS-INV</v>
      </c>
      <c r="B136" s="12" t="str">
        <f aca="false">INDEX(Entities!$B$5:$B$34,MATCH(A136,Entities!$A$5:$A$34,0))</f>
        <v>Al-Arabi Investment Group – Palestine</v>
      </c>
      <c r="C136" s="12" t="str">
        <f aca="false">INDEX(Entities!$D$5:$D$34,MATCH(A136,Entities!$A$5:$A$34,0))</f>
        <v>Levant</v>
      </c>
      <c r="D136" s="12" t="s">
        <v>297</v>
      </c>
      <c r="E136" s="12" t="str">
        <f aca="false">INDEX('Risk Taxonomy'!$B$5:$B$24,MATCH(D136,'Risk Taxonomy'!$A$5:$A$24,0))</f>
        <v>Credit risk</v>
      </c>
      <c r="F136" s="29" t="n">
        <f aca="false">IF(NOT(ISNUMBER(G136)),"",G136)</f>
        <v>5</v>
      </c>
      <c r="G136" s="34" t="n">
        <f aca="false">IF(COUNTIFS('LxI Assessment'!$A$5:$A$394,A136,'LxI Assessment'!$D$5:$D$394,D136,'LxI Assessment'!$F$5:$F$394,"N/A")&gt;0,"N/A",IF(COUNTIFS('LxI Assessment'!$A$5:$A$394,A136,'LxI Assessment'!$D$5:$D$394,D136,'LxI Assessment'!$S$5:$S$394,"&gt;0")=0,"",SUMIFS('LxI Assessment'!$S$5:$S$394,'LxI Assessment'!$A$5:$A$394,A136,'LxI Assessment'!$D$5:$D$394,D136)))</f>
        <v>5</v>
      </c>
      <c r="H136" s="7" t="str">
        <f aca="false">IF(G136="N/A","N/A",IF(G136="","No data",INDEX(Config!$B$5:$B$9,G136)))</f>
        <v>High</v>
      </c>
      <c r="I136" s="31" t="n">
        <f aca="false">IF(NOT(ISNUMBER($G136)),"",SUMPRODUCT(('Control Mapping'!$C$5:$C$83=D136)*('Control Mapping'!$M$5:$M$83&gt;0)))</f>
        <v>2</v>
      </c>
      <c r="J136" s="31" t="n">
        <f aca="false">IF(NOT(ISNUMBER($G136)),"",SUMPRODUCT(('Control Mapping'!$C$5:$C$83=D136)*('Control Mapping'!$F$5:$F$83="Y")*('Control Mapping'!$M$5:$M$83&gt;0)))</f>
        <v>1</v>
      </c>
      <c r="K136" s="31" t="n">
        <f aca="false">IF(NOT(ISNUMBER($G136)),"",SUMPRODUCT(('Control Mapping'!$C$5:$C$83=D136)*('Control Mapping'!$F$5:$F$83="Y")*('Control Mapping'!$M$5:$M$83=4)))</f>
        <v>0</v>
      </c>
      <c r="L136" s="29" t="n">
        <f aca="false">IF(NOT(ISNUMBER($G136)),"",IFERROR(SUMPRODUCT(('Control Mapping'!$C$5:$C$83=D136)*'Control Mapping'!$E$5:$E$83*'Control Mapping'!$M$5:$M$83)/SUMPRODUCT(('Control Mapping'!$C$5:$C$83=D136)*'Control Mapping'!$E$5:$E$83*('Control Mapping'!$M$5:$M$83&gt;0)),""))</f>
        <v>2</v>
      </c>
      <c r="M136" s="34" t="n">
        <f aca="false">IF(NOT(ISNUMBER($G136)),"",IF(J136=0,4,MAX(MATCH(L136,'Residual Config'!$E$11:$E$14,1),IF(K136&gt;0,'Residual Config'!$C$7,1))))</f>
        <v>2</v>
      </c>
      <c r="N136" s="7" t="str">
        <f aca="false">IF(NOT(ISNUMBER($G136)),"",IF(J136=0,"Ineffective (no key control)",INDEX('Residual Config'!$B$11:$B$14,M136)))</f>
        <v>Largely effective</v>
      </c>
      <c r="O136" s="36" t="n">
        <f aca="false">IF(NOT(ISNUMBER($G136)),"",IF(J136=0,0,SUMPRODUCT(('Control Mapping'!$C$5:$C$83=D136)*'Control Mapping'!$E$5:$E$83*(('Control Mapping'!$M$5:$M$83=1)*'Residual Config'!$D$11+('Control Mapping'!$M$5:$M$83=2)*'Residual Config'!$D$12+('Control Mapping'!$M$5:$M$83=3)*'Residual Config'!$D$13+('Control Mapping'!$M$5:$M$83=4)*'Residual Config'!$D$14))/SUMPRODUCT(('Control Mapping'!$C$5:$C$83=D136)*'Control Mapping'!$E$5:$E$83*('Control Mapping'!$M$5:$M$83&gt;0))))</f>
        <v>0.4</v>
      </c>
      <c r="P136" s="31" t="n">
        <f aca="false">IF(NOT(ISNUMBER($G136)),"",INDEX('Residual Config'!$B$19:$E$23,6-G136,M136))</f>
        <v>4</v>
      </c>
      <c r="Q136" s="29" t="n">
        <f aca="false">IF(NOT(ISNUMBER($G136)),"",MAX(1,F136*(1-O136)))</f>
        <v>3</v>
      </c>
      <c r="R136" s="31" t="n">
        <f aca="false">IF(NOT(ISNUMBER($G136)),"",MAX(MATCH(Q136,Config!$D$5:$D$9,1),G136-'Residual Config'!$C$6))</f>
        <v>3</v>
      </c>
      <c r="S136" s="34" t="n">
        <f aca="false">IF(NOT(ISNUMBER($G136)),"",IF('Residual Config'!$C$5="Numeric",R136,P136))</f>
        <v>4</v>
      </c>
      <c r="T136" s="7" t="str">
        <f aca="false">IF(G136="N/A","N/A",IF(S136="","No data",INDEX(Config!$B$5:$B$9,S136)))</f>
        <v>Medium-High</v>
      </c>
      <c r="U136" s="32" t="n">
        <v>0</v>
      </c>
      <c r="V136" s="8"/>
      <c r="W136" s="33"/>
      <c r="X136" s="34" t="n">
        <f aca="false">IF(S136="","",IF(AND(W136="Y",U136&lt;&gt;0),MAX(1,MIN(5,S136+MAX(-Config!$C$27,MIN(Config!$C$27,U136)))),S136))</f>
        <v>4</v>
      </c>
      <c r="Y136" s="35" t="str">
        <f aca="false">IF(G136="N/A","N/A",IF(X136="","No data",INDEX(Config!$B$5:$B$9,X136)))</f>
        <v>Medium-High</v>
      </c>
      <c r="Z136" s="7" t="str">
        <f aca="false">IF(U136=0,"None",IF(W136="Y","Applied","Pending HO approval"))</f>
        <v>None</v>
      </c>
      <c r="AA136" s="12" t="str">
        <f aca="false">INDEX('Risk Taxonomy'!$G$5:$G$24,MATCH(D136,'Risk Taxonomy'!$A$5:$A$24,0))</f>
        <v>Moderate</v>
      </c>
      <c r="AB136" s="7" t="str">
        <f aca="false">INDEX('Risk Taxonomy'!$H$5:$H$24,MATCH(D136,'Risk Taxonomy'!$A$5:$A$24,0))</f>
        <v>Medium-High</v>
      </c>
      <c r="AC136" s="35" t="str">
        <f aca="false">IF(NOT(ISNUMBER(X136)),"",IF(X136&lt;=MATCH(AB136,Config!$B$5:$B$9,0),"Within",IF(OR(X136-MATCH(AB136,Config!$B$5:$B$9,0)&gt;=2,AND('Residual Config'!$C$8="Y",ISNUMBER(SEARCH("Zero",AA136)))),"Red","Amber")))</f>
        <v>Within</v>
      </c>
      <c r="AD136" s="12" t="str">
        <f aca="false">IF(AC136="Red","Group CCO / CRO and Country CEO within 2 business days; action plan in 15 days; report to Board Risk &amp; Compliance Committee",IF(AC136="Amber","Country CO, risk owner and HO Administrator within 5 business days; action plan in 30 days",""))</f>
        <v/>
      </c>
    </row>
    <row r="137" customFormat="false" ht="15" hidden="false" customHeight="false" outlineLevel="0" collapsed="false">
      <c r="A137" s="26" t="str">
        <f aca="false">Entities!$A$11</f>
        <v>PS-INV</v>
      </c>
      <c r="B137" s="12" t="str">
        <f aca="false">INDEX(Entities!$B$5:$B$34,MATCH(A137,Entities!$A$5:$A$34,0))</f>
        <v>Al-Arabi Investment Group – Palestine</v>
      </c>
      <c r="C137" s="12" t="str">
        <f aca="false">INDEX(Entities!$D$5:$D$34,MATCH(A137,Entities!$A$5:$A$34,0))</f>
        <v>Levant</v>
      </c>
      <c r="D137" s="12" t="s">
        <v>302</v>
      </c>
      <c r="E137" s="12" t="str">
        <f aca="false">INDEX('Risk Taxonomy'!$B$5:$B$24,MATCH(D137,'Risk Taxonomy'!$A$5:$A$24,0))</f>
        <v>Market risk</v>
      </c>
      <c r="F137" s="29" t="n">
        <f aca="false">IF(NOT(ISNUMBER(G137)),"",G137)</f>
        <v>4</v>
      </c>
      <c r="G137" s="34" t="n">
        <f aca="false">IF(COUNTIFS('LxI Assessment'!$A$5:$A$394,A137,'LxI Assessment'!$D$5:$D$394,D137,'LxI Assessment'!$F$5:$F$394,"N/A")&gt;0,"N/A",IF(COUNTIFS('LxI Assessment'!$A$5:$A$394,A137,'LxI Assessment'!$D$5:$D$394,D137,'LxI Assessment'!$S$5:$S$394,"&gt;0")=0,"",SUMIFS('LxI Assessment'!$S$5:$S$394,'LxI Assessment'!$A$5:$A$394,A137,'LxI Assessment'!$D$5:$D$394,D137)))</f>
        <v>4</v>
      </c>
      <c r="H137" s="7" t="str">
        <f aca="false">IF(G137="N/A","N/A",IF(G137="","No data",INDEX(Config!$B$5:$B$9,G137)))</f>
        <v>Medium-High</v>
      </c>
      <c r="I137" s="31" t="n">
        <f aca="false">IF(NOT(ISNUMBER($G137)),"",SUMPRODUCT(('Control Mapping'!$C$5:$C$83=D137)*('Control Mapping'!$M$5:$M$83&gt;0)))</f>
        <v>1</v>
      </c>
      <c r="J137" s="31" t="n">
        <f aca="false">IF(NOT(ISNUMBER($G137)),"",SUMPRODUCT(('Control Mapping'!$C$5:$C$83=D137)*('Control Mapping'!$F$5:$F$83="Y")*('Control Mapping'!$M$5:$M$83&gt;0)))</f>
        <v>1</v>
      </c>
      <c r="K137" s="31" t="n">
        <f aca="false">IF(NOT(ISNUMBER($G137)),"",SUMPRODUCT(('Control Mapping'!$C$5:$C$83=D137)*('Control Mapping'!$F$5:$F$83="Y")*('Control Mapping'!$M$5:$M$83=4)))</f>
        <v>0</v>
      </c>
      <c r="L137" s="29" t="n">
        <f aca="false">IF(NOT(ISNUMBER($G137)),"",IFERROR(SUMPRODUCT(('Control Mapping'!$C$5:$C$83=D137)*'Control Mapping'!$E$5:$E$83*'Control Mapping'!$M$5:$M$83)/SUMPRODUCT(('Control Mapping'!$C$5:$C$83=D137)*'Control Mapping'!$E$5:$E$83*('Control Mapping'!$M$5:$M$83&gt;0)),""))</f>
        <v>2</v>
      </c>
      <c r="M137" s="34" t="n">
        <f aca="false">IF(NOT(ISNUMBER($G137)),"",IF(J137=0,4,MAX(MATCH(L137,'Residual Config'!$E$11:$E$14,1),IF(K137&gt;0,'Residual Config'!$C$7,1))))</f>
        <v>2</v>
      </c>
      <c r="N137" s="7" t="str">
        <f aca="false">IF(NOT(ISNUMBER($G137)),"",IF(J137=0,"Ineffective (no key control)",INDEX('Residual Config'!$B$11:$B$14,M137)))</f>
        <v>Largely effective</v>
      </c>
      <c r="O137" s="36" t="n">
        <f aca="false">IF(NOT(ISNUMBER($G137)),"",IF(J137=0,0,SUMPRODUCT(('Control Mapping'!$C$5:$C$83=D137)*'Control Mapping'!$E$5:$E$83*(('Control Mapping'!$M$5:$M$83=1)*'Residual Config'!$D$11+('Control Mapping'!$M$5:$M$83=2)*'Residual Config'!$D$12+('Control Mapping'!$M$5:$M$83=3)*'Residual Config'!$D$13+('Control Mapping'!$M$5:$M$83=4)*'Residual Config'!$D$14))/SUMPRODUCT(('Control Mapping'!$C$5:$C$83=D137)*'Control Mapping'!$E$5:$E$83*('Control Mapping'!$M$5:$M$83&gt;0))))</f>
        <v>0.4</v>
      </c>
      <c r="P137" s="31" t="n">
        <f aca="false">IF(NOT(ISNUMBER($G137)),"",INDEX('Residual Config'!$B$19:$E$23,6-G137,M137))</f>
        <v>3</v>
      </c>
      <c r="Q137" s="29" t="n">
        <f aca="false">IF(NOT(ISNUMBER($G137)),"",MAX(1,F137*(1-O137)))</f>
        <v>2.4</v>
      </c>
      <c r="R137" s="31" t="n">
        <f aca="false">IF(NOT(ISNUMBER($G137)),"",MAX(MATCH(Q137,Config!$D$5:$D$9,1),G137-'Residual Config'!$C$6))</f>
        <v>2</v>
      </c>
      <c r="S137" s="34" t="n">
        <f aca="false">IF(NOT(ISNUMBER($G137)),"",IF('Residual Config'!$C$5="Numeric",R137,P137))</f>
        <v>3</v>
      </c>
      <c r="T137" s="7" t="str">
        <f aca="false">IF(G137="N/A","N/A",IF(S137="","No data",INDEX(Config!$B$5:$B$9,S137)))</f>
        <v>Medium</v>
      </c>
      <c r="U137" s="32" t="n">
        <v>0</v>
      </c>
      <c r="V137" s="8"/>
      <c r="W137" s="33"/>
      <c r="X137" s="34" t="n">
        <f aca="false">IF(S137="","",IF(AND(W137="Y",U137&lt;&gt;0),MAX(1,MIN(5,S137+MAX(-Config!$C$27,MIN(Config!$C$27,U137)))),S137))</f>
        <v>3</v>
      </c>
      <c r="Y137" s="35" t="str">
        <f aca="false">IF(G137="N/A","N/A",IF(X137="","No data",INDEX(Config!$B$5:$B$9,X137)))</f>
        <v>Medium</v>
      </c>
      <c r="Z137" s="7" t="str">
        <f aca="false">IF(U137=0,"None",IF(W137="Y","Applied","Pending HO approval"))</f>
        <v>None</v>
      </c>
      <c r="AA137" s="12" t="str">
        <f aca="false">INDEX('Risk Taxonomy'!$G$5:$G$24,MATCH(D137,'Risk Taxonomy'!$A$5:$A$24,0))</f>
        <v>Moderate</v>
      </c>
      <c r="AB137" s="7" t="str">
        <f aca="false">INDEX('Risk Taxonomy'!$H$5:$H$24,MATCH(D137,'Risk Taxonomy'!$A$5:$A$24,0))</f>
        <v>Medium-High</v>
      </c>
      <c r="AC137" s="35" t="str">
        <f aca="false">IF(NOT(ISNUMBER(X137)),"",IF(X137&lt;=MATCH(AB137,Config!$B$5:$B$9,0),"Within",IF(OR(X137-MATCH(AB137,Config!$B$5:$B$9,0)&gt;=2,AND('Residual Config'!$C$8="Y",ISNUMBER(SEARCH("Zero",AA137)))),"Red","Amber")))</f>
        <v>Within</v>
      </c>
      <c r="AD137" s="12" t="str">
        <f aca="false">IF(AC137="Red","Group CCO / CRO and Country CEO within 2 business days; action plan in 15 days; report to Board Risk &amp; Compliance Committee",IF(AC137="Amber","Country CO, risk owner and HO Administrator within 5 business days; action plan in 30 days",""))</f>
        <v/>
      </c>
    </row>
    <row r="138" customFormat="false" ht="15" hidden="false" customHeight="false" outlineLevel="0" collapsed="false">
      <c r="A138" s="26" t="str">
        <f aca="false">Entities!$A$11</f>
        <v>PS-INV</v>
      </c>
      <c r="B138" s="12" t="str">
        <f aca="false">INDEX(Entities!$B$5:$B$34,MATCH(A138,Entities!$A$5:$A$34,0))</f>
        <v>Al-Arabi Investment Group – Palestine</v>
      </c>
      <c r="C138" s="12" t="str">
        <f aca="false">INDEX(Entities!$D$5:$D$34,MATCH(A138,Entities!$A$5:$A$34,0))</f>
        <v>Levant</v>
      </c>
      <c r="D138" s="12" t="s">
        <v>304</v>
      </c>
      <c r="E138" s="12" t="str">
        <f aca="false">INDEX('Risk Taxonomy'!$B$5:$B$24,MATCH(D138,'Risk Taxonomy'!$A$5:$A$24,0))</f>
        <v>Liquidity and funding risk</v>
      </c>
      <c r="F138" s="29" t="n">
        <f aca="false">IF(NOT(ISNUMBER(G138)),"",G138)</f>
        <v>3</v>
      </c>
      <c r="G138" s="34" t="n">
        <f aca="false">IF(COUNTIFS('LxI Assessment'!$A$5:$A$394,A138,'LxI Assessment'!$D$5:$D$394,D138,'LxI Assessment'!$F$5:$F$394,"N/A")&gt;0,"N/A",IF(COUNTIFS('LxI Assessment'!$A$5:$A$394,A138,'LxI Assessment'!$D$5:$D$394,D138,'LxI Assessment'!$S$5:$S$394,"&gt;0")=0,"",SUMIFS('LxI Assessment'!$S$5:$S$394,'LxI Assessment'!$A$5:$A$394,A138,'LxI Assessment'!$D$5:$D$394,D138)))</f>
        <v>3</v>
      </c>
      <c r="H138" s="7" t="str">
        <f aca="false">IF(G138="N/A","N/A",IF(G138="","No data",INDEX(Config!$B$5:$B$9,G138)))</f>
        <v>Medium</v>
      </c>
      <c r="I138" s="31" t="n">
        <f aca="false">IF(NOT(ISNUMBER($G138)),"",SUMPRODUCT(('Control Mapping'!$C$5:$C$83=D138)*('Control Mapping'!$M$5:$M$83&gt;0)))</f>
        <v>1</v>
      </c>
      <c r="J138" s="31" t="n">
        <f aca="false">IF(NOT(ISNUMBER($G138)),"",SUMPRODUCT(('Control Mapping'!$C$5:$C$83=D138)*('Control Mapping'!$F$5:$F$83="Y")*('Control Mapping'!$M$5:$M$83&gt;0)))</f>
        <v>1</v>
      </c>
      <c r="K138" s="31" t="n">
        <f aca="false">IF(NOT(ISNUMBER($G138)),"",SUMPRODUCT(('Control Mapping'!$C$5:$C$83=D138)*('Control Mapping'!$F$5:$F$83="Y")*('Control Mapping'!$M$5:$M$83=4)))</f>
        <v>0</v>
      </c>
      <c r="L138" s="29" t="n">
        <f aca="false">IF(NOT(ISNUMBER($G138)),"",IFERROR(SUMPRODUCT(('Control Mapping'!$C$5:$C$83=D138)*'Control Mapping'!$E$5:$E$83*'Control Mapping'!$M$5:$M$83)/SUMPRODUCT(('Control Mapping'!$C$5:$C$83=D138)*'Control Mapping'!$E$5:$E$83*('Control Mapping'!$M$5:$M$83&gt;0)),""))</f>
        <v>2</v>
      </c>
      <c r="M138" s="34" t="n">
        <f aca="false">IF(NOT(ISNUMBER($G138)),"",IF(J138=0,4,MAX(MATCH(L138,'Residual Config'!$E$11:$E$14,1),IF(K138&gt;0,'Residual Config'!$C$7,1))))</f>
        <v>2</v>
      </c>
      <c r="N138" s="7" t="str">
        <f aca="false">IF(NOT(ISNUMBER($G138)),"",IF(J138=0,"Ineffective (no key control)",INDEX('Residual Config'!$B$11:$B$14,M138)))</f>
        <v>Largely effective</v>
      </c>
      <c r="O138" s="36" t="n">
        <f aca="false">IF(NOT(ISNUMBER($G138)),"",IF(J138=0,0,SUMPRODUCT(('Control Mapping'!$C$5:$C$83=D138)*'Control Mapping'!$E$5:$E$83*(('Control Mapping'!$M$5:$M$83=1)*'Residual Config'!$D$11+('Control Mapping'!$M$5:$M$83=2)*'Residual Config'!$D$12+('Control Mapping'!$M$5:$M$83=3)*'Residual Config'!$D$13+('Control Mapping'!$M$5:$M$83=4)*'Residual Config'!$D$14))/SUMPRODUCT(('Control Mapping'!$C$5:$C$83=D138)*'Control Mapping'!$E$5:$E$83*('Control Mapping'!$M$5:$M$83&gt;0))))</f>
        <v>0.4</v>
      </c>
      <c r="P138" s="31" t="n">
        <f aca="false">IF(NOT(ISNUMBER($G138)),"",INDEX('Residual Config'!$B$19:$E$23,6-G138,M138))</f>
        <v>2</v>
      </c>
      <c r="Q138" s="29" t="n">
        <f aca="false">IF(NOT(ISNUMBER($G138)),"",MAX(1,F138*(1-O138)))</f>
        <v>1.8</v>
      </c>
      <c r="R138" s="31" t="n">
        <f aca="false">IF(NOT(ISNUMBER($G138)),"",MAX(MATCH(Q138,Config!$D$5:$D$9,1),G138-'Residual Config'!$C$6))</f>
        <v>1</v>
      </c>
      <c r="S138" s="34" t="n">
        <f aca="false">IF(NOT(ISNUMBER($G138)),"",IF('Residual Config'!$C$5="Numeric",R138,P138))</f>
        <v>2</v>
      </c>
      <c r="T138" s="7" t="str">
        <f aca="false">IF(G138="N/A","N/A",IF(S138="","No data",INDEX(Config!$B$5:$B$9,S138)))</f>
        <v>Medium-Low</v>
      </c>
      <c r="U138" s="32" t="n">
        <v>0</v>
      </c>
      <c r="V138" s="8"/>
      <c r="W138" s="33"/>
      <c r="X138" s="34" t="n">
        <f aca="false">IF(S138="","",IF(AND(W138="Y",U138&lt;&gt;0),MAX(1,MIN(5,S138+MAX(-Config!$C$27,MIN(Config!$C$27,U138)))),S138))</f>
        <v>2</v>
      </c>
      <c r="Y138" s="35" t="str">
        <f aca="false">IF(G138="N/A","N/A",IF(X138="","No data",INDEX(Config!$B$5:$B$9,X138)))</f>
        <v>Medium-Low</v>
      </c>
      <c r="Z138" s="7" t="str">
        <f aca="false">IF(U138=0,"None",IF(W138="Y","Applied","Pending HO approval"))</f>
        <v>None</v>
      </c>
      <c r="AA138" s="12" t="str">
        <f aca="false">INDEX('Risk Taxonomy'!$G$5:$G$24,MATCH(D138,'Risk Taxonomy'!$A$5:$A$24,0))</f>
        <v>Low</v>
      </c>
      <c r="AB138" s="7" t="str">
        <f aca="false">INDEX('Risk Taxonomy'!$H$5:$H$24,MATCH(D138,'Risk Taxonomy'!$A$5:$A$24,0))</f>
        <v>Medium</v>
      </c>
      <c r="AC138" s="35" t="str">
        <f aca="false">IF(NOT(ISNUMBER(X138)),"",IF(X138&lt;=MATCH(AB138,Config!$B$5:$B$9,0),"Within",IF(OR(X138-MATCH(AB138,Config!$B$5:$B$9,0)&gt;=2,AND('Residual Config'!$C$8="Y",ISNUMBER(SEARCH("Zero",AA138)))),"Red","Amber")))</f>
        <v>Within</v>
      </c>
      <c r="AD138" s="12" t="str">
        <f aca="false">IF(AC138="Red","Group CCO / CRO and Country CEO within 2 business days; action plan in 15 days; report to Board Risk &amp; Compliance Committee",IF(AC138="Amber","Country CO, risk owner and HO Administrator within 5 business days; action plan in 30 days",""))</f>
        <v/>
      </c>
    </row>
    <row r="139" customFormat="false" ht="15" hidden="false" customHeight="false" outlineLevel="0" collapsed="false">
      <c r="A139" s="26" t="str">
        <f aca="false">Entities!$A$11</f>
        <v>PS-INV</v>
      </c>
      <c r="B139" s="12" t="str">
        <f aca="false">INDEX(Entities!$B$5:$B$34,MATCH(A139,Entities!$A$5:$A$34,0))</f>
        <v>Al-Arabi Investment Group – Palestine</v>
      </c>
      <c r="C139" s="12" t="str">
        <f aca="false">INDEX(Entities!$D$5:$D$34,MATCH(A139,Entities!$A$5:$A$34,0))</f>
        <v>Levant</v>
      </c>
      <c r="D139" s="12" t="s">
        <v>307</v>
      </c>
      <c r="E139" s="12" t="str">
        <f aca="false">INDEX('Risk Taxonomy'!$B$5:$B$24,MATCH(D139,'Risk Taxonomy'!$A$5:$A$24,0))</f>
        <v>Operational risk</v>
      </c>
      <c r="F139" s="29" t="n">
        <f aca="false">IF(NOT(ISNUMBER(G139)),"",G139)</f>
        <v>5</v>
      </c>
      <c r="G139" s="34" t="n">
        <f aca="false">IF(COUNTIFS('LxI Assessment'!$A$5:$A$394,A139,'LxI Assessment'!$D$5:$D$394,D139,'LxI Assessment'!$F$5:$F$394,"N/A")&gt;0,"N/A",IF(COUNTIFS('LxI Assessment'!$A$5:$A$394,A139,'LxI Assessment'!$D$5:$D$394,D139,'LxI Assessment'!$S$5:$S$394,"&gt;0")=0,"",SUMIFS('LxI Assessment'!$S$5:$S$394,'LxI Assessment'!$A$5:$A$394,A139,'LxI Assessment'!$D$5:$D$394,D139)))</f>
        <v>5</v>
      </c>
      <c r="H139" s="7" t="str">
        <f aca="false">IF(G139="N/A","N/A",IF(G139="","No data",INDEX(Config!$B$5:$B$9,G139)))</f>
        <v>High</v>
      </c>
      <c r="I139" s="31" t="n">
        <f aca="false">IF(NOT(ISNUMBER($G139)),"",SUMPRODUCT(('Control Mapping'!$C$5:$C$83=D139)*('Control Mapping'!$M$5:$M$83&gt;0)))</f>
        <v>3</v>
      </c>
      <c r="J139" s="31" t="n">
        <f aca="false">IF(NOT(ISNUMBER($G139)),"",SUMPRODUCT(('Control Mapping'!$C$5:$C$83=D139)*('Control Mapping'!$F$5:$F$83="Y")*('Control Mapping'!$M$5:$M$83&gt;0)))</f>
        <v>2</v>
      </c>
      <c r="K139" s="31" t="n">
        <f aca="false">IF(NOT(ISNUMBER($G139)),"",SUMPRODUCT(('Control Mapping'!$C$5:$C$83=D139)*('Control Mapping'!$F$5:$F$83="Y")*('Control Mapping'!$M$5:$M$83=4)))</f>
        <v>0</v>
      </c>
      <c r="L139" s="29" t="n">
        <f aca="false">IF(NOT(ISNUMBER($G139)),"",IFERROR(SUMPRODUCT(('Control Mapping'!$C$5:$C$83=D139)*'Control Mapping'!$E$5:$E$83*'Control Mapping'!$M$5:$M$83)/SUMPRODUCT(('Control Mapping'!$C$5:$C$83=D139)*'Control Mapping'!$E$5:$E$83*('Control Mapping'!$M$5:$M$83&gt;0)),""))</f>
        <v>2.33333333333333</v>
      </c>
      <c r="M139" s="34" t="n">
        <f aca="false">IF(NOT(ISNUMBER($G139)),"",IF(J139=0,4,MAX(MATCH(L139,'Residual Config'!$E$11:$E$14,1),IF(K139&gt;0,'Residual Config'!$C$7,1))))</f>
        <v>2</v>
      </c>
      <c r="N139" s="7" t="str">
        <f aca="false">IF(NOT(ISNUMBER($G139)),"",IF(J139=0,"Ineffective (no key control)",INDEX('Residual Config'!$B$11:$B$14,M139)))</f>
        <v>Largely effective</v>
      </c>
      <c r="O139" s="36" t="n">
        <f aca="false">IF(NOT(ISNUMBER($G139)),"",IF(J139=0,0,SUMPRODUCT(('Control Mapping'!$C$5:$C$83=D139)*'Control Mapping'!$E$5:$E$83*(('Control Mapping'!$M$5:$M$83=1)*'Residual Config'!$D$11+('Control Mapping'!$M$5:$M$83=2)*'Residual Config'!$D$12+('Control Mapping'!$M$5:$M$83=3)*'Residual Config'!$D$13+('Control Mapping'!$M$5:$M$83=4)*'Residual Config'!$D$14))/SUMPRODUCT(('Control Mapping'!$C$5:$C$83=D139)*'Control Mapping'!$E$5:$E$83*('Control Mapping'!$M$5:$M$83&gt;0))))</f>
        <v>0.333333333333333</v>
      </c>
      <c r="P139" s="31" t="n">
        <f aca="false">IF(NOT(ISNUMBER($G139)),"",INDEX('Residual Config'!$B$19:$E$23,6-G139,M139))</f>
        <v>4</v>
      </c>
      <c r="Q139" s="29" t="n">
        <f aca="false">IF(NOT(ISNUMBER($G139)),"",MAX(1,F139*(1-O139)))</f>
        <v>3.33333333333333</v>
      </c>
      <c r="R139" s="31" t="n">
        <f aca="false">IF(NOT(ISNUMBER($G139)),"",MAX(MATCH(Q139,Config!$D$5:$D$9,1),G139-'Residual Config'!$C$6))</f>
        <v>3</v>
      </c>
      <c r="S139" s="34" t="n">
        <f aca="false">IF(NOT(ISNUMBER($G139)),"",IF('Residual Config'!$C$5="Numeric",R139,P139))</f>
        <v>4</v>
      </c>
      <c r="T139" s="7" t="str">
        <f aca="false">IF(G139="N/A","N/A",IF(S139="","No data",INDEX(Config!$B$5:$B$9,S139)))</f>
        <v>Medium-High</v>
      </c>
      <c r="U139" s="32" t="n">
        <v>0</v>
      </c>
      <c r="V139" s="8"/>
      <c r="W139" s="33"/>
      <c r="X139" s="34" t="n">
        <f aca="false">IF(S139="","",IF(AND(W139="Y",U139&lt;&gt;0),MAX(1,MIN(5,S139+MAX(-Config!$C$27,MIN(Config!$C$27,U139)))),S139))</f>
        <v>4</v>
      </c>
      <c r="Y139" s="35" t="str">
        <f aca="false">IF(G139="N/A","N/A",IF(X139="","No data",INDEX(Config!$B$5:$B$9,X139)))</f>
        <v>Medium-High</v>
      </c>
      <c r="Z139" s="7" t="str">
        <f aca="false">IF(U139=0,"None",IF(W139="Y","Applied","Pending HO approval"))</f>
        <v>None</v>
      </c>
      <c r="AA139" s="12" t="str">
        <f aca="false">INDEX('Risk Taxonomy'!$G$5:$G$24,MATCH(D139,'Risk Taxonomy'!$A$5:$A$24,0))</f>
        <v>Low</v>
      </c>
      <c r="AB139" s="7" t="str">
        <f aca="false">INDEX('Risk Taxonomy'!$H$5:$H$24,MATCH(D139,'Risk Taxonomy'!$A$5:$A$24,0))</f>
        <v>Medium</v>
      </c>
      <c r="AC139" s="35" t="str">
        <f aca="false">IF(NOT(ISNUMBER(X139)),"",IF(X139&lt;=MATCH(AB139,Config!$B$5:$B$9,0),"Within",IF(OR(X139-MATCH(AB139,Config!$B$5:$B$9,0)&gt;=2,AND('Residual Config'!$C$8="Y",ISNUMBER(SEARCH("Zero",AA139)))),"Red","Amber")))</f>
        <v>Amber</v>
      </c>
      <c r="AD139" s="12" t="str">
        <f aca="false">IF(AC139="Red","Group CCO / CRO and Country CEO within 2 business days; action plan in 15 days; report to Board Risk &amp; Compliance Committee",IF(AC139="Amber","Country CO, risk owner and HO Administrator within 5 business days; action plan in 30 days",""))</f>
        <v>Country CO, risk owner and HO Administrator within 5 business days; action plan in 30 days</v>
      </c>
    </row>
    <row r="140" customFormat="false" ht="15" hidden="false" customHeight="false" outlineLevel="0" collapsed="false">
      <c r="A140" s="26" t="str">
        <f aca="false">Entities!$A$11</f>
        <v>PS-INV</v>
      </c>
      <c r="B140" s="12" t="str">
        <f aca="false">INDEX(Entities!$B$5:$B$34,MATCH(A140,Entities!$A$5:$A$34,0))</f>
        <v>Al-Arabi Investment Group – Palestine</v>
      </c>
      <c r="C140" s="12" t="str">
        <f aca="false">INDEX(Entities!$D$5:$D$34,MATCH(A140,Entities!$A$5:$A$34,0))</f>
        <v>Levant</v>
      </c>
      <c r="D140" s="12" t="s">
        <v>310</v>
      </c>
      <c r="E140" s="12" t="str">
        <f aca="false">INDEX('Risk Taxonomy'!$B$5:$B$24,MATCH(D140,'Risk Taxonomy'!$A$5:$A$24,0))</f>
        <v>Cyber, information security and technology</v>
      </c>
      <c r="F140" s="29" t="n">
        <f aca="false">IF(NOT(ISNUMBER(G140)),"",G140)</f>
        <v>5</v>
      </c>
      <c r="G140" s="34" t="n">
        <f aca="false">IF(COUNTIFS('LxI Assessment'!$A$5:$A$394,A140,'LxI Assessment'!$D$5:$D$394,D140,'LxI Assessment'!$F$5:$F$394,"N/A")&gt;0,"N/A",IF(COUNTIFS('LxI Assessment'!$A$5:$A$394,A140,'LxI Assessment'!$D$5:$D$394,D140,'LxI Assessment'!$S$5:$S$394,"&gt;0")=0,"",SUMIFS('LxI Assessment'!$S$5:$S$394,'LxI Assessment'!$A$5:$A$394,A140,'LxI Assessment'!$D$5:$D$394,D140)))</f>
        <v>5</v>
      </c>
      <c r="H140" s="7" t="str">
        <f aca="false">IF(G140="N/A","N/A",IF(G140="","No data",INDEX(Config!$B$5:$B$9,G140)))</f>
        <v>High</v>
      </c>
      <c r="I140" s="31" t="n">
        <f aca="false">IF(NOT(ISNUMBER($G140)),"",SUMPRODUCT(('Control Mapping'!$C$5:$C$83=D140)*('Control Mapping'!$M$5:$M$83&gt;0)))</f>
        <v>4</v>
      </c>
      <c r="J140" s="31" t="n">
        <f aca="false">IF(NOT(ISNUMBER($G140)),"",SUMPRODUCT(('Control Mapping'!$C$5:$C$83=D140)*('Control Mapping'!$F$5:$F$83="Y")*('Control Mapping'!$M$5:$M$83&gt;0)))</f>
        <v>4</v>
      </c>
      <c r="K140" s="31" t="n">
        <f aca="false">IF(NOT(ISNUMBER($G140)),"",SUMPRODUCT(('Control Mapping'!$C$5:$C$83=D140)*('Control Mapping'!$F$5:$F$83="Y")*('Control Mapping'!$M$5:$M$83=4)))</f>
        <v>0</v>
      </c>
      <c r="L140" s="29" t="n">
        <f aca="false">IF(NOT(ISNUMBER($G140)),"",IFERROR(SUMPRODUCT(('Control Mapping'!$C$5:$C$83=D140)*'Control Mapping'!$E$5:$E$83*'Control Mapping'!$M$5:$M$83)/SUMPRODUCT(('Control Mapping'!$C$5:$C$83=D140)*'Control Mapping'!$E$5:$E$83*('Control Mapping'!$M$5:$M$83&gt;0)),""))</f>
        <v>2.28571428571429</v>
      </c>
      <c r="M140" s="34" t="n">
        <f aca="false">IF(NOT(ISNUMBER($G140)),"",IF(J140=0,4,MAX(MATCH(L140,'Residual Config'!$E$11:$E$14,1),IF(K140&gt;0,'Residual Config'!$C$7,1))))</f>
        <v>2</v>
      </c>
      <c r="N140" s="7" t="str">
        <f aca="false">IF(NOT(ISNUMBER($G140)),"",IF(J140=0,"Ineffective (no key control)",INDEX('Residual Config'!$B$11:$B$14,M140)))</f>
        <v>Largely effective</v>
      </c>
      <c r="O140" s="36" t="n">
        <f aca="false">IF(NOT(ISNUMBER($G140)),"",IF(J140=0,0,SUMPRODUCT(('Control Mapping'!$C$5:$C$83=D140)*'Control Mapping'!$E$5:$E$83*(('Control Mapping'!$M$5:$M$83=1)*'Residual Config'!$D$11+('Control Mapping'!$M$5:$M$83=2)*'Residual Config'!$D$12+('Control Mapping'!$M$5:$M$83=3)*'Residual Config'!$D$13+('Control Mapping'!$M$5:$M$83=4)*'Residual Config'!$D$14))/SUMPRODUCT(('Control Mapping'!$C$5:$C$83=D140)*'Control Mapping'!$E$5:$E$83*('Control Mapping'!$M$5:$M$83&gt;0))))</f>
        <v>0.342857142857143</v>
      </c>
      <c r="P140" s="31" t="n">
        <f aca="false">IF(NOT(ISNUMBER($G140)),"",INDEX('Residual Config'!$B$19:$E$23,6-G140,M140))</f>
        <v>4</v>
      </c>
      <c r="Q140" s="29" t="n">
        <f aca="false">IF(NOT(ISNUMBER($G140)),"",MAX(1,F140*(1-O140)))</f>
        <v>3.28571428571429</v>
      </c>
      <c r="R140" s="31" t="n">
        <f aca="false">IF(NOT(ISNUMBER($G140)),"",MAX(MATCH(Q140,Config!$D$5:$D$9,1),G140-'Residual Config'!$C$6))</f>
        <v>3</v>
      </c>
      <c r="S140" s="34" t="n">
        <f aca="false">IF(NOT(ISNUMBER($G140)),"",IF('Residual Config'!$C$5="Numeric",R140,P140))</f>
        <v>4</v>
      </c>
      <c r="T140" s="7" t="str">
        <f aca="false">IF(G140="N/A","N/A",IF(S140="","No data",INDEX(Config!$B$5:$B$9,S140)))</f>
        <v>Medium-High</v>
      </c>
      <c r="U140" s="32" t="n">
        <v>0</v>
      </c>
      <c r="V140" s="8"/>
      <c r="W140" s="33"/>
      <c r="X140" s="34" t="n">
        <f aca="false">IF(S140="","",IF(AND(W140="Y",U140&lt;&gt;0),MAX(1,MIN(5,S140+MAX(-Config!$C$27,MIN(Config!$C$27,U140)))),S140))</f>
        <v>4</v>
      </c>
      <c r="Y140" s="35" t="str">
        <f aca="false">IF(G140="N/A","N/A",IF(X140="","No data",INDEX(Config!$B$5:$B$9,X140)))</f>
        <v>Medium-High</v>
      </c>
      <c r="Z140" s="7" t="str">
        <f aca="false">IF(U140=0,"None",IF(W140="Y","Applied","Pending HO approval"))</f>
        <v>None</v>
      </c>
      <c r="AA140" s="12" t="str">
        <f aca="false">INDEX('Risk Taxonomy'!$G$5:$G$24,MATCH(D140,'Risk Taxonomy'!$A$5:$A$24,0))</f>
        <v>Very low</v>
      </c>
      <c r="AB140" s="7" t="str">
        <f aca="false">INDEX('Risk Taxonomy'!$H$5:$H$24,MATCH(D140,'Risk Taxonomy'!$A$5:$A$24,0))</f>
        <v>Medium-Low</v>
      </c>
      <c r="AC140" s="35" t="str">
        <f aca="false">IF(NOT(ISNUMBER(X140)),"",IF(X140&lt;=MATCH(AB140,Config!$B$5:$B$9,0),"Within",IF(OR(X140-MATCH(AB140,Config!$B$5:$B$9,0)&gt;=2,AND('Residual Config'!$C$8="Y",ISNUMBER(SEARCH("Zero",AA140)))),"Red","Amber")))</f>
        <v>Red</v>
      </c>
      <c r="AD140" s="12" t="str">
        <f aca="false">IF(AC140="Red","Group CCO / CRO and Country CEO within 2 business days; action plan in 15 days; report to Board Risk &amp; Compliance Committee",IF(AC140="Amber","Country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41" customFormat="false" ht="15" hidden="false" customHeight="false" outlineLevel="0" collapsed="false">
      <c r="A141" s="26" t="str">
        <f aca="false">Entities!$A$11</f>
        <v>PS-INV</v>
      </c>
      <c r="B141" s="12" t="str">
        <f aca="false">INDEX(Entities!$B$5:$B$34,MATCH(A141,Entities!$A$5:$A$34,0))</f>
        <v>Al-Arabi Investment Group – Palestine</v>
      </c>
      <c r="C141" s="12" t="str">
        <f aca="false">INDEX(Entities!$D$5:$D$34,MATCH(A141,Entities!$A$5:$A$34,0))</f>
        <v>Levant</v>
      </c>
      <c r="D141" s="12" t="s">
        <v>313</v>
      </c>
      <c r="E141" s="12" t="str">
        <f aca="false">INDEX('Risk Taxonomy'!$B$5:$B$24,MATCH(D141,'Risk Taxonomy'!$A$5:$A$24,0))</f>
        <v>Third-party and outsourcing</v>
      </c>
      <c r="F141" s="29" t="n">
        <f aca="false">IF(NOT(ISNUMBER(G141)),"",G141)</f>
        <v>5</v>
      </c>
      <c r="G141" s="34" t="n">
        <f aca="false">IF(COUNTIFS('LxI Assessment'!$A$5:$A$394,A141,'LxI Assessment'!$D$5:$D$394,D141,'LxI Assessment'!$F$5:$F$394,"N/A")&gt;0,"N/A",IF(COUNTIFS('LxI Assessment'!$A$5:$A$394,A141,'LxI Assessment'!$D$5:$D$394,D141,'LxI Assessment'!$S$5:$S$394,"&gt;0")=0,"",SUMIFS('LxI Assessment'!$S$5:$S$394,'LxI Assessment'!$A$5:$A$394,A141,'LxI Assessment'!$D$5:$D$394,D141)))</f>
        <v>5</v>
      </c>
      <c r="H141" s="7" t="str">
        <f aca="false">IF(G141="N/A","N/A",IF(G141="","No data",INDEX(Config!$B$5:$B$9,G141)))</f>
        <v>High</v>
      </c>
      <c r="I141" s="31" t="n">
        <f aca="false">IF(NOT(ISNUMBER($G141)),"",SUMPRODUCT(('Control Mapping'!$C$5:$C$83=D141)*('Control Mapping'!$M$5:$M$83&gt;0)))</f>
        <v>2</v>
      </c>
      <c r="J141" s="31" t="n">
        <f aca="false">IF(NOT(ISNUMBER($G141)),"",SUMPRODUCT(('Control Mapping'!$C$5:$C$83=D141)*('Control Mapping'!$F$5:$F$83="Y")*('Control Mapping'!$M$5:$M$83&gt;0)))</f>
        <v>2</v>
      </c>
      <c r="K141" s="31" t="n">
        <f aca="false">IF(NOT(ISNUMBER($G141)),"",SUMPRODUCT(('Control Mapping'!$C$5:$C$83=D141)*('Control Mapping'!$F$5:$F$83="Y")*('Control Mapping'!$M$5:$M$83=4)))</f>
        <v>0</v>
      </c>
      <c r="L141" s="29" t="n">
        <f aca="false">IF(NOT(ISNUMBER($G141)),"",IFERROR(SUMPRODUCT(('Control Mapping'!$C$5:$C$83=D141)*'Control Mapping'!$E$5:$E$83*'Control Mapping'!$M$5:$M$83)/SUMPRODUCT(('Control Mapping'!$C$5:$C$83=D141)*'Control Mapping'!$E$5:$E$83*('Control Mapping'!$M$5:$M$83&gt;0)),""))</f>
        <v>2.25</v>
      </c>
      <c r="M141" s="34" t="n">
        <f aca="false">IF(NOT(ISNUMBER($G141)),"",IF(J141=0,4,MAX(MATCH(L141,'Residual Config'!$E$11:$E$14,1),IF(K141&gt;0,'Residual Config'!$C$7,1))))</f>
        <v>2</v>
      </c>
      <c r="N141" s="7" t="str">
        <f aca="false">IF(NOT(ISNUMBER($G141)),"",IF(J141=0,"Ineffective (no key control)",INDEX('Residual Config'!$B$11:$B$14,M141)))</f>
        <v>Largely effective</v>
      </c>
      <c r="O141" s="36" t="n">
        <f aca="false">IF(NOT(ISNUMBER($G141)),"",IF(J141=0,0,SUMPRODUCT(('Control Mapping'!$C$5:$C$83=D141)*'Control Mapping'!$E$5:$E$83*(('Control Mapping'!$M$5:$M$83=1)*'Residual Config'!$D$11+('Control Mapping'!$M$5:$M$83=2)*'Residual Config'!$D$12+('Control Mapping'!$M$5:$M$83=3)*'Residual Config'!$D$13+('Control Mapping'!$M$5:$M$83=4)*'Residual Config'!$D$14))/SUMPRODUCT(('Control Mapping'!$C$5:$C$83=D141)*'Control Mapping'!$E$5:$E$83*('Control Mapping'!$M$5:$M$83&gt;0))))</f>
        <v>0.35</v>
      </c>
      <c r="P141" s="31" t="n">
        <f aca="false">IF(NOT(ISNUMBER($G141)),"",INDEX('Residual Config'!$B$19:$E$23,6-G141,M141))</f>
        <v>4</v>
      </c>
      <c r="Q141" s="29" t="n">
        <f aca="false">IF(NOT(ISNUMBER($G141)),"",MAX(1,F141*(1-O141)))</f>
        <v>3.25</v>
      </c>
      <c r="R141" s="31" t="n">
        <f aca="false">IF(NOT(ISNUMBER($G141)),"",MAX(MATCH(Q141,Config!$D$5:$D$9,1),G141-'Residual Config'!$C$6))</f>
        <v>3</v>
      </c>
      <c r="S141" s="34" t="n">
        <f aca="false">IF(NOT(ISNUMBER($G141)),"",IF('Residual Config'!$C$5="Numeric",R141,P141))</f>
        <v>4</v>
      </c>
      <c r="T141" s="7" t="str">
        <f aca="false">IF(G141="N/A","N/A",IF(S141="","No data",INDEX(Config!$B$5:$B$9,S141)))</f>
        <v>Medium-High</v>
      </c>
      <c r="U141" s="32" t="n">
        <v>0</v>
      </c>
      <c r="V141" s="8"/>
      <c r="W141" s="33"/>
      <c r="X141" s="34" t="n">
        <f aca="false">IF(S141="","",IF(AND(W141="Y",U141&lt;&gt;0),MAX(1,MIN(5,S141+MAX(-Config!$C$27,MIN(Config!$C$27,U141)))),S141))</f>
        <v>4</v>
      </c>
      <c r="Y141" s="35" t="str">
        <f aca="false">IF(G141="N/A","N/A",IF(X141="","No data",INDEX(Config!$B$5:$B$9,X141)))</f>
        <v>Medium-High</v>
      </c>
      <c r="Z141" s="7" t="str">
        <f aca="false">IF(U141=0,"None",IF(W141="Y","Applied","Pending HO approval"))</f>
        <v>None</v>
      </c>
      <c r="AA141" s="12" t="str">
        <f aca="false">INDEX('Risk Taxonomy'!$G$5:$G$24,MATCH(D141,'Risk Taxonomy'!$A$5:$A$24,0))</f>
        <v>Low</v>
      </c>
      <c r="AB141" s="7" t="str">
        <f aca="false">INDEX('Risk Taxonomy'!$H$5:$H$24,MATCH(D141,'Risk Taxonomy'!$A$5:$A$24,0))</f>
        <v>Medium</v>
      </c>
      <c r="AC141" s="35" t="str">
        <f aca="false">IF(NOT(ISNUMBER(X141)),"",IF(X141&lt;=MATCH(AB141,Config!$B$5:$B$9,0),"Within",IF(OR(X141-MATCH(AB141,Config!$B$5:$B$9,0)&gt;=2,AND('Residual Config'!$C$8="Y",ISNUMBER(SEARCH("Zero",AA141)))),"Red","Amber")))</f>
        <v>Amber</v>
      </c>
      <c r="AD141" s="12" t="str">
        <f aca="false">IF(AC141="Red","Group CCO / CRO and Country CEO within 2 business days; action plan in 15 days; report to Board Risk &amp; Compliance Committee",IF(AC141="Amber","Country CO, risk owner and HO Administrator within 5 business days; action plan in 30 days",""))</f>
        <v>Country CO, risk owner and HO Administrator within 5 business days; action plan in 30 days</v>
      </c>
    </row>
    <row r="142" customFormat="false" ht="15" hidden="false" customHeight="false" outlineLevel="0" collapsed="false">
      <c r="A142" s="26" t="str">
        <f aca="false">Entities!$A$11</f>
        <v>PS-INV</v>
      </c>
      <c r="B142" s="12" t="str">
        <f aca="false">INDEX(Entities!$B$5:$B$34,MATCH(A142,Entities!$A$5:$A$34,0))</f>
        <v>Al-Arabi Investment Group – Palestine</v>
      </c>
      <c r="C142" s="12" t="str">
        <f aca="false">INDEX(Entities!$D$5:$D$34,MATCH(A142,Entities!$A$5:$A$34,0))</f>
        <v>Levant</v>
      </c>
      <c r="D142" s="12" t="s">
        <v>316</v>
      </c>
      <c r="E142" s="12" t="str">
        <f aca="false">INDEX('Risk Taxonomy'!$B$5:$B$24,MATCH(D142,'Risk Taxonomy'!$A$5:$A$24,0))</f>
        <v>Legal and litigation</v>
      </c>
      <c r="F142" s="29" t="n">
        <f aca="false">IF(NOT(ISNUMBER(G142)),"",G142)</f>
        <v>4</v>
      </c>
      <c r="G142" s="34" t="n">
        <f aca="false">IF(COUNTIFS('LxI Assessment'!$A$5:$A$394,A142,'LxI Assessment'!$D$5:$D$394,D142,'LxI Assessment'!$F$5:$F$394,"N/A")&gt;0,"N/A",IF(COUNTIFS('LxI Assessment'!$A$5:$A$394,A142,'LxI Assessment'!$D$5:$D$394,D142,'LxI Assessment'!$S$5:$S$394,"&gt;0")=0,"",SUMIFS('LxI Assessment'!$S$5:$S$394,'LxI Assessment'!$A$5:$A$394,A142,'LxI Assessment'!$D$5:$D$394,D142)))</f>
        <v>4</v>
      </c>
      <c r="H142" s="7" t="str">
        <f aca="false">IF(G142="N/A","N/A",IF(G142="","No data",INDEX(Config!$B$5:$B$9,G142)))</f>
        <v>Medium-High</v>
      </c>
      <c r="I142" s="31" t="n">
        <f aca="false">IF(NOT(ISNUMBER($G142)),"",SUMPRODUCT(('Control Mapping'!$C$5:$C$83=D142)*('Control Mapping'!$M$5:$M$83&gt;0)))</f>
        <v>1</v>
      </c>
      <c r="J142" s="31" t="n">
        <f aca="false">IF(NOT(ISNUMBER($G142)),"",SUMPRODUCT(('Control Mapping'!$C$5:$C$83=D142)*('Control Mapping'!$F$5:$F$83="Y")*('Control Mapping'!$M$5:$M$83&gt;0)))</f>
        <v>1</v>
      </c>
      <c r="K142" s="31" t="n">
        <f aca="false">IF(NOT(ISNUMBER($G142)),"",SUMPRODUCT(('Control Mapping'!$C$5:$C$83=D142)*('Control Mapping'!$F$5:$F$83="Y")*('Control Mapping'!$M$5:$M$83=4)))</f>
        <v>1</v>
      </c>
      <c r="L142" s="29" t="n">
        <f aca="false">IF(NOT(ISNUMBER($G142)),"",IFERROR(SUMPRODUCT(('Control Mapping'!$C$5:$C$83=D142)*'Control Mapping'!$E$5:$E$83*'Control Mapping'!$M$5:$M$83)/SUMPRODUCT(('Control Mapping'!$C$5:$C$83=D142)*'Control Mapping'!$E$5:$E$83*('Control Mapping'!$M$5:$M$83&gt;0)),""))</f>
        <v>4</v>
      </c>
      <c r="M142" s="34" t="n">
        <f aca="false">IF(NOT(ISNUMBER($G142)),"",IF(J142=0,4,MAX(MATCH(L142,'Residual Config'!$E$11:$E$14,1),IF(K142&gt;0,'Residual Config'!$C$7,1))))</f>
        <v>4</v>
      </c>
      <c r="N142" s="7" t="str">
        <f aca="false">IF(NOT(ISNUMBER($G142)),"",IF(J142=0,"Ineffective (no key control)",INDEX('Residual Config'!$B$11:$B$14,M142)))</f>
        <v>Ineffective</v>
      </c>
      <c r="O142" s="36" t="n">
        <f aca="false">IF(NOT(ISNUMBER($G142)),"",IF(J142=0,0,SUMPRODUCT(('Control Mapping'!$C$5:$C$83=D142)*'Control Mapping'!$E$5:$E$83*(('Control Mapping'!$M$5:$M$83=1)*'Residual Config'!$D$11+('Control Mapping'!$M$5:$M$83=2)*'Residual Config'!$D$12+('Control Mapping'!$M$5:$M$83=3)*'Residual Config'!$D$13+('Control Mapping'!$M$5:$M$83=4)*'Residual Config'!$D$14))/SUMPRODUCT(('Control Mapping'!$C$5:$C$83=D142)*'Control Mapping'!$E$5:$E$83*('Control Mapping'!$M$5:$M$83&gt;0))))</f>
        <v>0</v>
      </c>
      <c r="P142" s="31" t="n">
        <f aca="false">IF(NOT(ISNUMBER($G142)),"",INDEX('Residual Config'!$B$19:$E$23,6-G142,M142))</f>
        <v>4</v>
      </c>
      <c r="Q142" s="29" t="n">
        <f aca="false">IF(NOT(ISNUMBER($G142)),"",MAX(1,F142*(1-O142)))</f>
        <v>4</v>
      </c>
      <c r="R142" s="31" t="n">
        <f aca="false">IF(NOT(ISNUMBER($G142)),"",MAX(MATCH(Q142,Config!$D$5:$D$9,1),G142-'Residual Config'!$C$6))</f>
        <v>4</v>
      </c>
      <c r="S142" s="34" t="n">
        <f aca="false">IF(NOT(ISNUMBER($G142)),"",IF('Residual Config'!$C$5="Numeric",R142,P142))</f>
        <v>4</v>
      </c>
      <c r="T142" s="7" t="str">
        <f aca="false">IF(G142="N/A","N/A",IF(S142="","No data",INDEX(Config!$B$5:$B$9,S142)))</f>
        <v>Medium-High</v>
      </c>
      <c r="U142" s="32" t="n">
        <v>0</v>
      </c>
      <c r="V142" s="8"/>
      <c r="W142" s="33"/>
      <c r="X142" s="34" t="n">
        <f aca="false">IF(S142="","",IF(AND(W142="Y",U142&lt;&gt;0),MAX(1,MIN(5,S142+MAX(-Config!$C$27,MIN(Config!$C$27,U142)))),S142))</f>
        <v>4</v>
      </c>
      <c r="Y142" s="35" t="str">
        <f aca="false">IF(G142="N/A","N/A",IF(X142="","No data",INDEX(Config!$B$5:$B$9,X142)))</f>
        <v>Medium-High</v>
      </c>
      <c r="Z142" s="7" t="str">
        <f aca="false">IF(U142=0,"None",IF(W142="Y","Applied","Pending HO approval"))</f>
        <v>None</v>
      </c>
      <c r="AA142" s="12" t="str">
        <f aca="false">INDEX('Risk Taxonomy'!$G$5:$G$24,MATCH(D142,'Risk Taxonomy'!$A$5:$A$24,0))</f>
        <v>Very low</v>
      </c>
      <c r="AB142" s="7" t="str">
        <f aca="false">INDEX('Risk Taxonomy'!$H$5:$H$24,MATCH(D142,'Risk Taxonomy'!$A$5:$A$24,0))</f>
        <v>Medium-Low</v>
      </c>
      <c r="AC142" s="35" t="str">
        <f aca="false">IF(NOT(ISNUMBER(X142)),"",IF(X142&lt;=MATCH(AB142,Config!$B$5:$B$9,0),"Within",IF(OR(X142-MATCH(AB142,Config!$B$5:$B$9,0)&gt;=2,AND('Residual Config'!$C$8="Y",ISNUMBER(SEARCH("Zero",AA142)))),"Red","Amber")))</f>
        <v>Red</v>
      </c>
      <c r="AD142" s="12" t="str">
        <f aca="false">IF(AC142="Red","Group CCO / CRO and Country CEO within 2 business days; action plan in 15 days; report to Board Risk &amp; Compliance Committee",IF(AC142="Amber","Country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43" customFormat="false" ht="15" hidden="false" customHeight="false" outlineLevel="0" collapsed="false">
      <c r="A143" s="26" t="str">
        <f aca="false">Entities!$A$11</f>
        <v>PS-INV</v>
      </c>
      <c r="B143" s="12" t="str">
        <f aca="false">INDEX(Entities!$B$5:$B$34,MATCH(A143,Entities!$A$5:$A$34,0))</f>
        <v>Al-Arabi Investment Group – Palestine</v>
      </c>
      <c r="C143" s="12" t="str">
        <f aca="false">INDEX(Entities!$D$5:$D$34,MATCH(A143,Entities!$A$5:$A$34,0))</f>
        <v>Levant</v>
      </c>
      <c r="D143" s="12" t="s">
        <v>319</v>
      </c>
      <c r="E143" s="12" t="str">
        <f aca="false">INDEX('Risk Taxonomy'!$B$5:$B$24,MATCH(D143,'Risk Taxonomy'!$A$5:$A$24,0))</f>
        <v>Reputational</v>
      </c>
      <c r="F143" s="29" t="n">
        <f aca="false">IF(NOT(ISNUMBER(G143)),"",G143)</f>
        <v>4</v>
      </c>
      <c r="G143" s="34" t="n">
        <f aca="false">IF(COUNTIFS('LxI Assessment'!$A$5:$A$394,A143,'LxI Assessment'!$D$5:$D$394,D143,'LxI Assessment'!$F$5:$F$394,"N/A")&gt;0,"N/A",IF(COUNTIFS('LxI Assessment'!$A$5:$A$394,A143,'LxI Assessment'!$D$5:$D$394,D143,'LxI Assessment'!$S$5:$S$394,"&gt;0")=0,"",SUMIFS('LxI Assessment'!$S$5:$S$394,'LxI Assessment'!$A$5:$A$394,A143,'LxI Assessment'!$D$5:$D$394,D143)))</f>
        <v>4</v>
      </c>
      <c r="H143" s="7" t="str">
        <f aca="false">IF(G143="N/A","N/A",IF(G143="","No data",INDEX(Config!$B$5:$B$9,G143)))</f>
        <v>Medium-High</v>
      </c>
      <c r="I143" s="31" t="n">
        <f aca="false">IF(NOT(ISNUMBER($G143)),"",SUMPRODUCT(('Control Mapping'!$C$5:$C$83=D143)*('Control Mapping'!$M$5:$M$83&gt;0)))</f>
        <v>2</v>
      </c>
      <c r="J143" s="31" t="n">
        <f aca="false">IF(NOT(ISNUMBER($G143)),"",SUMPRODUCT(('Control Mapping'!$C$5:$C$83=D143)*('Control Mapping'!$F$5:$F$83="Y")*('Control Mapping'!$M$5:$M$83&gt;0)))</f>
        <v>1</v>
      </c>
      <c r="K143" s="31" t="n">
        <f aca="false">IF(NOT(ISNUMBER($G143)),"",SUMPRODUCT(('Control Mapping'!$C$5:$C$83=D143)*('Control Mapping'!$F$5:$F$83="Y")*('Control Mapping'!$M$5:$M$83=4)))</f>
        <v>0</v>
      </c>
      <c r="L143" s="29" t="n">
        <f aca="false">IF(NOT(ISNUMBER($G143)),"",IFERROR(SUMPRODUCT(('Control Mapping'!$C$5:$C$83=D143)*'Control Mapping'!$E$5:$E$83*'Control Mapping'!$M$5:$M$83)/SUMPRODUCT(('Control Mapping'!$C$5:$C$83=D143)*'Control Mapping'!$E$5:$E$83*('Control Mapping'!$M$5:$M$83&gt;0)),""))</f>
        <v>3.33333333333333</v>
      </c>
      <c r="M143" s="34" t="n">
        <f aca="false">IF(NOT(ISNUMBER($G143)),"",IF(J143=0,4,MAX(MATCH(L143,'Residual Config'!$E$11:$E$14,1),IF(K143&gt;0,'Residual Config'!$C$7,1))))</f>
        <v>3</v>
      </c>
      <c r="N143" s="7" t="str">
        <f aca="false">IF(NOT(ISNUMBER($G143)),"",IF(J143=0,"Ineffective (no key control)",INDEX('Residual Config'!$B$11:$B$14,M143)))</f>
        <v>Partially effective</v>
      </c>
      <c r="O143" s="36" t="n">
        <f aca="false">IF(NOT(ISNUMBER($G143)),"",IF(J143=0,0,SUMPRODUCT(('Control Mapping'!$C$5:$C$83=D143)*'Control Mapping'!$E$5:$E$83*(('Control Mapping'!$M$5:$M$83=1)*'Residual Config'!$D$11+('Control Mapping'!$M$5:$M$83=2)*'Residual Config'!$D$12+('Control Mapping'!$M$5:$M$83=3)*'Residual Config'!$D$13+('Control Mapping'!$M$5:$M$83=4)*'Residual Config'!$D$14))/SUMPRODUCT(('Control Mapping'!$C$5:$C$83=D143)*'Control Mapping'!$E$5:$E$83*('Control Mapping'!$M$5:$M$83&gt;0))))</f>
        <v>0.133333333333333</v>
      </c>
      <c r="P143" s="31" t="n">
        <f aca="false">IF(NOT(ISNUMBER($G143)),"",INDEX('Residual Config'!$B$19:$E$23,6-G143,M143))</f>
        <v>4</v>
      </c>
      <c r="Q143" s="29" t="n">
        <f aca="false">IF(NOT(ISNUMBER($G143)),"",MAX(1,F143*(1-O143)))</f>
        <v>3.46666666666667</v>
      </c>
      <c r="R143" s="31" t="n">
        <f aca="false">IF(NOT(ISNUMBER($G143)),"",MAX(MATCH(Q143,Config!$D$5:$D$9,1),G143-'Residual Config'!$C$6))</f>
        <v>4</v>
      </c>
      <c r="S143" s="34" t="n">
        <f aca="false">IF(NOT(ISNUMBER($G143)),"",IF('Residual Config'!$C$5="Numeric",R143,P143))</f>
        <v>4</v>
      </c>
      <c r="T143" s="7" t="str">
        <f aca="false">IF(G143="N/A","N/A",IF(S143="","No data",INDEX(Config!$B$5:$B$9,S143)))</f>
        <v>Medium-High</v>
      </c>
      <c r="U143" s="32" t="n">
        <v>0</v>
      </c>
      <c r="V143" s="8"/>
      <c r="W143" s="33"/>
      <c r="X143" s="34" t="n">
        <f aca="false">IF(S143="","",IF(AND(W143="Y",U143&lt;&gt;0),MAX(1,MIN(5,S143+MAX(-Config!$C$27,MIN(Config!$C$27,U143)))),S143))</f>
        <v>4</v>
      </c>
      <c r="Y143" s="35" t="str">
        <f aca="false">IF(G143="N/A","N/A",IF(X143="","No data",INDEX(Config!$B$5:$B$9,X143)))</f>
        <v>Medium-High</v>
      </c>
      <c r="Z143" s="7" t="str">
        <f aca="false">IF(U143=0,"None",IF(W143="Y","Applied","Pending HO approval"))</f>
        <v>None</v>
      </c>
      <c r="AA143" s="12" t="str">
        <f aca="false">INDEX('Risk Taxonomy'!$G$5:$G$24,MATCH(D143,'Risk Taxonomy'!$A$5:$A$24,0))</f>
        <v>Low</v>
      </c>
      <c r="AB143" s="7" t="str">
        <f aca="false">INDEX('Risk Taxonomy'!$H$5:$H$24,MATCH(D143,'Risk Taxonomy'!$A$5:$A$24,0))</f>
        <v>Medium</v>
      </c>
      <c r="AC143" s="35" t="str">
        <f aca="false">IF(NOT(ISNUMBER(X143)),"",IF(X143&lt;=MATCH(AB143,Config!$B$5:$B$9,0),"Within",IF(OR(X143-MATCH(AB143,Config!$B$5:$B$9,0)&gt;=2,AND('Residual Config'!$C$8="Y",ISNUMBER(SEARCH("Zero",AA143)))),"Red","Amber")))</f>
        <v>Amber</v>
      </c>
      <c r="AD143" s="12" t="str">
        <f aca="false">IF(AC143="Red","Group CCO / CRO and Country CEO within 2 business days; action plan in 15 days; report to Board Risk &amp; Compliance Committee",IF(AC143="Amber","Country CO, risk owner and HO Administrator within 5 business days; action plan in 30 days",""))</f>
        <v>Country CO, risk owner and HO Administrator within 5 business days; action plan in 30 days</v>
      </c>
    </row>
    <row r="144" customFormat="false" ht="15" hidden="false" customHeight="false" outlineLevel="0" collapsed="false">
      <c r="A144" s="26" t="str">
        <f aca="false">Entities!$A$11</f>
        <v>PS-INV</v>
      </c>
      <c r="B144" s="12" t="str">
        <f aca="false">INDEX(Entities!$B$5:$B$34,MATCH(A144,Entities!$A$5:$A$34,0))</f>
        <v>Al-Arabi Investment Group – Palestine</v>
      </c>
      <c r="C144" s="12" t="str">
        <f aca="false">INDEX(Entities!$D$5:$D$34,MATCH(A144,Entities!$A$5:$A$34,0))</f>
        <v>Levant</v>
      </c>
      <c r="D144" s="12" t="s">
        <v>322</v>
      </c>
      <c r="E144" s="12" t="str">
        <f aca="false">INDEX('Risk Taxonomy'!$B$5:$B$24,MATCH(D144,'Risk Taxonomy'!$A$5:$A$24,0))</f>
        <v>Strategic, business model and ESG</v>
      </c>
      <c r="F144" s="29" t="n">
        <f aca="false">IF(NOT(ISNUMBER(G144)),"",G144)</f>
        <v>5</v>
      </c>
      <c r="G144" s="34" t="n">
        <f aca="false">IF(COUNTIFS('LxI Assessment'!$A$5:$A$394,A144,'LxI Assessment'!$D$5:$D$394,D144,'LxI Assessment'!$F$5:$F$394,"N/A")&gt;0,"N/A",IF(COUNTIFS('LxI Assessment'!$A$5:$A$394,A144,'LxI Assessment'!$D$5:$D$394,D144,'LxI Assessment'!$S$5:$S$394,"&gt;0")=0,"",SUMIFS('LxI Assessment'!$S$5:$S$394,'LxI Assessment'!$A$5:$A$394,A144,'LxI Assessment'!$D$5:$D$394,D144)))</f>
        <v>5</v>
      </c>
      <c r="H144" s="7" t="str">
        <f aca="false">IF(G144="N/A","N/A",IF(G144="","No data",INDEX(Config!$B$5:$B$9,G144)))</f>
        <v>High</v>
      </c>
      <c r="I144" s="31" t="n">
        <f aca="false">IF(NOT(ISNUMBER($G144)),"",SUMPRODUCT(('Control Mapping'!$C$5:$C$83=D144)*('Control Mapping'!$M$5:$M$83&gt;0)))</f>
        <v>1</v>
      </c>
      <c r="J144" s="31" t="n">
        <f aca="false">IF(NOT(ISNUMBER($G144)),"",SUMPRODUCT(('Control Mapping'!$C$5:$C$83=D144)*('Control Mapping'!$F$5:$F$83="Y")*('Control Mapping'!$M$5:$M$83&gt;0)))</f>
        <v>1</v>
      </c>
      <c r="K144" s="31" t="n">
        <f aca="false">IF(NOT(ISNUMBER($G144)),"",SUMPRODUCT(('Control Mapping'!$C$5:$C$83=D144)*('Control Mapping'!$F$5:$F$83="Y")*('Control Mapping'!$M$5:$M$83=4)))</f>
        <v>0</v>
      </c>
      <c r="L144" s="29" t="n">
        <f aca="false">IF(NOT(ISNUMBER($G144)),"",IFERROR(SUMPRODUCT(('Control Mapping'!$C$5:$C$83=D144)*'Control Mapping'!$E$5:$E$83*'Control Mapping'!$M$5:$M$83)/SUMPRODUCT(('Control Mapping'!$C$5:$C$83=D144)*'Control Mapping'!$E$5:$E$83*('Control Mapping'!$M$5:$M$83&gt;0)),""))</f>
        <v>3</v>
      </c>
      <c r="M144" s="34" t="n">
        <f aca="false">IF(NOT(ISNUMBER($G144)),"",IF(J144=0,4,MAX(MATCH(L144,'Residual Config'!$E$11:$E$14,1),IF(K144&gt;0,'Residual Config'!$C$7,1))))</f>
        <v>3</v>
      </c>
      <c r="N144" s="7" t="str">
        <f aca="false">IF(NOT(ISNUMBER($G144)),"",IF(J144=0,"Ineffective (no key control)",INDEX('Residual Config'!$B$11:$B$14,M144)))</f>
        <v>Partially effective</v>
      </c>
      <c r="O144" s="36" t="n">
        <f aca="false">IF(NOT(ISNUMBER($G144)),"",IF(J144=0,0,SUMPRODUCT(('Control Mapping'!$C$5:$C$83=D144)*'Control Mapping'!$E$5:$E$83*(('Control Mapping'!$M$5:$M$83=1)*'Residual Config'!$D$11+('Control Mapping'!$M$5:$M$83=2)*'Residual Config'!$D$12+('Control Mapping'!$M$5:$M$83=3)*'Residual Config'!$D$13+('Control Mapping'!$M$5:$M$83=4)*'Residual Config'!$D$14))/SUMPRODUCT(('Control Mapping'!$C$5:$C$83=D144)*'Control Mapping'!$E$5:$E$83*('Control Mapping'!$M$5:$M$83&gt;0))))</f>
        <v>0.2</v>
      </c>
      <c r="P144" s="31" t="n">
        <f aca="false">IF(NOT(ISNUMBER($G144)),"",INDEX('Residual Config'!$B$19:$E$23,6-G144,M144))</f>
        <v>5</v>
      </c>
      <c r="Q144" s="29" t="n">
        <f aca="false">IF(NOT(ISNUMBER($G144)),"",MAX(1,F144*(1-O144)))</f>
        <v>4</v>
      </c>
      <c r="R144" s="31" t="n">
        <f aca="false">IF(NOT(ISNUMBER($G144)),"",MAX(MATCH(Q144,Config!$D$5:$D$9,1),G144-'Residual Config'!$C$6))</f>
        <v>4</v>
      </c>
      <c r="S144" s="34" t="n">
        <f aca="false">IF(NOT(ISNUMBER($G144)),"",IF('Residual Config'!$C$5="Numeric",R144,P144))</f>
        <v>5</v>
      </c>
      <c r="T144" s="7" t="str">
        <f aca="false">IF(G144="N/A","N/A",IF(S144="","No data",INDEX(Config!$B$5:$B$9,S144)))</f>
        <v>High</v>
      </c>
      <c r="U144" s="32" t="n">
        <v>0</v>
      </c>
      <c r="V144" s="8"/>
      <c r="W144" s="33"/>
      <c r="X144" s="34" t="n">
        <f aca="false">IF(S144="","",IF(AND(W144="Y",U144&lt;&gt;0),MAX(1,MIN(5,S144+MAX(-Config!$C$27,MIN(Config!$C$27,U144)))),S144))</f>
        <v>5</v>
      </c>
      <c r="Y144" s="35" t="str">
        <f aca="false">IF(G144="N/A","N/A",IF(X144="","No data",INDEX(Config!$B$5:$B$9,X144)))</f>
        <v>High</v>
      </c>
      <c r="Z144" s="7" t="str">
        <f aca="false">IF(U144=0,"None",IF(W144="Y","Applied","Pending HO approval"))</f>
        <v>None</v>
      </c>
      <c r="AA144" s="12" t="str">
        <f aca="false">INDEX('Risk Taxonomy'!$G$5:$G$24,MATCH(D144,'Risk Taxonomy'!$A$5:$A$24,0))</f>
        <v>Moderate</v>
      </c>
      <c r="AB144" s="7" t="str">
        <f aca="false">INDEX('Risk Taxonomy'!$H$5:$H$24,MATCH(D144,'Risk Taxonomy'!$A$5:$A$24,0))</f>
        <v>Medium-High</v>
      </c>
      <c r="AC144" s="35" t="str">
        <f aca="false">IF(NOT(ISNUMBER(X144)),"",IF(X144&lt;=MATCH(AB144,Config!$B$5:$B$9,0),"Within",IF(OR(X144-MATCH(AB144,Config!$B$5:$B$9,0)&gt;=2,AND('Residual Config'!$C$8="Y",ISNUMBER(SEARCH("Zero",AA144)))),"Red","Amber")))</f>
        <v>Amber</v>
      </c>
      <c r="AD144" s="12" t="str">
        <f aca="false">IF(AC144="Red","Group CCO / CRO and Country CEO within 2 business days; action plan in 15 days; report to Board Risk &amp; Compliance Committee",IF(AC144="Amber","Country CO, risk owner and HO Administrator within 5 business days; action plan in 30 days",""))</f>
        <v>Country CO, risk owner and HO Administrator within 5 business days; action plan in 30 days</v>
      </c>
    </row>
    <row r="145" customFormat="false" ht="15" hidden="false" customHeight="false" outlineLevel="0" collapsed="false">
      <c r="A145" s="26" t="str">
        <f aca="false">Entities!$A$12</f>
        <v>LB</v>
      </c>
      <c r="B145" s="12" t="str">
        <f aca="false">INDEX(Entities!$B$5:$B$34,MATCH(A145,Entities!$A$5:$A$34,0))</f>
        <v>Arab Bank – Lebanon</v>
      </c>
      <c r="C145" s="12" t="str">
        <f aca="false">INDEX(Entities!$D$5:$D$34,MATCH(A145,Entities!$A$5:$A$34,0))</f>
        <v>Levant</v>
      </c>
      <c r="D145" s="12" t="s">
        <v>260</v>
      </c>
      <c r="E145" s="12" t="str">
        <f aca="false">INDEX('Risk Taxonomy'!$B$5:$B$24,MATCH(D145,'Risk Taxonomy'!$A$5:$A$24,0))</f>
        <v>Money laundering</v>
      </c>
      <c r="F145" s="29" t="n">
        <f aca="false">IF(NOT(ISNUMBER(G145)),"",IFERROR(IF(MATCH(SUMIFS('FC Calculation'!$N$5:$N$214,'FC Calculation'!$A$5:$A$214,A145,'FC Calculation'!$D$5:$D$214,D145),Config!$D$5:$D$9,1)=G145,SUMIFS('FC Calculation'!$N$5:$N$214,'FC Calculation'!$A$5:$A$214,A145,'FC Calculation'!$D$5:$D$214,D145),G145),G145))</f>
        <v>3.78507936507937</v>
      </c>
      <c r="G145" s="34" t="n">
        <f aca="false">IF(COUNTIFS('FC Calculation'!$A$5:$A$214,A145,'FC Calculation'!$D$5:$D$214,D145,'FC Calculation'!$T$5:$T$214,"&gt;0")=0,"",SUMIFS('FC Calculation'!$T$5:$T$214,'FC Calculation'!$A$5:$A$214,A145,'FC Calculation'!$D$5:$D$214,D145))</f>
        <v>4</v>
      </c>
      <c r="H145" s="7" t="str">
        <f aca="false">IF(G145="N/A","N/A",IF(G145="","No data",INDEX(Config!$B$5:$B$9,G145)))</f>
        <v>Medium-High</v>
      </c>
      <c r="I145" s="31" t="n">
        <f aca="false">IF(NOT(ISNUMBER($G145)),"",SUMPRODUCT(('Control Mapping'!$C$5:$C$83=D145)*('Control Mapping'!$N$5:$N$83&gt;0)))</f>
        <v>12</v>
      </c>
      <c r="J145" s="31" t="n">
        <f aca="false">IF(NOT(ISNUMBER($G145)),"",SUMPRODUCT(('Control Mapping'!$C$5:$C$83=D145)*('Control Mapping'!$F$5:$F$83="Y")*('Control Mapping'!$N$5:$N$83&gt;0)))</f>
        <v>9</v>
      </c>
      <c r="K145" s="31" t="n">
        <f aca="false">IF(NOT(ISNUMBER($G145)),"",SUMPRODUCT(('Control Mapping'!$C$5:$C$83=D145)*('Control Mapping'!$F$5:$F$83="Y")*('Control Mapping'!$N$5:$N$83=4)))</f>
        <v>1</v>
      </c>
      <c r="L145" s="29" t="n">
        <f aca="false">IF(NOT(ISNUMBER($G145)),"",IFERROR(SUMPRODUCT(('Control Mapping'!$C$5:$C$83=D145)*'Control Mapping'!$E$5:$E$83*'Control Mapping'!$N$5:$N$83)/SUMPRODUCT(('Control Mapping'!$C$5:$C$83=D145)*'Control Mapping'!$E$5:$E$83*('Control Mapping'!$N$5:$N$83&gt;0)),""))</f>
        <v>2.60869565217391</v>
      </c>
      <c r="M145" s="34" t="n">
        <f aca="false">IF(NOT(ISNUMBER($G145)),"",IF(J145=0,4,MAX(MATCH(L145,'Residual Config'!$E$11:$E$14,1),IF(K145&gt;0,'Residual Config'!$C$7,1))))</f>
        <v>3</v>
      </c>
      <c r="N145" s="7" t="str">
        <f aca="false">IF(NOT(ISNUMBER($G145)),"",IF(J145=0,"Ineffective (no key control)",INDEX('Residual Config'!$B$11:$B$14,M145)))</f>
        <v>Partially effective</v>
      </c>
      <c r="O145" s="36" t="n">
        <f aca="false">IF(NOT(ISNUMBER($G145)),"",IF(J145=0,0,SUMPRODUCT(('Control Mapping'!$C$5:$C$83=D145)*'Control Mapping'!$E$5:$E$83*(('Control Mapping'!$N$5:$N$83=1)*'Residual Config'!$D$11+('Control Mapping'!$N$5:$N$83=2)*'Residual Config'!$D$12+('Control Mapping'!$N$5:$N$83=3)*'Residual Config'!$D$13+('Control Mapping'!$N$5:$N$83=4)*'Residual Config'!$D$14))/SUMPRODUCT(('Control Mapping'!$C$5:$C$83=D145)*'Control Mapping'!$E$5:$E$83*('Control Mapping'!$N$5:$N$83&gt;0))))</f>
        <v>0.278260869565217</v>
      </c>
      <c r="P145" s="31" t="n">
        <f aca="false">IF(NOT(ISNUMBER($G145)),"",INDEX('Residual Config'!$B$19:$E$23,6-G145,M145))</f>
        <v>4</v>
      </c>
      <c r="Q145" s="29" t="n">
        <f aca="false">IF(NOT(ISNUMBER($G145)),"",MAX(1,F145*(1-O145)))</f>
        <v>2.73183988957902</v>
      </c>
      <c r="R145" s="31" t="n">
        <f aca="false">IF(NOT(ISNUMBER($G145)),"",MAX(MATCH(Q145,Config!$D$5:$D$9,1),G145-'Residual Config'!$C$6))</f>
        <v>3</v>
      </c>
      <c r="S145" s="34" t="n">
        <f aca="false">IF(NOT(ISNUMBER($G145)),"",IF('Residual Config'!$C$5="Numeric",R145,P145))</f>
        <v>4</v>
      </c>
      <c r="T145" s="7" t="str">
        <f aca="false">IF(G145="N/A","N/A",IF(S145="","No data",INDEX(Config!$B$5:$B$9,S145)))</f>
        <v>Medium-High</v>
      </c>
      <c r="U145" s="32" t="n">
        <v>0</v>
      </c>
      <c r="V145" s="8"/>
      <c r="W145" s="33"/>
      <c r="X145" s="34" t="n">
        <f aca="false">IF(S145="","",IF(AND(W145="Y",U145&lt;&gt;0),MAX(1,MIN(5,S145+MAX(-Config!$C$27,MIN(Config!$C$27,U145)))),S145))</f>
        <v>4</v>
      </c>
      <c r="Y145" s="35" t="str">
        <f aca="false">IF(G145="N/A","N/A",IF(X145="","No data",INDEX(Config!$B$5:$B$9,X145)))</f>
        <v>Medium-High</v>
      </c>
      <c r="Z145" s="7" t="str">
        <f aca="false">IF(U145=0,"None",IF(W145="Y","Applied","Pending HO approval"))</f>
        <v>None</v>
      </c>
      <c r="AA145" s="12" t="str">
        <f aca="false">INDEX('Risk Taxonomy'!$G$5:$G$24,MATCH(D145,'Risk Taxonomy'!$A$5:$A$24,0))</f>
        <v>Very low</v>
      </c>
      <c r="AB145" s="7" t="str">
        <f aca="false">INDEX('Risk Taxonomy'!$H$5:$H$24,MATCH(D145,'Risk Taxonomy'!$A$5:$A$24,0))</f>
        <v>Medium-Low</v>
      </c>
      <c r="AC145" s="35" t="str">
        <f aca="false">IF(NOT(ISNUMBER(X145)),"",IF(X145&lt;=MATCH(AB145,Config!$B$5:$B$9,0),"Within",IF(OR(X145-MATCH(AB145,Config!$B$5:$B$9,0)&gt;=2,AND('Residual Config'!$C$8="Y",ISNUMBER(SEARCH("Zero",AA145)))),"Red","Amber")))</f>
        <v>Red</v>
      </c>
      <c r="AD145" s="12" t="str">
        <f aca="false">IF(AC145="Red","Group CCO / CRO and Country CEO within 2 business days; action plan in 15 days; report to Board Risk &amp; Compliance Committee",IF(AC145="Amber","Country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46" customFormat="false" ht="15" hidden="false" customHeight="false" outlineLevel="0" collapsed="false">
      <c r="A146" s="26" t="str">
        <f aca="false">Entities!$A$12</f>
        <v>LB</v>
      </c>
      <c r="B146" s="12" t="str">
        <f aca="false">INDEX(Entities!$B$5:$B$34,MATCH(A146,Entities!$A$5:$A$34,0))</f>
        <v>Arab Bank – Lebanon</v>
      </c>
      <c r="C146" s="12" t="str">
        <f aca="false">INDEX(Entities!$D$5:$D$34,MATCH(A146,Entities!$A$5:$A$34,0))</f>
        <v>Levant</v>
      </c>
      <c r="D146" s="12" t="s">
        <v>267</v>
      </c>
      <c r="E146" s="12" t="str">
        <f aca="false">INDEX('Risk Taxonomy'!$B$5:$B$24,MATCH(D146,'Risk Taxonomy'!$A$5:$A$24,0))</f>
        <v>Terrorist financing</v>
      </c>
      <c r="F146" s="29" t="n">
        <f aca="false">IF(NOT(ISNUMBER(G146)),"",IFERROR(IF(MATCH(SUMIFS('FC Calculation'!$N$5:$N$214,'FC Calculation'!$A$5:$A$214,A146,'FC Calculation'!$D$5:$D$214,D146),Config!$D$5:$D$9,1)=G146,SUMIFS('FC Calculation'!$N$5:$N$214,'FC Calculation'!$A$5:$A$214,A146,'FC Calculation'!$D$5:$D$214,D146),G146),G146))</f>
        <v>3.73333333333333</v>
      </c>
      <c r="G146" s="34" t="n">
        <f aca="false">IF(COUNTIFS('FC Calculation'!$A$5:$A$214,A146,'FC Calculation'!$D$5:$D$214,D146,'FC Calculation'!$T$5:$T$214,"&gt;0")=0,"",SUMIFS('FC Calculation'!$T$5:$T$214,'FC Calculation'!$A$5:$A$214,A146,'FC Calculation'!$D$5:$D$214,D146))</f>
        <v>4</v>
      </c>
      <c r="H146" s="7" t="str">
        <f aca="false">IF(G146="N/A","N/A",IF(G146="","No data",INDEX(Config!$B$5:$B$9,G146)))</f>
        <v>Medium-High</v>
      </c>
      <c r="I146" s="31" t="n">
        <f aca="false">IF(NOT(ISNUMBER($G146)),"",SUMPRODUCT(('Control Mapping'!$C$5:$C$83=D146)*('Control Mapping'!$N$5:$N$83&gt;0)))</f>
        <v>12</v>
      </c>
      <c r="J146" s="31" t="n">
        <f aca="false">IF(NOT(ISNUMBER($G146)),"",SUMPRODUCT(('Control Mapping'!$C$5:$C$83=D146)*('Control Mapping'!$F$5:$F$83="Y")*('Control Mapping'!$N$5:$N$83&gt;0)))</f>
        <v>9</v>
      </c>
      <c r="K146" s="31" t="n">
        <f aca="false">IF(NOT(ISNUMBER($G146)),"",SUMPRODUCT(('Control Mapping'!$C$5:$C$83=D146)*('Control Mapping'!$F$5:$F$83="Y")*('Control Mapping'!$N$5:$N$83=4)))</f>
        <v>1</v>
      </c>
      <c r="L146" s="29" t="n">
        <f aca="false">IF(NOT(ISNUMBER($G146)),"",IFERROR(SUMPRODUCT(('Control Mapping'!$C$5:$C$83=D146)*'Control Mapping'!$E$5:$E$83*'Control Mapping'!$N$5:$N$83)/SUMPRODUCT(('Control Mapping'!$C$5:$C$83=D146)*'Control Mapping'!$E$5:$E$83*('Control Mapping'!$N$5:$N$83&gt;0)),""))</f>
        <v>2.68421052631579</v>
      </c>
      <c r="M146" s="34" t="n">
        <f aca="false">IF(NOT(ISNUMBER($G146)),"",IF(J146=0,4,MAX(MATCH(L146,'Residual Config'!$E$11:$E$14,1),IF(K146&gt;0,'Residual Config'!$C$7,1))))</f>
        <v>3</v>
      </c>
      <c r="N146" s="7" t="str">
        <f aca="false">IF(NOT(ISNUMBER($G146)),"",IF(J146=0,"Ineffective (no key control)",INDEX('Residual Config'!$B$11:$B$14,M146)))</f>
        <v>Partially effective</v>
      </c>
      <c r="O146" s="36" t="n">
        <f aca="false">IF(NOT(ISNUMBER($G146)),"",IF(J146=0,0,SUMPRODUCT(('Control Mapping'!$C$5:$C$83=D146)*'Control Mapping'!$E$5:$E$83*(('Control Mapping'!$N$5:$N$83=1)*'Residual Config'!$D$11+('Control Mapping'!$N$5:$N$83=2)*'Residual Config'!$D$12+('Control Mapping'!$N$5:$N$83=3)*'Residual Config'!$D$13+('Control Mapping'!$N$5:$N$83=4)*'Residual Config'!$D$14))/SUMPRODUCT(('Control Mapping'!$C$5:$C$83=D146)*'Control Mapping'!$E$5:$E$83*('Control Mapping'!$N$5:$N$83&gt;0))))</f>
        <v>0.263157894736842</v>
      </c>
      <c r="P146" s="31" t="n">
        <f aca="false">IF(NOT(ISNUMBER($G146)),"",INDEX('Residual Config'!$B$19:$E$23,6-G146,M146))</f>
        <v>4</v>
      </c>
      <c r="Q146" s="29" t="n">
        <f aca="false">IF(NOT(ISNUMBER($G146)),"",MAX(1,F146*(1-O146)))</f>
        <v>2.75087719298246</v>
      </c>
      <c r="R146" s="31" t="n">
        <f aca="false">IF(NOT(ISNUMBER($G146)),"",MAX(MATCH(Q146,Config!$D$5:$D$9,1),G146-'Residual Config'!$C$6))</f>
        <v>3</v>
      </c>
      <c r="S146" s="34" t="n">
        <f aca="false">IF(NOT(ISNUMBER($G146)),"",IF('Residual Config'!$C$5="Numeric",R146,P146))</f>
        <v>4</v>
      </c>
      <c r="T146" s="7" t="str">
        <f aca="false">IF(G146="N/A","N/A",IF(S146="","No data",INDEX(Config!$B$5:$B$9,S146)))</f>
        <v>Medium-High</v>
      </c>
      <c r="U146" s="32" t="n">
        <v>0</v>
      </c>
      <c r="V146" s="8"/>
      <c r="W146" s="33"/>
      <c r="X146" s="34" t="n">
        <f aca="false">IF(S146="","",IF(AND(W146="Y",U146&lt;&gt;0),MAX(1,MIN(5,S146+MAX(-Config!$C$27,MIN(Config!$C$27,U146)))),S146))</f>
        <v>4</v>
      </c>
      <c r="Y146" s="35" t="str">
        <f aca="false">IF(G146="N/A","N/A",IF(X146="","No data",INDEX(Config!$B$5:$B$9,X146)))</f>
        <v>Medium-High</v>
      </c>
      <c r="Z146" s="7" t="str">
        <f aca="false">IF(U146=0,"None",IF(W146="Y","Applied","Pending HO approval"))</f>
        <v>None</v>
      </c>
      <c r="AA146" s="12" t="str">
        <f aca="false">INDEX('Risk Taxonomy'!$G$5:$G$24,MATCH(D146,'Risk Taxonomy'!$A$5:$A$24,0))</f>
        <v>Zero tolerance</v>
      </c>
      <c r="AB146" s="7" t="str">
        <f aca="false">INDEX('Risk Taxonomy'!$H$5:$H$24,MATCH(D146,'Risk Taxonomy'!$A$5:$A$24,0))</f>
        <v>Low</v>
      </c>
      <c r="AC146" s="35" t="str">
        <f aca="false">IF(NOT(ISNUMBER(X146)),"",IF(X146&lt;=MATCH(AB146,Config!$B$5:$B$9,0),"Within",IF(OR(X146-MATCH(AB146,Config!$B$5:$B$9,0)&gt;=2,AND('Residual Config'!$C$8="Y",ISNUMBER(SEARCH("Zero",AA146)))),"Red","Amber")))</f>
        <v>Red</v>
      </c>
      <c r="AD146" s="12" t="str">
        <f aca="false">IF(AC146="Red","Group CCO / CRO and Country CEO within 2 business days; action plan in 15 days; report to Board Risk &amp; Compliance Committee",IF(AC146="Amber","Country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47" customFormat="false" ht="15" hidden="false" customHeight="false" outlineLevel="0" collapsed="false">
      <c r="A147" s="26" t="str">
        <f aca="false">Entities!$A$12</f>
        <v>LB</v>
      </c>
      <c r="B147" s="12" t="str">
        <f aca="false">INDEX(Entities!$B$5:$B$34,MATCH(A147,Entities!$A$5:$A$34,0))</f>
        <v>Arab Bank – Lebanon</v>
      </c>
      <c r="C147" s="12" t="str">
        <f aca="false">INDEX(Entities!$D$5:$D$34,MATCH(A147,Entities!$A$5:$A$34,0))</f>
        <v>Levant</v>
      </c>
      <c r="D147" s="12" t="s">
        <v>270</v>
      </c>
      <c r="E147" s="12" t="str">
        <f aca="false">INDEX('Risk Taxonomy'!$B$5:$B$24,MATCH(D147,'Risk Taxonomy'!$A$5:$A$24,0))</f>
        <v>Proliferation financing</v>
      </c>
      <c r="F147" s="29" t="n">
        <f aca="false">IF(NOT(ISNUMBER(G147)),"",IFERROR(IF(MATCH(SUMIFS('FC Calculation'!$N$5:$N$214,'FC Calculation'!$A$5:$A$214,A147,'FC Calculation'!$D$5:$D$214,D147),Config!$D$5:$D$9,1)=G147,SUMIFS('FC Calculation'!$N$5:$N$214,'FC Calculation'!$A$5:$A$214,A147,'FC Calculation'!$D$5:$D$214,D147),G147),G147))</f>
        <v>4</v>
      </c>
      <c r="G147" s="34" t="n">
        <f aca="false">IF(COUNTIFS('FC Calculation'!$A$5:$A$214,A147,'FC Calculation'!$D$5:$D$214,D147,'FC Calculation'!$T$5:$T$214,"&gt;0")=0,"",SUMIFS('FC Calculation'!$T$5:$T$214,'FC Calculation'!$A$5:$A$214,A147,'FC Calculation'!$D$5:$D$214,D147))</f>
        <v>4</v>
      </c>
      <c r="H147" s="7" t="str">
        <f aca="false">IF(G147="N/A","N/A",IF(G147="","No data",INDEX(Config!$B$5:$B$9,G147)))</f>
        <v>Medium-High</v>
      </c>
      <c r="I147" s="31" t="n">
        <f aca="false">IF(NOT(ISNUMBER($G147)),"",SUMPRODUCT(('Control Mapping'!$C$5:$C$83=D147)*('Control Mapping'!$N$5:$N$83&gt;0)))</f>
        <v>5</v>
      </c>
      <c r="J147" s="31" t="n">
        <f aca="false">IF(NOT(ISNUMBER($G147)),"",SUMPRODUCT(('Control Mapping'!$C$5:$C$83=D147)*('Control Mapping'!$F$5:$F$83="Y")*('Control Mapping'!$N$5:$N$83&gt;0)))</f>
        <v>5</v>
      </c>
      <c r="K147" s="31" t="n">
        <f aca="false">IF(NOT(ISNUMBER($G147)),"",SUMPRODUCT(('Control Mapping'!$C$5:$C$83=D147)*('Control Mapping'!$F$5:$F$83="Y")*('Control Mapping'!$N$5:$N$83=4)))</f>
        <v>2</v>
      </c>
      <c r="L147" s="29" t="n">
        <f aca="false">IF(NOT(ISNUMBER($G147)),"",IFERROR(SUMPRODUCT(('Control Mapping'!$C$5:$C$83=D147)*'Control Mapping'!$E$5:$E$83*'Control Mapping'!$N$5:$N$83)/SUMPRODUCT(('Control Mapping'!$C$5:$C$83=D147)*'Control Mapping'!$E$5:$E$83*('Control Mapping'!$N$5:$N$83&gt;0)),""))</f>
        <v>2.8</v>
      </c>
      <c r="M147" s="34" t="n">
        <f aca="false">IF(NOT(ISNUMBER($G147)),"",IF(J147=0,4,MAX(MATCH(L147,'Residual Config'!$E$11:$E$14,1),IF(K147&gt;0,'Residual Config'!$C$7,1))))</f>
        <v>3</v>
      </c>
      <c r="N147" s="7" t="str">
        <f aca="false">IF(NOT(ISNUMBER($G147)),"",IF(J147=0,"Ineffective (no key control)",INDEX('Residual Config'!$B$11:$B$14,M147)))</f>
        <v>Partially effective</v>
      </c>
      <c r="O147" s="36" t="n">
        <f aca="false">IF(NOT(ISNUMBER($G147)),"",IF(J147=0,0,SUMPRODUCT(('Control Mapping'!$C$5:$C$83=D147)*'Control Mapping'!$E$5:$E$83*(('Control Mapping'!$N$5:$N$83=1)*'Residual Config'!$D$11+('Control Mapping'!$N$5:$N$83=2)*'Residual Config'!$D$12+('Control Mapping'!$N$5:$N$83=3)*'Residual Config'!$D$13+('Control Mapping'!$N$5:$N$83=4)*'Residual Config'!$D$14))/SUMPRODUCT(('Control Mapping'!$C$5:$C$83=D147)*'Control Mapping'!$E$5:$E$83*('Control Mapping'!$N$5:$N$83&gt;0))))</f>
        <v>0.24</v>
      </c>
      <c r="P147" s="31" t="n">
        <f aca="false">IF(NOT(ISNUMBER($G147)),"",INDEX('Residual Config'!$B$19:$E$23,6-G147,M147))</f>
        <v>4</v>
      </c>
      <c r="Q147" s="29" t="n">
        <f aca="false">IF(NOT(ISNUMBER($G147)),"",MAX(1,F147*(1-O147)))</f>
        <v>3.04</v>
      </c>
      <c r="R147" s="31" t="n">
        <f aca="false">IF(NOT(ISNUMBER($G147)),"",MAX(MATCH(Q147,Config!$D$5:$D$9,1),G147-'Residual Config'!$C$6))</f>
        <v>3</v>
      </c>
      <c r="S147" s="34" t="n">
        <f aca="false">IF(NOT(ISNUMBER($G147)),"",IF('Residual Config'!$C$5="Numeric",R147,P147))</f>
        <v>4</v>
      </c>
      <c r="T147" s="7" t="str">
        <f aca="false">IF(G147="N/A","N/A",IF(S147="","No data",INDEX(Config!$B$5:$B$9,S147)))</f>
        <v>Medium-High</v>
      </c>
      <c r="U147" s="32" t="n">
        <v>0</v>
      </c>
      <c r="V147" s="8"/>
      <c r="W147" s="33"/>
      <c r="X147" s="34" t="n">
        <f aca="false">IF(S147="","",IF(AND(W147="Y",U147&lt;&gt;0),MAX(1,MIN(5,S147+MAX(-Config!$C$27,MIN(Config!$C$27,U147)))),S147))</f>
        <v>4</v>
      </c>
      <c r="Y147" s="35" t="str">
        <f aca="false">IF(G147="N/A","N/A",IF(X147="","No data",INDEX(Config!$B$5:$B$9,X147)))</f>
        <v>Medium-High</v>
      </c>
      <c r="Z147" s="7" t="str">
        <f aca="false">IF(U147=0,"None",IF(W147="Y","Applied","Pending HO approval"))</f>
        <v>None</v>
      </c>
      <c r="AA147" s="12" t="str">
        <f aca="false">INDEX('Risk Taxonomy'!$G$5:$G$24,MATCH(D147,'Risk Taxonomy'!$A$5:$A$24,0))</f>
        <v>Zero tolerance</v>
      </c>
      <c r="AB147" s="7" t="str">
        <f aca="false">INDEX('Risk Taxonomy'!$H$5:$H$24,MATCH(D147,'Risk Taxonomy'!$A$5:$A$24,0))</f>
        <v>Low</v>
      </c>
      <c r="AC147" s="35" t="str">
        <f aca="false">IF(NOT(ISNUMBER(X147)),"",IF(X147&lt;=MATCH(AB147,Config!$B$5:$B$9,0),"Within",IF(OR(X147-MATCH(AB147,Config!$B$5:$B$9,0)&gt;=2,AND('Residual Config'!$C$8="Y",ISNUMBER(SEARCH("Zero",AA147)))),"Red","Amber")))</f>
        <v>Red</v>
      </c>
      <c r="AD147" s="12" t="str">
        <f aca="false">IF(AC147="Red","Group CCO / CRO and Country CEO within 2 business days; action plan in 15 days; report to Board Risk &amp; Compliance Committee",IF(AC147="Amber","Country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48" customFormat="false" ht="15" hidden="false" customHeight="false" outlineLevel="0" collapsed="false">
      <c r="A148" s="26" t="str">
        <f aca="false">Entities!$A$12</f>
        <v>LB</v>
      </c>
      <c r="B148" s="12" t="str">
        <f aca="false">INDEX(Entities!$B$5:$B$34,MATCH(A148,Entities!$A$5:$A$34,0))</f>
        <v>Arab Bank – Lebanon</v>
      </c>
      <c r="C148" s="12" t="str">
        <f aca="false">INDEX(Entities!$D$5:$D$34,MATCH(A148,Entities!$A$5:$A$34,0))</f>
        <v>Levant</v>
      </c>
      <c r="D148" s="12" t="s">
        <v>272</v>
      </c>
      <c r="E148" s="12" t="str">
        <f aca="false">INDEX('Risk Taxonomy'!$B$5:$B$24,MATCH(D148,'Risk Taxonomy'!$A$5:$A$24,0))</f>
        <v>Sanctions</v>
      </c>
      <c r="F148" s="29" t="n">
        <f aca="false">IF(NOT(ISNUMBER(G148)),"",IFERROR(IF(MATCH(SUMIFS('FC Calculation'!$N$5:$N$214,'FC Calculation'!$A$5:$A$214,A148,'FC Calculation'!$D$5:$D$214,D148),Config!$D$5:$D$9,1)=G148,SUMIFS('FC Calculation'!$N$5:$N$214,'FC Calculation'!$A$5:$A$214,A148,'FC Calculation'!$D$5:$D$214,D148),G148),G148))</f>
        <v>4</v>
      </c>
      <c r="G148" s="34" t="n">
        <f aca="false">IF(COUNTIFS('FC Calculation'!$A$5:$A$214,A148,'FC Calculation'!$D$5:$D$214,D148,'FC Calculation'!$T$5:$T$214,"&gt;0")=0,"",SUMIFS('FC Calculation'!$T$5:$T$214,'FC Calculation'!$A$5:$A$214,A148,'FC Calculation'!$D$5:$D$214,D148))</f>
        <v>4</v>
      </c>
      <c r="H148" s="7" t="str">
        <f aca="false">IF(G148="N/A","N/A",IF(G148="","No data",INDEX(Config!$B$5:$B$9,G148)))</f>
        <v>Medium-High</v>
      </c>
      <c r="I148" s="31" t="n">
        <f aca="false">IF(NOT(ISNUMBER($G148)),"",SUMPRODUCT(('Control Mapping'!$C$5:$C$83=D148)*('Control Mapping'!$N$5:$N$83&gt;0)))</f>
        <v>8</v>
      </c>
      <c r="J148" s="31" t="n">
        <f aca="false">IF(NOT(ISNUMBER($G148)),"",SUMPRODUCT(('Control Mapping'!$C$5:$C$83=D148)*('Control Mapping'!$F$5:$F$83="Y")*('Control Mapping'!$N$5:$N$83&gt;0)))</f>
        <v>5</v>
      </c>
      <c r="K148" s="31" t="n">
        <f aca="false">IF(NOT(ISNUMBER($G148)),"",SUMPRODUCT(('Control Mapping'!$C$5:$C$83=D148)*('Control Mapping'!$F$5:$F$83="Y")*('Control Mapping'!$N$5:$N$83=4)))</f>
        <v>2</v>
      </c>
      <c r="L148" s="29" t="n">
        <f aca="false">IF(NOT(ISNUMBER($G148)),"",IFERROR(SUMPRODUCT(('Control Mapping'!$C$5:$C$83=D148)*'Control Mapping'!$E$5:$E$83*'Control Mapping'!$N$5:$N$83)/SUMPRODUCT(('Control Mapping'!$C$5:$C$83=D148)*'Control Mapping'!$E$5:$E$83*('Control Mapping'!$N$5:$N$83&gt;0)),""))</f>
        <v>2.90909090909091</v>
      </c>
      <c r="M148" s="34" t="n">
        <f aca="false">IF(NOT(ISNUMBER($G148)),"",IF(J148=0,4,MAX(MATCH(L148,'Residual Config'!$E$11:$E$14,1),IF(K148&gt;0,'Residual Config'!$C$7,1))))</f>
        <v>3</v>
      </c>
      <c r="N148" s="7" t="str">
        <f aca="false">IF(NOT(ISNUMBER($G148)),"",IF(J148=0,"Ineffective (no key control)",INDEX('Residual Config'!$B$11:$B$14,M148)))</f>
        <v>Partially effective</v>
      </c>
      <c r="O148" s="36" t="n">
        <f aca="false">IF(NOT(ISNUMBER($G148)),"",IF(J148=0,0,SUMPRODUCT(('Control Mapping'!$C$5:$C$83=D148)*'Control Mapping'!$E$5:$E$83*(('Control Mapping'!$N$5:$N$83=1)*'Residual Config'!$D$11+('Control Mapping'!$N$5:$N$83=2)*'Residual Config'!$D$12+('Control Mapping'!$N$5:$N$83=3)*'Residual Config'!$D$13+('Control Mapping'!$N$5:$N$83=4)*'Residual Config'!$D$14))/SUMPRODUCT(('Control Mapping'!$C$5:$C$83=D148)*'Control Mapping'!$E$5:$E$83*('Control Mapping'!$N$5:$N$83&gt;0))))</f>
        <v>0.218181818181818</v>
      </c>
      <c r="P148" s="31" t="n">
        <f aca="false">IF(NOT(ISNUMBER($G148)),"",INDEX('Residual Config'!$B$19:$E$23,6-G148,M148))</f>
        <v>4</v>
      </c>
      <c r="Q148" s="29" t="n">
        <f aca="false">IF(NOT(ISNUMBER($G148)),"",MAX(1,F148*(1-O148)))</f>
        <v>3.12727272727273</v>
      </c>
      <c r="R148" s="31" t="n">
        <f aca="false">IF(NOT(ISNUMBER($G148)),"",MAX(MATCH(Q148,Config!$D$5:$D$9,1),G148-'Residual Config'!$C$6))</f>
        <v>3</v>
      </c>
      <c r="S148" s="34" t="n">
        <f aca="false">IF(NOT(ISNUMBER($G148)),"",IF('Residual Config'!$C$5="Numeric",R148,P148))</f>
        <v>4</v>
      </c>
      <c r="T148" s="7" t="str">
        <f aca="false">IF(G148="N/A","N/A",IF(S148="","No data",INDEX(Config!$B$5:$B$9,S148)))</f>
        <v>Medium-High</v>
      </c>
      <c r="U148" s="32" t="n">
        <v>0</v>
      </c>
      <c r="V148" s="8"/>
      <c r="W148" s="33"/>
      <c r="X148" s="34" t="n">
        <f aca="false">IF(S148="","",IF(AND(W148="Y",U148&lt;&gt;0),MAX(1,MIN(5,S148+MAX(-Config!$C$27,MIN(Config!$C$27,U148)))),S148))</f>
        <v>4</v>
      </c>
      <c r="Y148" s="35" t="str">
        <f aca="false">IF(G148="N/A","N/A",IF(X148="","No data",INDEX(Config!$B$5:$B$9,X148)))</f>
        <v>Medium-High</v>
      </c>
      <c r="Z148" s="7" t="str">
        <f aca="false">IF(U148=0,"None",IF(W148="Y","Applied","Pending HO approval"))</f>
        <v>None</v>
      </c>
      <c r="AA148" s="12" t="str">
        <f aca="false">INDEX('Risk Taxonomy'!$G$5:$G$24,MATCH(D148,'Risk Taxonomy'!$A$5:$A$24,0))</f>
        <v>Zero tolerance</v>
      </c>
      <c r="AB148" s="7" t="str">
        <f aca="false">INDEX('Risk Taxonomy'!$H$5:$H$24,MATCH(D148,'Risk Taxonomy'!$A$5:$A$24,0))</f>
        <v>Low</v>
      </c>
      <c r="AC148" s="35" t="str">
        <f aca="false">IF(NOT(ISNUMBER(X148)),"",IF(X148&lt;=MATCH(AB148,Config!$B$5:$B$9,0),"Within",IF(OR(X148-MATCH(AB148,Config!$B$5:$B$9,0)&gt;=2,AND('Residual Config'!$C$8="Y",ISNUMBER(SEARCH("Zero",AA148)))),"Red","Amber")))</f>
        <v>Red</v>
      </c>
      <c r="AD148" s="12" t="str">
        <f aca="false">IF(AC148="Red","Group CCO / CRO and Country CEO within 2 business days; action plan in 15 days; report to Board Risk &amp; Compliance Committee",IF(AC148="Amber","Country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49" customFormat="false" ht="15" hidden="false" customHeight="false" outlineLevel="0" collapsed="false">
      <c r="A149" s="26" t="str">
        <f aca="false">Entities!$A$12</f>
        <v>LB</v>
      </c>
      <c r="B149" s="12" t="str">
        <f aca="false">INDEX(Entities!$B$5:$B$34,MATCH(A149,Entities!$A$5:$A$34,0))</f>
        <v>Arab Bank – Lebanon</v>
      </c>
      <c r="C149" s="12" t="str">
        <f aca="false">INDEX(Entities!$D$5:$D$34,MATCH(A149,Entities!$A$5:$A$34,0))</f>
        <v>Levant</v>
      </c>
      <c r="D149" s="12" t="s">
        <v>275</v>
      </c>
      <c r="E149" s="12" t="str">
        <f aca="false">INDEX('Risk Taxonomy'!$B$5:$B$24,MATCH(D149,'Risk Taxonomy'!$A$5:$A$24,0))</f>
        <v>Bribery and corruption</v>
      </c>
      <c r="F149" s="29" t="n">
        <f aca="false">IF(NOT(ISNUMBER(G149)),"",IFERROR(IF(MATCH(SUMIFS('FC Calculation'!$N$5:$N$214,'FC Calculation'!$A$5:$A$214,A149,'FC Calculation'!$D$5:$D$214,D149),Config!$D$5:$D$9,1)=G149,SUMIFS('FC Calculation'!$N$5:$N$214,'FC Calculation'!$A$5:$A$214,A149,'FC Calculation'!$D$5:$D$214,D149),G149),G149))</f>
        <v>4.19166666666667</v>
      </c>
      <c r="G149" s="34" t="n">
        <f aca="false">IF(COUNTIFS('FC Calculation'!$A$5:$A$214,A149,'FC Calculation'!$D$5:$D$214,D149,'FC Calculation'!$T$5:$T$214,"&gt;0")=0,"",SUMIFS('FC Calculation'!$T$5:$T$214,'FC Calculation'!$A$5:$A$214,A149,'FC Calculation'!$D$5:$D$214,D149))</f>
        <v>4</v>
      </c>
      <c r="H149" s="7" t="str">
        <f aca="false">IF(G149="N/A","N/A",IF(G149="","No data",INDEX(Config!$B$5:$B$9,G149)))</f>
        <v>Medium-High</v>
      </c>
      <c r="I149" s="31" t="n">
        <f aca="false">IF(NOT(ISNUMBER($G149)),"",SUMPRODUCT(('Control Mapping'!$C$5:$C$83=D149)*('Control Mapping'!$N$5:$N$83&gt;0)))</f>
        <v>5</v>
      </c>
      <c r="J149" s="31" t="n">
        <f aca="false">IF(NOT(ISNUMBER($G149)),"",SUMPRODUCT(('Control Mapping'!$C$5:$C$83=D149)*('Control Mapping'!$F$5:$F$83="Y")*('Control Mapping'!$N$5:$N$83&gt;0)))</f>
        <v>2</v>
      </c>
      <c r="K149" s="31" t="n">
        <f aca="false">IF(NOT(ISNUMBER($G149)),"",SUMPRODUCT(('Control Mapping'!$C$5:$C$83=D149)*('Control Mapping'!$F$5:$F$83="Y")*('Control Mapping'!$N$5:$N$83=4)))</f>
        <v>0</v>
      </c>
      <c r="L149" s="29" t="n">
        <f aca="false">IF(NOT(ISNUMBER($G149)),"",IFERROR(SUMPRODUCT(('Control Mapping'!$C$5:$C$83=D149)*'Control Mapping'!$E$5:$E$83*'Control Mapping'!$N$5:$N$83)/SUMPRODUCT(('Control Mapping'!$C$5:$C$83=D149)*'Control Mapping'!$E$5:$E$83*('Control Mapping'!$N$5:$N$83&gt;0)),""))</f>
        <v>2.33333333333333</v>
      </c>
      <c r="M149" s="34" t="n">
        <f aca="false">IF(NOT(ISNUMBER($G149)),"",IF(J149=0,4,MAX(MATCH(L149,'Residual Config'!$E$11:$E$14,1),IF(K149&gt;0,'Residual Config'!$C$7,1))))</f>
        <v>2</v>
      </c>
      <c r="N149" s="7" t="str">
        <f aca="false">IF(NOT(ISNUMBER($G149)),"",IF(J149=0,"Ineffective (no key control)",INDEX('Residual Config'!$B$11:$B$14,M149)))</f>
        <v>Largely effective</v>
      </c>
      <c r="O149" s="36" t="n">
        <f aca="false">IF(NOT(ISNUMBER($G149)),"",IF(J149=0,0,SUMPRODUCT(('Control Mapping'!$C$5:$C$83=D149)*'Control Mapping'!$E$5:$E$83*(('Control Mapping'!$N$5:$N$83=1)*'Residual Config'!$D$11+('Control Mapping'!$N$5:$N$83=2)*'Residual Config'!$D$12+('Control Mapping'!$N$5:$N$83=3)*'Residual Config'!$D$13+('Control Mapping'!$N$5:$N$83=4)*'Residual Config'!$D$14))/SUMPRODUCT(('Control Mapping'!$C$5:$C$83=D149)*'Control Mapping'!$E$5:$E$83*('Control Mapping'!$N$5:$N$83&gt;0))))</f>
        <v>0.333333333333333</v>
      </c>
      <c r="P149" s="31" t="n">
        <f aca="false">IF(NOT(ISNUMBER($G149)),"",INDEX('Residual Config'!$B$19:$E$23,6-G149,M149))</f>
        <v>3</v>
      </c>
      <c r="Q149" s="29" t="n">
        <f aca="false">IF(NOT(ISNUMBER($G149)),"",MAX(1,F149*(1-O149)))</f>
        <v>2.79444444444444</v>
      </c>
      <c r="R149" s="31" t="n">
        <f aca="false">IF(NOT(ISNUMBER($G149)),"",MAX(MATCH(Q149,Config!$D$5:$D$9,1),G149-'Residual Config'!$C$6))</f>
        <v>3</v>
      </c>
      <c r="S149" s="34" t="n">
        <f aca="false">IF(NOT(ISNUMBER($G149)),"",IF('Residual Config'!$C$5="Numeric",R149,P149))</f>
        <v>3</v>
      </c>
      <c r="T149" s="7" t="str">
        <f aca="false">IF(G149="N/A","N/A",IF(S149="","No data",INDEX(Config!$B$5:$B$9,S149)))</f>
        <v>Medium</v>
      </c>
      <c r="U149" s="32" t="n">
        <v>0</v>
      </c>
      <c r="V149" s="8"/>
      <c r="W149" s="33"/>
      <c r="X149" s="34" t="n">
        <f aca="false">IF(S149="","",IF(AND(W149="Y",U149&lt;&gt;0),MAX(1,MIN(5,S149+MAX(-Config!$C$27,MIN(Config!$C$27,U149)))),S149))</f>
        <v>3</v>
      </c>
      <c r="Y149" s="35" t="str">
        <f aca="false">IF(G149="N/A","N/A",IF(X149="","No data",INDEX(Config!$B$5:$B$9,X149)))</f>
        <v>Medium</v>
      </c>
      <c r="Z149" s="7" t="str">
        <f aca="false">IF(U149=0,"None",IF(W149="Y","Applied","Pending HO approval"))</f>
        <v>None</v>
      </c>
      <c r="AA149" s="12" t="str">
        <f aca="false">INDEX('Risk Taxonomy'!$G$5:$G$24,MATCH(D149,'Risk Taxonomy'!$A$5:$A$24,0))</f>
        <v>Zero tolerance</v>
      </c>
      <c r="AB149" s="7" t="str">
        <f aca="false">INDEX('Risk Taxonomy'!$H$5:$H$24,MATCH(D149,'Risk Taxonomy'!$A$5:$A$24,0))</f>
        <v>Low</v>
      </c>
      <c r="AC149" s="35" t="str">
        <f aca="false">IF(NOT(ISNUMBER(X149)),"",IF(X149&lt;=MATCH(AB149,Config!$B$5:$B$9,0),"Within",IF(OR(X149-MATCH(AB149,Config!$B$5:$B$9,0)&gt;=2,AND('Residual Config'!$C$8="Y",ISNUMBER(SEARCH("Zero",AA149)))),"Red","Amber")))</f>
        <v>Red</v>
      </c>
      <c r="AD149" s="12" t="str">
        <f aca="false">IF(AC149="Red","Group CCO / CRO and Country CEO within 2 business days; action plan in 15 days; report to Board Risk &amp; Compliance Committee",IF(AC149="Amber","Country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50" customFormat="false" ht="15" hidden="false" customHeight="false" outlineLevel="0" collapsed="false">
      <c r="A150" s="26" t="str">
        <f aca="false">Entities!$A$12</f>
        <v>LB</v>
      </c>
      <c r="B150" s="12" t="str">
        <f aca="false">INDEX(Entities!$B$5:$B$34,MATCH(A150,Entities!$A$5:$A$34,0))</f>
        <v>Arab Bank – Lebanon</v>
      </c>
      <c r="C150" s="12" t="str">
        <f aca="false">INDEX(Entities!$D$5:$D$34,MATCH(A150,Entities!$A$5:$A$34,0))</f>
        <v>Levant</v>
      </c>
      <c r="D150" s="12" t="s">
        <v>278</v>
      </c>
      <c r="E150" s="12" t="str">
        <f aca="false">INDEX('Risk Taxonomy'!$B$5:$B$24,MATCH(D150,'Risk Taxonomy'!$A$5:$A$24,0))</f>
        <v>Fraud</v>
      </c>
      <c r="F150" s="29" t="n">
        <f aca="false">IF(NOT(ISNUMBER(G150)),"",IFERROR(IF(MATCH(SUMIFS('FC Calculation'!$N$5:$N$214,'FC Calculation'!$A$5:$A$214,A150,'FC Calculation'!$D$5:$D$214,D150),Config!$D$5:$D$9,1)=G150,SUMIFS('FC Calculation'!$N$5:$N$214,'FC Calculation'!$A$5:$A$214,A150,'FC Calculation'!$D$5:$D$214,D150),G150),G150))</f>
        <v>3.86</v>
      </c>
      <c r="G150" s="34" t="n">
        <f aca="false">IF(COUNTIFS('FC Calculation'!$A$5:$A$214,A150,'FC Calculation'!$D$5:$D$214,D150,'FC Calculation'!$T$5:$T$214,"&gt;0")=0,"",SUMIFS('FC Calculation'!$T$5:$T$214,'FC Calculation'!$A$5:$A$214,A150,'FC Calculation'!$D$5:$D$214,D150))</f>
        <v>4</v>
      </c>
      <c r="H150" s="7" t="str">
        <f aca="false">IF(G150="N/A","N/A",IF(G150="","No data",INDEX(Config!$B$5:$B$9,G150)))</f>
        <v>Medium-High</v>
      </c>
      <c r="I150" s="31" t="n">
        <f aca="false">IF(NOT(ISNUMBER($G150)),"",SUMPRODUCT(('Control Mapping'!$C$5:$C$83=D150)*('Control Mapping'!$N$5:$N$83&gt;0)))</f>
        <v>6</v>
      </c>
      <c r="J150" s="31" t="n">
        <f aca="false">IF(NOT(ISNUMBER($G150)),"",SUMPRODUCT(('Control Mapping'!$C$5:$C$83=D150)*('Control Mapping'!$F$5:$F$83="Y")*('Control Mapping'!$N$5:$N$83&gt;0)))</f>
        <v>5</v>
      </c>
      <c r="K150" s="31" t="n">
        <f aca="false">IF(NOT(ISNUMBER($G150)),"",SUMPRODUCT(('Control Mapping'!$C$5:$C$83=D150)*('Control Mapping'!$F$5:$F$83="Y")*('Control Mapping'!$N$5:$N$83=4)))</f>
        <v>0</v>
      </c>
      <c r="L150" s="29" t="n">
        <f aca="false">IF(NOT(ISNUMBER($G150)),"",IFERROR(SUMPRODUCT(('Control Mapping'!$C$5:$C$83=D150)*'Control Mapping'!$E$5:$E$83*'Control Mapping'!$N$5:$N$83)/SUMPRODUCT(('Control Mapping'!$C$5:$C$83=D150)*'Control Mapping'!$E$5:$E$83*('Control Mapping'!$N$5:$N$83&gt;0)),""))</f>
        <v>2</v>
      </c>
      <c r="M150" s="34" t="n">
        <f aca="false">IF(NOT(ISNUMBER($G150)),"",IF(J150=0,4,MAX(MATCH(L150,'Residual Config'!$E$11:$E$14,1),IF(K150&gt;0,'Residual Config'!$C$7,1))))</f>
        <v>2</v>
      </c>
      <c r="N150" s="7" t="str">
        <f aca="false">IF(NOT(ISNUMBER($G150)),"",IF(J150=0,"Ineffective (no key control)",INDEX('Residual Config'!$B$11:$B$14,M150)))</f>
        <v>Largely effective</v>
      </c>
      <c r="O150" s="36" t="n">
        <f aca="false">IF(NOT(ISNUMBER($G150)),"",IF(J150=0,0,SUMPRODUCT(('Control Mapping'!$C$5:$C$83=D150)*'Control Mapping'!$E$5:$E$83*(('Control Mapping'!$N$5:$N$83=1)*'Residual Config'!$D$11+('Control Mapping'!$N$5:$N$83=2)*'Residual Config'!$D$12+('Control Mapping'!$N$5:$N$83=3)*'Residual Config'!$D$13+('Control Mapping'!$N$5:$N$83=4)*'Residual Config'!$D$14))/SUMPRODUCT(('Control Mapping'!$C$5:$C$83=D150)*'Control Mapping'!$E$5:$E$83*('Control Mapping'!$N$5:$N$83&gt;0))))</f>
        <v>0.4</v>
      </c>
      <c r="P150" s="31" t="n">
        <f aca="false">IF(NOT(ISNUMBER($G150)),"",INDEX('Residual Config'!$B$19:$E$23,6-G150,M150))</f>
        <v>3</v>
      </c>
      <c r="Q150" s="29" t="n">
        <f aca="false">IF(NOT(ISNUMBER($G150)),"",MAX(1,F150*(1-O150)))</f>
        <v>2.316</v>
      </c>
      <c r="R150" s="31" t="n">
        <f aca="false">IF(NOT(ISNUMBER($G150)),"",MAX(MATCH(Q150,Config!$D$5:$D$9,1),G150-'Residual Config'!$C$6))</f>
        <v>2</v>
      </c>
      <c r="S150" s="34" t="n">
        <f aca="false">IF(NOT(ISNUMBER($G150)),"",IF('Residual Config'!$C$5="Numeric",R150,P150))</f>
        <v>3</v>
      </c>
      <c r="T150" s="7" t="str">
        <f aca="false">IF(G150="N/A","N/A",IF(S150="","No data",INDEX(Config!$B$5:$B$9,S150)))</f>
        <v>Medium</v>
      </c>
      <c r="U150" s="32" t="n">
        <v>0</v>
      </c>
      <c r="V150" s="8"/>
      <c r="W150" s="33"/>
      <c r="X150" s="34" t="n">
        <f aca="false">IF(S150="","",IF(AND(W150="Y",U150&lt;&gt;0),MAX(1,MIN(5,S150+MAX(-Config!$C$27,MIN(Config!$C$27,U150)))),S150))</f>
        <v>3</v>
      </c>
      <c r="Y150" s="35" t="str">
        <f aca="false">IF(G150="N/A","N/A",IF(X150="","No data",INDEX(Config!$B$5:$B$9,X150)))</f>
        <v>Medium</v>
      </c>
      <c r="Z150" s="7" t="str">
        <f aca="false">IF(U150=0,"None",IF(W150="Y","Applied","Pending HO approval"))</f>
        <v>None</v>
      </c>
      <c r="AA150" s="12" t="str">
        <f aca="false">INDEX('Risk Taxonomy'!$G$5:$G$24,MATCH(D150,'Risk Taxonomy'!$A$5:$A$24,0))</f>
        <v>Low</v>
      </c>
      <c r="AB150" s="7" t="str">
        <f aca="false">INDEX('Risk Taxonomy'!$H$5:$H$24,MATCH(D150,'Risk Taxonomy'!$A$5:$A$24,0))</f>
        <v>Medium</v>
      </c>
      <c r="AC150" s="35" t="str">
        <f aca="false">IF(NOT(ISNUMBER(X150)),"",IF(X150&lt;=MATCH(AB150,Config!$B$5:$B$9,0),"Within",IF(OR(X150-MATCH(AB150,Config!$B$5:$B$9,0)&gt;=2,AND('Residual Config'!$C$8="Y",ISNUMBER(SEARCH("Zero",AA150)))),"Red","Amber")))</f>
        <v>Within</v>
      </c>
      <c r="AD150" s="12" t="str">
        <f aca="false">IF(AC150="Red","Group CCO / CRO and Country CEO within 2 business days; action plan in 15 days; report to Board Risk &amp; Compliance Committee",IF(AC150="Amber","Country CO, risk owner and HO Administrator within 5 business days; action plan in 30 days",""))</f>
        <v/>
      </c>
    </row>
    <row r="151" customFormat="false" ht="15" hidden="false" customHeight="false" outlineLevel="0" collapsed="false">
      <c r="A151" s="26" t="str">
        <f aca="false">Entities!$A$12</f>
        <v>LB</v>
      </c>
      <c r="B151" s="12" t="str">
        <f aca="false">INDEX(Entities!$B$5:$B$34,MATCH(A151,Entities!$A$5:$A$34,0))</f>
        <v>Arab Bank – Lebanon</v>
      </c>
      <c r="C151" s="12" t="str">
        <f aca="false">INDEX(Entities!$D$5:$D$34,MATCH(A151,Entities!$A$5:$A$34,0))</f>
        <v>Levant</v>
      </c>
      <c r="D151" s="12" t="s">
        <v>281</v>
      </c>
      <c r="E151" s="12" t="str">
        <f aca="false">INDEX('Risk Taxonomy'!$B$5:$B$24,MATCH(D151,'Risk Taxonomy'!$A$5:$A$24,0))</f>
        <v>Tax evasion and tax transparency</v>
      </c>
      <c r="F151" s="29" t="n">
        <f aca="false">IF(NOT(ISNUMBER(G151)),"",IFERROR(IF(MATCH(SUMIFS('FC Calculation'!$N$5:$N$214,'FC Calculation'!$A$5:$A$214,A151,'FC Calculation'!$D$5:$D$214,D151),Config!$D$5:$D$9,1)=G151,SUMIFS('FC Calculation'!$N$5:$N$214,'FC Calculation'!$A$5:$A$214,A151,'FC Calculation'!$D$5:$D$214,D151),G151),G151))</f>
        <v>4.00777777777778</v>
      </c>
      <c r="G151" s="34" t="n">
        <f aca="false">IF(COUNTIFS('FC Calculation'!$A$5:$A$214,A151,'FC Calculation'!$D$5:$D$214,D151,'FC Calculation'!$T$5:$T$214,"&gt;0")=0,"",SUMIFS('FC Calculation'!$T$5:$T$214,'FC Calculation'!$A$5:$A$214,A151,'FC Calculation'!$D$5:$D$214,D151))</f>
        <v>4</v>
      </c>
      <c r="H151" s="7" t="str">
        <f aca="false">IF(G151="N/A","N/A",IF(G151="","No data",INDEX(Config!$B$5:$B$9,G151)))</f>
        <v>Medium-High</v>
      </c>
      <c r="I151" s="31" t="n">
        <f aca="false">IF(NOT(ISNUMBER($G151)),"",SUMPRODUCT(('Control Mapping'!$C$5:$C$83=D151)*('Control Mapping'!$N$5:$N$83&gt;0)))</f>
        <v>5</v>
      </c>
      <c r="J151" s="31" t="n">
        <f aca="false">IF(NOT(ISNUMBER($G151)),"",SUMPRODUCT(('Control Mapping'!$C$5:$C$83=D151)*('Control Mapping'!$F$5:$F$83="Y")*('Control Mapping'!$N$5:$N$83&gt;0)))</f>
        <v>4</v>
      </c>
      <c r="K151" s="31" t="n">
        <f aca="false">IF(NOT(ISNUMBER($G151)),"",SUMPRODUCT(('Control Mapping'!$C$5:$C$83=D151)*('Control Mapping'!$F$5:$F$83="Y")*('Control Mapping'!$N$5:$N$83=4)))</f>
        <v>1</v>
      </c>
      <c r="L151" s="29" t="n">
        <f aca="false">IF(NOT(ISNUMBER($G151)),"",IFERROR(SUMPRODUCT(('Control Mapping'!$C$5:$C$83=D151)*'Control Mapping'!$E$5:$E$83*'Control Mapping'!$N$5:$N$83)/SUMPRODUCT(('Control Mapping'!$C$5:$C$83=D151)*'Control Mapping'!$E$5:$E$83*('Control Mapping'!$N$5:$N$83&gt;0)),""))</f>
        <v>3</v>
      </c>
      <c r="M151" s="34" t="n">
        <f aca="false">IF(NOT(ISNUMBER($G151)),"",IF(J151=0,4,MAX(MATCH(L151,'Residual Config'!$E$11:$E$14,1),IF(K151&gt;0,'Residual Config'!$C$7,1))))</f>
        <v>3</v>
      </c>
      <c r="N151" s="7" t="str">
        <f aca="false">IF(NOT(ISNUMBER($G151)),"",IF(J151=0,"Ineffective (no key control)",INDEX('Residual Config'!$B$11:$B$14,M151)))</f>
        <v>Partially effective</v>
      </c>
      <c r="O151" s="36" t="n">
        <f aca="false">IF(NOT(ISNUMBER($G151)),"",IF(J151=0,0,SUMPRODUCT(('Control Mapping'!$C$5:$C$83=D151)*'Control Mapping'!$E$5:$E$83*(('Control Mapping'!$N$5:$N$83=1)*'Residual Config'!$D$11+('Control Mapping'!$N$5:$N$83=2)*'Residual Config'!$D$12+('Control Mapping'!$N$5:$N$83=3)*'Residual Config'!$D$13+('Control Mapping'!$N$5:$N$83=4)*'Residual Config'!$D$14))/SUMPRODUCT(('Control Mapping'!$C$5:$C$83=D151)*'Control Mapping'!$E$5:$E$83*('Control Mapping'!$N$5:$N$83&gt;0))))</f>
        <v>0.2</v>
      </c>
      <c r="P151" s="31" t="n">
        <f aca="false">IF(NOT(ISNUMBER($G151)),"",INDEX('Residual Config'!$B$19:$E$23,6-G151,M151))</f>
        <v>4</v>
      </c>
      <c r="Q151" s="29" t="n">
        <f aca="false">IF(NOT(ISNUMBER($G151)),"",MAX(1,F151*(1-O151)))</f>
        <v>3.20622222222222</v>
      </c>
      <c r="R151" s="31" t="n">
        <f aca="false">IF(NOT(ISNUMBER($G151)),"",MAX(MATCH(Q151,Config!$D$5:$D$9,1),G151-'Residual Config'!$C$6))</f>
        <v>3</v>
      </c>
      <c r="S151" s="34" t="n">
        <f aca="false">IF(NOT(ISNUMBER($G151)),"",IF('Residual Config'!$C$5="Numeric",R151,P151))</f>
        <v>4</v>
      </c>
      <c r="T151" s="7" t="str">
        <f aca="false">IF(G151="N/A","N/A",IF(S151="","No data",INDEX(Config!$B$5:$B$9,S151)))</f>
        <v>Medium-High</v>
      </c>
      <c r="U151" s="32" t="n">
        <v>0</v>
      </c>
      <c r="V151" s="8"/>
      <c r="W151" s="33"/>
      <c r="X151" s="34" t="n">
        <f aca="false">IF(S151="","",IF(AND(W151="Y",U151&lt;&gt;0),MAX(1,MIN(5,S151+MAX(-Config!$C$27,MIN(Config!$C$27,U151)))),S151))</f>
        <v>4</v>
      </c>
      <c r="Y151" s="35" t="str">
        <f aca="false">IF(G151="N/A","N/A",IF(X151="","No data",INDEX(Config!$B$5:$B$9,X151)))</f>
        <v>Medium-High</v>
      </c>
      <c r="Z151" s="7" t="str">
        <f aca="false">IF(U151=0,"None",IF(W151="Y","Applied","Pending HO approval"))</f>
        <v>None</v>
      </c>
      <c r="AA151" s="12" t="str">
        <f aca="false">INDEX('Risk Taxonomy'!$G$5:$G$24,MATCH(D151,'Risk Taxonomy'!$A$5:$A$24,0))</f>
        <v>Zero tolerance (facilitation)</v>
      </c>
      <c r="AB151" s="7" t="str">
        <f aca="false">INDEX('Risk Taxonomy'!$H$5:$H$24,MATCH(D151,'Risk Taxonomy'!$A$5:$A$24,0))</f>
        <v>Low</v>
      </c>
      <c r="AC151" s="35" t="str">
        <f aca="false">IF(NOT(ISNUMBER(X151)),"",IF(X151&lt;=MATCH(AB151,Config!$B$5:$B$9,0),"Within",IF(OR(X151-MATCH(AB151,Config!$B$5:$B$9,0)&gt;=2,AND('Residual Config'!$C$8="Y",ISNUMBER(SEARCH("Zero",AA151)))),"Red","Amber")))</f>
        <v>Red</v>
      </c>
      <c r="AD151" s="12" t="str">
        <f aca="false">IF(AC151="Red","Group CCO / CRO and Country CEO within 2 business days; action plan in 15 days; report to Board Risk &amp; Compliance Committee",IF(AC151="Amber","Country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52" customFormat="false" ht="15" hidden="false" customHeight="false" outlineLevel="0" collapsed="false">
      <c r="A152" s="26" t="str">
        <f aca="false">Entities!$A$12</f>
        <v>LB</v>
      </c>
      <c r="B152" s="12" t="str">
        <f aca="false">INDEX(Entities!$B$5:$B$34,MATCH(A152,Entities!$A$5:$A$34,0))</f>
        <v>Arab Bank – Lebanon</v>
      </c>
      <c r="C152" s="12" t="str">
        <f aca="false">INDEX(Entities!$D$5:$D$34,MATCH(A152,Entities!$A$5:$A$34,0))</f>
        <v>Levant</v>
      </c>
      <c r="D152" s="12" t="s">
        <v>284</v>
      </c>
      <c r="E152" s="12" t="str">
        <f aca="false">INDEX('Risk Taxonomy'!$B$5:$B$24,MATCH(D152,'Risk Taxonomy'!$A$5:$A$24,0))</f>
        <v>Regulatory compliance</v>
      </c>
      <c r="F152" s="29" t="n">
        <f aca="false">IF(NOT(ISNUMBER(G152)),"",G152)</f>
        <v>5</v>
      </c>
      <c r="G152" s="34" t="n">
        <f aca="false">IF(COUNTIFS('LxI Assessment'!$A$5:$A$394,A152,'LxI Assessment'!$D$5:$D$394,D152,'LxI Assessment'!$F$5:$F$394,"N/A")&gt;0,"N/A",IF(COUNTIFS('LxI Assessment'!$A$5:$A$394,A152,'LxI Assessment'!$D$5:$D$394,D152,'LxI Assessment'!$S$5:$S$394,"&gt;0")=0,"",SUMIFS('LxI Assessment'!$S$5:$S$394,'LxI Assessment'!$A$5:$A$394,A152,'LxI Assessment'!$D$5:$D$394,D152)))</f>
        <v>5</v>
      </c>
      <c r="H152" s="7" t="str">
        <f aca="false">IF(G152="N/A","N/A",IF(G152="","No data",INDEX(Config!$B$5:$B$9,G152)))</f>
        <v>High</v>
      </c>
      <c r="I152" s="31" t="n">
        <f aca="false">IF(NOT(ISNUMBER($G152)),"",SUMPRODUCT(('Control Mapping'!$C$5:$C$83=D152)*('Control Mapping'!$N$5:$N$83&gt;0)))</f>
        <v>4</v>
      </c>
      <c r="J152" s="31" t="n">
        <f aca="false">IF(NOT(ISNUMBER($G152)),"",SUMPRODUCT(('Control Mapping'!$C$5:$C$83=D152)*('Control Mapping'!$F$5:$F$83="Y")*('Control Mapping'!$N$5:$N$83&gt;0)))</f>
        <v>3</v>
      </c>
      <c r="K152" s="31" t="n">
        <f aca="false">IF(NOT(ISNUMBER($G152)),"",SUMPRODUCT(('Control Mapping'!$C$5:$C$83=D152)*('Control Mapping'!$F$5:$F$83="Y")*('Control Mapping'!$N$5:$N$83=4)))</f>
        <v>0</v>
      </c>
      <c r="L152" s="29" t="n">
        <f aca="false">IF(NOT(ISNUMBER($G152)),"",IFERROR(SUMPRODUCT(('Control Mapping'!$C$5:$C$83=D152)*'Control Mapping'!$E$5:$E$83*'Control Mapping'!$N$5:$N$83)/SUMPRODUCT(('Control Mapping'!$C$5:$C$83=D152)*'Control Mapping'!$E$5:$E$83*('Control Mapping'!$N$5:$N$83&gt;0)),""))</f>
        <v>2.28571428571429</v>
      </c>
      <c r="M152" s="34" t="n">
        <f aca="false">IF(NOT(ISNUMBER($G152)),"",IF(J152=0,4,MAX(MATCH(L152,'Residual Config'!$E$11:$E$14,1),IF(K152&gt;0,'Residual Config'!$C$7,1))))</f>
        <v>2</v>
      </c>
      <c r="N152" s="7" t="str">
        <f aca="false">IF(NOT(ISNUMBER($G152)),"",IF(J152=0,"Ineffective (no key control)",INDEX('Residual Config'!$B$11:$B$14,M152)))</f>
        <v>Largely effective</v>
      </c>
      <c r="O152" s="36" t="n">
        <f aca="false">IF(NOT(ISNUMBER($G152)),"",IF(J152=0,0,SUMPRODUCT(('Control Mapping'!$C$5:$C$83=D152)*'Control Mapping'!$E$5:$E$83*(('Control Mapping'!$N$5:$N$83=1)*'Residual Config'!$D$11+('Control Mapping'!$N$5:$N$83=2)*'Residual Config'!$D$12+('Control Mapping'!$N$5:$N$83=3)*'Residual Config'!$D$13+('Control Mapping'!$N$5:$N$83=4)*'Residual Config'!$D$14))/SUMPRODUCT(('Control Mapping'!$C$5:$C$83=D152)*'Control Mapping'!$E$5:$E$83*('Control Mapping'!$N$5:$N$83&gt;0))))</f>
        <v>0.342857142857143</v>
      </c>
      <c r="P152" s="31" t="n">
        <f aca="false">IF(NOT(ISNUMBER($G152)),"",INDEX('Residual Config'!$B$19:$E$23,6-G152,M152))</f>
        <v>4</v>
      </c>
      <c r="Q152" s="29" t="n">
        <f aca="false">IF(NOT(ISNUMBER($G152)),"",MAX(1,F152*(1-O152)))</f>
        <v>3.28571428571429</v>
      </c>
      <c r="R152" s="31" t="n">
        <f aca="false">IF(NOT(ISNUMBER($G152)),"",MAX(MATCH(Q152,Config!$D$5:$D$9,1),G152-'Residual Config'!$C$6))</f>
        <v>3</v>
      </c>
      <c r="S152" s="34" t="n">
        <f aca="false">IF(NOT(ISNUMBER($G152)),"",IF('Residual Config'!$C$5="Numeric",R152,P152))</f>
        <v>4</v>
      </c>
      <c r="T152" s="7" t="str">
        <f aca="false">IF(G152="N/A","N/A",IF(S152="","No data",INDEX(Config!$B$5:$B$9,S152)))</f>
        <v>Medium-High</v>
      </c>
      <c r="U152" s="32" t="n">
        <v>0</v>
      </c>
      <c r="V152" s="8"/>
      <c r="W152" s="33"/>
      <c r="X152" s="34" t="n">
        <f aca="false">IF(S152="","",IF(AND(W152="Y",U152&lt;&gt;0),MAX(1,MIN(5,S152+MAX(-Config!$C$27,MIN(Config!$C$27,U152)))),S152))</f>
        <v>4</v>
      </c>
      <c r="Y152" s="35" t="str">
        <f aca="false">IF(G152="N/A","N/A",IF(X152="","No data",INDEX(Config!$B$5:$B$9,X152)))</f>
        <v>Medium-High</v>
      </c>
      <c r="Z152" s="7" t="str">
        <f aca="false">IF(U152=0,"None",IF(W152="Y","Applied","Pending HO approval"))</f>
        <v>None</v>
      </c>
      <c r="AA152" s="12" t="str">
        <f aca="false">INDEX('Risk Taxonomy'!$G$5:$G$24,MATCH(D152,'Risk Taxonomy'!$A$5:$A$24,0))</f>
        <v>Very low</v>
      </c>
      <c r="AB152" s="7" t="str">
        <f aca="false">INDEX('Risk Taxonomy'!$H$5:$H$24,MATCH(D152,'Risk Taxonomy'!$A$5:$A$24,0))</f>
        <v>Medium-Low</v>
      </c>
      <c r="AC152" s="35" t="str">
        <f aca="false">IF(NOT(ISNUMBER(X152)),"",IF(X152&lt;=MATCH(AB152,Config!$B$5:$B$9,0),"Within",IF(OR(X152-MATCH(AB152,Config!$B$5:$B$9,0)&gt;=2,AND('Residual Config'!$C$8="Y",ISNUMBER(SEARCH("Zero",AA152)))),"Red","Amber")))</f>
        <v>Red</v>
      </c>
      <c r="AD152" s="12" t="str">
        <f aca="false">IF(AC152="Red","Group CCO / CRO and Country CEO within 2 business days; action plan in 15 days; report to Board Risk &amp; Compliance Committee",IF(AC152="Amber","Country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53" customFormat="false" ht="15" hidden="false" customHeight="false" outlineLevel="0" collapsed="false">
      <c r="A153" s="26" t="str">
        <f aca="false">Entities!$A$12</f>
        <v>LB</v>
      </c>
      <c r="B153" s="12" t="str">
        <f aca="false">INDEX(Entities!$B$5:$B$34,MATCH(A153,Entities!$A$5:$A$34,0))</f>
        <v>Arab Bank – Lebanon</v>
      </c>
      <c r="C153" s="12" t="str">
        <f aca="false">INDEX(Entities!$D$5:$D$34,MATCH(A153,Entities!$A$5:$A$34,0))</f>
        <v>Levant</v>
      </c>
      <c r="D153" s="12" t="s">
        <v>288</v>
      </c>
      <c r="E153" s="12" t="str">
        <f aca="false">INDEX('Risk Taxonomy'!$B$5:$B$24,MATCH(D153,'Risk Taxonomy'!$A$5:$A$24,0))</f>
        <v>Conduct and consumer protection</v>
      </c>
      <c r="F153" s="29" t="n">
        <f aca="false">IF(NOT(ISNUMBER(G153)),"",G153)</f>
        <v>5</v>
      </c>
      <c r="G153" s="34" t="n">
        <f aca="false">IF(COUNTIFS('LxI Assessment'!$A$5:$A$394,A153,'LxI Assessment'!$D$5:$D$394,D153,'LxI Assessment'!$F$5:$F$394,"N/A")&gt;0,"N/A",IF(COUNTIFS('LxI Assessment'!$A$5:$A$394,A153,'LxI Assessment'!$D$5:$D$394,D153,'LxI Assessment'!$S$5:$S$394,"&gt;0")=0,"",SUMIFS('LxI Assessment'!$S$5:$S$394,'LxI Assessment'!$A$5:$A$394,A153,'LxI Assessment'!$D$5:$D$394,D153)))</f>
        <v>5</v>
      </c>
      <c r="H153" s="7" t="str">
        <f aca="false">IF(G153="N/A","N/A",IF(G153="","No data",INDEX(Config!$B$5:$B$9,G153)))</f>
        <v>High</v>
      </c>
      <c r="I153" s="31" t="n">
        <f aca="false">IF(NOT(ISNUMBER($G153)),"",SUMPRODUCT(('Control Mapping'!$C$5:$C$83=D153)*('Control Mapping'!$N$5:$N$83&gt;0)))</f>
        <v>2</v>
      </c>
      <c r="J153" s="31" t="n">
        <f aca="false">IF(NOT(ISNUMBER($G153)),"",SUMPRODUCT(('Control Mapping'!$C$5:$C$83=D153)*('Control Mapping'!$F$5:$F$83="Y")*('Control Mapping'!$N$5:$N$83&gt;0)))</f>
        <v>1</v>
      </c>
      <c r="K153" s="31" t="n">
        <f aca="false">IF(NOT(ISNUMBER($G153)),"",SUMPRODUCT(('Control Mapping'!$C$5:$C$83=D153)*('Control Mapping'!$F$5:$F$83="Y")*('Control Mapping'!$N$5:$N$83=4)))</f>
        <v>0</v>
      </c>
      <c r="L153" s="29" t="n">
        <f aca="false">IF(NOT(ISNUMBER($G153)),"",IFERROR(SUMPRODUCT(('Control Mapping'!$C$5:$C$83=D153)*'Control Mapping'!$E$5:$E$83*'Control Mapping'!$N$5:$N$83)/SUMPRODUCT(('Control Mapping'!$C$5:$C$83=D153)*'Control Mapping'!$E$5:$E$83*('Control Mapping'!$N$5:$N$83&gt;0)),""))</f>
        <v>2</v>
      </c>
      <c r="M153" s="34" t="n">
        <f aca="false">IF(NOT(ISNUMBER($G153)),"",IF(J153=0,4,MAX(MATCH(L153,'Residual Config'!$E$11:$E$14,1),IF(K153&gt;0,'Residual Config'!$C$7,1))))</f>
        <v>2</v>
      </c>
      <c r="N153" s="7" t="str">
        <f aca="false">IF(NOT(ISNUMBER($G153)),"",IF(J153=0,"Ineffective (no key control)",INDEX('Residual Config'!$B$11:$B$14,M153)))</f>
        <v>Largely effective</v>
      </c>
      <c r="O153" s="36" t="n">
        <f aca="false">IF(NOT(ISNUMBER($G153)),"",IF(J153=0,0,SUMPRODUCT(('Control Mapping'!$C$5:$C$83=D153)*'Control Mapping'!$E$5:$E$83*(('Control Mapping'!$N$5:$N$83=1)*'Residual Config'!$D$11+('Control Mapping'!$N$5:$N$83=2)*'Residual Config'!$D$12+('Control Mapping'!$N$5:$N$83=3)*'Residual Config'!$D$13+('Control Mapping'!$N$5:$N$83=4)*'Residual Config'!$D$14))/SUMPRODUCT(('Control Mapping'!$C$5:$C$83=D153)*'Control Mapping'!$E$5:$E$83*('Control Mapping'!$N$5:$N$83&gt;0))))</f>
        <v>0.4</v>
      </c>
      <c r="P153" s="31" t="n">
        <f aca="false">IF(NOT(ISNUMBER($G153)),"",INDEX('Residual Config'!$B$19:$E$23,6-G153,M153))</f>
        <v>4</v>
      </c>
      <c r="Q153" s="29" t="n">
        <f aca="false">IF(NOT(ISNUMBER($G153)),"",MAX(1,F153*(1-O153)))</f>
        <v>3</v>
      </c>
      <c r="R153" s="31" t="n">
        <f aca="false">IF(NOT(ISNUMBER($G153)),"",MAX(MATCH(Q153,Config!$D$5:$D$9,1),G153-'Residual Config'!$C$6))</f>
        <v>3</v>
      </c>
      <c r="S153" s="34" t="n">
        <f aca="false">IF(NOT(ISNUMBER($G153)),"",IF('Residual Config'!$C$5="Numeric",R153,P153))</f>
        <v>4</v>
      </c>
      <c r="T153" s="7" t="str">
        <f aca="false">IF(G153="N/A","N/A",IF(S153="","No data",INDEX(Config!$B$5:$B$9,S153)))</f>
        <v>Medium-High</v>
      </c>
      <c r="U153" s="32" t="n">
        <v>0</v>
      </c>
      <c r="V153" s="8"/>
      <c r="W153" s="33"/>
      <c r="X153" s="34" t="n">
        <f aca="false">IF(S153="","",IF(AND(W153="Y",U153&lt;&gt;0),MAX(1,MIN(5,S153+MAX(-Config!$C$27,MIN(Config!$C$27,U153)))),S153))</f>
        <v>4</v>
      </c>
      <c r="Y153" s="35" t="str">
        <f aca="false">IF(G153="N/A","N/A",IF(X153="","No data",INDEX(Config!$B$5:$B$9,X153)))</f>
        <v>Medium-High</v>
      </c>
      <c r="Z153" s="7" t="str">
        <f aca="false">IF(U153=0,"None",IF(W153="Y","Applied","Pending HO approval"))</f>
        <v>None</v>
      </c>
      <c r="AA153" s="12" t="str">
        <f aca="false">INDEX('Risk Taxonomy'!$G$5:$G$24,MATCH(D153,'Risk Taxonomy'!$A$5:$A$24,0))</f>
        <v>Low</v>
      </c>
      <c r="AB153" s="7" t="str">
        <f aca="false">INDEX('Risk Taxonomy'!$H$5:$H$24,MATCH(D153,'Risk Taxonomy'!$A$5:$A$24,0))</f>
        <v>Medium</v>
      </c>
      <c r="AC153" s="35" t="str">
        <f aca="false">IF(NOT(ISNUMBER(X153)),"",IF(X153&lt;=MATCH(AB153,Config!$B$5:$B$9,0),"Within",IF(OR(X153-MATCH(AB153,Config!$B$5:$B$9,0)&gt;=2,AND('Residual Config'!$C$8="Y",ISNUMBER(SEARCH("Zero",AA153)))),"Red","Amber")))</f>
        <v>Amber</v>
      </c>
      <c r="AD153" s="12" t="str">
        <f aca="false">IF(AC153="Red","Group CCO / CRO and Country CEO within 2 business days; action plan in 15 days; report to Board Risk &amp; Compliance Committee",IF(AC153="Amber","Country CO, risk owner and HO Administrator within 5 business days; action plan in 30 days",""))</f>
        <v>Country CO, risk owner and HO Administrator within 5 business days; action plan in 30 days</v>
      </c>
    </row>
    <row r="154" customFormat="false" ht="15" hidden="false" customHeight="false" outlineLevel="0" collapsed="false">
      <c r="A154" s="26" t="str">
        <f aca="false">Entities!$A$12</f>
        <v>LB</v>
      </c>
      <c r="B154" s="12" t="str">
        <f aca="false">INDEX(Entities!$B$5:$B$34,MATCH(A154,Entities!$A$5:$A$34,0))</f>
        <v>Arab Bank – Lebanon</v>
      </c>
      <c r="C154" s="12" t="str">
        <f aca="false">INDEX(Entities!$D$5:$D$34,MATCH(A154,Entities!$A$5:$A$34,0))</f>
        <v>Levant</v>
      </c>
      <c r="D154" s="12" t="s">
        <v>290</v>
      </c>
      <c r="E154" s="12" t="str">
        <f aca="false">INDEX('Risk Taxonomy'!$B$5:$B$24,MATCH(D154,'Risk Taxonomy'!$A$5:$A$24,0))</f>
        <v>Data protection and privacy</v>
      </c>
      <c r="F154" s="29" t="n">
        <f aca="false">IF(NOT(ISNUMBER(G154)),"",G154)</f>
        <v>5</v>
      </c>
      <c r="G154" s="34" t="n">
        <f aca="false">IF(COUNTIFS('LxI Assessment'!$A$5:$A$394,A154,'LxI Assessment'!$D$5:$D$394,D154,'LxI Assessment'!$F$5:$F$394,"N/A")&gt;0,"N/A",IF(COUNTIFS('LxI Assessment'!$A$5:$A$394,A154,'LxI Assessment'!$D$5:$D$394,D154,'LxI Assessment'!$S$5:$S$394,"&gt;0")=0,"",SUMIFS('LxI Assessment'!$S$5:$S$394,'LxI Assessment'!$A$5:$A$394,A154,'LxI Assessment'!$D$5:$D$394,D154)))</f>
        <v>5</v>
      </c>
      <c r="H154" s="7" t="str">
        <f aca="false">IF(G154="N/A","N/A",IF(G154="","No data",INDEX(Config!$B$5:$B$9,G154)))</f>
        <v>High</v>
      </c>
      <c r="I154" s="31" t="n">
        <f aca="false">IF(NOT(ISNUMBER($G154)),"",SUMPRODUCT(('Control Mapping'!$C$5:$C$83=D154)*('Control Mapping'!$N$5:$N$83&gt;0)))</f>
        <v>2</v>
      </c>
      <c r="J154" s="31" t="n">
        <f aca="false">IF(NOT(ISNUMBER($G154)),"",SUMPRODUCT(('Control Mapping'!$C$5:$C$83=D154)*('Control Mapping'!$F$5:$F$83="Y")*('Control Mapping'!$N$5:$N$83&gt;0)))</f>
        <v>2</v>
      </c>
      <c r="K154" s="31" t="n">
        <f aca="false">IF(NOT(ISNUMBER($G154)),"",SUMPRODUCT(('Control Mapping'!$C$5:$C$83=D154)*('Control Mapping'!$F$5:$F$83="Y")*('Control Mapping'!$N$5:$N$83=4)))</f>
        <v>0</v>
      </c>
      <c r="L154" s="29" t="n">
        <f aca="false">IF(NOT(ISNUMBER($G154)),"",IFERROR(SUMPRODUCT(('Control Mapping'!$C$5:$C$83=D154)*'Control Mapping'!$E$5:$E$83*'Control Mapping'!$N$5:$N$83)/SUMPRODUCT(('Control Mapping'!$C$5:$C$83=D154)*'Control Mapping'!$E$5:$E$83*('Control Mapping'!$N$5:$N$83&gt;0)),""))</f>
        <v>2.5</v>
      </c>
      <c r="M154" s="34" t="n">
        <f aca="false">IF(NOT(ISNUMBER($G154)),"",IF(J154=0,4,MAX(MATCH(L154,'Residual Config'!$E$11:$E$14,1),IF(K154&gt;0,'Residual Config'!$C$7,1))))</f>
        <v>3</v>
      </c>
      <c r="N154" s="7" t="str">
        <f aca="false">IF(NOT(ISNUMBER($G154)),"",IF(J154=0,"Ineffective (no key control)",INDEX('Residual Config'!$B$11:$B$14,M154)))</f>
        <v>Partially effective</v>
      </c>
      <c r="O154" s="36" t="n">
        <f aca="false">IF(NOT(ISNUMBER($G154)),"",IF(J154=0,0,SUMPRODUCT(('Control Mapping'!$C$5:$C$83=D154)*'Control Mapping'!$E$5:$E$83*(('Control Mapping'!$N$5:$N$83=1)*'Residual Config'!$D$11+('Control Mapping'!$N$5:$N$83=2)*'Residual Config'!$D$12+('Control Mapping'!$N$5:$N$83=3)*'Residual Config'!$D$13+('Control Mapping'!$N$5:$N$83=4)*'Residual Config'!$D$14))/SUMPRODUCT(('Control Mapping'!$C$5:$C$83=D154)*'Control Mapping'!$E$5:$E$83*('Control Mapping'!$N$5:$N$83&gt;0))))</f>
        <v>0.3</v>
      </c>
      <c r="P154" s="31" t="n">
        <f aca="false">IF(NOT(ISNUMBER($G154)),"",INDEX('Residual Config'!$B$19:$E$23,6-G154,M154))</f>
        <v>5</v>
      </c>
      <c r="Q154" s="29" t="n">
        <f aca="false">IF(NOT(ISNUMBER($G154)),"",MAX(1,F154*(1-O154)))</f>
        <v>3.5</v>
      </c>
      <c r="R154" s="31" t="n">
        <f aca="false">IF(NOT(ISNUMBER($G154)),"",MAX(MATCH(Q154,Config!$D$5:$D$9,1),G154-'Residual Config'!$C$6))</f>
        <v>4</v>
      </c>
      <c r="S154" s="34" t="n">
        <f aca="false">IF(NOT(ISNUMBER($G154)),"",IF('Residual Config'!$C$5="Numeric",R154,P154))</f>
        <v>5</v>
      </c>
      <c r="T154" s="7" t="str">
        <f aca="false">IF(G154="N/A","N/A",IF(S154="","No data",INDEX(Config!$B$5:$B$9,S154)))</f>
        <v>High</v>
      </c>
      <c r="U154" s="32" t="n">
        <v>0</v>
      </c>
      <c r="V154" s="8"/>
      <c r="W154" s="33"/>
      <c r="X154" s="34" t="n">
        <f aca="false">IF(S154="","",IF(AND(W154="Y",U154&lt;&gt;0),MAX(1,MIN(5,S154+MAX(-Config!$C$27,MIN(Config!$C$27,U154)))),S154))</f>
        <v>5</v>
      </c>
      <c r="Y154" s="35" t="str">
        <f aca="false">IF(G154="N/A","N/A",IF(X154="","No data",INDEX(Config!$B$5:$B$9,X154)))</f>
        <v>High</v>
      </c>
      <c r="Z154" s="7" t="str">
        <f aca="false">IF(U154=0,"None",IF(W154="Y","Applied","Pending HO approval"))</f>
        <v>None</v>
      </c>
      <c r="AA154" s="12" t="str">
        <f aca="false">INDEX('Risk Taxonomy'!$G$5:$G$24,MATCH(D154,'Risk Taxonomy'!$A$5:$A$24,0))</f>
        <v>Very low</v>
      </c>
      <c r="AB154" s="7" t="str">
        <f aca="false">INDEX('Risk Taxonomy'!$H$5:$H$24,MATCH(D154,'Risk Taxonomy'!$A$5:$A$24,0))</f>
        <v>Medium-Low</v>
      </c>
      <c r="AC154" s="35" t="str">
        <f aca="false">IF(NOT(ISNUMBER(X154)),"",IF(X154&lt;=MATCH(AB154,Config!$B$5:$B$9,0),"Within",IF(OR(X154-MATCH(AB154,Config!$B$5:$B$9,0)&gt;=2,AND('Residual Config'!$C$8="Y",ISNUMBER(SEARCH("Zero",AA154)))),"Red","Amber")))</f>
        <v>Red</v>
      </c>
      <c r="AD154" s="12" t="str">
        <f aca="false">IF(AC154="Red","Group CCO / CRO and Country CEO within 2 business days; action plan in 15 days; report to Board Risk &amp; Compliance Committee",IF(AC154="Amber","Country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55" customFormat="false" ht="15" hidden="false" customHeight="false" outlineLevel="0" collapsed="false">
      <c r="A155" s="26" t="str">
        <f aca="false">Entities!$A$12</f>
        <v>LB</v>
      </c>
      <c r="B155" s="12" t="str">
        <f aca="false">INDEX(Entities!$B$5:$B$34,MATCH(A155,Entities!$A$5:$A$34,0))</f>
        <v>Arab Bank – Lebanon</v>
      </c>
      <c r="C155" s="12" t="str">
        <f aca="false">INDEX(Entities!$D$5:$D$34,MATCH(A155,Entities!$A$5:$A$34,0))</f>
        <v>Levant</v>
      </c>
      <c r="D155" s="12" t="s">
        <v>293</v>
      </c>
      <c r="E155" s="12" t="str">
        <f aca="false">INDEX('Risk Taxonomy'!$B$5:$B$24,MATCH(D155,'Risk Taxonomy'!$A$5:$A$24,0))</f>
        <v>Shariah non-compliance</v>
      </c>
      <c r="F155" s="29" t="str">
        <f aca="false">IF(NOT(ISNUMBER(G155)),"",G155)</f>
        <v/>
      </c>
      <c r="G155" s="34" t="str">
        <f aca="false">IF(COUNTIFS('LxI Assessment'!$A$5:$A$394,A155,'LxI Assessment'!$D$5:$D$394,D155,'LxI Assessment'!$F$5:$F$394,"N/A")&gt;0,"N/A",IF(COUNTIFS('LxI Assessment'!$A$5:$A$394,A155,'LxI Assessment'!$D$5:$D$394,D155,'LxI Assessment'!$S$5:$S$394,"&gt;0")=0,"",SUMIFS('LxI Assessment'!$S$5:$S$394,'LxI Assessment'!$A$5:$A$394,A155,'LxI Assessment'!$D$5:$D$394,D155)))</f>
        <v>N/A</v>
      </c>
      <c r="H155" s="7" t="str">
        <f aca="false">IF(G155="N/A","N/A",IF(G155="","No data",INDEX(Config!$B$5:$B$9,G155)))</f>
        <v>N/A</v>
      </c>
      <c r="I155" s="31" t="str">
        <f aca="false">IF(NOT(ISNUMBER($G155)),"",SUMPRODUCT(('Control Mapping'!$C$5:$C$83=D155)*('Control Mapping'!$N$5:$N$83&gt;0)))</f>
        <v/>
      </c>
      <c r="J155" s="31" t="str">
        <f aca="false">IF(NOT(ISNUMBER($G155)),"",SUMPRODUCT(('Control Mapping'!$C$5:$C$83=D155)*('Control Mapping'!$F$5:$F$83="Y")*('Control Mapping'!$N$5:$N$83&gt;0)))</f>
        <v/>
      </c>
      <c r="K155" s="31" t="str">
        <f aca="false">IF(NOT(ISNUMBER($G155)),"",SUMPRODUCT(('Control Mapping'!$C$5:$C$83=D155)*('Control Mapping'!$F$5:$F$83="Y")*('Control Mapping'!$N$5:$N$83=4)))</f>
        <v/>
      </c>
      <c r="L155" s="29" t="str">
        <f aca="false">IF(NOT(ISNUMBER($G155)),"",IFERROR(SUMPRODUCT(('Control Mapping'!$C$5:$C$83=D155)*'Control Mapping'!$E$5:$E$83*'Control Mapping'!$N$5:$N$83)/SUMPRODUCT(('Control Mapping'!$C$5:$C$83=D155)*'Control Mapping'!$E$5:$E$83*('Control Mapping'!$N$5:$N$83&gt;0)),""))</f>
        <v/>
      </c>
      <c r="M155" s="34" t="str">
        <f aca="false">IF(NOT(ISNUMBER($G155)),"",IF(J155=0,4,MAX(MATCH(L155,'Residual Config'!$E$11:$E$14,1),IF(K155&gt;0,'Residual Config'!$C$7,1))))</f>
        <v/>
      </c>
      <c r="N155" s="7" t="str">
        <f aca="false">IF(NOT(ISNUMBER($G155)),"",IF(J155=0,"Ineffective (no key control)",INDEX('Residual Config'!$B$11:$B$14,M155)))</f>
        <v/>
      </c>
      <c r="O155" s="36" t="str">
        <f aca="false">IF(NOT(ISNUMBER($G155)),"",IF(J155=0,0,SUMPRODUCT(('Control Mapping'!$C$5:$C$83=D155)*'Control Mapping'!$E$5:$E$83*(('Control Mapping'!$N$5:$N$83=1)*'Residual Config'!$D$11+('Control Mapping'!$N$5:$N$83=2)*'Residual Config'!$D$12+('Control Mapping'!$N$5:$N$83=3)*'Residual Config'!$D$13+('Control Mapping'!$N$5:$N$83=4)*'Residual Config'!$D$14))/SUMPRODUCT(('Control Mapping'!$C$5:$C$83=D155)*'Control Mapping'!$E$5:$E$83*('Control Mapping'!$N$5:$N$83&gt;0))))</f>
        <v/>
      </c>
      <c r="P155" s="31" t="str">
        <f aca="false">IF(NOT(ISNUMBER($G155)),"",INDEX('Residual Config'!$B$19:$E$23,6-G155,M155))</f>
        <v/>
      </c>
      <c r="Q155" s="29" t="str">
        <f aca="false">IF(NOT(ISNUMBER($G155)),"",MAX(1,F155*(1-O155)))</f>
        <v/>
      </c>
      <c r="R155" s="31" t="str">
        <f aca="false">IF(NOT(ISNUMBER($G155)),"",MAX(MATCH(Q155,Config!$D$5:$D$9,1),G155-'Residual Config'!$C$6))</f>
        <v/>
      </c>
      <c r="S155" s="34" t="str">
        <f aca="false">IF(NOT(ISNUMBER($G155)),"",IF('Residual Config'!$C$5="Numeric",R155,P155))</f>
        <v/>
      </c>
      <c r="T155" s="7" t="str">
        <f aca="false">IF(G155="N/A","N/A",IF(S155="","No data",INDEX(Config!$B$5:$B$9,S155)))</f>
        <v>N/A</v>
      </c>
      <c r="U155" s="32" t="n">
        <v>0</v>
      </c>
      <c r="V155" s="8"/>
      <c r="W155" s="33"/>
      <c r="X155" s="34" t="str">
        <f aca="false">IF(S155="","",IF(AND(W155="Y",U155&lt;&gt;0),MAX(1,MIN(5,S155+MAX(-Config!$C$27,MIN(Config!$C$27,U155)))),S155))</f>
        <v/>
      </c>
      <c r="Y155" s="35" t="str">
        <f aca="false">IF(G155="N/A","N/A",IF(X155="","No data",INDEX(Config!$B$5:$B$9,X155)))</f>
        <v>N/A</v>
      </c>
      <c r="Z155" s="7" t="str">
        <f aca="false">IF(U155=0,"None",IF(W155="Y","Applied","Pending HO approval"))</f>
        <v>None</v>
      </c>
      <c r="AA155" s="12" t="str">
        <f aca="false">INDEX('Risk Taxonomy'!$G$5:$G$24,MATCH(D155,'Risk Taxonomy'!$A$5:$A$24,0))</f>
        <v>Very low</v>
      </c>
      <c r="AB155" s="7" t="str">
        <f aca="false">INDEX('Risk Taxonomy'!$H$5:$H$24,MATCH(D155,'Risk Taxonomy'!$A$5:$A$24,0))</f>
        <v>Medium-Low</v>
      </c>
      <c r="AC155" s="35" t="str">
        <f aca="false">IF(NOT(ISNUMBER(X155)),"",IF(X155&lt;=MATCH(AB155,Config!$B$5:$B$9,0),"Within",IF(OR(X155-MATCH(AB155,Config!$B$5:$B$9,0)&gt;=2,AND('Residual Config'!$C$8="Y",ISNUMBER(SEARCH("Zero",AA155)))),"Red","Amber")))</f>
        <v/>
      </c>
      <c r="AD155" s="12" t="str">
        <f aca="false">IF(AC155="Red","Group CCO / CRO and Country CEO within 2 business days; action plan in 15 days; report to Board Risk &amp; Compliance Committee",IF(AC155="Amber","Country CO, risk owner and HO Administrator within 5 business days; action plan in 30 days",""))</f>
        <v/>
      </c>
    </row>
    <row r="156" customFormat="false" ht="15" hidden="false" customHeight="false" outlineLevel="0" collapsed="false">
      <c r="A156" s="26" t="str">
        <f aca="false">Entities!$A$12</f>
        <v>LB</v>
      </c>
      <c r="B156" s="12" t="str">
        <f aca="false">INDEX(Entities!$B$5:$B$34,MATCH(A156,Entities!$A$5:$A$34,0))</f>
        <v>Arab Bank – Lebanon</v>
      </c>
      <c r="C156" s="12" t="str">
        <f aca="false">INDEX(Entities!$D$5:$D$34,MATCH(A156,Entities!$A$5:$A$34,0))</f>
        <v>Levant</v>
      </c>
      <c r="D156" s="12" t="s">
        <v>297</v>
      </c>
      <c r="E156" s="12" t="str">
        <f aca="false">INDEX('Risk Taxonomy'!$B$5:$B$24,MATCH(D156,'Risk Taxonomy'!$A$5:$A$24,0))</f>
        <v>Credit risk</v>
      </c>
      <c r="F156" s="29" t="n">
        <f aca="false">IF(NOT(ISNUMBER(G156)),"",G156)</f>
        <v>5</v>
      </c>
      <c r="G156" s="34" t="n">
        <f aca="false">IF(COUNTIFS('LxI Assessment'!$A$5:$A$394,A156,'LxI Assessment'!$D$5:$D$394,D156,'LxI Assessment'!$F$5:$F$394,"N/A")&gt;0,"N/A",IF(COUNTIFS('LxI Assessment'!$A$5:$A$394,A156,'LxI Assessment'!$D$5:$D$394,D156,'LxI Assessment'!$S$5:$S$394,"&gt;0")=0,"",SUMIFS('LxI Assessment'!$S$5:$S$394,'LxI Assessment'!$A$5:$A$394,A156,'LxI Assessment'!$D$5:$D$394,D156)))</f>
        <v>5</v>
      </c>
      <c r="H156" s="7" t="str">
        <f aca="false">IF(G156="N/A","N/A",IF(G156="","No data",INDEX(Config!$B$5:$B$9,G156)))</f>
        <v>High</v>
      </c>
      <c r="I156" s="31" t="n">
        <f aca="false">IF(NOT(ISNUMBER($G156)),"",SUMPRODUCT(('Control Mapping'!$C$5:$C$83=D156)*('Control Mapping'!$N$5:$N$83&gt;0)))</f>
        <v>2</v>
      </c>
      <c r="J156" s="31" t="n">
        <f aca="false">IF(NOT(ISNUMBER($G156)),"",SUMPRODUCT(('Control Mapping'!$C$5:$C$83=D156)*('Control Mapping'!$F$5:$F$83="Y")*('Control Mapping'!$N$5:$N$83&gt;0)))</f>
        <v>1</v>
      </c>
      <c r="K156" s="31" t="n">
        <f aca="false">IF(NOT(ISNUMBER($G156)),"",SUMPRODUCT(('Control Mapping'!$C$5:$C$83=D156)*('Control Mapping'!$F$5:$F$83="Y")*('Control Mapping'!$N$5:$N$83=4)))</f>
        <v>0</v>
      </c>
      <c r="L156" s="29" t="n">
        <f aca="false">IF(NOT(ISNUMBER($G156)),"",IFERROR(SUMPRODUCT(('Control Mapping'!$C$5:$C$83=D156)*'Control Mapping'!$E$5:$E$83*'Control Mapping'!$N$5:$N$83)/SUMPRODUCT(('Control Mapping'!$C$5:$C$83=D156)*'Control Mapping'!$E$5:$E$83*('Control Mapping'!$N$5:$N$83&gt;0)),""))</f>
        <v>2.4</v>
      </c>
      <c r="M156" s="34" t="n">
        <f aca="false">IF(NOT(ISNUMBER($G156)),"",IF(J156=0,4,MAX(MATCH(L156,'Residual Config'!$E$11:$E$14,1),IF(K156&gt;0,'Residual Config'!$C$7,1))))</f>
        <v>2</v>
      </c>
      <c r="N156" s="7" t="str">
        <f aca="false">IF(NOT(ISNUMBER($G156)),"",IF(J156=0,"Ineffective (no key control)",INDEX('Residual Config'!$B$11:$B$14,M156)))</f>
        <v>Largely effective</v>
      </c>
      <c r="O156" s="36" t="n">
        <f aca="false">IF(NOT(ISNUMBER($G156)),"",IF(J156=0,0,SUMPRODUCT(('Control Mapping'!$C$5:$C$83=D156)*'Control Mapping'!$E$5:$E$83*(('Control Mapping'!$N$5:$N$83=1)*'Residual Config'!$D$11+('Control Mapping'!$N$5:$N$83=2)*'Residual Config'!$D$12+('Control Mapping'!$N$5:$N$83=3)*'Residual Config'!$D$13+('Control Mapping'!$N$5:$N$83=4)*'Residual Config'!$D$14))/SUMPRODUCT(('Control Mapping'!$C$5:$C$83=D156)*'Control Mapping'!$E$5:$E$83*('Control Mapping'!$N$5:$N$83&gt;0))))</f>
        <v>0.32</v>
      </c>
      <c r="P156" s="31" t="n">
        <f aca="false">IF(NOT(ISNUMBER($G156)),"",INDEX('Residual Config'!$B$19:$E$23,6-G156,M156))</f>
        <v>4</v>
      </c>
      <c r="Q156" s="29" t="n">
        <f aca="false">IF(NOT(ISNUMBER($G156)),"",MAX(1,F156*(1-O156)))</f>
        <v>3.4</v>
      </c>
      <c r="R156" s="31" t="n">
        <f aca="false">IF(NOT(ISNUMBER($G156)),"",MAX(MATCH(Q156,Config!$D$5:$D$9,1),G156-'Residual Config'!$C$6))</f>
        <v>3</v>
      </c>
      <c r="S156" s="34" t="n">
        <f aca="false">IF(NOT(ISNUMBER($G156)),"",IF('Residual Config'!$C$5="Numeric",R156,P156))</f>
        <v>4</v>
      </c>
      <c r="T156" s="7" t="str">
        <f aca="false">IF(G156="N/A","N/A",IF(S156="","No data",INDEX(Config!$B$5:$B$9,S156)))</f>
        <v>Medium-High</v>
      </c>
      <c r="U156" s="32" t="n">
        <v>0</v>
      </c>
      <c r="V156" s="8"/>
      <c r="W156" s="33"/>
      <c r="X156" s="34" t="n">
        <f aca="false">IF(S156="","",IF(AND(W156="Y",U156&lt;&gt;0),MAX(1,MIN(5,S156+MAX(-Config!$C$27,MIN(Config!$C$27,U156)))),S156))</f>
        <v>4</v>
      </c>
      <c r="Y156" s="35" t="str">
        <f aca="false">IF(G156="N/A","N/A",IF(X156="","No data",INDEX(Config!$B$5:$B$9,X156)))</f>
        <v>Medium-High</v>
      </c>
      <c r="Z156" s="7" t="str">
        <f aca="false">IF(U156=0,"None",IF(W156="Y","Applied","Pending HO approval"))</f>
        <v>None</v>
      </c>
      <c r="AA156" s="12" t="str">
        <f aca="false">INDEX('Risk Taxonomy'!$G$5:$G$24,MATCH(D156,'Risk Taxonomy'!$A$5:$A$24,0))</f>
        <v>Moderate</v>
      </c>
      <c r="AB156" s="7" t="str">
        <f aca="false">INDEX('Risk Taxonomy'!$H$5:$H$24,MATCH(D156,'Risk Taxonomy'!$A$5:$A$24,0))</f>
        <v>Medium-High</v>
      </c>
      <c r="AC156" s="35" t="str">
        <f aca="false">IF(NOT(ISNUMBER(X156)),"",IF(X156&lt;=MATCH(AB156,Config!$B$5:$B$9,0),"Within",IF(OR(X156-MATCH(AB156,Config!$B$5:$B$9,0)&gt;=2,AND('Residual Config'!$C$8="Y",ISNUMBER(SEARCH("Zero",AA156)))),"Red","Amber")))</f>
        <v>Within</v>
      </c>
      <c r="AD156" s="12" t="str">
        <f aca="false">IF(AC156="Red","Group CCO / CRO and Country CEO within 2 business days; action plan in 15 days; report to Board Risk &amp; Compliance Committee",IF(AC156="Amber","Country CO, risk owner and HO Administrator within 5 business days; action plan in 30 days",""))</f>
        <v/>
      </c>
    </row>
    <row r="157" customFormat="false" ht="15" hidden="false" customHeight="false" outlineLevel="0" collapsed="false">
      <c r="A157" s="26" t="str">
        <f aca="false">Entities!$A$12</f>
        <v>LB</v>
      </c>
      <c r="B157" s="12" t="str">
        <f aca="false">INDEX(Entities!$B$5:$B$34,MATCH(A157,Entities!$A$5:$A$34,0))</f>
        <v>Arab Bank – Lebanon</v>
      </c>
      <c r="C157" s="12" t="str">
        <f aca="false">INDEX(Entities!$D$5:$D$34,MATCH(A157,Entities!$A$5:$A$34,0))</f>
        <v>Levant</v>
      </c>
      <c r="D157" s="12" t="s">
        <v>302</v>
      </c>
      <c r="E157" s="12" t="str">
        <f aca="false">INDEX('Risk Taxonomy'!$B$5:$B$24,MATCH(D157,'Risk Taxonomy'!$A$5:$A$24,0))</f>
        <v>Market risk</v>
      </c>
      <c r="F157" s="29" t="n">
        <f aca="false">IF(NOT(ISNUMBER(G157)),"",G157)</f>
        <v>5</v>
      </c>
      <c r="G157" s="34" t="n">
        <f aca="false">IF(COUNTIFS('LxI Assessment'!$A$5:$A$394,A157,'LxI Assessment'!$D$5:$D$394,D157,'LxI Assessment'!$F$5:$F$394,"N/A")&gt;0,"N/A",IF(COUNTIFS('LxI Assessment'!$A$5:$A$394,A157,'LxI Assessment'!$D$5:$D$394,D157,'LxI Assessment'!$S$5:$S$394,"&gt;0")=0,"",SUMIFS('LxI Assessment'!$S$5:$S$394,'LxI Assessment'!$A$5:$A$394,A157,'LxI Assessment'!$D$5:$D$394,D157)))</f>
        <v>5</v>
      </c>
      <c r="H157" s="7" t="str">
        <f aca="false">IF(G157="N/A","N/A",IF(G157="","No data",INDEX(Config!$B$5:$B$9,G157)))</f>
        <v>High</v>
      </c>
      <c r="I157" s="31" t="n">
        <f aca="false">IF(NOT(ISNUMBER($G157)),"",SUMPRODUCT(('Control Mapping'!$C$5:$C$83=D157)*('Control Mapping'!$N$5:$N$83&gt;0)))</f>
        <v>1</v>
      </c>
      <c r="J157" s="31" t="n">
        <f aca="false">IF(NOT(ISNUMBER($G157)),"",SUMPRODUCT(('Control Mapping'!$C$5:$C$83=D157)*('Control Mapping'!$F$5:$F$83="Y")*('Control Mapping'!$N$5:$N$83&gt;0)))</f>
        <v>1</v>
      </c>
      <c r="K157" s="31" t="n">
        <f aca="false">IF(NOT(ISNUMBER($G157)),"",SUMPRODUCT(('Control Mapping'!$C$5:$C$83=D157)*('Control Mapping'!$F$5:$F$83="Y")*('Control Mapping'!$N$5:$N$83=4)))</f>
        <v>0</v>
      </c>
      <c r="L157" s="29" t="n">
        <f aca="false">IF(NOT(ISNUMBER($G157)),"",IFERROR(SUMPRODUCT(('Control Mapping'!$C$5:$C$83=D157)*'Control Mapping'!$E$5:$E$83*'Control Mapping'!$N$5:$N$83)/SUMPRODUCT(('Control Mapping'!$C$5:$C$83=D157)*'Control Mapping'!$E$5:$E$83*('Control Mapping'!$N$5:$N$83&gt;0)),""))</f>
        <v>2</v>
      </c>
      <c r="M157" s="34" t="n">
        <f aca="false">IF(NOT(ISNUMBER($G157)),"",IF(J157=0,4,MAX(MATCH(L157,'Residual Config'!$E$11:$E$14,1),IF(K157&gt;0,'Residual Config'!$C$7,1))))</f>
        <v>2</v>
      </c>
      <c r="N157" s="7" t="str">
        <f aca="false">IF(NOT(ISNUMBER($G157)),"",IF(J157=0,"Ineffective (no key control)",INDEX('Residual Config'!$B$11:$B$14,M157)))</f>
        <v>Largely effective</v>
      </c>
      <c r="O157" s="36" t="n">
        <f aca="false">IF(NOT(ISNUMBER($G157)),"",IF(J157=0,0,SUMPRODUCT(('Control Mapping'!$C$5:$C$83=D157)*'Control Mapping'!$E$5:$E$83*(('Control Mapping'!$N$5:$N$83=1)*'Residual Config'!$D$11+('Control Mapping'!$N$5:$N$83=2)*'Residual Config'!$D$12+('Control Mapping'!$N$5:$N$83=3)*'Residual Config'!$D$13+('Control Mapping'!$N$5:$N$83=4)*'Residual Config'!$D$14))/SUMPRODUCT(('Control Mapping'!$C$5:$C$83=D157)*'Control Mapping'!$E$5:$E$83*('Control Mapping'!$N$5:$N$83&gt;0))))</f>
        <v>0.4</v>
      </c>
      <c r="P157" s="31" t="n">
        <f aca="false">IF(NOT(ISNUMBER($G157)),"",INDEX('Residual Config'!$B$19:$E$23,6-G157,M157))</f>
        <v>4</v>
      </c>
      <c r="Q157" s="29" t="n">
        <f aca="false">IF(NOT(ISNUMBER($G157)),"",MAX(1,F157*(1-O157)))</f>
        <v>3</v>
      </c>
      <c r="R157" s="31" t="n">
        <f aca="false">IF(NOT(ISNUMBER($G157)),"",MAX(MATCH(Q157,Config!$D$5:$D$9,1),G157-'Residual Config'!$C$6))</f>
        <v>3</v>
      </c>
      <c r="S157" s="34" t="n">
        <f aca="false">IF(NOT(ISNUMBER($G157)),"",IF('Residual Config'!$C$5="Numeric",R157,P157))</f>
        <v>4</v>
      </c>
      <c r="T157" s="7" t="str">
        <f aca="false">IF(G157="N/A","N/A",IF(S157="","No data",INDEX(Config!$B$5:$B$9,S157)))</f>
        <v>Medium-High</v>
      </c>
      <c r="U157" s="32" t="n">
        <v>0</v>
      </c>
      <c r="V157" s="8"/>
      <c r="W157" s="33"/>
      <c r="X157" s="34" t="n">
        <f aca="false">IF(S157="","",IF(AND(W157="Y",U157&lt;&gt;0),MAX(1,MIN(5,S157+MAX(-Config!$C$27,MIN(Config!$C$27,U157)))),S157))</f>
        <v>4</v>
      </c>
      <c r="Y157" s="35" t="str">
        <f aca="false">IF(G157="N/A","N/A",IF(X157="","No data",INDEX(Config!$B$5:$B$9,X157)))</f>
        <v>Medium-High</v>
      </c>
      <c r="Z157" s="7" t="str">
        <f aca="false">IF(U157=0,"None",IF(W157="Y","Applied","Pending HO approval"))</f>
        <v>None</v>
      </c>
      <c r="AA157" s="12" t="str">
        <f aca="false">INDEX('Risk Taxonomy'!$G$5:$G$24,MATCH(D157,'Risk Taxonomy'!$A$5:$A$24,0))</f>
        <v>Moderate</v>
      </c>
      <c r="AB157" s="7" t="str">
        <f aca="false">INDEX('Risk Taxonomy'!$H$5:$H$24,MATCH(D157,'Risk Taxonomy'!$A$5:$A$24,0))</f>
        <v>Medium-High</v>
      </c>
      <c r="AC157" s="35" t="str">
        <f aca="false">IF(NOT(ISNUMBER(X157)),"",IF(X157&lt;=MATCH(AB157,Config!$B$5:$B$9,0),"Within",IF(OR(X157-MATCH(AB157,Config!$B$5:$B$9,0)&gt;=2,AND('Residual Config'!$C$8="Y",ISNUMBER(SEARCH("Zero",AA157)))),"Red","Amber")))</f>
        <v>Within</v>
      </c>
      <c r="AD157" s="12" t="str">
        <f aca="false">IF(AC157="Red","Group CCO / CRO and Country CEO within 2 business days; action plan in 15 days; report to Board Risk &amp; Compliance Committee",IF(AC157="Amber","Country CO, risk owner and HO Administrator within 5 business days; action plan in 30 days",""))</f>
        <v/>
      </c>
    </row>
    <row r="158" customFormat="false" ht="15" hidden="false" customHeight="false" outlineLevel="0" collapsed="false">
      <c r="A158" s="26" t="str">
        <f aca="false">Entities!$A$12</f>
        <v>LB</v>
      </c>
      <c r="B158" s="12" t="str">
        <f aca="false">INDEX(Entities!$B$5:$B$34,MATCH(A158,Entities!$A$5:$A$34,0))</f>
        <v>Arab Bank – Lebanon</v>
      </c>
      <c r="C158" s="12" t="str">
        <f aca="false">INDEX(Entities!$D$5:$D$34,MATCH(A158,Entities!$A$5:$A$34,0))</f>
        <v>Levant</v>
      </c>
      <c r="D158" s="12" t="s">
        <v>304</v>
      </c>
      <c r="E158" s="12" t="str">
        <f aca="false">INDEX('Risk Taxonomy'!$B$5:$B$24,MATCH(D158,'Risk Taxonomy'!$A$5:$A$24,0))</f>
        <v>Liquidity and funding risk</v>
      </c>
      <c r="F158" s="29" t="n">
        <f aca="false">IF(NOT(ISNUMBER(G158)),"",G158)</f>
        <v>5</v>
      </c>
      <c r="G158" s="34" t="n">
        <f aca="false">IF(COUNTIFS('LxI Assessment'!$A$5:$A$394,A158,'LxI Assessment'!$D$5:$D$394,D158,'LxI Assessment'!$F$5:$F$394,"N/A")&gt;0,"N/A",IF(COUNTIFS('LxI Assessment'!$A$5:$A$394,A158,'LxI Assessment'!$D$5:$D$394,D158,'LxI Assessment'!$S$5:$S$394,"&gt;0")=0,"",SUMIFS('LxI Assessment'!$S$5:$S$394,'LxI Assessment'!$A$5:$A$394,A158,'LxI Assessment'!$D$5:$D$394,D158)))</f>
        <v>5</v>
      </c>
      <c r="H158" s="7" t="str">
        <f aca="false">IF(G158="N/A","N/A",IF(G158="","No data",INDEX(Config!$B$5:$B$9,G158)))</f>
        <v>High</v>
      </c>
      <c r="I158" s="31" t="n">
        <f aca="false">IF(NOT(ISNUMBER($G158)),"",SUMPRODUCT(('Control Mapping'!$C$5:$C$83=D158)*('Control Mapping'!$N$5:$N$83&gt;0)))</f>
        <v>1</v>
      </c>
      <c r="J158" s="31" t="n">
        <f aca="false">IF(NOT(ISNUMBER($G158)),"",SUMPRODUCT(('Control Mapping'!$C$5:$C$83=D158)*('Control Mapping'!$F$5:$F$83="Y")*('Control Mapping'!$N$5:$N$83&gt;0)))</f>
        <v>1</v>
      </c>
      <c r="K158" s="31" t="n">
        <f aca="false">IF(NOT(ISNUMBER($G158)),"",SUMPRODUCT(('Control Mapping'!$C$5:$C$83=D158)*('Control Mapping'!$F$5:$F$83="Y")*('Control Mapping'!$N$5:$N$83=4)))</f>
        <v>1</v>
      </c>
      <c r="L158" s="29" t="n">
        <f aca="false">IF(NOT(ISNUMBER($G158)),"",IFERROR(SUMPRODUCT(('Control Mapping'!$C$5:$C$83=D158)*'Control Mapping'!$E$5:$E$83*'Control Mapping'!$N$5:$N$83)/SUMPRODUCT(('Control Mapping'!$C$5:$C$83=D158)*'Control Mapping'!$E$5:$E$83*('Control Mapping'!$N$5:$N$83&gt;0)),""))</f>
        <v>4</v>
      </c>
      <c r="M158" s="34" t="n">
        <f aca="false">IF(NOT(ISNUMBER($G158)),"",IF(J158=0,4,MAX(MATCH(L158,'Residual Config'!$E$11:$E$14,1),IF(K158&gt;0,'Residual Config'!$C$7,1))))</f>
        <v>4</v>
      </c>
      <c r="N158" s="7" t="str">
        <f aca="false">IF(NOT(ISNUMBER($G158)),"",IF(J158=0,"Ineffective (no key control)",INDEX('Residual Config'!$B$11:$B$14,M158)))</f>
        <v>Ineffective</v>
      </c>
      <c r="O158" s="36" t="n">
        <f aca="false">IF(NOT(ISNUMBER($G158)),"",IF(J158=0,0,SUMPRODUCT(('Control Mapping'!$C$5:$C$83=D158)*'Control Mapping'!$E$5:$E$83*(('Control Mapping'!$N$5:$N$83=1)*'Residual Config'!$D$11+('Control Mapping'!$N$5:$N$83=2)*'Residual Config'!$D$12+('Control Mapping'!$N$5:$N$83=3)*'Residual Config'!$D$13+('Control Mapping'!$N$5:$N$83=4)*'Residual Config'!$D$14))/SUMPRODUCT(('Control Mapping'!$C$5:$C$83=D158)*'Control Mapping'!$E$5:$E$83*('Control Mapping'!$N$5:$N$83&gt;0))))</f>
        <v>0</v>
      </c>
      <c r="P158" s="31" t="n">
        <f aca="false">IF(NOT(ISNUMBER($G158)),"",INDEX('Residual Config'!$B$19:$E$23,6-G158,M158))</f>
        <v>5</v>
      </c>
      <c r="Q158" s="29" t="n">
        <f aca="false">IF(NOT(ISNUMBER($G158)),"",MAX(1,F158*(1-O158)))</f>
        <v>5</v>
      </c>
      <c r="R158" s="31" t="n">
        <f aca="false">IF(NOT(ISNUMBER($G158)),"",MAX(MATCH(Q158,Config!$D$5:$D$9,1),G158-'Residual Config'!$C$6))</f>
        <v>5</v>
      </c>
      <c r="S158" s="34" t="n">
        <f aca="false">IF(NOT(ISNUMBER($G158)),"",IF('Residual Config'!$C$5="Numeric",R158,P158))</f>
        <v>5</v>
      </c>
      <c r="T158" s="7" t="str">
        <f aca="false">IF(G158="N/A","N/A",IF(S158="","No data",INDEX(Config!$B$5:$B$9,S158)))</f>
        <v>High</v>
      </c>
      <c r="U158" s="32" t="n">
        <v>0</v>
      </c>
      <c r="V158" s="8"/>
      <c r="W158" s="33"/>
      <c r="X158" s="34" t="n">
        <f aca="false">IF(S158="","",IF(AND(W158="Y",U158&lt;&gt;0),MAX(1,MIN(5,S158+MAX(-Config!$C$27,MIN(Config!$C$27,U158)))),S158))</f>
        <v>5</v>
      </c>
      <c r="Y158" s="35" t="str">
        <f aca="false">IF(G158="N/A","N/A",IF(X158="","No data",INDEX(Config!$B$5:$B$9,X158)))</f>
        <v>High</v>
      </c>
      <c r="Z158" s="7" t="str">
        <f aca="false">IF(U158=0,"None",IF(W158="Y","Applied","Pending HO approval"))</f>
        <v>None</v>
      </c>
      <c r="AA158" s="12" t="str">
        <f aca="false">INDEX('Risk Taxonomy'!$G$5:$G$24,MATCH(D158,'Risk Taxonomy'!$A$5:$A$24,0))</f>
        <v>Low</v>
      </c>
      <c r="AB158" s="7" t="str">
        <f aca="false">INDEX('Risk Taxonomy'!$H$5:$H$24,MATCH(D158,'Risk Taxonomy'!$A$5:$A$24,0))</f>
        <v>Medium</v>
      </c>
      <c r="AC158" s="35" t="str">
        <f aca="false">IF(NOT(ISNUMBER(X158)),"",IF(X158&lt;=MATCH(AB158,Config!$B$5:$B$9,0),"Within",IF(OR(X158-MATCH(AB158,Config!$B$5:$B$9,0)&gt;=2,AND('Residual Config'!$C$8="Y",ISNUMBER(SEARCH("Zero",AA158)))),"Red","Amber")))</f>
        <v>Red</v>
      </c>
      <c r="AD158" s="12" t="str">
        <f aca="false">IF(AC158="Red","Group CCO / CRO and Country CEO within 2 business days; action plan in 15 days; report to Board Risk &amp; Compliance Committee",IF(AC158="Amber","Country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59" customFormat="false" ht="15" hidden="false" customHeight="false" outlineLevel="0" collapsed="false">
      <c r="A159" s="26" t="str">
        <f aca="false">Entities!$A$12</f>
        <v>LB</v>
      </c>
      <c r="B159" s="12" t="str">
        <f aca="false">INDEX(Entities!$B$5:$B$34,MATCH(A159,Entities!$A$5:$A$34,0))</f>
        <v>Arab Bank – Lebanon</v>
      </c>
      <c r="C159" s="12" t="str">
        <f aca="false">INDEX(Entities!$D$5:$D$34,MATCH(A159,Entities!$A$5:$A$34,0))</f>
        <v>Levant</v>
      </c>
      <c r="D159" s="12" t="s">
        <v>307</v>
      </c>
      <c r="E159" s="12" t="str">
        <f aca="false">INDEX('Risk Taxonomy'!$B$5:$B$24,MATCH(D159,'Risk Taxonomy'!$A$5:$A$24,0))</f>
        <v>Operational risk</v>
      </c>
      <c r="F159" s="29" t="n">
        <f aca="false">IF(NOT(ISNUMBER(G159)),"",G159)</f>
        <v>4</v>
      </c>
      <c r="G159" s="34" t="n">
        <f aca="false">IF(COUNTIFS('LxI Assessment'!$A$5:$A$394,A159,'LxI Assessment'!$D$5:$D$394,D159,'LxI Assessment'!$F$5:$F$394,"N/A")&gt;0,"N/A",IF(COUNTIFS('LxI Assessment'!$A$5:$A$394,A159,'LxI Assessment'!$D$5:$D$394,D159,'LxI Assessment'!$S$5:$S$394,"&gt;0")=0,"",SUMIFS('LxI Assessment'!$S$5:$S$394,'LxI Assessment'!$A$5:$A$394,A159,'LxI Assessment'!$D$5:$D$394,D159)))</f>
        <v>4</v>
      </c>
      <c r="H159" s="7" t="str">
        <f aca="false">IF(G159="N/A","N/A",IF(G159="","No data",INDEX(Config!$B$5:$B$9,G159)))</f>
        <v>Medium-High</v>
      </c>
      <c r="I159" s="31" t="n">
        <f aca="false">IF(NOT(ISNUMBER($G159)),"",SUMPRODUCT(('Control Mapping'!$C$5:$C$83=D159)*('Control Mapping'!$N$5:$N$83&gt;0)))</f>
        <v>3</v>
      </c>
      <c r="J159" s="31" t="n">
        <f aca="false">IF(NOT(ISNUMBER($G159)),"",SUMPRODUCT(('Control Mapping'!$C$5:$C$83=D159)*('Control Mapping'!$F$5:$F$83="Y")*('Control Mapping'!$N$5:$N$83&gt;0)))</f>
        <v>2</v>
      </c>
      <c r="K159" s="31" t="n">
        <f aca="false">IF(NOT(ISNUMBER($G159)),"",SUMPRODUCT(('Control Mapping'!$C$5:$C$83=D159)*('Control Mapping'!$F$5:$F$83="Y")*('Control Mapping'!$N$5:$N$83=4)))</f>
        <v>0</v>
      </c>
      <c r="L159" s="29" t="n">
        <f aca="false">IF(NOT(ISNUMBER($G159)),"",IFERROR(SUMPRODUCT(('Control Mapping'!$C$5:$C$83=D159)*'Control Mapping'!$E$5:$E$83*'Control Mapping'!$N$5:$N$83)/SUMPRODUCT(('Control Mapping'!$C$5:$C$83=D159)*'Control Mapping'!$E$5:$E$83*('Control Mapping'!$N$5:$N$83&gt;0)),""))</f>
        <v>2.66666666666667</v>
      </c>
      <c r="M159" s="34" t="n">
        <f aca="false">IF(NOT(ISNUMBER($G159)),"",IF(J159=0,4,MAX(MATCH(L159,'Residual Config'!$E$11:$E$14,1),IF(K159&gt;0,'Residual Config'!$C$7,1))))</f>
        <v>3</v>
      </c>
      <c r="N159" s="7" t="str">
        <f aca="false">IF(NOT(ISNUMBER($G159)),"",IF(J159=0,"Ineffective (no key control)",INDEX('Residual Config'!$B$11:$B$14,M159)))</f>
        <v>Partially effective</v>
      </c>
      <c r="O159" s="36" t="n">
        <f aca="false">IF(NOT(ISNUMBER($G159)),"",IF(J159=0,0,SUMPRODUCT(('Control Mapping'!$C$5:$C$83=D159)*'Control Mapping'!$E$5:$E$83*(('Control Mapping'!$N$5:$N$83=1)*'Residual Config'!$D$11+('Control Mapping'!$N$5:$N$83=2)*'Residual Config'!$D$12+('Control Mapping'!$N$5:$N$83=3)*'Residual Config'!$D$13+('Control Mapping'!$N$5:$N$83=4)*'Residual Config'!$D$14))/SUMPRODUCT(('Control Mapping'!$C$5:$C$83=D159)*'Control Mapping'!$E$5:$E$83*('Control Mapping'!$N$5:$N$83&gt;0))))</f>
        <v>0.266666666666667</v>
      </c>
      <c r="P159" s="31" t="n">
        <f aca="false">IF(NOT(ISNUMBER($G159)),"",INDEX('Residual Config'!$B$19:$E$23,6-G159,M159))</f>
        <v>4</v>
      </c>
      <c r="Q159" s="29" t="n">
        <f aca="false">IF(NOT(ISNUMBER($G159)),"",MAX(1,F159*(1-O159)))</f>
        <v>2.93333333333333</v>
      </c>
      <c r="R159" s="31" t="n">
        <f aca="false">IF(NOT(ISNUMBER($G159)),"",MAX(MATCH(Q159,Config!$D$5:$D$9,1),G159-'Residual Config'!$C$6))</f>
        <v>3</v>
      </c>
      <c r="S159" s="34" t="n">
        <f aca="false">IF(NOT(ISNUMBER($G159)),"",IF('Residual Config'!$C$5="Numeric",R159,P159))</f>
        <v>4</v>
      </c>
      <c r="T159" s="7" t="str">
        <f aca="false">IF(G159="N/A","N/A",IF(S159="","No data",INDEX(Config!$B$5:$B$9,S159)))</f>
        <v>Medium-High</v>
      </c>
      <c r="U159" s="32" t="n">
        <v>0</v>
      </c>
      <c r="V159" s="8"/>
      <c r="W159" s="33"/>
      <c r="X159" s="34" t="n">
        <f aca="false">IF(S159="","",IF(AND(W159="Y",U159&lt;&gt;0),MAX(1,MIN(5,S159+MAX(-Config!$C$27,MIN(Config!$C$27,U159)))),S159))</f>
        <v>4</v>
      </c>
      <c r="Y159" s="35" t="str">
        <f aca="false">IF(G159="N/A","N/A",IF(X159="","No data",INDEX(Config!$B$5:$B$9,X159)))</f>
        <v>Medium-High</v>
      </c>
      <c r="Z159" s="7" t="str">
        <f aca="false">IF(U159=0,"None",IF(W159="Y","Applied","Pending HO approval"))</f>
        <v>None</v>
      </c>
      <c r="AA159" s="12" t="str">
        <f aca="false">INDEX('Risk Taxonomy'!$G$5:$G$24,MATCH(D159,'Risk Taxonomy'!$A$5:$A$24,0))</f>
        <v>Low</v>
      </c>
      <c r="AB159" s="7" t="str">
        <f aca="false">INDEX('Risk Taxonomy'!$H$5:$H$24,MATCH(D159,'Risk Taxonomy'!$A$5:$A$24,0))</f>
        <v>Medium</v>
      </c>
      <c r="AC159" s="35" t="str">
        <f aca="false">IF(NOT(ISNUMBER(X159)),"",IF(X159&lt;=MATCH(AB159,Config!$B$5:$B$9,0),"Within",IF(OR(X159-MATCH(AB159,Config!$B$5:$B$9,0)&gt;=2,AND('Residual Config'!$C$8="Y",ISNUMBER(SEARCH("Zero",AA159)))),"Red","Amber")))</f>
        <v>Amber</v>
      </c>
      <c r="AD159" s="12" t="str">
        <f aca="false">IF(AC159="Red","Group CCO / CRO and Country CEO within 2 business days; action plan in 15 days; report to Board Risk &amp; Compliance Committee",IF(AC159="Amber","Country CO, risk owner and HO Administrator within 5 business days; action plan in 30 days",""))</f>
        <v>Country CO, risk owner and HO Administrator within 5 business days; action plan in 30 days</v>
      </c>
    </row>
    <row r="160" customFormat="false" ht="15" hidden="false" customHeight="false" outlineLevel="0" collapsed="false">
      <c r="A160" s="26" t="str">
        <f aca="false">Entities!$A$12</f>
        <v>LB</v>
      </c>
      <c r="B160" s="12" t="str">
        <f aca="false">INDEX(Entities!$B$5:$B$34,MATCH(A160,Entities!$A$5:$A$34,0))</f>
        <v>Arab Bank – Lebanon</v>
      </c>
      <c r="C160" s="12" t="str">
        <f aca="false">INDEX(Entities!$D$5:$D$34,MATCH(A160,Entities!$A$5:$A$34,0))</f>
        <v>Levant</v>
      </c>
      <c r="D160" s="12" t="s">
        <v>310</v>
      </c>
      <c r="E160" s="12" t="str">
        <f aca="false">INDEX('Risk Taxonomy'!$B$5:$B$24,MATCH(D160,'Risk Taxonomy'!$A$5:$A$24,0))</f>
        <v>Cyber, information security and technology</v>
      </c>
      <c r="F160" s="29" t="n">
        <f aca="false">IF(NOT(ISNUMBER(G160)),"",G160)</f>
        <v>4</v>
      </c>
      <c r="G160" s="34" t="n">
        <f aca="false">IF(COUNTIFS('LxI Assessment'!$A$5:$A$394,A160,'LxI Assessment'!$D$5:$D$394,D160,'LxI Assessment'!$F$5:$F$394,"N/A")&gt;0,"N/A",IF(COUNTIFS('LxI Assessment'!$A$5:$A$394,A160,'LxI Assessment'!$D$5:$D$394,D160,'LxI Assessment'!$S$5:$S$394,"&gt;0")=0,"",SUMIFS('LxI Assessment'!$S$5:$S$394,'LxI Assessment'!$A$5:$A$394,A160,'LxI Assessment'!$D$5:$D$394,D160)))</f>
        <v>4</v>
      </c>
      <c r="H160" s="7" t="str">
        <f aca="false">IF(G160="N/A","N/A",IF(G160="","No data",INDEX(Config!$B$5:$B$9,G160)))</f>
        <v>Medium-High</v>
      </c>
      <c r="I160" s="31" t="n">
        <f aca="false">IF(NOT(ISNUMBER($G160)),"",SUMPRODUCT(('Control Mapping'!$C$5:$C$83=D160)*('Control Mapping'!$N$5:$N$83&gt;0)))</f>
        <v>4</v>
      </c>
      <c r="J160" s="31" t="n">
        <f aca="false">IF(NOT(ISNUMBER($G160)),"",SUMPRODUCT(('Control Mapping'!$C$5:$C$83=D160)*('Control Mapping'!$F$5:$F$83="Y")*('Control Mapping'!$N$5:$N$83&gt;0)))</f>
        <v>4</v>
      </c>
      <c r="K160" s="31" t="n">
        <f aca="false">IF(NOT(ISNUMBER($G160)),"",SUMPRODUCT(('Control Mapping'!$C$5:$C$83=D160)*('Control Mapping'!$F$5:$F$83="Y")*('Control Mapping'!$N$5:$N$83=4)))</f>
        <v>0</v>
      </c>
      <c r="L160" s="29" t="n">
        <f aca="false">IF(NOT(ISNUMBER($G160)),"",IFERROR(SUMPRODUCT(('Control Mapping'!$C$5:$C$83=D160)*'Control Mapping'!$E$5:$E$83*'Control Mapping'!$N$5:$N$83)/SUMPRODUCT(('Control Mapping'!$C$5:$C$83=D160)*'Control Mapping'!$E$5:$E$83*('Control Mapping'!$N$5:$N$83&gt;0)),""))</f>
        <v>2.42857142857143</v>
      </c>
      <c r="M160" s="34" t="n">
        <f aca="false">IF(NOT(ISNUMBER($G160)),"",IF(J160=0,4,MAX(MATCH(L160,'Residual Config'!$E$11:$E$14,1),IF(K160&gt;0,'Residual Config'!$C$7,1))))</f>
        <v>2</v>
      </c>
      <c r="N160" s="7" t="str">
        <f aca="false">IF(NOT(ISNUMBER($G160)),"",IF(J160=0,"Ineffective (no key control)",INDEX('Residual Config'!$B$11:$B$14,M160)))</f>
        <v>Largely effective</v>
      </c>
      <c r="O160" s="36" t="n">
        <f aca="false">IF(NOT(ISNUMBER($G160)),"",IF(J160=0,0,SUMPRODUCT(('Control Mapping'!$C$5:$C$83=D160)*'Control Mapping'!$E$5:$E$83*(('Control Mapping'!$N$5:$N$83=1)*'Residual Config'!$D$11+('Control Mapping'!$N$5:$N$83=2)*'Residual Config'!$D$12+('Control Mapping'!$N$5:$N$83=3)*'Residual Config'!$D$13+('Control Mapping'!$N$5:$N$83=4)*'Residual Config'!$D$14))/SUMPRODUCT(('Control Mapping'!$C$5:$C$83=D160)*'Control Mapping'!$E$5:$E$83*('Control Mapping'!$N$5:$N$83&gt;0))))</f>
        <v>0.314285714285714</v>
      </c>
      <c r="P160" s="31" t="n">
        <f aca="false">IF(NOT(ISNUMBER($G160)),"",INDEX('Residual Config'!$B$19:$E$23,6-G160,M160))</f>
        <v>3</v>
      </c>
      <c r="Q160" s="29" t="n">
        <f aca="false">IF(NOT(ISNUMBER($G160)),"",MAX(1,F160*(1-O160)))</f>
        <v>2.74285714285714</v>
      </c>
      <c r="R160" s="31" t="n">
        <f aca="false">IF(NOT(ISNUMBER($G160)),"",MAX(MATCH(Q160,Config!$D$5:$D$9,1),G160-'Residual Config'!$C$6))</f>
        <v>3</v>
      </c>
      <c r="S160" s="34" t="n">
        <f aca="false">IF(NOT(ISNUMBER($G160)),"",IF('Residual Config'!$C$5="Numeric",R160,P160))</f>
        <v>3</v>
      </c>
      <c r="T160" s="7" t="str">
        <f aca="false">IF(G160="N/A","N/A",IF(S160="","No data",INDEX(Config!$B$5:$B$9,S160)))</f>
        <v>Medium</v>
      </c>
      <c r="U160" s="32" t="n">
        <v>0</v>
      </c>
      <c r="V160" s="8"/>
      <c r="W160" s="33"/>
      <c r="X160" s="34" t="n">
        <f aca="false">IF(S160="","",IF(AND(W160="Y",U160&lt;&gt;0),MAX(1,MIN(5,S160+MAX(-Config!$C$27,MIN(Config!$C$27,U160)))),S160))</f>
        <v>3</v>
      </c>
      <c r="Y160" s="35" t="str">
        <f aca="false">IF(G160="N/A","N/A",IF(X160="","No data",INDEX(Config!$B$5:$B$9,X160)))</f>
        <v>Medium</v>
      </c>
      <c r="Z160" s="7" t="str">
        <f aca="false">IF(U160=0,"None",IF(W160="Y","Applied","Pending HO approval"))</f>
        <v>None</v>
      </c>
      <c r="AA160" s="12" t="str">
        <f aca="false">INDEX('Risk Taxonomy'!$G$5:$G$24,MATCH(D160,'Risk Taxonomy'!$A$5:$A$24,0))</f>
        <v>Very low</v>
      </c>
      <c r="AB160" s="7" t="str">
        <f aca="false">INDEX('Risk Taxonomy'!$H$5:$H$24,MATCH(D160,'Risk Taxonomy'!$A$5:$A$24,0))</f>
        <v>Medium-Low</v>
      </c>
      <c r="AC160" s="35" t="str">
        <f aca="false">IF(NOT(ISNUMBER(X160)),"",IF(X160&lt;=MATCH(AB160,Config!$B$5:$B$9,0),"Within",IF(OR(X160-MATCH(AB160,Config!$B$5:$B$9,0)&gt;=2,AND('Residual Config'!$C$8="Y",ISNUMBER(SEARCH("Zero",AA160)))),"Red","Amber")))</f>
        <v>Amber</v>
      </c>
      <c r="AD160" s="12" t="str">
        <f aca="false">IF(AC160="Red","Group CCO / CRO and Country CEO within 2 business days; action plan in 15 days; report to Board Risk &amp; Compliance Committee",IF(AC160="Amber","Country CO, risk owner and HO Administrator within 5 business days; action plan in 30 days",""))</f>
        <v>Country CO, risk owner and HO Administrator within 5 business days; action plan in 30 days</v>
      </c>
    </row>
    <row r="161" customFormat="false" ht="15" hidden="false" customHeight="false" outlineLevel="0" collapsed="false">
      <c r="A161" s="26" t="str">
        <f aca="false">Entities!$A$12</f>
        <v>LB</v>
      </c>
      <c r="B161" s="12" t="str">
        <f aca="false">INDEX(Entities!$B$5:$B$34,MATCH(A161,Entities!$A$5:$A$34,0))</f>
        <v>Arab Bank – Lebanon</v>
      </c>
      <c r="C161" s="12" t="str">
        <f aca="false">INDEX(Entities!$D$5:$D$34,MATCH(A161,Entities!$A$5:$A$34,0))</f>
        <v>Levant</v>
      </c>
      <c r="D161" s="12" t="s">
        <v>313</v>
      </c>
      <c r="E161" s="12" t="str">
        <f aca="false">INDEX('Risk Taxonomy'!$B$5:$B$24,MATCH(D161,'Risk Taxonomy'!$A$5:$A$24,0))</f>
        <v>Third-party and outsourcing</v>
      </c>
      <c r="F161" s="29" t="n">
        <f aca="false">IF(NOT(ISNUMBER(G161)),"",G161)</f>
        <v>5</v>
      </c>
      <c r="G161" s="34" t="n">
        <f aca="false">IF(COUNTIFS('LxI Assessment'!$A$5:$A$394,A161,'LxI Assessment'!$D$5:$D$394,D161,'LxI Assessment'!$F$5:$F$394,"N/A")&gt;0,"N/A",IF(COUNTIFS('LxI Assessment'!$A$5:$A$394,A161,'LxI Assessment'!$D$5:$D$394,D161,'LxI Assessment'!$S$5:$S$394,"&gt;0")=0,"",SUMIFS('LxI Assessment'!$S$5:$S$394,'LxI Assessment'!$A$5:$A$394,A161,'LxI Assessment'!$D$5:$D$394,D161)))</f>
        <v>5</v>
      </c>
      <c r="H161" s="7" t="str">
        <f aca="false">IF(G161="N/A","N/A",IF(G161="","No data",INDEX(Config!$B$5:$B$9,G161)))</f>
        <v>High</v>
      </c>
      <c r="I161" s="31" t="n">
        <f aca="false">IF(NOT(ISNUMBER($G161)),"",SUMPRODUCT(('Control Mapping'!$C$5:$C$83=D161)*('Control Mapping'!$N$5:$N$83&gt;0)))</f>
        <v>2</v>
      </c>
      <c r="J161" s="31" t="n">
        <f aca="false">IF(NOT(ISNUMBER($G161)),"",SUMPRODUCT(('Control Mapping'!$C$5:$C$83=D161)*('Control Mapping'!$F$5:$F$83="Y")*('Control Mapping'!$N$5:$N$83&gt;0)))</f>
        <v>2</v>
      </c>
      <c r="K161" s="31" t="n">
        <f aca="false">IF(NOT(ISNUMBER($G161)),"",SUMPRODUCT(('Control Mapping'!$C$5:$C$83=D161)*('Control Mapping'!$F$5:$F$83="Y")*('Control Mapping'!$N$5:$N$83=4)))</f>
        <v>0</v>
      </c>
      <c r="L161" s="29" t="n">
        <f aca="false">IF(NOT(ISNUMBER($G161)),"",IFERROR(SUMPRODUCT(('Control Mapping'!$C$5:$C$83=D161)*'Control Mapping'!$E$5:$E$83*'Control Mapping'!$N$5:$N$83)/SUMPRODUCT(('Control Mapping'!$C$5:$C$83=D161)*'Control Mapping'!$E$5:$E$83*('Control Mapping'!$N$5:$N$83&gt;0)),""))</f>
        <v>3</v>
      </c>
      <c r="M161" s="34" t="n">
        <f aca="false">IF(NOT(ISNUMBER($G161)),"",IF(J161=0,4,MAX(MATCH(L161,'Residual Config'!$E$11:$E$14,1),IF(K161&gt;0,'Residual Config'!$C$7,1))))</f>
        <v>3</v>
      </c>
      <c r="N161" s="7" t="str">
        <f aca="false">IF(NOT(ISNUMBER($G161)),"",IF(J161=0,"Ineffective (no key control)",INDEX('Residual Config'!$B$11:$B$14,M161)))</f>
        <v>Partially effective</v>
      </c>
      <c r="O161" s="36" t="n">
        <f aca="false">IF(NOT(ISNUMBER($G161)),"",IF(J161=0,0,SUMPRODUCT(('Control Mapping'!$C$5:$C$83=D161)*'Control Mapping'!$E$5:$E$83*(('Control Mapping'!$N$5:$N$83=1)*'Residual Config'!$D$11+('Control Mapping'!$N$5:$N$83=2)*'Residual Config'!$D$12+('Control Mapping'!$N$5:$N$83=3)*'Residual Config'!$D$13+('Control Mapping'!$N$5:$N$83=4)*'Residual Config'!$D$14))/SUMPRODUCT(('Control Mapping'!$C$5:$C$83=D161)*'Control Mapping'!$E$5:$E$83*('Control Mapping'!$N$5:$N$83&gt;0))))</f>
        <v>0.2</v>
      </c>
      <c r="P161" s="31" t="n">
        <f aca="false">IF(NOT(ISNUMBER($G161)),"",INDEX('Residual Config'!$B$19:$E$23,6-G161,M161))</f>
        <v>5</v>
      </c>
      <c r="Q161" s="29" t="n">
        <f aca="false">IF(NOT(ISNUMBER($G161)),"",MAX(1,F161*(1-O161)))</f>
        <v>4</v>
      </c>
      <c r="R161" s="31" t="n">
        <f aca="false">IF(NOT(ISNUMBER($G161)),"",MAX(MATCH(Q161,Config!$D$5:$D$9,1),G161-'Residual Config'!$C$6))</f>
        <v>4</v>
      </c>
      <c r="S161" s="34" t="n">
        <f aca="false">IF(NOT(ISNUMBER($G161)),"",IF('Residual Config'!$C$5="Numeric",R161,P161))</f>
        <v>5</v>
      </c>
      <c r="T161" s="7" t="str">
        <f aca="false">IF(G161="N/A","N/A",IF(S161="","No data",INDEX(Config!$B$5:$B$9,S161)))</f>
        <v>High</v>
      </c>
      <c r="U161" s="32" t="n">
        <v>0</v>
      </c>
      <c r="V161" s="8"/>
      <c r="W161" s="33"/>
      <c r="X161" s="34" t="n">
        <f aca="false">IF(S161="","",IF(AND(W161="Y",U161&lt;&gt;0),MAX(1,MIN(5,S161+MAX(-Config!$C$27,MIN(Config!$C$27,U161)))),S161))</f>
        <v>5</v>
      </c>
      <c r="Y161" s="35" t="str">
        <f aca="false">IF(G161="N/A","N/A",IF(X161="","No data",INDEX(Config!$B$5:$B$9,X161)))</f>
        <v>High</v>
      </c>
      <c r="Z161" s="7" t="str">
        <f aca="false">IF(U161=0,"None",IF(W161="Y","Applied","Pending HO approval"))</f>
        <v>None</v>
      </c>
      <c r="AA161" s="12" t="str">
        <f aca="false">INDEX('Risk Taxonomy'!$G$5:$G$24,MATCH(D161,'Risk Taxonomy'!$A$5:$A$24,0))</f>
        <v>Low</v>
      </c>
      <c r="AB161" s="7" t="str">
        <f aca="false">INDEX('Risk Taxonomy'!$H$5:$H$24,MATCH(D161,'Risk Taxonomy'!$A$5:$A$24,0))</f>
        <v>Medium</v>
      </c>
      <c r="AC161" s="35" t="str">
        <f aca="false">IF(NOT(ISNUMBER(X161)),"",IF(X161&lt;=MATCH(AB161,Config!$B$5:$B$9,0),"Within",IF(OR(X161-MATCH(AB161,Config!$B$5:$B$9,0)&gt;=2,AND('Residual Config'!$C$8="Y",ISNUMBER(SEARCH("Zero",AA161)))),"Red","Amber")))</f>
        <v>Red</v>
      </c>
      <c r="AD161" s="12" t="str">
        <f aca="false">IF(AC161="Red","Group CCO / CRO and Country CEO within 2 business days; action plan in 15 days; report to Board Risk &amp; Compliance Committee",IF(AC161="Amber","Country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62" customFormat="false" ht="15" hidden="false" customHeight="false" outlineLevel="0" collapsed="false">
      <c r="A162" s="26" t="str">
        <f aca="false">Entities!$A$12</f>
        <v>LB</v>
      </c>
      <c r="B162" s="12" t="str">
        <f aca="false">INDEX(Entities!$B$5:$B$34,MATCH(A162,Entities!$A$5:$A$34,0))</f>
        <v>Arab Bank – Lebanon</v>
      </c>
      <c r="C162" s="12" t="str">
        <f aca="false">INDEX(Entities!$D$5:$D$34,MATCH(A162,Entities!$A$5:$A$34,0))</f>
        <v>Levant</v>
      </c>
      <c r="D162" s="12" t="s">
        <v>316</v>
      </c>
      <c r="E162" s="12" t="str">
        <f aca="false">INDEX('Risk Taxonomy'!$B$5:$B$24,MATCH(D162,'Risk Taxonomy'!$A$5:$A$24,0))</f>
        <v>Legal and litigation</v>
      </c>
      <c r="F162" s="29" t="n">
        <f aca="false">IF(NOT(ISNUMBER(G162)),"",G162)</f>
        <v>4</v>
      </c>
      <c r="G162" s="34" t="n">
        <f aca="false">IF(COUNTIFS('LxI Assessment'!$A$5:$A$394,A162,'LxI Assessment'!$D$5:$D$394,D162,'LxI Assessment'!$F$5:$F$394,"N/A")&gt;0,"N/A",IF(COUNTIFS('LxI Assessment'!$A$5:$A$394,A162,'LxI Assessment'!$D$5:$D$394,D162,'LxI Assessment'!$S$5:$S$394,"&gt;0")=0,"",SUMIFS('LxI Assessment'!$S$5:$S$394,'LxI Assessment'!$A$5:$A$394,A162,'LxI Assessment'!$D$5:$D$394,D162)))</f>
        <v>4</v>
      </c>
      <c r="H162" s="7" t="str">
        <f aca="false">IF(G162="N/A","N/A",IF(G162="","No data",INDEX(Config!$B$5:$B$9,G162)))</f>
        <v>Medium-High</v>
      </c>
      <c r="I162" s="31" t="n">
        <f aca="false">IF(NOT(ISNUMBER($G162)),"",SUMPRODUCT(('Control Mapping'!$C$5:$C$83=D162)*('Control Mapping'!$N$5:$N$83&gt;0)))</f>
        <v>1</v>
      </c>
      <c r="J162" s="31" t="n">
        <f aca="false">IF(NOT(ISNUMBER($G162)),"",SUMPRODUCT(('Control Mapping'!$C$5:$C$83=D162)*('Control Mapping'!$F$5:$F$83="Y")*('Control Mapping'!$N$5:$N$83&gt;0)))</f>
        <v>1</v>
      </c>
      <c r="K162" s="31" t="n">
        <f aca="false">IF(NOT(ISNUMBER($G162)),"",SUMPRODUCT(('Control Mapping'!$C$5:$C$83=D162)*('Control Mapping'!$F$5:$F$83="Y")*('Control Mapping'!$N$5:$N$83=4)))</f>
        <v>0</v>
      </c>
      <c r="L162" s="29" t="n">
        <f aca="false">IF(NOT(ISNUMBER($G162)),"",IFERROR(SUMPRODUCT(('Control Mapping'!$C$5:$C$83=D162)*'Control Mapping'!$E$5:$E$83*'Control Mapping'!$N$5:$N$83)/SUMPRODUCT(('Control Mapping'!$C$5:$C$83=D162)*'Control Mapping'!$E$5:$E$83*('Control Mapping'!$N$5:$N$83&gt;0)),""))</f>
        <v>3</v>
      </c>
      <c r="M162" s="34" t="n">
        <f aca="false">IF(NOT(ISNUMBER($G162)),"",IF(J162=0,4,MAX(MATCH(L162,'Residual Config'!$E$11:$E$14,1),IF(K162&gt;0,'Residual Config'!$C$7,1))))</f>
        <v>3</v>
      </c>
      <c r="N162" s="7" t="str">
        <f aca="false">IF(NOT(ISNUMBER($G162)),"",IF(J162=0,"Ineffective (no key control)",INDEX('Residual Config'!$B$11:$B$14,M162)))</f>
        <v>Partially effective</v>
      </c>
      <c r="O162" s="36" t="n">
        <f aca="false">IF(NOT(ISNUMBER($G162)),"",IF(J162=0,0,SUMPRODUCT(('Control Mapping'!$C$5:$C$83=D162)*'Control Mapping'!$E$5:$E$83*(('Control Mapping'!$N$5:$N$83=1)*'Residual Config'!$D$11+('Control Mapping'!$N$5:$N$83=2)*'Residual Config'!$D$12+('Control Mapping'!$N$5:$N$83=3)*'Residual Config'!$D$13+('Control Mapping'!$N$5:$N$83=4)*'Residual Config'!$D$14))/SUMPRODUCT(('Control Mapping'!$C$5:$C$83=D162)*'Control Mapping'!$E$5:$E$83*('Control Mapping'!$N$5:$N$83&gt;0))))</f>
        <v>0.2</v>
      </c>
      <c r="P162" s="31" t="n">
        <f aca="false">IF(NOT(ISNUMBER($G162)),"",INDEX('Residual Config'!$B$19:$E$23,6-G162,M162))</f>
        <v>4</v>
      </c>
      <c r="Q162" s="29" t="n">
        <f aca="false">IF(NOT(ISNUMBER($G162)),"",MAX(1,F162*(1-O162)))</f>
        <v>3.2</v>
      </c>
      <c r="R162" s="31" t="n">
        <f aca="false">IF(NOT(ISNUMBER($G162)),"",MAX(MATCH(Q162,Config!$D$5:$D$9,1),G162-'Residual Config'!$C$6))</f>
        <v>3</v>
      </c>
      <c r="S162" s="34" t="n">
        <f aca="false">IF(NOT(ISNUMBER($G162)),"",IF('Residual Config'!$C$5="Numeric",R162,P162))</f>
        <v>4</v>
      </c>
      <c r="T162" s="7" t="str">
        <f aca="false">IF(G162="N/A","N/A",IF(S162="","No data",INDEX(Config!$B$5:$B$9,S162)))</f>
        <v>Medium-High</v>
      </c>
      <c r="U162" s="32" t="n">
        <v>0</v>
      </c>
      <c r="V162" s="8"/>
      <c r="W162" s="33"/>
      <c r="X162" s="34" t="n">
        <f aca="false">IF(S162="","",IF(AND(W162="Y",U162&lt;&gt;0),MAX(1,MIN(5,S162+MAX(-Config!$C$27,MIN(Config!$C$27,U162)))),S162))</f>
        <v>4</v>
      </c>
      <c r="Y162" s="35" t="str">
        <f aca="false">IF(G162="N/A","N/A",IF(X162="","No data",INDEX(Config!$B$5:$B$9,X162)))</f>
        <v>Medium-High</v>
      </c>
      <c r="Z162" s="7" t="str">
        <f aca="false">IF(U162=0,"None",IF(W162="Y","Applied","Pending HO approval"))</f>
        <v>None</v>
      </c>
      <c r="AA162" s="12" t="str">
        <f aca="false">INDEX('Risk Taxonomy'!$G$5:$G$24,MATCH(D162,'Risk Taxonomy'!$A$5:$A$24,0))</f>
        <v>Very low</v>
      </c>
      <c r="AB162" s="7" t="str">
        <f aca="false">INDEX('Risk Taxonomy'!$H$5:$H$24,MATCH(D162,'Risk Taxonomy'!$A$5:$A$24,0))</f>
        <v>Medium-Low</v>
      </c>
      <c r="AC162" s="35" t="str">
        <f aca="false">IF(NOT(ISNUMBER(X162)),"",IF(X162&lt;=MATCH(AB162,Config!$B$5:$B$9,0),"Within",IF(OR(X162-MATCH(AB162,Config!$B$5:$B$9,0)&gt;=2,AND('Residual Config'!$C$8="Y",ISNUMBER(SEARCH("Zero",AA162)))),"Red","Amber")))</f>
        <v>Red</v>
      </c>
      <c r="AD162" s="12" t="str">
        <f aca="false">IF(AC162="Red","Group CCO / CRO and Country CEO within 2 business days; action plan in 15 days; report to Board Risk &amp; Compliance Committee",IF(AC162="Amber","Country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63" customFormat="false" ht="15" hidden="false" customHeight="false" outlineLevel="0" collapsed="false">
      <c r="A163" s="26" t="str">
        <f aca="false">Entities!$A$12</f>
        <v>LB</v>
      </c>
      <c r="B163" s="12" t="str">
        <f aca="false">INDEX(Entities!$B$5:$B$34,MATCH(A163,Entities!$A$5:$A$34,0))</f>
        <v>Arab Bank – Lebanon</v>
      </c>
      <c r="C163" s="12" t="str">
        <f aca="false">INDEX(Entities!$D$5:$D$34,MATCH(A163,Entities!$A$5:$A$34,0))</f>
        <v>Levant</v>
      </c>
      <c r="D163" s="12" t="s">
        <v>319</v>
      </c>
      <c r="E163" s="12" t="str">
        <f aca="false">INDEX('Risk Taxonomy'!$B$5:$B$24,MATCH(D163,'Risk Taxonomy'!$A$5:$A$24,0))</f>
        <v>Reputational</v>
      </c>
      <c r="F163" s="29" t="n">
        <f aca="false">IF(NOT(ISNUMBER(G163)),"",G163)</f>
        <v>5</v>
      </c>
      <c r="G163" s="34" t="n">
        <f aca="false">IF(COUNTIFS('LxI Assessment'!$A$5:$A$394,A163,'LxI Assessment'!$D$5:$D$394,D163,'LxI Assessment'!$F$5:$F$394,"N/A")&gt;0,"N/A",IF(COUNTIFS('LxI Assessment'!$A$5:$A$394,A163,'LxI Assessment'!$D$5:$D$394,D163,'LxI Assessment'!$S$5:$S$394,"&gt;0")=0,"",SUMIFS('LxI Assessment'!$S$5:$S$394,'LxI Assessment'!$A$5:$A$394,A163,'LxI Assessment'!$D$5:$D$394,D163)))</f>
        <v>5</v>
      </c>
      <c r="H163" s="7" t="str">
        <f aca="false">IF(G163="N/A","N/A",IF(G163="","No data",INDEX(Config!$B$5:$B$9,G163)))</f>
        <v>High</v>
      </c>
      <c r="I163" s="31" t="n">
        <f aca="false">IF(NOT(ISNUMBER($G163)),"",SUMPRODUCT(('Control Mapping'!$C$5:$C$83=D163)*('Control Mapping'!$N$5:$N$83&gt;0)))</f>
        <v>2</v>
      </c>
      <c r="J163" s="31" t="n">
        <f aca="false">IF(NOT(ISNUMBER($G163)),"",SUMPRODUCT(('Control Mapping'!$C$5:$C$83=D163)*('Control Mapping'!$F$5:$F$83="Y")*('Control Mapping'!$N$5:$N$83&gt;0)))</f>
        <v>1</v>
      </c>
      <c r="K163" s="31" t="n">
        <f aca="false">IF(NOT(ISNUMBER($G163)),"",SUMPRODUCT(('Control Mapping'!$C$5:$C$83=D163)*('Control Mapping'!$F$5:$F$83="Y")*('Control Mapping'!$N$5:$N$83=4)))</f>
        <v>1</v>
      </c>
      <c r="L163" s="29" t="n">
        <f aca="false">IF(NOT(ISNUMBER($G163)),"",IFERROR(SUMPRODUCT(('Control Mapping'!$C$5:$C$83=D163)*'Control Mapping'!$E$5:$E$83*'Control Mapping'!$N$5:$N$83)/SUMPRODUCT(('Control Mapping'!$C$5:$C$83=D163)*'Control Mapping'!$E$5:$E$83*('Control Mapping'!$N$5:$N$83&gt;0)),""))</f>
        <v>3.33333333333333</v>
      </c>
      <c r="M163" s="34" t="n">
        <f aca="false">IF(NOT(ISNUMBER($G163)),"",IF(J163=0,4,MAX(MATCH(L163,'Residual Config'!$E$11:$E$14,1),IF(K163&gt;0,'Residual Config'!$C$7,1))))</f>
        <v>3</v>
      </c>
      <c r="N163" s="7" t="str">
        <f aca="false">IF(NOT(ISNUMBER($G163)),"",IF(J163=0,"Ineffective (no key control)",INDEX('Residual Config'!$B$11:$B$14,M163)))</f>
        <v>Partially effective</v>
      </c>
      <c r="O163" s="36" t="n">
        <f aca="false">IF(NOT(ISNUMBER($G163)),"",IF(J163=0,0,SUMPRODUCT(('Control Mapping'!$C$5:$C$83=D163)*'Control Mapping'!$E$5:$E$83*(('Control Mapping'!$N$5:$N$83=1)*'Residual Config'!$D$11+('Control Mapping'!$N$5:$N$83=2)*'Residual Config'!$D$12+('Control Mapping'!$N$5:$N$83=3)*'Residual Config'!$D$13+('Control Mapping'!$N$5:$N$83=4)*'Residual Config'!$D$14))/SUMPRODUCT(('Control Mapping'!$C$5:$C$83=D163)*'Control Mapping'!$E$5:$E$83*('Control Mapping'!$N$5:$N$83&gt;0))))</f>
        <v>0.133333333333333</v>
      </c>
      <c r="P163" s="31" t="n">
        <f aca="false">IF(NOT(ISNUMBER($G163)),"",INDEX('Residual Config'!$B$19:$E$23,6-G163,M163))</f>
        <v>5</v>
      </c>
      <c r="Q163" s="29" t="n">
        <f aca="false">IF(NOT(ISNUMBER($G163)),"",MAX(1,F163*(1-O163)))</f>
        <v>4.33333333333333</v>
      </c>
      <c r="R163" s="31" t="n">
        <f aca="false">IF(NOT(ISNUMBER($G163)),"",MAX(MATCH(Q163,Config!$D$5:$D$9,1),G163-'Residual Config'!$C$6))</f>
        <v>5</v>
      </c>
      <c r="S163" s="34" t="n">
        <f aca="false">IF(NOT(ISNUMBER($G163)),"",IF('Residual Config'!$C$5="Numeric",R163,P163))</f>
        <v>5</v>
      </c>
      <c r="T163" s="7" t="str">
        <f aca="false">IF(G163="N/A","N/A",IF(S163="","No data",INDEX(Config!$B$5:$B$9,S163)))</f>
        <v>High</v>
      </c>
      <c r="U163" s="32" t="n">
        <v>0</v>
      </c>
      <c r="V163" s="8"/>
      <c r="W163" s="33"/>
      <c r="X163" s="34" t="n">
        <f aca="false">IF(S163="","",IF(AND(W163="Y",U163&lt;&gt;0),MAX(1,MIN(5,S163+MAX(-Config!$C$27,MIN(Config!$C$27,U163)))),S163))</f>
        <v>5</v>
      </c>
      <c r="Y163" s="35" t="str">
        <f aca="false">IF(G163="N/A","N/A",IF(X163="","No data",INDEX(Config!$B$5:$B$9,X163)))</f>
        <v>High</v>
      </c>
      <c r="Z163" s="7" t="str">
        <f aca="false">IF(U163=0,"None",IF(W163="Y","Applied","Pending HO approval"))</f>
        <v>None</v>
      </c>
      <c r="AA163" s="12" t="str">
        <f aca="false">INDEX('Risk Taxonomy'!$G$5:$G$24,MATCH(D163,'Risk Taxonomy'!$A$5:$A$24,0))</f>
        <v>Low</v>
      </c>
      <c r="AB163" s="7" t="str">
        <f aca="false">INDEX('Risk Taxonomy'!$H$5:$H$24,MATCH(D163,'Risk Taxonomy'!$A$5:$A$24,0))</f>
        <v>Medium</v>
      </c>
      <c r="AC163" s="35" t="str">
        <f aca="false">IF(NOT(ISNUMBER(X163)),"",IF(X163&lt;=MATCH(AB163,Config!$B$5:$B$9,0),"Within",IF(OR(X163-MATCH(AB163,Config!$B$5:$B$9,0)&gt;=2,AND('Residual Config'!$C$8="Y",ISNUMBER(SEARCH("Zero",AA163)))),"Red","Amber")))</f>
        <v>Red</v>
      </c>
      <c r="AD163" s="12" t="str">
        <f aca="false">IF(AC163="Red","Group CCO / CRO and Country CEO within 2 business days; action plan in 15 days; report to Board Risk &amp; Compliance Committee",IF(AC163="Amber","Country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64" customFormat="false" ht="15" hidden="false" customHeight="false" outlineLevel="0" collapsed="false">
      <c r="A164" s="26" t="str">
        <f aca="false">Entities!$A$12</f>
        <v>LB</v>
      </c>
      <c r="B164" s="12" t="str">
        <f aca="false">INDEX(Entities!$B$5:$B$34,MATCH(A164,Entities!$A$5:$A$34,0))</f>
        <v>Arab Bank – Lebanon</v>
      </c>
      <c r="C164" s="12" t="str">
        <f aca="false">INDEX(Entities!$D$5:$D$34,MATCH(A164,Entities!$A$5:$A$34,0))</f>
        <v>Levant</v>
      </c>
      <c r="D164" s="12" t="s">
        <v>322</v>
      </c>
      <c r="E164" s="12" t="str">
        <f aca="false">INDEX('Risk Taxonomy'!$B$5:$B$24,MATCH(D164,'Risk Taxonomy'!$A$5:$A$24,0))</f>
        <v>Strategic, business model and ESG</v>
      </c>
      <c r="F164" s="29" t="n">
        <f aca="false">IF(NOT(ISNUMBER(G164)),"",G164)</f>
        <v>5</v>
      </c>
      <c r="G164" s="34" t="n">
        <f aca="false">IF(COUNTIFS('LxI Assessment'!$A$5:$A$394,A164,'LxI Assessment'!$D$5:$D$394,D164,'LxI Assessment'!$F$5:$F$394,"N/A")&gt;0,"N/A",IF(COUNTIFS('LxI Assessment'!$A$5:$A$394,A164,'LxI Assessment'!$D$5:$D$394,D164,'LxI Assessment'!$S$5:$S$394,"&gt;0")=0,"",SUMIFS('LxI Assessment'!$S$5:$S$394,'LxI Assessment'!$A$5:$A$394,A164,'LxI Assessment'!$D$5:$D$394,D164)))</f>
        <v>5</v>
      </c>
      <c r="H164" s="7" t="str">
        <f aca="false">IF(G164="N/A","N/A",IF(G164="","No data",INDEX(Config!$B$5:$B$9,G164)))</f>
        <v>High</v>
      </c>
      <c r="I164" s="31" t="n">
        <f aca="false">IF(NOT(ISNUMBER($G164)),"",SUMPRODUCT(('Control Mapping'!$C$5:$C$83=D164)*('Control Mapping'!$N$5:$N$83&gt;0)))</f>
        <v>1</v>
      </c>
      <c r="J164" s="31" t="n">
        <f aca="false">IF(NOT(ISNUMBER($G164)),"",SUMPRODUCT(('Control Mapping'!$C$5:$C$83=D164)*('Control Mapping'!$F$5:$F$83="Y")*('Control Mapping'!$N$5:$N$83&gt;0)))</f>
        <v>1</v>
      </c>
      <c r="K164" s="31" t="n">
        <f aca="false">IF(NOT(ISNUMBER($G164)),"",SUMPRODUCT(('Control Mapping'!$C$5:$C$83=D164)*('Control Mapping'!$F$5:$F$83="Y")*('Control Mapping'!$N$5:$N$83=4)))</f>
        <v>0</v>
      </c>
      <c r="L164" s="29" t="n">
        <f aca="false">IF(NOT(ISNUMBER($G164)),"",IFERROR(SUMPRODUCT(('Control Mapping'!$C$5:$C$83=D164)*'Control Mapping'!$E$5:$E$83*'Control Mapping'!$N$5:$N$83)/SUMPRODUCT(('Control Mapping'!$C$5:$C$83=D164)*'Control Mapping'!$E$5:$E$83*('Control Mapping'!$N$5:$N$83&gt;0)),""))</f>
        <v>2</v>
      </c>
      <c r="M164" s="34" t="n">
        <f aca="false">IF(NOT(ISNUMBER($G164)),"",IF(J164=0,4,MAX(MATCH(L164,'Residual Config'!$E$11:$E$14,1),IF(K164&gt;0,'Residual Config'!$C$7,1))))</f>
        <v>2</v>
      </c>
      <c r="N164" s="7" t="str">
        <f aca="false">IF(NOT(ISNUMBER($G164)),"",IF(J164=0,"Ineffective (no key control)",INDEX('Residual Config'!$B$11:$B$14,M164)))</f>
        <v>Largely effective</v>
      </c>
      <c r="O164" s="36" t="n">
        <f aca="false">IF(NOT(ISNUMBER($G164)),"",IF(J164=0,0,SUMPRODUCT(('Control Mapping'!$C$5:$C$83=D164)*'Control Mapping'!$E$5:$E$83*(('Control Mapping'!$N$5:$N$83=1)*'Residual Config'!$D$11+('Control Mapping'!$N$5:$N$83=2)*'Residual Config'!$D$12+('Control Mapping'!$N$5:$N$83=3)*'Residual Config'!$D$13+('Control Mapping'!$N$5:$N$83=4)*'Residual Config'!$D$14))/SUMPRODUCT(('Control Mapping'!$C$5:$C$83=D164)*'Control Mapping'!$E$5:$E$83*('Control Mapping'!$N$5:$N$83&gt;0))))</f>
        <v>0.4</v>
      </c>
      <c r="P164" s="31" t="n">
        <f aca="false">IF(NOT(ISNUMBER($G164)),"",INDEX('Residual Config'!$B$19:$E$23,6-G164,M164))</f>
        <v>4</v>
      </c>
      <c r="Q164" s="29" t="n">
        <f aca="false">IF(NOT(ISNUMBER($G164)),"",MAX(1,F164*(1-O164)))</f>
        <v>3</v>
      </c>
      <c r="R164" s="31" t="n">
        <f aca="false">IF(NOT(ISNUMBER($G164)),"",MAX(MATCH(Q164,Config!$D$5:$D$9,1),G164-'Residual Config'!$C$6))</f>
        <v>3</v>
      </c>
      <c r="S164" s="34" t="n">
        <f aca="false">IF(NOT(ISNUMBER($G164)),"",IF('Residual Config'!$C$5="Numeric",R164,P164))</f>
        <v>4</v>
      </c>
      <c r="T164" s="7" t="str">
        <f aca="false">IF(G164="N/A","N/A",IF(S164="","No data",INDEX(Config!$B$5:$B$9,S164)))</f>
        <v>Medium-High</v>
      </c>
      <c r="U164" s="32" t="n">
        <v>0</v>
      </c>
      <c r="V164" s="8"/>
      <c r="W164" s="33"/>
      <c r="X164" s="34" t="n">
        <f aca="false">IF(S164="","",IF(AND(W164="Y",U164&lt;&gt;0),MAX(1,MIN(5,S164+MAX(-Config!$C$27,MIN(Config!$C$27,U164)))),S164))</f>
        <v>4</v>
      </c>
      <c r="Y164" s="35" t="str">
        <f aca="false">IF(G164="N/A","N/A",IF(X164="","No data",INDEX(Config!$B$5:$B$9,X164)))</f>
        <v>Medium-High</v>
      </c>
      <c r="Z164" s="7" t="str">
        <f aca="false">IF(U164=0,"None",IF(W164="Y","Applied","Pending HO approval"))</f>
        <v>None</v>
      </c>
      <c r="AA164" s="12" t="str">
        <f aca="false">INDEX('Risk Taxonomy'!$G$5:$G$24,MATCH(D164,'Risk Taxonomy'!$A$5:$A$24,0))</f>
        <v>Moderate</v>
      </c>
      <c r="AB164" s="7" t="str">
        <f aca="false">INDEX('Risk Taxonomy'!$H$5:$H$24,MATCH(D164,'Risk Taxonomy'!$A$5:$A$24,0))</f>
        <v>Medium-High</v>
      </c>
      <c r="AC164" s="35" t="str">
        <f aca="false">IF(NOT(ISNUMBER(X164)),"",IF(X164&lt;=MATCH(AB164,Config!$B$5:$B$9,0),"Within",IF(OR(X164-MATCH(AB164,Config!$B$5:$B$9,0)&gt;=2,AND('Residual Config'!$C$8="Y",ISNUMBER(SEARCH("Zero",AA164)))),"Red","Amber")))</f>
        <v>Within</v>
      </c>
      <c r="AD164" s="12" t="str">
        <f aca="false">IF(AC164="Red","Group CCO / CRO and Country CEO within 2 business days; action plan in 15 days; report to Board Risk &amp; Compliance Committee",IF(AC164="Amber","Country CO, risk owner and HO Administrator within 5 business days; action plan in 30 days",""))</f>
        <v/>
      </c>
    </row>
    <row r="165" customFormat="false" ht="15" hidden="false" customHeight="false" outlineLevel="0" collapsed="false">
      <c r="A165" s="26" t="str">
        <f aca="false">Entities!$A$13</f>
        <v>SY</v>
      </c>
      <c r="B165" s="12" t="str">
        <f aca="false">INDEX(Entities!$B$5:$B$34,MATCH(A165,Entities!$A$5:$A$34,0))</f>
        <v>Arab Bank – Syria</v>
      </c>
      <c r="C165" s="12" t="str">
        <f aca="false">INDEX(Entities!$D$5:$D$34,MATCH(A165,Entities!$A$5:$A$34,0))</f>
        <v>Levant</v>
      </c>
      <c r="D165" s="12" t="s">
        <v>260</v>
      </c>
      <c r="E165" s="12" t="str">
        <f aca="false">INDEX('Risk Taxonomy'!$B$5:$B$24,MATCH(D165,'Risk Taxonomy'!$A$5:$A$24,0))</f>
        <v>Money laundering</v>
      </c>
      <c r="F165" s="29" t="n">
        <f aca="false">IF(NOT(ISNUMBER(G165)),"",IFERROR(IF(MATCH(SUMIFS('FC Calculation'!$N$5:$N$214,'FC Calculation'!$A$5:$A$214,A165,'FC Calculation'!$D$5:$D$214,D165),Config!$D$5:$D$9,1)=G165,SUMIFS('FC Calculation'!$N$5:$N$214,'FC Calculation'!$A$5:$A$214,A165,'FC Calculation'!$D$5:$D$214,D165),G165),G165))</f>
        <v>4.06769841269841</v>
      </c>
      <c r="G165" s="34" t="n">
        <f aca="false">IF(COUNTIFS('FC Calculation'!$A$5:$A$214,A165,'FC Calculation'!$D$5:$D$214,D165,'FC Calculation'!$T$5:$T$214,"&gt;0")=0,"",SUMIFS('FC Calculation'!$T$5:$T$214,'FC Calculation'!$A$5:$A$214,A165,'FC Calculation'!$D$5:$D$214,D165))</f>
        <v>4</v>
      </c>
      <c r="H165" s="7" t="str">
        <f aca="false">IF(G165="N/A","N/A",IF(G165="","No data",INDEX(Config!$B$5:$B$9,G165)))</f>
        <v>Medium-High</v>
      </c>
      <c r="I165" s="31" t="n">
        <f aca="false">IF(NOT(ISNUMBER($G165)),"",SUMPRODUCT(('Control Mapping'!$C$5:$C$83=D165)*('Control Mapping'!$O$5:$O$83&gt;0)))</f>
        <v>12</v>
      </c>
      <c r="J165" s="31" t="n">
        <f aca="false">IF(NOT(ISNUMBER($G165)),"",SUMPRODUCT(('Control Mapping'!$C$5:$C$83=D165)*('Control Mapping'!$F$5:$F$83="Y")*('Control Mapping'!$O$5:$O$83&gt;0)))</f>
        <v>9</v>
      </c>
      <c r="K165" s="31" t="n">
        <f aca="false">IF(NOT(ISNUMBER($G165)),"",SUMPRODUCT(('Control Mapping'!$C$5:$C$83=D165)*('Control Mapping'!$F$5:$F$83="Y")*('Control Mapping'!$O$5:$O$83=4)))</f>
        <v>0</v>
      </c>
      <c r="L165" s="29" t="n">
        <f aca="false">IF(NOT(ISNUMBER($G165)),"",IFERROR(SUMPRODUCT(('Control Mapping'!$C$5:$C$83=D165)*'Control Mapping'!$E$5:$E$83*'Control Mapping'!$O$5:$O$83)/SUMPRODUCT(('Control Mapping'!$C$5:$C$83=D165)*'Control Mapping'!$E$5:$E$83*('Control Mapping'!$O$5:$O$83&gt;0)),""))</f>
        <v>2.34782608695652</v>
      </c>
      <c r="M165" s="34" t="n">
        <f aca="false">IF(NOT(ISNUMBER($G165)),"",IF(J165=0,4,MAX(MATCH(L165,'Residual Config'!$E$11:$E$14,1),IF(K165&gt;0,'Residual Config'!$C$7,1))))</f>
        <v>2</v>
      </c>
      <c r="N165" s="7" t="str">
        <f aca="false">IF(NOT(ISNUMBER($G165)),"",IF(J165=0,"Ineffective (no key control)",INDEX('Residual Config'!$B$11:$B$14,M165)))</f>
        <v>Largely effective</v>
      </c>
      <c r="O165" s="36" t="n">
        <f aca="false">IF(NOT(ISNUMBER($G165)),"",IF(J165=0,0,SUMPRODUCT(('Control Mapping'!$C$5:$C$83=D165)*'Control Mapping'!$E$5:$E$83*(('Control Mapping'!$O$5:$O$83=1)*'Residual Config'!$D$11+('Control Mapping'!$O$5:$O$83=2)*'Residual Config'!$D$12+('Control Mapping'!$O$5:$O$83=3)*'Residual Config'!$D$13+('Control Mapping'!$O$5:$O$83=4)*'Residual Config'!$D$14))/SUMPRODUCT(('Control Mapping'!$C$5:$C$83=D165)*'Control Mapping'!$E$5:$E$83*('Control Mapping'!$O$5:$O$83&gt;0))))</f>
        <v>0.330434782608696</v>
      </c>
      <c r="P165" s="31" t="n">
        <f aca="false">IF(NOT(ISNUMBER($G165)),"",INDEX('Residual Config'!$B$19:$E$23,6-G165,M165))</f>
        <v>3</v>
      </c>
      <c r="Q165" s="29" t="n">
        <f aca="false">IF(NOT(ISNUMBER($G165)),"",MAX(1,F165*(1-O165)))</f>
        <v>2.72358937198068</v>
      </c>
      <c r="R165" s="31" t="n">
        <f aca="false">IF(NOT(ISNUMBER($G165)),"",MAX(MATCH(Q165,Config!$D$5:$D$9,1),G165-'Residual Config'!$C$6))</f>
        <v>3</v>
      </c>
      <c r="S165" s="34" t="n">
        <f aca="false">IF(NOT(ISNUMBER($G165)),"",IF('Residual Config'!$C$5="Numeric",R165,P165))</f>
        <v>3</v>
      </c>
      <c r="T165" s="7" t="str">
        <f aca="false">IF(G165="N/A","N/A",IF(S165="","No data",INDEX(Config!$B$5:$B$9,S165)))</f>
        <v>Medium</v>
      </c>
      <c r="U165" s="32" t="n">
        <v>0</v>
      </c>
      <c r="V165" s="8"/>
      <c r="W165" s="33"/>
      <c r="X165" s="34" t="n">
        <f aca="false">IF(S165="","",IF(AND(W165="Y",U165&lt;&gt;0),MAX(1,MIN(5,S165+MAX(-Config!$C$27,MIN(Config!$C$27,U165)))),S165))</f>
        <v>3</v>
      </c>
      <c r="Y165" s="35" t="str">
        <f aca="false">IF(G165="N/A","N/A",IF(X165="","No data",INDEX(Config!$B$5:$B$9,X165)))</f>
        <v>Medium</v>
      </c>
      <c r="Z165" s="7" t="str">
        <f aca="false">IF(U165=0,"None",IF(W165="Y","Applied","Pending HO approval"))</f>
        <v>None</v>
      </c>
      <c r="AA165" s="12" t="str">
        <f aca="false">INDEX('Risk Taxonomy'!$G$5:$G$24,MATCH(D165,'Risk Taxonomy'!$A$5:$A$24,0))</f>
        <v>Very low</v>
      </c>
      <c r="AB165" s="7" t="str">
        <f aca="false">INDEX('Risk Taxonomy'!$H$5:$H$24,MATCH(D165,'Risk Taxonomy'!$A$5:$A$24,0))</f>
        <v>Medium-Low</v>
      </c>
      <c r="AC165" s="35" t="str">
        <f aca="false">IF(NOT(ISNUMBER(X165)),"",IF(X165&lt;=MATCH(AB165,Config!$B$5:$B$9,0),"Within",IF(OR(X165-MATCH(AB165,Config!$B$5:$B$9,0)&gt;=2,AND('Residual Config'!$C$8="Y",ISNUMBER(SEARCH("Zero",AA165)))),"Red","Amber")))</f>
        <v>Amber</v>
      </c>
      <c r="AD165" s="12" t="str">
        <f aca="false">IF(AC165="Red","Group CCO / CRO and Country CEO within 2 business days; action plan in 15 days; report to Board Risk &amp; Compliance Committee",IF(AC165="Amber","Country CO, risk owner and HO Administrator within 5 business days; action plan in 30 days",""))</f>
        <v>Country CO, risk owner and HO Administrator within 5 business days; action plan in 30 days</v>
      </c>
    </row>
    <row r="166" customFormat="false" ht="15" hidden="false" customHeight="false" outlineLevel="0" collapsed="false">
      <c r="A166" s="26" t="str">
        <f aca="false">Entities!$A$13</f>
        <v>SY</v>
      </c>
      <c r="B166" s="12" t="str">
        <f aca="false">INDEX(Entities!$B$5:$B$34,MATCH(A166,Entities!$A$5:$A$34,0))</f>
        <v>Arab Bank – Syria</v>
      </c>
      <c r="C166" s="12" t="str">
        <f aca="false">INDEX(Entities!$D$5:$D$34,MATCH(A166,Entities!$A$5:$A$34,0))</f>
        <v>Levant</v>
      </c>
      <c r="D166" s="12" t="s">
        <v>267</v>
      </c>
      <c r="E166" s="12" t="str">
        <f aca="false">INDEX('Risk Taxonomy'!$B$5:$B$24,MATCH(D166,'Risk Taxonomy'!$A$5:$A$24,0))</f>
        <v>Terrorist financing</v>
      </c>
      <c r="F166" s="29" t="n">
        <f aca="false">IF(NOT(ISNUMBER(G166)),"",IFERROR(IF(MATCH(SUMIFS('FC Calculation'!$N$5:$N$214,'FC Calculation'!$A$5:$A$214,A166,'FC Calculation'!$D$5:$D$214,D166),Config!$D$5:$D$9,1)=G166,SUMIFS('FC Calculation'!$N$5:$N$214,'FC Calculation'!$A$5:$A$214,A166,'FC Calculation'!$D$5:$D$214,D166),G166),G166))</f>
        <v>4.14404761904762</v>
      </c>
      <c r="G166" s="34" t="n">
        <f aca="false">IF(COUNTIFS('FC Calculation'!$A$5:$A$214,A166,'FC Calculation'!$D$5:$D$214,D166,'FC Calculation'!$T$5:$T$214,"&gt;0")=0,"",SUMIFS('FC Calculation'!$T$5:$T$214,'FC Calculation'!$A$5:$A$214,A166,'FC Calculation'!$D$5:$D$214,D166))</f>
        <v>4</v>
      </c>
      <c r="H166" s="7" t="str">
        <f aca="false">IF(G166="N/A","N/A",IF(G166="","No data",INDEX(Config!$B$5:$B$9,G166)))</f>
        <v>Medium-High</v>
      </c>
      <c r="I166" s="31" t="n">
        <f aca="false">IF(NOT(ISNUMBER($G166)),"",SUMPRODUCT(('Control Mapping'!$C$5:$C$83=D166)*('Control Mapping'!$O$5:$O$83&gt;0)))</f>
        <v>12</v>
      </c>
      <c r="J166" s="31" t="n">
        <f aca="false">IF(NOT(ISNUMBER($G166)),"",SUMPRODUCT(('Control Mapping'!$C$5:$C$83=D166)*('Control Mapping'!$F$5:$F$83="Y")*('Control Mapping'!$O$5:$O$83&gt;0)))</f>
        <v>9</v>
      </c>
      <c r="K166" s="31" t="n">
        <f aca="false">IF(NOT(ISNUMBER($G166)),"",SUMPRODUCT(('Control Mapping'!$C$5:$C$83=D166)*('Control Mapping'!$F$5:$F$83="Y")*('Control Mapping'!$O$5:$O$83=4)))</f>
        <v>0</v>
      </c>
      <c r="L166" s="29" t="n">
        <f aca="false">IF(NOT(ISNUMBER($G166)),"",IFERROR(SUMPRODUCT(('Control Mapping'!$C$5:$C$83=D166)*'Control Mapping'!$E$5:$E$83*'Control Mapping'!$O$5:$O$83)/SUMPRODUCT(('Control Mapping'!$C$5:$C$83=D166)*'Control Mapping'!$E$5:$E$83*('Control Mapping'!$O$5:$O$83&gt;0)),""))</f>
        <v>2.21052631578947</v>
      </c>
      <c r="M166" s="34" t="n">
        <f aca="false">IF(NOT(ISNUMBER($G166)),"",IF(J166=0,4,MAX(MATCH(L166,'Residual Config'!$E$11:$E$14,1),IF(K166&gt;0,'Residual Config'!$C$7,1))))</f>
        <v>2</v>
      </c>
      <c r="N166" s="7" t="str">
        <f aca="false">IF(NOT(ISNUMBER($G166)),"",IF(J166=0,"Ineffective (no key control)",INDEX('Residual Config'!$B$11:$B$14,M166)))</f>
        <v>Largely effective</v>
      </c>
      <c r="O166" s="36" t="n">
        <f aca="false">IF(NOT(ISNUMBER($G166)),"",IF(J166=0,0,SUMPRODUCT(('Control Mapping'!$C$5:$C$83=D166)*'Control Mapping'!$E$5:$E$83*(('Control Mapping'!$O$5:$O$83=1)*'Residual Config'!$D$11+('Control Mapping'!$O$5:$O$83=2)*'Residual Config'!$D$12+('Control Mapping'!$O$5:$O$83=3)*'Residual Config'!$D$13+('Control Mapping'!$O$5:$O$83=4)*'Residual Config'!$D$14))/SUMPRODUCT(('Control Mapping'!$C$5:$C$83=D166)*'Control Mapping'!$E$5:$E$83*('Control Mapping'!$O$5:$O$83&gt;0))))</f>
        <v>0.357894736842105</v>
      </c>
      <c r="P166" s="31" t="n">
        <f aca="false">IF(NOT(ISNUMBER($G166)),"",INDEX('Residual Config'!$B$19:$E$23,6-G166,M166))</f>
        <v>3</v>
      </c>
      <c r="Q166" s="29" t="n">
        <f aca="false">IF(NOT(ISNUMBER($G166)),"",MAX(1,F166*(1-O166)))</f>
        <v>2.66091478696742</v>
      </c>
      <c r="R166" s="31" t="n">
        <f aca="false">IF(NOT(ISNUMBER($G166)),"",MAX(MATCH(Q166,Config!$D$5:$D$9,1),G166-'Residual Config'!$C$6))</f>
        <v>3</v>
      </c>
      <c r="S166" s="34" t="n">
        <f aca="false">IF(NOT(ISNUMBER($G166)),"",IF('Residual Config'!$C$5="Numeric",R166,P166))</f>
        <v>3</v>
      </c>
      <c r="T166" s="7" t="str">
        <f aca="false">IF(G166="N/A","N/A",IF(S166="","No data",INDEX(Config!$B$5:$B$9,S166)))</f>
        <v>Medium</v>
      </c>
      <c r="U166" s="32" t="n">
        <v>0</v>
      </c>
      <c r="V166" s="8"/>
      <c r="W166" s="33"/>
      <c r="X166" s="34" t="n">
        <f aca="false">IF(S166="","",IF(AND(W166="Y",U166&lt;&gt;0),MAX(1,MIN(5,S166+MAX(-Config!$C$27,MIN(Config!$C$27,U166)))),S166))</f>
        <v>3</v>
      </c>
      <c r="Y166" s="35" t="str">
        <f aca="false">IF(G166="N/A","N/A",IF(X166="","No data",INDEX(Config!$B$5:$B$9,X166)))</f>
        <v>Medium</v>
      </c>
      <c r="Z166" s="7" t="str">
        <f aca="false">IF(U166=0,"None",IF(W166="Y","Applied","Pending HO approval"))</f>
        <v>None</v>
      </c>
      <c r="AA166" s="12" t="str">
        <f aca="false">INDEX('Risk Taxonomy'!$G$5:$G$24,MATCH(D166,'Risk Taxonomy'!$A$5:$A$24,0))</f>
        <v>Zero tolerance</v>
      </c>
      <c r="AB166" s="7" t="str">
        <f aca="false">INDEX('Risk Taxonomy'!$H$5:$H$24,MATCH(D166,'Risk Taxonomy'!$A$5:$A$24,0))</f>
        <v>Low</v>
      </c>
      <c r="AC166" s="35" t="str">
        <f aca="false">IF(NOT(ISNUMBER(X166)),"",IF(X166&lt;=MATCH(AB166,Config!$B$5:$B$9,0),"Within",IF(OR(X166-MATCH(AB166,Config!$B$5:$B$9,0)&gt;=2,AND('Residual Config'!$C$8="Y",ISNUMBER(SEARCH("Zero",AA166)))),"Red","Amber")))</f>
        <v>Red</v>
      </c>
      <c r="AD166" s="12" t="str">
        <f aca="false">IF(AC166="Red","Group CCO / CRO and Country CEO within 2 business days; action plan in 15 days; report to Board Risk &amp; Compliance Committee",IF(AC166="Amber","Country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67" customFormat="false" ht="15" hidden="false" customHeight="false" outlineLevel="0" collapsed="false">
      <c r="A167" s="26" t="str">
        <f aca="false">Entities!$A$13</f>
        <v>SY</v>
      </c>
      <c r="B167" s="12" t="str">
        <f aca="false">INDEX(Entities!$B$5:$B$34,MATCH(A167,Entities!$A$5:$A$34,0))</f>
        <v>Arab Bank – Syria</v>
      </c>
      <c r="C167" s="12" t="str">
        <f aca="false">INDEX(Entities!$D$5:$D$34,MATCH(A167,Entities!$A$5:$A$34,0))</f>
        <v>Levant</v>
      </c>
      <c r="D167" s="12" t="s">
        <v>270</v>
      </c>
      <c r="E167" s="12" t="str">
        <f aca="false">INDEX('Risk Taxonomy'!$B$5:$B$24,MATCH(D167,'Risk Taxonomy'!$A$5:$A$24,0))</f>
        <v>Proliferation financing</v>
      </c>
      <c r="F167" s="29" t="n">
        <f aca="false">IF(NOT(ISNUMBER(G167)),"",IFERROR(IF(MATCH(SUMIFS('FC Calculation'!$N$5:$N$214,'FC Calculation'!$A$5:$A$214,A167,'FC Calculation'!$D$5:$D$214,D167),Config!$D$5:$D$9,1)=G167,SUMIFS('FC Calculation'!$N$5:$N$214,'FC Calculation'!$A$5:$A$214,A167,'FC Calculation'!$D$5:$D$214,D167),G167),G167))</f>
        <v>4.11666666666667</v>
      </c>
      <c r="G167" s="34" t="n">
        <f aca="false">IF(COUNTIFS('FC Calculation'!$A$5:$A$214,A167,'FC Calculation'!$D$5:$D$214,D167,'FC Calculation'!$T$5:$T$214,"&gt;0")=0,"",SUMIFS('FC Calculation'!$T$5:$T$214,'FC Calculation'!$A$5:$A$214,A167,'FC Calculation'!$D$5:$D$214,D167))</f>
        <v>4</v>
      </c>
      <c r="H167" s="7" t="str">
        <f aca="false">IF(G167="N/A","N/A",IF(G167="","No data",INDEX(Config!$B$5:$B$9,G167)))</f>
        <v>Medium-High</v>
      </c>
      <c r="I167" s="31" t="n">
        <f aca="false">IF(NOT(ISNUMBER($G167)),"",SUMPRODUCT(('Control Mapping'!$C$5:$C$83=D167)*('Control Mapping'!$O$5:$O$83&gt;0)))</f>
        <v>5</v>
      </c>
      <c r="J167" s="31" t="n">
        <f aca="false">IF(NOT(ISNUMBER($G167)),"",SUMPRODUCT(('Control Mapping'!$C$5:$C$83=D167)*('Control Mapping'!$F$5:$F$83="Y")*('Control Mapping'!$O$5:$O$83&gt;0)))</f>
        <v>5</v>
      </c>
      <c r="K167" s="31" t="n">
        <f aca="false">IF(NOT(ISNUMBER($G167)),"",SUMPRODUCT(('Control Mapping'!$C$5:$C$83=D167)*('Control Mapping'!$F$5:$F$83="Y")*('Control Mapping'!$O$5:$O$83=4)))</f>
        <v>0</v>
      </c>
      <c r="L167" s="29" t="n">
        <f aca="false">IF(NOT(ISNUMBER($G167)),"",IFERROR(SUMPRODUCT(('Control Mapping'!$C$5:$C$83=D167)*'Control Mapping'!$E$5:$E$83*'Control Mapping'!$O$5:$O$83)/SUMPRODUCT(('Control Mapping'!$C$5:$C$83=D167)*'Control Mapping'!$E$5:$E$83*('Control Mapping'!$O$5:$O$83&gt;0)),""))</f>
        <v>2.2</v>
      </c>
      <c r="M167" s="34" t="n">
        <f aca="false">IF(NOT(ISNUMBER($G167)),"",IF(J167=0,4,MAX(MATCH(L167,'Residual Config'!$E$11:$E$14,1),IF(K167&gt;0,'Residual Config'!$C$7,1))))</f>
        <v>2</v>
      </c>
      <c r="N167" s="7" t="str">
        <f aca="false">IF(NOT(ISNUMBER($G167)),"",IF(J167=0,"Ineffective (no key control)",INDEX('Residual Config'!$B$11:$B$14,M167)))</f>
        <v>Largely effective</v>
      </c>
      <c r="O167" s="36" t="n">
        <f aca="false">IF(NOT(ISNUMBER($G167)),"",IF(J167=0,0,SUMPRODUCT(('Control Mapping'!$C$5:$C$83=D167)*'Control Mapping'!$E$5:$E$83*(('Control Mapping'!$O$5:$O$83=1)*'Residual Config'!$D$11+('Control Mapping'!$O$5:$O$83=2)*'Residual Config'!$D$12+('Control Mapping'!$O$5:$O$83=3)*'Residual Config'!$D$13+('Control Mapping'!$O$5:$O$83=4)*'Residual Config'!$D$14))/SUMPRODUCT(('Control Mapping'!$C$5:$C$83=D167)*'Control Mapping'!$E$5:$E$83*('Control Mapping'!$O$5:$O$83&gt;0))))</f>
        <v>0.36</v>
      </c>
      <c r="P167" s="31" t="n">
        <f aca="false">IF(NOT(ISNUMBER($G167)),"",INDEX('Residual Config'!$B$19:$E$23,6-G167,M167))</f>
        <v>3</v>
      </c>
      <c r="Q167" s="29" t="n">
        <f aca="false">IF(NOT(ISNUMBER($G167)),"",MAX(1,F167*(1-O167)))</f>
        <v>2.63466666666667</v>
      </c>
      <c r="R167" s="31" t="n">
        <f aca="false">IF(NOT(ISNUMBER($G167)),"",MAX(MATCH(Q167,Config!$D$5:$D$9,1),G167-'Residual Config'!$C$6))</f>
        <v>3</v>
      </c>
      <c r="S167" s="34" t="n">
        <f aca="false">IF(NOT(ISNUMBER($G167)),"",IF('Residual Config'!$C$5="Numeric",R167,P167))</f>
        <v>3</v>
      </c>
      <c r="T167" s="7" t="str">
        <f aca="false">IF(G167="N/A","N/A",IF(S167="","No data",INDEX(Config!$B$5:$B$9,S167)))</f>
        <v>Medium</v>
      </c>
      <c r="U167" s="32" t="n">
        <v>0</v>
      </c>
      <c r="V167" s="8"/>
      <c r="W167" s="33"/>
      <c r="X167" s="34" t="n">
        <f aca="false">IF(S167="","",IF(AND(W167="Y",U167&lt;&gt;0),MAX(1,MIN(5,S167+MAX(-Config!$C$27,MIN(Config!$C$27,U167)))),S167))</f>
        <v>3</v>
      </c>
      <c r="Y167" s="35" t="str">
        <f aca="false">IF(G167="N/A","N/A",IF(X167="","No data",INDEX(Config!$B$5:$B$9,X167)))</f>
        <v>Medium</v>
      </c>
      <c r="Z167" s="7" t="str">
        <f aca="false">IF(U167=0,"None",IF(W167="Y","Applied","Pending HO approval"))</f>
        <v>None</v>
      </c>
      <c r="AA167" s="12" t="str">
        <f aca="false">INDEX('Risk Taxonomy'!$G$5:$G$24,MATCH(D167,'Risk Taxonomy'!$A$5:$A$24,0))</f>
        <v>Zero tolerance</v>
      </c>
      <c r="AB167" s="7" t="str">
        <f aca="false">INDEX('Risk Taxonomy'!$H$5:$H$24,MATCH(D167,'Risk Taxonomy'!$A$5:$A$24,0))</f>
        <v>Low</v>
      </c>
      <c r="AC167" s="35" t="str">
        <f aca="false">IF(NOT(ISNUMBER(X167)),"",IF(X167&lt;=MATCH(AB167,Config!$B$5:$B$9,0),"Within",IF(OR(X167-MATCH(AB167,Config!$B$5:$B$9,0)&gt;=2,AND('Residual Config'!$C$8="Y",ISNUMBER(SEARCH("Zero",AA167)))),"Red","Amber")))</f>
        <v>Red</v>
      </c>
      <c r="AD167" s="12" t="str">
        <f aca="false">IF(AC167="Red","Group CCO / CRO and Country CEO within 2 business days; action plan in 15 days; report to Board Risk &amp; Compliance Committee",IF(AC167="Amber","Country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68" customFormat="false" ht="15" hidden="false" customHeight="false" outlineLevel="0" collapsed="false">
      <c r="A168" s="26" t="str">
        <f aca="false">Entities!$A$13</f>
        <v>SY</v>
      </c>
      <c r="B168" s="12" t="str">
        <f aca="false">INDEX(Entities!$B$5:$B$34,MATCH(A168,Entities!$A$5:$A$34,0))</f>
        <v>Arab Bank – Syria</v>
      </c>
      <c r="C168" s="12" t="str">
        <f aca="false">INDEX(Entities!$D$5:$D$34,MATCH(A168,Entities!$A$5:$A$34,0))</f>
        <v>Levant</v>
      </c>
      <c r="D168" s="12" t="s">
        <v>272</v>
      </c>
      <c r="E168" s="12" t="str">
        <f aca="false">INDEX('Risk Taxonomy'!$B$5:$B$24,MATCH(D168,'Risk Taxonomy'!$A$5:$A$24,0))</f>
        <v>Sanctions</v>
      </c>
      <c r="F168" s="29" t="n">
        <f aca="false">IF(NOT(ISNUMBER(G168)),"",IFERROR(IF(MATCH(SUMIFS('FC Calculation'!$N$5:$N$214,'FC Calculation'!$A$5:$A$214,A168,'FC Calculation'!$D$5:$D$214,D168),Config!$D$5:$D$9,1)=G168,SUMIFS('FC Calculation'!$N$5:$N$214,'FC Calculation'!$A$5:$A$214,A168,'FC Calculation'!$D$5:$D$214,D168),G168),G168))</f>
        <v>4.11452380952381</v>
      </c>
      <c r="G168" s="34" t="n">
        <f aca="false">IF(COUNTIFS('FC Calculation'!$A$5:$A$214,A168,'FC Calculation'!$D$5:$D$214,D168,'FC Calculation'!$T$5:$T$214,"&gt;0")=0,"",SUMIFS('FC Calculation'!$T$5:$T$214,'FC Calculation'!$A$5:$A$214,A168,'FC Calculation'!$D$5:$D$214,D168))</f>
        <v>4</v>
      </c>
      <c r="H168" s="7" t="str">
        <f aca="false">IF(G168="N/A","N/A",IF(G168="","No data",INDEX(Config!$B$5:$B$9,G168)))</f>
        <v>Medium-High</v>
      </c>
      <c r="I168" s="31" t="n">
        <f aca="false">IF(NOT(ISNUMBER($G168)),"",SUMPRODUCT(('Control Mapping'!$C$5:$C$83=D168)*('Control Mapping'!$O$5:$O$83&gt;0)))</f>
        <v>8</v>
      </c>
      <c r="J168" s="31" t="n">
        <f aca="false">IF(NOT(ISNUMBER($G168)),"",SUMPRODUCT(('Control Mapping'!$C$5:$C$83=D168)*('Control Mapping'!$F$5:$F$83="Y")*('Control Mapping'!$O$5:$O$83&gt;0)))</f>
        <v>5</v>
      </c>
      <c r="K168" s="31" t="n">
        <f aca="false">IF(NOT(ISNUMBER($G168)),"",SUMPRODUCT(('Control Mapping'!$C$5:$C$83=D168)*('Control Mapping'!$F$5:$F$83="Y")*('Control Mapping'!$O$5:$O$83=4)))</f>
        <v>0</v>
      </c>
      <c r="L168" s="29" t="n">
        <f aca="false">IF(NOT(ISNUMBER($G168)),"",IFERROR(SUMPRODUCT(('Control Mapping'!$C$5:$C$83=D168)*'Control Mapping'!$E$5:$E$83*'Control Mapping'!$O$5:$O$83)/SUMPRODUCT(('Control Mapping'!$C$5:$C$83=D168)*'Control Mapping'!$E$5:$E$83*('Control Mapping'!$O$5:$O$83&gt;0)),""))</f>
        <v>2.45454545454545</v>
      </c>
      <c r="M168" s="34" t="n">
        <f aca="false">IF(NOT(ISNUMBER($G168)),"",IF(J168=0,4,MAX(MATCH(L168,'Residual Config'!$E$11:$E$14,1),IF(K168&gt;0,'Residual Config'!$C$7,1))))</f>
        <v>2</v>
      </c>
      <c r="N168" s="7" t="str">
        <f aca="false">IF(NOT(ISNUMBER($G168)),"",IF(J168=0,"Ineffective (no key control)",INDEX('Residual Config'!$B$11:$B$14,M168)))</f>
        <v>Largely effective</v>
      </c>
      <c r="O168" s="36" t="n">
        <f aca="false">IF(NOT(ISNUMBER($G168)),"",IF(J168=0,0,SUMPRODUCT(('Control Mapping'!$C$5:$C$83=D168)*'Control Mapping'!$E$5:$E$83*(('Control Mapping'!$O$5:$O$83=1)*'Residual Config'!$D$11+('Control Mapping'!$O$5:$O$83=2)*'Residual Config'!$D$12+('Control Mapping'!$O$5:$O$83=3)*'Residual Config'!$D$13+('Control Mapping'!$O$5:$O$83=4)*'Residual Config'!$D$14))/SUMPRODUCT(('Control Mapping'!$C$5:$C$83=D168)*'Control Mapping'!$E$5:$E$83*('Control Mapping'!$O$5:$O$83&gt;0))))</f>
        <v>0.309090909090909</v>
      </c>
      <c r="P168" s="31" t="n">
        <f aca="false">IF(NOT(ISNUMBER($G168)),"",INDEX('Residual Config'!$B$19:$E$23,6-G168,M168))</f>
        <v>3</v>
      </c>
      <c r="Q168" s="29" t="n">
        <f aca="false">IF(NOT(ISNUMBER($G168)),"",MAX(1,F168*(1-O168)))</f>
        <v>2.84276190476191</v>
      </c>
      <c r="R168" s="31" t="n">
        <f aca="false">IF(NOT(ISNUMBER($G168)),"",MAX(MATCH(Q168,Config!$D$5:$D$9,1),G168-'Residual Config'!$C$6))</f>
        <v>3</v>
      </c>
      <c r="S168" s="34" t="n">
        <f aca="false">IF(NOT(ISNUMBER($G168)),"",IF('Residual Config'!$C$5="Numeric",R168,P168))</f>
        <v>3</v>
      </c>
      <c r="T168" s="7" t="str">
        <f aca="false">IF(G168="N/A","N/A",IF(S168="","No data",INDEX(Config!$B$5:$B$9,S168)))</f>
        <v>Medium</v>
      </c>
      <c r="U168" s="32" t="n">
        <v>0</v>
      </c>
      <c r="V168" s="8"/>
      <c r="W168" s="33"/>
      <c r="X168" s="34" t="n">
        <f aca="false">IF(S168="","",IF(AND(W168="Y",U168&lt;&gt;0),MAX(1,MIN(5,S168+MAX(-Config!$C$27,MIN(Config!$C$27,U168)))),S168))</f>
        <v>3</v>
      </c>
      <c r="Y168" s="35" t="str">
        <f aca="false">IF(G168="N/A","N/A",IF(X168="","No data",INDEX(Config!$B$5:$B$9,X168)))</f>
        <v>Medium</v>
      </c>
      <c r="Z168" s="7" t="str">
        <f aca="false">IF(U168=0,"None",IF(W168="Y","Applied","Pending HO approval"))</f>
        <v>None</v>
      </c>
      <c r="AA168" s="12" t="str">
        <f aca="false">INDEX('Risk Taxonomy'!$G$5:$G$24,MATCH(D168,'Risk Taxonomy'!$A$5:$A$24,0))</f>
        <v>Zero tolerance</v>
      </c>
      <c r="AB168" s="7" t="str">
        <f aca="false">INDEX('Risk Taxonomy'!$H$5:$H$24,MATCH(D168,'Risk Taxonomy'!$A$5:$A$24,0))</f>
        <v>Low</v>
      </c>
      <c r="AC168" s="35" t="str">
        <f aca="false">IF(NOT(ISNUMBER(X168)),"",IF(X168&lt;=MATCH(AB168,Config!$B$5:$B$9,0),"Within",IF(OR(X168-MATCH(AB168,Config!$B$5:$B$9,0)&gt;=2,AND('Residual Config'!$C$8="Y",ISNUMBER(SEARCH("Zero",AA168)))),"Red","Amber")))</f>
        <v>Red</v>
      </c>
      <c r="AD168" s="12" t="str">
        <f aca="false">IF(AC168="Red","Group CCO / CRO and Country CEO within 2 business days; action plan in 15 days; report to Board Risk &amp; Compliance Committee",IF(AC168="Amber","Country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69" customFormat="false" ht="15" hidden="false" customHeight="false" outlineLevel="0" collapsed="false">
      <c r="A169" s="26" t="str">
        <f aca="false">Entities!$A$13</f>
        <v>SY</v>
      </c>
      <c r="B169" s="12" t="str">
        <f aca="false">INDEX(Entities!$B$5:$B$34,MATCH(A169,Entities!$A$5:$A$34,0))</f>
        <v>Arab Bank – Syria</v>
      </c>
      <c r="C169" s="12" t="str">
        <f aca="false">INDEX(Entities!$D$5:$D$34,MATCH(A169,Entities!$A$5:$A$34,0))</f>
        <v>Levant</v>
      </c>
      <c r="D169" s="12" t="s">
        <v>275</v>
      </c>
      <c r="E169" s="12" t="str">
        <f aca="false">INDEX('Risk Taxonomy'!$B$5:$B$24,MATCH(D169,'Risk Taxonomy'!$A$5:$A$24,0))</f>
        <v>Bribery and corruption</v>
      </c>
      <c r="F169" s="29" t="n">
        <f aca="false">IF(NOT(ISNUMBER(G169)),"",IFERROR(IF(MATCH(SUMIFS('FC Calculation'!$N$5:$N$214,'FC Calculation'!$A$5:$A$214,A169,'FC Calculation'!$D$5:$D$214,D169),Config!$D$5:$D$9,1)=G169,SUMIFS('FC Calculation'!$N$5:$N$214,'FC Calculation'!$A$5:$A$214,A169,'FC Calculation'!$D$5:$D$214,D169),G169),G169))</f>
        <v>4.05833333333333</v>
      </c>
      <c r="G169" s="34" t="n">
        <f aca="false">IF(COUNTIFS('FC Calculation'!$A$5:$A$214,A169,'FC Calculation'!$D$5:$D$214,D169,'FC Calculation'!$T$5:$T$214,"&gt;0")=0,"",SUMIFS('FC Calculation'!$T$5:$T$214,'FC Calculation'!$A$5:$A$214,A169,'FC Calculation'!$D$5:$D$214,D169))</f>
        <v>4</v>
      </c>
      <c r="H169" s="7" t="str">
        <f aca="false">IF(G169="N/A","N/A",IF(G169="","No data",INDEX(Config!$B$5:$B$9,G169)))</f>
        <v>Medium-High</v>
      </c>
      <c r="I169" s="31" t="n">
        <f aca="false">IF(NOT(ISNUMBER($G169)),"",SUMPRODUCT(('Control Mapping'!$C$5:$C$83=D169)*('Control Mapping'!$O$5:$O$83&gt;0)))</f>
        <v>5</v>
      </c>
      <c r="J169" s="31" t="n">
        <f aca="false">IF(NOT(ISNUMBER($G169)),"",SUMPRODUCT(('Control Mapping'!$C$5:$C$83=D169)*('Control Mapping'!$F$5:$F$83="Y")*('Control Mapping'!$O$5:$O$83&gt;0)))</f>
        <v>2</v>
      </c>
      <c r="K169" s="31" t="n">
        <f aca="false">IF(NOT(ISNUMBER($G169)),"",SUMPRODUCT(('Control Mapping'!$C$5:$C$83=D169)*('Control Mapping'!$F$5:$F$83="Y")*('Control Mapping'!$O$5:$O$83=4)))</f>
        <v>0</v>
      </c>
      <c r="L169" s="29" t="n">
        <f aca="false">IF(NOT(ISNUMBER($G169)),"",IFERROR(SUMPRODUCT(('Control Mapping'!$C$5:$C$83=D169)*'Control Mapping'!$E$5:$E$83*'Control Mapping'!$O$5:$O$83)/SUMPRODUCT(('Control Mapping'!$C$5:$C$83=D169)*'Control Mapping'!$E$5:$E$83*('Control Mapping'!$O$5:$O$83&gt;0)),""))</f>
        <v>2.33333333333333</v>
      </c>
      <c r="M169" s="34" t="n">
        <f aca="false">IF(NOT(ISNUMBER($G169)),"",IF(J169=0,4,MAX(MATCH(L169,'Residual Config'!$E$11:$E$14,1),IF(K169&gt;0,'Residual Config'!$C$7,1))))</f>
        <v>2</v>
      </c>
      <c r="N169" s="7" t="str">
        <f aca="false">IF(NOT(ISNUMBER($G169)),"",IF(J169=0,"Ineffective (no key control)",INDEX('Residual Config'!$B$11:$B$14,M169)))</f>
        <v>Largely effective</v>
      </c>
      <c r="O169" s="36" t="n">
        <f aca="false">IF(NOT(ISNUMBER($G169)),"",IF(J169=0,0,SUMPRODUCT(('Control Mapping'!$C$5:$C$83=D169)*'Control Mapping'!$E$5:$E$83*(('Control Mapping'!$O$5:$O$83=1)*'Residual Config'!$D$11+('Control Mapping'!$O$5:$O$83=2)*'Residual Config'!$D$12+('Control Mapping'!$O$5:$O$83=3)*'Residual Config'!$D$13+('Control Mapping'!$O$5:$O$83=4)*'Residual Config'!$D$14))/SUMPRODUCT(('Control Mapping'!$C$5:$C$83=D169)*'Control Mapping'!$E$5:$E$83*('Control Mapping'!$O$5:$O$83&gt;0))))</f>
        <v>0.333333333333333</v>
      </c>
      <c r="P169" s="31" t="n">
        <f aca="false">IF(NOT(ISNUMBER($G169)),"",INDEX('Residual Config'!$B$19:$E$23,6-G169,M169))</f>
        <v>3</v>
      </c>
      <c r="Q169" s="29" t="n">
        <f aca="false">IF(NOT(ISNUMBER($G169)),"",MAX(1,F169*(1-O169)))</f>
        <v>2.70555555555556</v>
      </c>
      <c r="R169" s="31" t="n">
        <f aca="false">IF(NOT(ISNUMBER($G169)),"",MAX(MATCH(Q169,Config!$D$5:$D$9,1),G169-'Residual Config'!$C$6))</f>
        <v>3</v>
      </c>
      <c r="S169" s="34" t="n">
        <f aca="false">IF(NOT(ISNUMBER($G169)),"",IF('Residual Config'!$C$5="Numeric",R169,P169))</f>
        <v>3</v>
      </c>
      <c r="T169" s="7" t="str">
        <f aca="false">IF(G169="N/A","N/A",IF(S169="","No data",INDEX(Config!$B$5:$B$9,S169)))</f>
        <v>Medium</v>
      </c>
      <c r="U169" s="32" t="n">
        <v>0</v>
      </c>
      <c r="V169" s="8"/>
      <c r="W169" s="33"/>
      <c r="X169" s="34" t="n">
        <f aca="false">IF(S169="","",IF(AND(W169="Y",U169&lt;&gt;0),MAX(1,MIN(5,S169+MAX(-Config!$C$27,MIN(Config!$C$27,U169)))),S169))</f>
        <v>3</v>
      </c>
      <c r="Y169" s="35" t="str">
        <f aca="false">IF(G169="N/A","N/A",IF(X169="","No data",INDEX(Config!$B$5:$B$9,X169)))</f>
        <v>Medium</v>
      </c>
      <c r="Z169" s="7" t="str">
        <f aca="false">IF(U169=0,"None",IF(W169="Y","Applied","Pending HO approval"))</f>
        <v>None</v>
      </c>
      <c r="AA169" s="12" t="str">
        <f aca="false">INDEX('Risk Taxonomy'!$G$5:$G$24,MATCH(D169,'Risk Taxonomy'!$A$5:$A$24,0))</f>
        <v>Zero tolerance</v>
      </c>
      <c r="AB169" s="7" t="str">
        <f aca="false">INDEX('Risk Taxonomy'!$H$5:$H$24,MATCH(D169,'Risk Taxonomy'!$A$5:$A$24,0))</f>
        <v>Low</v>
      </c>
      <c r="AC169" s="35" t="str">
        <f aca="false">IF(NOT(ISNUMBER(X169)),"",IF(X169&lt;=MATCH(AB169,Config!$B$5:$B$9,0),"Within",IF(OR(X169-MATCH(AB169,Config!$B$5:$B$9,0)&gt;=2,AND('Residual Config'!$C$8="Y",ISNUMBER(SEARCH("Zero",AA169)))),"Red","Amber")))</f>
        <v>Red</v>
      </c>
      <c r="AD169" s="12" t="str">
        <f aca="false">IF(AC169="Red","Group CCO / CRO and Country CEO within 2 business days; action plan in 15 days; report to Board Risk &amp; Compliance Committee",IF(AC169="Amber","Country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70" customFormat="false" ht="15" hidden="false" customHeight="false" outlineLevel="0" collapsed="false">
      <c r="A170" s="26" t="str">
        <f aca="false">Entities!$A$13</f>
        <v>SY</v>
      </c>
      <c r="B170" s="12" t="str">
        <f aca="false">INDEX(Entities!$B$5:$B$34,MATCH(A170,Entities!$A$5:$A$34,0))</f>
        <v>Arab Bank – Syria</v>
      </c>
      <c r="C170" s="12" t="str">
        <f aca="false">INDEX(Entities!$D$5:$D$34,MATCH(A170,Entities!$A$5:$A$34,0))</f>
        <v>Levant</v>
      </c>
      <c r="D170" s="12" t="s">
        <v>278</v>
      </c>
      <c r="E170" s="12" t="str">
        <f aca="false">INDEX('Risk Taxonomy'!$B$5:$B$24,MATCH(D170,'Risk Taxonomy'!$A$5:$A$24,0))</f>
        <v>Fraud</v>
      </c>
      <c r="F170" s="29" t="n">
        <f aca="false">IF(NOT(ISNUMBER(G170)),"",IFERROR(IF(MATCH(SUMIFS('FC Calculation'!$N$5:$N$214,'FC Calculation'!$A$5:$A$214,A170,'FC Calculation'!$D$5:$D$214,D170),Config!$D$5:$D$9,1)=G170,SUMIFS('FC Calculation'!$N$5:$N$214,'FC Calculation'!$A$5:$A$214,A170,'FC Calculation'!$D$5:$D$214,D170),G170),G170))</f>
        <v>3.99</v>
      </c>
      <c r="G170" s="34" t="n">
        <f aca="false">IF(COUNTIFS('FC Calculation'!$A$5:$A$214,A170,'FC Calculation'!$D$5:$D$214,D170,'FC Calculation'!$T$5:$T$214,"&gt;0")=0,"",SUMIFS('FC Calculation'!$T$5:$T$214,'FC Calculation'!$A$5:$A$214,A170,'FC Calculation'!$D$5:$D$214,D170))</f>
        <v>4</v>
      </c>
      <c r="H170" s="7" t="str">
        <f aca="false">IF(G170="N/A","N/A",IF(G170="","No data",INDEX(Config!$B$5:$B$9,G170)))</f>
        <v>Medium-High</v>
      </c>
      <c r="I170" s="31" t="n">
        <f aca="false">IF(NOT(ISNUMBER($G170)),"",SUMPRODUCT(('Control Mapping'!$C$5:$C$83=D170)*('Control Mapping'!$O$5:$O$83&gt;0)))</f>
        <v>6</v>
      </c>
      <c r="J170" s="31" t="n">
        <f aca="false">IF(NOT(ISNUMBER($G170)),"",SUMPRODUCT(('Control Mapping'!$C$5:$C$83=D170)*('Control Mapping'!$F$5:$F$83="Y")*('Control Mapping'!$O$5:$O$83&gt;0)))</f>
        <v>5</v>
      </c>
      <c r="K170" s="31" t="n">
        <f aca="false">IF(NOT(ISNUMBER($G170)),"",SUMPRODUCT(('Control Mapping'!$C$5:$C$83=D170)*('Control Mapping'!$F$5:$F$83="Y")*('Control Mapping'!$O$5:$O$83=4)))</f>
        <v>0</v>
      </c>
      <c r="L170" s="29" t="n">
        <f aca="false">IF(NOT(ISNUMBER($G170)),"",IFERROR(SUMPRODUCT(('Control Mapping'!$C$5:$C$83=D170)*'Control Mapping'!$E$5:$E$83*'Control Mapping'!$O$5:$O$83)/SUMPRODUCT(('Control Mapping'!$C$5:$C$83=D170)*'Control Mapping'!$E$5:$E$83*('Control Mapping'!$O$5:$O$83&gt;0)),""))</f>
        <v>2.4</v>
      </c>
      <c r="M170" s="34" t="n">
        <f aca="false">IF(NOT(ISNUMBER($G170)),"",IF(J170=0,4,MAX(MATCH(L170,'Residual Config'!$E$11:$E$14,1),IF(K170&gt;0,'Residual Config'!$C$7,1))))</f>
        <v>2</v>
      </c>
      <c r="N170" s="7" t="str">
        <f aca="false">IF(NOT(ISNUMBER($G170)),"",IF(J170=0,"Ineffective (no key control)",INDEX('Residual Config'!$B$11:$B$14,M170)))</f>
        <v>Largely effective</v>
      </c>
      <c r="O170" s="36" t="n">
        <f aca="false">IF(NOT(ISNUMBER($G170)),"",IF(J170=0,0,SUMPRODUCT(('Control Mapping'!$C$5:$C$83=D170)*'Control Mapping'!$E$5:$E$83*(('Control Mapping'!$O$5:$O$83=1)*'Residual Config'!$D$11+('Control Mapping'!$O$5:$O$83=2)*'Residual Config'!$D$12+('Control Mapping'!$O$5:$O$83=3)*'Residual Config'!$D$13+('Control Mapping'!$O$5:$O$83=4)*'Residual Config'!$D$14))/SUMPRODUCT(('Control Mapping'!$C$5:$C$83=D170)*'Control Mapping'!$E$5:$E$83*('Control Mapping'!$O$5:$O$83&gt;0))))</f>
        <v>0.32</v>
      </c>
      <c r="P170" s="31" t="n">
        <f aca="false">IF(NOT(ISNUMBER($G170)),"",INDEX('Residual Config'!$B$19:$E$23,6-G170,M170))</f>
        <v>3</v>
      </c>
      <c r="Q170" s="29" t="n">
        <f aca="false">IF(NOT(ISNUMBER($G170)),"",MAX(1,F170*(1-O170)))</f>
        <v>2.7132</v>
      </c>
      <c r="R170" s="31" t="n">
        <f aca="false">IF(NOT(ISNUMBER($G170)),"",MAX(MATCH(Q170,Config!$D$5:$D$9,1),G170-'Residual Config'!$C$6))</f>
        <v>3</v>
      </c>
      <c r="S170" s="34" t="n">
        <f aca="false">IF(NOT(ISNUMBER($G170)),"",IF('Residual Config'!$C$5="Numeric",R170,P170))</f>
        <v>3</v>
      </c>
      <c r="T170" s="7" t="str">
        <f aca="false">IF(G170="N/A","N/A",IF(S170="","No data",INDEX(Config!$B$5:$B$9,S170)))</f>
        <v>Medium</v>
      </c>
      <c r="U170" s="32" t="n">
        <v>0</v>
      </c>
      <c r="V170" s="8"/>
      <c r="W170" s="33"/>
      <c r="X170" s="34" t="n">
        <f aca="false">IF(S170="","",IF(AND(W170="Y",U170&lt;&gt;0),MAX(1,MIN(5,S170+MAX(-Config!$C$27,MIN(Config!$C$27,U170)))),S170))</f>
        <v>3</v>
      </c>
      <c r="Y170" s="35" t="str">
        <f aca="false">IF(G170="N/A","N/A",IF(X170="","No data",INDEX(Config!$B$5:$B$9,X170)))</f>
        <v>Medium</v>
      </c>
      <c r="Z170" s="7" t="str">
        <f aca="false">IF(U170=0,"None",IF(W170="Y","Applied","Pending HO approval"))</f>
        <v>None</v>
      </c>
      <c r="AA170" s="12" t="str">
        <f aca="false">INDEX('Risk Taxonomy'!$G$5:$G$24,MATCH(D170,'Risk Taxonomy'!$A$5:$A$24,0))</f>
        <v>Low</v>
      </c>
      <c r="AB170" s="7" t="str">
        <f aca="false">INDEX('Risk Taxonomy'!$H$5:$H$24,MATCH(D170,'Risk Taxonomy'!$A$5:$A$24,0))</f>
        <v>Medium</v>
      </c>
      <c r="AC170" s="35" t="str">
        <f aca="false">IF(NOT(ISNUMBER(X170)),"",IF(X170&lt;=MATCH(AB170,Config!$B$5:$B$9,0),"Within",IF(OR(X170-MATCH(AB170,Config!$B$5:$B$9,0)&gt;=2,AND('Residual Config'!$C$8="Y",ISNUMBER(SEARCH("Zero",AA170)))),"Red","Amber")))</f>
        <v>Within</v>
      </c>
      <c r="AD170" s="12" t="str">
        <f aca="false">IF(AC170="Red","Group CCO / CRO and Country CEO within 2 business days; action plan in 15 days; report to Board Risk &amp; Compliance Committee",IF(AC170="Amber","Country CO, risk owner and HO Administrator within 5 business days; action plan in 30 days",""))</f>
        <v/>
      </c>
    </row>
    <row r="171" customFormat="false" ht="15" hidden="false" customHeight="false" outlineLevel="0" collapsed="false">
      <c r="A171" s="26" t="str">
        <f aca="false">Entities!$A$13</f>
        <v>SY</v>
      </c>
      <c r="B171" s="12" t="str">
        <f aca="false">INDEX(Entities!$B$5:$B$34,MATCH(A171,Entities!$A$5:$A$34,0))</f>
        <v>Arab Bank – Syria</v>
      </c>
      <c r="C171" s="12" t="str">
        <f aca="false">INDEX(Entities!$D$5:$D$34,MATCH(A171,Entities!$A$5:$A$34,0))</f>
        <v>Levant</v>
      </c>
      <c r="D171" s="12" t="s">
        <v>281</v>
      </c>
      <c r="E171" s="12" t="str">
        <f aca="false">INDEX('Risk Taxonomy'!$B$5:$B$24,MATCH(D171,'Risk Taxonomy'!$A$5:$A$24,0))</f>
        <v>Tax evasion and tax transparency</v>
      </c>
      <c r="F171" s="29" t="n">
        <f aca="false">IF(NOT(ISNUMBER(G171)),"",IFERROR(IF(MATCH(SUMIFS('FC Calculation'!$N$5:$N$214,'FC Calculation'!$A$5:$A$214,A171,'FC Calculation'!$D$5:$D$214,D171),Config!$D$5:$D$9,1)=G171,SUMIFS('FC Calculation'!$N$5:$N$214,'FC Calculation'!$A$5:$A$214,A171,'FC Calculation'!$D$5:$D$214,D171),G171),G171))</f>
        <v>3.91166666666667</v>
      </c>
      <c r="G171" s="34" t="n">
        <f aca="false">IF(COUNTIFS('FC Calculation'!$A$5:$A$214,A171,'FC Calculation'!$D$5:$D$214,D171,'FC Calculation'!$T$5:$T$214,"&gt;0")=0,"",SUMIFS('FC Calculation'!$T$5:$T$214,'FC Calculation'!$A$5:$A$214,A171,'FC Calculation'!$D$5:$D$214,D171))</f>
        <v>4</v>
      </c>
      <c r="H171" s="7" t="str">
        <f aca="false">IF(G171="N/A","N/A",IF(G171="","No data",INDEX(Config!$B$5:$B$9,G171)))</f>
        <v>Medium-High</v>
      </c>
      <c r="I171" s="31" t="n">
        <f aca="false">IF(NOT(ISNUMBER($G171)),"",SUMPRODUCT(('Control Mapping'!$C$5:$C$83=D171)*('Control Mapping'!$O$5:$O$83&gt;0)))</f>
        <v>5</v>
      </c>
      <c r="J171" s="31" t="n">
        <f aca="false">IF(NOT(ISNUMBER($G171)),"",SUMPRODUCT(('Control Mapping'!$C$5:$C$83=D171)*('Control Mapping'!$F$5:$F$83="Y")*('Control Mapping'!$O$5:$O$83&gt;0)))</f>
        <v>4</v>
      </c>
      <c r="K171" s="31" t="n">
        <f aca="false">IF(NOT(ISNUMBER($G171)),"",SUMPRODUCT(('Control Mapping'!$C$5:$C$83=D171)*('Control Mapping'!$F$5:$F$83="Y")*('Control Mapping'!$O$5:$O$83=4)))</f>
        <v>0</v>
      </c>
      <c r="L171" s="29" t="n">
        <f aca="false">IF(NOT(ISNUMBER($G171)),"",IFERROR(SUMPRODUCT(('Control Mapping'!$C$5:$C$83=D171)*'Control Mapping'!$E$5:$E$83*'Control Mapping'!$O$5:$O$83)/SUMPRODUCT(('Control Mapping'!$C$5:$C$83=D171)*'Control Mapping'!$E$5:$E$83*('Control Mapping'!$O$5:$O$83&gt;0)),""))</f>
        <v>2.55555555555556</v>
      </c>
      <c r="M171" s="34" t="n">
        <f aca="false">IF(NOT(ISNUMBER($G171)),"",IF(J171=0,4,MAX(MATCH(L171,'Residual Config'!$E$11:$E$14,1),IF(K171&gt;0,'Residual Config'!$C$7,1))))</f>
        <v>3</v>
      </c>
      <c r="N171" s="7" t="str">
        <f aca="false">IF(NOT(ISNUMBER($G171)),"",IF(J171=0,"Ineffective (no key control)",INDEX('Residual Config'!$B$11:$B$14,M171)))</f>
        <v>Partially effective</v>
      </c>
      <c r="O171" s="36" t="n">
        <f aca="false">IF(NOT(ISNUMBER($G171)),"",IF(J171=0,0,SUMPRODUCT(('Control Mapping'!$C$5:$C$83=D171)*'Control Mapping'!$E$5:$E$83*(('Control Mapping'!$O$5:$O$83=1)*'Residual Config'!$D$11+('Control Mapping'!$O$5:$O$83=2)*'Residual Config'!$D$12+('Control Mapping'!$O$5:$O$83=3)*'Residual Config'!$D$13+('Control Mapping'!$O$5:$O$83=4)*'Residual Config'!$D$14))/SUMPRODUCT(('Control Mapping'!$C$5:$C$83=D171)*'Control Mapping'!$E$5:$E$83*('Control Mapping'!$O$5:$O$83&gt;0))))</f>
        <v>0.288888888888889</v>
      </c>
      <c r="P171" s="31" t="n">
        <f aca="false">IF(NOT(ISNUMBER($G171)),"",INDEX('Residual Config'!$B$19:$E$23,6-G171,M171))</f>
        <v>4</v>
      </c>
      <c r="Q171" s="29" t="n">
        <f aca="false">IF(NOT(ISNUMBER($G171)),"",MAX(1,F171*(1-O171)))</f>
        <v>2.78162962962963</v>
      </c>
      <c r="R171" s="31" t="n">
        <f aca="false">IF(NOT(ISNUMBER($G171)),"",MAX(MATCH(Q171,Config!$D$5:$D$9,1),G171-'Residual Config'!$C$6))</f>
        <v>3</v>
      </c>
      <c r="S171" s="34" t="n">
        <f aca="false">IF(NOT(ISNUMBER($G171)),"",IF('Residual Config'!$C$5="Numeric",R171,P171))</f>
        <v>4</v>
      </c>
      <c r="T171" s="7" t="str">
        <f aca="false">IF(G171="N/A","N/A",IF(S171="","No data",INDEX(Config!$B$5:$B$9,S171)))</f>
        <v>Medium-High</v>
      </c>
      <c r="U171" s="32" t="n">
        <v>0</v>
      </c>
      <c r="V171" s="8"/>
      <c r="W171" s="33"/>
      <c r="X171" s="34" t="n">
        <f aca="false">IF(S171="","",IF(AND(W171="Y",U171&lt;&gt;0),MAX(1,MIN(5,S171+MAX(-Config!$C$27,MIN(Config!$C$27,U171)))),S171))</f>
        <v>4</v>
      </c>
      <c r="Y171" s="35" t="str">
        <f aca="false">IF(G171="N/A","N/A",IF(X171="","No data",INDEX(Config!$B$5:$B$9,X171)))</f>
        <v>Medium-High</v>
      </c>
      <c r="Z171" s="7" t="str">
        <f aca="false">IF(U171=0,"None",IF(W171="Y","Applied","Pending HO approval"))</f>
        <v>None</v>
      </c>
      <c r="AA171" s="12" t="str">
        <f aca="false">INDEX('Risk Taxonomy'!$G$5:$G$24,MATCH(D171,'Risk Taxonomy'!$A$5:$A$24,0))</f>
        <v>Zero tolerance (facilitation)</v>
      </c>
      <c r="AB171" s="7" t="str">
        <f aca="false">INDEX('Risk Taxonomy'!$H$5:$H$24,MATCH(D171,'Risk Taxonomy'!$A$5:$A$24,0))</f>
        <v>Low</v>
      </c>
      <c r="AC171" s="35" t="str">
        <f aca="false">IF(NOT(ISNUMBER(X171)),"",IF(X171&lt;=MATCH(AB171,Config!$B$5:$B$9,0),"Within",IF(OR(X171-MATCH(AB171,Config!$B$5:$B$9,0)&gt;=2,AND('Residual Config'!$C$8="Y",ISNUMBER(SEARCH("Zero",AA171)))),"Red","Amber")))</f>
        <v>Red</v>
      </c>
      <c r="AD171" s="12" t="str">
        <f aca="false">IF(AC171="Red","Group CCO / CRO and Country CEO within 2 business days; action plan in 15 days; report to Board Risk &amp; Compliance Committee",IF(AC171="Amber","Country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72" customFormat="false" ht="15" hidden="false" customHeight="false" outlineLevel="0" collapsed="false">
      <c r="A172" s="26" t="str">
        <f aca="false">Entities!$A$13</f>
        <v>SY</v>
      </c>
      <c r="B172" s="12" t="str">
        <f aca="false">INDEX(Entities!$B$5:$B$34,MATCH(A172,Entities!$A$5:$A$34,0))</f>
        <v>Arab Bank – Syria</v>
      </c>
      <c r="C172" s="12" t="str">
        <f aca="false">INDEX(Entities!$D$5:$D$34,MATCH(A172,Entities!$A$5:$A$34,0))</f>
        <v>Levant</v>
      </c>
      <c r="D172" s="12" t="s">
        <v>284</v>
      </c>
      <c r="E172" s="12" t="str">
        <f aca="false">INDEX('Risk Taxonomy'!$B$5:$B$24,MATCH(D172,'Risk Taxonomy'!$A$5:$A$24,0))</f>
        <v>Regulatory compliance</v>
      </c>
      <c r="F172" s="29" t="n">
        <f aca="false">IF(NOT(ISNUMBER(G172)),"",G172)</f>
        <v>5</v>
      </c>
      <c r="G172" s="34" t="n">
        <f aca="false">IF(COUNTIFS('LxI Assessment'!$A$5:$A$394,A172,'LxI Assessment'!$D$5:$D$394,D172,'LxI Assessment'!$F$5:$F$394,"N/A")&gt;0,"N/A",IF(COUNTIFS('LxI Assessment'!$A$5:$A$394,A172,'LxI Assessment'!$D$5:$D$394,D172,'LxI Assessment'!$S$5:$S$394,"&gt;0")=0,"",SUMIFS('LxI Assessment'!$S$5:$S$394,'LxI Assessment'!$A$5:$A$394,A172,'LxI Assessment'!$D$5:$D$394,D172)))</f>
        <v>5</v>
      </c>
      <c r="H172" s="7" t="str">
        <f aca="false">IF(G172="N/A","N/A",IF(G172="","No data",INDEX(Config!$B$5:$B$9,G172)))</f>
        <v>High</v>
      </c>
      <c r="I172" s="31" t="n">
        <f aca="false">IF(NOT(ISNUMBER($G172)),"",SUMPRODUCT(('Control Mapping'!$C$5:$C$83=D172)*('Control Mapping'!$O$5:$O$83&gt;0)))</f>
        <v>4</v>
      </c>
      <c r="J172" s="31" t="n">
        <f aca="false">IF(NOT(ISNUMBER($G172)),"",SUMPRODUCT(('Control Mapping'!$C$5:$C$83=D172)*('Control Mapping'!$F$5:$F$83="Y")*('Control Mapping'!$O$5:$O$83&gt;0)))</f>
        <v>3</v>
      </c>
      <c r="K172" s="31" t="n">
        <f aca="false">IF(NOT(ISNUMBER($G172)),"",SUMPRODUCT(('Control Mapping'!$C$5:$C$83=D172)*('Control Mapping'!$F$5:$F$83="Y")*('Control Mapping'!$O$5:$O$83=4)))</f>
        <v>1</v>
      </c>
      <c r="L172" s="29" t="n">
        <f aca="false">IF(NOT(ISNUMBER($G172)),"",IFERROR(SUMPRODUCT(('Control Mapping'!$C$5:$C$83=D172)*'Control Mapping'!$E$5:$E$83*'Control Mapping'!$O$5:$O$83)/SUMPRODUCT(('Control Mapping'!$C$5:$C$83=D172)*'Control Mapping'!$E$5:$E$83*('Control Mapping'!$O$5:$O$83&gt;0)),""))</f>
        <v>3</v>
      </c>
      <c r="M172" s="34" t="n">
        <f aca="false">IF(NOT(ISNUMBER($G172)),"",IF(J172=0,4,MAX(MATCH(L172,'Residual Config'!$E$11:$E$14,1),IF(K172&gt;0,'Residual Config'!$C$7,1))))</f>
        <v>3</v>
      </c>
      <c r="N172" s="7" t="str">
        <f aca="false">IF(NOT(ISNUMBER($G172)),"",IF(J172=0,"Ineffective (no key control)",INDEX('Residual Config'!$B$11:$B$14,M172)))</f>
        <v>Partially effective</v>
      </c>
      <c r="O172" s="36" t="n">
        <f aca="false">IF(NOT(ISNUMBER($G172)),"",IF(J172=0,0,SUMPRODUCT(('Control Mapping'!$C$5:$C$83=D172)*'Control Mapping'!$E$5:$E$83*(('Control Mapping'!$O$5:$O$83=1)*'Residual Config'!$D$11+('Control Mapping'!$O$5:$O$83=2)*'Residual Config'!$D$12+('Control Mapping'!$O$5:$O$83=3)*'Residual Config'!$D$13+('Control Mapping'!$O$5:$O$83=4)*'Residual Config'!$D$14))/SUMPRODUCT(('Control Mapping'!$C$5:$C$83=D172)*'Control Mapping'!$E$5:$E$83*('Control Mapping'!$O$5:$O$83&gt;0))))</f>
        <v>0.2</v>
      </c>
      <c r="P172" s="31" t="n">
        <f aca="false">IF(NOT(ISNUMBER($G172)),"",INDEX('Residual Config'!$B$19:$E$23,6-G172,M172))</f>
        <v>5</v>
      </c>
      <c r="Q172" s="29" t="n">
        <f aca="false">IF(NOT(ISNUMBER($G172)),"",MAX(1,F172*(1-O172)))</f>
        <v>4</v>
      </c>
      <c r="R172" s="31" t="n">
        <f aca="false">IF(NOT(ISNUMBER($G172)),"",MAX(MATCH(Q172,Config!$D$5:$D$9,1),G172-'Residual Config'!$C$6))</f>
        <v>4</v>
      </c>
      <c r="S172" s="34" t="n">
        <f aca="false">IF(NOT(ISNUMBER($G172)),"",IF('Residual Config'!$C$5="Numeric",R172,P172))</f>
        <v>5</v>
      </c>
      <c r="T172" s="7" t="str">
        <f aca="false">IF(G172="N/A","N/A",IF(S172="","No data",INDEX(Config!$B$5:$B$9,S172)))</f>
        <v>High</v>
      </c>
      <c r="U172" s="32" t="n">
        <v>0</v>
      </c>
      <c r="V172" s="8"/>
      <c r="W172" s="33"/>
      <c r="X172" s="34" t="n">
        <f aca="false">IF(S172="","",IF(AND(W172="Y",U172&lt;&gt;0),MAX(1,MIN(5,S172+MAX(-Config!$C$27,MIN(Config!$C$27,U172)))),S172))</f>
        <v>5</v>
      </c>
      <c r="Y172" s="35" t="str">
        <f aca="false">IF(G172="N/A","N/A",IF(X172="","No data",INDEX(Config!$B$5:$B$9,X172)))</f>
        <v>High</v>
      </c>
      <c r="Z172" s="7" t="str">
        <f aca="false">IF(U172=0,"None",IF(W172="Y","Applied","Pending HO approval"))</f>
        <v>None</v>
      </c>
      <c r="AA172" s="12" t="str">
        <f aca="false">INDEX('Risk Taxonomy'!$G$5:$G$24,MATCH(D172,'Risk Taxonomy'!$A$5:$A$24,0))</f>
        <v>Very low</v>
      </c>
      <c r="AB172" s="7" t="str">
        <f aca="false">INDEX('Risk Taxonomy'!$H$5:$H$24,MATCH(D172,'Risk Taxonomy'!$A$5:$A$24,0))</f>
        <v>Medium-Low</v>
      </c>
      <c r="AC172" s="35" t="str">
        <f aca="false">IF(NOT(ISNUMBER(X172)),"",IF(X172&lt;=MATCH(AB172,Config!$B$5:$B$9,0),"Within",IF(OR(X172-MATCH(AB172,Config!$B$5:$B$9,0)&gt;=2,AND('Residual Config'!$C$8="Y",ISNUMBER(SEARCH("Zero",AA172)))),"Red","Amber")))</f>
        <v>Red</v>
      </c>
      <c r="AD172" s="12" t="str">
        <f aca="false">IF(AC172="Red","Group CCO / CRO and Country CEO within 2 business days; action plan in 15 days; report to Board Risk &amp; Compliance Committee",IF(AC172="Amber","Country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73" customFormat="false" ht="15" hidden="false" customHeight="false" outlineLevel="0" collapsed="false">
      <c r="A173" s="26" t="str">
        <f aca="false">Entities!$A$13</f>
        <v>SY</v>
      </c>
      <c r="B173" s="12" t="str">
        <f aca="false">INDEX(Entities!$B$5:$B$34,MATCH(A173,Entities!$A$5:$A$34,0))</f>
        <v>Arab Bank – Syria</v>
      </c>
      <c r="C173" s="12" t="str">
        <f aca="false">INDEX(Entities!$D$5:$D$34,MATCH(A173,Entities!$A$5:$A$34,0))</f>
        <v>Levant</v>
      </c>
      <c r="D173" s="12" t="s">
        <v>288</v>
      </c>
      <c r="E173" s="12" t="str">
        <f aca="false">INDEX('Risk Taxonomy'!$B$5:$B$24,MATCH(D173,'Risk Taxonomy'!$A$5:$A$24,0))</f>
        <v>Conduct and consumer protection</v>
      </c>
      <c r="F173" s="29" t="n">
        <f aca="false">IF(NOT(ISNUMBER(G173)),"",G173)</f>
        <v>5</v>
      </c>
      <c r="G173" s="34" t="n">
        <f aca="false">IF(COUNTIFS('LxI Assessment'!$A$5:$A$394,A173,'LxI Assessment'!$D$5:$D$394,D173,'LxI Assessment'!$F$5:$F$394,"N/A")&gt;0,"N/A",IF(COUNTIFS('LxI Assessment'!$A$5:$A$394,A173,'LxI Assessment'!$D$5:$D$394,D173,'LxI Assessment'!$S$5:$S$394,"&gt;0")=0,"",SUMIFS('LxI Assessment'!$S$5:$S$394,'LxI Assessment'!$A$5:$A$394,A173,'LxI Assessment'!$D$5:$D$394,D173)))</f>
        <v>5</v>
      </c>
      <c r="H173" s="7" t="str">
        <f aca="false">IF(G173="N/A","N/A",IF(G173="","No data",INDEX(Config!$B$5:$B$9,G173)))</f>
        <v>High</v>
      </c>
      <c r="I173" s="31" t="n">
        <f aca="false">IF(NOT(ISNUMBER($G173)),"",SUMPRODUCT(('Control Mapping'!$C$5:$C$83=D173)*('Control Mapping'!$O$5:$O$83&gt;0)))</f>
        <v>2</v>
      </c>
      <c r="J173" s="31" t="n">
        <f aca="false">IF(NOT(ISNUMBER($G173)),"",SUMPRODUCT(('Control Mapping'!$C$5:$C$83=D173)*('Control Mapping'!$F$5:$F$83="Y")*('Control Mapping'!$O$5:$O$83&gt;0)))</f>
        <v>1</v>
      </c>
      <c r="K173" s="31" t="n">
        <f aca="false">IF(NOT(ISNUMBER($G173)),"",SUMPRODUCT(('Control Mapping'!$C$5:$C$83=D173)*('Control Mapping'!$F$5:$F$83="Y")*('Control Mapping'!$O$5:$O$83=4)))</f>
        <v>0</v>
      </c>
      <c r="L173" s="29" t="n">
        <f aca="false">IF(NOT(ISNUMBER($G173)),"",IFERROR(SUMPRODUCT(('Control Mapping'!$C$5:$C$83=D173)*'Control Mapping'!$E$5:$E$83*'Control Mapping'!$O$5:$O$83)/SUMPRODUCT(('Control Mapping'!$C$5:$C$83=D173)*'Control Mapping'!$E$5:$E$83*('Control Mapping'!$O$5:$O$83&gt;0)),""))</f>
        <v>2</v>
      </c>
      <c r="M173" s="34" t="n">
        <f aca="false">IF(NOT(ISNUMBER($G173)),"",IF(J173=0,4,MAX(MATCH(L173,'Residual Config'!$E$11:$E$14,1),IF(K173&gt;0,'Residual Config'!$C$7,1))))</f>
        <v>2</v>
      </c>
      <c r="N173" s="7" t="str">
        <f aca="false">IF(NOT(ISNUMBER($G173)),"",IF(J173=0,"Ineffective (no key control)",INDEX('Residual Config'!$B$11:$B$14,M173)))</f>
        <v>Largely effective</v>
      </c>
      <c r="O173" s="36" t="n">
        <f aca="false">IF(NOT(ISNUMBER($G173)),"",IF(J173=0,0,SUMPRODUCT(('Control Mapping'!$C$5:$C$83=D173)*'Control Mapping'!$E$5:$E$83*(('Control Mapping'!$O$5:$O$83=1)*'Residual Config'!$D$11+('Control Mapping'!$O$5:$O$83=2)*'Residual Config'!$D$12+('Control Mapping'!$O$5:$O$83=3)*'Residual Config'!$D$13+('Control Mapping'!$O$5:$O$83=4)*'Residual Config'!$D$14))/SUMPRODUCT(('Control Mapping'!$C$5:$C$83=D173)*'Control Mapping'!$E$5:$E$83*('Control Mapping'!$O$5:$O$83&gt;0))))</f>
        <v>0.4</v>
      </c>
      <c r="P173" s="31" t="n">
        <f aca="false">IF(NOT(ISNUMBER($G173)),"",INDEX('Residual Config'!$B$19:$E$23,6-G173,M173))</f>
        <v>4</v>
      </c>
      <c r="Q173" s="29" t="n">
        <f aca="false">IF(NOT(ISNUMBER($G173)),"",MAX(1,F173*(1-O173)))</f>
        <v>3</v>
      </c>
      <c r="R173" s="31" t="n">
        <f aca="false">IF(NOT(ISNUMBER($G173)),"",MAX(MATCH(Q173,Config!$D$5:$D$9,1),G173-'Residual Config'!$C$6))</f>
        <v>3</v>
      </c>
      <c r="S173" s="34" t="n">
        <f aca="false">IF(NOT(ISNUMBER($G173)),"",IF('Residual Config'!$C$5="Numeric",R173,P173))</f>
        <v>4</v>
      </c>
      <c r="T173" s="7" t="str">
        <f aca="false">IF(G173="N/A","N/A",IF(S173="","No data",INDEX(Config!$B$5:$B$9,S173)))</f>
        <v>Medium-High</v>
      </c>
      <c r="U173" s="32" t="n">
        <v>0</v>
      </c>
      <c r="V173" s="8"/>
      <c r="W173" s="33"/>
      <c r="X173" s="34" t="n">
        <f aca="false">IF(S173="","",IF(AND(W173="Y",U173&lt;&gt;0),MAX(1,MIN(5,S173+MAX(-Config!$C$27,MIN(Config!$C$27,U173)))),S173))</f>
        <v>4</v>
      </c>
      <c r="Y173" s="35" t="str">
        <f aca="false">IF(G173="N/A","N/A",IF(X173="","No data",INDEX(Config!$B$5:$B$9,X173)))</f>
        <v>Medium-High</v>
      </c>
      <c r="Z173" s="7" t="str">
        <f aca="false">IF(U173=0,"None",IF(W173="Y","Applied","Pending HO approval"))</f>
        <v>None</v>
      </c>
      <c r="AA173" s="12" t="str">
        <f aca="false">INDEX('Risk Taxonomy'!$G$5:$G$24,MATCH(D173,'Risk Taxonomy'!$A$5:$A$24,0))</f>
        <v>Low</v>
      </c>
      <c r="AB173" s="7" t="str">
        <f aca="false">INDEX('Risk Taxonomy'!$H$5:$H$24,MATCH(D173,'Risk Taxonomy'!$A$5:$A$24,0))</f>
        <v>Medium</v>
      </c>
      <c r="AC173" s="35" t="str">
        <f aca="false">IF(NOT(ISNUMBER(X173)),"",IF(X173&lt;=MATCH(AB173,Config!$B$5:$B$9,0),"Within",IF(OR(X173-MATCH(AB173,Config!$B$5:$B$9,0)&gt;=2,AND('Residual Config'!$C$8="Y",ISNUMBER(SEARCH("Zero",AA173)))),"Red","Amber")))</f>
        <v>Amber</v>
      </c>
      <c r="AD173" s="12" t="str">
        <f aca="false">IF(AC173="Red","Group CCO / CRO and Country CEO within 2 business days; action plan in 15 days; report to Board Risk &amp; Compliance Committee",IF(AC173="Amber","Country CO, risk owner and HO Administrator within 5 business days; action plan in 30 days",""))</f>
        <v>Country CO, risk owner and HO Administrator within 5 business days; action plan in 30 days</v>
      </c>
    </row>
    <row r="174" customFormat="false" ht="15" hidden="false" customHeight="false" outlineLevel="0" collapsed="false">
      <c r="A174" s="26" t="str">
        <f aca="false">Entities!$A$13</f>
        <v>SY</v>
      </c>
      <c r="B174" s="12" t="str">
        <f aca="false">INDEX(Entities!$B$5:$B$34,MATCH(A174,Entities!$A$5:$A$34,0))</f>
        <v>Arab Bank – Syria</v>
      </c>
      <c r="C174" s="12" t="str">
        <f aca="false">INDEX(Entities!$D$5:$D$34,MATCH(A174,Entities!$A$5:$A$34,0))</f>
        <v>Levant</v>
      </c>
      <c r="D174" s="12" t="s">
        <v>290</v>
      </c>
      <c r="E174" s="12" t="str">
        <f aca="false">INDEX('Risk Taxonomy'!$B$5:$B$24,MATCH(D174,'Risk Taxonomy'!$A$5:$A$24,0))</f>
        <v>Data protection and privacy</v>
      </c>
      <c r="F174" s="29" t="n">
        <f aca="false">IF(NOT(ISNUMBER(G174)),"",G174)</f>
        <v>3</v>
      </c>
      <c r="G174" s="34" t="n">
        <f aca="false">IF(COUNTIFS('LxI Assessment'!$A$5:$A$394,A174,'LxI Assessment'!$D$5:$D$394,D174,'LxI Assessment'!$F$5:$F$394,"N/A")&gt;0,"N/A",IF(COUNTIFS('LxI Assessment'!$A$5:$A$394,A174,'LxI Assessment'!$D$5:$D$394,D174,'LxI Assessment'!$S$5:$S$394,"&gt;0")=0,"",SUMIFS('LxI Assessment'!$S$5:$S$394,'LxI Assessment'!$A$5:$A$394,A174,'LxI Assessment'!$D$5:$D$394,D174)))</f>
        <v>3</v>
      </c>
      <c r="H174" s="7" t="str">
        <f aca="false">IF(G174="N/A","N/A",IF(G174="","No data",INDEX(Config!$B$5:$B$9,G174)))</f>
        <v>Medium</v>
      </c>
      <c r="I174" s="31" t="n">
        <f aca="false">IF(NOT(ISNUMBER($G174)),"",SUMPRODUCT(('Control Mapping'!$C$5:$C$83=D174)*('Control Mapping'!$O$5:$O$83&gt;0)))</f>
        <v>2</v>
      </c>
      <c r="J174" s="31" t="n">
        <f aca="false">IF(NOT(ISNUMBER($G174)),"",SUMPRODUCT(('Control Mapping'!$C$5:$C$83=D174)*('Control Mapping'!$F$5:$F$83="Y")*('Control Mapping'!$O$5:$O$83&gt;0)))</f>
        <v>2</v>
      </c>
      <c r="K174" s="31" t="n">
        <f aca="false">IF(NOT(ISNUMBER($G174)),"",SUMPRODUCT(('Control Mapping'!$C$5:$C$83=D174)*('Control Mapping'!$F$5:$F$83="Y")*('Control Mapping'!$O$5:$O$83=4)))</f>
        <v>0</v>
      </c>
      <c r="L174" s="29" t="n">
        <f aca="false">IF(NOT(ISNUMBER($G174)),"",IFERROR(SUMPRODUCT(('Control Mapping'!$C$5:$C$83=D174)*'Control Mapping'!$E$5:$E$83*'Control Mapping'!$O$5:$O$83)/SUMPRODUCT(('Control Mapping'!$C$5:$C$83=D174)*'Control Mapping'!$E$5:$E$83*('Control Mapping'!$O$5:$O$83&gt;0)),""))</f>
        <v>2.5</v>
      </c>
      <c r="M174" s="34" t="n">
        <f aca="false">IF(NOT(ISNUMBER($G174)),"",IF(J174=0,4,MAX(MATCH(L174,'Residual Config'!$E$11:$E$14,1),IF(K174&gt;0,'Residual Config'!$C$7,1))))</f>
        <v>3</v>
      </c>
      <c r="N174" s="7" t="str">
        <f aca="false">IF(NOT(ISNUMBER($G174)),"",IF(J174=0,"Ineffective (no key control)",INDEX('Residual Config'!$B$11:$B$14,M174)))</f>
        <v>Partially effective</v>
      </c>
      <c r="O174" s="36" t="n">
        <f aca="false">IF(NOT(ISNUMBER($G174)),"",IF(J174=0,0,SUMPRODUCT(('Control Mapping'!$C$5:$C$83=D174)*'Control Mapping'!$E$5:$E$83*(('Control Mapping'!$O$5:$O$83=1)*'Residual Config'!$D$11+('Control Mapping'!$O$5:$O$83=2)*'Residual Config'!$D$12+('Control Mapping'!$O$5:$O$83=3)*'Residual Config'!$D$13+('Control Mapping'!$O$5:$O$83=4)*'Residual Config'!$D$14))/SUMPRODUCT(('Control Mapping'!$C$5:$C$83=D174)*'Control Mapping'!$E$5:$E$83*('Control Mapping'!$O$5:$O$83&gt;0))))</f>
        <v>0.3</v>
      </c>
      <c r="P174" s="31" t="n">
        <f aca="false">IF(NOT(ISNUMBER($G174)),"",INDEX('Residual Config'!$B$19:$E$23,6-G174,M174))</f>
        <v>3</v>
      </c>
      <c r="Q174" s="29" t="n">
        <f aca="false">IF(NOT(ISNUMBER($G174)),"",MAX(1,F174*(1-O174)))</f>
        <v>2.1</v>
      </c>
      <c r="R174" s="31" t="n">
        <f aca="false">IF(NOT(ISNUMBER($G174)),"",MAX(MATCH(Q174,Config!$D$5:$D$9,1),G174-'Residual Config'!$C$6))</f>
        <v>2</v>
      </c>
      <c r="S174" s="34" t="n">
        <f aca="false">IF(NOT(ISNUMBER($G174)),"",IF('Residual Config'!$C$5="Numeric",R174,P174))</f>
        <v>3</v>
      </c>
      <c r="T174" s="7" t="str">
        <f aca="false">IF(G174="N/A","N/A",IF(S174="","No data",INDEX(Config!$B$5:$B$9,S174)))</f>
        <v>Medium</v>
      </c>
      <c r="U174" s="32" t="n">
        <v>0</v>
      </c>
      <c r="V174" s="8"/>
      <c r="W174" s="33"/>
      <c r="X174" s="34" t="n">
        <f aca="false">IF(S174="","",IF(AND(W174="Y",U174&lt;&gt;0),MAX(1,MIN(5,S174+MAX(-Config!$C$27,MIN(Config!$C$27,U174)))),S174))</f>
        <v>3</v>
      </c>
      <c r="Y174" s="35" t="str">
        <f aca="false">IF(G174="N/A","N/A",IF(X174="","No data",INDEX(Config!$B$5:$B$9,X174)))</f>
        <v>Medium</v>
      </c>
      <c r="Z174" s="7" t="str">
        <f aca="false">IF(U174=0,"None",IF(W174="Y","Applied","Pending HO approval"))</f>
        <v>None</v>
      </c>
      <c r="AA174" s="12" t="str">
        <f aca="false">INDEX('Risk Taxonomy'!$G$5:$G$24,MATCH(D174,'Risk Taxonomy'!$A$5:$A$24,0))</f>
        <v>Very low</v>
      </c>
      <c r="AB174" s="7" t="str">
        <f aca="false">INDEX('Risk Taxonomy'!$H$5:$H$24,MATCH(D174,'Risk Taxonomy'!$A$5:$A$24,0))</f>
        <v>Medium-Low</v>
      </c>
      <c r="AC174" s="35" t="str">
        <f aca="false">IF(NOT(ISNUMBER(X174)),"",IF(X174&lt;=MATCH(AB174,Config!$B$5:$B$9,0),"Within",IF(OR(X174-MATCH(AB174,Config!$B$5:$B$9,0)&gt;=2,AND('Residual Config'!$C$8="Y",ISNUMBER(SEARCH("Zero",AA174)))),"Red","Amber")))</f>
        <v>Amber</v>
      </c>
      <c r="AD174" s="12" t="str">
        <f aca="false">IF(AC174="Red","Group CCO / CRO and Country CEO within 2 business days; action plan in 15 days; report to Board Risk &amp; Compliance Committee",IF(AC174="Amber","Country CO, risk owner and HO Administrator within 5 business days; action plan in 30 days",""))</f>
        <v>Country CO, risk owner and HO Administrator within 5 business days; action plan in 30 days</v>
      </c>
    </row>
    <row r="175" customFormat="false" ht="15" hidden="false" customHeight="false" outlineLevel="0" collapsed="false">
      <c r="A175" s="26" t="str">
        <f aca="false">Entities!$A$13</f>
        <v>SY</v>
      </c>
      <c r="B175" s="12" t="str">
        <f aca="false">INDEX(Entities!$B$5:$B$34,MATCH(A175,Entities!$A$5:$A$34,0))</f>
        <v>Arab Bank – Syria</v>
      </c>
      <c r="C175" s="12" t="str">
        <f aca="false">INDEX(Entities!$D$5:$D$34,MATCH(A175,Entities!$A$5:$A$34,0))</f>
        <v>Levant</v>
      </c>
      <c r="D175" s="12" t="s">
        <v>293</v>
      </c>
      <c r="E175" s="12" t="str">
        <f aca="false">INDEX('Risk Taxonomy'!$B$5:$B$24,MATCH(D175,'Risk Taxonomy'!$A$5:$A$24,0))</f>
        <v>Shariah non-compliance</v>
      </c>
      <c r="F175" s="29" t="str">
        <f aca="false">IF(NOT(ISNUMBER(G175)),"",G175)</f>
        <v/>
      </c>
      <c r="G175" s="34" t="str">
        <f aca="false">IF(COUNTIFS('LxI Assessment'!$A$5:$A$394,A175,'LxI Assessment'!$D$5:$D$394,D175,'LxI Assessment'!$F$5:$F$394,"N/A")&gt;0,"N/A",IF(COUNTIFS('LxI Assessment'!$A$5:$A$394,A175,'LxI Assessment'!$D$5:$D$394,D175,'LxI Assessment'!$S$5:$S$394,"&gt;0")=0,"",SUMIFS('LxI Assessment'!$S$5:$S$394,'LxI Assessment'!$A$5:$A$394,A175,'LxI Assessment'!$D$5:$D$394,D175)))</f>
        <v>N/A</v>
      </c>
      <c r="H175" s="7" t="str">
        <f aca="false">IF(G175="N/A","N/A",IF(G175="","No data",INDEX(Config!$B$5:$B$9,G175)))</f>
        <v>N/A</v>
      </c>
      <c r="I175" s="31" t="str">
        <f aca="false">IF(NOT(ISNUMBER($G175)),"",SUMPRODUCT(('Control Mapping'!$C$5:$C$83=D175)*('Control Mapping'!$O$5:$O$83&gt;0)))</f>
        <v/>
      </c>
      <c r="J175" s="31" t="str">
        <f aca="false">IF(NOT(ISNUMBER($G175)),"",SUMPRODUCT(('Control Mapping'!$C$5:$C$83=D175)*('Control Mapping'!$F$5:$F$83="Y")*('Control Mapping'!$O$5:$O$83&gt;0)))</f>
        <v/>
      </c>
      <c r="K175" s="31" t="str">
        <f aca="false">IF(NOT(ISNUMBER($G175)),"",SUMPRODUCT(('Control Mapping'!$C$5:$C$83=D175)*('Control Mapping'!$F$5:$F$83="Y")*('Control Mapping'!$O$5:$O$83=4)))</f>
        <v/>
      </c>
      <c r="L175" s="29" t="str">
        <f aca="false">IF(NOT(ISNUMBER($G175)),"",IFERROR(SUMPRODUCT(('Control Mapping'!$C$5:$C$83=D175)*'Control Mapping'!$E$5:$E$83*'Control Mapping'!$O$5:$O$83)/SUMPRODUCT(('Control Mapping'!$C$5:$C$83=D175)*'Control Mapping'!$E$5:$E$83*('Control Mapping'!$O$5:$O$83&gt;0)),""))</f>
        <v/>
      </c>
      <c r="M175" s="34" t="str">
        <f aca="false">IF(NOT(ISNUMBER($G175)),"",IF(J175=0,4,MAX(MATCH(L175,'Residual Config'!$E$11:$E$14,1),IF(K175&gt;0,'Residual Config'!$C$7,1))))</f>
        <v/>
      </c>
      <c r="N175" s="7" t="str">
        <f aca="false">IF(NOT(ISNUMBER($G175)),"",IF(J175=0,"Ineffective (no key control)",INDEX('Residual Config'!$B$11:$B$14,M175)))</f>
        <v/>
      </c>
      <c r="O175" s="36" t="str">
        <f aca="false">IF(NOT(ISNUMBER($G175)),"",IF(J175=0,0,SUMPRODUCT(('Control Mapping'!$C$5:$C$83=D175)*'Control Mapping'!$E$5:$E$83*(('Control Mapping'!$O$5:$O$83=1)*'Residual Config'!$D$11+('Control Mapping'!$O$5:$O$83=2)*'Residual Config'!$D$12+('Control Mapping'!$O$5:$O$83=3)*'Residual Config'!$D$13+('Control Mapping'!$O$5:$O$83=4)*'Residual Config'!$D$14))/SUMPRODUCT(('Control Mapping'!$C$5:$C$83=D175)*'Control Mapping'!$E$5:$E$83*('Control Mapping'!$O$5:$O$83&gt;0))))</f>
        <v/>
      </c>
      <c r="P175" s="31" t="str">
        <f aca="false">IF(NOT(ISNUMBER($G175)),"",INDEX('Residual Config'!$B$19:$E$23,6-G175,M175))</f>
        <v/>
      </c>
      <c r="Q175" s="29" t="str">
        <f aca="false">IF(NOT(ISNUMBER($G175)),"",MAX(1,F175*(1-O175)))</f>
        <v/>
      </c>
      <c r="R175" s="31" t="str">
        <f aca="false">IF(NOT(ISNUMBER($G175)),"",MAX(MATCH(Q175,Config!$D$5:$D$9,1),G175-'Residual Config'!$C$6))</f>
        <v/>
      </c>
      <c r="S175" s="34" t="str">
        <f aca="false">IF(NOT(ISNUMBER($G175)),"",IF('Residual Config'!$C$5="Numeric",R175,P175))</f>
        <v/>
      </c>
      <c r="T175" s="7" t="str">
        <f aca="false">IF(G175="N/A","N/A",IF(S175="","No data",INDEX(Config!$B$5:$B$9,S175)))</f>
        <v>N/A</v>
      </c>
      <c r="U175" s="32" t="n">
        <v>0</v>
      </c>
      <c r="V175" s="8"/>
      <c r="W175" s="33"/>
      <c r="X175" s="34" t="str">
        <f aca="false">IF(S175="","",IF(AND(W175="Y",U175&lt;&gt;0),MAX(1,MIN(5,S175+MAX(-Config!$C$27,MIN(Config!$C$27,U175)))),S175))</f>
        <v/>
      </c>
      <c r="Y175" s="35" t="str">
        <f aca="false">IF(G175="N/A","N/A",IF(X175="","No data",INDEX(Config!$B$5:$B$9,X175)))</f>
        <v>N/A</v>
      </c>
      <c r="Z175" s="7" t="str">
        <f aca="false">IF(U175=0,"None",IF(W175="Y","Applied","Pending HO approval"))</f>
        <v>None</v>
      </c>
      <c r="AA175" s="12" t="str">
        <f aca="false">INDEX('Risk Taxonomy'!$G$5:$G$24,MATCH(D175,'Risk Taxonomy'!$A$5:$A$24,0))</f>
        <v>Very low</v>
      </c>
      <c r="AB175" s="7" t="str">
        <f aca="false">INDEX('Risk Taxonomy'!$H$5:$H$24,MATCH(D175,'Risk Taxonomy'!$A$5:$A$24,0))</f>
        <v>Medium-Low</v>
      </c>
      <c r="AC175" s="35" t="str">
        <f aca="false">IF(NOT(ISNUMBER(X175)),"",IF(X175&lt;=MATCH(AB175,Config!$B$5:$B$9,0),"Within",IF(OR(X175-MATCH(AB175,Config!$B$5:$B$9,0)&gt;=2,AND('Residual Config'!$C$8="Y",ISNUMBER(SEARCH("Zero",AA175)))),"Red","Amber")))</f>
        <v/>
      </c>
      <c r="AD175" s="12" t="str">
        <f aca="false">IF(AC175="Red","Group CCO / CRO and Country CEO within 2 business days; action plan in 15 days; report to Board Risk &amp; Compliance Committee",IF(AC175="Amber","Country CO, risk owner and HO Administrator within 5 business days; action plan in 30 days",""))</f>
        <v/>
      </c>
    </row>
    <row r="176" customFormat="false" ht="15" hidden="false" customHeight="false" outlineLevel="0" collapsed="false">
      <c r="A176" s="26" t="str">
        <f aca="false">Entities!$A$13</f>
        <v>SY</v>
      </c>
      <c r="B176" s="12" t="str">
        <f aca="false">INDEX(Entities!$B$5:$B$34,MATCH(A176,Entities!$A$5:$A$34,0))</f>
        <v>Arab Bank – Syria</v>
      </c>
      <c r="C176" s="12" t="str">
        <f aca="false">INDEX(Entities!$D$5:$D$34,MATCH(A176,Entities!$A$5:$A$34,0))</f>
        <v>Levant</v>
      </c>
      <c r="D176" s="12" t="s">
        <v>297</v>
      </c>
      <c r="E176" s="12" t="str">
        <f aca="false">INDEX('Risk Taxonomy'!$B$5:$B$24,MATCH(D176,'Risk Taxonomy'!$A$5:$A$24,0))</f>
        <v>Credit risk</v>
      </c>
      <c r="F176" s="29" t="n">
        <f aca="false">IF(NOT(ISNUMBER(G176)),"",G176)</f>
        <v>4</v>
      </c>
      <c r="G176" s="34" t="n">
        <f aca="false">IF(COUNTIFS('LxI Assessment'!$A$5:$A$394,A176,'LxI Assessment'!$D$5:$D$394,D176,'LxI Assessment'!$F$5:$F$394,"N/A")&gt;0,"N/A",IF(COUNTIFS('LxI Assessment'!$A$5:$A$394,A176,'LxI Assessment'!$D$5:$D$394,D176,'LxI Assessment'!$S$5:$S$394,"&gt;0")=0,"",SUMIFS('LxI Assessment'!$S$5:$S$394,'LxI Assessment'!$A$5:$A$394,A176,'LxI Assessment'!$D$5:$D$394,D176)))</f>
        <v>4</v>
      </c>
      <c r="H176" s="7" t="str">
        <f aca="false">IF(G176="N/A","N/A",IF(G176="","No data",INDEX(Config!$B$5:$B$9,G176)))</f>
        <v>Medium-High</v>
      </c>
      <c r="I176" s="31" t="n">
        <f aca="false">IF(NOT(ISNUMBER($G176)),"",SUMPRODUCT(('Control Mapping'!$C$5:$C$83=D176)*('Control Mapping'!$O$5:$O$83&gt;0)))</f>
        <v>2</v>
      </c>
      <c r="J176" s="31" t="n">
        <f aca="false">IF(NOT(ISNUMBER($G176)),"",SUMPRODUCT(('Control Mapping'!$C$5:$C$83=D176)*('Control Mapping'!$F$5:$F$83="Y")*('Control Mapping'!$O$5:$O$83&gt;0)))</f>
        <v>1</v>
      </c>
      <c r="K176" s="31" t="n">
        <f aca="false">IF(NOT(ISNUMBER($G176)),"",SUMPRODUCT(('Control Mapping'!$C$5:$C$83=D176)*('Control Mapping'!$F$5:$F$83="Y")*('Control Mapping'!$O$5:$O$83=4)))</f>
        <v>0</v>
      </c>
      <c r="L176" s="29" t="n">
        <f aca="false">IF(NOT(ISNUMBER($G176)),"",IFERROR(SUMPRODUCT(('Control Mapping'!$C$5:$C$83=D176)*'Control Mapping'!$E$5:$E$83*'Control Mapping'!$O$5:$O$83)/SUMPRODUCT(('Control Mapping'!$C$5:$C$83=D176)*'Control Mapping'!$E$5:$E$83*('Control Mapping'!$O$5:$O$83&gt;0)),""))</f>
        <v>2.6</v>
      </c>
      <c r="M176" s="34" t="n">
        <f aca="false">IF(NOT(ISNUMBER($G176)),"",IF(J176=0,4,MAX(MATCH(L176,'Residual Config'!$E$11:$E$14,1),IF(K176&gt;0,'Residual Config'!$C$7,1))))</f>
        <v>3</v>
      </c>
      <c r="N176" s="7" t="str">
        <f aca="false">IF(NOT(ISNUMBER($G176)),"",IF(J176=0,"Ineffective (no key control)",INDEX('Residual Config'!$B$11:$B$14,M176)))</f>
        <v>Partially effective</v>
      </c>
      <c r="O176" s="36" t="n">
        <f aca="false">IF(NOT(ISNUMBER($G176)),"",IF(J176=0,0,SUMPRODUCT(('Control Mapping'!$C$5:$C$83=D176)*'Control Mapping'!$E$5:$E$83*(('Control Mapping'!$O$5:$O$83=1)*'Residual Config'!$D$11+('Control Mapping'!$O$5:$O$83=2)*'Residual Config'!$D$12+('Control Mapping'!$O$5:$O$83=3)*'Residual Config'!$D$13+('Control Mapping'!$O$5:$O$83=4)*'Residual Config'!$D$14))/SUMPRODUCT(('Control Mapping'!$C$5:$C$83=D176)*'Control Mapping'!$E$5:$E$83*('Control Mapping'!$O$5:$O$83&gt;0))))</f>
        <v>0.28</v>
      </c>
      <c r="P176" s="31" t="n">
        <f aca="false">IF(NOT(ISNUMBER($G176)),"",INDEX('Residual Config'!$B$19:$E$23,6-G176,M176))</f>
        <v>4</v>
      </c>
      <c r="Q176" s="29" t="n">
        <f aca="false">IF(NOT(ISNUMBER($G176)),"",MAX(1,F176*(1-O176)))</f>
        <v>2.88</v>
      </c>
      <c r="R176" s="31" t="n">
        <f aca="false">IF(NOT(ISNUMBER($G176)),"",MAX(MATCH(Q176,Config!$D$5:$D$9,1),G176-'Residual Config'!$C$6))</f>
        <v>3</v>
      </c>
      <c r="S176" s="34" t="n">
        <f aca="false">IF(NOT(ISNUMBER($G176)),"",IF('Residual Config'!$C$5="Numeric",R176,P176))</f>
        <v>4</v>
      </c>
      <c r="T176" s="7" t="str">
        <f aca="false">IF(G176="N/A","N/A",IF(S176="","No data",INDEX(Config!$B$5:$B$9,S176)))</f>
        <v>Medium-High</v>
      </c>
      <c r="U176" s="32" t="n">
        <v>0</v>
      </c>
      <c r="V176" s="8"/>
      <c r="W176" s="33"/>
      <c r="X176" s="34" t="n">
        <f aca="false">IF(S176="","",IF(AND(W176="Y",U176&lt;&gt;0),MAX(1,MIN(5,S176+MAX(-Config!$C$27,MIN(Config!$C$27,U176)))),S176))</f>
        <v>4</v>
      </c>
      <c r="Y176" s="35" t="str">
        <f aca="false">IF(G176="N/A","N/A",IF(X176="","No data",INDEX(Config!$B$5:$B$9,X176)))</f>
        <v>Medium-High</v>
      </c>
      <c r="Z176" s="7" t="str">
        <f aca="false">IF(U176=0,"None",IF(W176="Y","Applied","Pending HO approval"))</f>
        <v>None</v>
      </c>
      <c r="AA176" s="12" t="str">
        <f aca="false">INDEX('Risk Taxonomy'!$G$5:$G$24,MATCH(D176,'Risk Taxonomy'!$A$5:$A$24,0))</f>
        <v>Moderate</v>
      </c>
      <c r="AB176" s="7" t="str">
        <f aca="false">INDEX('Risk Taxonomy'!$H$5:$H$24,MATCH(D176,'Risk Taxonomy'!$A$5:$A$24,0))</f>
        <v>Medium-High</v>
      </c>
      <c r="AC176" s="35" t="str">
        <f aca="false">IF(NOT(ISNUMBER(X176)),"",IF(X176&lt;=MATCH(AB176,Config!$B$5:$B$9,0),"Within",IF(OR(X176-MATCH(AB176,Config!$B$5:$B$9,0)&gt;=2,AND('Residual Config'!$C$8="Y",ISNUMBER(SEARCH("Zero",AA176)))),"Red","Amber")))</f>
        <v>Within</v>
      </c>
      <c r="AD176" s="12" t="str">
        <f aca="false">IF(AC176="Red","Group CCO / CRO and Country CEO within 2 business days; action plan in 15 days; report to Board Risk &amp; Compliance Committee",IF(AC176="Amber","Country CO, risk owner and HO Administrator within 5 business days; action plan in 30 days",""))</f>
        <v/>
      </c>
    </row>
    <row r="177" customFormat="false" ht="15" hidden="false" customHeight="false" outlineLevel="0" collapsed="false">
      <c r="A177" s="26" t="str">
        <f aca="false">Entities!$A$13</f>
        <v>SY</v>
      </c>
      <c r="B177" s="12" t="str">
        <f aca="false">INDEX(Entities!$B$5:$B$34,MATCH(A177,Entities!$A$5:$A$34,0))</f>
        <v>Arab Bank – Syria</v>
      </c>
      <c r="C177" s="12" t="str">
        <f aca="false">INDEX(Entities!$D$5:$D$34,MATCH(A177,Entities!$A$5:$A$34,0))</f>
        <v>Levant</v>
      </c>
      <c r="D177" s="12" t="s">
        <v>302</v>
      </c>
      <c r="E177" s="12" t="str">
        <f aca="false">INDEX('Risk Taxonomy'!$B$5:$B$24,MATCH(D177,'Risk Taxonomy'!$A$5:$A$24,0))</f>
        <v>Market risk</v>
      </c>
      <c r="F177" s="29" t="n">
        <f aca="false">IF(NOT(ISNUMBER(G177)),"",G177)</f>
        <v>4</v>
      </c>
      <c r="G177" s="34" t="n">
        <f aca="false">IF(COUNTIFS('LxI Assessment'!$A$5:$A$394,A177,'LxI Assessment'!$D$5:$D$394,D177,'LxI Assessment'!$F$5:$F$394,"N/A")&gt;0,"N/A",IF(COUNTIFS('LxI Assessment'!$A$5:$A$394,A177,'LxI Assessment'!$D$5:$D$394,D177,'LxI Assessment'!$S$5:$S$394,"&gt;0")=0,"",SUMIFS('LxI Assessment'!$S$5:$S$394,'LxI Assessment'!$A$5:$A$394,A177,'LxI Assessment'!$D$5:$D$394,D177)))</f>
        <v>4</v>
      </c>
      <c r="H177" s="7" t="str">
        <f aca="false">IF(G177="N/A","N/A",IF(G177="","No data",INDEX(Config!$B$5:$B$9,G177)))</f>
        <v>Medium-High</v>
      </c>
      <c r="I177" s="31" t="n">
        <f aca="false">IF(NOT(ISNUMBER($G177)),"",SUMPRODUCT(('Control Mapping'!$C$5:$C$83=D177)*('Control Mapping'!$O$5:$O$83&gt;0)))</f>
        <v>1</v>
      </c>
      <c r="J177" s="31" t="n">
        <f aca="false">IF(NOT(ISNUMBER($G177)),"",SUMPRODUCT(('Control Mapping'!$C$5:$C$83=D177)*('Control Mapping'!$F$5:$F$83="Y")*('Control Mapping'!$O$5:$O$83&gt;0)))</f>
        <v>1</v>
      </c>
      <c r="K177" s="31" t="n">
        <f aca="false">IF(NOT(ISNUMBER($G177)),"",SUMPRODUCT(('Control Mapping'!$C$5:$C$83=D177)*('Control Mapping'!$F$5:$F$83="Y")*('Control Mapping'!$O$5:$O$83=4)))</f>
        <v>0</v>
      </c>
      <c r="L177" s="29" t="n">
        <f aca="false">IF(NOT(ISNUMBER($G177)),"",IFERROR(SUMPRODUCT(('Control Mapping'!$C$5:$C$83=D177)*'Control Mapping'!$E$5:$E$83*'Control Mapping'!$O$5:$O$83)/SUMPRODUCT(('Control Mapping'!$C$5:$C$83=D177)*'Control Mapping'!$E$5:$E$83*('Control Mapping'!$O$5:$O$83&gt;0)),""))</f>
        <v>2</v>
      </c>
      <c r="M177" s="34" t="n">
        <f aca="false">IF(NOT(ISNUMBER($G177)),"",IF(J177=0,4,MAX(MATCH(L177,'Residual Config'!$E$11:$E$14,1),IF(K177&gt;0,'Residual Config'!$C$7,1))))</f>
        <v>2</v>
      </c>
      <c r="N177" s="7" t="str">
        <f aca="false">IF(NOT(ISNUMBER($G177)),"",IF(J177=0,"Ineffective (no key control)",INDEX('Residual Config'!$B$11:$B$14,M177)))</f>
        <v>Largely effective</v>
      </c>
      <c r="O177" s="36" t="n">
        <f aca="false">IF(NOT(ISNUMBER($G177)),"",IF(J177=0,0,SUMPRODUCT(('Control Mapping'!$C$5:$C$83=D177)*'Control Mapping'!$E$5:$E$83*(('Control Mapping'!$O$5:$O$83=1)*'Residual Config'!$D$11+('Control Mapping'!$O$5:$O$83=2)*'Residual Config'!$D$12+('Control Mapping'!$O$5:$O$83=3)*'Residual Config'!$D$13+('Control Mapping'!$O$5:$O$83=4)*'Residual Config'!$D$14))/SUMPRODUCT(('Control Mapping'!$C$5:$C$83=D177)*'Control Mapping'!$E$5:$E$83*('Control Mapping'!$O$5:$O$83&gt;0))))</f>
        <v>0.4</v>
      </c>
      <c r="P177" s="31" t="n">
        <f aca="false">IF(NOT(ISNUMBER($G177)),"",INDEX('Residual Config'!$B$19:$E$23,6-G177,M177))</f>
        <v>3</v>
      </c>
      <c r="Q177" s="29" t="n">
        <f aca="false">IF(NOT(ISNUMBER($G177)),"",MAX(1,F177*(1-O177)))</f>
        <v>2.4</v>
      </c>
      <c r="R177" s="31" t="n">
        <f aca="false">IF(NOT(ISNUMBER($G177)),"",MAX(MATCH(Q177,Config!$D$5:$D$9,1),G177-'Residual Config'!$C$6))</f>
        <v>2</v>
      </c>
      <c r="S177" s="34" t="n">
        <f aca="false">IF(NOT(ISNUMBER($G177)),"",IF('Residual Config'!$C$5="Numeric",R177,P177))</f>
        <v>3</v>
      </c>
      <c r="T177" s="7" t="str">
        <f aca="false">IF(G177="N/A","N/A",IF(S177="","No data",INDEX(Config!$B$5:$B$9,S177)))</f>
        <v>Medium</v>
      </c>
      <c r="U177" s="32" t="n">
        <v>0</v>
      </c>
      <c r="V177" s="8"/>
      <c r="W177" s="33"/>
      <c r="X177" s="34" t="n">
        <f aca="false">IF(S177="","",IF(AND(W177="Y",U177&lt;&gt;0),MAX(1,MIN(5,S177+MAX(-Config!$C$27,MIN(Config!$C$27,U177)))),S177))</f>
        <v>3</v>
      </c>
      <c r="Y177" s="35" t="str">
        <f aca="false">IF(G177="N/A","N/A",IF(X177="","No data",INDEX(Config!$B$5:$B$9,X177)))</f>
        <v>Medium</v>
      </c>
      <c r="Z177" s="7" t="str">
        <f aca="false">IF(U177=0,"None",IF(W177="Y","Applied","Pending HO approval"))</f>
        <v>None</v>
      </c>
      <c r="AA177" s="12" t="str">
        <f aca="false">INDEX('Risk Taxonomy'!$G$5:$G$24,MATCH(D177,'Risk Taxonomy'!$A$5:$A$24,0))</f>
        <v>Moderate</v>
      </c>
      <c r="AB177" s="7" t="str">
        <f aca="false">INDEX('Risk Taxonomy'!$H$5:$H$24,MATCH(D177,'Risk Taxonomy'!$A$5:$A$24,0))</f>
        <v>Medium-High</v>
      </c>
      <c r="AC177" s="35" t="str">
        <f aca="false">IF(NOT(ISNUMBER(X177)),"",IF(X177&lt;=MATCH(AB177,Config!$B$5:$B$9,0),"Within",IF(OR(X177-MATCH(AB177,Config!$B$5:$B$9,0)&gt;=2,AND('Residual Config'!$C$8="Y",ISNUMBER(SEARCH("Zero",AA177)))),"Red","Amber")))</f>
        <v>Within</v>
      </c>
      <c r="AD177" s="12" t="str">
        <f aca="false">IF(AC177="Red","Group CCO / CRO and Country CEO within 2 business days; action plan in 15 days; report to Board Risk &amp; Compliance Committee",IF(AC177="Amber","Country CO, risk owner and HO Administrator within 5 business days; action plan in 30 days",""))</f>
        <v/>
      </c>
    </row>
    <row r="178" customFormat="false" ht="15" hidden="false" customHeight="false" outlineLevel="0" collapsed="false">
      <c r="A178" s="26" t="str">
        <f aca="false">Entities!$A$13</f>
        <v>SY</v>
      </c>
      <c r="B178" s="12" t="str">
        <f aca="false">INDEX(Entities!$B$5:$B$34,MATCH(A178,Entities!$A$5:$A$34,0))</f>
        <v>Arab Bank – Syria</v>
      </c>
      <c r="C178" s="12" t="str">
        <f aca="false">INDEX(Entities!$D$5:$D$34,MATCH(A178,Entities!$A$5:$A$34,0))</f>
        <v>Levant</v>
      </c>
      <c r="D178" s="12" t="s">
        <v>304</v>
      </c>
      <c r="E178" s="12" t="str">
        <f aca="false">INDEX('Risk Taxonomy'!$B$5:$B$24,MATCH(D178,'Risk Taxonomy'!$A$5:$A$24,0))</f>
        <v>Liquidity and funding risk</v>
      </c>
      <c r="F178" s="29" t="n">
        <f aca="false">IF(NOT(ISNUMBER(G178)),"",G178)</f>
        <v>5</v>
      </c>
      <c r="G178" s="34" t="n">
        <f aca="false">IF(COUNTIFS('LxI Assessment'!$A$5:$A$394,A178,'LxI Assessment'!$D$5:$D$394,D178,'LxI Assessment'!$F$5:$F$394,"N/A")&gt;0,"N/A",IF(COUNTIFS('LxI Assessment'!$A$5:$A$394,A178,'LxI Assessment'!$D$5:$D$394,D178,'LxI Assessment'!$S$5:$S$394,"&gt;0")=0,"",SUMIFS('LxI Assessment'!$S$5:$S$394,'LxI Assessment'!$A$5:$A$394,A178,'LxI Assessment'!$D$5:$D$394,D178)))</f>
        <v>5</v>
      </c>
      <c r="H178" s="7" t="str">
        <f aca="false">IF(G178="N/A","N/A",IF(G178="","No data",INDEX(Config!$B$5:$B$9,G178)))</f>
        <v>High</v>
      </c>
      <c r="I178" s="31" t="n">
        <f aca="false">IF(NOT(ISNUMBER($G178)),"",SUMPRODUCT(('Control Mapping'!$C$5:$C$83=D178)*('Control Mapping'!$O$5:$O$83&gt;0)))</f>
        <v>1</v>
      </c>
      <c r="J178" s="31" t="n">
        <f aca="false">IF(NOT(ISNUMBER($G178)),"",SUMPRODUCT(('Control Mapping'!$C$5:$C$83=D178)*('Control Mapping'!$F$5:$F$83="Y")*('Control Mapping'!$O$5:$O$83&gt;0)))</f>
        <v>1</v>
      </c>
      <c r="K178" s="31" t="n">
        <f aca="false">IF(NOT(ISNUMBER($G178)),"",SUMPRODUCT(('Control Mapping'!$C$5:$C$83=D178)*('Control Mapping'!$F$5:$F$83="Y")*('Control Mapping'!$O$5:$O$83=4)))</f>
        <v>0</v>
      </c>
      <c r="L178" s="29" t="n">
        <f aca="false">IF(NOT(ISNUMBER($G178)),"",IFERROR(SUMPRODUCT(('Control Mapping'!$C$5:$C$83=D178)*'Control Mapping'!$E$5:$E$83*'Control Mapping'!$O$5:$O$83)/SUMPRODUCT(('Control Mapping'!$C$5:$C$83=D178)*'Control Mapping'!$E$5:$E$83*('Control Mapping'!$O$5:$O$83&gt;0)),""))</f>
        <v>2</v>
      </c>
      <c r="M178" s="34" t="n">
        <f aca="false">IF(NOT(ISNUMBER($G178)),"",IF(J178=0,4,MAX(MATCH(L178,'Residual Config'!$E$11:$E$14,1),IF(K178&gt;0,'Residual Config'!$C$7,1))))</f>
        <v>2</v>
      </c>
      <c r="N178" s="7" t="str">
        <f aca="false">IF(NOT(ISNUMBER($G178)),"",IF(J178=0,"Ineffective (no key control)",INDEX('Residual Config'!$B$11:$B$14,M178)))</f>
        <v>Largely effective</v>
      </c>
      <c r="O178" s="36" t="n">
        <f aca="false">IF(NOT(ISNUMBER($G178)),"",IF(J178=0,0,SUMPRODUCT(('Control Mapping'!$C$5:$C$83=D178)*'Control Mapping'!$E$5:$E$83*(('Control Mapping'!$O$5:$O$83=1)*'Residual Config'!$D$11+('Control Mapping'!$O$5:$O$83=2)*'Residual Config'!$D$12+('Control Mapping'!$O$5:$O$83=3)*'Residual Config'!$D$13+('Control Mapping'!$O$5:$O$83=4)*'Residual Config'!$D$14))/SUMPRODUCT(('Control Mapping'!$C$5:$C$83=D178)*'Control Mapping'!$E$5:$E$83*('Control Mapping'!$O$5:$O$83&gt;0))))</f>
        <v>0.4</v>
      </c>
      <c r="P178" s="31" t="n">
        <f aca="false">IF(NOT(ISNUMBER($G178)),"",INDEX('Residual Config'!$B$19:$E$23,6-G178,M178))</f>
        <v>4</v>
      </c>
      <c r="Q178" s="29" t="n">
        <f aca="false">IF(NOT(ISNUMBER($G178)),"",MAX(1,F178*(1-O178)))</f>
        <v>3</v>
      </c>
      <c r="R178" s="31" t="n">
        <f aca="false">IF(NOT(ISNUMBER($G178)),"",MAX(MATCH(Q178,Config!$D$5:$D$9,1),G178-'Residual Config'!$C$6))</f>
        <v>3</v>
      </c>
      <c r="S178" s="34" t="n">
        <f aca="false">IF(NOT(ISNUMBER($G178)),"",IF('Residual Config'!$C$5="Numeric",R178,P178))</f>
        <v>4</v>
      </c>
      <c r="T178" s="7" t="str">
        <f aca="false">IF(G178="N/A","N/A",IF(S178="","No data",INDEX(Config!$B$5:$B$9,S178)))</f>
        <v>Medium-High</v>
      </c>
      <c r="U178" s="32" t="n">
        <v>0</v>
      </c>
      <c r="V178" s="8"/>
      <c r="W178" s="33"/>
      <c r="X178" s="34" t="n">
        <f aca="false">IF(S178="","",IF(AND(W178="Y",U178&lt;&gt;0),MAX(1,MIN(5,S178+MAX(-Config!$C$27,MIN(Config!$C$27,U178)))),S178))</f>
        <v>4</v>
      </c>
      <c r="Y178" s="35" t="str">
        <f aca="false">IF(G178="N/A","N/A",IF(X178="","No data",INDEX(Config!$B$5:$B$9,X178)))</f>
        <v>Medium-High</v>
      </c>
      <c r="Z178" s="7" t="str">
        <f aca="false">IF(U178=0,"None",IF(W178="Y","Applied","Pending HO approval"))</f>
        <v>None</v>
      </c>
      <c r="AA178" s="12" t="str">
        <f aca="false">INDEX('Risk Taxonomy'!$G$5:$G$24,MATCH(D178,'Risk Taxonomy'!$A$5:$A$24,0))</f>
        <v>Low</v>
      </c>
      <c r="AB178" s="7" t="str">
        <f aca="false">INDEX('Risk Taxonomy'!$H$5:$H$24,MATCH(D178,'Risk Taxonomy'!$A$5:$A$24,0))</f>
        <v>Medium</v>
      </c>
      <c r="AC178" s="35" t="str">
        <f aca="false">IF(NOT(ISNUMBER(X178)),"",IF(X178&lt;=MATCH(AB178,Config!$B$5:$B$9,0),"Within",IF(OR(X178-MATCH(AB178,Config!$B$5:$B$9,0)&gt;=2,AND('Residual Config'!$C$8="Y",ISNUMBER(SEARCH("Zero",AA178)))),"Red","Amber")))</f>
        <v>Amber</v>
      </c>
      <c r="AD178" s="12" t="str">
        <f aca="false">IF(AC178="Red","Group CCO / CRO and Country CEO within 2 business days; action plan in 15 days; report to Board Risk &amp; Compliance Committee",IF(AC178="Amber","Country CO, risk owner and HO Administrator within 5 business days; action plan in 30 days",""))</f>
        <v>Country CO, risk owner and HO Administrator within 5 business days; action plan in 30 days</v>
      </c>
    </row>
    <row r="179" customFormat="false" ht="15" hidden="false" customHeight="false" outlineLevel="0" collapsed="false">
      <c r="A179" s="26" t="str">
        <f aca="false">Entities!$A$13</f>
        <v>SY</v>
      </c>
      <c r="B179" s="12" t="str">
        <f aca="false">INDEX(Entities!$B$5:$B$34,MATCH(A179,Entities!$A$5:$A$34,0))</f>
        <v>Arab Bank – Syria</v>
      </c>
      <c r="C179" s="12" t="str">
        <f aca="false">INDEX(Entities!$D$5:$D$34,MATCH(A179,Entities!$A$5:$A$34,0))</f>
        <v>Levant</v>
      </c>
      <c r="D179" s="12" t="s">
        <v>307</v>
      </c>
      <c r="E179" s="12" t="str">
        <f aca="false">INDEX('Risk Taxonomy'!$B$5:$B$24,MATCH(D179,'Risk Taxonomy'!$A$5:$A$24,0))</f>
        <v>Operational risk</v>
      </c>
      <c r="F179" s="29" t="n">
        <f aca="false">IF(NOT(ISNUMBER(G179)),"",G179)</f>
        <v>5</v>
      </c>
      <c r="G179" s="34" t="n">
        <f aca="false">IF(COUNTIFS('LxI Assessment'!$A$5:$A$394,A179,'LxI Assessment'!$D$5:$D$394,D179,'LxI Assessment'!$F$5:$F$394,"N/A")&gt;0,"N/A",IF(COUNTIFS('LxI Assessment'!$A$5:$A$394,A179,'LxI Assessment'!$D$5:$D$394,D179,'LxI Assessment'!$S$5:$S$394,"&gt;0")=0,"",SUMIFS('LxI Assessment'!$S$5:$S$394,'LxI Assessment'!$A$5:$A$394,A179,'LxI Assessment'!$D$5:$D$394,D179)))</f>
        <v>5</v>
      </c>
      <c r="H179" s="7" t="str">
        <f aca="false">IF(G179="N/A","N/A",IF(G179="","No data",INDEX(Config!$B$5:$B$9,G179)))</f>
        <v>High</v>
      </c>
      <c r="I179" s="31" t="n">
        <f aca="false">IF(NOT(ISNUMBER($G179)),"",SUMPRODUCT(('Control Mapping'!$C$5:$C$83=D179)*('Control Mapping'!$O$5:$O$83&gt;0)))</f>
        <v>3</v>
      </c>
      <c r="J179" s="31" t="n">
        <f aca="false">IF(NOT(ISNUMBER($G179)),"",SUMPRODUCT(('Control Mapping'!$C$5:$C$83=D179)*('Control Mapping'!$F$5:$F$83="Y")*('Control Mapping'!$O$5:$O$83&gt;0)))</f>
        <v>2</v>
      </c>
      <c r="K179" s="31" t="n">
        <f aca="false">IF(NOT(ISNUMBER($G179)),"",SUMPRODUCT(('Control Mapping'!$C$5:$C$83=D179)*('Control Mapping'!$F$5:$F$83="Y")*('Control Mapping'!$O$5:$O$83=4)))</f>
        <v>0</v>
      </c>
      <c r="L179" s="29" t="n">
        <f aca="false">IF(NOT(ISNUMBER($G179)),"",IFERROR(SUMPRODUCT(('Control Mapping'!$C$5:$C$83=D179)*'Control Mapping'!$E$5:$E$83*'Control Mapping'!$O$5:$O$83)/SUMPRODUCT(('Control Mapping'!$C$5:$C$83=D179)*'Control Mapping'!$E$5:$E$83*('Control Mapping'!$O$5:$O$83&gt;0)),""))</f>
        <v>2</v>
      </c>
      <c r="M179" s="34" t="n">
        <f aca="false">IF(NOT(ISNUMBER($G179)),"",IF(J179=0,4,MAX(MATCH(L179,'Residual Config'!$E$11:$E$14,1),IF(K179&gt;0,'Residual Config'!$C$7,1))))</f>
        <v>2</v>
      </c>
      <c r="N179" s="7" t="str">
        <f aca="false">IF(NOT(ISNUMBER($G179)),"",IF(J179=0,"Ineffective (no key control)",INDEX('Residual Config'!$B$11:$B$14,M179)))</f>
        <v>Largely effective</v>
      </c>
      <c r="O179" s="36" t="n">
        <f aca="false">IF(NOT(ISNUMBER($G179)),"",IF(J179=0,0,SUMPRODUCT(('Control Mapping'!$C$5:$C$83=D179)*'Control Mapping'!$E$5:$E$83*(('Control Mapping'!$O$5:$O$83=1)*'Residual Config'!$D$11+('Control Mapping'!$O$5:$O$83=2)*'Residual Config'!$D$12+('Control Mapping'!$O$5:$O$83=3)*'Residual Config'!$D$13+('Control Mapping'!$O$5:$O$83=4)*'Residual Config'!$D$14))/SUMPRODUCT(('Control Mapping'!$C$5:$C$83=D179)*'Control Mapping'!$E$5:$E$83*('Control Mapping'!$O$5:$O$83&gt;0))))</f>
        <v>0.4</v>
      </c>
      <c r="P179" s="31" t="n">
        <f aca="false">IF(NOT(ISNUMBER($G179)),"",INDEX('Residual Config'!$B$19:$E$23,6-G179,M179))</f>
        <v>4</v>
      </c>
      <c r="Q179" s="29" t="n">
        <f aca="false">IF(NOT(ISNUMBER($G179)),"",MAX(1,F179*(1-O179)))</f>
        <v>3</v>
      </c>
      <c r="R179" s="31" t="n">
        <f aca="false">IF(NOT(ISNUMBER($G179)),"",MAX(MATCH(Q179,Config!$D$5:$D$9,1),G179-'Residual Config'!$C$6))</f>
        <v>3</v>
      </c>
      <c r="S179" s="34" t="n">
        <f aca="false">IF(NOT(ISNUMBER($G179)),"",IF('Residual Config'!$C$5="Numeric",R179,P179))</f>
        <v>4</v>
      </c>
      <c r="T179" s="7" t="str">
        <f aca="false">IF(G179="N/A","N/A",IF(S179="","No data",INDEX(Config!$B$5:$B$9,S179)))</f>
        <v>Medium-High</v>
      </c>
      <c r="U179" s="32" t="n">
        <v>0</v>
      </c>
      <c r="V179" s="8"/>
      <c r="W179" s="33"/>
      <c r="X179" s="34" t="n">
        <f aca="false">IF(S179="","",IF(AND(W179="Y",U179&lt;&gt;0),MAX(1,MIN(5,S179+MAX(-Config!$C$27,MIN(Config!$C$27,U179)))),S179))</f>
        <v>4</v>
      </c>
      <c r="Y179" s="35" t="str">
        <f aca="false">IF(G179="N/A","N/A",IF(X179="","No data",INDEX(Config!$B$5:$B$9,X179)))</f>
        <v>Medium-High</v>
      </c>
      <c r="Z179" s="7" t="str">
        <f aca="false">IF(U179=0,"None",IF(W179="Y","Applied","Pending HO approval"))</f>
        <v>None</v>
      </c>
      <c r="AA179" s="12" t="str">
        <f aca="false">INDEX('Risk Taxonomy'!$G$5:$G$24,MATCH(D179,'Risk Taxonomy'!$A$5:$A$24,0))</f>
        <v>Low</v>
      </c>
      <c r="AB179" s="7" t="str">
        <f aca="false">INDEX('Risk Taxonomy'!$H$5:$H$24,MATCH(D179,'Risk Taxonomy'!$A$5:$A$24,0))</f>
        <v>Medium</v>
      </c>
      <c r="AC179" s="35" t="str">
        <f aca="false">IF(NOT(ISNUMBER(X179)),"",IF(X179&lt;=MATCH(AB179,Config!$B$5:$B$9,0),"Within",IF(OR(X179-MATCH(AB179,Config!$B$5:$B$9,0)&gt;=2,AND('Residual Config'!$C$8="Y",ISNUMBER(SEARCH("Zero",AA179)))),"Red","Amber")))</f>
        <v>Amber</v>
      </c>
      <c r="AD179" s="12" t="str">
        <f aca="false">IF(AC179="Red","Group CCO / CRO and Country CEO within 2 business days; action plan in 15 days; report to Board Risk &amp; Compliance Committee",IF(AC179="Amber","Country CO, risk owner and HO Administrator within 5 business days; action plan in 30 days",""))</f>
        <v>Country CO, risk owner and HO Administrator within 5 business days; action plan in 30 days</v>
      </c>
    </row>
    <row r="180" customFormat="false" ht="15" hidden="false" customHeight="false" outlineLevel="0" collapsed="false">
      <c r="A180" s="26" t="str">
        <f aca="false">Entities!$A$13</f>
        <v>SY</v>
      </c>
      <c r="B180" s="12" t="str">
        <f aca="false">INDEX(Entities!$B$5:$B$34,MATCH(A180,Entities!$A$5:$A$34,0))</f>
        <v>Arab Bank – Syria</v>
      </c>
      <c r="C180" s="12" t="str">
        <f aca="false">INDEX(Entities!$D$5:$D$34,MATCH(A180,Entities!$A$5:$A$34,0))</f>
        <v>Levant</v>
      </c>
      <c r="D180" s="12" t="s">
        <v>310</v>
      </c>
      <c r="E180" s="12" t="str">
        <f aca="false">INDEX('Risk Taxonomy'!$B$5:$B$24,MATCH(D180,'Risk Taxonomy'!$A$5:$A$24,0))</f>
        <v>Cyber, information security and technology</v>
      </c>
      <c r="F180" s="29" t="n">
        <f aca="false">IF(NOT(ISNUMBER(G180)),"",G180)</f>
        <v>5</v>
      </c>
      <c r="G180" s="34" t="n">
        <f aca="false">IF(COUNTIFS('LxI Assessment'!$A$5:$A$394,A180,'LxI Assessment'!$D$5:$D$394,D180,'LxI Assessment'!$F$5:$F$394,"N/A")&gt;0,"N/A",IF(COUNTIFS('LxI Assessment'!$A$5:$A$394,A180,'LxI Assessment'!$D$5:$D$394,D180,'LxI Assessment'!$S$5:$S$394,"&gt;0")=0,"",SUMIFS('LxI Assessment'!$S$5:$S$394,'LxI Assessment'!$A$5:$A$394,A180,'LxI Assessment'!$D$5:$D$394,D180)))</f>
        <v>5</v>
      </c>
      <c r="H180" s="7" t="str">
        <f aca="false">IF(G180="N/A","N/A",IF(G180="","No data",INDEX(Config!$B$5:$B$9,G180)))</f>
        <v>High</v>
      </c>
      <c r="I180" s="31" t="n">
        <f aca="false">IF(NOT(ISNUMBER($G180)),"",SUMPRODUCT(('Control Mapping'!$C$5:$C$83=D180)*('Control Mapping'!$O$5:$O$83&gt;0)))</f>
        <v>4</v>
      </c>
      <c r="J180" s="31" t="n">
        <f aca="false">IF(NOT(ISNUMBER($G180)),"",SUMPRODUCT(('Control Mapping'!$C$5:$C$83=D180)*('Control Mapping'!$F$5:$F$83="Y")*('Control Mapping'!$O$5:$O$83&gt;0)))</f>
        <v>4</v>
      </c>
      <c r="K180" s="31" t="n">
        <f aca="false">IF(NOT(ISNUMBER($G180)),"",SUMPRODUCT(('Control Mapping'!$C$5:$C$83=D180)*('Control Mapping'!$F$5:$F$83="Y")*('Control Mapping'!$O$5:$O$83=4)))</f>
        <v>0</v>
      </c>
      <c r="L180" s="29" t="n">
        <f aca="false">IF(NOT(ISNUMBER($G180)),"",IFERROR(SUMPRODUCT(('Control Mapping'!$C$5:$C$83=D180)*'Control Mapping'!$E$5:$E$83*'Control Mapping'!$O$5:$O$83)/SUMPRODUCT(('Control Mapping'!$C$5:$C$83=D180)*'Control Mapping'!$E$5:$E$83*('Control Mapping'!$O$5:$O$83&gt;0)),""))</f>
        <v>2.57142857142857</v>
      </c>
      <c r="M180" s="34" t="n">
        <f aca="false">IF(NOT(ISNUMBER($G180)),"",IF(J180=0,4,MAX(MATCH(L180,'Residual Config'!$E$11:$E$14,1),IF(K180&gt;0,'Residual Config'!$C$7,1))))</f>
        <v>3</v>
      </c>
      <c r="N180" s="7" t="str">
        <f aca="false">IF(NOT(ISNUMBER($G180)),"",IF(J180=0,"Ineffective (no key control)",INDEX('Residual Config'!$B$11:$B$14,M180)))</f>
        <v>Partially effective</v>
      </c>
      <c r="O180" s="36" t="n">
        <f aca="false">IF(NOT(ISNUMBER($G180)),"",IF(J180=0,0,SUMPRODUCT(('Control Mapping'!$C$5:$C$83=D180)*'Control Mapping'!$E$5:$E$83*(('Control Mapping'!$O$5:$O$83=1)*'Residual Config'!$D$11+('Control Mapping'!$O$5:$O$83=2)*'Residual Config'!$D$12+('Control Mapping'!$O$5:$O$83=3)*'Residual Config'!$D$13+('Control Mapping'!$O$5:$O$83=4)*'Residual Config'!$D$14))/SUMPRODUCT(('Control Mapping'!$C$5:$C$83=D180)*'Control Mapping'!$E$5:$E$83*('Control Mapping'!$O$5:$O$83&gt;0))))</f>
        <v>0.285714285714286</v>
      </c>
      <c r="P180" s="31" t="n">
        <f aca="false">IF(NOT(ISNUMBER($G180)),"",INDEX('Residual Config'!$B$19:$E$23,6-G180,M180))</f>
        <v>5</v>
      </c>
      <c r="Q180" s="29" t="n">
        <f aca="false">IF(NOT(ISNUMBER($G180)),"",MAX(1,F180*(1-O180)))</f>
        <v>3.57142857142857</v>
      </c>
      <c r="R180" s="31" t="n">
        <f aca="false">IF(NOT(ISNUMBER($G180)),"",MAX(MATCH(Q180,Config!$D$5:$D$9,1),G180-'Residual Config'!$C$6))</f>
        <v>4</v>
      </c>
      <c r="S180" s="34" t="n">
        <f aca="false">IF(NOT(ISNUMBER($G180)),"",IF('Residual Config'!$C$5="Numeric",R180,P180))</f>
        <v>5</v>
      </c>
      <c r="T180" s="7" t="str">
        <f aca="false">IF(G180="N/A","N/A",IF(S180="","No data",INDEX(Config!$B$5:$B$9,S180)))</f>
        <v>High</v>
      </c>
      <c r="U180" s="32" t="n">
        <v>0</v>
      </c>
      <c r="V180" s="8"/>
      <c r="W180" s="33"/>
      <c r="X180" s="34" t="n">
        <f aca="false">IF(S180="","",IF(AND(W180="Y",U180&lt;&gt;0),MAX(1,MIN(5,S180+MAX(-Config!$C$27,MIN(Config!$C$27,U180)))),S180))</f>
        <v>5</v>
      </c>
      <c r="Y180" s="35" t="str">
        <f aca="false">IF(G180="N/A","N/A",IF(X180="","No data",INDEX(Config!$B$5:$B$9,X180)))</f>
        <v>High</v>
      </c>
      <c r="Z180" s="7" t="str">
        <f aca="false">IF(U180=0,"None",IF(W180="Y","Applied","Pending HO approval"))</f>
        <v>None</v>
      </c>
      <c r="AA180" s="12" t="str">
        <f aca="false">INDEX('Risk Taxonomy'!$G$5:$G$24,MATCH(D180,'Risk Taxonomy'!$A$5:$A$24,0))</f>
        <v>Very low</v>
      </c>
      <c r="AB180" s="7" t="str">
        <f aca="false">INDEX('Risk Taxonomy'!$H$5:$H$24,MATCH(D180,'Risk Taxonomy'!$A$5:$A$24,0))</f>
        <v>Medium-Low</v>
      </c>
      <c r="AC180" s="35" t="str">
        <f aca="false">IF(NOT(ISNUMBER(X180)),"",IF(X180&lt;=MATCH(AB180,Config!$B$5:$B$9,0),"Within",IF(OR(X180-MATCH(AB180,Config!$B$5:$B$9,0)&gt;=2,AND('Residual Config'!$C$8="Y",ISNUMBER(SEARCH("Zero",AA180)))),"Red","Amber")))</f>
        <v>Red</v>
      </c>
      <c r="AD180" s="12" t="str">
        <f aca="false">IF(AC180="Red","Group CCO / CRO and Country CEO within 2 business days; action plan in 15 days; report to Board Risk &amp; Compliance Committee",IF(AC180="Amber","Country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81" customFormat="false" ht="15" hidden="false" customHeight="false" outlineLevel="0" collapsed="false">
      <c r="A181" s="26" t="str">
        <f aca="false">Entities!$A$13</f>
        <v>SY</v>
      </c>
      <c r="B181" s="12" t="str">
        <f aca="false">INDEX(Entities!$B$5:$B$34,MATCH(A181,Entities!$A$5:$A$34,0))</f>
        <v>Arab Bank – Syria</v>
      </c>
      <c r="C181" s="12" t="str">
        <f aca="false">INDEX(Entities!$D$5:$D$34,MATCH(A181,Entities!$A$5:$A$34,0))</f>
        <v>Levant</v>
      </c>
      <c r="D181" s="12" t="s">
        <v>313</v>
      </c>
      <c r="E181" s="12" t="str">
        <f aca="false">INDEX('Risk Taxonomy'!$B$5:$B$24,MATCH(D181,'Risk Taxonomy'!$A$5:$A$24,0))</f>
        <v>Third-party and outsourcing</v>
      </c>
      <c r="F181" s="29" t="n">
        <f aca="false">IF(NOT(ISNUMBER(G181)),"",G181)</f>
        <v>5</v>
      </c>
      <c r="G181" s="34" t="n">
        <f aca="false">IF(COUNTIFS('LxI Assessment'!$A$5:$A$394,A181,'LxI Assessment'!$D$5:$D$394,D181,'LxI Assessment'!$F$5:$F$394,"N/A")&gt;0,"N/A",IF(COUNTIFS('LxI Assessment'!$A$5:$A$394,A181,'LxI Assessment'!$D$5:$D$394,D181,'LxI Assessment'!$S$5:$S$394,"&gt;0")=0,"",SUMIFS('LxI Assessment'!$S$5:$S$394,'LxI Assessment'!$A$5:$A$394,A181,'LxI Assessment'!$D$5:$D$394,D181)))</f>
        <v>5</v>
      </c>
      <c r="H181" s="7" t="str">
        <f aca="false">IF(G181="N/A","N/A",IF(G181="","No data",INDEX(Config!$B$5:$B$9,G181)))</f>
        <v>High</v>
      </c>
      <c r="I181" s="31" t="n">
        <f aca="false">IF(NOT(ISNUMBER($G181)),"",SUMPRODUCT(('Control Mapping'!$C$5:$C$83=D181)*('Control Mapping'!$O$5:$O$83&gt;0)))</f>
        <v>2</v>
      </c>
      <c r="J181" s="31" t="n">
        <f aca="false">IF(NOT(ISNUMBER($G181)),"",SUMPRODUCT(('Control Mapping'!$C$5:$C$83=D181)*('Control Mapping'!$F$5:$F$83="Y")*('Control Mapping'!$O$5:$O$83&gt;0)))</f>
        <v>2</v>
      </c>
      <c r="K181" s="31" t="n">
        <f aca="false">IF(NOT(ISNUMBER($G181)),"",SUMPRODUCT(('Control Mapping'!$C$5:$C$83=D181)*('Control Mapping'!$F$5:$F$83="Y")*('Control Mapping'!$O$5:$O$83=4)))</f>
        <v>0</v>
      </c>
      <c r="L181" s="29" t="n">
        <f aca="false">IF(NOT(ISNUMBER($G181)),"",IFERROR(SUMPRODUCT(('Control Mapping'!$C$5:$C$83=D181)*'Control Mapping'!$E$5:$E$83*'Control Mapping'!$O$5:$O$83)/SUMPRODUCT(('Control Mapping'!$C$5:$C$83=D181)*'Control Mapping'!$E$5:$E$83*('Control Mapping'!$O$5:$O$83&gt;0)),""))</f>
        <v>2</v>
      </c>
      <c r="M181" s="34" t="n">
        <f aca="false">IF(NOT(ISNUMBER($G181)),"",IF(J181=0,4,MAX(MATCH(L181,'Residual Config'!$E$11:$E$14,1),IF(K181&gt;0,'Residual Config'!$C$7,1))))</f>
        <v>2</v>
      </c>
      <c r="N181" s="7" t="str">
        <f aca="false">IF(NOT(ISNUMBER($G181)),"",IF(J181=0,"Ineffective (no key control)",INDEX('Residual Config'!$B$11:$B$14,M181)))</f>
        <v>Largely effective</v>
      </c>
      <c r="O181" s="36" t="n">
        <f aca="false">IF(NOT(ISNUMBER($G181)),"",IF(J181=0,0,SUMPRODUCT(('Control Mapping'!$C$5:$C$83=D181)*'Control Mapping'!$E$5:$E$83*(('Control Mapping'!$O$5:$O$83=1)*'Residual Config'!$D$11+('Control Mapping'!$O$5:$O$83=2)*'Residual Config'!$D$12+('Control Mapping'!$O$5:$O$83=3)*'Residual Config'!$D$13+('Control Mapping'!$O$5:$O$83=4)*'Residual Config'!$D$14))/SUMPRODUCT(('Control Mapping'!$C$5:$C$83=D181)*'Control Mapping'!$E$5:$E$83*('Control Mapping'!$O$5:$O$83&gt;0))))</f>
        <v>0.4</v>
      </c>
      <c r="P181" s="31" t="n">
        <f aca="false">IF(NOT(ISNUMBER($G181)),"",INDEX('Residual Config'!$B$19:$E$23,6-G181,M181))</f>
        <v>4</v>
      </c>
      <c r="Q181" s="29" t="n">
        <f aca="false">IF(NOT(ISNUMBER($G181)),"",MAX(1,F181*(1-O181)))</f>
        <v>3</v>
      </c>
      <c r="R181" s="31" t="n">
        <f aca="false">IF(NOT(ISNUMBER($G181)),"",MAX(MATCH(Q181,Config!$D$5:$D$9,1),G181-'Residual Config'!$C$6))</f>
        <v>3</v>
      </c>
      <c r="S181" s="34" t="n">
        <f aca="false">IF(NOT(ISNUMBER($G181)),"",IF('Residual Config'!$C$5="Numeric",R181,P181))</f>
        <v>4</v>
      </c>
      <c r="T181" s="7" t="str">
        <f aca="false">IF(G181="N/A","N/A",IF(S181="","No data",INDEX(Config!$B$5:$B$9,S181)))</f>
        <v>Medium-High</v>
      </c>
      <c r="U181" s="32" t="n">
        <v>0</v>
      </c>
      <c r="V181" s="8"/>
      <c r="W181" s="33"/>
      <c r="X181" s="34" t="n">
        <f aca="false">IF(S181="","",IF(AND(W181="Y",U181&lt;&gt;0),MAX(1,MIN(5,S181+MAX(-Config!$C$27,MIN(Config!$C$27,U181)))),S181))</f>
        <v>4</v>
      </c>
      <c r="Y181" s="35" t="str">
        <f aca="false">IF(G181="N/A","N/A",IF(X181="","No data",INDEX(Config!$B$5:$B$9,X181)))</f>
        <v>Medium-High</v>
      </c>
      <c r="Z181" s="7" t="str">
        <f aca="false">IF(U181=0,"None",IF(W181="Y","Applied","Pending HO approval"))</f>
        <v>None</v>
      </c>
      <c r="AA181" s="12" t="str">
        <f aca="false">INDEX('Risk Taxonomy'!$G$5:$G$24,MATCH(D181,'Risk Taxonomy'!$A$5:$A$24,0))</f>
        <v>Low</v>
      </c>
      <c r="AB181" s="7" t="str">
        <f aca="false">INDEX('Risk Taxonomy'!$H$5:$H$24,MATCH(D181,'Risk Taxonomy'!$A$5:$A$24,0))</f>
        <v>Medium</v>
      </c>
      <c r="AC181" s="35" t="str">
        <f aca="false">IF(NOT(ISNUMBER(X181)),"",IF(X181&lt;=MATCH(AB181,Config!$B$5:$B$9,0),"Within",IF(OR(X181-MATCH(AB181,Config!$B$5:$B$9,0)&gt;=2,AND('Residual Config'!$C$8="Y",ISNUMBER(SEARCH("Zero",AA181)))),"Red","Amber")))</f>
        <v>Amber</v>
      </c>
      <c r="AD181" s="12" t="str">
        <f aca="false">IF(AC181="Red","Group CCO / CRO and Country CEO within 2 business days; action plan in 15 days; report to Board Risk &amp; Compliance Committee",IF(AC181="Amber","Country CO, risk owner and HO Administrator within 5 business days; action plan in 30 days",""))</f>
        <v>Country CO, risk owner and HO Administrator within 5 business days; action plan in 30 days</v>
      </c>
    </row>
    <row r="182" customFormat="false" ht="15" hidden="false" customHeight="false" outlineLevel="0" collapsed="false">
      <c r="A182" s="26" t="str">
        <f aca="false">Entities!$A$13</f>
        <v>SY</v>
      </c>
      <c r="B182" s="12" t="str">
        <f aca="false">INDEX(Entities!$B$5:$B$34,MATCH(A182,Entities!$A$5:$A$34,0))</f>
        <v>Arab Bank – Syria</v>
      </c>
      <c r="C182" s="12" t="str">
        <f aca="false">INDEX(Entities!$D$5:$D$34,MATCH(A182,Entities!$A$5:$A$34,0))</f>
        <v>Levant</v>
      </c>
      <c r="D182" s="12" t="s">
        <v>316</v>
      </c>
      <c r="E182" s="12" t="str">
        <f aca="false">INDEX('Risk Taxonomy'!$B$5:$B$24,MATCH(D182,'Risk Taxonomy'!$A$5:$A$24,0))</f>
        <v>Legal and litigation</v>
      </c>
      <c r="F182" s="29" t="n">
        <f aca="false">IF(NOT(ISNUMBER(G182)),"",G182)</f>
        <v>3</v>
      </c>
      <c r="G182" s="34" t="n">
        <f aca="false">IF(COUNTIFS('LxI Assessment'!$A$5:$A$394,A182,'LxI Assessment'!$D$5:$D$394,D182,'LxI Assessment'!$F$5:$F$394,"N/A")&gt;0,"N/A",IF(COUNTIFS('LxI Assessment'!$A$5:$A$394,A182,'LxI Assessment'!$D$5:$D$394,D182,'LxI Assessment'!$S$5:$S$394,"&gt;0")=0,"",SUMIFS('LxI Assessment'!$S$5:$S$394,'LxI Assessment'!$A$5:$A$394,A182,'LxI Assessment'!$D$5:$D$394,D182)))</f>
        <v>3</v>
      </c>
      <c r="H182" s="7" t="str">
        <f aca="false">IF(G182="N/A","N/A",IF(G182="","No data",INDEX(Config!$B$5:$B$9,G182)))</f>
        <v>Medium</v>
      </c>
      <c r="I182" s="31" t="n">
        <f aca="false">IF(NOT(ISNUMBER($G182)),"",SUMPRODUCT(('Control Mapping'!$C$5:$C$83=D182)*('Control Mapping'!$O$5:$O$83&gt;0)))</f>
        <v>1</v>
      </c>
      <c r="J182" s="31" t="n">
        <f aca="false">IF(NOT(ISNUMBER($G182)),"",SUMPRODUCT(('Control Mapping'!$C$5:$C$83=D182)*('Control Mapping'!$F$5:$F$83="Y")*('Control Mapping'!$O$5:$O$83&gt;0)))</f>
        <v>1</v>
      </c>
      <c r="K182" s="31" t="n">
        <f aca="false">IF(NOT(ISNUMBER($G182)),"",SUMPRODUCT(('Control Mapping'!$C$5:$C$83=D182)*('Control Mapping'!$F$5:$F$83="Y")*('Control Mapping'!$O$5:$O$83=4)))</f>
        <v>0</v>
      </c>
      <c r="L182" s="29" t="n">
        <f aca="false">IF(NOT(ISNUMBER($G182)),"",IFERROR(SUMPRODUCT(('Control Mapping'!$C$5:$C$83=D182)*'Control Mapping'!$E$5:$E$83*'Control Mapping'!$O$5:$O$83)/SUMPRODUCT(('Control Mapping'!$C$5:$C$83=D182)*'Control Mapping'!$E$5:$E$83*('Control Mapping'!$O$5:$O$83&gt;0)),""))</f>
        <v>2</v>
      </c>
      <c r="M182" s="34" t="n">
        <f aca="false">IF(NOT(ISNUMBER($G182)),"",IF(J182=0,4,MAX(MATCH(L182,'Residual Config'!$E$11:$E$14,1),IF(K182&gt;0,'Residual Config'!$C$7,1))))</f>
        <v>2</v>
      </c>
      <c r="N182" s="7" t="str">
        <f aca="false">IF(NOT(ISNUMBER($G182)),"",IF(J182=0,"Ineffective (no key control)",INDEX('Residual Config'!$B$11:$B$14,M182)))</f>
        <v>Largely effective</v>
      </c>
      <c r="O182" s="36" t="n">
        <f aca="false">IF(NOT(ISNUMBER($G182)),"",IF(J182=0,0,SUMPRODUCT(('Control Mapping'!$C$5:$C$83=D182)*'Control Mapping'!$E$5:$E$83*(('Control Mapping'!$O$5:$O$83=1)*'Residual Config'!$D$11+('Control Mapping'!$O$5:$O$83=2)*'Residual Config'!$D$12+('Control Mapping'!$O$5:$O$83=3)*'Residual Config'!$D$13+('Control Mapping'!$O$5:$O$83=4)*'Residual Config'!$D$14))/SUMPRODUCT(('Control Mapping'!$C$5:$C$83=D182)*'Control Mapping'!$E$5:$E$83*('Control Mapping'!$O$5:$O$83&gt;0))))</f>
        <v>0.4</v>
      </c>
      <c r="P182" s="31" t="n">
        <f aca="false">IF(NOT(ISNUMBER($G182)),"",INDEX('Residual Config'!$B$19:$E$23,6-G182,M182))</f>
        <v>2</v>
      </c>
      <c r="Q182" s="29" t="n">
        <f aca="false">IF(NOT(ISNUMBER($G182)),"",MAX(1,F182*(1-O182)))</f>
        <v>1.8</v>
      </c>
      <c r="R182" s="31" t="n">
        <f aca="false">IF(NOT(ISNUMBER($G182)),"",MAX(MATCH(Q182,Config!$D$5:$D$9,1),G182-'Residual Config'!$C$6))</f>
        <v>1</v>
      </c>
      <c r="S182" s="34" t="n">
        <f aca="false">IF(NOT(ISNUMBER($G182)),"",IF('Residual Config'!$C$5="Numeric",R182,P182))</f>
        <v>2</v>
      </c>
      <c r="T182" s="7" t="str">
        <f aca="false">IF(G182="N/A","N/A",IF(S182="","No data",INDEX(Config!$B$5:$B$9,S182)))</f>
        <v>Medium-Low</v>
      </c>
      <c r="U182" s="32" t="n">
        <v>0</v>
      </c>
      <c r="V182" s="8"/>
      <c r="W182" s="33"/>
      <c r="X182" s="34" t="n">
        <f aca="false">IF(S182="","",IF(AND(W182="Y",U182&lt;&gt;0),MAX(1,MIN(5,S182+MAX(-Config!$C$27,MIN(Config!$C$27,U182)))),S182))</f>
        <v>2</v>
      </c>
      <c r="Y182" s="35" t="str">
        <f aca="false">IF(G182="N/A","N/A",IF(X182="","No data",INDEX(Config!$B$5:$B$9,X182)))</f>
        <v>Medium-Low</v>
      </c>
      <c r="Z182" s="7" t="str">
        <f aca="false">IF(U182=0,"None",IF(W182="Y","Applied","Pending HO approval"))</f>
        <v>None</v>
      </c>
      <c r="AA182" s="12" t="str">
        <f aca="false">INDEX('Risk Taxonomy'!$G$5:$G$24,MATCH(D182,'Risk Taxonomy'!$A$5:$A$24,0))</f>
        <v>Very low</v>
      </c>
      <c r="AB182" s="7" t="str">
        <f aca="false">INDEX('Risk Taxonomy'!$H$5:$H$24,MATCH(D182,'Risk Taxonomy'!$A$5:$A$24,0))</f>
        <v>Medium-Low</v>
      </c>
      <c r="AC182" s="35" t="str">
        <f aca="false">IF(NOT(ISNUMBER(X182)),"",IF(X182&lt;=MATCH(AB182,Config!$B$5:$B$9,0),"Within",IF(OR(X182-MATCH(AB182,Config!$B$5:$B$9,0)&gt;=2,AND('Residual Config'!$C$8="Y",ISNUMBER(SEARCH("Zero",AA182)))),"Red","Amber")))</f>
        <v>Within</v>
      </c>
      <c r="AD182" s="12" t="str">
        <f aca="false">IF(AC182="Red","Group CCO / CRO and Country CEO within 2 business days; action plan in 15 days; report to Board Risk &amp; Compliance Committee",IF(AC182="Amber","Country CO, risk owner and HO Administrator within 5 business days; action plan in 30 days",""))</f>
        <v/>
      </c>
    </row>
    <row r="183" customFormat="false" ht="15" hidden="false" customHeight="false" outlineLevel="0" collapsed="false">
      <c r="A183" s="26" t="str">
        <f aca="false">Entities!$A$13</f>
        <v>SY</v>
      </c>
      <c r="B183" s="12" t="str">
        <f aca="false">INDEX(Entities!$B$5:$B$34,MATCH(A183,Entities!$A$5:$A$34,0))</f>
        <v>Arab Bank – Syria</v>
      </c>
      <c r="C183" s="12" t="str">
        <f aca="false">INDEX(Entities!$D$5:$D$34,MATCH(A183,Entities!$A$5:$A$34,0))</f>
        <v>Levant</v>
      </c>
      <c r="D183" s="12" t="s">
        <v>319</v>
      </c>
      <c r="E183" s="12" t="str">
        <f aca="false">INDEX('Risk Taxonomy'!$B$5:$B$24,MATCH(D183,'Risk Taxonomy'!$A$5:$A$24,0))</f>
        <v>Reputational</v>
      </c>
      <c r="F183" s="29" t="n">
        <f aca="false">IF(NOT(ISNUMBER(G183)),"",G183)</f>
        <v>4</v>
      </c>
      <c r="G183" s="34" t="n">
        <f aca="false">IF(COUNTIFS('LxI Assessment'!$A$5:$A$394,A183,'LxI Assessment'!$D$5:$D$394,D183,'LxI Assessment'!$F$5:$F$394,"N/A")&gt;0,"N/A",IF(COUNTIFS('LxI Assessment'!$A$5:$A$394,A183,'LxI Assessment'!$D$5:$D$394,D183,'LxI Assessment'!$S$5:$S$394,"&gt;0")=0,"",SUMIFS('LxI Assessment'!$S$5:$S$394,'LxI Assessment'!$A$5:$A$394,A183,'LxI Assessment'!$D$5:$D$394,D183)))</f>
        <v>4</v>
      </c>
      <c r="H183" s="7" t="str">
        <f aca="false">IF(G183="N/A","N/A",IF(G183="","No data",INDEX(Config!$B$5:$B$9,G183)))</f>
        <v>Medium-High</v>
      </c>
      <c r="I183" s="31" t="n">
        <f aca="false">IF(NOT(ISNUMBER($G183)),"",SUMPRODUCT(('Control Mapping'!$C$5:$C$83=D183)*('Control Mapping'!$O$5:$O$83&gt;0)))</f>
        <v>2</v>
      </c>
      <c r="J183" s="31" t="n">
        <f aca="false">IF(NOT(ISNUMBER($G183)),"",SUMPRODUCT(('Control Mapping'!$C$5:$C$83=D183)*('Control Mapping'!$F$5:$F$83="Y")*('Control Mapping'!$O$5:$O$83&gt;0)))</f>
        <v>1</v>
      </c>
      <c r="K183" s="31" t="n">
        <f aca="false">IF(NOT(ISNUMBER($G183)),"",SUMPRODUCT(('Control Mapping'!$C$5:$C$83=D183)*('Control Mapping'!$F$5:$F$83="Y")*('Control Mapping'!$O$5:$O$83=4)))</f>
        <v>0</v>
      </c>
      <c r="L183" s="29" t="n">
        <f aca="false">IF(NOT(ISNUMBER($G183)),"",IFERROR(SUMPRODUCT(('Control Mapping'!$C$5:$C$83=D183)*'Control Mapping'!$E$5:$E$83*'Control Mapping'!$O$5:$O$83)/SUMPRODUCT(('Control Mapping'!$C$5:$C$83=D183)*'Control Mapping'!$E$5:$E$83*('Control Mapping'!$O$5:$O$83&gt;0)),""))</f>
        <v>2</v>
      </c>
      <c r="M183" s="34" t="n">
        <f aca="false">IF(NOT(ISNUMBER($G183)),"",IF(J183=0,4,MAX(MATCH(L183,'Residual Config'!$E$11:$E$14,1),IF(K183&gt;0,'Residual Config'!$C$7,1))))</f>
        <v>2</v>
      </c>
      <c r="N183" s="7" t="str">
        <f aca="false">IF(NOT(ISNUMBER($G183)),"",IF(J183=0,"Ineffective (no key control)",INDEX('Residual Config'!$B$11:$B$14,M183)))</f>
        <v>Largely effective</v>
      </c>
      <c r="O183" s="36" t="n">
        <f aca="false">IF(NOT(ISNUMBER($G183)),"",IF(J183=0,0,SUMPRODUCT(('Control Mapping'!$C$5:$C$83=D183)*'Control Mapping'!$E$5:$E$83*(('Control Mapping'!$O$5:$O$83=1)*'Residual Config'!$D$11+('Control Mapping'!$O$5:$O$83=2)*'Residual Config'!$D$12+('Control Mapping'!$O$5:$O$83=3)*'Residual Config'!$D$13+('Control Mapping'!$O$5:$O$83=4)*'Residual Config'!$D$14))/SUMPRODUCT(('Control Mapping'!$C$5:$C$83=D183)*'Control Mapping'!$E$5:$E$83*('Control Mapping'!$O$5:$O$83&gt;0))))</f>
        <v>0.4</v>
      </c>
      <c r="P183" s="31" t="n">
        <f aca="false">IF(NOT(ISNUMBER($G183)),"",INDEX('Residual Config'!$B$19:$E$23,6-G183,M183))</f>
        <v>3</v>
      </c>
      <c r="Q183" s="29" t="n">
        <f aca="false">IF(NOT(ISNUMBER($G183)),"",MAX(1,F183*(1-O183)))</f>
        <v>2.4</v>
      </c>
      <c r="R183" s="31" t="n">
        <f aca="false">IF(NOT(ISNUMBER($G183)),"",MAX(MATCH(Q183,Config!$D$5:$D$9,1),G183-'Residual Config'!$C$6))</f>
        <v>2</v>
      </c>
      <c r="S183" s="34" t="n">
        <f aca="false">IF(NOT(ISNUMBER($G183)),"",IF('Residual Config'!$C$5="Numeric",R183,P183))</f>
        <v>3</v>
      </c>
      <c r="T183" s="7" t="str">
        <f aca="false">IF(G183="N/A","N/A",IF(S183="","No data",INDEX(Config!$B$5:$B$9,S183)))</f>
        <v>Medium</v>
      </c>
      <c r="U183" s="32" t="n">
        <v>0</v>
      </c>
      <c r="V183" s="8"/>
      <c r="W183" s="33"/>
      <c r="X183" s="34" t="n">
        <f aca="false">IF(S183="","",IF(AND(W183="Y",U183&lt;&gt;0),MAX(1,MIN(5,S183+MAX(-Config!$C$27,MIN(Config!$C$27,U183)))),S183))</f>
        <v>3</v>
      </c>
      <c r="Y183" s="35" t="str">
        <f aca="false">IF(G183="N/A","N/A",IF(X183="","No data",INDEX(Config!$B$5:$B$9,X183)))</f>
        <v>Medium</v>
      </c>
      <c r="Z183" s="7" t="str">
        <f aca="false">IF(U183=0,"None",IF(W183="Y","Applied","Pending HO approval"))</f>
        <v>None</v>
      </c>
      <c r="AA183" s="12" t="str">
        <f aca="false">INDEX('Risk Taxonomy'!$G$5:$G$24,MATCH(D183,'Risk Taxonomy'!$A$5:$A$24,0))</f>
        <v>Low</v>
      </c>
      <c r="AB183" s="7" t="str">
        <f aca="false">INDEX('Risk Taxonomy'!$H$5:$H$24,MATCH(D183,'Risk Taxonomy'!$A$5:$A$24,0))</f>
        <v>Medium</v>
      </c>
      <c r="AC183" s="35" t="str">
        <f aca="false">IF(NOT(ISNUMBER(X183)),"",IF(X183&lt;=MATCH(AB183,Config!$B$5:$B$9,0),"Within",IF(OR(X183-MATCH(AB183,Config!$B$5:$B$9,0)&gt;=2,AND('Residual Config'!$C$8="Y",ISNUMBER(SEARCH("Zero",AA183)))),"Red","Amber")))</f>
        <v>Within</v>
      </c>
      <c r="AD183" s="12" t="str">
        <f aca="false">IF(AC183="Red","Group CCO / CRO and Country CEO within 2 business days; action plan in 15 days; report to Board Risk &amp; Compliance Committee",IF(AC183="Amber","Country CO, risk owner and HO Administrator within 5 business days; action plan in 30 days",""))</f>
        <v/>
      </c>
    </row>
    <row r="184" customFormat="false" ht="15" hidden="false" customHeight="false" outlineLevel="0" collapsed="false">
      <c r="A184" s="26" t="str">
        <f aca="false">Entities!$A$13</f>
        <v>SY</v>
      </c>
      <c r="B184" s="12" t="str">
        <f aca="false">INDEX(Entities!$B$5:$B$34,MATCH(A184,Entities!$A$5:$A$34,0))</f>
        <v>Arab Bank – Syria</v>
      </c>
      <c r="C184" s="12" t="str">
        <f aca="false">INDEX(Entities!$D$5:$D$34,MATCH(A184,Entities!$A$5:$A$34,0))</f>
        <v>Levant</v>
      </c>
      <c r="D184" s="12" t="s">
        <v>322</v>
      </c>
      <c r="E184" s="12" t="str">
        <f aca="false">INDEX('Risk Taxonomy'!$B$5:$B$24,MATCH(D184,'Risk Taxonomy'!$A$5:$A$24,0))</f>
        <v>Strategic, business model and ESG</v>
      </c>
      <c r="F184" s="29" t="n">
        <f aca="false">IF(NOT(ISNUMBER(G184)),"",G184)</f>
        <v>4</v>
      </c>
      <c r="G184" s="34" t="n">
        <f aca="false">IF(COUNTIFS('LxI Assessment'!$A$5:$A$394,A184,'LxI Assessment'!$D$5:$D$394,D184,'LxI Assessment'!$F$5:$F$394,"N/A")&gt;0,"N/A",IF(COUNTIFS('LxI Assessment'!$A$5:$A$394,A184,'LxI Assessment'!$D$5:$D$394,D184,'LxI Assessment'!$S$5:$S$394,"&gt;0")=0,"",SUMIFS('LxI Assessment'!$S$5:$S$394,'LxI Assessment'!$A$5:$A$394,A184,'LxI Assessment'!$D$5:$D$394,D184)))</f>
        <v>4</v>
      </c>
      <c r="H184" s="7" t="str">
        <f aca="false">IF(G184="N/A","N/A",IF(G184="","No data",INDEX(Config!$B$5:$B$9,G184)))</f>
        <v>Medium-High</v>
      </c>
      <c r="I184" s="31" t="n">
        <f aca="false">IF(NOT(ISNUMBER($G184)),"",SUMPRODUCT(('Control Mapping'!$C$5:$C$83=D184)*('Control Mapping'!$O$5:$O$83&gt;0)))</f>
        <v>1</v>
      </c>
      <c r="J184" s="31" t="n">
        <f aca="false">IF(NOT(ISNUMBER($G184)),"",SUMPRODUCT(('Control Mapping'!$C$5:$C$83=D184)*('Control Mapping'!$F$5:$F$83="Y")*('Control Mapping'!$O$5:$O$83&gt;0)))</f>
        <v>1</v>
      </c>
      <c r="K184" s="31" t="n">
        <f aca="false">IF(NOT(ISNUMBER($G184)),"",SUMPRODUCT(('Control Mapping'!$C$5:$C$83=D184)*('Control Mapping'!$F$5:$F$83="Y")*('Control Mapping'!$O$5:$O$83=4)))</f>
        <v>0</v>
      </c>
      <c r="L184" s="29" t="n">
        <f aca="false">IF(NOT(ISNUMBER($G184)),"",IFERROR(SUMPRODUCT(('Control Mapping'!$C$5:$C$83=D184)*'Control Mapping'!$E$5:$E$83*'Control Mapping'!$O$5:$O$83)/SUMPRODUCT(('Control Mapping'!$C$5:$C$83=D184)*'Control Mapping'!$E$5:$E$83*('Control Mapping'!$O$5:$O$83&gt;0)),""))</f>
        <v>3</v>
      </c>
      <c r="M184" s="34" t="n">
        <f aca="false">IF(NOT(ISNUMBER($G184)),"",IF(J184=0,4,MAX(MATCH(L184,'Residual Config'!$E$11:$E$14,1),IF(K184&gt;0,'Residual Config'!$C$7,1))))</f>
        <v>3</v>
      </c>
      <c r="N184" s="7" t="str">
        <f aca="false">IF(NOT(ISNUMBER($G184)),"",IF(J184=0,"Ineffective (no key control)",INDEX('Residual Config'!$B$11:$B$14,M184)))</f>
        <v>Partially effective</v>
      </c>
      <c r="O184" s="36" t="n">
        <f aca="false">IF(NOT(ISNUMBER($G184)),"",IF(J184=0,0,SUMPRODUCT(('Control Mapping'!$C$5:$C$83=D184)*'Control Mapping'!$E$5:$E$83*(('Control Mapping'!$O$5:$O$83=1)*'Residual Config'!$D$11+('Control Mapping'!$O$5:$O$83=2)*'Residual Config'!$D$12+('Control Mapping'!$O$5:$O$83=3)*'Residual Config'!$D$13+('Control Mapping'!$O$5:$O$83=4)*'Residual Config'!$D$14))/SUMPRODUCT(('Control Mapping'!$C$5:$C$83=D184)*'Control Mapping'!$E$5:$E$83*('Control Mapping'!$O$5:$O$83&gt;0))))</f>
        <v>0.2</v>
      </c>
      <c r="P184" s="31" t="n">
        <f aca="false">IF(NOT(ISNUMBER($G184)),"",INDEX('Residual Config'!$B$19:$E$23,6-G184,M184))</f>
        <v>4</v>
      </c>
      <c r="Q184" s="29" t="n">
        <f aca="false">IF(NOT(ISNUMBER($G184)),"",MAX(1,F184*(1-O184)))</f>
        <v>3.2</v>
      </c>
      <c r="R184" s="31" t="n">
        <f aca="false">IF(NOT(ISNUMBER($G184)),"",MAX(MATCH(Q184,Config!$D$5:$D$9,1),G184-'Residual Config'!$C$6))</f>
        <v>3</v>
      </c>
      <c r="S184" s="34" t="n">
        <f aca="false">IF(NOT(ISNUMBER($G184)),"",IF('Residual Config'!$C$5="Numeric",R184,P184))</f>
        <v>4</v>
      </c>
      <c r="T184" s="7" t="str">
        <f aca="false">IF(G184="N/A","N/A",IF(S184="","No data",INDEX(Config!$B$5:$B$9,S184)))</f>
        <v>Medium-High</v>
      </c>
      <c r="U184" s="32" t="n">
        <v>0</v>
      </c>
      <c r="V184" s="8"/>
      <c r="W184" s="33"/>
      <c r="X184" s="34" t="n">
        <f aca="false">IF(S184="","",IF(AND(W184="Y",U184&lt;&gt;0),MAX(1,MIN(5,S184+MAX(-Config!$C$27,MIN(Config!$C$27,U184)))),S184))</f>
        <v>4</v>
      </c>
      <c r="Y184" s="35" t="str">
        <f aca="false">IF(G184="N/A","N/A",IF(X184="","No data",INDEX(Config!$B$5:$B$9,X184)))</f>
        <v>Medium-High</v>
      </c>
      <c r="Z184" s="7" t="str">
        <f aca="false">IF(U184=0,"None",IF(W184="Y","Applied","Pending HO approval"))</f>
        <v>None</v>
      </c>
      <c r="AA184" s="12" t="str">
        <f aca="false">INDEX('Risk Taxonomy'!$G$5:$G$24,MATCH(D184,'Risk Taxonomy'!$A$5:$A$24,0))</f>
        <v>Moderate</v>
      </c>
      <c r="AB184" s="7" t="str">
        <f aca="false">INDEX('Risk Taxonomy'!$H$5:$H$24,MATCH(D184,'Risk Taxonomy'!$A$5:$A$24,0))</f>
        <v>Medium-High</v>
      </c>
      <c r="AC184" s="35" t="str">
        <f aca="false">IF(NOT(ISNUMBER(X184)),"",IF(X184&lt;=MATCH(AB184,Config!$B$5:$B$9,0),"Within",IF(OR(X184-MATCH(AB184,Config!$B$5:$B$9,0)&gt;=2,AND('Residual Config'!$C$8="Y",ISNUMBER(SEARCH("Zero",AA184)))),"Red","Amber")))</f>
        <v>Within</v>
      </c>
      <c r="AD184" s="12" t="str">
        <f aca="false">IF(AC184="Red","Group CCO / CRO and Country CEO within 2 business days; action plan in 15 days; report to Board Risk &amp; Compliance Committee",IF(AC184="Amber","Country CO, risk owner and HO Administrator within 5 business days; action plan in 30 days",""))</f>
        <v/>
      </c>
    </row>
    <row r="185" customFormat="false" ht="15" hidden="false" customHeight="false" outlineLevel="0" collapsed="false">
      <c r="A185" s="26" t="str">
        <f aca="false">Entities!$A$14</f>
        <v>AE</v>
      </c>
      <c r="B185" s="12" t="str">
        <f aca="false">INDEX(Entities!$B$5:$B$34,MATCH(A185,Entities!$A$5:$A$34,0))</f>
        <v>Arab Bank – UAE</v>
      </c>
      <c r="C185" s="12" t="str">
        <f aca="false">INDEX(Entities!$D$5:$D$34,MATCH(A185,Entities!$A$5:$A$34,0))</f>
        <v>GCC</v>
      </c>
      <c r="D185" s="12" t="s">
        <v>260</v>
      </c>
      <c r="E185" s="12" t="str">
        <f aca="false">INDEX('Risk Taxonomy'!$B$5:$B$24,MATCH(D185,'Risk Taxonomy'!$A$5:$A$24,0))</f>
        <v>Money laundering</v>
      </c>
      <c r="F185" s="29" t="n">
        <f aca="false">IF(NOT(ISNUMBER(G185)),"",IFERROR(IF(MATCH(SUMIFS('FC Calculation'!$N$5:$N$214,'FC Calculation'!$A$5:$A$214,A185,'FC Calculation'!$D$5:$D$214,D185),Config!$D$5:$D$9,1)=G185,SUMIFS('FC Calculation'!$N$5:$N$214,'FC Calculation'!$A$5:$A$214,A185,'FC Calculation'!$D$5:$D$214,D185),G185),G185))</f>
        <v>2.87785714285714</v>
      </c>
      <c r="G185" s="34" t="n">
        <f aca="false">IF(COUNTIFS('FC Calculation'!$A$5:$A$214,A185,'FC Calculation'!$D$5:$D$214,D185,'FC Calculation'!$T$5:$T$214,"&gt;0")=0,"",SUMIFS('FC Calculation'!$T$5:$T$214,'FC Calculation'!$A$5:$A$214,A185,'FC Calculation'!$D$5:$D$214,D185))</f>
        <v>3</v>
      </c>
      <c r="H185" s="7" t="str">
        <f aca="false">IF(G185="N/A","N/A",IF(G185="","No data",INDEX(Config!$B$5:$B$9,G185)))</f>
        <v>Medium</v>
      </c>
      <c r="I185" s="31" t="n">
        <f aca="false">IF(NOT(ISNUMBER($G185)),"",SUMPRODUCT(('Control Mapping'!$C$5:$C$83=D185)*('Control Mapping'!$P$5:$P$83&gt;0)))</f>
        <v>12</v>
      </c>
      <c r="J185" s="31" t="n">
        <f aca="false">IF(NOT(ISNUMBER($G185)),"",SUMPRODUCT(('Control Mapping'!$C$5:$C$83=D185)*('Control Mapping'!$F$5:$F$83="Y")*('Control Mapping'!$P$5:$P$83&gt;0)))</f>
        <v>9</v>
      </c>
      <c r="K185" s="31" t="n">
        <f aca="false">IF(NOT(ISNUMBER($G185)),"",SUMPRODUCT(('Control Mapping'!$C$5:$C$83=D185)*('Control Mapping'!$F$5:$F$83="Y")*('Control Mapping'!$P$5:$P$83=4)))</f>
        <v>1</v>
      </c>
      <c r="L185" s="29" t="n">
        <f aca="false">IF(NOT(ISNUMBER($G185)),"",IFERROR(SUMPRODUCT(('Control Mapping'!$C$5:$C$83=D185)*'Control Mapping'!$E$5:$E$83*'Control Mapping'!$P$5:$P$83)/SUMPRODUCT(('Control Mapping'!$C$5:$C$83=D185)*'Control Mapping'!$E$5:$E$83*('Control Mapping'!$P$5:$P$83&gt;0)),""))</f>
        <v>1.91304347826087</v>
      </c>
      <c r="M185" s="34" t="n">
        <f aca="false">IF(NOT(ISNUMBER($G185)),"",IF(J185=0,4,MAX(MATCH(L185,'Residual Config'!$E$11:$E$14,1),IF(K185&gt;0,'Residual Config'!$C$7,1))))</f>
        <v>3</v>
      </c>
      <c r="N185" s="7" t="str">
        <f aca="false">IF(NOT(ISNUMBER($G185)),"",IF(J185=0,"Ineffective (no key control)",INDEX('Residual Config'!$B$11:$B$14,M185)))</f>
        <v>Partially effective</v>
      </c>
      <c r="O185" s="36" t="n">
        <f aca="false">IF(NOT(ISNUMBER($G185)),"",IF(J185=0,0,SUMPRODUCT(('Control Mapping'!$C$5:$C$83=D185)*'Control Mapping'!$E$5:$E$83*(('Control Mapping'!$P$5:$P$83=1)*'Residual Config'!$D$11+('Control Mapping'!$P$5:$P$83=2)*'Residual Config'!$D$12+('Control Mapping'!$P$5:$P$83=3)*'Residual Config'!$D$13+('Control Mapping'!$P$5:$P$83=4)*'Residual Config'!$D$14))/SUMPRODUCT(('Control Mapping'!$C$5:$C$83=D185)*'Control Mapping'!$E$5:$E$83*('Control Mapping'!$P$5:$P$83&gt;0))))</f>
        <v>0.417391304347826</v>
      </c>
      <c r="P185" s="31" t="n">
        <f aca="false">IF(NOT(ISNUMBER($G185)),"",INDEX('Residual Config'!$B$19:$E$23,6-G185,M185))</f>
        <v>3</v>
      </c>
      <c r="Q185" s="29" t="n">
        <f aca="false">IF(NOT(ISNUMBER($G185)),"",MAX(1,F185*(1-O185)))</f>
        <v>1.67666459627329</v>
      </c>
      <c r="R185" s="31" t="n">
        <f aca="false">IF(NOT(ISNUMBER($G185)),"",MAX(MATCH(Q185,Config!$D$5:$D$9,1),G185-'Residual Config'!$C$6))</f>
        <v>1</v>
      </c>
      <c r="S185" s="34" t="n">
        <f aca="false">IF(NOT(ISNUMBER($G185)),"",IF('Residual Config'!$C$5="Numeric",R185,P185))</f>
        <v>3</v>
      </c>
      <c r="T185" s="7" t="str">
        <f aca="false">IF(G185="N/A","N/A",IF(S185="","No data",INDEX(Config!$B$5:$B$9,S185)))</f>
        <v>Medium</v>
      </c>
      <c r="U185" s="32" t="n">
        <v>0</v>
      </c>
      <c r="V185" s="8"/>
      <c r="W185" s="33"/>
      <c r="X185" s="34" t="n">
        <f aca="false">IF(S185="","",IF(AND(W185="Y",U185&lt;&gt;0),MAX(1,MIN(5,S185+MAX(-Config!$C$27,MIN(Config!$C$27,U185)))),S185))</f>
        <v>3</v>
      </c>
      <c r="Y185" s="35" t="str">
        <f aca="false">IF(G185="N/A","N/A",IF(X185="","No data",INDEX(Config!$B$5:$B$9,X185)))</f>
        <v>Medium</v>
      </c>
      <c r="Z185" s="7" t="str">
        <f aca="false">IF(U185=0,"None",IF(W185="Y","Applied","Pending HO approval"))</f>
        <v>None</v>
      </c>
      <c r="AA185" s="12" t="str">
        <f aca="false">INDEX('Risk Taxonomy'!$G$5:$G$24,MATCH(D185,'Risk Taxonomy'!$A$5:$A$24,0))</f>
        <v>Very low</v>
      </c>
      <c r="AB185" s="7" t="str">
        <f aca="false">INDEX('Risk Taxonomy'!$H$5:$H$24,MATCH(D185,'Risk Taxonomy'!$A$5:$A$24,0))</f>
        <v>Medium-Low</v>
      </c>
      <c r="AC185" s="35" t="str">
        <f aca="false">IF(NOT(ISNUMBER(X185)),"",IF(X185&lt;=MATCH(AB185,Config!$B$5:$B$9,0),"Within",IF(OR(X185-MATCH(AB185,Config!$B$5:$B$9,0)&gt;=2,AND('Residual Config'!$C$8="Y",ISNUMBER(SEARCH("Zero",AA185)))),"Red","Amber")))</f>
        <v>Amber</v>
      </c>
      <c r="AD185" s="12" t="str">
        <f aca="false">IF(AC185="Red","Group CCO / CRO and Country CEO within 2 business days; action plan in 15 days; report to Board Risk &amp; Compliance Committee",IF(AC185="Amber","Country CO, risk owner and HO Administrator within 5 business days; action plan in 30 days",""))</f>
        <v>Country CO, risk owner and HO Administrator within 5 business days; action plan in 30 days</v>
      </c>
    </row>
    <row r="186" customFormat="false" ht="15" hidden="false" customHeight="false" outlineLevel="0" collapsed="false">
      <c r="A186" s="26" t="str">
        <f aca="false">Entities!$A$14</f>
        <v>AE</v>
      </c>
      <c r="B186" s="12" t="str">
        <f aca="false">INDEX(Entities!$B$5:$B$34,MATCH(A186,Entities!$A$5:$A$34,0))</f>
        <v>Arab Bank – UAE</v>
      </c>
      <c r="C186" s="12" t="str">
        <f aca="false">INDEX(Entities!$D$5:$D$34,MATCH(A186,Entities!$A$5:$A$34,0))</f>
        <v>GCC</v>
      </c>
      <c r="D186" s="12" t="s">
        <v>267</v>
      </c>
      <c r="E186" s="12" t="str">
        <f aca="false">INDEX('Risk Taxonomy'!$B$5:$B$24,MATCH(D186,'Risk Taxonomy'!$A$5:$A$24,0))</f>
        <v>Terrorist financing</v>
      </c>
      <c r="F186" s="29" t="n">
        <f aca="false">IF(NOT(ISNUMBER(G186)),"",IFERROR(IF(MATCH(SUMIFS('FC Calculation'!$N$5:$N$214,'FC Calculation'!$A$5:$A$214,A186,'FC Calculation'!$D$5:$D$214,D186),Config!$D$5:$D$9,1)=G186,SUMIFS('FC Calculation'!$N$5:$N$214,'FC Calculation'!$A$5:$A$214,A186,'FC Calculation'!$D$5:$D$214,D186),G186),G186))</f>
        <v>2.75952380952381</v>
      </c>
      <c r="G186" s="34" t="n">
        <f aca="false">IF(COUNTIFS('FC Calculation'!$A$5:$A$214,A186,'FC Calculation'!$D$5:$D$214,D186,'FC Calculation'!$T$5:$T$214,"&gt;0")=0,"",SUMIFS('FC Calculation'!$T$5:$T$214,'FC Calculation'!$A$5:$A$214,A186,'FC Calculation'!$D$5:$D$214,D186))</f>
        <v>3</v>
      </c>
      <c r="H186" s="7" t="str">
        <f aca="false">IF(G186="N/A","N/A",IF(G186="","No data",INDEX(Config!$B$5:$B$9,G186)))</f>
        <v>Medium</v>
      </c>
      <c r="I186" s="31" t="n">
        <f aca="false">IF(NOT(ISNUMBER($G186)),"",SUMPRODUCT(('Control Mapping'!$C$5:$C$83=D186)*('Control Mapping'!$P$5:$P$83&gt;0)))</f>
        <v>12</v>
      </c>
      <c r="J186" s="31" t="n">
        <f aca="false">IF(NOT(ISNUMBER($G186)),"",SUMPRODUCT(('Control Mapping'!$C$5:$C$83=D186)*('Control Mapping'!$F$5:$F$83="Y")*('Control Mapping'!$P$5:$P$83&gt;0)))</f>
        <v>9</v>
      </c>
      <c r="K186" s="31" t="n">
        <f aca="false">IF(NOT(ISNUMBER($G186)),"",SUMPRODUCT(('Control Mapping'!$C$5:$C$83=D186)*('Control Mapping'!$F$5:$F$83="Y")*('Control Mapping'!$P$5:$P$83=4)))</f>
        <v>1</v>
      </c>
      <c r="L186" s="29" t="n">
        <f aca="false">IF(NOT(ISNUMBER($G186)),"",IFERROR(SUMPRODUCT(('Control Mapping'!$C$5:$C$83=D186)*'Control Mapping'!$E$5:$E$83*'Control Mapping'!$P$5:$P$83)/SUMPRODUCT(('Control Mapping'!$C$5:$C$83=D186)*'Control Mapping'!$E$5:$E$83*('Control Mapping'!$P$5:$P$83&gt;0)),""))</f>
        <v>2.10526315789474</v>
      </c>
      <c r="M186" s="34" t="n">
        <f aca="false">IF(NOT(ISNUMBER($G186)),"",IF(J186=0,4,MAX(MATCH(L186,'Residual Config'!$E$11:$E$14,1),IF(K186&gt;0,'Residual Config'!$C$7,1))))</f>
        <v>3</v>
      </c>
      <c r="N186" s="7" t="str">
        <f aca="false">IF(NOT(ISNUMBER($G186)),"",IF(J186=0,"Ineffective (no key control)",INDEX('Residual Config'!$B$11:$B$14,M186)))</f>
        <v>Partially effective</v>
      </c>
      <c r="O186" s="36" t="n">
        <f aca="false">IF(NOT(ISNUMBER($G186)),"",IF(J186=0,0,SUMPRODUCT(('Control Mapping'!$C$5:$C$83=D186)*'Control Mapping'!$E$5:$E$83*(('Control Mapping'!$P$5:$P$83=1)*'Residual Config'!$D$11+('Control Mapping'!$P$5:$P$83=2)*'Residual Config'!$D$12+('Control Mapping'!$P$5:$P$83=3)*'Residual Config'!$D$13+('Control Mapping'!$P$5:$P$83=4)*'Residual Config'!$D$14))/SUMPRODUCT(('Control Mapping'!$C$5:$C$83=D186)*'Control Mapping'!$E$5:$E$83*('Control Mapping'!$P$5:$P$83&gt;0))))</f>
        <v>0.378947368421053</v>
      </c>
      <c r="P186" s="31" t="n">
        <f aca="false">IF(NOT(ISNUMBER($G186)),"",INDEX('Residual Config'!$B$19:$E$23,6-G186,M186))</f>
        <v>3</v>
      </c>
      <c r="Q186" s="29" t="n">
        <f aca="false">IF(NOT(ISNUMBER($G186)),"",MAX(1,F186*(1-O186)))</f>
        <v>1.71380952380952</v>
      </c>
      <c r="R186" s="31" t="n">
        <f aca="false">IF(NOT(ISNUMBER($G186)),"",MAX(MATCH(Q186,Config!$D$5:$D$9,1),G186-'Residual Config'!$C$6))</f>
        <v>1</v>
      </c>
      <c r="S186" s="34" t="n">
        <f aca="false">IF(NOT(ISNUMBER($G186)),"",IF('Residual Config'!$C$5="Numeric",R186,P186))</f>
        <v>3</v>
      </c>
      <c r="T186" s="7" t="str">
        <f aca="false">IF(G186="N/A","N/A",IF(S186="","No data",INDEX(Config!$B$5:$B$9,S186)))</f>
        <v>Medium</v>
      </c>
      <c r="U186" s="32" t="n">
        <v>0</v>
      </c>
      <c r="V186" s="8"/>
      <c r="W186" s="33"/>
      <c r="X186" s="34" t="n">
        <f aca="false">IF(S186="","",IF(AND(W186="Y",U186&lt;&gt;0),MAX(1,MIN(5,S186+MAX(-Config!$C$27,MIN(Config!$C$27,U186)))),S186))</f>
        <v>3</v>
      </c>
      <c r="Y186" s="35" t="str">
        <f aca="false">IF(G186="N/A","N/A",IF(X186="","No data",INDEX(Config!$B$5:$B$9,X186)))</f>
        <v>Medium</v>
      </c>
      <c r="Z186" s="7" t="str">
        <f aca="false">IF(U186=0,"None",IF(W186="Y","Applied","Pending HO approval"))</f>
        <v>None</v>
      </c>
      <c r="AA186" s="12" t="str">
        <f aca="false">INDEX('Risk Taxonomy'!$G$5:$G$24,MATCH(D186,'Risk Taxonomy'!$A$5:$A$24,0))</f>
        <v>Zero tolerance</v>
      </c>
      <c r="AB186" s="7" t="str">
        <f aca="false">INDEX('Risk Taxonomy'!$H$5:$H$24,MATCH(D186,'Risk Taxonomy'!$A$5:$A$24,0))</f>
        <v>Low</v>
      </c>
      <c r="AC186" s="35" t="str">
        <f aca="false">IF(NOT(ISNUMBER(X186)),"",IF(X186&lt;=MATCH(AB186,Config!$B$5:$B$9,0),"Within",IF(OR(X186-MATCH(AB186,Config!$B$5:$B$9,0)&gt;=2,AND('Residual Config'!$C$8="Y",ISNUMBER(SEARCH("Zero",AA186)))),"Red","Amber")))</f>
        <v>Red</v>
      </c>
      <c r="AD186" s="12" t="str">
        <f aca="false">IF(AC186="Red","Group CCO / CRO and Country CEO within 2 business days; action plan in 15 days; report to Board Risk &amp; Compliance Committee",IF(AC186="Amber","Country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87" customFormat="false" ht="15" hidden="false" customHeight="false" outlineLevel="0" collapsed="false">
      <c r="A187" s="26" t="str">
        <f aca="false">Entities!$A$14</f>
        <v>AE</v>
      </c>
      <c r="B187" s="12" t="str">
        <f aca="false">INDEX(Entities!$B$5:$B$34,MATCH(A187,Entities!$A$5:$A$34,0))</f>
        <v>Arab Bank – UAE</v>
      </c>
      <c r="C187" s="12" t="str">
        <f aca="false">INDEX(Entities!$D$5:$D$34,MATCH(A187,Entities!$A$5:$A$34,0))</f>
        <v>GCC</v>
      </c>
      <c r="D187" s="12" t="s">
        <v>270</v>
      </c>
      <c r="E187" s="12" t="str">
        <f aca="false">INDEX('Risk Taxonomy'!$B$5:$B$24,MATCH(D187,'Risk Taxonomy'!$A$5:$A$24,0))</f>
        <v>Proliferation financing</v>
      </c>
      <c r="F187" s="29" t="n">
        <f aca="false">IF(NOT(ISNUMBER(G187)),"",IFERROR(IF(MATCH(SUMIFS('FC Calculation'!$N$5:$N$214,'FC Calculation'!$A$5:$A$214,A187,'FC Calculation'!$D$5:$D$214,D187),Config!$D$5:$D$9,1)=G187,SUMIFS('FC Calculation'!$N$5:$N$214,'FC Calculation'!$A$5:$A$214,A187,'FC Calculation'!$D$5:$D$214,D187),G187),G187))</f>
        <v>2.4125</v>
      </c>
      <c r="G187" s="34" t="n">
        <f aca="false">IF(COUNTIFS('FC Calculation'!$A$5:$A$214,A187,'FC Calculation'!$D$5:$D$214,D187,'FC Calculation'!$T$5:$T$214,"&gt;0")=0,"",SUMIFS('FC Calculation'!$T$5:$T$214,'FC Calculation'!$A$5:$A$214,A187,'FC Calculation'!$D$5:$D$214,D187))</f>
        <v>2</v>
      </c>
      <c r="H187" s="7" t="str">
        <f aca="false">IF(G187="N/A","N/A",IF(G187="","No data",INDEX(Config!$B$5:$B$9,G187)))</f>
        <v>Medium-Low</v>
      </c>
      <c r="I187" s="31" t="n">
        <f aca="false">IF(NOT(ISNUMBER($G187)),"",SUMPRODUCT(('Control Mapping'!$C$5:$C$83=D187)*('Control Mapping'!$P$5:$P$83&gt;0)))</f>
        <v>5</v>
      </c>
      <c r="J187" s="31" t="n">
        <f aca="false">IF(NOT(ISNUMBER($G187)),"",SUMPRODUCT(('Control Mapping'!$C$5:$C$83=D187)*('Control Mapping'!$F$5:$F$83="Y")*('Control Mapping'!$P$5:$P$83&gt;0)))</f>
        <v>5</v>
      </c>
      <c r="K187" s="31" t="n">
        <f aca="false">IF(NOT(ISNUMBER($G187)),"",SUMPRODUCT(('Control Mapping'!$C$5:$C$83=D187)*('Control Mapping'!$F$5:$F$83="Y")*('Control Mapping'!$P$5:$P$83=4)))</f>
        <v>2</v>
      </c>
      <c r="L187" s="29" t="n">
        <f aca="false">IF(NOT(ISNUMBER($G187)),"",IFERROR(SUMPRODUCT(('Control Mapping'!$C$5:$C$83=D187)*'Control Mapping'!$E$5:$E$83*'Control Mapping'!$P$5:$P$83)/SUMPRODUCT(('Control Mapping'!$C$5:$C$83=D187)*'Control Mapping'!$E$5:$E$83*('Control Mapping'!$P$5:$P$83&gt;0)),""))</f>
        <v>2.4</v>
      </c>
      <c r="M187" s="34" t="n">
        <f aca="false">IF(NOT(ISNUMBER($G187)),"",IF(J187=0,4,MAX(MATCH(L187,'Residual Config'!$E$11:$E$14,1),IF(K187&gt;0,'Residual Config'!$C$7,1))))</f>
        <v>3</v>
      </c>
      <c r="N187" s="7" t="str">
        <f aca="false">IF(NOT(ISNUMBER($G187)),"",IF(J187=0,"Ineffective (no key control)",INDEX('Residual Config'!$B$11:$B$14,M187)))</f>
        <v>Partially effective</v>
      </c>
      <c r="O187" s="36" t="n">
        <f aca="false">IF(NOT(ISNUMBER($G187)),"",IF(J187=0,0,SUMPRODUCT(('Control Mapping'!$C$5:$C$83=D187)*'Control Mapping'!$E$5:$E$83*(('Control Mapping'!$P$5:$P$83=1)*'Residual Config'!$D$11+('Control Mapping'!$P$5:$P$83=2)*'Residual Config'!$D$12+('Control Mapping'!$P$5:$P$83=3)*'Residual Config'!$D$13+('Control Mapping'!$P$5:$P$83=4)*'Residual Config'!$D$14))/SUMPRODUCT(('Control Mapping'!$C$5:$C$83=D187)*'Control Mapping'!$E$5:$E$83*('Control Mapping'!$P$5:$P$83&gt;0))))</f>
        <v>0.32</v>
      </c>
      <c r="P187" s="31" t="n">
        <f aca="false">IF(NOT(ISNUMBER($G187)),"",INDEX('Residual Config'!$B$19:$E$23,6-G187,M187))</f>
        <v>2</v>
      </c>
      <c r="Q187" s="29" t="n">
        <f aca="false">IF(NOT(ISNUMBER($G187)),"",MAX(1,F187*(1-O187)))</f>
        <v>1.6405</v>
      </c>
      <c r="R187" s="31" t="n">
        <f aca="false">IF(NOT(ISNUMBER($G187)),"",MAX(MATCH(Q187,Config!$D$5:$D$9,1),G187-'Residual Config'!$C$6))</f>
        <v>1</v>
      </c>
      <c r="S187" s="34" t="n">
        <f aca="false">IF(NOT(ISNUMBER($G187)),"",IF('Residual Config'!$C$5="Numeric",R187,P187))</f>
        <v>2</v>
      </c>
      <c r="T187" s="7" t="str">
        <f aca="false">IF(G187="N/A","N/A",IF(S187="","No data",INDEX(Config!$B$5:$B$9,S187)))</f>
        <v>Medium-Low</v>
      </c>
      <c r="U187" s="32" t="n">
        <v>0</v>
      </c>
      <c r="V187" s="8"/>
      <c r="W187" s="33"/>
      <c r="X187" s="34" t="n">
        <f aca="false">IF(S187="","",IF(AND(W187="Y",U187&lt;&gt;0),MAX(1,MIN(5,S187+MAX(-Config!$C$27,MIN(Config!$C$27,U187)))),S187))</f>
        <v>2</v>
      </c>
      <c r="Y187" s="35" t="str">
        <f aca="false">IF(G187="N/A","N/A",IF(X187="","No data",INDEX(Config!$B$5:$B$9,X187)))</f>
        <v>Medium-Low</v>
      </c>
      <c r="Z187" s="7" t="str">
        <f aca="false">IF(U187=0,"None",IF(W187="Y","Applied","Pending HO approval"))</f>
        <v>None</v>
      </c>
      <c r="AA187" s="12" t="str">
        <f aca="false">INDEX('Risk Taxonomy'!$G$5:$G$24,MATCH(D187,'Risk Taxonomy'!$A$5:$A$24,0))</f>
        <v>Zero tolerance</v>
      </c>
      <c r="AB187" s="7" t="str">
        <f aca="false">INDEX('Risk Taxonomy'!$H$5:$H$24,MATCH(D187,'Risk Taxonomy'!$A$5:$A$24,0))</f>
        <v>Low</v>
      </c>
      <c r="AC187" s="35" t="str">
        <f aca="false">IF(NOT(ISNUMBER(X187)),"",IF(X187&lt;=MATCH(AB187,Config!$B$5:$B$9,0),"Within",IF(OR(X187-MATCH(AB187,Config!$B$5:$B$9,0)&gt;=2,AND('Residual Config'!$C$8="Y",ISNUMBER(SEARCH("Zero",AA187)))),"Red","Amber")))</f>
        <v>Amber</v>
      </c>
      <c r="AD187" s="12" t="str">
        <f aca="false">IF(AC187="Red","Group CCO / CRO and Country CEO within 2 business days; action plan in 15 days; report to Board Risk &amp; Compliance Committee",IF(AC187="Amber","Country CO, risk owner and HO Administrator within 5 business days; action plan in 30 days",""))</f>
        <v>Country CO, risk owner and HO Administrator within 5 business days; action plan in 30 days</v>
      </c>
    </row>
    <row r="188" customFormat="false" ht="15" hidden="false" customHeight="false" outlineLevel="0" collapsed="false">
      <c r="A188" s="26" t="str">
        <f aca="false">Entities!$A$14</f>
        <v>AE</v>
      </c>
      <c r="B188" s="12" t="str">
        <f aca="false">INDEX(Entities!$B$5:$B$34,MATCH(A188,Entities!$A$5:$A$34,0))</f>
        <v>Arab Bank – UAE</v>
      </c>
      <c r="C188" s="12" t="str">
        <f aca="false">INDEX(Entities!$D$5:$D$34,MATCH(A188,Entities!$A$5:$A$34,0))</f>
        <v>GCC</v>
      </c>
      <c r="D188" s="12" t="s">
        <v>272</v>
      </c>
      <c r="E188" s="12" t="str">
        <f aca="false">INDEX('Risk Taxonomy'!$B$5:$B$24,MATCH(D188,'Risk Taxonomy'!$A$5:$A$24,0))</f>
        <v>Sanctions</v>
      </c>
      <c r="F188" s="29" t="n">
        <f aca="false">IF(NOT(ISNUMBER(G188)),"",IFERROR(IF(MATCH(SUMIFS('FC Calculation'!$N$5:$N$214,'FC Calculation'!$A$5:$A$214,A188,'FC Calculation'!$D$5:$D$214,D188),Config!$D$5:$D$9,1)=G188,SUMIFS('FC Calculation'!$N$5:$N$214,'FC Calculation'!$A$5:$A$214,A188,'FC Calculation'!$D$5:$D$214,D188),G188),G188))</f>
        <v>3</v>
      </c>
      <c r="G188" s="34" t="n">
        <f aca="false">IF(COUNTIFS('FC Calculation'!$A$5:$A$214,A188,'FC Calculation'!$D$5:$D$214,D188,'FC Calculation'!$T$5:$T$214,"&gt;0")=0,"",SUMIFS('FC Calculation'!$T$5:$T$214,'FC Calculation'!$A$5:$A$214,A188,'FC Calculation'!$D$5:$D$214,D188))</f>
        <v>3</v>
      </c>
      <c r="H188" s="7" t="str">
        <f aca="false">IF(G188="N/A","N/A",IF(G188="","No data",INDEX(Config!$B$5:$B$9,G188)))</f>
        <v>Medium</v>
      </c>
      <c r="I188" s="31" t="n">
        <f aca="false">IF(NOT(ISNUMBER($G188)),"",SUMPRODUCT(('Control Mapping'!$C$5:$C$83=D188)*('Control Mapping'!$P$5:$P$83&gt;0)))</f>
        <v>8</v>
      </c>
      <c r="J188" s="31" t="n">
        <f aca="false">IF(NOT(ISNUMBER($G188)),"",SUMPRODUCT(('Control Mapping'!$C$5:$C$83=D188)*('Control Mapping'!$F$5:$F$83="Y")*('Control Mapping'!$P$5:$P$83&gt;0)))</f>
        <v>5</v>
      </c>
      <c r="K188" s="31" t="n">
        <f aca="false">IF(NOT(ISNUMBER($G188)),"",SUMPRODUCT(('Control Mapping'!$C$5:$C$83=D188)*('Control Mapping'!$F$5:$F$83="Y")*('Control Mapping'!$P$5:$P$83=4)))</f>
        <v>1</v>
      </c>
      <c r="L188" s="29" t="n">
        <f aca="false">IF(NOT(ISNUMBER($G188)),"",IFERROR(SUMPRODUCT(('Control Mapping'!$C$5:$C$83=D188)*'Control Mapping'!$E$5:$E$83*'Control Mapping'!$P$5:$P$83)/SUMPRODUCT(('Control Mapping'!$C$5:$C$83=D188)*'Control Mapping'!$E$5:$E$83*('Control Mapping'!$P$5:$P$83&gt;0)),""))</f>
        <v>2.18181818181818</v>
      </c>
      <c r="M188" s="34" t="n">
        <f aca="false">IF(NOT(ISNUMBER($G188)),"",IF(J188=0,4,MAX(MATCH(L188,'Residual Config'!$E$11:$E$14,1),IF(K188&gt;0,'Residual Config'!$C$7,1))))</f>
        <v>3</v>
      </c>
      <c r="N188" s="7" t="str">
        <f aca="false">IF(NOT(ISNUMBER($G188)),"",IF(J188=0,"Ineffective (no key control)",INDEX('Residual Config'!$B$11:$B$14,M188)))</f>
        <v>Partially effective</v>
      </c>
      <c r="O188" s="36" t="n">
        <f aca="false">IF(NOT(ISNUMBER($G188)),"",IF(J188=0,0,SUMPRODUCT(('Control Mapping'!$C$5:$C$83=D188)*'Control Mapping'!$E$5:$E$83*(('Control Mapping'!$P$5:$P$83=1)*'Residual Config'!$D$11+('Control Mapping'!$P$5:$P$83=2)*'Residual Config'!$D$12+('Control Mapping'!$P$5:$P$83=3)*'Residual Config'!$D$13+('Control Mapping'!$P$5:$P$83=4)*'Residual Config'!$D$14))/SUMPRODUCT(('Control Mapping'!$C$5:$C$83=D188)*'Control Mapping'!$E$5:$E$83*('Control Mapping'!$P$5:$P$83&gt;0))))</f>
        <v>0.363636363636364</v>
      </c>
      <c r="P188" s="31" t="n">
        <f aca="false">IF(NOT(ISNUMBER($G188)),"",INDEX('Residual Config'!$B$19:$E$23,6-G188,M188))</f>
        <v>3</v>
      </c>
      <c r="Q188" s="29" t="n">
        <f aca="false">IF(NOT(ISNUMBER($G188)),"",MAX(1,F188*(1-O188)))</f>
        <v>1.90909090909091</v>
      </c>
      <c r="R188" s="31" t="n">
        <f aca="false">IF(NOT(ISNUMBER($G188)),"",MAX(MATCH(Q188,Config!$D$5:$D$9,1),G188-'Residual Config'!$C$6))</f>
        <v>2</v>
      </c>
      <c r="S188" s="34" t="n">
        <f aca="false">IF(NOT(ISNUMBER($G188)),"",IF('Residual Config'!$C$5="Numeric",R188,P188))</f>
        <v>3</v>
      </c>
      <c r="T188" s="7" t="str">
        <f aca="false">IF(G188="N/A","N/A",IF(S188="","No data",INDEX(Config!$B$5:$B$9,S188)))</f>
        <v>Medium</v>
      </c>
      <c r="U188" s="32" t="n">
        <v>0</v>
      </c>
      <c r="V188" s="8"/>
      <c r="W188" s="33"/>
      <c r="X188" s="34" t="n">
        <f aca="false">IF(S188="","",IF(AND(W188="Y",U188&lt;&gt;0),MAX(1,MIN(5,S188+MAX(-Config!$C$27,MIN(Config!$C$27,U188)))),S188))</f>
        <v>3</v>
      </c>
      <c r="Y188" s="35" t="str">
        <f aca="false">IF(G188="N/A","N/A",IF(X188="","No data",INDEX(Config!$B$5:$B$9,X188)))</f>
        <v>Medium</v>
      </c>
      <c r="Z188" s="7" t="str">
        <f aca="false">IF(U188=0,"None",IF(W188="Y","Applied","Pending HO approval"))</f>
        <v>None</v>
      </c>
      <c r="AA188" s="12" t="str">
        <f aca="false">INDEX('Risk Taxonomy'!$G$5:$G$24,MATCH(D188,'Risk Taxonomy'!$A$5:$A$24,0))</f>
        <v>Zero tolerance</v>
      </c>
      <c r="AB188" s="7" t="str">
        <f aca="false">INDEX('Risk Taxonomy'!$H$5:$H$24,MATCH(D188,'Risk Taxonomy'!$A$5:$A$24,0))</f>
        <v>Low</v>
      </c>
      <c r="AC188" s="35" t="str">
        <f aca="false">IF(NOT(ISNUMBER(X188)),"",IF(X188&lt;=MATCH(AB188,Config!$B$5:$B$9,0),"Within",IF(OR(X188-MATCH(AB188,Config!$B$5:$B$9,0)&gt;=2,AND('Residual Config'!$C$8="Y",ISNUMBER(SEARCH("Zero",AA188)))),"Red","Amber")))</f>
        <v>Red</v>
      </c>
      <c r="AD188" s="12" t="str">
        <f aca="false">IF(AC188="Red","Group CCO / CRO and Country CEO within 2 business days; action plan in 15 days; report to Board Risk &amp; Compliance Committee",IF(AC188="Amber","Country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89" customFormat="false" ht="15" hidden="false" customHeight="false" outlineLevel="0" collapsed="false">
      <c r="A189" s="26" t="str">
        <f aca="false">Entities!$A$14</f>
        <v>AE</v>
      </c>
      <c r="B189" s="12" t="str">
        <f aca="false">INDEX(Entities!$B$5:$B$34,MATCH(A189,Entities!$A$5:$A$34,0))</f>
        <v>Arab Bank – UAE</v>
      </c>
      <c r="C189" s="12" t="str">
        <f aca="false">INDEX(Entities!$D$5:$D$34,MATCH(A189,Entities!$A$5:$A$34,0))</f>
        <v>GCC</v>
      </c>
      <c r="D189" s="12" t="s">
        <v>275</v>
      </c>
      <c r="E189" s="12" t="str">
        <f aca="false">INDEX('Risk Taxonomy'!$B$5:$B$24,MATCH(D189,'Risk Taxonomy'!$A$5:$A$24,0))</f>
        <v>Bribery and corruption</v>
      </c>
      <c r="F189" s="29" t="n">
        <f aca="false">IF(NOT(ISNUMBER(G189)),"",IFERROR(IF(MATCH(SUMIFS('FC Calculation'!$N$5:$N$214,'FC Calculation'!$A$5:$A$214,A189,'FC Calculation'!$D$5:$D$214,D189),Config!$D$5:$D$9,1)=G189,SUMIFS('FC Calculation'!$N$5:$N$214,'FC Calculation'!$A$5:$A$214,A189,'FC Calculation'!$D$5:$D$214,D189),G189),G189))</f>
        <v>2.79666666666667</v>
      </c>
      <c r="G189" s="34" t="n">
        <f aca="false">IF(COUNTIFS('FC Calculation'!$A$5:$A$214,A189,'FC Calculation'!$D$5:$D$214,D189,'FC Calculation'!$T$5:$T$214,"&gt;0")=0,"",SUMIFS('FC Calculation'!$T$5:$T$214,'FC Calculation'!$A$5:$A$214,A189,'FC Calculation'!$D$5:$D$214,D189))</f>
        <v>3</v>
      </c>
      <c r="H189" s="7" t="str">
        <f aca="false">IF(G189="N/A","N/A",IF(G189="","No data",INDEX(Config!$B$5:$B$9,G189)))</f>
        <v>Medium</v>
      </c>
      <c r="I189" s="31" t="n">
        <f aca="false">IF(NOT(ISNUMBER($G189)),"",SUMPRODUCT(('Control Mapping'!$C$5:$C$83=D189)*('Control Mapping'!$P$5:$P$83&gt;0)))</f>
        <v>5</v>
      </c>
      <c r="J189" s="31" t="n">
        <f aca="false">IF(NOT(ISNUMBER($G189)),"",SUMPRODUCT(('Control Mapping'!$C$5:$C$83=D189)*('Control Mapping'!$F$5:$F$83="Y")*('Control Mapping'!$P$5:$P$83&gt;0)))</f>
        <v>2</v>
      </c>
      <c r="K189" s="31" t="n">
        <f aca="false">IF(NOT(ISNUMBER($G189)),"",SUMPRODUCT(('Control Mapping'!$C$5:$C$83=D189)*('Control Mapping'!$F$5:$F$83="Y")*('Control Mapping'!$P$5:$P$83=4)))</f>
        <v>1</v>
      </c>
      <c r="L189" s="29" t="n">
        <f aca="false">IF(NOT(ISNUMBER($G189)),"",IFERROR(SUMPRODUCT(('Control Mapping'!$C$5:$C$83=D189)*'Control Mapping'!$E$5:$E$83*'Control Mapping'!$P$5:$P$83)/SUMPRODUCT(('Control Mapping'!$C$5:$C$83=D189)*'Control Mapping'!$E$5:$E$83*('Control Mapping'!$P$5:$P$83&gt;0)),""))</f>
        <v>2.66666666666667</v>
      </c>
      <c r="M189" s="34" t="n">
        <f aca="false">IF(NOT(ISNUMBER($G189)),"",IF(J189=0,4,MAX(MATCH(L189,'Residual Config'!$E$11:$E$14,1),IF(K189&gt;0,'Residual Config'!$C$7,1))))</f>
        <v>3</v>
      </c>
      <c r="N189" s="7" t="str">
        <f aca="false">IF(NOT(ISNUMBER($G189)),"",IF(J189=0,"Ineffective (no key control)",INDEX('Residual Config'!$B$11:$B$14,M189)))</f>
        <v>Partially effective</v>
      </c>
      <c r="O189" s="36" t="n">
        <f aca="false">IF(NOT(ISNUMBER($G189)),"",IF(J189=0,0,SUMPRODUCT(('Control Mapping'!$C$5:$C$83=D189)*'Control Mapping'!$E$5:$E$83*(('Control Mapping'!$P$5:$P$83=1)*'Residual Config'!$D$11+('Control Mapping'!$P$5:$P$83=2)*'Residual Config'!$D$12+('Control Mapping'!$P$5:$P$83=3)*'Residual Config'!$D$13+('Control Mapping'!$P$5:$P$83=4)*'Residual Config'!$D$14))/SUMPRODUCT(('Control Mapping'!$C$5:$C$83=D189)*'Control Mapping'!$E$5:$E$83*('Control Mapping'!$P$5:$P$83&gt;0))))</f>
        <v>0.266666666666667</v>
      </c>
      <c r="P189" s="31" t="n">
        <f aca="false">IF(NOT(ISNUMBER($G189)),"",INDEX('Residual Config'!$B$19:$E$23,6-G189,M189))</f>
        <v>3</v>
      </c>
      <c r="Q189" s="29" t="n">
        <f aca="false">IF(NOT(ISNUMBER($G189)),"",MAX(1,F189*(1-O189)))</f>
        <v>2.05088888888889</v>
      </c>
      <c r="R189" s="31" t="n">
        <f aca="false">IF(NOT(ISNUMBER($G189)),"",MAX(MATCH(Q189,Config!$D$5:$D$9,1),G189-'Residual Config'!$C$6))</f>
        <v>2</v>
      </c>
      <c r="S189" s="34" t="n">
        <f aca="false">IF(NOT(ISNUMBER($G189)),"",IF('Residual Config'!$C$5="Numeric",R189,P189))</f>
        <v>3</v>
      </c>
      <c r="T189" s="7" t="str">
        <f aca="false">IF(G189="N/A","N/A",IF(S189="","No data",INDEX(Config!$B$5:$B$9,S189)))</f>
        <v>Medium</v>
      </c>
      <c r="U189" s="32" t="n">
        <v>0</v>
      </c>
      <c r="V189" s="8"/>
      <c r="W189" s="33"/>
      <c r="X189" s="34" t="n">
        <f aca="false">IF(S189="","",IF(AND(W189="Y",U189&lt;&gt;0),MAX(1,MIN(5,S189+MAX(-Config!$C$27,MIN(Config!$C$27,U189)))),S189))</f>
        <v>3</v>
      </c>
      <c r="Y189" s="35" t="str">
        <f aca="false">IF(G189="N/A","N/A",IF(X189="","No data",INDEX(Config!$B$5:$B$9,X189)))</f>
        <v>Medium</v>
      </c>
      <c r="Z189" s="7" t="str">
        <f aca="false">IF(U189=0,"None",IF(W189="Y","Applied","Pending HO approval"))</f>
        <v>None</v>
      </c>
      <c r="AA189" s="12" t="str">
        <f aca="false">INDEX('Risk Taxonomy'!$G$5:$G$24,MATCH(D189,'Risk Taxonomy'!$A$5:$A$24,0))</f>
        <v>Zero tolerance</v>
      </c>
      <c r="AB189" s="7" t="str">
        <f aca="false">INDEX('Risk Taxonomy'!$H$5:$H$24,MATCH(D189,'Risk Taxonomy'!$A$5:$A$24,0))</f>
        <v>Low</v>
      </c>
      <c r="AC189" s="35" t="str">
        <f aca="false">IF(NOT(ISNUMBER(X189)),"",IF(X189&lt;=MATCH(AB189,Config!$B$5:$B$9,0),"Within",IF(OR(X189-MATCH(AB189,Config!$B$5:$B$9,0)&gt;=2,AND('Residual Config'!$C$8="Y",ISNUMBER(SEARCH("Zero",AA189)))),"Red","Amber")))</f>
        <v>Red</v>
      </c>
      <c r="AD189" s="12" t="str">
        <f aca="false">IF(AC189="Red","Group CCO / CRO and Country CEO within 2 business days; action plan in 15 days; report to Board Risk &amp; Compliance Committee",IF(AC189="Amber","Country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90" customFormat="false" ht="15" hidden="false" customHeight="false" outlineLevel="0" collapsed="false">
      <c r="A190" s="26" t="str">
        <f aca="false">Entities!$A$14</f>
        <v>AE</v>
      </c>
      <c r="B190" s="12" t="str">
        <f aca="false">INDEX(Entities!$B$5:$B$34,MATCH(A190,Entities!$A$5:$A$34,0))</f>
        <v>Arab Bank – UAE</v>
      </c>
      <c r="C190" s="12" t="str">
        <f aca="false">INDEX(Entities!$D$5:$D$34,MATCH(A190,Entities!$A$5:$A$34,0))</f>
        <v>GCC</v>
      </c>
      <c r="D190" s="12" t="s">
        <v>278</v>
      </c>
      <c r="E190" s="12" t="str">
        <f aca="false">INDEX('Risk Taxonomy'!$B$5:$B$24,MATCH(D190,'Risk Taxonomy'!$A$5:$A$24,0))</f>
        <v>Fraud</v>
      </c>
      <c r="F190" s="29" t="n">
        <f aca="false">IF(NOT(ISNUMBER(G190)),"",IFERROR(IF(MATCH(SUMIFS('FC Calculation'!$N$5:$N$214,'FC Calculation'!$A$5:$A$214,A190,'FC Calculation'!$D$5:$D$214,D190),Config!$D$5:$D$9,1)=G190,SUMIFS('FC Calculation'!$N$5:$N$214,'FC Calculation'!$A$5:$A$214,A190,'FC Calculation'!$D$5:$D$214,D190),G190),G190))</f>
        <v>3.22166666666667</v>
      </c>
      <c r="G190" s="34" t="n">
        <f aca="false">IF(COUNTIFS('FC Calculation'!$A$5:$A$214,A190,'FC Calculation'!$D$5:$D$214,D190,'FC Calculation'!$T$5:$T$214,"&gt;0")=0,"",SUMIFS('FC Calculation'!$T$5:$T$214,'FC Calculation'!$A$5:$A$214,A190,'FC Calculation'!$D$5:$D$214,D190))</f>
        <v>3</v>
      </c>
      <c r="H190" s="7" t="str">
        <f aca="false">IF(G190="N/A","N/A",IF(G190="","No data",INDEX(Config!$B$5:$B$9,G190)))</f>
        <v>Medium</v>
      </c>
      <c r="I190" s="31" t="n">
        <f aca="false">IF(NOT(ISNUMBER($G190)),"",SUMPRODUCT(('Control Mapping'!$C$5:$C$83=D190)*('Control Mapping'!$P$5:$P$83&gt;0)))</f>
        <v>6</v>
      </c>
      <c r="J190" s="31" t="n">
        <f aca="false">IF(NOT(ISNUMBER($G190)),"",SUMPRODUCT(('Control Mapping'!$C$5:$C$83=D190)*('Control Mapping'!$F$5:$F$83="Y")*('Control Mapping'!$P$5:$P$83&gt;0)))</f>
        <v>5</v>
      </c>
      <c r="K190" s="31" t="n">
        <f aca="false">IF(NOT(ISNUMBER($G190)),"",SUMPRODUCT(('Control Mapping'!$C$5:$C$83=D190)*('Control Mapping'!$F$5:$F$83="Y")*('Control Mapping'!$P$5:$P$83=4)))</f>
        <v>0</v>
      </c>
      <c r="L190" s="29" t="n">
        <f aca="false">IF(NOT(ISNUMBER($G190)),"",IFERROR(SUMPRODUCT(('Control Mapping'!$C$5:$C$83=D190)*'Control Mapping'!$E$5:$E$83*'Control Mapping'!$P$5:$P$83)/SUMPRODUCT(('Control Mapping'!$C$5:$C$83=D190)*'Control Mapping'!$E$5:$E$83*('Control Mapping'!$P$5:$P$83&gt;0)),""))</f>
        <v>2</v>
      </c>
      <c r="M190" s="34" t="n">
        <f aca="false">IF(NOT(ISNUMBER($G190)),"",IF(J190=0,4,MAX(MATCH(L190,'Residual Config'!$E$11:$E$14,1),IF(K190&gt;0,'Residual Config'!$C$7,1))))</f>
        <v>2</v>
      </c>
      <c r="N190" s="7" t="str">
        <f aca="false">IF(NOT(ISNUMBER($G190)),"",IF(J190=0,"Ineffective (no key control)",INDEX('Residual Config'!$B$11:$B$14,M190)))</f>
        <v>Largely effective</v>
      </c>
      <c r="O190" s="36" t="n">
        <f aca="false">IF(NOT(ISNUMBER($G190)),"",IF(J190=0,0,SUMPRODUCT(('Control Mapping'!$C$5:$C$83=D190)*'Control Mapping'!$E$5:$E$83*(('Control Mapping'!$P$5:$P$83=1)*'Residual Config'!$D$11+('Control Mapping'!$P$5:$P$83=2)*'Residual Config'!$D$12+('Control Mapping'!$P$5:$P$83=3)*'Residual Config'!$D$13+('Control Mapping'!$P$5:$P$83=4)*'Residual Config'!$D$14))/SUMPRODUCT(('Control Mapping'!$C$5:$C$83=D190)*'Control Mapping'!$E$5:$E$83*('Control Mapping'!$P$5:$P$83&gt;0))))</f>
        <v>0.4</v>
      </c>
      <c r="P190" s="31" t="n">
        <f aca="false">IF(NOT(ISNUMBER($G190)),"",INDEX('Residual Config'!$B$19:$E$23,6-G190,M190))</f>
        <v>2</v>
      </c>
      <c r="Q190" s="29" t="n">
        <f aca="false">IF(NOT(ISNUMBER($G190)),"",MAX(1,F190*(1-O190)))</f>
        <v>1.933</v>
      </c>
      <c r="R190" s="31" t="n">
        <f aca="false">IF(NOT(ISNUMBER($G190)),"",MAX(MATCH(Q190,Config!$D$5:$D$9,1),G190-'Residual Config'!$C$6))</f>
        <v>2</v>
      </c>
      <c r="S190" s="34" t="n">
        <f aca="false">IF(NOT(ISNUMBER($G190)),"",IF('Residual Config'!$C$5="Numeric",R190,P190))</f>
        <v>2</v>
      </c>
      <c r="T190" s="7" t="str">
        <f aca="false">IF(G190="N/A","N/A",IF(S190="","No data",INDEX(Config!$B$5:$B$9,S190)))</f>
        <v>Medium-Low</v>
      </c>
      <c r="U190" s="32" t="n">
        <v>0</v>
      </c>
      <c r="V190" s="8"/>
      <c r="W190" s="33"/>
      <c r="X190" s="34" t="n">
        <f aca="false">IF(S190="","",IF(AND(W190="Y",U190&lt;&gt;0),MAX(1,MIN(5,S190+MAX(-Config!$C$27,MIN(Config!$C$27,U190)))),S190))</f>
        <v>2</v>
      </c>
      <c r="Y190" s="35" t="str">
        <f aca="false">IF(G190="N/A","N/A",IF(X190="","No data",INDEX(Config!$B$5:$B$9,X190)))</f>
        <v>Medium-Low</v>
      </c>
      <c r="Z190" s="7" t="str">
        <f aca="false">IF(U190=0,"None",IF(W190="Y","Applied","Pending HO approval"))</f>
        <v>None</v>
      </c>
      <c r="AA190" s="12" t="str">
        <f aca="false">INDEX('Risk Taxonomy'!$G$5:$G$24,MATCH(D190,'Risk Taxonomy'!$A$5:$A$24,0))</f>
        <v>Low</v>
      </c>
      <c r="AB190" s="7" t="str">
        <f aca="false">INDEX('Risk Taxonomy'!$H$5:$H$24,MATCH(D190,'Risk Taxonomy'!$A$5:$A$24,0))</f>
        <v>Medium</v>
      </c>
      <c r="AC190" s="35" t="str">
        <f aca="false">IF(NOT(ISNUMBER(X190)),"",IF(X190&lt;=MATCH(AB190,Config!$B$5:$B$9,0),"Within",IF(OR(X190-MATCH(AB190,Config!$B$5:$B$9,0)&gt;=2,AND('Residual Config'!$C$8="Y",ISNUMBER(SEARCH("Zero",AA190)))),"Red","Amber")))</f>
        <v>Within</v>
      </c>
      <c r="AD190" s="12" t="str">
        <f aca="false">IF(AC190="Red","Group CCO / CRO and Country CEO within 2 business days; action plan in 15 days; report to Board Risk &amp; Compliance Committee",IF(AC190="Amber","Country CO, risk owner and HO Administrator within 5 business days; action plan in 30 days",""))</f>
        <v/>
      </c>
    </row>
    <row r="191" customFormat="false" ht="15" hidden="false" customHeight="false" outlineLevel="0" collapsed="false">
      <c r="A191" s="26" t="str">
        <f aca="false">Entities!$A$14</f>
        <v>AE</v>
      </c>
      <c r="B191" s="12" t="str">
        <f aca="false">INDEX(Entities!$B$5:$B$34,MATCH(A191,Entities!$A$5:$A$34,0))</f>
        <v>Arab Bank – UAE</v>
      </c>
      <c r="C191" s="12" t="str">
        <f aca="false">INDEX(Entities!$D$5:$D$34,MATCH(A191,Entities!$A$5:$A$34,0))</f>
        <v>GCC</v>
      </c>
      <c r="D191" s="12" t="s">
        <v>281</v>
      </c>
      <c r="E191" s="12" t="str">
        <f aca="false">INDEX('Risk Taxonomy'!$B$5:$B$24,MATCH(D191,'Risk Taxonomy'!$A$5:$A$24,0))</f>
        <v>Tax evasion and tax transparency</v>
      </c>
      <c r="F191" s="29" t="n">
        <f aca="false">IF(NOT(ISNUMBER(G191)),"",IFERROR(IF(MATCH(SUMIFS('FC Calculation'!$N$5:$N$214,'FC Calculation'!$A$5:$A$214,A191,'FC Calculation'!$D$5:$D$214,D191),Config!$D$5:$D$9,1)=G191,SUMIFS('FC Calculation'!$N$5:$N$214,'FC Calculation'!$A$5:$A$214,A191,'FC Calculation'!$D$5:$D$214,D191),G191),G191))</f>
        <v>3.02111111111111</v>
      </c>
      <c r="G191" s="34" t="n">
        <f aca="false">IF(COUNTIFS('FC Calculation'!$A$5:$A$214,A191,'FC Calculation'!$D$5:$D$214,D191,'FC Calculation'!$T$5:$T$214,"&gt;0")=0,"",SUMIFS('FC Calculation'!$T$5:$T$214,'FC Calculation'!$A$5:$A$214,A191,'FC Calculation'!$D$5:$D$214,D191))</f>
        <v>3</v>
      </c>
      <c r="H191" s="7" t="str">
        <f aca="false">IF(G191="N/A","N/A",IF(G191="","No data",INDEX(Config!$B$5:$B$9,G191)))</f>
        <v>Medium</v>
      </c>
      <c r="I191" s="31" t="n">
        <f aca="false">IF(NOT(ISNUMBER($G191)),"",SUMPRODUCT(('Control Mapping'!$C$5:$C$83=D191)*('Control Mapping'!$P$5:$P$83&gt;0)))</f>
        <v>5</v>
      </c>
      <c r="J191" s="31" t="n">
        <f aca="false">IF(NOT(ISNUMBER($G191)),"",SUMPRODUCT(('Control Mapping'!$C$5:$C$83=D191)*('Control Mapping'!$F$5:$F$83="Y")*('Control Mapping'!$P$5:$P$83&gt;0)))</f>
        <v>4</v>
      </c>
      <c r="K191" s="31" t="n">
        <f aca="false">IF(NOT(ISNUMBER($G191)),"",SUMPRODUCT(('Control Mapping'!$C$5:$C$83=D191)*('Control Mapping'!$F$5:$F$83="Y")*('Control Mapping'!$P$5:$P$83=4)))</f>
        <v>0</v>
      </c>
      <c r="L191" s="29" t="n">
        <f aca="false">IF(NOT(ISNUMBER($G191)),"",IFERROR(SUMPRODUCT(('Control Mapping'!$C$5:$C$83=D191)*'Control Mapping'!$E$5:$E$83*'Control Mapping'!$P$5:$P$83)/SUMPRODUCT(('Control Mapping'!$C$5:$C$83=D191)*'Control Mapping'!$E$5:$E$83*('Control Mapping'!$P$5:$P$83&gt;0)),""))</f>
        <v>1.44444444444444</v>
      </c>
      <c r="M191" s="34" t="n">
        <f aca="false">IF(NOT(ISNUMBER($G191)),"",IF(J191=0,4,MAX(MATCH(L191,'Residual Config'!$E$11:$E$14,1),IF(K191&gt;0,'Residual Config'!$C$7,1))))</f>
        <v>1</v>
      </c>
      <c r="N191" s="7" t="str">
        <f aca="false">IF(NOT(ISNUMBER($G191)),"",IF(J191=0,"Ineffective (no key control)",INDEX('Residual Config'!$B$11:$B$14,M191)))</f>
        <v>Effective</v>
      </c>
      <c r="O191" s="36" t="n">
        <f aca="false">IF(NOT(ISNUMBER($G191)),"",IF(J191=0,0,SUMPRODUCT(('Control Mapping'!$C$5:$C$83=D191)*'Control Mapping'!$E$5:$E$83*(('Control Mapping'!$P$5:$P$83=1)*'Residual Config'!$D$11+('Control Mapping'!$P$5:$P$83=2)*'Residual Config'!$D$12+('Control Mapping'!$P$5:$P$83=3)*'Residual Config'!$D$13+('Control Mapping'!$P$5:$P$83=4)*'Residual Config'!$D$14))/SUMPRODUCT(('Control Mapping'!$C$5:$C$83=D191)*'Control Mapping'!$E$5:$E$83*('Control Mapping'!$P$5:$P$83&gt;0))))</f>
        <v>0.511111111111111</v>
      </c>
      <c r="P191" s="31" t="n">
        <f aca="false">IF(NOT(ISNUMBER($G191)),"",INDEX('Residual Config'!$B$19:$E$23,6-G191,M191))</f>
        <v>1</v>
      </c>
      <c r="Q191" s="29" t="n">
        <f aca="false">IF(NOT(ISNUMBER($G191)),"",MAX(1,F191*(1-O191)))</f>
        <v>1.47698765432099</v>
      </c>
      <c r="R191" s="31" t="n">
        <f aca="false">IF(NOT(ISNUMBER($G191)),"",MAX(MATCH(Q191,Config!$D$5:$D$9,1),G191-'Residual Config'!$C$6))</f>
        <v>1</v>
      </c>
      <c r="S191" s="34" t="n">
        <f aca="false">IF(NOT(ISNUMBER($G191)),"",IF('Residual Config'!$C$5="Numeric",R191,P191))</f>
        <v>1</v>
      </c>
      <c r="T191" s="7" t="str">
        <f aca="false">IF(G191="N/A","N/A",IF(S191="","No data",INDEX(Config!$B$5:$B$9,S191)))</f>
        <v>Low</v>
      </c>
      <c r="U191" s="32" t="n">
        <v>0</v>
      </c>
      <c r="V191" s="8"/>
      <c r="W191" s="33"/>
      <c r="X191" s="34" t="n">
        <f aca="false">IF(S191="","",IF(AND(W191="Y",U191&lt;&gt;0),MAX(1,MIN(5,S191+MAX(-Config!$C$27,MIN(Config!$C$27,U191)))),S191))</f>
        <v>1</v>
      </c>
      <c r="Y191" s="35" t="str">
        <f aca="false">IF(G191="N/A","N/A",IF(X191="","No data",INDEX(Config!$B$5:$B$9,X191)))</f>
        <v>Low</v>
      </c>
      <c r="Z191" s="7" t="str">
        <f aca="false">IF(U191=0,"None",IF(W191="Y","Applied","Pending HO approval"))</f>
        <v>None</v>
      </c>
      <c r="AA191" s="12" t="str">
        <f aca="false">INDEX('Risk Taxonomy'!$G$5:$G$24,MATCH(D191,'Risk Taxonomy'!$A$5:$A$24,0))</f>
        <v>Zero tolerance (facilitation)</v>
      </c>
      <c r="AB191" s="7" t="str">
        <f aca="false">INDEX('Risk Taxonomy'!$H$5:$H$24,MATCH(D191,'Risk Taxonomy'!$A$5:$A$24,0))</f>
        <v>Low</v>
      </c>
      <c r="AC191" s="35" t="str">
        <f aca="false">IF(NOT(ISNUMBER(X191)),"",IF(X191&lt;=MATCH(AB191,Config!$B$5:$B$9,0),"Within",IF(OR(X191-MATCH(AB191,Config!$B$5:$B$9,0)&gt;=2,AND('Residual Config'!$C$8="Y",ISNUMBER(SEARCH("Zero",AA191)))),"Red","Amber")))</f>
        <v>Within</v>
      </c>
      <c r="AD191" s="12" t="str">
        <f aca="false">IF(AC191="Red","Group CCO / CRO and Country CEO within 2 business days; action plan in 15 days; report to Board Risk &amp; Compliance Committee",IF(AC191="Amber","Country CO, risk owner and HO Administrator within 5 business days; action plan in 30 days",""))</f>
        <v/>
      </c>
    </row>
    <row r="192" customFormat="false" ht="15" hidden="false" customHeight="false" outlineLevel="0" collapsed="false">
      <c r="A192" s="26" t="str">
        <f aca="false">Entities!$A$14</f>
        <v>AE</v>
      </c>
      <c r="B192" s="12" t="str">
        <f aca="false">INDEX(Entities!$B$5:$B$34,MATCH(A192,Entities!$A$5:$A$34,0))</f>
        <v>Arab Bank – UAE</v>
      </c>
      <c r="C192" s="12" t="str">
        <f aca="false">INDEX(Entities!$D$5:$D$34,MATCH(A192,Entities!$A$5:$A$34,0))</f>
        <v>GCC</v>
      </c>
      <c r="D192" s="12" t="s">
        <v>284</v>
      </c>
      <c r="E192" s="12" t="str">
        <f aca="false">INDEX('Risk Taxonomy'!$B$5:$B$24,MATCH(D192,'Risk Taxonomy'!$A$5:$A$24,0))</f>
        <v>Regulatory compliance</v>
      </c>
      <c r="F192" s="29" t="n">
        <f aca="false">IF(NOT(ISNUMBER(G192)),"",G192)</f>
        <v>3</v>
      </c>
      <c r="G192" s="34" t="n">
        <f aca="false">IF(COUNTIFS('LxI Assessment'!$A$5:$A$394,A192,'LxI Assessment'!$D$5:$D$394,D192,'LxI Assessment'!$F$5:$F$394,"N/A")&gt;0,"N/A",IF(COUNTIFS('LxI Assessment'!$A$5:$A$394,A192,'LxI Assessment'!$D$5:$D$394,D192,'LxI Assessment'!$S$5:$S$394,"&gt;0")=0,"",SUMIFS('LxI Assessment'!$S$5:$S$394,'LxI Assessment'!$A$5:$A$394,A192,'LxI Assessment'!$D$5:$D$394,D192)))</f>
        <v>3</v>
      </c>
      <c r="H192" s="7" t="str">
        <f aca="false">IF(G192="N/A","N/A",IF(G192="","No data",INDEX(Config!$B$5:$B$9,G192)))</f>
        <v>Medium</v>
      </c>
      <c r="I192" s="31" t="n">
        <f aca="false">IF(NOT(ISNUMBER($G192)),"",SUMPRODUCT(('Control Mapping'!$C$5:$C$83=D192)*('Control Mapping'!$P$5:$P$83&gt;0)))</f>
        <v>4</v>
      </c>
      <c r="J192" s="31" t="n">
        <f aca="false">IF(NOT(ISNUMBER($G192)),"",SUMPRODUCT(('Control Mapping'!$C$5:$C$83=D192)*('Control Mapping'!$F$5:$F$83="Y")*('Control Mapping'!$P$5:$P$83&gt;0)))</f>
        <v>3</v>
      </c>
      <c r="K192" s="31" t="n">
        <f aca="false">IF(NOT(ISNUMBER($G192)),"",SUMPRODUCT(('Control Mapping'!$C$5:$C$83=D192)*('Control Mapping'!$F$5:$F$83="Y")*('Control Mapping'!$P$5:$P$83=4)))</f>
        <v>1</v>
      </c>
      <c r="L192" s="29" t="n">
        <f aca="false">IF(NOT(ISNUMBER($G192)),"",IFERROR(SUMPRODUCT(('Control Mapping'!$C$5:$C$83=D192)*'Control Mapping'!$E$5:$E$83*'Control Mapping'!$P$5:$P$83)/SUMPRODUCT(('Control Mapping'!$C$5:$C$83=D192)*'Control Mapping'!$E$5:$E$83*('Control Mapping'!$P$5:$P$83&gt;0)),""))</f>
        <v>2.57142857142857</v>
      </c>
      <c r="M192" s="34" t="n">
        <f aca="false">IF(NOT(ISNUMBER($G192)),"",IF(J192=0,4,MAX(MATCH(L192,'Residual Config'!$E$11:$E$14,1),IF(K192&gt;0,'Residual Config'!$C$7,1))))</f>
        <v>3</v>
      </c>
      <c r="N192" s="7" t="str">
        <f aca="false">IF(NOT(ISNUMBER($G192)),"",IF(J192=0,"Ineffective (no key control)",INDEX('Residual Config'!$B$11:$B$14,M192)))</f>
        <v>Partially effective</v>
      </c>
      <c r="O192" s="36" t="n">
        <f aca="false">IF(NOT(ISNUMBER($G192)),"",IF(J192=0,0,SUMPRODUCT(('Control Mapping'!$C$5:$C$83=D192)*'Control Mapping'!$E$5:$E$83*(('Control Mapping'!$P$5:$P$83=1)*'Residual Config'!$D$11+('Control Mapping'!$P$5:$P$83=2)*'Residual Config'!$D$12+('Control Mapping'!$P$5:$P$83=3)*'Residual Config'!$D$13+('Control Mapping'!$P$5:$P$83=4)*'Residual Config'!$D$14))/SUMPRODUCT(('Control Mapping'!$C$5:$C$83=D192)*'Control Mapping'!$E$5:$E$83*('Control Mapping'!$P$5:$P$83&gt;0))))</f>
        <v>0.285714285714286</v>
      </c>
      <c r="P192" s="31" t="n">
        <f aca="false">IF(NOT(ISNUMBER($G192)),"",INDEX('Residual Config'!$B$19:$E$23,6-G192,M192))</f>
        <v>3</v>
      </c>
      <c r="Q192" s="29" t="n">
        <f aca="false">IF(NOT(ISNUMBER($G192)),"",MAX(1,F192*(1-O192)))</f>
        <v>2.14285714285714</v>
      </c>
      <c r="R192" s="31" t="n">
        <f aca="false">IF(NOT(ISNUMBER($G192)),"",MAX(MATCH(Q192,Config!$D$5:$D$9,1),G192-'Residual Config'!$C$6))</f>
        <v>2</v>
      </c>
      <c r="S192" s="34" t="n">
        <f aca="false">IF(NOT(ISNUMBER($G192)),"",IF('Residual Config'!$C$5="Numeric",R192,P192))</f>
        <v>3</v>
      </c>
      <c r="T192" s="7" t="str">
        <f aca="false">IF(G192="N/A","N/A",IF(S192="","No data",INDEX(Config!$B$5:$B$9,S192)))</f>
        <v>Medium</v>
      </c>
      <c r="U192" s="32" t="n">
        <v>0</v>
      </c>
      <c r="V192" s="8"/>
      <c r="W192" s="33"/>
      <c r="X192" s="34" t="n">
        <f aca="false">IF(S192="","",IF(AND(W192="Y",U192&lt;&gt;0),MAX(1,MIN(5,S192+MAX(-Config!$C$27,MIN(Config!$C$27,U192)))),S192))</f>
        <v>3</v>
      </c>
      <c r="Y192" s="35" t="str">
        <f aca="false">IF(G192="N/A","N/A",IF(X192="","No data",INDEX(Config!$B$5:$B$9,X192)))</f>
        <v>Medium</v>
      </c>
      <c r="Z192" s="7" t="str">
        <f aca="false">IF(U192=0,"None",IF(W192="Y","Applied","Pending HO approval"))</f>
        <v>None</v>
      </c>
      <c r="AA192" s="12" t="str">
        <f aca="false">INDEX('Risk Taxonomy'!$G$5:$G$24,MATCH(D192,'Risk Taxonomy'!$A$5:$A$24,0))</f>
        <v>Very low</v>
      </c>
      <c r="AB192" s="7" t="str">
        <f aca="false">INDEX('Risk Taxonomy'!$H$5:$H$24,MATCH(D192,'Risk Taxonomy'!$A$5:$A$24,0))</f>
        <v>Medium-Low</v>
      </c>
      <c r="AC192" s="35" t="str">
        <f aca="false">IF(NOT(ISNUMBER(X192)),"",IF(X192&lt;=MATCH(AB192,Config!$B$5:$B$9,0),"Within",IF(OR(X192-MATCH(AB192,Config!$B$5:$B$9,0)&gt;=2,AND('Residual Config'!$C$8="Y",ISNUMBER(SEARCH("Zero",AA192)))),"Red","Amber")))</f>
        <v>Amber</v>
      </c>
      <c r="AD192" s="12" t="str">
        <f aca="false">IF(AC192="Red","Group CCO / CRO and Country CEO within 2 business days; action plan in 15 days; report to Board Risk &amp; Compliance Committee",IF(AC192="Amber","Country CO, risk owner and HO Administrator within 5 business days; action plan in 30 days",""))</f>
        <v>Country CO, risk owner and HO Administrator within 5 business days; action plan in 30 days</v>
      </c>
    </row>
    <row r="193" customFormat="false" ht="15" hidden="false" customHeight="false" outlineLevel="0" collapsed="false">
      <c r="A193" s="26" t="str">
        <f aca="false">Entities!$A$14</f>
        <v>AE</v>
      </c>
      <c r="B193" s="12" t="str">
        <f aca="false">INDEX(Entities!$B$5:$B$34,MATCH(A193,Entities!$A$5:$A$34,0))</f>
        <v>Arab Bank – UAE</v>
      </c>
      <c r="C193" s="12" t="str">
        <f aca="false">INDEX(Entities!$D$5:$D$34,MATCH(A193,Entities!$A$5:$A$34,0))</f>
        <v>GCC</v>
      </c>
      <c r="D193" s="12" t="s">
        <v>288</v>
      </c>
      <c r="E193" s="12" t="str">
        <f aca="false">INDEX('Risk Taxonomy'!$B$5:$B$24,MATCH(D193,'Risk Taxonomy'!$A$5:$A$24,0))</f>
        <v>Conduct and consumer protection</v>
      </c>
      <c r="F193" s="29" t="n">
        <f aca="false">IF(NOT(ISNUMBER(G193)),"",G193)</f>
        <v>3</v>
      </c>
      <c r="G193" s="34" t="n">
        <f aca="false">IF(COUNTIFS('LxI Assessment'!$A$5:$A$394,A193,'LxI Assessment'!$D$5:$D$394,D193,'LxI Assessment'!$F$5:$F$394,"N/A")&gt;0,"N/A",IF(COUNTIFS('LxI Assessment'!$A$5:$A$394,A193,'LxI Assessment'!$D$5:$D$394,D193,'LxI Assessment'!$S$5:$S$394,"&gt;0")=0,"",SUMIFS('LxI Assessment'!$S$5:$S$394,'LxI Assessment'!$A$5:$A$394,A193,'LxI Assessment'!$D$5:$D$394,D193)))</f>
        <v>3</v>
      </c>
      <c r="H193" s="7" t="str">
        <f aca="false">IF(G193="N/A","N/A",IF(G193="","No data",INDEX(Config!$B$5:$B$9,G193)))</f>
        <v>Medium</v>
      </c>
      <c r="I193" s="31" t="n">
        <f aca="false">IF(NOT(ISNUMBER($G193)),"",SUMPRODUCT(('Control Mapping'!$C$5:$C$83=D193)*('Control Mapping'!$P$5:$P$83&gt;0)))</f>
        <v>2</v>
      </c>
      <c r="J193" s="31" t="n">
        <f aca="false">IF(NOT(ISNUMBER($G193)),"",SUMPRODUCT(('Control Mapping'!$C$5:$C$83=D193)*('Control Mapping'!$F$5:$F$83="Y")*('Control Mapping'!$P$5:$P$83&gt;0)))</f>
        <v>1</v>
      </c>
      <c r="K193" s="31" t="n">
        <f aca="false">IF(NOT(ISNUMBER($G193)),"",SUMPRODUCT(('Control Mapping'!$C$5:$C$83=D193)*('Control Mapping'!$F$5:$F$83="Y")*('Control Mapping'!$P$5:$P$83=4)))</f>
        <v>1</v>
      </c>
      <c r="L193" s="29" t="n">
        <f aca="false">IF(NOT(ISNUMBER($G193)),"",IFERROR(SUMPRODUCT(('Control Mapping'!$C$5:$C$83=D193)*'Control Mapping'!$E$5:$E$83*'Control Mapping'!$P$5:$P$83)/SUMPRODUCT(('Control Mapping'!$C$5:$C$83=D193)*'Control Mapping'!$E$5:$E$83*('Control Mapping'!$P$5:$P$83&gt;0)),""))</f>
        <v>2.8</v>
      </c>
      <c r="M193" s="34" t="n">
        <f aca="false">IF(NOT(ISNUMBER($G193)),"",IF(J193=0,4,MAX(MATCH(L193,'Residual Config'!$E$11:$E$14,1),IF(K193&gt;0,'Residual Config'!$C$7,1))))</f>
        <v>3</v>
      </c>
      <c r="N193" s="7" t="str">
        <f aca="false">IF(NOT(ISNUMBER($G193)),"",IF(J193=0,"Ineffective (no key control)",INDEX('Residual Config'!$B$11:$B$14,M193)))</f>
        <v>Partially effective</v>
      </c>
      <c r="O193" s="36" t="n">
        <f aca="false">IF(NOT(ISNUMBER($G193)),"",IF(J193=0,0,SUMPRODUCT(('Control Mapping'!$C$5:$C$83=D193)*'Control Mapping'!$E$5:$E$83*(('Control Mapping'!$P$5:$P$83=1)*'Residual Config'!$D$11+('Control Mapping'!$P$5:$P$83=2)*'Residual Config'!$D$12+('Control Mapping'!$P$5:$P$83=3)*'Residual Config'!$D$13+('Control Mapping'!$P$5:$P$83=4)*'Residual Config'!$D$14))/SUMPRODUCT(('Control Mapping'!$C$5:$C$83=D193)*'Control Mapping'!$E$5:$E$83*('Control Mapping'!$P$5:$P$83&gt;0))))</f>
        <v>0.24</v>
      </c>
      <c r="P193" s="31" t="n">
        <f aca="false">IF(NOT(ISNUMBER($G193)),"",INDEX('Residual Config'!$B$19:$E$23,6-G193,M193))</f>
        <v>3</v>
      </c>
      <c r="Q193" s="29" t="n">
        <f aca="false">IF(NOT(ISNUMBER($G193)),"",MAX(1,F193*(1-O193)))</f>
        <v>2.28</v>
      </c>
      <c r="R193" s="31" t="n">
        <f aca="false">IF(NOT(ISNUMBER($G193)),"",MAX(MATCH(Q193,Config!$D$5:$D$9,1),G193-'Residual Config'!$C$6))</f>
        <v>2</v>
      </c>
      <c r="S193" s="34" t="n">
        <f aca="false">IF(NOT(ISNUMBER($G193)),"",IF('Residual Config'!$C$5="Numeric",R193,P193))</f>
        <v>3</v>
      </c>
      <c r="T193" s="7" t="str">
        <f aca="false">IF(G193="N/A","N/A",IF(S193="","No data",INDEX(Config!$B$5:$B$9,S193)))</f>
        <v>Medium</v>
      </c>
      <c r="U193" s="32" t="n">
        <v>0</v>
      </c>
      <c r="V193" s="8"/>
      <c r="W193" s="33"/>
      <c r="X193" s="34" t="n">
        <f aca="false">IF(S193="","",IF(AND(W193="Y",U193&lt;&gt;0),MAX(1,MIN(5,S193+MAX(-Config!$C$27,MIN(Config!$C$27,U193)))),S193))</f>
        <v>3</v>
      </c>
      <c r="Y193" s="35" t="str">
        <f aca="false">IF(G193="N/A","N/A",IF(X193="","No data",INDEX(Config!$B$5:$B$9,X193)))</f>
        <v>Medium</v>
      </c>
      <c r="Z193" s="7" t="str">
        <f aca="false">IF(U193=0,"None",IF(W193="Y","Applied","Pending HO approval"))</f>
        <v>None</v>
      </c>
      <c r="AA193" s="12" t="str">
        <f aca="false">INDEX('Risk Taxonomy'!$G$5:$G$24,MATCH(D193,'Risk Taxonomy'!$A$5:$A$24,0))</f>
        <v>Low</v>
      </c>
      <c r="AB193" s="7" t="str">
        <f aca="false">INDEX('Risk Taxonomy'!$H$5:$H$24,MATCH(D193,'Risk Taxonomy'!$A$5:$A$24,0))</f>
        <v>Medium</v>
      </c>
      <c r="AC193" s="35" t="str">
        <f aca="false">IF(NOT(ISNUMBER(X193)),"",IF(X193&lt;=MATCH(AB193,Config!$B$5:$B$9,0),"Within",IF(OR(X193-MATCH(AB193,Config!$B$5:$B$9,0)&gt;=2,AND('Residual Config'!$C$8="Y",ISNUMBER(SEARCH("Zero",AA193)))),"Red","Amber")))</f>
        <v>Within</v>
      </c>
      <c r="AD193" s="12" t="str">
        <f aca="false">IF(AC193="Red","Group CCO / CRO and Country CEO within 2 business days; action plan in 15 days; report to Board Risk &amp; Compliance Committee",IF(AC193="Amber","Country CO, risk owner and HO Administrator within 5 business days; action plan in 30 days",""))</f>
        <v/>
      </c>
    </row>
    <row r="194" customFormat="false" ht="15" hidden="false" customHeight="false" outlineLevel="0" collapsed="false">
      <c r="A194" s="26" t="str">
        <f aca="false">Entities!$A$14</f>
        <v>AE</v>
      </c>
      <c r="B194" s="12" t="str">
        <f aca="false">INDEX(Entities!$B$5:$B$34,MATCH(A194,Entities!$A$5:$A$34,0))</f>
        <v>Arab Bank – UAE</v>
      </c>
      <c r="C194" s="12" t="str">
        <f aca="false">INDEX(Entities!$D$5:$D$34,MATCH(A194,Entities!$A$5:$A$34,0))</f>
        <v>GCC</v>
      </c>
      <c r="D194" s="12" t="s">
        <v>290</v>
      </c>
      <c r="E194" s="12" t="str">
        <f aca="false">INDEX('Risk Taxonomy'!$B$5:$B$24,MATCH(D194,'Risk Taxonomy'!$A$5:$A$24,0))</f>
        <v>Data protection and privacy</v>
      </c>
      <c r="F194" s="29" t="n">
        <f aca="false">IF(NOT(ISNUMBER(G194)),"",G194)</f>
        <v>5</v>
      </c>
      <c r="G194" s="34" t="n">
        <f aca="false">IF(COUNTIFS('LxI Assessment'!$A$5:$A$394,A194,'LxI Assessment'!$D$5:$D$394,D194,'LxI Assessment'!$F$5:$F$394,"N/A")&gt;0,"N/A",IF(COUNTIFS('LxI Assessment'!$A$5:$A$394,A194,'LxI Assessment'!$D$5:$D$394,D194,'LxI Assessment'!$S$5:$S$394,"&gt;0")=0,"",SUMIFS('LxI Assessment'!$S$5:$S$394,'LxI Assessment'!$A$5:$A$394,A194,'LxI Assessment'!$D$5:$D$394,D194)))</f>
        <v>5</v>
      </c>
      <c r="H194" s="7" t="str">
        <f aca="false">IF(G194="N/A","N/A",IF(G194="","No data",INDEX(Config!$B$5:$B$9,G194)))</f>
        <v>High</v>
      </c>
      <c r="I194" s="31" t="n">
        <f aca="false">IF(NOT(ISNUMBER($G194)),"",SUMPRODUCT(('Control Mapping'!$C$5:$C$83=D194)*('Control Mapping'!$P$5:$P$83&gt;0)))</f>
        <v>2</v>
      </c>
      <c r="J194" s="31" t="n">
        <f aca="false">IF(NOT(ISNUMBER($G194)),"",SUMPRODUCT(('Control Mapping'!$C$5:$C$83=D194)*('Control Mapping'!$F$5:$F$83="Y")*('Control Mapping'!$P$5:$P$83&gt;0)))</f>
        <v>2</v>
      </c>
      <c r="K194" s="31" t="n">
        <f aca="false">IF(NOT(ISNUMBER($G194)),"",SUMPRODUCT(('Control Mapping'!$C$5:$C$83=D194)*('Control Mapping'!$F$5:$F$83="Y")*('Control Mapping'!$P$5:$P$83=4)))</f>
        <v>1</v>
      </c>
      <c r="L194" s="29" t="n">
        <f aca="false">IF(NOT(ISNUMBER($G194)),"",IFERROR(SUMPRODUCT(('Control Mapping'!$C$5:$C$83=D194)*'Control Mapping'!$E$5:$E$83*'Control Mapping'!$P$5:$P$83)/SUMPRODUCT(('Control Mapping'!$C$5:$C$83=D194)*'Control Mapping'!$E$5:$E$83*('Control Mapping'!$P$5:$P$83&gt;0)),""))</f>
        <v>3.5</v>
      </c>
      <c r="M194" s="34" t="n">
        <f aca="false">IF(NOT(ISNUMBER($G194)),"",IF(J194=0,4,MAX(MATCH(L194,'Residual Config'!$E$11:$E$14,1),IF(K194&gt;0,'Residual Config'!$C$7,1))))</f>
        <v>4</v>
      </c>
      <c r="N194" s="7" t="str">
        <f aca="false">IF(NOT(ISNUMBER($G194)),"",IF(J194=0,"Ineffective (no key control)",INDEX('Residual Config'!$B$11:$B$14,M194)))</f>
        <v>Ineffective</v>
      </c>
      <c r="O194" s="36" t="n">
        <f aca="false">IF(NOT(ISNUMBER($G194)),"",IF(J194=0,0,SUMPRODUCT(('Control Mapping'!$C$5:$C$83=D194)*'Control Mapping'!$E$5:$E$83*(('Control Mapping'!$P$5:$P$83=1)*'Residual Config'!$D$11+('Control Mapping'!$P$5:$P$83=2)*'Residual Config'!$D$12+('Control Mapping'!$P$5:$P$83=3)*'Residual Config'!$D$13+('Control Mapping'!$P$5:$P$83=4)*'Residual Config'!$D$14))/SUMPRODUCT(('Control Mapping'!$C$5:$C$83=D194)*'Control Mapping'!$E$5:$E$83*('Control Mapping'!$P$5:$P$83&gt;0))))</f>
        <v>0.1</v>
      </c>
      <c r="P194" s="31" t="n">
        <f aca="false">IF(NOT(ISNUMBER($G194)),"",INDEX('Residual Config'!$B$19:$E$23,6-G194,M194))</f>
        <v>5</v>
      </c>
      <c r="Q194" s="29" t="n">
        <f aca="false">IF(NOT(ISNUMBER($G194)),"",MAX(1,F194*(1-O194)))</f>
        <v>4.5</v>
      </c>
      <c r="R194" s="31" t="n">
        <f aca="false">IF(NOT(ISNUMBER($G194)),"",MAX(MATCH(Q194,Config!$D$5:$D$9,1),G194-'Residual Config'!$C$6))</f>
        <v>5</v>
      </c>
      <c r="S194" s="34" t="n">
        <f aca="false">IF(NOT(ISNUMBER($G194)),"",IF('Residual Config'!$C$5="Numeric",R194,P194))</f>
        <v>5</v>
      </c>
      <c r="T194" s="7" t="str">
        <f aca="false">IF(G194="N/A","N/A",IF(S194="","No data",INDEX(Config!$B$5:$B$9,S194)))</f>
        <v>High</v>
      </c>
      <c r="U194" s="32" t="n">
        <v>0</v>
      </c>
      <c r="V194" s="8"/>
      <c r="W194" s="33"/>
      <c r="X194" s="34" t="n">
        <f aca="false">IF(S194="","",IF(AND(W194="Y",U194&lt;&gt;0),MAX(1,MIN(5,S194+MAX(-Config!$C$27,MIN(Config!$C$27,U194)))),S194))</f>
        <v>5</v>
      </c>
      <c r="Y194" s="35" t="str">
        <f aca="false">IF(G194="N/A","N/A",IF(X194="","No data",INDEX(Config!$B$5:$B$9,X194)))</f>
        <v>High</v>
      </c>
      <c r="Z194" s="7" t="str">
        <f aca="false">IF(U194=0,"None",IF(W194="Y","Applied","Pending HO approval"))</f>
        <v>None</v>
      </c>
      <c r="AA194" s="12" t="str">
        <f aca="false">INDEX('Risk Taxonomy'!$G$5:$G$24,MATCH(D194,'Risk Taxonomy'!$A$5:$A$24,0))</f>
        <v>Very low</v>
      </c>
      <c r="AB194" s="7" t="str">
        <f aca="false">INDEX('Risk Taxonomy'!$H$5:$H$24,MATCH(D194,'Risk Taxonomy'!$A$5:$A$24,0))</f>
        <v>Medium-Low</v>
      </c>
      <c r="AC194" s="35" t="str">
        <f aca="false">IF(NOT(ISNUMBER(X194)),"",IF(X194&lt;=MATCH(AB194,Config!$B$5:$B$9,0),"Within",IF(OR(X194-MATCH(AB194,Config!$B$5:$B$9,0)&gt;=2,AND('Residual Config'!$C$8="Y",ISNUMBER(SEARCH("Zero",AA194)))),"Red","Amber")))</f>
        <v>Red</v>
      </c>
      <c r="AD194" s="12" t="str">
        <f aca="false">IF(AC194="Red","Group CCO / CRO and Country CEO within 2 business days; action plan in 15 days; report to Board Risk &amp; Compliance Committee",IF(AC194="Amber","Country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195" customFormat="false" ht="15" hidden="false" customHeight="false" outlineLevel="0" collapsed="false">
      <c r="A195" s="26" t="str">
        <f aca="false">Entities!$A$14</f>
        <v>AE</v>
      </c>
      <c r="B195" s="12" t="str">
        <f aca="false">INDEX(Entities!$B$5:$B$34,MATCH(A195,Entities!$A$5:$A$34,0))</f>
        <v>Arab Bank – UAE</v>
      </c>
      <c r="C195" s="12" t="str">
        <f aca="false">INDEX(Entities!$D$5:$D$34,MATCH(A195,Entities!$A$5:$A$34,0))</f>
        <v>GCC</v>
      </c>
      <c r="D195" s="12" t="s">
        <v>293</v>
      </c>
      <c r="E195" s="12" t="str">
        <f aca="false">INDEX('Risk Taxonomy'!$B$5:$B$24,MATCH(D195,'Risk Taxonomy'!$A$5:$A$24,0))</f>
        <v>Shariah non-compliance</v>
      </c>
      <c r="F195" s="29" t="str">
        <f aca="false">IF(NOT(ISNUMBER(G195)),"",G195)</f>
        <v/>
      </c>
      <c r="G195" s="34" t="str">
        <f aca="false">IF(COUNTIFS('LxI Assessment'!$A$5:$A$394,A195,'LxI Assessment'!$D$5:$D$394,D195,'LxI Assessment'!$F$5:$F$394,"N/A")&gt;0,"N/A",IF(COUNTIFS('LxI Assessment'!$A$5:$A$394,A195,'LxI Assessment'!$D$5:$D$394,D195,'LxI Assessment'!$S$5:$S$394,"&gt;0")=0,"",SUMIFS('LxI Assessment'!$S$5:$S$394,'LxI Assessment'!$A$5:$A$394,A195,'LxI Assessment'!$D$5:$D$394,D195)))</f>
        <v>N/A</v>
      </c>
      <c r="H195" s="7" t="str">
        <f aca="false">IF(G195="N/A","N/A",IF(G195="","No data",INDEX(Config!$B$5:$B$9,G195)))</f>
        <v>N/A</v>
      </c>
      <c r="I195" s="31" t="str">
        <f aca="false">IF(NOT(ISNUMBER($G195)),"",SUMPRODUCT(('Control Mapping'!$C$5:$C$83=D195)*('Control Mapping'!$P$5:$P$83&gt;0)))</f>
        <v/>
      </c>
      <c r="J195" s="31" t="str">
        <f aca="false">IF(NOT(ISNUMBER($G195)),"",SUMPRODUCT(('Control Mapping'!$C$5:$C$83=D195)*('Control Mapping'!$F$5:$F$83="Y")*('Control Mapping'!$P$5:$P$83&gt;0)))</f>
        <v/>
      </c>
      <c r="K195" s="31" t="str">
        <f aca="false">IF(NOT(ISNUMBER($G195)),"",SUMPRODUCT(('Control Mapping'!$C$5:$C$83=D195)*('Control Mapping'!$F$5:$F$83="Y")*('Control Mapping'!$P$5:$P$83=4)))</f>
        <v/>
      </c>
      <c r="L195" s="29" t="str">
        <f aca="false">IF(NOT(ISNUMBER($G195)),"",IFERROR(SUMPRODUCT(('Control Mapping'!$C$5:$C$83=D195)*'Control Mapping'!$E$5:$E$83*'Control Mapping'!$P$5:$P$83)/SUMPRODUCT(('Control Mapping'!$C$5:$C$83=D195)*'Control Mapping'!$E$5:$E$83*('Control Mapping'!$P$5:$P$83&gt;0)),""))</f>
        <v/>
      </c>
      <c r="M195" s="34" t="str">
        <f aca="false">IF(NOT(ISNUMBER($G195)),"",IF(J195=0,4,MAX(MATCH(L195,'Residual Config'!$E$11:$E$14,1),IF(K195&gt;0,'Residual Config'!$C$7,1))))</f>
        <v/>
      </c>
      <c r="N195" s="7" t="str">
        <f aca="false">IF(NOT(ISNUMBER($G195)),"",IF(J195=0,"Ineffective (no key control)",INDEX('Residual Config'!$B$11:$B$14,M195)))</f>
        <v/>
      </c>
      <c r="O195" s="36" t="str">
        <f aca="false">IF(NOT(ISNUMBER($G195)),"",IF(J195=0,0,SUMPRODUCT(('Control Mapping'!$C$5:$C$83=D195)*'Control Mapping'!$E$5:$E$83*(('Control Mapping'!$P$5:$P$83=1)*'Residual Config'!$D$11+('Control Mapping'!$P$5:$P$83=2)*'Residual Config'!$D$12+('Control Mapping'!$P$5:$P$83=3)*'Residual Config'!$D$13+('Control Mapping'!$P$5:$P$83=4)*'Residual Config'!$D$14))/SUMPRODUCT(('Control Mapping'!$C$5:$C$83=D195)*'Control Mapping'!$E$5:$E$83*('Control Mapping'!$P$5:$P$83&gt;0))))</f>
        <v/>
      </c>
      <c r="P195" s="31" t="str">
        <f aca="false">IF(NOT(ISNUMBER($G195)),"",INDEX('Residual Config'!$B$19:$E$23,6-G195,M195))</f>
        <v/>
      </c>
      <c r="Q195" s="29" t="str">
        <f aca="false">IF(NOT(ISNUMBER($G195)),"",MAX(1,F195*(1-O195)))</f>
        <v/>
      </c>
      <c r="R195" s="31" t="str">
        <f aca="false">IF(NOT(ISNUMBER($G195)),"",MAX(MATCH(Q195,Config!$D$5:$D$9,1),G195-'Residual Config'!$C$6))</f>
        <v/>
      </c>
      <c r="S195" s="34" t="str">
        <f aca="false">IF(NOT(ISNUMBER($G195)),"",IF('Residual Config'!$C$5="Numeric",R195,P195))</f>
        <v/>
      </c>
      <c r="T195" s="7" t="str">
        <f aca="false">IF(G195="N/A","N/A",IF(S195="","No data",INDEX(Config!$B$5:$B$9,S195)))</f>
        <v>N/A</v>
      </c>
      <c r="U195" s="32" t="n">
        <v>0</v>
      </c>
      <c r="V195" s="8"/>
      <c r="W195" s="33"/>
      <c r="X195" s="34" t="str">
        <f aca="false">IF(S195="","",IF(AND(W195="Y",U195&lt;&gt;0),MAX(1,MIN(5,S195+MAX(-Config!$C$27,MIN(Config!$C$27,U195)))),S195))</f>
        <v/>
      </c>
      <c r="Y195" s="35" t="str">
        <f aca="false">IF(G195="N/A","N/A",IF(X195="","No data",INDEX(Config!$B$5:$B$9,X195)))</f>
        <v>N/A</v>
      </c>
      <c r="Z195" s="7" t="str">
        <f aca="false">IF(U195=0,"None",IF(W195="Y","Applied","Pending HO approval"))</f>
        <v>None</v>
      </c>
      <c r="AA195" s="12" t="str">
        <f aca="false">INDEX('Risk Taxonomy'!$G$5:$G$24,MATCH(D195,'Risk Taxonomy'!$A$5:$A$24,0))</f>
        <v>Very low</v>
      </c>
      <c r="AB195" s="7" t="str">
        <f aca="false">INDEX('Risk Taxonomy'!$H$5:$H$24,MATCH(D195,'Risk Taxonomy'!$A$5:$A$24,0))</f>
        <v>Medium-Low</v>
      </c>
      <c r="AC195" s="35" t="str">
        <f aca="false">IF(NOT(ISNUMBER(X195)),"",IF(X195&lt;=MATCH(AB195,Config!$B$5:$B$9,0),"Within",IF(OR(X195-MATCH(AB195,Config!$B$5:$B$9,0)&gt;=2,AND('Residual Config'!$C$8="Y",ISNUMBER(SEARCH("Zero",AA195)))),"Red","Amber")))</f>
        <v/>
      </c>
      <c r="AD195" s="12" t="str">
        <f aca="false">IF(AC195="Red","Group CCO / CRO and Country CEO within 2 business days; action plan in 15 days; report to Board Risk &amp; Compliance Committee",IF(AC195="Amber","Country CO, risk owner and HO Administrator within 5 business days; action plan in 30 days",""))</f>
        <v/>
      </c>
    </row>
    <row r="196" customFormat="false" ht="15" hidden="false" customHeight="false" outlineLevel="0" collapsed="false">
      <c r="A196" s="26" t="str">
        <f aca="false">Entities!$A$14</f>
        <v>AE</v>
      </c>
      <c r="B196" s="12" t="str">
        <f aca="false">INDEX(Entities!$B$5:$B$34,MATCH(A196,Entities!$A$5:$A$34,0))</f>
        <v>Arab Bank – UAE</v>
      </c>
      <c r="C196" s="12" t="str">
        <f aca="false">INDEX(Entities!$D$5:$D$34,MATCH(A196,Entities!$A$5:$A$34,0))</f>
        <v>GCC</v>
      </c>
      <c r="D196" s="12" t="s">
        <v>297</v>
      </c>
      <c r="E196" s="12" t="str">
        <f aca="false">INDEX('Risk Taxonomy'!$B$5:$B$24,MATCH(D196,'Risk Taxonomy'!$A$5:$A$24,0))</f>
        <v>Credit risk</v>
      </c>
      <c r="F196" s="29" t="n">
        <f aca="false">IF(NOT(ISNUMBER(G196)),"",G196)</f>
        <v>2</v>
      </c>
      <c r="G196" s="34" t="n">
        <f aca="false">IF(COUNTIFS('LxI Assessment'!$A$5:$A$394,A196,'LxI Assessment'!$D$5:$D$394,D196,'LxI Assessment'!$F$5:$F$394,"N/A")&gt;0,"N/A",IF(COUNTIFS('LxI Assessment'!$A$5:$A$394,A196,'LxI Assessment'!$D$5:$D$394,D196,'LxI Assessment'!$S$5:$S$394,"&gt;0")=0,"",SUMIFS('LxI Assessment'!$S$5:$S$394,'LxI Assessment'!$A$5:$A$394,A196,'LxI Assessment'!$D$5:$D$394,D196)))</f>
        <v>2</v>
      </c>
      <c r="H196" s="7" t="str">
        <f aca="false">IF(G196="N/A","N/A",IF(G196="","No data",INDEX(Config!$B$5:$B$9,G196)))</f>
        <v>Medium-Low</v>
      </c>
      <c r="I196" s="31" t="n">
        <f aca="false">IF(NOT(ISNUMBER($G196)),"",SUMPRODUCT(('Control Mapping'!$C$5:$C$83=D196)*('Control Mapping'!$P$5:$P$83&gt;0)))</f>
        <v>2</v>
      </c>
      <c r="J196" s="31" t="n">
        <f aca="false">IF(NOT(ISNUMBER($G196)),"",SUMPRODUCT(('Control Mapping'!$C$5:$C$83=D196)*('Control Mapping'!$F$5:$F$83="Y")*('Control Mapping'!$P$5:$P$83&gt;0)))</f>
        <v>1</v>
      </c>
      <c r="K196" s="31" t="n">
        <f aca="false">IF(NOT(ISNUMBER($G196)),"",SUMPRODUCT(('Control Mapping'!$C$5:$C$83=D196)*('Control Mapping'!$F$5:$F$83="Y")*('Control Mapping'!$P$5:$P$83=4)))</f>
        <v>0</v>
      </c>
      <c r="L196" s="29" t="n">
        <f aca="false">IF(NOT(ISNUMBER($G196)),"",IFERROR(SUMPRODUCT(('Control Mapping'!$C$5:$C$83=D196)*'Control Mapping'!$E$5:$E$83*'Control Mapping'!$P$5:$P$83)/SUMPRODUCT(('Control Mapping'!$C$5:$C$83=D196)*'Control Mapping'!$E$5:$E$83*('Control Mapping'!$P$5:$P$83&gt;0)),""))</f>
        <v>1.6</v>
      </c>
      <c r="M196" s="34" t="n">
        <f aca="false">IF(NOT(ISNUMBER($G196)),"",IF(J196=0,4,MAX(MATCH(L196,'Residual Config'!$E$11:$E$14,1),IF(K196&gt;0,'Residual Config'!$C$7,1))))</f>
        <v>2</v>
      </c>
      <c r="N196" s="7" t="str">
        <f aca="false">IF(NOT(ISNUMBER($G196)),"",IF(J196=0,"Ineffective (no key control)",INDEX('Residual Config'!$B$11:$B$14,M196)))</f>
        <v>Largely effective</v>
      </c>
      <c r="O196" s="36" t="n">
        <f aca="false">IF(NOT(ISNUMBER($G196)),"",IF(J196=0,0,SUMPRODUCT(('Control Mapping'!$C$5:$C$83=D196)*'Control Mapping'!$E$5:$E$83*(('Control Mapping'!$P$5:$P$83=1)*'Residual Config'!$D$11+('Control Mapping'!$P$5:$P$83=2)*'Residual Config'!$D$12+('Control Mapping'!$P$5:$P$83=3)*'Residual Config'!$D$13+('Control Mapping'!$P$5:$P$83=4)*'Residual Config'!$D$14))/SUMPRODUCT(('Control Mapping'!$C$5:$C$83=D196)*'Control Mapping'!$E$5:$E$83*('Control Mapping'!$P$5:$P$83&gt;0))))</f>
        <v>0.48</v>
      </c>
      <c r="P196" s="31" t="n">
        <f aca="false">IF(NOT(ISNUMBER($G196)),"",INDEX('Residual Config'!$B$19:$E$23,6-G196,M196))</f>
        <v>1</v>
      </c>
      <c r="Q196" s="29" t="n">
        <f aca="false">IF(NOT(ISNUMBER($G196)),"",MAX(1,F196*(1-O196)))</f>
        <v>1.04</v>
      </c>
      <c r="R196" s="31" t="n">
        <f aca="false">IF(NOT(ISNUMBER($G196)),"",MAX(MATCH(Q196,Config!$D$5:$D$9,1),G196-'Residual Config'!$C$6))</f>
        <v>1</v>
      </c>
      <c r="S196" s="34" t="n">
        <f aca="false">IF(NOT(ISNUMBER($G196)),"",IF('Residual Config'!$C$5="Numeric",R196,P196))</f>
        <v>1</v>
      </c>
      <c r="T196" s="7" t="str">
        <f aca="false">IF(G196="N/A","N/A",IF(S196="","No data",INDEX(Config!$B$5:$B$9,S196)))</f>
        <v>Low</v>
      </c>
      <c r="U196" s="32" t="n">
        <v>0</v>
      </c>
      <c r="V196" s="8"/>
      <c r="W196" s="33"/>
      <c r="X196" s="34" t="n">
        <f aca="false">IF(S196="","",IF(AND(W196="Y",U196&lt;&gt;0),MAX(1,MIN(5,S196+MAX(-Config!$C$27,MIN(Config!$C$27,U196)))),S196))</f>
        <v>1</v>
      </c>
      <c r="Y196" s="35" t="str">
        <f aca="false">IF(G196="N/A","N/A",IF(X196="","No data",INDEX(Config!$B$5:$B$9,X196)))</f>
        <v>Low</v>
      </c>
      <c r="Z196" s="7" t="str">
        <f aca="false">IF(U196=0,"None",IF(W196="Y","Applied","Pending HO approval"))</f>
        <v>None</v>
      </c>
      <c r="AA196" s="12" t="str">
        <f aca="false">INDEX('Risk Taxonomy'!$G$5:$G$24,MATCH(D196,'Risk Taxonomy'!$A$5:$A$24,0))</f>
        <v>Moderate</v>
      </c>
      <c r="AB196" s="7" t="str">
        <f aca="false">INDEX('Risk Taxonomy'!$H$5:$H$24,MATCH(D196,'Risk Taxonomy'!$A$5:$A$24,0))</f>
        <v>Medium-High</v>
      </c>
      <c r="AC196" s="35" t="str">
        <f aca="false">IF(NOT(ISNUMBER(X196)),"",IF(X196&lt;=MATCH(AB196,Config!$B$5:$B$9,0),"Within",IF(OR(X196-MATCH(AB196,Config!$B$5:$B$9,0)&gt;=2,AND('Residual Config'!$C$8="Y",ISNUMBER(SEARCH("Zero",AA196)))),"Red","Amber")))</f>
        <v>Within</v>
      </c>
      <c r="AD196" s="12" t="str">
        <f aca="false">IF(AC196="Red","Group CCO / CRO and Country CEO within 2 business days; action plan in 15 days; report to Board Risk &amp; Compliance Committee",IF(AC196="Amber","Country CO, risk owner and HO Administrator within 5 business days; action plan in 30 days",""))</f>
        <v/>
      </c>
    </row>
    <row r="197" customFormat="false" ht="15" hidden="false" customHeight="false" outlineLevel="0" collapsed="false">
      <c r="A197" s="26" t="str">
        <f aca="false">Entities!$A$14</f>
        <v>AE</v>
      </c>
      <c r="B197" s="12" t="str">
        <f aca="false">INDEX(Entities!$B$5:$B$34,MATCH(A197,Entities!$A$5:$A$34,0))</f>
        <v>Arab Bank – UAE</v>
      </c>
      <c r="C197" s="12" t="str">
        <f aca="false">INDEX(Entities!$D$5:$D$34,MATCH(A197,Entities!$A$5:$A$34,0))</f>
        <v>GCC</v>
      </c>
      <c r="D197" s="12" t="s">
        <v>302</v>
      </c>
      <c r="E197" s="12" t="str">
        <f aca="false">INDEX('Risk Taxonomy'!$B$5:$B$24,MATCH(D197,'Risk Taxonomy'!$A$5:$A$24,0))</f>
        <v>Market risk</v>
      </c>
      <c r="F197" s="29" t="n">
        <f aca="false">IF(NOT(ISNUMBER(G197)),"",G197)</f>
        <v>3</v>
      </c>
      <c r="G197" s="34" t="n">
        <f aca="false">IF(COUNTIFS('LxI Assessment'!$A$5:$A$394,A197,'LxI Assessment'!$D$5:$D$394,D197,'LxI Assessment'!$F$5:$F$394,"N/A")&gt;0,"N/A",IF(COUNTIFS('LxI Assessment'!$A$5:$A$394,A197,'LxI Assessment'!$D$5:$D$394,D197,'LxI Assessment'!$S$5:$S$394,"&gt;0")=0,"",SUMIFS('LxI Assessment'!$S$5:$S$394,'LxI Assessment'!$A$5:$A$394,A197,'LxI Assessment'!$D$5:$D$394,D197)))</f>
        <v>3</v>
      </c>
      <c r="H197" s="7" t="str">
        <f aca="false">IF(G197="N/A","N/A",IF(G197="","No data",INDEX(Config!$B$5:$B$9,G197)))</f>
        <v>Medium</v>
      </c>
      <c r="I197" s="31" t="n">
        <f aca="false">IF(NOT(ISNUMBER($G197)),"",SUMPRODUCT(('Control Mapping'!$C$5:$C$83=D197)*('Control Mapping'!$P$5:$P$83&gt;0)))</f>
        <v>1</v>
      </c>
      <c r="J197" s="31" t="n">
        <f aca="false">IF(NOT(ISNUMBER($G197)),"",SUMPRODUCT(('Control Mapping'!$C$5:$C$83=D197)*('Control Mapping'!$F$5:$F$83="Y")*('Control Mapping'!$P$5:$P$83&gt;0)))</f>
        <v>1</v>
      </c>
      <c r="K197" s="31" t="n">
        <f aca="false">IF(NOT(ISNUMBER($G197)),"",SUMPRODUCT(('Control Mapping'!$C$5:$C$83=D197)*('Control Mapping'!$F$5:$F$83="Y")*('Control Mapping'!$P$5:$P$83=4)))</f>
        <v>0</v>
      </c>
      <c r="L197" s="29" t="n">
        <f aca="false">IF(NOT(ISNUMBER($G197)),"",IFERROR(SUMPRODUCT(('Control Mapping'!$C$5:$C$83=D197)*'Control Mapping'!$E$5:$E$83*'Control Mapping'!$P$5:$P$83)/SUMPRODUCT(('Control Mapping'!$C$5:$C$83=D197)*'Control Mapping'!$E$5:$E$83*('Control Mapping'!$P$5:$P$83&gt;0)),""))</f>
        <v>2</v>
      </c>
      <c r="M197" s="34" t="n">
        <f aca="false">IF(NOT(ISNUMBER($G197)),"",IF(J197=0,4,MAX(MATCH(L197,'Residual Config'!$E$11:$E$14,1),IF(K197&gt;0,'Residual Config'!$C$7,1))))</f>
        <v>2</v>
      </c>
      <c r="N197" s="7" t="str">
        <f aca="false">IF(NOT(ISNUMBER($G197)),"",IF(J197=0,"Ineffective (no key control)",INDEX('Residual Config'!$B$11:$B$14,M197)))</f>
        <v>Largely effective</v>
      </c>
      <c r="O197" s="36" t="n">
        <f aca="false">IF(NOT(ISNUMBER($G197)),"",IF(J197=0,0,SUMPRODUCT(('Control Mapping'!$C$5:$C$83=D197)*'Control Mapping'!$E$5:$E$83*(('Control Mapping'!$P$5:$P$83=1)*'Residual Config'!$D$11+('Control Mapping'!$P$5:$P$83=2)*'Residual Config'!$D$12+('Control Mapping'!$P$5:$P$83=3)*'Residual Config'!$D$13+('Control Mapping'!$P$5:$P$83=4)*'Residual Config'!$D$14))/SUMPRODUCT(('Control Mapping'!$C$5:$C$83=D197)*'Control Mapping'!$E$5:$E$83*('Control Mapping'!$P$5:$P$83&gt;0))))</f>
        <v>0.4</v>
      </c>
      <c r="P197" s="31" t="n">
        <f aca="false">IF(NOT(ISNUMBER($G197)),"",INDEX('Residual Config'!$B$19:$E$23,6-G197,M197))</f>
        <v>2</v>
      </c>
      <c r="Q197" s="29" t="n">
        <f aca="false">IF(NOT(ISNUMBER($G197)),"",MAX(1,F197*(1-O197)))</f>
        <v>1.8</v>
      </c>
      <c r="R197" s="31" t="n">
        <f aca="false">IF(NOT(ISNUMBER($G197)),"",MAX(MATCH(Q197,Config!$D$5:$D$9,1),G197-'Residual Config'!$C$6))</f>
        <v>1</v>
      </c>
      <c r="S197" s="34" t="n">
        <f aca="false">IF(NOT(ISNUMBER($G197)),"",IF('Residual Config'!$C$5="Numeric",R197,P197))</f>
        <v>2</v>
      </c>
      <c r="T197" s="7" t="str">
        <f aca="false">IF(G197="N/A","N/A",IF(S197="","No data",INDEX(Config!$B$5:$B$9,S197)))</f>
        <v>Medium-Low</v>
      </c>
      <c r="U197" s="32" t="n">
        <v>0</v>
      </c>
      <c r="V197" s="8"/>
      <c r="W197" s="33"/>
      <c r="X197" s="34" t="n">
        <f aca="false">IF(S197="","",IF(AND(W197="Y",U197&lt;&gt;0),MAX(1,MIN(5,S197+MAX(-Config!$C$27,MIN(Config!$C$27,U197)))),S197))</f>
        <v>2</v>
      </c>
      <c r="Y197" s="35" t="str">
        <f aca="false">IF(G197="N/A","N/A",IF(X197="","No data",INDEX(Config!$B$5:$B$9,X197)))</f>
        <v>Medium-Low</v>
      </c>
      <c r="Z197" s="7" t="str">
        <f aca="false">IF(U197=0,"None",IF(W197="Y","Applied","Pending HO approval"))</f>
        <v>None</v>
      </c>
      <c r="AA197" s="12" t="str">
        <f aca="false">INDEX('Risk Taxonomy'!$G$5:$G$24,MATCH(D197,'Risk Taxonomy'!$A$5:$A$24,0))</f>
        <v>Moderate</v>
      </c>
      <c r="AB197" s="7" t="str">
        <f aca="false">INDEX('Risk Taxonomy'!$H$5:$H$24,MATCH(D197,'Risk Taxonomy'!$A$5:$A$24,0))</f>
        <v>Medium-High</v>
      </c>
      <c r="AC197" s="35" t="str">
        <f aca="false">IF(NOT(ISNUMBER(X197)),"",IF(X197&lt;=MATCH(AB197,Config!$B$5:$B$9,0),"Within",IF(OR(X197-MATCH(AB197,Config!$B$5:$B$9,0)&gt;=2,AND('Residual Config'!$C$8="Y",ISNUMBER(SEARCH("Zero",AA197)))),"Red","Amber")))</f>
        <v>Within</v>
      </c>
      <c r="AD197" s="12" t="str">
        <f aca="false">IF(AC197="Red","Group CCO / CRO and Country CEO within 2 business days; action plan in 15 days; report to Board Risk &amp; Compliance Committee",IF(AC197="Amber","Country CO, risk owner and HO Administrator within 5 business days; action plan in 30 days",""))</f>
        <v/>
      </c>
    </row>
    <row r="198" customFormat="false" ht="15" hidden="false" customHeight="false" outlineLevel="0" collapsed="false">
      <c r="A198" s="26" t="str">
        <f aca="false">Entities!$A$14</f>
        <v>AE</v>
      </c>
      <c r="B198" s="12" t="str">
        <f aca="false">INDEX(Entities!$B$5:$B$34,MATCH(A198,Entities!$A$5:$A$34,0))</f>
        <v>Arab Bank – UAE</v>
      </c>
      <c r="C198" s="12" t="str">
        <f aca="false">INDEX(Entities!$D$5:$D$34,MATCH(A198,Entities!$A$5:$A$34,0))</f>
        <v>GCC</v>
      </c>
      <c r="D198" s="12" t="s">
        <v>304</v>
      </c>
      <c r="E198" s="12" t="str">
        <f aca="false">INDEX('Risk Taxonomy'!$B$5:$B$24,MATCH(D198,'Risk Taxonomy'!$A$5:$A$24,0))</f>
        <v>Liquidity and funding risk</v>
      </c>
      <c r="F198" s="29" t="n">
        <f aca="false">IF(NOT(ISNUMBER(G198)),"",G198)</f>
        <v>2</v>
      </c>
      <c r="G198" s="34" t="n">
        <f aca="false">IF(COUNTIFS('LxI Assessment'!$A$5:$A$394,A198,'LxI Assessment'!$D$5:$D$394,D198,'LxI Assessment'!$F$5:$F$394,"N/A")&gt;0,"N/A",IF(COUNTIFS('LxI Assessment'!$A$5:$A$394,A198,'LxI Assessment'!$D$5:$D$394,D198,'LxI Assessment'!$S$5:$S$394,"&gt;0")=0,"",SUMIFS('LxI Assessment'!$S$5:$S$394,'LxI Assessment'!$A$5:$A$394,A198,'LxI Assessment'!$D$5:$D$394,D198)))</f>
        <v>2</v>
      </c>
      <c r="H198" s="7" t="str">
        <f aca="false">IF(G198="N/A","N/A",IF(G198="","No data",INDEX(Config!$B$5:$B$9,G198)))</f>
        <v>Medium-Low</v>
      </c>
      <c r="I198" s="31" t="n">
        <f aca="false">IF(NOT(ISNUMBER($G198)),"",SUMPRODUCT(('Control Mapping'!$C$5:$C$83=D198)*('Control Mapping'!$P$5:$P$83&gt;0)))</f>
        <v>1</v>
      </c>
      <c r="J198" s="31" t="n">
        <f aca="false">IF(NOT(ISNUMBER($G198)),"",SUMPRODUCT(('Control Mapping'!$C$5:$C$83=D198)*('Control Mapping'!$F$5:$F$83="Y")*('Control Mapping'!$P$5:$P$83&gt;0)))</f>
        <v>1</v>
      </c>
      <c r="K198" s="31" t="n">
        <f aca="false">IF(NOT(ISNUMBER($G198)),"",SUMPRODUCT(('Control Mapping'!$C$5:$C$83=D198)*('Control Mapping'!$F$5:$F$83="Y")*('Control Mapping'!$P$5:$P$83=4)))</f>
        <v>0</v>
      </c>
      <c r="L198" s="29" t="n">
        <f aca="false">IF(NOT(ISNUMBER($G198)),"",IFERROR(SUMPRODUCT(('Control Mapping'!$C$5:$C$83=D198)*'Control Mapping'!$E$5:$E$83*'Control Mapping'!$P$5:$P$83)/SUMPRODUCT(('Control Mapping'!$C$5:$C$83=D198)*'Control Mapping'!$E$5:$E$83*('Control Mapping'!$P$5:$P$83&gt;0)),""))</f>
        <v>1</v>
      </c>
      <c r="M198" s="34" t="n">
        <f aca="false">IF(NOT(ISNUMBER($G198)),"",IF(J198=0,4,MAX(MATCH(L198,'Residual Config'!$E$11:$E$14,1),IF(K198&gt;0,'Residual Config'!$C$7,1))))</f>
        <v>1</v>
      </c>
      <c r="N198" s="7" t="str">
        <f aca="false">IF(NOT(ISNUMBER($G198)),"",IF(J198=0,"Ineffective (no key control)",INDEX('Residual Config'!$B$11:$B$14,M198)))</f>
        <v>Effective</v>
      </c>
      <c r="O198" s="36" t="n">
        <f aca="false">IF(NOT(ISNUMBER($G198)),"",IF(J198=0,0,SUMPRODUCT(('Control Mapping'!$C$5:$C$83=D198)*'Control Mapping'!$E$5:$E$83*(('Control Mapping'!$P$5:$P$83=1)*'Residual Config'!$D$11+('Control Mapping'!$P$5:$P$83=2)*'Residual Config'!$D$12+('Control Mapping'!$P$5:$P$83=3)*'Residual Config'!$D$13+('Control Mapping'!$P$5:$P$83=4)*'Residual Config'!$D$14))/SUMPRODUCT(('Control Mapping'!$C$5:$C$83=D198)*'Control Mapping'!$E$5:$E$83*('Control Mapping'!$P$5:$P$83&gt;0))))</f>
        <v>0.6</v>
      </c>
      <c r="P198" s="31" t="n">
        <f aca="false">IF(NOT(ISNUMBER($G198)),"",INDEX('Residual Config'!$B$19:$E$23,6-G198,M198))</f>
        <v>1</v>
      </c>
      <c r="Q198" s="29" t="n">
        <f aca="false">IF(NOT(ISNUMBER($G198)),"",MAX(1,F198*(1-O198)))</f>
        <v>1</v>
      </c>
      <c r="R198" s="31" t="n">
        <f aca="false">IF(NOT(ISNUMBER($G198)),"",MAX(MATCH(Q198,Config!$D$5:$D$9,1),G198-'Residual Config'!$C$6))</f>
        <v>1</v>
      </c>
      <c r="S198" s="34" t="n">
        <f aca="false">IF(NOT(ISNUMBER($G198)),"",IF('Residual Config'!$C$5="Numeric",R198,P198))</f>
        <v>1</v>
      </c>
      <c r="T198" s="7" t="str">
        <f aca="false">IF(G198="N/A","N/A",IF(S198="","No data",INDEX(Config!$B$5:$B$9,S198)))</f>
        <v>Low</v>
      </c>
      <c r="U198" s="32" t="n">
        <v>0</v>
      </c>
      <c r="V198" s="8"/>
      <c r="W198" s="33"/>
      <c r="X198" s="34" t="n">
        <f aca="false">IF(S198="","",IF(AND(W198="Y",U198&lt;&gt;0),MAX(1,MIN(5,S198+MAX(-Config!$C$27,MIN(Config!$C$27,U198)))),S198))</f>
        <v>1</v>
      </c>
      <c r="Y198" s="35" t="str">
        <f aca="false">IF(G198="N/A","N/A",IF(X198="","No data",INDEX(Config!$B$5:$B$9,X198)))</f>
        <v>Low</v>
      </c>
      <c r="Z198" s="7" t="str">
        <f aca="false">IF(U198=0,"None",IF(W198="Y","Applied","Pending HO approval"))</f>
        <v>None</v>
      </c>
      <c r="AA198" s="12" t="str">
        <f aca="false">INDEX('Risk Taxonomy'!$G$5:$G$24,MATCH(D198,'Risk Taxonomy'!$A$5:$A$24,0))</f>
        <v>Low</v>
      </c>
      <c r="AB198" s="7" t="str">
        <f aca="false">INDEX('Risk Taxonomy'!$H$5:$H$24,MATCH(D198,'Risk Taxonomy'!$A$5:$A$24,0))</f>
        <v>Medium</v>
      </c>
      <c r="AC198" s="35" t="str">
        <f aca="false">IF(NOT(ISNUMBER(X198)),"",IF(X198&lt;=MATCH(AB198,Config!$B$5:$B$9,0),"Within",IF(OR(X198-MATCH(AB198,Config!$B$5:$B$9,0)&gt;=2,AND('Residual Config'!$C$8="Y",ISNUMBER(SEARCH("Zero",AA198)))),"Red","Amber")))</f>
        <v>Within</v>
      </c>
      <c r="AD198" s="12" t="str">
        <f aca="false">IF(AC198="Red","Group CCO / CRO and Country CEO within 2 business days; action plan in 15 days; report to Board Risk &amp; Compliance Committee",IF(AC198="Amber","Country CO, risk owner and HO Administrator within 5 business days; action plan in 30 days",""))</f>
        <v/>
      </c>
    </row>
    <row r="199" customFormat="false" ht="15" hidden="false" customHeight="false" outlineLevel="0" collapsed="false">
      <c r="A199" s="26" t="str">
        <f aca="false">Entities!$A$14</f>
        <v>AE</v>
      </c>
      <c r="B199" s="12" t="str">
        <f aca="false">INDEX(Entities!$B$5:$B$34,MATCH(A199,Entities!$A$5:$A$34,0))</f>
        <v>Arab Bank – UAE</v>
      </c>
      <c r="C199" s="12" t="str">
        <f aca="false">INDEX(Entities!$D$5:$D$34,MATCH(A199,Entities!$A$5:$A$34,0))</f>
        <v>GCC</v>
      </c>
      <c r="D199" s="12" t="s">
        <v>307</v>
      </c>
      <c r="E199" s="12" t="str">
        <f aca="false">INDEX('Risk Taxonomy'!$B$5:$B$24,MATCH(D199,'Risk Taxonomy'!$A$5:$A$24,0))</f>
        <v>Operational risk</v>
      </c>
      <c r="F199" s="29" t="n">
        <f aca="false">IF(NOT(ISNUMBER(G199)),"",G199)</f>
        <v>2</v>
      </c>
      <c r="G199" s="34" t="n">
        <f aca="false">IF(COUNTIFS('LxI Assessment'!$A$5:$A$394,A199,'LxI Assessment'!$D$5:$D$394,D199,'LxI Assessment'!$F$5:$F$394,"N/A")&gt;0,"N/A",IF(COUNTIFS('LxI Assessment'!$A$5:$A$394,A199,'LxI Assessment'!$D$5:$D$394,D199,'LxI Assessment'!$S$5:$S$394,"&gt;0")=0,"",SUMIFS('LxI Assessment'!$S$5:$S$394,'LxI Assessment'!$A$5:$A$394,A199,'LxI Assessment'!$D$5:$D$394,D199)))</f>
        <v>2</v>
      </c>
      <c r="H199" s="7" t="str">
        <f aca="false">IF(G199="N/A","N/A",IF(G199="","No data",INDEX(Config!$B$5:$B$9,G199)))</f>
        <v>Medium-Low</v>
      </c>
      <c r="I199" s="31" t="n">
        <f aca="false">IF(NOT(ISNUMBER($G199)),"",SUMPRODUCT(('Control Mapping'!$C$5:$C$83=D199)*('Control Mapping'!$P$5:$P$83&gt;0)))</f>
        <v>3</v>
      </c>
      <c r="J199" s="31" t="n">
        <f aca="false">IF(NOT(ISNUMBER($G199)),"",SUMPRODUCT(('Control Mapping'!$C$5:$C$83=D199)*('Control Mapping'!$F$5:$F$83="Y")*('Control Mapping'!$P$5:$P$83&gt;0)))</f>
        <v>2</v>
      </c>
      <c r="K199" s="31" t="n">
        <f aca="false">IF(NOT(ISNUMBER($G199)),"",SUMPRODUCT(('Control Mapping'!$C$5:$C$83=D199)*('Control Mapping'!$F$5:$F$83="Y")*('Control Mapping'!$P$5:$P$83=4)))</f>
        <v>0</v>
      </c>
      <c r="L199" s="29" t="n">
        <f aca="false">IF(NOT(ISNUMBER($G199)),"",IFERROR(SUMPRODUCT(('Control Mapping'!$C$5:$C$83=D199)*'Control Mapping'!$E$5:$E$83*'Control Mapping'!$P$5:$P$83)/SUMPRODUCT(('Control Mapping'!$C$5:$C$83=D199)*'Control Mapping'!$E$5:$E$83*('Control Mapping'!$P$5:$P$83&gt;0)),""))</f>
        <v>2.33333333333333</v>
      </c>
      <c r="M199" s="34" t="n">
        <f aca="false">IF(NOT(ISNUMBER($G199)),"",IF(J199=0,4,MAX(MATCH(L199,'Residual Config'!$E$11:$E$14,1),IF(K199&gt;0,'Residual Config'!$C$7,1))))</f>
        <v>2</v>
      </c>
      <c r="N199" s="7" t="str">
        <f aca="false">IF(NOT(ISNUMBER($G199)),"",IF(J199=0,"Ineffective (no key control)",INDEX('Residual Config'!$B$11:$B$14,M199)))</f>
        <v>Largely effective</v>
      </c>
      <c r="O199" s="36" t="n">
        <f aca="false">IF(NOT(ISNUMBER($G199)),"",IF(J199=0,0,SUMPRODUCT(('Control Mapping'!$C$5:$C$83=D199)*'Control Mapping'!$E$5:$E$83*(('Control Mapping'!$P$5:$P$83=1)*'Residual Config'!$D$11+('Control Mapping'!$P$5:$P$83=2)*'Residual Config'!$D$12+('Control Mapping'!$P$5:$P$83=3)*'Residual Config'!$D$13+('Control Mapping'!$P$5:$P$83=4)*'Residual Config'!$D$14))/SUMPRODUCT(('Control Mapping'!$C$5:$C$83=D199)*'Control Mapping'!$E$5:$E$83*('Control Mapping'!$P$5:$P$83&gt;0))))</f>
        <v>0.333333333333333</v>
      </c>
      <c r="P199" s="31" t="n">
        <f aca="false">IF(NOT(ISNUMBER($G199)),"",INDEX('Residual Config'!$B$19:$E$23,6-G199,M199))</f>
        <v>1</v>
      </c>
      <c r="Q199" s="29" t="n">
        <f aca="false">IF(NOT(ISNUMBER($G199)),"",MAX(1,F199*(1-O199)))</f>
        <v>1.33333333333333</v>
      </c>
      <c r="R199" s="31" t="n">
        <f aca="false">IF(NOT(ISNUMBER($G199)),"",MAX(MATCH(Q199,Config!$D$5:$D$9,1),G199-'Residual Config'!$C$6))</f>
        <v>1</v>
      </c>
      <c r="S199" s="34" t="n">
        <f aca="false">IF(NOT(ISNUMBER($G199)),"",IF('Residual Config'!$C$5="Numeric",R199,P199))</f>
        <v>1</v>
      </c>
      <c r="T199" s="7" t="str">
        <f aca="false">IF(G199="N/A","N/A",IF(S199="","No data",INDEX(Config!$B$5:$B$9,S199)))</f>
        <v>Low</v>
      </c>
      <c r="U199" s="32" t="n">
        <v>0</v>
      </c>
      <c r="V199" s="8"/>
      <c r="W199" s="33"/>
      <c r="X199" s="34" t="n">
        <f aca="false">IF(S199="","",IF(AND(W199="Y",U199&lt;&gt;0),MAX(1,MIN(5,S199+MAX(-Config!$C$27,MIN(Config!$C$27,U199)))),S199))</f>
        <v>1</v>
      </c>
      <c r="Y199" s="35" t="str">
        <f aca="false">IF(G199="N/A","N/A",IF(X199="","No data",INDEX(Config!$B$5:$B$9,X199)))</f>
        <v>Low</v>
      </c>
      <c r="Z199" s="7" t="str">
        <f aca="false">IF(U199=0,"None",IF(W199="Y","Applied","Pending HO approval"))</f>
        <v>None</v>
      </c>
      <c r="AA199" s="12" t="str">
        <f aca="false">INDEX('Risk Taxonomy'!$G$5:$G$24,MATCH(D199,'Risk Taxonomy'!$A$5:$A$24,0))</f>
        <v>Low</v>
      </c>
      <c r="AB199" s="7" t="str">
        <f aca="false">INDEX('Risk Taxonomy'!$H$5:$H$24,MATCH(D199,'Risk Taxonomy'!$A$5:$A$24,0))</f>
        <v>Medium</v>
      </c>
      <c r="AC199" s="35" t="str">
        <f aca="false">IF(NOT(ISNUMBER(X199)),"",IF(X199&lt;=MATCH(AB199,Config!$B$5:$B$9,0),"Within",IF(OR(X199-MATCH(AB199,Config!$B$5:$B$9,0)&gt;=2,AND('Residual Config'!$C$8="Y",ISNUMBER(SEARCH("Zero",AA199)))),"Red","Amber")))</f>
        <v>Within</v>
      </c>
      <c r="AD199" s="12" t="str">
        <f aca="false">IF(AC199="Red","Group CCO / CRO and Country CEO within 2 business days; action plan in 15 days; report to Board Risk &amp; Compliance Committee",IF(AC199="Amber","Country CO, risk owner and HO Administrator within 5 business days; action plan in 30 days",""))</f>
        <v/>
      </c>
    </row>
    <row r="200" customFormat="false" ht="15" hidden="false" customHeight="false" outlineLevel="0" collapsed="false">
      <c r="A200" s="26" t="str">
        <f aca="false">Entities!$A$14</f>
        <v>AE</v>
      </c>
      <c r="B200" s="12" t="str">
        <f aca="false">INDEX(Entities!$B$5:$B$34,MATCH(A200,Entities!$A$5:$A$34,0))</f>
        <v>Arab Bank – UAE</v>
      </c>
      <c r="C200" s="12" t="str">
        <f aca="false">INDEX(Entities!$D$5:$D$34,MATCH(A200,Entities!$A$5:$A$34,0))</f>
        <v>GCC</v>
      </c>
      <c r="D200" s="12" t="s">
        <v>310</v>
      </c>
      <c r="E200" s="12" t="str">
        <f aca="false">INDEX('Risk Taxonomy'!$B$5:$B$24,MATCH(D200,'Risk Taxonomy'!$A$5:$A$24,0))</f>
        <v>Cyber, information security and technology</v>
      </c>
      <c r="F200" s="29" t="n">
        <f aca="false">IF(NOT(ISNUMBER(G200)),"",G200)</f>
        <v>3</v>
      </c>
      <c r="G200" s="34" t="n">
        <f aca="false">IF(COUNTIFS('LxI Assessment'!$A$5:$A$394,A200,'LxI Assessment'!$D$5:$D$394,D200,'LxI Assessment'!$F$5:$F$394,"N/A")&gt;0,"N/A",IF(COUNTIFS('LxI Assessment'!$A$5:$A$394,A200,'LxI Assessment'!$D$5:$D$394,D200,'LxI Assessment'!$S$5:$S$394,"&gt;0")=0,"",SUMIFS('LxI Assessment'!$S$5:$S$394,'LxI Assessment'!$A$5:$A$394,A200,'LxI Assessment'!$D$5:$D$394,D200)))</f>
        <v>3</v>
      </c>
      <c r="H200" s="7" t="str">
        <f aca="false">IF(G200="N/A","N/A",IF(G200="","No data",INDEX(Config!$B$5:$B$9,G200)))</f>
        <v>Medium</v>
      </c>
      <c r="I200" s="31" t="n">
        <f aca="false">IF(NOT(ISNUMBER($G200)),"",SUMPRODUCT(('Control Mapping'!$C$5:$C$83=D200)*('Control Mapping'!$P$5:$P$83&gt;0)))</f>
        <v>4</v>
      </c>
      <c r="J200" s="31" t="n">
        <f aca="false">IF(NOT(ISNUMBER($G200)),"",SUMPRODUCT(('Control Mapping'!$C$5:$C$83=D200)*('Control Mapping'!$F$5:$F$83="Y")*('Control Mapping'!$P$5:$P$83&gt;0)))</f>
        <v>4</v>
      </c>
      <c r="K200" s="31" t="n">
        <f aca="false">IF(NOT(ISNUMBER($G200)),"",SUMPRODUCT(('Control Mapping'!$C$5:$C$83=D200)*('Control Mapping'!$F$5:$F$83="Y")*('Control Mapping'!$P$5:$P$83=4)))</f>
        <v>1</v>
      </c>
      <c r="L200" s="29" t="n">
        <f aca="false">IF(NOT(ISNUMBER($G200)),"",IFERROR(SUMPRODUCT(('Control Mapping'!$C$5:$C$83=D200)*'Control Mapping'!$E$5:$E$83*'Control Mapping'!$P$5:$P$83)/SUMPRODUCT(('Control Mapping'!$C$5:$C$83=D200)*'Control Mapping'!$E$5:$E$83*('Control Mapping'!$P$5:$P$83&gt;0)),""))</f>
        <v>2.28571428571429</v>
      </c>
      <c r="M200" s="34" t="n">
        <f aca="false">IF(NOT(ISNUMBER($G200)),"",IF(J200=0,4,MAX(MATCH(L200,'Residual Config'!$E$11:$E$14,1),IF(K200&gt;0,'Residual Config'!$C$7,1))))</f>
        <v>3</v>
      </c>
      <c r="N200" s="7" t="str">
        <f aca="false">IF(NOT(ISNUMBER($G200)),"",IF(J200=0,"Ineffective (no key control)",INDEX('Residual Config'!$B$11:$B$14,M200)))</f>
        <v>Partially effective</v>
      </c>
      <c r="O200" s="36" t="n">
        <f aca="false">IF(NOT(ISNUMBER($G200)),"",IF(J200=0,0,SUMPRODUCT(('Control Mapping'!$C$5:$C$83=D200)*'Control Mapping'!$E$5:$E$83*(('Control Mapping'!$P$5:$P$83=1)*'Residual Config'!$D$11+('Control Mapping'!$P$5:$P$83=2)*'Residual Config'!$D$12+('Control Mapping'!$P$5:$P$83=3)*'Residual Config'!$D$13+('Control Mapping'!$P$5:$P$83=4)*'Residual Config'!$D$14))/SUMPRODUCT(('Control Mapping'!$C$5:$C$83=D200)*'Control Mapping'!$E$5:$E$83*('Control Mapping'!$P$5:$P$83&gt;0))))</f>
        <v>0.342857142857143</v>
      </c>
      <c r="P200" s="31" t="n">
        <f aca="false">IF(NOT(ISNUMBER($G200)),"",INDEX('Residual Config'!$B$19:$E$23,6-G200,M200))</f>
        <v>3</v>
      </c>
      <c r="Q200" s="29" t="n">
        <f aca="false">IF(NOT(ISNUMBER($G200)),"",MAX(1,F200*(1-O200)))</f>
        <v>1.97142857142857</v>
      </c>
      <c r="R200" s="31" t="n">
        <f aca="false">IF(NOT(ISNUMBER($G200)),"",MAX(MATCH(Q200,Config!$D$5:$D$9,1),G200-'Residual Config'!$C$6))</f>
        <v>2</v>
      </c>
      <c r="S200" s="34" t="n">
        <f aca="false">IF(NOT(ISNUMBER($G200)),"",IF('Residual Config'!$C$5="Numeric",R200,P200))</f>
        <v>3</v>
      </c>
      <c r="T200" s="7" t="str">
        <f aca="false">IF(G200="N/A","N/A",IF(S200="","No data",INDEX(Config!$B$5:$B$9,S200)))</f>
        <v>Medium</v>
      </c>
      <c r="U200" s="32" t="n">
        <v>0</v>
      </c>
      <c r="V200" s="8"/>
      <c r="W200" s="33"/>
      <c r="X200" s="34" t="n">
        <f aca="false">IF(S200="","",IF(AND(W200="Y",U200&lt;&gt;0),MAX(1,MIN(5,S200+MAX(-Config!$C$27,MIN(Config!$C$27,U200)))),S200))</f>
        <v>3</v>
      </c>
      <c r="Y200" s="35" t="str">
        <f aca="false">IF(G200="N/A","N/A",IF(X200="","No data",INDEX(Config!$B$5:$B$9,X200)))</f>
        <v>Medium</v>
      </c>
      <c r="Z200" s="7" t="str">
        <f aca="false">IF(U200=0,"None",IF(W200="Y","Applied","Pending HO approval"))</f>
        <v>None</v>
      </c>
      <c r="AA200" s="12" t="str">
        <f aca="false">INDEX('Risk Taxonomy'!$G$5:$G$24,MATCH(D200,'Risk Taxonomy'!$A$5:$A$24,0))</f>
        <v>Very low</v>
      </c>
      <c r="AB200" s="7" t="str">
        <f aca="false">INDEX('Risk Taxonomy'!$H$5:$H$24,MATCH(D200,'Risk Taxonomy'!$A$5:$A$24,0))</f>
        <v>Medium-Low</v>
      </c>
      <c r="AC200" s="35" t="str">
        <f aca="false">IF(NOT(ISNUMBER(X200)),"",IF(X200&lt;=MATCH(AB200,Config!$B$5:$B$9,0),"Within",IF(OR(X200-MATCH(AB200,Config!$B$5:$B$9,0)&gt;=2,AND('Residual Config'!$C$8="Y",ISNUMBER(SEARCH("Zero",AA200)))),"Red","Amber")))</f>
        <v>Amber</v>
      </c>
      <c r="AD200" s="12" t="str">
        <f aca="false">IF(AC200="Red","Group CCO / CRO and Country CEO within 2 business days; action plan in 15 days; report to Board Risk &amp; Compliance Committee",IF(AC200="Amber","Country CO, risk owner and HO Administrator within 5 business days; action plan in 30 days",""))</f>
        <v>Country CO, risk owner and HO Administrator within 5 business days; action plan in 30 days</v>
      </c>
    </row>
    <row r="201" customFormat="false" ht="15" hidden="false" customHeight="false" outlineLevel="0" collapsed="false">
      <c r="A201" s="26" t="str">
        <f aca="false">Entities!$A$14</f>
        <v>AE</v>
      </c>
      <c r="B201" s="12" t="str">
        <f aca="false">INDEX(Entities!$B$5:$B$34,MATCH(A201,Entities!$A$5:$A$34,0))</f>
        <v>Arab Bank – UAE</v>
      </c>
      <c r="C201" s="12" t="str">
        <f aca="false">INDEX(Entities!$D$5:$D$34,MATCH(A201,Entities!$A$5:$A$34,0))</f>
        <v>GCC</v>
      </c>
      <c r="D201" s="12" t="s">
        <v>313</v>
      </c>
      <c r="E201" s="12" t="str">
        <f aca="false">INDEX('Risk Taxonomy'!$B$5:$B$24,MATCH(D201,'Risk Taxonomy'!$A$5:$A$24,0))</f>
        <v>Third-party and outsourcing</v>
      </c>
      <c r="F201" s="29" t="n">
        <f aca="false">IF(NOT(ISNUMBER(G201)),"",G201)</f>
        <v>4</v>
      </c>
      <c r="G201" s="34" t="n">
        <f aca="false">IF(COUNTIFS('LxI Assessment'!$A$5:$A$394,A201,'LxI Assessment'!$D$5:$D$394,D201,'LxI Assessment'!$F$5:$F$394,"N/A")&gt;0,"N/A",IF(COUNTIFS('LxI Assessment'!$A$5:$A$394,A201,'LxI Assessment'!$D$5:$D$394,D201,'LxI Assessment'!$S$5:$S$394,"&gt;0")=0,"",SUMIFS('LxI Assessment'!$S$5:$S$394,'LxI Assessment'!$A$5:$A$394,A201,'LxI Assessment'!$D$5:$D$394,D201)))</f>
        <v>4</v>
      </c>
      <c r="H201" s="7" t="str">
        <f aca="false">IF(G201="N/A","N/A",IF(G201="","No data",INDEX(Config!$B$5:$B$9,G201)))</f>
        <v>Medium-High</v>
      </c>
      <c r="I201" s="31" t="n">
        <f aca="false">IF(NOT(ISNUMBER($G201)),"",SUMPRODUCT(('Control Mapping'!$C$5:$C$83=D201)*('Control Mapping'!$P$5:$P$83&gt;0)))</f>
        <v>2</v>
      </c>
      <c r="J201" s="31" t="n">
        <f aca="false">IF(NOT(ISNUMBER($G201)),"",SUMPRODUCT(('Control Mapping'!$C$5:$C$83=D201)*('Control Mapping'!$F$5:$F$83="Y")*('Control Mapping'!$P$5:$P$83&gt;0)))</f>
        <v>2</v>
      </c>
      <c r="K201" s="31" t="n">
        <f aca="false">IF(NOT(ISNUMBER($G201)),"",SUMPRODUCT(('Control Mapping'!$C$5:$C$83=D201)*('Control Mapping'!$F$5:$F$83="Y")*('Control Mapping'!$P$5:$P$83=4)))</f>
        <v>1</v>
      </c>
      <c r="L201" s="29" t="n">
        <f aca="false">IF(NOT(ISNUMBER($G201)),"",IFERROR(SUMPRODUCT(('Control Mapping'!$C$5:$C$83=D201)*'Control Mapping'!$E$5:$E$83*'Control Mapping'!$P$5:$P$83)/SUMPRODUCT(('Control Mapping'!$C$5:$C$83=D201)*'Control Mapping'!$E$5:$E$83*('Control Mapping'!$P$5:$P$83&gt;0)),""))</f>
        <v>2.5</v>
      </c>
      <c r="M201" s="34" t="n">
        <f aca="false">IF(NOT(ISNUMBER($G201)),"",IF(J201=0,4,MAX(MATCH(L201,'Residual Config'!$E$11:$E$14,1),IF(K201&gt;0,'Residual Config'!$C$7,1))))</f>
        <v>3</v>
      </c>
      <c r="N201" s="7" t="str">
        <f aca="false">IF(NOT(ISNUMBER($G201)),"",IF(J201=0,"Ineffective (no key control)",INDEX('Residual Config'!$B$11:$B$14,M201)))</f>
        <v>Partially effective</v>
      </c>
      <c r="O201" s="36" t="n">
        <f aca="false">IF(NOT(ISNUMBER($G201)),"",IF(J201=0,0,SUMPRODUCT(('Control Mapping'!$C$5:$C$83=D201)*'Control Mapping'!$E$5:$E$83*(('Control Mapping'!$P$5:$P$83=1)*'Residual Config'!$D$11+('Control Mapping'!$P$5:$P$83=2)*'Residual Config'!$D$12+('Control Mapping'!$P$5:$P$83=3)*'Residual Config'!$D$13+('Control Mapping'!$P$5:$P$83=4)*'Residual Config'!$D$14))/SUMPRODUCT(('Control Mapping'!$C$5:$C$83=D201)*'Control Mapping'!$E$5:$E$83*('Control Mapping'!$P$5:$P$83&gt;0))))</f>
        <v>0.3</v>
      </c>
      <c r="P201" s="31" t="n">
        <f aca="false">IF(NOT(ISNUMBER($G201)),"",INDEX('Residual Config'!$B$19:$E$23,6-G201,M201))</f>
        <v>4</v>
      </c>
      <c r="Q201" s="29" t="n">
        <f aca="false">IF(NOT(ISNUMBER($G201)),"",MAX(1,F201*(1-O201)))</f>
        <v>2.8</v>
      </c>
      <c r="R201" s="31" t="n">
        <f aca="false">IF(NOT(ISNUMBER($G201)),"",MAX(MATCH(Q201,Config!$D$5:$D$9,1),G201-'Residual Config'!$C$6))</f>
        <v>3</v>
      </c>
      <c r="S201" s="34" t="n">
        <f aca="false">IF(NOT(ISNUMBER($G201)),"",IF('Residual Config'!$C$5="Numeric",R201,P201))</f>
        <v>4</v>
      </c>
      <c r="T201" s="7" t="str">
        <f aca="false">IF(G201="N/A","N/A",IF(S201="","No data",INDEX(Config!$B$5:$B$9,S201)))</f>
        <v>Medium-High</v>
      </c>
      <c r="U201" s="32" t="n">
        <v>0</v>
      </c>
      <c r="V201" s="8"/>
      <c r="W201" s="33"/>
      <c r="X201" s="34" t="n">
        <f aca="false">IF(S201="","",IF(AND(W201="Y",U201&lt;&gt;0),MAX(1,MIN(5,S201+MAX(-Config!$C$27,MIN(Config!$C$27,U201)))),S201))</f>
        <v>4</v>
      </c>
      <c r="Y201" s="35" t="str">
        <f aca="false">IF(G201="N/A","N/A",IF(X201="","No data",INDEX(Config!$B$5:$B$9,X201)))</f>
        <v>Medium-High</v>
      </c>
      <c r="Z201" s="7" t="str">
        <f aca="false">IF(U201=0,"None",IF(W201="Y","Applied","Pending HO approval"))</f>
        <v>None</v>
      </c>
      <c r="AA201" s="12" t="str">
        <f aca="false">INDEX('Risk Taxonomy'!$G$5:$G$24,MATCH(D201,'Risk Taxonomy'!$A$5:$A$24,0))</f>
        <v>Low</v>
      </c>
      <c r="AB201" s="7" t="str">
        <f aca="false">INDEX('Risk Taxonomy'!$H$5:$H$24,MATCH(D201,'Risk Taxonomy'!$A$5:$A$24,0))</f>
        <v>Medium</v>
      </c>
      <c r="AC201" s="35" t="str">
        <f aca="false">IF(NOT(ISNUMBER(X201)),"",IF(X201&lt;=MATCH(AB201,Config!$B$5:$B$9,0),"Within",IF(OR(X201-MATCH(AB201,Config!$B$5:$B$9,0)&gt;=2,AND('Residual Config'!$C$8="Y",ISNUMBER(SEARCH("Zero",AA201)))),"Red","Amber")))</f>
        <v>Amber</v>
      </c>
      <c r="AD201" s="12" t="str">
        <f aca="false">IF(AC201="Red","Group CCO / CRO and Country CEO within 2 business days; action plan in 15 days; report to Board Risk &amp; Compliance Committee",IF(AC201="Amber","Country CO, risk owner and HO Administrator within 5 business days; action plan in 30 days",""))</f>
        <v>Country CO, risk owner and HO Administrator within 5 business days; action plan in 30 days</v>
      </c>
    </row>
    <row r="202" customFormat="false" ht="15" hidden="false" customHeight="false" outlineLevel="0" collapsed="false">
      <c r="A202" s="26" t="str">
        <f aca="false">Entities!$A$14</f>
        <v>AE</v>
      </c>
      <c r="B202" s="12" t="str">
        <f aca="false">INDEX(Entities!$B$5:$B$34,MATCH(A202,Entities!$A$5:$A$34,0))</f>
        <v>Arab Bank – UAE</v>
      </c>
      <c r="C202" s="12" t="str">
        <f aca="false">INDEX(Entities!$D$5:$D$34,MATCH(A202,Entities!$A$5:$A$34,0))</f>
        <v>GCC</v>
      </c>
      <c r="D202" s="12" t="s">
        <v>316</v>
      </c>
      <c r="E202" s="12" t="str">
        <f aca="false">INDEX('Risk Taxonomy'!$B$5:$B$24,MATCH(D202,'Risk Taxonomy'!$A$5:$A$24,0))</f>
        <v>Legal and litigation</v>
      </c>
      <c r="F202" s="29" t="n">
        <f aca="false">IF(NOT(ISNUMBER(G202)),"",G202)</f>
        <v>2</v>
      </c>
      <c r="G202" s="34" t="n">
        <f aca="false">IF(COUNTIFS('LxI Assessment'!$A$5:$A$394,A202,'LxI Assessment'!$D$5:$D$394,D202,'LxI Assessment'!$F$5:$F$394,"N/A")&gt;0,"N/A",IF(COUNTIFS('LxI Assessment'!$A$5:$A$394,A202,'LxI Assessment'!$D$5:$D$394,D202,'LxI Assessment'!$S$5:$S$394,"&gt;0")=0,"",SUMIFS('LxI Assessment'!$S$5:$S$394,'LxI Assessment'!$A$5:$A$394,A202,'LxI Assessment'!$D$5:$D$394,D202)))</f>
        <v>2</v>
      </c>
      <c r="H202" s="7" t="str">
        <f aca="false">IF(G202="N/A","N/A",IF(G202="","No data",INDEX(Config!$B$5:$B$9,G202)))</f>
        <v>Medium-Low</v>
      </c>
      <c r="I202" s="31" t="n">
        <f aca="false">IF(NOT(ISNUMBER($G202)),"",SUMPRODUCT(('Control Mapping'!$C$5:$C$83=D202)*('Control Mapping'!$P$5:$P$83&gt;0)))</f>
        <v>1</v>
      </c>
      <c r="J202" s="31" t="n">
        <f aca="false">IF(NOT(ISNUMBER($G202)),"",SUMPRODUCT(('Control Mapping'!$C$5:$C$83=D202)*('Control Mapping'!$F$5:$F$83="Y")*('Control Mapping'!$P$5:$P$83&gt;0)))</f>
        <v>1</v>
      </c>
      <c r="K202" s="31" t="n">
        <f aca="false">IF(NOT(ISNUMBER($G202)),"",SUMPRODUCT(('Control Mapping'!$C$5:$C$83=D202)*('Control Mapping'!$F$5:$F$83="Y")*('Control Mapping'!$P$5:$P$83=4)))</f>
        <v>0</v>
      </c>
      <c r="L202" s="29" t="n">
        <f aca="false">IF(NOT(ISNUMBER($G202)),"",IFERROR(SUMPRODUCT(('Control Mapping'!$C$5:$C$83=D202)*'Control Mapping'!$E$5:$E$83*'Control Mapping'!$P$5:$P$83)/SUMPRODUCT(('Control Mapping'!$C$5:$C$83=D202)*'Control Mapping'!$E$5:$E$83*('Control Mapping'!$P$5:$P$83&gt;0)),""))</f>
        <v>3</v>
      </c>
      <c r="M202" s="34" t="n">
        <f aca="false">IF(NOT(ISNUMBER($G202)),"",IF(J202=0,4,MAX(MATCH(L202,'Residual Config'!$E$11:$E$14,1),IF(K202&gt;0,'Residual Config'!$C$7,1))))</f>
        <v>3</v>
      </c>
      <c r="N202" s="7" t="str">
        <f aca="false">IF(NOT(ISNUMBER($G202)),"",IF(J202=0,"Ineffective (no key control)",INDEX('Residual Config'!$B$11:$B$14,M202)))</f>
        <v>Partially effective</v>
      </c>
      <c r="O202" s="36" t="n">
        <f aca="false">IF(NOT(ISNUMBER($G202)),"",IF(J202=0,0,SUMPRODUCT(('Control Mapping'!$C$5:$C$83=D202)*'Control Mapping'!$E$5:$E$83*(('Control Mapping'!$P$5:$P$83=1)*'Residual Config'!$D$11+('Control Mapping'!$P$5:$P$83=2)*'Residual Config'!$D$12+('Control Mapping'!$P$5:$P$83=3)*'Residual Config'!$D$13+('Control Mapping'!$P$5:$P$83=4)*'Residual Config'!$D$14))/SUMPRODUCT(('Control Mapping'!$C$5:$C$83=D202)*'Control Mapping'!$E$5:$E$83*('Control Mapping'!$P$5:$P$83&gt;0))))</f>
        <v>0.2</v>
      </c>
      <c r="P202" s="31" t="n">
        <f aca="false">IF(NOT(ISNUMBER($G202)),"",INDEX('Residual Config'!$B$19:$E$23,6-G202,M202))</f>
        <v>2</v>
      </c>
      <c r="Q202" s="29" t="n">
        <f aca="false">IF(NOT(ISNUMBER($G202)),"",MAX(1,F202*(1-O202)))</f>
        <v>1.6</v>
      </c>
      <c r="R202" s="31" t="n">
        <f aca="false">IF(NOT(ISNUMBER($G202)),"",MAX(MATCH(Q202,Config!$D$5:$D$9,1),G202-'Residual Config'!$C$6))</f>
        <v>1</v>
      </c>
      <c r="S202" s="34" t="n">
        <f aca="false">IF(NOT(ISNUMBER($G202)),"",IF('Residual Config'!$C$5="Numeric",R202,P202))</f>
        <v>2</v>
      </c>
      <c r="T202" s="7" t="str">
        <f aca="false">IF(G202="N/A","N/A",IF(S202="","No data",INDEX(Config!$B$5:$B$9,S202)))</f>
        <v>Medium-Low</v>
      </c>
      <c r="U202" s="32" t="n">
        <v>0</v>
      </c>
      <c r="V202" s="8"/>
      <c r="W202" s="33"/>
      <c r="X202" s="34" t="n">
        <f aca="false">IF(S202="","",IF(AND(W202="Y",U202&lt;&gt;0),MAX(1,MIN(5,S202+MAX(-Config!$C$27,MIN(Config!$C$27,U202)))),S202))</f>
        <v>2</v>
      </c>
      <c r="Y202" s="35" t="str">
        <f aca="false">IF(G202="N/A","N/A",IF(X202="","No data",INDEX(Config!$B$5:$B$9,X202)))</f>
        <v>Medium-Low</v>
      </c>
      <c r="Z202" s="7" t="str">
        <f aca="false">IF(U202=0,"None",IF(W202="Y","Applied","Pending HO approval"))</f>
        <v>None</v>
      </c>
      <c r="AA202" s="12" t="str">
        <f aca="false">INDEX('Risk Taxonomy'!$G$5:$G$24,MATCH(D202,'Risk Taxonomy'!$A$5:$A$24,0))</f>
        <v>Very low</v>
      </c>
      <c r="AB202" s="7" t="str">
        <f aca="false">INDEX('Risk Taxonomy'!$H$5:$H$24,MATCH(D202,'Risk Taxonomy'!$A$5:$A$24,0))</f>
        <v>Medium-Low</v>
      </c>
      <c r="AC202" s="35" t="str">
        <f aca="false">IF(NOT(ISNUMBER(X202)),"",IF(X202&lt;=MATCH(AB202,Config!$B$5:$B$9,0),"Within",IF(OR(X202-MATCH(AB202,Config!$B$5:$B$9,0)&gt;=2,AND('Residual Config'!$C$8="Y",ISNUMBER(SEARCH("Zero",AA202)))),"Red","Amber")))</f>
        <v>Within</v>
      </c>
      <c r="AD202" s="12" t="str">
        <f aca="false">IF(AC202="Red","Group CCO / CRO and Country CEO within 2 business days; action plan in 15 days; report to Board Risk &amp; Compliance Committee",IF(AC202="Amber","Country CO, risk owner and HO Administrator within 5 business days; action plan in 30 days",""))</f>
        <v/>
      </c>
    </row>
    <row r="203" customFormat="false" ht="15" hidden="false" customHeight="false" outlineLevel="0" collapsed="false">
      <c r="A203" s="26" t="str">
        <f aca="false">Entities!$A$14</f>
        <v>AE</v>
      </c>
      <c r="B203" s="12" t="str">
        <f aca="false">INDEX(Entities!$B$5:$B$34,MATCH(A203,Entities!$A$5:$A$34,0))</f>
        <v>Arab Bank – UAE</v>
      </c>
      <c r="C203" s="12" t="str">
        <f aca="false">INDEX(Entities!$D$5:$D$34,MATCH(A203,Entities!$A$5:$A$34,0))</f>
        <v>GCC</v>
      </c>
      <c r="D203" s="12" t="s">
        <v>319</v>
      </c>
      <c r="E203" s="12" t="str">
        <f aca="false">INDEX('Risk Taxonomy'!$B$5:$B$24,MATCH(D203,'Risk Taxonomy'!$A$5:$A$24,0))</f>
        <v>Reputational</v>
      </c>
      <c r="F203" s="29" t="n">
        <f aca="false">IF(NOT(ISNUMBER(G203)),"",G203)</f>
        <v>3</v>
      </c>
      <c r="G203" s="34" t="n">
        <f aca="false">IF(COUNTIFS('LxI Assessment'!$A$5:$A$394,A203,'LxI Assessment'!$D$5:$D$394,D203,'LxI Assessment'!$F$5:$F$394,"N/A")&gt;0,"N/A",IF(COUNTIFS('LxI Assessment'!$A$5:$A$394,A203,'LxI Assessment'!$D$5:$D$394,D203,'LxI Assessment'!$S$5:$S$394,"&gt;0")=0,"",SUMIFS('LxI Assessment'!$S$5:$S$394,'LxI Assessment'!$A$5:$A$394,A203,'LxI Assessment'!$D$5:$D$394,D203)))</f>
        <v>3</v>
      </c>
      <c r="H203" s="7" t="str">
        <f aca="false">IF(G203="N/A","N/A",IF(G203="","No data",INDEX(Config!$B$5:$B$9,G203)))</f>
        <v>Medium</v>
      </c>
      <c r="I203" s="31" t="n">
        <f aca="false">IF(NOT(ISNUMBER($G203)),"",SUMPRODUCT(('Control Mapping'!$C$5:$C$83=D203)*('Control Mapping'!$P$5:$P$83&gt;0)))</f>
        <v>2</v>
      </c>
      <c r="J203" s="31" t="n">
        <f aca="false">IF(NOT(ISNUMBER($G203)),"",SUMPRODUCT(('Control Mapping'!$C$5:$C$83=D203)*('Control Mapping'!$F$5:$F$83="Y")*('Control Mapping'!$P$5:$P$83&gt;0)))</f>
        <v>1</v>
      </c>
      <c r="K203" s="31" t="n">
        <f aca="false">IF(NOT(ISNUMBER($G203)),"",SUMPRODUCT(('Control Mapping'!$C$5:$C$83=D203)*('Control Mapping'!$F$5:$F$83="Y")*('Control Mapping'!$P$5:$P$83=4)))</f>
        <v>0</v>
      </c>
      <c r="L203" s="29" t="n">
        <f aca="false">IF(NOT(ISNUMBER($G203)),"",IFERROR(SUMPRODUCT(('Control Mapping'!$C$5:$C$83=D203)*'Control Mapping'!$E$5:$E$83*'Control Mapping'!$P$5:$P$83)/SUMPRODUCT(('Control Mapping'!$C$5:$C$83=D203)*'Control Mapping'!$E$5:$E$83*('Control Mapping'!$P$5:$P$83&gt;0)),""))</f>
        <v>1.66666666666667</v>
      </c>
      <c r="M203" s="34" t="n">
        <f aca="false">IF(NOT(ISNUMBER($G203)),"",IF(J203=0,4,MAX(MATCH(L203,'Residual Config'!$E$11:$E$14,1),IF(K203&gt;0,'Residual Config'!$C$7,1))))</f>
        <v>2</v>
      </c>
      <c r="N203" s="7" t="str">
        <f aca="false">IF(NOT(ISNUMBER($G203)),"",IF(J203=0,"Ineffective (no key control)",INDEX('Residual Config'!$B$11:$B$14,M203)))</f>
        <v>Largely effective</v>
      </c>
      <c r="O203" s="36" t="n">
        <f aca="false">IF(NOT(ISNUMBER($G203)),"",IF(J203=0,0,SUMPRODUCT(('Control Mapping'!$C$5:$C$83=D203)*'Control Mapping'!$E$5:$E$83*(('Control Mapping'!$P$5:$P$83=1)*'Residual Config'!$D$11+('Control Mapping'!$P$5:$P$83=2)*'Residual Config'!$D$12+('Control Mapping'!$P$5:$P$83=3)*'Residual Config'!$D$13+('Control Mapping'!$P$5:$P$83=4)*'Residual Config'!$D$14))/SUMPRODUCT(('Control Mapping'!$C$5:$C$83=D203)*'Control Mapping'!$E$5:$E$83*('Control Mapping'!$P$5:$P$83&gt;0))))</f>
        <v>0.466666666666667</v>
      </c>
      <c r="P203" s="31" t="n">
        <f aca="false">IF(NOT(ISNUMBER($G203)),"",INDEX('Residual Config'!$B$19:$E$23,6-G203,M203))</f>
        <v>2</v>
      </c>
      <c r="Q203" s="29" t="n">
        <f aca="false">IF(NOT(ISNUMBER($G203)),"",MAX(1,F203*(1-O203)))</f>
        <v>1.6</v>
      </c>
      <c r="R203" s="31" t="n">
        <f aca="false">IF(NOT(ISNUMBER($G203)),"",MAX(MATCH(Q203,Config!$D$5:$D$9,1),G203-'Residual Config'!$C$6))</f>
        <v>1</v>
      </c>
      <c r="S203" s="34" t="n">
        <f aca="false">IF(NOT(ISNUMBER($G203)),"",IF('Residual Config'!$C$5="Numeric",R203,P203))</f>
        <v>2</v>
      </c>
      <c r="T203" s="7" t="str">
        <f aca="false">IF(G203="N/A","N/A",IF(S203="","No data",INDEX(Config!$B$5:$B$9,S203)))</f>
        <v>Medium-Low</v>
      </c>
      <c r="U203" s="32" t="n">
        <v>0</v>
      </c>
      <c r="V203" s="8"/>
      <c r="W203" s="33"/>
      <c r="X203" s="34" t="n">
        <f aca="false">IF(S203="","",IF(AND(W203="Y",U203&lt;&gt;0),MAX(1,MIN(5,S203+MAX(-Config!$C$27,MIN(Config!$C$27,U203)))),S203))</f>
        <v>2</v>
      </c>
      <c r="Y203" s="35" t="str">
        <f aca="false">IF(G203="N/A","N/A",IF(X203="","No data",INDEX(Config!$B$5:$B$9,X203)))</f>
        <v>Medium-Low</v>
      </c>
      <c r="Z203" s="7" t="str">
        <f aca="false">IF(U203=0,"None",IF(W203="Y","Applied","Pending HO approval"))</f>
        <v>None</v>
      </c>
      <c r="AA203" s="12" t="str">
        <f aca="false">INDEX('Risk Taxonomy'!$G$5:$G$24,MATCH(D203,'Risk Taxonomy'!$A$5:$A$24,0))</f>
        <v>Low</v>
      </c>
      <c r="AB203" s="7" t="str">
        <f aca="false">INDEX('Risk Taxonomy'!$H$5:$H$24,MATCH(D203,'Risk Taxonomy'!$A$5:$A$24,0))</f>
        <v>Medium</v>
      </c>
      <c r="AC203" s="35" t="str">
        <f aca="false">IF(NOT(ISNUMBER(X203)),"",IF(X203&lt;=MATCH(AB203,Config!$B$5:$B$9,0),"Within",IF(OR(X203-MATCH(AB203,Config!$B$5:$B$9,0)&gt;=2,AND('Residual Config'!$C$8="Y",ISNUMBER(SEARCH("Zero",AA203)))),"Red","Amber")))</f>
        <v>Within</v>
      </c>
      <c r="AD203" s="12" t="str">
        <f aca="false">IF(AC203="Red","Group CCO / CRO and Country CEO within 2 business days; action plan in 15 days; report to Board Risk &amp; Compliance Committee",IF(AC203="Amber","Country CO, risk owner and HO Administrator within 5 business days; action plan in 30 days",""))</f>
        <v/>
      </c>
    </row>
    <row r="204" customFormat="false" ht="15" hidden="false" customHeight="false" outlineLevel="0" collapsed="false">
      <c r="A204" s="26" t="str">
        <f aca="false">Entities!$A$14</f>
        <v>AE</v>
      </c>
      <c r="B204" s="12" t="str">
        <f aca="false">INDEX(Entities!$B$5:$B$34,MATCH(A204,Entities!$A$5:$A$34,0))</f>
        <v>Arab Bank – UAE</v>
      </c>
      <c r="C204" s="12" t="str">
        <f aca="false">INDEX(Entities!$D$5:$D$34,MATCH(A204,Entities!$A$5:$A$34,0))</f>
        <v>GCC</v>
      </c>
      <c r="D204" s="12" t="s">
        <v>322</v>
      </c>
      <c r="E204" s="12" t="str">
        <f aca="false">INDEX('Risk Taxonomy'!$B$5:$B$24,MATCH(D204,'Risk Taxonomy'!$A$5:$A$24,0))</f>
        <v>Strategic, business model and ESG</v>
      </c>
      <c r="F204" s="29" t="n">
        <f aca="false">IF(NOT(ISNUMBER(G204)),"",G204)</f>
        <v>2</v>
      </c>
      <c r="G204" s="34" t="n">
        <f aca="false">IF(COUNTIFS('LxI Assessment'!$A$5:$A$394,A204,'LxI Assessment'!$D$5:$D$394,D204,'LxI Assessment'!$F$5:$F$394,"N/A")&gt;0,"N/A",IF(COUNTIFS('LxI Assessment'!$A$5:$A$394,A204,'LxI Assessment'!$D$5:$D$394,D204,'LxI Assessment'!$S$5:$S$394,"&gt;0")=0,"",SUMIFS('LxI Assessment'!$S$5:$S$394,'LxI Assessment'!$A$5:$A$394,A204,'LxI Assessment'!$D$5:$D$394,D204)))</f>
        <v>2</v>
      </c>
      <c r="H204" s="7" t="str">
        <f aca="false">IF(G204="N/A","N/A",IF(G204="","No data",INDEX(Config!$B$5:$B$9,G204)))</f>
        <v>Medium-Low</v>
      </c>
      <c r="I204" s="31" t="n">
        <f aca="false">IF(NOT(ISNUMBER($G204)),"",SUMPRODUCT(('Control Mapping'!$C$5:$C$83=D204)*('Control Mapping'!$P$5:$P$83&gt;0)))</f>
        <v>1</v>
      </c>
      <c r="J204" s="31" t="n">
        <f aca="false">IF(NOT(ISNUMBER($G204)),"",SUMPRODUCT(('Control Mapping'!$C$5:$C$83=D204)*('Control Mapping'!$F$5:$F$83="Y")*('Control Mapping'!$P$5:$P$83&gt;0)))</f>
        <v>1</v>
      </c>
      <c r="K204" s="31" t="n">
        <f aca="false">IF(NOT(ISNUMBER($G204)),"",SUMPRODUCT(('Control Mapping'!$C$5:$C$83=D204)*('Control Mapping'!$F$5:$F$83="Y")*('Control Mapping'!$P$5:$P$83=4)))</f>
        <v>0</v>
      </c>
      <c r="L204" s="29" t="n">
        <f aca="false">IF(NOT(ISNUMBER($G204)),"",IFERROR(SUMPRODUCT(('Control Mapping'!$C$5:$C$83=D204)*'Control Mapping'!$E$5:$E$83*'Control Mapping'!$P$5:$P$83)/SUMPRODUCT(('Control Mapping'!$C$5:$C$83=D204)*'Control Mapping'!$E$5:$E$83*('Control Mapping'!$P$5:$P$83&gt;0)),""))</f>
        <v>2</v>
      </c>
      <c r="M204" s="34" t="n">
        <f aca="false">IF(NOT(ISNUMBER($G204)),"",IF(J204=0,4,MAX(MATCH(L204,'Residual Config'!$E$11:$E$14,1),IF(K204&gt;0,'Residual Config'!$C$7,1))))</f>
        <v>2</v>
      </c>
      <c r="N204" s="7" t="str">
        <f aca="false">IF(NOT(ISNUMBER($G204)),"",IF(J204=0,"Ineffective (no key control)",INDEX('Residual Config'!$B$11:$B$14,M204)))</f>
        <v>Largely effective</v>
      </c>
      <c r="O204" s="36" t="n">
        <f aca="false">IF(NOT(ISNUMBER($G204)),"",IF(J204=0,0,SUMPRODUCT(('Control Mapping'!$C$5:$C$83=D204)*'Control Mapping'!$E$5:$E$83*(('Control Mapping'!$P$5:$P$83=1)*'Residual Config'!$D$11+('Control Mapping'!$P$5:$P$83=2)*'Residual Config'!$D$12+('Control Mapping'!$P$5:$P$83=3)*'Residual Config'!$D$13+('Control Mapping'!$P$5:$P$83=4)*'Residual Config'!$D$14))/SUMPRODUCT(('Control Mapping'!$C$5:$C$83=D204)*'Control Mapping'!$E$5:$E$83*('Control Mapping'!$P$5:$P$83&gt;0))))</f>
        <v>0.4</v>
      </c>
      <c r="P204" s="31" t="n">
        <f aca="false">IF(NOT(ISNUMBER($G204)),"",INDEX('Residual Config'!$B$19:$E$23,6-G204,M204))</f>
        <v>1</v>
      </c>
      <c r="Q204" s="29" t="n">
        <f aca="false">IF(NOT(ISNUMBER($G204)),"",MAX(1,F204*(1-O204)))</f>
        <v>1.2</v>
      </c>
      <c r="R204" s="31" t="n">
        <f aca="false">IF(NOT(ISNUMBER($G204)),"",MAX(MATCH(Q204,Config!$D$5:$D$9,1),G204-'Residual Config'!$C$6))</f>
        <v>1</v>
      </c>
      <c r="S204" s="34" t="n">
        <f aca="false">IF(NOT(ISNUMBER($G204)),"",IF('Residual Config'!$C$5="Numeric",R204,P204))</f>
        <v>1</v>
      </c>
      <c r="T204" s="7" t="str">
        <f aca="false">IF(G204="N/A","N/A",IF(S204="","No data",INDEX(Config!$B$5:$B$9,S204)))</f>
        <v>Low</v>
      </c>
      <c r="U204" s="32" t="n">
        <v>0</v>
      </c>
      <c r="V204" s="8"/>
      <c r="W204" s="33"/>
      <c r="X204" s="34" t="n">
        <f aca="false">IF(S204="","",IF(AND(W204="Y",U204&lt;&gt;0),MAX(1,MIN(5,S204+MAX(-Config!$C$27,MIN(Config!$C$27,U204)))),S204))</f>
        <v>1</v>
      </c>
      <c r="Y204" s="35" t="str">
        <f aca="false">IF(G204="N/A","N/A",IF(X204="","No data",INDEX(Config!$B$5:$B$9,X204)))</f>
        <v>Low</v>
      </c>
      <c r="Z204" s="7" t="str">
        <f aca="false">IF(U204=0,"None",IF(W204="Y","Applied","Pending HO approval"))</f>
        <v>None</v>
      </c>
      <c r="AA204" s="12" t="str">
        <f aca="false">INDEX('Risk Taxonomy'!$G$5:$G$24,MATCH(D204,'Risk Taxonomy'!$A$5:$A$24,0))</f>
        <v>Moderate</v>
      </c>
      <c r="AB204" s="7" t="str">
        <f aca="false">INDEX('Risk Taxonomy'!$H$5:$H$24,MATCH(D204,'Risk Taxonomy'!$A$5:$A$24,0))</f>
        <v>Medium-High</v>
      </c>
      <c r="AC204" s="35" t="str">
        <f aca="false">IF(NOT(ISNUMBER(X204)),"",IF(X204&lt;=MATCH(AB204,Config!$B$5:$B$9,0),"Within",IF(OR(X204-MATCH(AB204,Config!$B$5:$B$9,0)&gt;=2,AND('Residual Config'!$C$8="Y",ISNUMBER(SEARCH("Zero",AA204)))),"Red","Amber")))</f>
        <v>Within</v>
      </c>
      <c r="AD204" s="12" t="str">
        <f aca="false">IF(AC204="Red","Group CCO / CRO and Country CEO within 2 business days; action plan in 15 days; report to Board Risk &amp; Compliance Committee",IF(AC204="Amber","Country CO, risk owner and HO Administrator within 5 business days; action plan in 30 days",""))</f>
        <v/>
      </c>
    </row>
    <row r="205" customFormat="false" ht="15" hidden="false" customHeight="false" outlineLevel="0" collapsed="false">
      <c r="A205" s="26" t="str">
        <f aca="false">Entities!$A$15</f>
        <v>BH</v>
      </c>
      <c r="B205" s="12" t="str">
        <f aca="false">INDEX(Entities!$B$5:$B$34,MATCH(A205,Entities!$A$5:$A$34,0))</f>
        <v>Arab Bank – Bahrain</v>
      </c>
      <c r="C205" s="12" t="str">
        <f aca="false">INDEX(Entities!$D$5:$D$34,MATCH(A205,Entities!$A$5:$A$34,0))</f>
        <v>GCC</v>
      </c>
      <c r="D205" s="12" t="s">
        <v>260</v>
      </c>
      <c r="E205" s="12" t="str">
        <f aca="false">INDEX('Risk Taxonomy'!$B$5:$B$24,MATCH(D205,'Risk Taxonomy'!$A$5:$A$24,0))</f>
        <v>Money laundering</v>
      </c>
      <c r="F205" s="29" t="n">
        <f aca="false">IF(NOT(ISNUMBER(G205)),"",IFERROR(IF(MATCH(SUMIFS('FC Calculation'!$N$5:$N$214,'FC Calculation'!$A$5:$A$214,A205,'FC Calculation'!$D$5:$D$214,D205),Config!$D$5:$D$9,1)=G205,SUMIFS('FC Calculation'!$N$5:$N$214,'FC Calculation'!$A$5:$A$214,A205,'FC Calculation'!$D$5:$D$214,D205),G205),G205))</f>
        <v>2.89142857142857</v>
      </c>
      <c r="G205" s="34" t="n">
        <f aca="false">IF(COUNTIFS('FC Calculation'!$A$5:$A$214,A205,'FC Calculation'!$D$5:$D$214,D205,'FC Calculation'!$T$5:$T$214,"&gt;0")=0,"",SUMIFS('FC Calculation'!$T$5:$T$214,'FC Calculation'!$A$5:$A$214,A205,'FC Calculation'!$D$5:$D$214,D205))</f>
        <v>3</v>
      </c>
      <c r="H205" s="7" t="str">
        <f aca="false">IF(G205="N/A","N/A",IF(G205="","No data",INDEX(Config!$B$5:$B$9,G205)))</f>
        <v>Medium</v>
      </c>
      <c r="I205" s="31" t="n">
        <f aca="false">IF(NOT(ISNUMBER($G205)),"",SUMPRODUCT(('Control Mapping'!$C$5:$C$83=D205)*('Control Mapping'!$Q$5:$Q$83&gt;0)))</f>
        <v>12</v>
      </c>
      <c r="J205" s="31" t="n">
        <f aca="false">IF(NOT(ISNUMBER($G205)),"",SUMPRODUCT(('Control Mapping'!$C$5:$C$83=D205)*('Control Mapping'!$F$5:$F$83="Y")*('Control Mapping'!$Q$5:$Q$83&gt;0)))</f>
        <v>9</v>
      </c>
      <c r="K205" s="31" t="n">
        <f aca="false">IF(NOT(ISNUMBER($G205)),"",SUMPRODUCT(('Control Mapping'!$C$5:$C$83=D205)*('Control Mapping'!$F$5:$F$83="Y")*('Control Mapping'!$Q$5:$Q$83=4)))</f>
        <v>0</v>
      </c>
      <c r="L205" s="29" t="n">
        <f aca="false">IF(NOT(ISNUMBER($G205)),"",IFERROR(SUMPRODUCT(('Control Mapping'!$C$5:$C$83=D205)*'Control Mapping'!$E$5:$E$83*'Control Mapping'!$Q$5:$Q$83)/SUMPRODUCT(('Control Mapping'!$C$5:$C$83=D205)*'Control Mapping'!$E$5:$E$83*('Control Mapping'!$Q$5:$Q$83&gt;0)),""))</f>
        <v>2.04347826086957</v>
      </c>
      <c r="M205" s="34" t="n">
        <f aca="false">IF(NOT(ISNUMBER($G205)),"",IF(J205=0,4,MAX(MATCH(L205,'Residual Config'!$E$11:$E$14,1),IF(K205&gt;0,'Residual Config'!$C$7,1))))</f>
        <v>2</v>
      </c>
      <c r="N205" s="7" t="str">
        <f aca="false">IF(NOT(ISNUMBER($G205)),"",IF(J205=0,"Ineffective (no key control)",INDEX('Residual Config'!$B$11:$B$14,M205)))</f>
        <v>Largely effective</v>
      </c>
      <c r="O205" s="36" t="n">
        <f aca="false">IF(NOT(ISNUMBER($G205)),"",IF(J205=0,0,SUMPRODUCT(('Control Mapping'!$C$5:$C$83=D205)*'Control Mapping'!$E$5:$E$83*(('Control Mapping'!$Q$5:$Q$83=1)*'Residual Config'!$D$11+('Control Mapping'!$Q$5:$Q$83=2)*'Residual Config'!$D$12+('Control Mapping'!$Q$5:$Q$83=3)*'Residual Config'!$D$13+('Control Mapping'!$Q$5:$Q$83=4)*'Residual Config'!$D$14))/SUMPRODUCT(('Control Mapping'!$C$5:$C$83=D205)*'Control Mapping'!$E$5:$E$83*('Control Mapping'!$Q$5:$Q$83&gt;0))))</f>
        <v>0.391304347826087</v>
      </c>
      <c r="P205" s="31" t="n">
        <f aca="false">IF(NOT(ISNUMBER($G205)),"",INDEX('Residual Config'!$B$19:$E$23,6-G205,M205))</f>
        <v>2</v>
      </c>
      <c r="Q205" s="29" t="n">
        <f aca="false">IF(NOT(ISNUMBER($G205)),"",MAX(1,F205*(1-O205)))</f>
        <v>1.76</v>
      </c>
      <c r="R205" s="31" t="n">
        <f aca="false">IF(NOT(ISNUMBER($G205)),"",MAX(MATCH(Q205,Config!$D$5:$D$9,1),G205-'Residual Config'!$C$6))</f>
        <v>1</v>
      </c>
      <c r="S205" s="34" t="n">
        <f aca="false">IF(NOT(ISNUMBER($G205)),"",IF('Residual Config'!$C$5="Numeric",R205,P205))</f>
        <v>2</v>
      </c>
      <c r="T205" s="7" t="str">
        <f aca="false">IF(G205="N/A","N/A",IF(S205="","No data",INDEX(Config!$B$5:$B$9,S205)))</f>
        <v>Medium-Low</v>
      </c>
      <c r="U205" s="32" t="n">
        <v>0</v>
      </c>
      <c r="V205" s="8"/>
      <c r="W205" s="33"/>
      <c r="X205" s="34" t="n">
        <f aca="false">IF(S205="","",IF(AND(W205="Y",U205&lt;&gt;0),MAX(1,MIN(5,S205+MAX(-Config!$C$27,MIN(Config!$C$27,U205)))),S205))</f>
        <v>2</v>
      </c>
      <c r="Y205" s="35" t="str">
        <f aca="false">IF(G205="N/A","N/A",IF(X205="","No data",INDEX(Config!$B$5:$B$9,X205)))</f>
        <v>Medium-Low</v>
      </c>
      <c r="Z205" s="7" t="str">
        <f aca="false">IF(U205=0,"None",IF(W205="Y","Applied","Pending HO approval"))</f>
        <v>None</v>
      </c>
      <c r="AA205" s="12" t="str">
        <f aca="false">INDEX('Risk Taxonomy'!$G$5:$G$24,MATCH(D205,'Risk Taxonomy'!$A$5:$A$24,0))</f>
        <v>Very low</v>
      </c>
      <c r="AB205" s="7" t="str">
        <f aca="false">INDEX('Risk Taxonomy'!$H$5:$H$24,MATCH(D205,'Risk Taxonomy'!$A$5:$A$24,0))</f>
        <v>Medium-Low</v>
      </c>
      <c r="AC205" s="35" t="str">
        <f aca="false">IF(NOT(ISNUMBER(X205)),"",IF(X205&lt;=MATCH(AB205,Config!$B$5:$B$9,0),"Within",IF(OR(X205-MATCH(AB205,Config!$B$5:$B$9,0)&gt;=2,AND('Residual Config'!$C$8="Y",ISNUMBER(SEARCH("Zero",AA205)))),"Red","Amber")))</f>
        <v>Within</v>
      </c>
      <c r="AD205" s="12" t="str">
        <f aca="false">IF(AC205="Red","Group CCO / CRO and Country CEO within 2 business days; action plan in 15 days; report to Board Risk &amp; Compliance Committee",IF(AC205="Amber","Country CO, risk owner and HO Administrator within 5 business days; action plan in 30 days",""))</f>
        <v/>
      </c>
    </row>
    <row r="206" customFormat="false" ht="15" hidden="false" customHeight="false" outlineLevel="0" collapsed="false">
      <c r="A206" s="26" t="str">
        <f aca="false">Entities!$A$15</f>
        <v>BH</v>
      </c>
      <c r="B206" s="12" t="str">
        <f aca="false">INDEX(Entities!$B$5:$B$34,MATCH(A206,Entities!$A$5:$A$34,0))</f>
        <v>Arab Bank – Bahrain</v>
      </c>
      <c r="C206" s="12" t="str">
        <f aca="false">INDEX(Entities!$D$5:$D$34,MATCH(A206,Entities!$A$5:$A$34,0))</f>
        <v>GCC</v>
      </c>
      <c r="D206" s="12" t="s">
        <v>267</v>
      </c>
      <c r="E206" s="12" t="str">
        <f aca="false">INDEX('Risk Taxonomy'!$B$5:$B$24,MATCH(D206,'Risk Taxonomy'!$A$5:$A$24,0))</f>
        <v>Terrorist financing</v>
      </c>
      <c r="F206" s="29" t="n">
        <f aca="false">IF(NOT(ISNUMBER(G206)),"",IFERROR(IF(MATCH(SUMIFS('FC Calculation'!$N$5:$N$214,'FC Calculation'!$A$5:$A$214,A206,'FC Calculation'!$D$5:$D$214,D206),Config!$D$5:$D$9,1)=G206,SUMIFS('FC Calculation'!$N$5:$N$214,'FC Calculation'!$A$5:$A$214,A206,'FC Calculation'!$D$5:$D$214,D206),G206),G206))</f>
        <v>2.89761904761905</v>
      </c>
      <c r="G206" s="34" t="n">
        <f aca="false">IF(COUNTIFS('FC Calculation'!$A$5:$A$214,A206,'FC Calculation'!$D$5:$D$214,D206,'FC Calculation'!$T$5:$T$214,"&gt;0")=0,"",SUMIFS('FC Calculation'!$T$5:$T$214,'FC Calculation'!$A$5:$A$214,A206,'FC Calculation'!$D$5:$D$214,D206))</f>
        <v>3</v>
      </c>
      <c r="H206" s="7" t="str">
        <f aca="false">IF(G206="N/A","N/A",IF(G206="","No data",INDEX(Config!$B$5:$B$9,G206)))</f>
        <v>Medium</v>
      </c>
      <c r="I206" s="31" t="n">
        <f aca="false">IF(NOT(ISNUMBER($G206)),"",SUMPRODUCT(('Control Mapping'!$C$5:$C$83=D206)*('Control Mapping'!$Q$5:$Q$83&gt;0)))</f>
        <v>12</v>
      </c>
      <c r="J206" s="31" t="n">
        <f aca="false">IF(NOT(ISNUMBER($G206)),"",SUMPRODUCT(('Control Mapping'!$C$5:$C$83=D206)*('Control Mapping'!$F$5:$F$83="Y")*('Control Mapping'!$Q$5:$Q$83&gt;0)))</f>
        <v>9</v>
      </c>
      <c r="K206" s="31" t="n">
        <f aca="false">IF(NOT(ISNUMBER($G206)),"",SUMPRODUCT(('Control Mapping'!$C$5:$C$83=D206)*('Control Mapping'!$F$5:$F$83="Y")*('Control Mapping'!$Q$5:$Q$83=4)))</f>
        <v>0</v>
      </c>
      <c r="L206" s="29" t="n">
        <f aca="false">IF(NOT(ISNUMBER($G206)),"",IFERROR(SUMPRODUCT(('Control Mapping'!$C$5:$C$83=D206)*'Control Mapping'!$E$5:$E$83*'Control Mapping'!$Q$5:$Q$83)/SUMPRODUCT(('Control Mapping'!$C$5:$C$83=D206)*'Control Mapping'!$E$5:$E$83*('Control Mapping'!$Q$5:$Q$83&gt;0)),""))</f>
        <v>2</v>
      </c>
      <c r="M206" s="34" t="n">
        <f aca="false">IF(NOT(ISNUMBER($G206)),"",IF(J206=0,4,MAX(MATCH(L206,'Residual Config'!$E$11:$E$14,1),IF(K206&gt;0,'Residual Config'!$C$7,1))))</f>
        <v>2</v>
      </c>
      <c r="N206" s="7" t="str">
        <f aca="false">IF(NOT(ISNUMBER($G206)),"",IF(J206=0,"Ineffective (no key control)",INDEX('Residual Config'!$B$11:$B$14,M206)))</f>
        <v>Largely effective</v>
      </c>
      <c r="O206" s="36" t="n">
        <f aca="false">IF(NOT(ISNUMBER($G206)),"",IF(J206=0,0,SUMPRODUCT(('Control Mapping'!$C$5:$C$83=D206)*'Control Mapping'!$E$5:$E$83*(('Control Mapping'!$Q$5:$Q$83=1)*'Residual Config'!$D$11+('Control Mapping'!$Q$5:$Q$83=2)*'Residual Config'!$D$12+('Control Mapping'!$Q$5:$Q$83=3)*'Residual Config'!$D$13+('Control Mapping'!$Q$5:$Q$83=4)*'Residual Config'!$D$14))/SUMPRODUCT(('Control Mapping'!$C$5:$C$83=D206)*'Control Mapping'!$E$5:$E$83*('Control Mapping'!$Q$5:$Q$83&gt;0))))</f>
        <v>0.4</v>
      </c>
      <c r="P206" s="31" t="n">
        <f aca="false">IF(NOT(ISNUMBER($G206)),"",INDEX('Residual Config'!$B$19:$E$23,6-G206,M206))</f>
        <v>2</v>
      </c>
      <c r="Q206" s="29" t="n">
        <f aca="false">IF(NOT(ISNUMBER($G206)),"",MAX(1,F206*(1-O206)))</f>
        <v>1.73857142857143</v>
      </c>
      <c r="R206" s="31" t="n">
        <f aca="false">IF(NOT(ISNUMBER($G206)),"",MAX(MATCH(Q206,Config!$D$5:$D$9,1),G206-'Residual Config'!$C$6))</f>
        <v>1</v>
      </c>
      <c r="S206" s="34" t="n">
        <f aca="false">IF(NOT(ISNUMBER($G206)),"",IF('Residual Config'!$C$5="Numeric",R206,P206))</f>
        <v>2</v>
      </c>
      <c r="T206" s="7" t="str">
        <f aca="false">IF(G206="N/A","N/A",IF(S206="","No data",INDEX(Config!$B$5:$B$9,S206)))</f>
        <v>Medium-Low</v>
      </c>
      <c r="U206" s="32" t="n">
        <v>0</v>
      </c>
      <c r="V206" s="8"/>
      <c r="W206" s="33"/>
      <c r="X206" s="34" t="n">
        <f aca="false">IF(S206="","",IF(AND(W206="Y",U206&lt;&gt;0),MAX(1,MIN(5,S206+MAX(-Config!$C$27,MIN(Config!$C$27,U206)))),S206))</f>
        <v>2</v>
      </c>
      <c r="Y206" s="35" t="str">
        <f aca="false">IF(G206="N/A","N/A",IF(X206="","No data",INDEX(Config!$B$5:$B$9,X206)))</f>
        <v>Medium-Low</v>
      </c>
      <c r="Z206" s="7" t="str">
        <f aca="false">IF(U206=0,"None",IF(W206="Y","Applied","Pending HO approval"))</f>
        <v>None</v>
      </c>
      <c r="AA206" s="12" t="str">
        <f aca="false">INDEX('Risk Taxonomy'!$G$5:$G$24,MATCH(D206,'Risk Taxonomy'!$A$5:$A$24,0))</f>
        <v>Zero tolerance</v>
      </c>
      <c r="AB206" s="7" t="str">
        <f aca="false">INDEX('Risk Taxonomy'!$H$5:$H$24,MATCH(D206,'Risk Taxonomy'!$A$5:$A$24,0))</f>
        <v>Low</v>
      </c>
      <c r="AC206" s="35" t="str">
        <f aca="false">IF(NOT(ISNUMBER(X206)),"",IF(X206&lt;=MATCH(AB206,Config!$B$5:$B$9,0),"Within",IF(OR(X206-MATCH(AB206,Config!$B$5:$B$9,0)&gt;=2,AND('Residual Config'!$C$8="Y",ISNUMBER(SEARCH("Zero",AA206)))),"Red","Amber")))</f>
        <v>Amber</v>
      </c>
      <c r="AD206" s="12" t="str">
        <f aca="false">IF(AC206="Red","Group CCO / CRO and Country CEO within 2 business days; action plan in 15 days; report to Board Risk &amp; Compliance Committee",IF(AC206="Amber","Country CO, risk owner and HO Administrator within 5 business days; action plan in 30 days",""))</f>
        <v>Country CO, risk owner and HO Administrator within 5 business days; action plan in 30 days</v>
      </c>
    </row>
    <row r="207" customFormat="false" ht="15" hidden="false" customHeight="false" outlineLevel="0" collapsed="false">
      <c r="A207" s="26" t="str">
        <f aca="false">Entities!$A$15</f>
        <v>BH</v>
      </c>
      <c r="B207" s="12" t="str">
        <f aca="false">INDEX(Entities!$B$5:$B$34,MATCH(A207,Entities!$A$5:$A$34,0))</f>
        <v>Arab Bank – Bahrain</v>
      </c>
      <c r="C207" s="12" t="str">
        <f aca="false">INDEX(Entities!$D$5:$D$34,MATCH(A207,Entities!$A$5:$A$34,0))</f>
        <v>GCC</v>
      </c>
      <c r="D207" s="12" t="s">
        <v>270</v>
      </c>
      <c r="E207" s="12" t="str">
        <f aca="false">INDEX('Risk Taxonomy'!$B$5:$B$24,MATCH(D207,'Risk Taxonomy'!$A$5:$A$24,0))</f>
        <v>Proliferation financing</v>
      </c>
      <c r="F207" s="29" t="n">
        <f aca="false">IF(NOT(ISNUMBER(G207)),"",IFERROR(IF(MATCH(SUMIFS('FC Calculation'!$N$5:$N$214,'FC Calculation'!$A$5:$A$214,A207,'FC Calculation'!$D$5:$D$214,D207),Config!$D$5:$D$9,1)=G207,SUMIFS('FC Calculation'!$N$5:$N$214,'FC Calculation'!$A$5:$A$214,A207,'FC Calculation'!$D$5:$D$214,D207),G207),G207))</f>
        <v>3.11666666666667</v>
      </c>
      <c r="G207" s="34" t="n">
        <f aca="false">IF(COUNTIFS('FC Calculation'!$A$5:$A$214,A207,'FC Calculation'!$D$5:$D$214,D207,'FC Calculation'!$T$5:$T$214,"&gt;0")=0,"",SUMIFS('FC Calculation'!$T$5:$T$214,'FC Calculation'!$A$5:$A$214,A207,'FC Calculation'!$D$5:$D$214,D207))</f>
        <v>3</v>
      </c>
      <c r="H207" s="7" t="str">
        <f aca="false">IF(G207="N/A","N/A",IF(G207="","No data",INDEX(Config!$B$5:$B$9,G207)))</f>
        <v>Medium</v>
      </c>
      <c r="I207" s="31" t="n">
        <f aca="false">IF(NOT(ISNUMBER($G207)),"",SUMPRODUCT(('Control Mapping'!$C$5:$C$83=D207)*('Control Mapping'!$Q$5:$Q$83&gt;0)))</f>
        <v>5</v>
      </c>
      <c r="J207" s="31" t="n">
        <f aca="false">IF(NOT(ISNUMBER($G207)),"",SUMPRODUCT(('Control Mapping'!$C$5:$C$83=D207)*('Control Mapping'!$F$5:$F$83="Y")*('Control Mapping'!$Q$5:$Q$83&gt;0)))</f>
        <v>5</v>
      </c>
      <c r="K207" s="31" t="n">
        <f aca="false">IF(NOT(ISNUMBER($G207)),"",SUMPRODUCT(('Control Mapping'!$C$5:$C$83=D207)*('Control Mapping'!$F$5:$F$83="Y")*('Control Mapping'!$Q$5:$Q$83=4)))</f>
        <v>0</v>
      </c>
      <c r="L207" s="29" t="n">
        <f aca="false">IF(NOT(ISNUMBER($G207)),"",IFERROR(SUMPRODUCT(('Control Mapping'!$C$5:$C$83=D207)*'Control Mapping'!$E$5:$E$83*'Control Mapping'!$Q$5:$Q$83)/SUMPRODUCT(('Control Mapping'!$C$5:$C$83=D207)*'Control Mapping'!$E$5:$E$83*('Control Mapping'!$Q$5:$Q$83&gt;0)),""))</f>
        <v>2</v>
      </c>
      <c r="M207" s="34" t="n">
        <f aca="false">IF(NOT(ISNUMBER($G207)),"",IF(J207=0,4,MAX(MATCH(L207,'Residual Config'!$E$11:$E$14,1),IF(K207&gt;0,'Residual Config'!$C$7,1))))</f>
        <v>2</v>
      </c>
      <c r="N207" s="7" t="str">
        <f aca="false">IF(NOT(ISNUMBER($G207)),"",IF(J207=0,"Ineffective (no key control)",INDEX('Residual Config'!$B$11:$B$14,M207)))</f>
        <v>Largely effective</v>
      </c>
      <c r="O207" s="36" t="n">
        <f aca="false">IF(NOT(ISNUMBER($G207)),"",IF(J207=0,0,SUMPRODUCT(('Control Mapping'!$C$5:$C$83=D207)*'Control Mapping'!$E$5:$E$83*(('Control Mapping'!$Q$5:$Q$83=1)*'Residual Config'!$D$11+('Control Mapping'!$Q$5:$Q$83=2)*'Residual Config'!$D$12+('Control Mapping'!$Q$5:$Q$83=3)*'Residual Config'!$D$13+('Control Mapping'!$Q$5:$Q$83=4)*'Residual Config'!$D$14))/SUMPRODUCT(('Control Mapping'!$C$5:$C$83=D207)*'Control Mapping'!$E$5:$E$83*('Control Mapping'!$Q$5:$Q$83&gt;0))))</f>
        <v>0.4</v>
      </c>
      <c r="P207" s="31" t="n">
        <f aca="false">IF(NOT(ISNUMBER($G207)),"",INDEX('Residual Config'!$B$19:$E$23,6-G207,M207))</f>
        <v>2</v>
      </c>
      <c r="Q207" s="29" t="n">
        <f aca="false">IF(NOT(ISNUMBER($G207)),"",MAX(1,F207*(1-O207)))</f>
        <v>1.87</v>
      </c>
      <c r="R207" s="31" t="n">
        <f aca="false">IF(NOT(ISNUMBER($G207)),"",MAX(MATCH(Q207,Config!$D$5:$D$9,1),G207-'Residual Config'!$C$6))</f>
        <v>2</v>
      </c>
      <c r="S207" s="34" t="n">
        <f aca="false">IF(NOT(ISNUMBER($G207)),"",IF('Residual Config'!$C$5="Numeric",R207,P207))</f>
        <v>2</v>
      </c>
      <c r="T207" s="7" t="str">
        <f aca="false">IF(G207="N/A","N/A",IF(S207="","No data",INDEX(Config!$B$5:$B$9,S207)))</f>
        <v>Medium-Low</v>
      </c>
      <c r="U207" s="32" t="n">
        <v>0</v>
      </c>
      <c r="V207" s="8"/>
      <c r="W207" s="33"/>
      <c r="X207" s="34" t="n">
        <f aca="false">IF(S207="","",IF(AND(W207="Y",U207&lt;&gt;0),MAX(1,MIN(5,S207+MAX(-Config!$C$27,MIN(Config!$C$27,U207)))),S207))</f>
        <v>2</v>
      </c>
      <c r="Y207" s="35" t="str">
        <f aca="false">IF(G207="N/A","N/A",IF(X207="","No data",INDEX(Config!$B$5:$B$9,X207)))</f>
        <v>Medium-Low</v>
      </c>
      <c r="Z207" s="7" t="str">
        <f aca="false">IF(U207=0,"None",IF(W207="Y","Applied","Pending HO approval"))</f>
        <v>None</v>
      </c>
      <c r="AA207" s="12" t="str">
        <f aca="false">INDEX('Risk Taxonomy'!$G$5:$G$24,MATCH(D207,'Risk Taxonomy'!$A$5:$A$24,0))</f>
        <v>Zero tolerance</v>
      </c>
      <c r="AB207" s="7" t="str">
        <f aca="false">INDEX('Risk Taxonomy'!$H$5:$H$24,MATCH(D207,'Risk Taxonomy'!$A$5:$A$24,0))</f>
        <v>Low</v>
      </c>
      <c r="AC207" s="35" t="str">
        <f aca="false">IF(NOT(ISNUMBER(X207)),"",IF(X207&lt;=MATCH(AB207,Config!$B$5:$B$9,0),"Within",IF(OR(X207-MATCH(AB207,Config!$B$5:$B$9,0)&gt;=2,AND('Residual Config'!$C$8="Y",ISNUMBER(SEARCH("Zero",AA207)))),"Red","Amber")))</f>
        <v>Amber</v>
      </c>
      <c r="AD207" s="12" t="str">
        <f aca="false">IF(AC207="Red","Group CCO / CRO and Country CEO within 2 business days; action plan in 15 days; report to Board Risk &amp; Compliance Committee",IF(AC207="Amber","Country CO, risk owner and HO Administrator within 5 business days; action plan in 30 days",""))</f>
        <v>Country CO, risk owner and HO Administrator within 5 business days; action plan in 30 days</v>
      </c>
    </row>
    <row r="208" customFormat="false" ht="15" hidden="false" customHeight="false" outlineLevel="0" collapsed="false">
      <c r="A208" s="26" t="str">
        <f aca="false">Entities!$A$15</f>
        <v>BH</v>
      </c>
      <c r="B208" s="12" t="str">
        <f aca="false">INDEX(Entities!$B$5:$B$34,MATCH(A208,Entities!$A$5:$A$34,0))</f>
        <v>Arab Bank – Bahrain</v>
      </c>
      <c r="C208" s="12" t="str">
        <f aca="false">INDEX(Entities!$D$5:$D$34,MATCH(A208,Entities!$A$5:$A$34,0))</f>
        <v>GCC</v>
      </c>
      <c r="D208" s="12" t="s">
        <v>272</v>
      </c>
      <c r="E208" s="12" t="str">
        <f aca="false">INDEX('Risk Taxonomy'!$B$5:$B$24,MATCH(D208,'Risk Taxonomy'!$A$5:$A$24,0))</f>
        <v>Sanctions</v>
      </c>
      <c r="F208" s="29" t="n">
        <f aca="false">IF(NOT(ISNUMBER(G208)),"",IFERROR(IF(MATCH(SUMIFS('FC Calculation'!$N$5:$N$214,'FC Calculation'!$A$5:$A$214,A208,'FC Calculation'!$D$5:$D$214,D208),Config!$D$5:$D$9,1)=G208,SUMIFS('FC Calculation'!$N$5:$N$214,'FC Calculation'!$A$5:$A$214,A208,'FC Calculation'!$D$5:$D$214,D208),G208),G208))</f>
        <v>3.09857142857143</v>
      </c>
      <c r="G208" s="34" t="n">
        <f aca="false">IF(COUNTIFS('FC Calculation'!$A$5:$A$214,A208,'FC Calculation'!$D$5:$D$214,D208,'FC Calculation'!$T$5:$T$214,"&gt;0")=0,"",SUMIFS('FC Calculation'!$T$5:$T$214,'FC Calculation'!$A$5:$A$214,A208,'FC Calculation'!$D$5:$D$214,D208))</f>
        <v>3</v>
      </c>
      <c r="H208" s="7" t="str">
        <f aca="false">IF(G208="N/A","N/A",IF(G208="","No data",INDEX(Config!$B$5:$B$9,G208)))</f>
        <v>Medium</v>
      </c>
      <c r="I208" s="31" t="n">
        <f aca="false">IF(NOT(ISNUMBER($G208)),"",SUMPRODUCT(('Control Mapping'!$C$5:$C$83=D208)*('Control Mapping'!$Q$5:$Q$83&gt;0)))</f>
        <v>8</v>
      </c>
      <c r="J208" s="31" t="n">
        <f aca="false">IF(NOT(ISNUMBER($G208)),"",SUMPRODUCT(('Control Mapping'!$C$5:$C$83=D208)*('Control Mapping'!$F$5:$F$83="Y")*('Control Mapping'!$Q$5:$Q$83&gt;0)))</f>
        <v>5</v>
      </c>
      <c r="K208" s="31" t="n">
        <f aca="false">IF(NOT(ISNUMBER($G208)),"",SUMPRODUCT(('Control Mapping'!$C$5:$C$83=D208)*('Control Mapping'!$F$5:$F$83="Y")*('Control Mapping'!$Q$5:$Q$83=4)))</f>
        <v>0</v>
      </c>
      <c r="L208" s="29" t="n">
        <f aca="false">IF(NOT(ISNUMBER($G208)),"",IFERROR(SUMPRODUCT(('Control Mapping'!$C$5:$C$83=D208)*'Control Mapping'!$E$5:$E$83*'Control Mapping'!$Q$5:$Q$83)/SUMPRODUCT(('Control Mapping'!$C$5:$C$83=D208)*'Control Mapping'!$E$5:$E$83*('Control Mapping'!$Q$5:$Q$83&gt;0)),""))</f>
        <v>2.09090909090909</v>
      </c>
      <c r="M208" s="34" t="n">
        <f aca="false">IF(NOT(ISNUMBER($G208)),"",IF(J208=0,4,MAX(MATCH(L208,'Residual Config'!$E$11:$E$14,1),IF(K208&gt;0,'Residual Config'!$C$7,1))))</f>
        <v>2</v>
      </c>
      <c r="N208" s="7" t="str">
        <f aca="false">IF(NOT(ISNUMBER($G208)),"",IF(J208=0,"Ineffective (no key control)",INDEX('Residual Config'!$B$11:$B$14,M208)))</f>
        <v>Largely effective</v>
      </c>
      <c r="O208" s="36" t="n">
        <f aca="false">IF(NOT(ISNUMBER($G208)),"",IF(J208=0,0,SUMPRODUCT(('Control Mapping'!$C$5:$C$83=D208)*'Control Mapping'!$E$5:$E$83*(('Control Mapping'!$Q$5:$Q$83=1)*'Residual Config'!$D$11+('Control Mapping'!$Q$5:$Q$83=2)*'Residual Config'!$D$12+('Control Mapping'!$Q$5:$Q$83=3)*'Residual Config'!$D$13+('Control Mapping'!$Q$5:$Q$83=4)*'Residual Config'!$D$14))/SUMPRODUCT(('Control Mapping'!$C$5:$C$83=D208)*'Control Mapping'!$E$5:$E$83*('Control Mapping'!$Q$5:$Q$83&gt;0))))</f>
        <v>0.381818181818182</v>
      </c>
      <c r="P208" s="31" t="n">
        <f aca="false">IF(NOT(ISNUMBER($G208)),"",INDEX('Residual Config'!$B$19:$E$23,6-G208,M208))</f>
        <v>2</v>
      </c>
      <c r="Q208" s="29" t="n">
        <f aca="false">IF(NOT(ISNUMBER($G208)),"",MAX(1,F208*(1-O208)))</f>
        <v>1.91548051948052</v>
      </c>
      <c r="R208" s="31" t="n">
        <f aca="false">IF(NOT(ISNUMBER($G208)),"",MAX(MATCH(Q208,Config!$D$5:$D$9,1),G208-'Residual Config'!$C$6))</f>
        <v>2</v>
      </c>
      <c r="S208" s="34" t="n">
        <f aca="false">IF(NOT(ISNUMBER($G208)),"",IF('Residual Config'!$C$5="Numeric",R208,P208))</f>
        <v>2</v>
      </c>
      <c r="T208" s="7" t="str">
        <f aca="false">IF(G208="N/A","N/A",IF(S208="","No data",INDEX(Config!$B$5:$B$9,S208)))</f>
        <v>Medium-Low</v>
      </c>
      <c r="U208" s="32" t="n">
        <v>0</v>
      </c>
      <c r="V208" s="8"/>
      <c r="W208" s="33"/>
      <c r="X208" s="34" t="n">
        <f aca="false">IF(S208="","",IF(AND(W208="Y",U208&lt;&gt;0),MAX(1,MIN(5,S208+MAX(-Config!$C$27,MIN(Config!$C$27,U208)))),S208))</f>
        <v>2</v>
      </c>
      <c r="Y208" s="35" t="str">
        <f aca="false">IF(G208="N/A","N/A",IF(X208="","No data",INDEX(Config!$B$5:$B$9,X208)))</f>
        <v>Medium-Low</v>
      </c>
      <c r="Z208" s="7" t="str">
        <f aca="false">IF(U208=0,"None",IF(W208="Y","Applied","Pending HO approval"))</f>
        <v>None</v>
      </c>
      <c r="AA208" s="12" t="str">
        <f aca="false">INDEX('Risk Taxonomy'!$G$5:$G$24,MATCH(D208,'Risk Taxonomy'!$A$5:$A$24,0))</f>
        <v>Zero tolerance</v>
      </c>
      <c r="AB208" s="7" t="str">
        <f aca="false">INDEX('Risk Taxonomy'!$H$5:$H$24,MATCH(D208,'Risk Taxonomy'!$A$5:$A$24,0))</f>
        <v>Low</v>
      </c>
      <c r="AC208" s="35" t="str">
        <f aca="false">IF(NOT(ISNUMBER(X208)),"",IF(X208&lt;=MATCH(AB208,Config!$B$5:$B$9,0),"Within",IF(OR(X208-MATCH(AB208,Config!$B$5:$B$9,0)&gt;=2,AND('Residual Config'!$C$8="Y",ISNUMBER(SEARCH("Zero",AA208)))),"Red","Amber")))</f>
        <v>Amber</v>
      </c>
      <c r="AD208" s="12" t="str">
        <f aca="false">IF(AC208="Red","Group CCO / CRO and Country CEO within 2 business days; action plan in 15 days; report to Board Risk &amp; Compliance Committee",IF(AC208="Amber","Country CO, risk owner and HO Administrator within 5 business days; action plan in 30 days",""))</f>
        <v>Country CO, risk owner and HO Administrator within 5 business days; action plan in 30 days</v>
      </c>
    </row>
    <row r="209" customFormat="false" ht="15" hidden="false" customHeight="false" outlineLevel="0" collapsed="false">
      <c r="A209" s="26" t="str">
        <f aca="false">Entities!$A$15</f>
        <v>BH</v>
      </c>
      <c r="B209" s="12" t="str">
        <f aca="false">INDEX(Entities!$B$5:$B$34,MATCH(A209,Entities!$A$5:$A$34,0))</f>
        <v>Arab Bank – Bahrain</v>
      </c>
      <c r="C209" s="12" t="str">
        <f aca="false">INDEX(Entities!$D$5:$D$34,MATCH(A209,Entities!$A$5:$A$34,0))</f>
        <v>GCC</v>
      </c>
      <c r="D209" s="12" t="s">
        <v>275</v>
      </c>
      <c r="E209" s="12" t="str">
        <f aca="false">INDEX('Risk Taxonomy'!$B$5:$B$24,MATCH(D209,'Risk Taxonomy'!$A$5:$A$24,0))</f>
        <v>Bribery and corruption</v>
      </c>
      <c r="F209" s="29" t="n">
        <f aca="false">IF(NOT(ISNUMBER(G209)),"",IFERROR(IF(MATCH(SUMIFS('FC Calculation'!$N$5:$N$214,'FC Calculation'!$A$5:$A$214,A209,'FC Calculation'!$D$5:$D$214,D209),Config!$D$5:$D$9,1)=G209,SUMIFS('FC Calculation'!$N$5:$N$214,'FC Calculation'!$A$5:$A$214,A209,'FC Calculation'!$D$5:$D$214,D209),G209),G209))</f>
        <v>3.31333333333333</v>
      </c>
      <c r="G209" s="34" t="n">
        <f aca="false">IF(COUNTIFS('FC Calculation'!$A$5:$A$214,A209,'FC Calculation'!$D$5:$D$214,D209,'FC Calculation'!$T$5:$T$214,"&gt;0")=0,"",SUMIFS('FC Calculation'!$T$5:$T$214,'FC Calculation'!$A$5:$A$214,A209,'FC Calculation'!$D$5:$D$214,D209))</f>
        <v>3</v>
      </c>
      <c r="H209" s="7" t="str">
        <f aca="false">IF(G209="N/A","N/A",IF(G209="","No data",INDEX(Config!$B$5:$B$9,G209)))</f>
        <v>Medium</v>
      </c>
      <c r="I209" s="31" t="n">
        <f aca="false">IF(NOT(ISNUMBER($G209)),"",SUMPRODUCT(('Control Mapping'!$C$5:$C$83=D209)*('Control Mapping'!$Q$5:$Q$83&gt;0)))</f>
        <v>5</v>
      </c>
      <c r="J209" s="31" t="n">
        <f aca="false">IF(NOT(ISNUMBER($G209)),"",SUMPRODUCT(('Control Mapping'!$C$5:$C$83=D209)*('Control Mapping'!$F$5:$F$83="Y")*('Control Mapping'!$Q$5:$Q$83&gt;0)))</f>
        <v>2</v>
      </c>
      <c r="K209" s="31" t="n">
        <f aca="false">IF(NOT(ISNUMBER($G209)),"",SUMPRODUCT(('Control Mapping'!$C$5:$C$83=D209)*('Control Mapping'!$F$5:$F$83="Y")*('Control Mapping'!$Q$5:$Q$83=4)))</f>
        <v>1</v>
      </c>
      <c r="L209" s="29" t="n">
        <f aca="false">IF(NOT(ISNUMBER($G209)),"",IFERROR(SUMPRODUCT(('Control Mapping'!$C$5:$C$83=D209)*'Control Mapping'!$E$5:$E$83*'Control Mapping'!$Q$5:$Q$83)/SUMPRODUCT(('Control Mapping'!$C$5:$C$83=D209)*'Control Mapping'!$E$5:$E$83*('Control Mapping'!$Q$5:$Q$83&gt;0)),""))</f>
        <v>2.44444444444444</v>
      </c>
      <c r="M209" s="34" t="n">
        <f aca="false">IF(NOT(ISNUMBER($G209)),"",IF(J209=0,4,MAX(MATCH(L209,'Residual Config'!$E$11:$E$14,1),IF(K209&gt;0,'Residual Config'!$C$7,1))))</f>
        <v>3</v>
      </c>
      <c r="N209" s="7" t="str">
        <f aca="false">IF(NOT(ISNUMBER($G209)),"",IF(J209=0,"Ineffective (no key control)",INDEX('Residual Config'!$B$11:$B$14,M209)))</f>
        <v>Partially effective</v>
      </c>
      <c r="O209" s="36" t="n">
        <f aca="false">IF(NOT(ISNUMBER($G209)),"",IF(J209=0,0,SUMPRODUCT(('Control Mapping'!$C$5:$C$83=D209)*'Control Mapping'!$E$5:$E$83*(('Control Mapping'!$Q$5:$Q$83=1)*'Residual Config'!$D$11+('Control Mapping'!$Q$5:$Q$83=2)*'Residual Config'!$D$12+('Control Mapping'!$Q$5:$Q$83=3)*'Residual Config'!$D$13+('Control Mapping'!$Q$5:$Q$83=4)*'Residual Config'!$D$14))/SUMPRODUCT(('Control Mapping'!$C$5:$C$83=D209)*'Control Mapping'!$E$5:$E$83*('Control Mapping'!$Q$5:$Q$83&gt;0))))</f>
        <v>0.311111111111111</v>
      </c>
      <c r="P209" s="31" t="n">
        <f aca="false">IF(NOT(ISNUMBER($G209)),"",INDEX('Residual Config'!$B$19:$E$23,6-G209,M209))</f>
        <v>3</v>
      </c>
      <c r="Q209" s="29" t="n">
        <f aca="false">IF(NOT(ISNUMBER($G209)),"",MAX(1,F209*(1-O209)))</f>
        <v>2.28251851851852</v>
      </c>
      <c r="R209" s="31" t="n">
        <f aca="false">IF(NOT(ISNUMBER($G209)),"",MAX(MATCH(Q209,Config!$D$5:$D$9,1),G209-'Residual Config'!$C$6))</f>
        <v>2</v>
      </c>
      <c r="S209" s="34" t="n">
        <f aca="false">IF(NOT(ISNUMBER($G209)),"",IF('Residual Config'!$C$5="Numeric",R209,P209))</f>
        <v>3</v>
      </c>
      <c r="T209" s="7" t="str">
        <f aca="false">IF(G209="N/A","N/A",IF(S209="","No data",INDEX(Config!$B$5:$B$9,S209)))</f>
        <v>Medium</v>
      </c>
      <c r="U209" s="32" t="n">
        <v>0</v>
      </c>
      <c r="V209" s="8"/>
      <c r="W209" s="33"/>
      <c r="X209" s="34" t="n">
        <f aca="false">IF(S209="","",IF(AND(W209="Y",U209&lt;&gt;0),MAX(1,MIN(5,S209+MAX(-Config!$C$27,MIN(Config!$C$27,U209)))),S209))</f>
        <v>3</v>
      </c>
      <c r="Y209" s="35" t="str">
        <f aca="false">IF(G209="N/A","N/A",IF(X209="","No data",INDEX(Config!$B$5:$B$9,X209)))</f>
        <v>Medium</v>
      </c>
      <c r="Z209" s="7" t="str">
        <f aca="false">IF(U209=0,"None",IF(W209="Y","Applied","Pending HO approval"))</f>
        <v>None</v>
      </c>
      <c r="AA209" s="12" t="str">
        <f aca="false">INDEX('Risk Taxonomy'!$G$5:$G$24,MATCH(D209,'Risk Taxonomy'!$A$5:$A$24,0))</f>
        <v>Zero tolerance</v>
      </c>
      <c r="AB209" s="7" t="str">
        <f aca="false">INDEX('Risk Taxonomy'!$H$5:$H$24,MATCH(D209,'Risk Taxonomy'!$A$5:$A$24,0))</f>
        <v>Low</v>
      </c>
      <c r="AC209" s="35" t="str">
        <f aca="false">IF(NOT(ISNUMBER(X209)),"",IF(X209&lt;=MATCH(AB209,Config!$B$5:$B$9,0),"Within",IF(OR(X209-MATCH(AB209,Config!$B$5:$B$9,0)&gt;=2,AND('Residual Config'!$C$8="Y",ISNUMBER(SEARCH("Zero",AA209)))),"Red","Amber")))</f>
        <v>Red</v>
      </c>
      <c r="AD209" s="12" t="str">
        <f aca="false">IF(AC209="Red","Group CCO / CRO and Country CEO within 2 business days; action plan in 15 days; report to Board Risk &amp; Compliance Committee",IF(AC209="Amber","Country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210" customFormat="false" ht="15" hidden="false" customHeight="false" outlineLevel="0" collapsed="false">
      <c r="A210" s="26" t="str">
        <f aca="false">Entities!$A$15</f>
        <v>BH</v>
      </c>
      <c r="B210" s="12" t="str">
        <f aca="false">INDEX(Entities!$B$5:$B$34,MATCH(A210,Entities!$A$5:$A$34,0))</f>
        <v>Arab Bank – Bahrain</v>
      </c>
      <c r="C210" s="12" t="str">
        <f aca="false">INDEX(Entities!$D$5:$D$34,MATCH(A210,Entities!$A$5:$A$34,0))</f>
        <v>GCC</v>
      </c>
      <c r="D210" s="12" t="s">
        <v>278</v>
      </c>
      <c r="E210" s="12" t="str">
        <f aca="false">INDEX('Risk Taxonomy'!$B$5:$B$24,MATCH(D210,'Risk Taxonomy'!$A$5:$A$24,0))</f>
        <v>Fraud</v>
      </c>
      <c r="F210" s="29" t="n">
        <f aca="false">IF(NOT(ISNUMBER(G210)),"",IFERROR(IF(MATCH(SUMIFS('FC Calculation'!$N$5:$N$214,'FC Calculation'!$A$5:$A$214,A210,'FC Calculation'!$D$5:$D$214,D210),Config!$D$5:$D$9,1)=G210,SUMIFS('FC Calculation'!$N$5:$N$214,'FC Calculation'!$A$5:$A$214,A210,'FC Calculation'!$D$5:$D$214,D210),G210),G210))</f>
        <v>2.585</v>
      </c>
      <c r="G210" s="34" t="n">
        <f aca="false">IF(COUNTIFS('FC Calculation'!$A$5:$A$214,A210,'FC Calculation'!$D$5:$D$214,D210,'FC Calculation'!$T$5:$T$214,"&gt;0")=0,"",SUMIFS('FC Calculation'!$T$5:$T$214,'FC Calculation'!$A$5:$A$214,A210,'FC Calculation'!$D$5:$D$214,D210))</f>
        <v>2</v>
      </c>
      <c r="H210" s="7" t="str">
        <f aca="false">IF(G210="N/A","N/A",IF(G210="","No data",INDEX(Config!$B$5:$B$9,G210)))</f>
        <v>Medium-Low</v>
      </c>
      <c r="I210" s="31" t="n">
        <f aca="false">IF(NOT(ISNUMBER($G210)),"",SUMPRODUCT(('Control Mapping'!$C$5:$C$83=D210)*('Control Mapping'!$Q$5:$Q$83&gt;0)))</f>
        <v>6</v>
      </c>
      <c r="J210" s="31" t="n">
        <f aca="false">IF(NOT(ISNUMBER($G210)),"",SUMPRODUCT(('Control Mapping'!$C$5:$C$83=D210)*('Control Mapping'!$F$5:$F$83="Y")*('Control Mapping'!$Q$5:$Q$83&gt;0)))</f>
        <v>5</v>
      </c>
      <c r="K210" s="31" t="n">
        <f aca="false">IF(NOT(ISNUMBER($G210)),"",SUMPRODUCT(('Control Mapping'!$C$5:$C$83=D210)*('Control Mapping'!$F$5:$F$83="Y")*('Control Mapping'!$Q$5:$Q$83=4)))</f>
        <v>1</v>
      </c>
      <c r="L210" s="29" t="n">
        <f aca="false">IF(NOT(ISNUMBER($G210)),"",IFERROR(SUMPRODUCT(('Control Mapping'!$C$5:$C$83=D210)*'Control Mapping'!$E$5:$E$83*'Control Mapping'!$Q$5:$Q$83)/SUMPRODUCT(('Control Mapping'!$C$5:$C$83=D210)*'Control Mapping'!$E$5:$E$83*('Control Mapping'!$Q$5:$Q$83&gt;0)),""))</f>
        <v>2.3</v>
      </c>
      <c r="M210" s="34" t="n">
        <f aca="false">IF(NOT(ISNUMBER($G210)),"",IF(J210=0,4,MAX(MATCH(L210,'Residual Config'!$E$11:$E$14,1),IF(K210&gt;0,'Residual Config'!$C$7,1))))</f>
        <v>3</v>
      </c>
      <c r="N210" s="7" t="str">
        <f aca="false">IF(NOT(ISNUMBER($G210)),"",IF(J210=0,"Ineffective (no key control)",INDEX('Residual Config'!$B$11:$B$14,M210)))</f>
        <v>Partially effective</v>
      </c>
      <c r="O210" s="36" t="n">
        <f aca="false">IF(NOT(ISNUMBER($G210)),"",IF(J210=0,0,SUMPRODUCT(('Control Mapping'!$C$5:$C$83=D210)*'Control Mapping'!$E$5:$E$83*(('Control Mapping'!$Q$5:$Q$83=1)*'Residual Config'!$D$11+('Control Mapping'!$Q$5:$Q$83=2)*'Residual Config'!$D$12+('Control Mapping'!$Q$5:$Q$83=3)*'Residual Config'!$D$13+('Control Mapping'!$Q$5:$Q$83=4)*'Residual Config'!$D$14))/SUMPRODUCT(('Control Mapping'!$C$5:$C$83=D210)*'Control Mapping'!$E$5:$E$83*('Control Mapping'!$Q$5:$Q$83&gt;0))))</f>
        <v>0.34</v>
      </c>
      <c r="P210" s="31" t="n">
        <f aca="false">IF(NOT(ISNUMBER($G210)),"",INDEX('Residual Config'!$B$19:$E$23,6-G210,M210))</f>
        <v>2</v>
      </c>
      <c r="Q210" s="29" t="n">
        <f aca="false">IF(NOT(ISNUMBER($G210)),"",MAX(1,F210*(1-O210)))</f>
        <v>1.7061</v>
      </c>
      <c r="R210" s="31" t="n">
        <f aca="false">IF(NOT(ISNUMBER($G210)),"",MAX(MATCH(Q210,Config!$D$5:$D$9,1),G210-'Residual Config'!$C$6))</f>
        <v>1</v>
      </c>
      <c r="S210" s="34" t="n">
        <f aca="false">IF(NOT(ISNUMBER($G210)),"",IF('Residual Config'!$C$5="Numeric",R210,P210))</f>
        <v>2</v>
      </c>
      <c r="T210" s="7" t="str">
        <f aca="false">IF(G210="N/A","N/A",IF(S210="","No data",INDEX(Config!$B$5:$B$9,S210)))</f>
        <v>Medium-Low</v>
      </c>
      <c r="U210" s="32" t="n">
        <v>0</v>
      </c>
      <c r="V210" s="8"/>
      <c r="W210" s="33"/>
      <c r="X210" s="34" t="n">
        <f aca="false">IF(S210="","",IF(AND(W210="Y",U210&lt;&gt;0),MAX(1,MIN(5,S210+MAX(-Config!$C$27,MIN(Config!$C$27,U210)))),S210))</f>
        <v>2</v>
      </c>
      <c r="Y210" s="35" t="str">
        <f aca="false">IF(G210="N/A","N/A",IF(X210="","No data",INDEX(Config!$B$5:$B$9,X210)))</f>
        <v>Medium-Low</v>
      </c>
      <c r="Z210" s="7" t="str">
        <f aca="false">IF(U210=0,"None",IF(W210="Y","Applied","Pending HO approval"))</f>
        <v>None</v>
      </c>
      <c r="AA210" s="12" t="str">
        <f aca="false">INDEX('Risk Taxonomy'!$G$5:$G$24,MATCH(D210,'Risk Taxonomy'!$A$5:$A$24,0))</f>
        <v>Low</v>
      </c>
      <c r="AB210" s="7" t="str">
        <f aca="false">INDEX('Risk Taxonomy'!$H$5:$H$24,MATCH(D210,'Risk Taxonomy'!$A$5:$A$24,0))</f>
        <v>Medium</v>
      </c>
      <c r="AC210" s="35" t="str">
        <f aca="false">IF(NOT(ISNUMBER(X210)),"",IF(X210&lt;=MATCH(AB210,Config!$B$5:$B$9,0),"Within",IF(OR(X210-MATCH(AB210,Config!$B$5:$B$9,0)&gt;=2,AND('Residual Config'!$C$8="Y",ISNUMBER(SEARCH("Zero",AA210)))),"Red","Amber")))</f>
        <v>Within</v>
      </c>
      <c r="AD210" s="12" t="str">
        <f aca="false">IF(AC210="Red","Group CCO / CRO and Country CEO within 2 business days; action plan in 15 days; report to Board Risk &amp; Compliance Committee",IF(AC210="Amber","Country CO, risk owner and HO Administrator within 5 business days; action plan in 30 days",""))</f>
        <v/>
      </c>
    </row>
    <row r="211" customFormat="false" ht="15" hidden="false" customHeight="false" outlineLevel="0" collapsed="false">
      <c r="A211" s="26" t="str">
        <f aca="false">Entities!$A$15</f>
        <v>BH</v>
      </c>
      <c r="B211" s="12" t="str">
        <f aca="false">INDEX(Entities!$B$5:$B$34,MATCH(A211,Entities!$A$5:$A$34,0))</f>
        <v>Arab Bank – Bahrain</v>
      </c>
      <c r="C211" s="12" t="str">
        <f aca="false">INDEX(Entities!$D$5:$D$34,MATCH(A211,Entities!$A$5:$A$34,0))</f>
        <v>GCC</v>
      </c>
      <c r="D211" s="12" t="s">
        <v>281</v>
      </c>
      <c r="E211" s="12" t="str">
        <f aca="false">INDEX('Risk Taxonomy'!$B$5:$B$24,MATCH(D211,'Risk Taxonomy'!$A$5:$A$24,0))</f>
        <v>Tax evasion and tax transparency</v>
      </c>
      <c r="F211" s="29" t="n">
        <f aca="false">IF(NOT(ISNUMBER(G211)),"",IFERROR(IF(MATCH(SUMIFS('FC Calculation'!$N$5:$N$214,'FC Calculation'!$A$5:$A$214,A211,'FC Calculation'!$D$5:$D$214,D211),Config!$D$5:$D$9,1)=G211,SUMIFS('FC Calculation'!$N$5:$N$214,'FC Calculation'!$A$5:$A$214,A211,'FC Calculation'!$D$5:$D$214,D211),G211),G211))</f>
        <v>2.92111111111111</v>
      </c>
      <c r="G211" s="34" t="n">
        <f aca="false">IF(COUNTIFS('FC Calculation'!$A$5:$A$214,A211,'FC Calculation'!$D$5:$D$214,D211,'FC Calculation'!$T$5:$T$214,"&gt;0")=0,"",SUMIFS('FC Calculation'!$T$5:$T$214,'FC Calculation'!$A$5:$A$214,A211,'FC Calculation'!$D$5:$D$214,D211))</f>
        <v>3</v>
      </c>
      <c r="H211" s="7" t="str">
        <f aca="false">IF(G211="N/A","N/A",IF(G211="","No data",INDEX(Config!$B$5:$B$9,G211)))</f>
        <v>Medium</v>
      </c>
      <c r="I211" s="31" t="n">
        <f aca="false">IF(NOT(ISNUMBER($G211)),"",SUMPRODUCT(('Control Mapping'!$C$5:$C$83=D211)*('Control Mapping'!$Q$5:$Q$83&gt;0)))</f>
        <v>5</v>
      </c>
      <c r="J211" s="31" t="n">
        <f aca="false">IF(NOT(ISNUMBER($G211)),"",SUMPRODUCT(('Control Mapping'!$C$5:$C$83=D211)*('Control Mapping'!$F$5:$F$83="Y")*('Control Mapping'!$Q$5:$Q$83&gt;0)))</f>
        <v>4</v>
      </c>
      <c r="K211" s="31" t="n">
        <f aca="false">IF(NOT(ISNUMBER($G211)),"",SUMPRODUCT(('Control Mapping'!$C$5:$C$83=D211)*('Control Mapping'!$F$5:$F$83="Y")*('Control Mapping'!$Q$5:$Q$83=4)))</f>
        <v>0</v>
      </c>
      <c r="L211" s="29" t="n">
        <f aca="false">IF(NOT(ISNUMBER($G211)),"",IFERROR(SUMPRODUCT(('Control Mapping'!$C$5:$C$83=D211)*'Control Mapping'!$E$5:$E$83*'Control Mapping'!$Q$5:$Q$83)/SUMPRODUCT(('Control Mapping'!$C$5:$C$83=D211)*'Control Mapping'!$E$5:$E$83*('Control Mapping'!$Q$5:$Q$83&gt;0)),""))</f>
        <v>2</v>
      </c>
      <c r="M211" s="34" t="n">
        <f aca="false">IF(NOT(ISNUMBER($G211)),"",IF(J211=0,4,MAX(MATCH(L211,'Residual Config'!$E$11:$E$14,1),IF(K211&gt;0,'Residual Config'!$C$7,1))))</f>
        <v>2</v>
      </c>
      <c r="N211" s="7" t="str">
        <f aca="false">IF(NOT(ISNUMBER($G211)),"",IF(J211=0,"Ineffective (no key control)",INDEX('Residual Config'!$B$11:$B$14,M211)))</f>
        <v>Largely effective</v>
      </c>
      <c r="O211" s="36" t="n">
        <f aca="false">IF(NOT(ISNUMBER($G211)),"",IF(J211=0,0,SUMPRODUCT(('Control Mapping'!$C$5:$C$83=D211)*'Control Mapping'!$E$5:$E$83*(('Control Mapping'!$Q$5:$Q$83=1)*'Residual Config'!$D$11+('Control Mapping'!$Q$5:$Q$83=2)*'Residual Config'!$D$12+('Control Mapping'!$Q$5:$Q$83=3)*'Residual Config'!$D$13+('Control Mapping'!$Q$5:$Q$83=4)*'Residual Config'!$D$14))/SUMPRODUCT(('Control Mapping'!$C$5:$C$83=D211)*'Control Mapping'!$E$5:$E$83*('Control Mapping'!$Q$5:$Q$83&gt;0))))</f>
        <v>0.4</v>
      </c>
      <c r="P211" s="31" t="n">
        <f aca="false">IF(NOT(ISNUMBER($G211)),"",INDEX('Residual Config'!$B$19:$E$23,6-G211,M211))</f>
        <v>2</v>
      </c>
      <c r="Q211" s="29" t="n">
        <f aca="false">IF(NOT(ISNUMBER($G211)),"",MAX(1,F211*(1-O211)))</f>
        <v>1.75266666666667</v>
      </c>
      <c r="R211" s="31" t="n">
        <f aca="false">IF(NOT(ISNUMBER($G211)),"",MAX(MATCH(Q211,Config!$D$5:$D$9,1),G211-'Residual Config'!$C$6))</f>
        <v>1</v>
      </c>
      <c r="S211" s="34" t="n">
        <f aca="false">IF(NOT(ISNUMBER($G211)),"",IF('Residual Config'!$C$5="Numeric",R211,P211))</f>
        <v>2</v>
      </c>
      <c r="T211" s="7" t="str">
        <f aca="false">IF(G211="N/A","N/A",IF(S211="","No data",INDEX(Config!$B$5:$B$9,S211)))</f>
        <v>Medium-Low</v>
      </c>
      <c r="U211" s="32" t="n">
        <v>0</v>
      </c>
      <c r="V211" s="8"/>
      <c r="W211" s="33"/>
      <c r="X211" s="34" t="n">
        <f aca="false">IF(S211="","",IF(AND(W211="Y",U211&lt;&gt;0),MAX(1,MIN(5,S211+MAX(-Config!$C$27,MIN(Config!$C$27,U211)))),S211))</f>
        <v>2</v>
      </c>
      <c r="Y211" s="35" t="str">
        <f aca="false">IF(G211="N/A","N/A",IF(X211="","No data",INDEX(Config!$B$5:$B$9,X211)))</f>
        <v>Medium-Low</v>
      </c>
      <c r="Z211" s="7" t="str">
        <f aca="false">IF(U211=0,"None",IF(W211="Y","Applied","Pending HO approval"))</f>
        <v>None</v>
      </c>
      <c r="AA211" s="12" t="str">
        <f aca="false">INDEX('Risk Taxonomy'!$G$5:$G$24,MATCH(D211,'Risk Taxonomy'!$A$5:$A$24,0))</f>
        <v>Zero tolerance (facilitation)</v>
      </c>
      <c r="AB211" s="7" t="str">
        <f aca="false">INDEX('Risk Taxonomy'!$H$5:$H$24,MATCH(D211,'Risk Taxonomy'!$A$5:$A$24,0))</f>
        <v>Low</v>
      </c>
      <c r="AC211" s="35" t="str">
        <f aca="false">IF(NOT(ISNUMBER(X211)),"",IF(X211&lt;=MATCH(AB211,Config!$B$5:$B$9,0),"Within",IF(OR(X211-MATCH(AB211,Config!$B$5:$B$9,0)&gt;=2,AND('Residual Config'!$C$8="Y",ISNUMBER(SEARCH("Zero",AA211)))),"Red","Amber")))</f>
        <v>Amber</v>
      </c>
      <c r="AD211" s="12" t="str">
        <f aca="false">IF(AC211="Red","Group CCO / CRO and Country CEO within 2 business days; action plan in 15 days; report to Board Risk &amp; Compliance Committee",IF(AC211="Amber","Country CO, risk owner and HO Administrator within 5 business days; action plan in 30 days",""))</f>
        <v>Country CO, risk owner and HO Administrator within 5 business days; action plan in 30 days</v>
      </c>
    </row>
    <row r="212" customFormat="false" ht="15" hidden="false" customHeight="false" outlineLevel="0" collapsed="false">
      <c r="A212" s="26" t="str">
        <f aca="false">Entities!$A$15</f>
        <v>BH</v>
      </c>
      <c r="B212" s="12" t="str">
        <f aca="false">INDEX(Entities!$B$5:$B$34,MATCH(A212,Entities!$A$5:$A$34,0))</f>
        <v>Arab Bank – Bahrain</v>
      </c>
      <c r="C212" s="12" t="str">
        <f aca="false">INDEX(Entities!$D$5:$D$34,MATCH(A212,Entities!$A$5:$A$34,0))</f>
        <v>GCC</v>
      </c>
      <c r="D212" s="12" t="s">
        <v>284</v>
      </c>
      <c r="E212" s="12" t="str">
        <f aca="false">INDEX('Risk Taxonomy'!$B$5:$B$24,MATCH(D212,'Risk Taxonomy'!$A$5:$A$24,0))</f>
        <v>Regulatory compliance</v>
      </c>
      <c r="F212" s="29" t="n">
        <f aca="false">IF(NOT(ISNUMBER(G212)),"",G212)</f>
        <v>3</v>
      </c>
      <c r="G212" s="34" t="n">
        <f aca="false">IF(COUNTIFS('LxI Assessment'!$A$5:$A$394,A212,'LxI Assessment'!$D$5:$D$394,D212,'LxI Assessment'!$F$5:$F$394,"N/A")&gt;0,"N/A",IF(COUNTIFS('LxI Assessment'!$A$5:$A$394,A212,'LxI Assessment'!$D$5:$D$394,D212,'LxI Assessment'!$S$5:$S$394,"&gt;0")=0,"",SUMIFS('LxI Assessment'!$S$5:$S$394,'LxI Assessment'!$A$5:$A$394,A212,'LxI Assessment'!$D$5:$D$394,D212)))</f>
        <v>3</v>
      </c>
      <c r="H212" s="7" t="str">
        <f aca="false">IF(G212="N/A","N/A",IF(G212="","No data",INDEX(Config!$B$5:$B$9,G212)))</f>
        <v>Medium</v>
      </c>
      <c r="I212" s="31" t="n">
        <f aca="false">IF(NOT(ISNUMBER($G212)),"",SUMPRODUCT(('Control Mapping'!$C$5:$C$83=D212)*('Control Mapping'!$Q$5:$Q$83&gt;0)))</f>
        <v>4</v>
      </c>
      <c r="J212" s="31" t="n">
        <f aca="false">IF(NOT(ISNUMBER($G212)),"",SUMPRODUCT(('Control Mapping'!$C$5:$C$83=D212)*('Control Mapping'!$F$5:$F$83="Y")*('Control Mapping'!$Q$5:$Q$83&gt;0)))</f>
        <v>3</v>
      </c>
      <c r="K212" s="31" t="n">
        <f aca="false">IF(NOT(ISNUMBER($G212)),"",SUMPRODUCT(('Control Mapping'!$C$5:$C$83=D212)*('Control Mapping'!$F$5:$F$83="Y")*('Control Mapping'!$Q$5:$Q$83=4)))</f>
        <v>0</v>
      </c>
      <c r="L212" s="29" t="n">
        <f aca="false">IF(NOT(ISNUMBER($G212)),"",IFERROR(SUMPRODUCT(('Control Mapping'!$C$5:$C$83=D212)*'Control Mapping'!$E$5:$E$83*'Control Mapping'!$Q$5:$Q$83)/SUMPRODUCT(('Control Mapping'!$C$5:$C$83=D212)*'Control Mapping'!$E$5:$E$83*('Control Mapping'!$Q$5:$Q$83&gt;0)),""))</f>
        <v>2</v>
      </c>
      <c r="M212" s="34" t="n">
        <f aca="false">IF(NOT(ISNUMBER($G212)),"",IF(J212=0,4,MAX(MATCH(L212,'Residual Config'!$E$11:$E$14,1),IF(K212&gt;0,'Residual Config'!$C$7,1))))</f>
        <v>2</v>
      </c>
      <c r="N212" s="7" t="str">
        <f aca="false">IF(NOT(ISNUMBER($G212)),"",IF(J212=0,"Ineffective (no key control)",INDEX('Residual Config'!$B$11:$B$14,M212)))</f>
        <v>Largely effective</v>
      </c>
      <c r="O212" s="36" t="n">
        <f aca="false">IF(NOT(ISNUMBER($G212)),"",IF(J212=0,0,SUMPRODUCT(('Control Mapping'!$C$5:$C$83=D212)*'Control Mapping'!$E$5:$E$83*(('Control Mapping'!$Q$5:$Q$83=1)*'Residual Config'!$D$11+('Control Mapping'!$Q$5:$Q$83=2)*'Residual Config'!$D$12+('Control Mapping'!$Q$5:$Q$83=3)*'Residual Config'!$D$13+('Control Mapping'!$Q$5:$Q$83=4)*'Residual Config'!$D$14))/SUMPRODUCT(('Control Mapping'!$C$5:$C$83=D212)*'Control Mapping'!$E$5:$E$83*('Control Mapping'!$Q$5:$Q$83&gt;0))))</f>
        <v>0.4</v>
      </c>
      <c r="P212" s="31" t="n">
        <f aca="false">IF(NOT(ISNUMBER($G212)),"",INDEX('Residual Config'!$B$19:$E$23,6-G212,M212))</f>
        <v>2</v>
      </c>
      <c r="Q212" s="29" t="n">
        <f aca="false">IF(NOT(ISNUMBER($G212)),"",MAX(1,F212*(1-O212)))</f>
        <v>1.8</v>
      </c>
      <c r="R212" s="31" t="n">
        <f aca="false">IF(NOT(ISNUMBER($G212)),"",MAX(MATCH(Q212,Config!$D$5:$D$9,1),G212-'Residual Config'!$C$6))</f>
        <v>1</v>
      </c>
      <c r="S212" s="34" t="n">
        <f aca="false">IF(NOT(ISNUMBER($G212)),"",IF('Residual Config'!$C$5="Numeric",R212,P212))</f>
        <v>2</v>
      </c>
      <c r="T212" s="7" t="str">
        <f aca="false">IF(G212="N/A","N/A",IF(S212="","No data",INDEX(Config!$B$5:$B$9,S212)))</f>
        <v>Medium-Low</v>
      </c>
      <c r="U212" s="32" t="n">
        <v>0</v>
      </c>
      <c r="V212" s="8"/>
      <c r="W212" s="33"/>
      <c r="X212" s="34" t="n">
        <f aca="false">IF(S212="","",IF(AND(W212="Y",U212&lt;&gt;0),MAX(1,MIN(5,S212+MAX(-Config!$C$27,MIN(Config!$C$27,U212)))),S212))</f>
        <v>2</v>
      </c>
      <c r="Y212" s="35" t="str">
        <f aca="false">IF(G212="N/A","N/A",IF(X212="","No data",INDEX(Config!$B$5:$B$9,X212)))</f>
        <v>Medium-Low</v>
      </c>
      <c r="Z212" s="7" t="str">
        <f aca="false">IF(U212=0,"None",IF(W212="Y","Applied","Pending HO approval"))</f>
        <v>None</v>
      </c>
      <c r="AA212" s="12" t="str">
        <f aca="false">INDEX('Risk Taxonomy'!$G$5:$G$24,MATCH(D212,'Risk Taxonomy'!$A$5:$A$24,0))</f>
        <v>Very low</v>
      </c>
      <c r="AB212" s="7" t="str">
        <f aca="false">INDEX('Risk Taxonomy'!$H$5:$H$24,MATCH(D212,'Risk Taxonomy'!$A$5:$A$24,0))</f>
        <v>Medium-Low</v>
      </c>
      <c r="AC212" s="35" t="str">
        <f aca="false">IF(NOT(ISNUMBER(X212)),"",IF(X212&lt;=MATCH(AB212,Config!$B$5:$B$9,0),"Within",IF(OR(X212-MATCH(AB212,Config!$B$5:$B$9,0)&gt;=2,AND('Residual Config'!$C$8="Y",ISNUMBER(SEARCH("Zero",AA212)))),"Red","Amber")))</f>
        <v>Within</v>
      </c>
      <c r="AD212" s="12" t="str">
        <f aca="false">IF(AC212="Red","Group CCO / CRO and Country CEO within 2 business days; action plan in 15 days; report to Board Risk &amp; Compliance Committee",IF(AC212="Amber","Country CO, risk owner and HO Administrator within 5 business days; action plan in 30 days",""))</f>
        <v/>
      </c>
    </row>
    <row r="213" customFormat="false" ht="15" hidden="false" customHeight="false" outlineLevel="0" collapsed="false">
      <c r="A213" s="26" t="str">
        <f aca="false">Entities!$A$15</f>
        <v>BH</v>
      </c>
      <c r="B213" s="12" t="str">
        <f aca="false">INDEX(Entities!$B$5:$B$34,MATCH(A213,Entities!$A$5:$A$34,0))</f>
        <v>Arab Bank – Bahrain</v>
      </c>
      <c r="C213" s="12" t="str">
        <f aca="false">INDEX(Entities!$D$5:$D$34,MATCH(A213,Entities!$A$5:$A$34,0))</f>
        <v>GCC</v>
      </c>
      <c r="D213" s="12" t="s">
        <v>288</v>
      </c>
      <c r="E213" s="12" t="str">
        <f aca="false">INDEX('Risk Taxonomy'!$B$5:$B$24,MATCH(D213,'Risk Taxonomy'!$A$5:$A$24,0))</f>
        <v>Conduct and consumer protection</v>
      </c>
      <c r="F213" s="29" t="n">
        <f aca="false">IF(NOT(ISNUMBER(G213)),"",G213)</f>
        <v>3</v>
      </c>
      <c r="G213" s="34" t="n">
        <f aca="false">IF(COUNTIFS('LxI Assessment'!$A$5:$A$394,A213,'LxI Assessment'!$D$5:$D$394,D213,'LxI Assessment'!$F$5:$F$394,"N/A")&gt;0,"N/A",IF(COUNTIFS('LxI Assessment'!$A$5:$A$394,A213,'LxI Assessment'!$D$5:$D$394,D213,'LxI Assessment'!$S$5:$S$394,"&gt;0")=0,"",SUMIFS('LxI Assessment'!$S$5:$S$394,'LxI Assessment'!$A$5:$A$394,A213,'LxI Assessment'!$D$5:$D$394,D213)))</f>
        <v>3</v>
      </c>
      <c r="H213" s="7" t="str">
        <f aca="false">IF(G213="N/A","N/A",IF(G213="","No data",INDEX(Config!$B$5:$B$9,G213)))</f>
        <v>Medium</v>
      </c>
      <c r="I213" s="31" t="n">
        <f aca="false">IF(NOT(ISNUMBER($G213)),"",SUMPRODUCT(('Control Mapping'!$C$5:$C$83=D213)*('Control Mapping'!$Q$5:$Q$83&gt;0)))</f>
        <v>2</v>
      </c>
      <c r="J213" s="31" t="n">
        <f aca="false">IF(NOT(ISNUMBER($G213)),"",SUMPRODUCT(('Control Mapping'!$C$5:$C$83=D213)*('Control Mapping'!$F$5:$F$83="Y")*('Control Mapping'!$Q$5:$Q$83&gt;0)))</f>
        <v>1</v>
      </c>
      <c r="K213" s="31" t="n">
        <f aca="false">IF(NOT(ISNUMBER($G213)),"",SUMPRODUCT(('Control Mapping'!$C$5:$C$83=D213)*('Control Mapping'!$F$5:$F$83="Y")*('Control Mapping'!$Q$5:$Q$83=4)))</f>
        <v>0</v>
      </c>
      <c r="L213" s="29" t="n">
        <f aca="false">IF(NOT(ISNUMBER($G213)),"",IFERROR(SUMPRODUCT(('Control Mapping'!$C$5:$C$83=D213)*'Control Mapping'!$E$5:$E$83*'Control Mapping'!$Q$5:$Q$83)/SUMPRODUCT(('Control Mapping'!$C$5:$C$83=D213)*'Control Mapping'!$E$5:$E$83*('Control Mapping'!$Q$5:$Q$83&gt;0)),""))</f>
        <v>2.6</v>
      </c>
      <c r="M213" s="34" t="n">
        <f aca="false">IF(NOT(ISNUMBER($G213)),"",IF(J213=0,4,MAX(MATCH(L213,'Residual Config'!$E$11:$E$14,1),IF(K213&gt;0,'Residual Config'!$C$7,1))))</f>
        <v>3</v>
      </c>
      <c r="N213" s="7" t="str">
        <f aca="false">IF(NOT(ISNUMBER($G213)),"",IF(J213=0,"Ineffective (no key control)",INDEX('Residual Config'!$B$11:$B$14,M213)))</f>
        <v>Partially effective</v>
      </c>
      <c r="O213" s="36" t="n">
        <f aca="false">IF(NOT(ISNUMBER($G213)),"",IF(J213=0,0,SUMPRODUCT(('Control Mapping'!$C$5:$C$83=D213)*'Control Mapping'!$E$5:$E$83*(('Control Mapping'!$Q$5:$Q$83=1)*'Residual Config'!$D$11+('Control Mapping'!$Q$5:$Q$83=2)*'Residual Config'!$D$12+('Control Mapping'!$Q$5:$Q$83=3)*'Residual Config'!$D$13+('Control Mapping'!$Q$5:$Q$83=4)*'Residual Config'!$D$14))/SUMPRODUCT(('Control Mapping'!$C$5:$C$83=D213)*'Control Mapping'!$E$5:$E$83*('Control Mapping'!$Q$5:$Q$83&gt;0))))</f>
        <v>0.28</v>
      </c>
      <c r="P213" s="31" t="n">
        <f aca="false">IF(NOT(ISNUMBER($G213)),"",INDEX('Residual Config'!$B$19:$E$23,6-G213,M213))</f>
        <v>3</v>
      </c>
      <c r="Q213" s="29" t="n">
        <f aca="false">IF(NOT(ISNUMBER($G213)),"",MAX(1,F213*(1-O213)))</f>
        <v>2.16</v>
      </c>
      <c r="R213" s="31" t="n">
        <f aca="false">IF(NOT(ISNUMBER($G213)),"",MAX(MATCH(Q213,Config!$D$5:$D$9,1),G213-'Residual Config'!$C$6))</f>
        <v>2</v>
      </c>
      <c r="S213" s="34" t="n">
        <f aca="false">IF(NOT(ISNUMBER($G213)),"",IF('Residual Config'!$C$5="Numeric",R213,P213))</f>
        <v>3</v>
      </c>
      <c r="T213" s="7" t="str">
        <f aca="false">IF(G213="N/A","N/A",IF(S213="","No data",INDEX(Config!$B$5:$B$9,S213)))</f>
        <v>Medium</v>
      </c>
      <c r="U213" s="32" t="n">
        <v>0</v>
      </c>
      <c r="V213" s="8"/>
      <c r="W213" s="33"/>
      <c r="X213" s="34" t="n">
        <f aca="false">IF(S213="","",IF(AND(W213="Y",U213&lt;&gt;0),MAX(1,MIN(5,S213+MAX(-Config!$C$27,MIN(Config!$C$27,U213)))),S213))</f>
        <v>3</v>
      </c>
      <c r="Y213" s="35" t="str">
        <f aca="false">IF(G213="N/A","N/A",IF(X213="","No data",INDEX(Config!$B$5:$B$9,X213)))</f>
        <v>Medium</v>
      </c>
      <c r="Z213" s="7" t="str">
        <f aca="false">IF(U213=0,"None",IF(W213="Y","Applied","Pending HO approval"))</f>
        <v>None</v>
      </c>
      <c r="AA213" s="12" t="str">
        <f aca="false">INDEX('Risk Taxonomy'!$G$5:$G$24,MATCH(D213,'Risk Taxonomy'!$A$5:$A$24,0))</f>
        <v>Low</v>
      </c>
      <c r="AB213" s="7" t="str">
        <f aca="false">INDEX('Risk Taxonomy'!$H$5:$H$24,MATCH(D213,'Risk Taxonomy'!$A$5:$A$24,0))</f>
        <v>Medium</v>
      </c>
      <c r="AC213" s="35" t="str">
        <f aca="false">IF(NOT(ISNUMBER(X213)),"",IF(X213&lt;=MATCH(AB213,Config!$B$5:$B$9,0),"Within",IF(OR(X213-MATCH(AB213,Config!$B$5:$B$9,0)&gt;=2,AND('Residual Config'!$C$8="Y",ISNUMBER(SEARCH("Zero",AA213)))),"Red","Amber")))</f>
        <v>Within</v>
      </c>
      <c r="AD213" s="12" t="str">
        <f aca="false">IF(AC213="Red","Group CCO / CRO and Country CEO within 2 business days; action plan in 15 days; report to Board Risk &amp; Compliance Committee",IF(AC213="Amber","Country CO, risk owner and HO Administrator within 5 business days; action plan in 30 days",""))</f>
        <v/>
      </c>
    </row>
    <row r="214" customFormat="false" ht="15" hidden="false" customHeight="false" outlineLevel="0" collapsed="false">
      <c r="A214" s="26" t="str">
        <f aca="false">Entities!$A$15</f>
        <v>BH</v>
      </c>
      <c r="B214" s="12" t="str">
        <f aca="false">INDEX(Entities!$B$5:$B$34,MATCH(A214,Entities!$A$5:$A$34,0))</f>
        <v>Arab Bank – Bahrain</v>
      </c>
      <c r="C214" s="12" t="str">
        <f aca="false">INDEX(Entities!$D$5:$D$34,MATCH(A214,Entities!$A$5:$A$34,0))</f>
        <v>GCC</v>
      </c>
      <c r="D214" s="12" t="s">
        <v>290</v>
      </c>
      <c r="E214" s="12" t="str">
        <f aca="false">INDEX('Risk Taxonomy'!$B$5:$B$24,MATCH(D214,'Risk Taxonomy'!$A$5:$A$24,0))</f>
        <v>Data protection and privacy</v>
      </c>
      <c r="F214" s="29" t="n">
        <f aca="false">IF(NOT(ISNUMBER(G214)),"",G214)</f>
        <v>3</v>
      </c>
      <c r="G214" s="34" t="n">
        <f aca="false">IF(COUNTIFS('LxI Assessment'!$A$5:$A$394,A214,'LxI Assessment'!$D$5:$D$394,D214,'LxI Assessment'!$F$5:$F$394,"N/A")&gt;0,"N/A",IF(COUNTIFS('LxI Assessment'!$A$5:$A$394,A214,'LxI Assessment'!$D$5:$D$394,D214,'LxI Assessment'!$S$5:$S$394,"&gt;0")=0,"",SUMIFS('LxI Assessment'!$S$5:$S$394,'LxI Assessment'!$A$5:$A$394,A214,'LxI Assessment'!$D$5:$D$394,D214)))</f>
        <v>3</v>
      </c>
      <c r="H214" s="7" t="str">
        <f aca="false">IF(G214="N/A","N/A",IF(G214="","No data",INDEX(Config!$B$5:$B$9,G214)))</f>
        <v>Medium</v>
      </c>
      <c r="I214" s="31" t="n">
        <f aca="false">IF(NOT(ISNUMBER($G214)),"",SUMPRODUCT(('Control Mapping'!$C$5:$C$83=D214)*('Control Mapping'!$Q$5:$Q$83&gt;0)))</f>
        <v>2</v>
      </c>
      <c r="J214" s="31" t="n">
        <f aca="false">IF(NOT(ISNUMBER($G214)),"",SUMPRODUCT(('Control Mapping'!$C$5:$C$83=D214)*('Control Mapping'!$F$5:$F$83="Y")*('Control Mapping'!$Q$5:$Q$83&gt;0)))</f>
        <v>2</v>
      </c>
      <c r="K214" s="31" t="n">
        <f aca="false">IF(NOT(ISNUMBER($G214)),"",SUMPRODUCT(('Control Mapping'!$C$5:$C$83=D214)*('Control Mapping'!$F$5:$F$83="Y")*('Control Mapping'!$Q$5:$Q$83=4)))</f>
        <v>0</v>
      </c>
      <c r="L214" s="29" t="n">
        <f aca="false">IF(NOT(ISNUMBER($G214)),"",IFERROR(SUMPRODUCT(('Control Mapping'!$C$5:$C$83=D214)*'Control Mapping'!$E$5:$E$83*'Control Mapping'!$Q$5:$Q$83)/SUMPRODUCT(('Control Mapping'!$C$5:$C$83=D214)*'Control Mapping'!$E$5:$E$83*('Control Mapping'!$Q$5:$Q$83&gt;0)),""))</f>
        <v>1.5</v>
      </c>
      <c r="M214" s="34" t="n">
        <f aca="false">IF(NOT(ISNUMBER($G214)),"",IF(J214=0,4,MAX(MATCH(L214,'Residual Config'!$E$11:$E$14,1),IF(K214&gt;0,'Residual Config'!$C$7,1))))</f>
        <v>2</v>
      </c>
      <c r="N214" s="7" t="str">
        <f aca="false">IF(NOT(ISNUMBER($G214)),"",IF(J214=0,"Ineffective (no key control)",INDEX('Residual Config'!$B$11:$B$14,M214)))</f>
        <v>Largely effective</v>
      </c>
      <c r="O214" s="36" t="n">
        <f aca="false">IF(NOT(ISNUMBER($G214)),"",IF(J214=0,0,SUMPRODUCT(('Control Mapping'!$C$5:$C$83=D214)*'Control Mapping'!$E$5:$E$83*(('Control Mapping'!$Q$5:$Q$83=1)*'Residual Config'!$D$11+('Control Mapping'!$Q$5:$Q$83=2)*'Residual Config'!$D$12+('Control Mapping'!$Q$5:$Q$83=3)*'Residual Config'!$D$13+('Control Mapping'!$Q$5:$Q$83=4)*'Residual Config'!$D$14))/SUMPRODUCT(('Control Mapping'!$C$5:$C$83=D214)*'Control Mapping'!$E$5:$E$83*('Control Mapping'!$Q$5:$Q$83&gt;0))))</f>
        <v>0.5</v>
      </c>
      <c r="P214" s="31" t="n">
        <f aca="false">IF(NOT(ISNUMBER($G214)),"",INDEX('Residual Config'!$B$19:$E$23,6-G214,M214))</f>
        <v>2</v>
      </c>
      <c r="Q214" s="29" t="n">
        <f aca="false">IF(NOT(ISNUMBER($G214)),"",MAX(1,F214*(1-O214)))</f>
        <v>1.5</v>
      </c>
      <c r="R214" s="31" t="n">
        <f aca="false">IF(NOT(ISNUMBER($G214)),"",MAX(MATCH(Q214,Config!$D$5:$D$9,1),G214-'Residual Config'!$C$6))</f>
        <v>1</v>
      </c>
      <c r="S214" s="34" t="n">
        <f aca="false">IF(NOT(ISNUMBER($G214)),"",IF('Residual Config'!$C$5="Numeric",R214,P214))</f>
        <v>2</v>
      </c>
      <c r="T214" s="7" t="str">
        <f aca="false">IF(G214="N/A","N/A",IF(S214="","No data",INDEX(Config!$B$5:$B$9,S214)))</f>
        <v>Medium-Low</v>
      </c>
      <c r="U214" s="32" t="n">
        <v>0</v>
      </c>
      <c r="V214" s="8"/>
      <c r="W214" s="33"/>
      <c r="X214" s="34" t="n">
        <f aca="false">IF(S214="","",IF(AND(W214="Y",U214&lt;&gt;0),MAX(1,MIN(5,S214+MAX(-Config!$C$27,MIN(Config!$C$27,U214)))),S214))</f>
        <v>2</v>
      </c>
      <c r="Y214" s="35" t="str">
        <f aca="false">IF(G214="N/A","N/A",IF(X214="","No data",INDEX(Config!$B$5:$B$9,X214)))</f>
        <v>Medium-Low</v>
      </c>
      <c r="Z214" s="7" t="str">
        <f aca="false">IF(U214=0,"None",IF(W214="Y","Applied","Pending HO approval"))</f>
        <v>None</v>
      </c>
      <c r="AA214" s="12" t="str">
        <f aca="false">INDEX('Risk Taxonomy'!$G$5:$G$24,MATCH(D214,'Risk Taxonomy'!$A$5:$A$24,0))</f>
        <v>Very low</v>
      </c>
      <c r="AB214" s="7" t="str">
        <f aca="false">INDEX('Risk Taxonomy'!$H$5:$H$24,MATCH(D214,'Risk Taxonomy'!$A$5:$A$24,0))</f>
        <v>Medium-Low</v>
      </c>
      <c r="AC214" s="35" t="str">
        <f aca="false">IF(NOT(ISNUMBER(X214)),"",IF(X214&lt;=MATCH(AB214,Config!$B$5:$B$9,0),"Within",IF(OR(X214-MATCH(AB214,Config!$B$5:$B$9,0)&gt;=2,AND('Residual Config'!$C$8="Y",ISNUMBER(SEARCH("Zero",AA214)))),"Red","Amber")))</f>
        <v>Within</v>
      </c>
      <c r="AD214" s="12" t="str">
        <f aca="false">IF(AC214="Red","Group CCO / CRO and Country CEO within 2 business days; action plan in 15 days; report to Board Risk &amp; Compliance Committee",IF(AC214="Amber","Country CO, risk owner and HO Administrator within 5 business days; action plan in 30 days",""))</f>
        <v/>
      </c>
    </row>
    <row r="215" customFormat="false" ht="15" hidden="false" customHeight="false" outlineLevel="0" collapsed="false">
      <c r="A215" s="26" t="str">
        <f aca="false">Entities!$A$15</f>
        <v>BH</v>
      </c>
      <c r="B215" s="12" t="str">
        <f aca="false">INDEX(Entities!$B$5:$B$34,MATCH(A215,Entities!$A$5:$A$34,0))</f>
        <v>Arab Bank – Bahrain</v>
      </c>
      <c r="C215" s="12" t="str">
        <f aca="false">INDEX(Entities!$D$5:$D$34,MATCH(A215,Entities!$A$5:$A$34,0))</f>
        <v>GCC</v>
      </c>
      <c r="D215" s="12" t="s">
        <v>293</v>
      </c>
      <c r="E215" s="12" t="str">
        <f aca="false">INDEX('Risk Taxonomy'!$B$5:$B$24,MATCH(D215,'Risk Taxonomy'!$A$5:$A$24,0))</f>
        <v>Shariah non-compliance</v>
      </c>
      <c r="F215" s="29" t="str">
        <f aca="false">IF(NOT(ISNUMBER(G215)),"",G215)</f>
        <v/>
      </c>
      <c r="G215" s="34" t="str">
        <f aca="false">IF(COUNTIFS('LxI Assessment'!$A$5:$A$394,A215,'LxI Assessment'!$D$5:$D$394,D215,'LxI Assessment'!$F$5:$F$394,"N/A")&gt;0,"N/A",IF(COUNTIFS('LxI Assessment'!$A$5:$A$394,A215,'LxI Assessment'!$D$5:$D$394,D215,'LxI Assessment'!$S$5:$S$394,"&gt;0")=0,"",SUMIFS('LxI Assessment'!$S$5:$S$394,'LxI Assessment'!$A$5:$A$394,A215,'LxI Assessment'!$D$5:$D$394,D215)))</f>
        <v>N/A</v>
      </c>
      <c r="H215" s="7" t="str">
        <f aca="false">IF(G215="N/A","N/A",IF(G215="","No data",INDEX(Config!$B$5:$B$9,G215)))</f>
        <v>N/A</v>
      </c>
      <c r="I215" s="31" t="str">
        <f aca="false">IF(NOT(ISNUMBER($G215)),"",SUMPRODUCT(('Control Mapping'!$C$5:$C$83=D215)*('Control Mapping'!$Q$5:$Q$83&gt;0)))</f>
        <v/>
      </c>
      <c r="J215" s="31" t="str">
        <f aca="false">IF(NOT(ISNUMBER($G215)),"",SUMPRODUCT(('Control Mapping'!$C$5:$C$83=D215)*('Control Mapping'!$F$5:$F$83="Y")*('Control Mapping'!$Q$5:$Q$83&gt;0)))</f>
        <v/>
      </c>
      <c r="K215" s="31" t="str">
        <f aca="false">IF(NOT(ISNUMBER($G215)),"",SUMPRODUCT(('Control Mapping'!$C$5:$C$83=D215)*('Control Mapping'!$F$5:$F$83="Y")*('Control Mapping'!$Q$5:$Q$83=4)))</f>
        <v/>
      </c>
      <c r="L215" s="29" t="str">
        <f aca="false">IF(NOT(ISNUMBER($G215)),"",IFERROR(SUMPRODUCT(('Control Mapping'!$C$5:$C$83=D215)*'Control Mapping'!$E$5:$E$83*'Control Mapping'!$Q$5:$Q$83)/SUMPRODUCT(('Control Mapping'!$C$5:$C$83=D215)*'Control Mapping'!$E$5:$E$83*('Control Mapping'!$Q$5:$Q$83&gt;0)),""))</f>
        <v/>
      </c>
      <c r="M215" s="34" t="str">
        <f aca="false">IF(NOT(ISNUMBER($G215)),"",IF(J215=0,4,MAX(MATCH(L215,'Residual Config'!$E$11:$E$14,1),IF(K215&gt;0,'Residual Config'!$C$7,1))))</f>
        <v/>
      </c>
      <c r="N215" s="7" t="str">
        <f aca="false">IF(NOT(ISNUMBER($G215)),"",IF(J215=0,"Ineffective (no key control)",INDEX('Residual Config'!$B$11:$B$14,M215)))</f>
        <v/>
      </c>
      <c r="O215" s="36" t="str">
        <f aca="false">IF(NOT(ISNUMBER($G215)),"",IF(J215=0,0,SUMPRODUCT(('Control Mapping'!$C$5:$C$83=D215)*'Control Mapping'!$E$5:$E$83*(('Control Mapping'!$Q$5:$Q$83=1)*'Residual Config'!$D$11+('Control Mapping'!$Q$5:$Q$83=2)*'Residual Config'!$D$12+('Control Mapping'!$Q$5:$Q$83=3)*'Residual Config'!$D$13+('Control Mapping'!$Q$5:$Q$83=4)*'Residual Config'!$D$14))/SUMPRODUCT(('Control Mapping'!$C$5:$C$83=D215)*'Control Mapping'!$E$5:$E$83*('Control Mapping'!$Q$5:$Q$83&gt;0))))</f>
        <v/>
      </c>
      <c r="P215" s="31" t="str">
        <f aca="false">IF(NOT(ISNUMBER($G215)),"",INDEX('Residual Config'!$B$19:$E$23,6-G215,M215))</f>
        <v/>
      </c>
      <c r="Q215" s="29" t="str">
        <f aca="false">IF(NOT(ISNUMBER($G215)),"",MAX(1,F215*(1-O215)))</f>
        <v/>
      </c>
      <c r="R215" s="31" t="str">
        <f aca="false">IF(NOT(ISNUMBER($G215)),"",MAX(MATCH(Q215,Config!$D$5:$D$9,1),G215-'Residual Config'!$C$6))</f>
        <v/>
      </c>
      <c r="S215" s="34" t="str">
        <f aca="false">IF(NOT(ISNUMBER($G215)),"",IF('Residual Config'!$C$5="Numeric",R215,P215))</f>
        <v/>
      </c>
      <c r="T215" s="7" t="str">
        <f aca="false">IF(G215="N/A","N/A",IF(S215="","No data",INDEX(Config!$B$5:$B$9,S215)))</f>
        <v>N/A</v>
      </c>
      <c r="U215" s="32" t="n">
        <v>0</v>
      </c>
      <c r="V215" s="8"/>
      <c r="W215" s="33"/>
      <c r="X215" s="34" t="str">
        <f aca="false">IF(S215="","",IF(AND(W215="Y",U215&lt;&gt;0),MAX(1,MIN(5,S215+MAX(-Config!$C$27,MIN(Config!$C$27,U215)))),S215))</f>
        <v/>
      </c>
      <c r="Y215" s="35" t="str">
        <f aca="false">IF(G215="N/A","N/A",IF(X215="","No data",INDEX(Config!$B$5:$B$9,X215)))</f>
        <v>N/A</v>
      </c>
      <c r="Z215" s="7" t="str">
        <f aca="false">IF(U215=0,"None",IF(W215="Y","Applied","Pending HO approval"))</f>
        <v>None</v>
      </c>
      <c r="AA215" s="12" t="str">
        <f aca="false">INDEX('Risk Taxonomy'!$G$5:$G$24,MATCH(D215,'Risk Taxonomy'!$A$5:$A$24,0))</f>
        <v>Very low</v>
      </c>
      <c r="AB215" s="7" t="str">
        <f aca="false">INDEX('Risk Taxonomy'!$H$5:$H$24,MATCH(D215,'Risk Taxonomy'!$A$5:$A$24,0))</f>
        <v>Medium-Low</v>
      </c>
      <c r="AC215" s="35" t="str">
        <f aca="false">IF(NOT(ISNUMBER(X215)),"",IF(X215&lt;=MATCH(AB215,Config!$B$5:$B$9,0),"Within",IF(OR(X215-MATCH(AB215,Config!$B$5:$B$9,0)&gt;=2,AND('Residual Config'!$C$8="Y",ISNUMBER(SEARCH("Zero",AA215)))),"Red","Amber")))</f>
        <v/>
      </c>
      <c r="AD215" s="12" t="str">
        <f aca="false">IF(AC215="Red","Group CCO / CRO and Country CEO within 2 business days; action plan in 15 days; report to Board Risk &amp; Compliance Committee",IF(AC215="Amber","Country CO, risk owner and HO Administrator within 5 business days; action plan in 30 days",""))</f>
        <v/>
      </c>
    </row>
    <row r="216" customFormat="false" ht="15" hidden="false" customHeight="false" outlineLevel="0" collapsed="false">
      <c r="A216" s="26" t="str">
        <f aca="false">Entities!$A$15</f>
        <v>BH</v>
      </c>
      <c r="B216" s="12" t="str">
        <f aca="false">INDEX(Entities!$B$5:$B$34,MATCH(A216,Entities!$A$5:$A$34,0))</f>
        <v>Arab Bank – Bahrain</v>
      </c>
      <c r="C216" s="12" t="str">
        <f aca="false">INDEX(Entities!$D$5:$D$34,MATCH(A216,Entities!$A$5:$A$34,0))</f>
        <v>GCC</v>
      </c>
      <c r="D216" s="12" t="s">
        <v>297</v>
      </c>
      <c r="E216" s="12" t="str">
        <f aca="false">INDEX('Risk Taxonomy'!$B$5:$B$24,MATCH(D216,'Risk Taxonomy'!$A$5:$A$24,0))</f>
        <v>Credit risk</v>
      </c>
      <c r="F216" s="29" t="n">
        <f aca="false">IF(NOT(ISNUMBER(G216)),"",G216)</f>
        <v>3</v>
      </c>
      <c r="G216" s="34" t="n">
        <f aca="false">IF(COUNTIFS('LxI Assessment'!$A$5:$A$394,A216,'LxI Assessment'!$D$5:$D$394,D216,'LxI Assessment'!$F$5:$F$394,"N/A")&gt;0,"N/A",IF(COUNTIFS('LxI Assessment'!$A$5:$A$394,A216,'LxI Assessment'!$D$5:$D$394,D216,'LxI Assessment'!$S$5:$S$394,"&gt;0")=0,"",SUMIFS('LxI Assessment'!$S$5:$S$394,'LxI Assessment'!$A$5:$A$394,A216,'LxI Assessment'!$D$5:$D$394,D216)))</f>
        <v>3</v>
      </c>
      <c r="H216" s="7" t="str">
        <f aca="false">IF(G216="N/A","N/A",IF(G216="","No data",INDEX(Config!$B$5:$B$9,G216)))</f>
        <v>Medium</v>
      </c>
      <c r="I216" s="31" t="n">
        <f aca="false">IF(NOT(ISNUMBER($G216)),"",SUMPRODUCT(('Control Mapping'!$C$5:$C$83=D216)*('Control Mapping'!$Q$5:$Q$83&gt;0)))</f>
        <v>2</v>
      </c>
      <c r="J216" s="31" t="n">
        <f aca="false">IF(NOT(ISNUMBER($G216)),"",SUMPRODUCT(('Control Mapping'!$C$5:$C$83=D216)*('Control Mapping'!$F$5:$F$83="Y")*('Control Mapping'!$Q$5:$Q$83&gt;0)))</f>
        <v>1</v>
      </c>
      <c r="K216" s="31" t="n">
        <f aca="false">IF(NOT(ISNUMBER($G216)),"",SUMPRODUCT(('Control Mapping'!$C$5:$C$83=D216)*('Control Mapping'!$F$5:$F$83="Y")*('Control Mapping'!$Q$5:$Q$83=4)))</f>
        <v>0</v>
      </c>
      <c r="L216" s="29" t="n">
        <f aca="false">IF(NOT(ISNUMBER($G216)),"",IFERROR(SUMPRODUCT(('Control Mapping'!$C$5:$C$83=D216)*'Control Mapping'!$E$5:$E$83*'Control Mapping'!$Q$5:$Q$83)/SUMPRODUCT(('Control Mapping'!$C$5:$C$83=D216)*'Control Mapping'!$E$5:$E$83*('Control Mapping'!$Q$5:$Q$83&gt;0)),""))</f>
        <v>2</v>
      </c>
      <c r="M216" s="34" t="n">
        <f aca="false">IF(NOT(ISNUMBER($G216)),"",IF(J216=0,4,MAX(MATCH(L216,'Residual Config'!$E$11:$E$14,1),IF(K216&gt;0,'Residual Config'!$C$7,1))))</f>
        <v>2</v>
      </c>
      <c r="N216" s="7" t="str">
        <f aca="false">IF(NOT(ISNUMBER($G216)),"",IF(J216=0,"Ineffective (no key control)",INDEX('Residual Config'!$B$11:$B$14,M216)))</f>
        <v>Largely effective</v>
      </c>
      <c r="O216" s="36" t="n">
        <f aca="false">IF(NOT(ISNUMBER($G216)),"",IF(J216=0,0,SUMPRODUCT(('Control Mapping'!$C$5:$C$83=D216)*'Control Mapping'!$E$5:$E$83*(('Control Mapping'!$Q$5:$Q$83=1)*'Residual Config'!$D$11+('Control Mapping'!$Q$5:$Q$83=2)*'Residual Config'!$D$12+('Control Mapping'!$Q$5:$Q$83=3)*'Residual Config'!$D$13+('Control Mapping'!$Q$5:$Q$83=4)*'Residual Config'!$D$14))/SUMPRODUCT(('Control Mapping'!$C$5:$C$83=D216)*'Control Mapping'!$E$5:$E$83*('Control Mapping'!$Q$5:$Q$83&gt;0))))</f>
        <v>0.4</v>
      </c>
      <c r="P216" s="31" t="n">
        <f aca="false">IF(NOT(ISNUMBER($G216)),"",INDEX('Residual Config'!$B$19:$E$23,6-G216,M216))</f>
        <v>2</v>
      </c>
      <c r="Q216" s="29" t="n">
        <f aca="false">IF(NOT(ISNUMBER($G216)),"",MAX(1,F216*(1-O216)))</f>
        <v>1.8</v>
      </c>
      <c r="R216" s="31" t="n">
        <f aca="false">IF(NOT(ISNUMBER($G216)),"",MAX(MATCH(Q216,Config!$D$5:$D$9,1),G216-'Residual Config'!$C$6))</f>
        <v>1</v>
      </c>
      <c r="S216" s="34" t="n">
        <f aca="false">IF(NOT(ISNUMBER($G216)),"",IF('Residual Config'!$C$5="Numeric",R216,P216))</f>
        <v>2</v>
      </c>
      <c r="T216" s="7" t="str">
        <f aca="false">IF(G216="N/A","N/A",IF(S216="","No data",INDEX(Config!$B$5:$B$9,S216)))</f>
        <v>Medium-Low</v>
      </c>
      <c r="U216" s="32" t="n">
        <v>0</v>
      </c>
      <c r="V216" s="8"/>
      <c r="W216" s="33"/>
      <c r="X216" s="34" t="n">
        <f aca="false">IF(S216="","",IF(AND(W216="Y",U216&lt;&gt;0),MAX(1,MIN(5,S216+MAX(-Config!$C$27,MIN(Config!$C$27,U216)))),S216))</f>
        <v>2</v>
      </c>
      <c r="Y216" s="35" t="str">
        <f aca="false">IF(G216="N/A","N/A",IF(X216="","No data",INDEX(Config!$B$5:$B$9,X216)))</f>
        <v>Medium-Low</v>
      </c>
      <c r="Z216" s="7" t="str">
        <f aca="false">IF(U216=0,"None",IF(W216="Y","Applied","Pending HO approval"))</f>
        <v>None</v>
      </c>
      <c r="AA216" s="12" t="str">
        <f aca="false">INDEX('Risk Taxonomy'!$G$5:$G$24,MATCH(D216,'Risk Taxonomy'!$A$5:$A$24,0))</f>
        <v>Moderate</v>
      </c>
      <c r="AB216" s="7" t="str">
        <f aca="false">INDEX('Risk Taxonomy'!$H$5:$H$24,MATCH(D216,'Risk Taxonomy'!$A$5:$A$24,0))</f>
        <v>Medium-High</v>
      </c>
      <c r="AC216" s="35" t="str">
        <f aca="false">IF(NOT(ISNUMBER(X216)),"",IF(X216&lt;=MATCH(AB216,Config!$B$5:$B$9,0),"Within",IF(OR(X216-MATCH(AB216,Config!$B$5:$B$9,0)&gt;=2,AND('Residual Config'!$C$8="Y",ISNUMBER(SEARCH("Zero",AA216)))),"Red","Amber")))</f>
        <v>Within</v>
      </c>
      <c r="AD216" s="12" t="str">
        <f aca="false">IF(AC216="Red","Group CCO / CRO and Country CEO within 2 business days; action plan in 15 days; report to Board Risk &amp; Compliance Committee",IF(AC216="Amber","Country CO, risk owner and HO Administrator within 5 business days; action plan in 30 days",""))</f>
        <v/>
      </c>
    </row>
    <row r="217" customFormat="false" ht="15" hidden="false" customHeight="false" outlineLevel="0" collapsed="false">
      <c r="A217" s="26" t="str">
        <f aca="false">Entities!$A$15</f>
        <v>BH</v>
      </c>
      <c r="B217" s="12" t="str">
        <f aca="false">INDEX(Entities!$B$5:$B$34,MATCH(A217,Entities!$A$5:$A$34,0))</f>
        <v>Arab Bank – Bahrain</v>
      </c>
      <c r="C217" s="12" t="str">
        <f aca="false">INDEX(Entities!$D$5:$D$34,MATCH(A217,Entities!$A$5:$A$34,0))</f>
        <v>GCC</v>
      </c>
      <c r="D217" s="12" t="s">
        <v>302</v>
      </c>
      <c r="E217" s="12" t="str">
        <f aca="false">INDEX('Risk Taxonomy'!$B$5:$B$24,MATCH(D217,'Risk Taxonomy'!$A$5:$A$24,0))</f>
        <v>Market risk</v>
      </c>
      <c r="F217" s="29" t="n">
        <f aca="false">IF(NOT(ISNUMBER(G217)),"",G217)</f>
        <v>3</v>
      </c>
      <c r="G217" s="34" t="n">
        <f aca="false">IF(COUNTIFS('LxI Assessment'!$A$5:$A$394,A217,'LxI Assessment'!$D$5:$D$394,D217,'LxI Assessment'!$F$5:$F$394,"N/A")&gt;0,"N/A",IF(COUNTIFS('LxI Assessment'!$A$5:$A$394,A217,'LxI Assessment'!$D$5:$D$394,D217,'LxI Assessment'!$S$5:$S$394,"&gt;0")=0,"",SUMIFS('LxI Assessment'!$S$5:$S$394,'LxI Assessment'!$A$5:$A$394,A217,'LxI Assessment'!$D$5:$D$394,D217)))</f>
        <v>3</v>
      </c>
      <c r="H217" s="7" t="str">
        <f aca="false">IF(G217="N/A","N/A",IF(G217="","No data",INDEX(Config!$B$5:$B$9,G217)))</f>
        <v>Medium</v>
      </c>
      <c r="I217" s="31" t="n">
        <f aca="false">IF(NOT(ISNUMBER($G217)),"",SUMPRODUCT(('Control Mapping'!$C$5:$C$83=D217)*('Control Mapping'!$Q$5:$Q$83&gt;0)))</f>
        <v>1</v>
      </c>
      <c r="J217" s="31" t="n">
        <f aca="false">IF(NOT(ISNUMBER($G217)),"",SUMPRODUCT(('Control Mapping'!$C$5:$C$83=D217)*('Control Mapping'!$F$5:$F$83="Y")*('Control Mapping'!$Q$5:$Q$83&gt;0)))</f>
        <v>1</v>
      </c>
      <c r="K217" s="31" t="n">
        <f aca="false">IF(NOT(ISNUMBER($G217)),"",SUMPRODUCT(('Control Mapping'!$C$5:$C$83=D217)*('Control Mapping'!$F$5:$F$83="Y")*('Control Mapping'!$Q$5:$Q$83=4)))</f>
        <v>0</v>
      </c>
      <c r="L217" s="29" t="n">
        <f aca="false">IF(NOT(ISNUMBER($G217)),"",IFERROR(SUMPRODUCT(('Control Mapping'!$C$5:$C$83=D217)*'Control Mapping'!$E$5:$E$83*'Control Mapping'!$Q$5:$Q$83)/SUMPRODUCT(('Control Mapping'!$C$5:$C$83=D217)*'Control Mapping'!$E$5:$E$83*('Control Mapping'!$Q$5:$Q$83&gt;0)),""))</f>
        <v>3</v>
      </c>
      <c r="M217" s="34" t="n">
        <f aca="false">IF(NOT(ISNUMBER($G217)),"",IF(J217=0,4,MAX(MATCH(L217,'Residual Config'!$E$11:$E$14,1),IF(K217&gt;0,'Residual Config'!$C$7,1))))</f>
        <v>3</v>
      </c>
      <c r="N217" s="7" t="str">
        <f aca="false">IF(NOT(ISNUMBER($G217)),"",IF(J217=0,"Ineffective (no key control)",INDEX('Residual Config'!$B$11:$B$14,M217)))</f>
        <v>Partially effective</v>
      </c>
      <c r="O217" s="36" t="n">
        <f aca="false">IF(NOT(ISNUMBER($G217)),"",IF(J217=0,0,SUMPRODUCT(('Control Mapping'!$C$5:$C$83=D217)*'Control Mapping'!$E$5:$E$83*(('Control Mapping'!$Q$5:$Q$83=1)*'Residual Config'!$D$11+('Control Mapping'!$Q$5:$Q$83=2)*'Residual Config'!$D$12+('Control Mapping'!$Q$5:$Q$83=3)*'Residual Config'!$D$13+('Control Mapping'!$Q$5:$Q$83=4)*'Residual Config'!$D$14))/SUMPRODUCT(('Control Mapping'!$C$5:$C$83=D217)*'Control Mapping'!$E$5:$E$83*('Control Mapping'!$Q$5:$Q$83&gt;0))))</f>
        <v>0.2</v>
      </c>
      <c r="P217" s="31" t="n">
        <f aca="false">IF(NOT(ISNUMBER($G217)),"",INDEX('Residual Config'!$B$19:$E$23,6-G217,M217))</f>
        <v>3</v>
      </c>
      <c r="Q217" s="29" t="n">
        <f aca="false">IF(NOT(ISNUMBER($G217)),"",MAX(1,F217*(1-O217)))</f>
        <v>2.4</v>
      </c>
      <c r="R217" s="31" t="n">
        <f aca="false">IF(NOT(ISNUMBER($G217)),"",MAX(MATCH(Q217,Config!$D$5:$D$9,1),G217-'Residual Config'!$C$6))</f>
        <v>2</v>
      </c>
      <c r="S217" s="34" t="n">
        <f aca="false">IF(NOT(ISNUMBER($G217)),"",IF('Residual Config'!$C$5="Numeric",R217,P217))</f>
        <v>3</v>
      </c>
      <c r="T217" s="7" t="str">
        <f aca="false">IF(G217="N/A","N/A",IF(S217="","No data",INDEX(Config!$B$5:$B$9,S217)))</f>
        <v>Medium</v>
      </c>
      <c r="U217" s="32" t="n">
        <v>0</v>
      </c>
      <c r="V217" s="8"/>
      <c r="W217" s="33"/>
      <c r="X217" s="34" t="n">
        <f aca="false">IF(S217="","",IF(AND(W217="Y",U217&lt;&gt;0),MAX(1,MIN(5,S217+MAX(-Config!$C$27,MIN(Config!$C$27,U217)))),S217))</f>
        <v>3</v>
      </c>
      <c r="Y217" s="35" t="str">
        <f aca="false">IF(G217="N/A","N/A",IF(X217="","No data",INDEX(Config!$B$5:$B$9,X217)))</f>
        <v>Medium</v>
      </c>
      <c r="Z217" s="7" t="str">
        <f aca="false">IF(U217=0,"None",IF(W217="Y","Applied","Pending HO approval"))</f>
        <v>None</v>
      </c>
      <c r="AA217" s="12" t="str">
        <f aca="false">INDEX('Risk Taxonomy'!$G$5:$G$24,MATCH(D217,'Risk Taxonomy'!$A$5:$A$24,0))</f>
        <v>Moderate</v>
      </c>
      <c r="AB217" s="7" t="str">
        <f aca="false">INDEX('Risk Taxonomy'!$H$5:$H$24,MATCH(D217,'Risk Taxonomy'!$A$5:$A$24,0))</f>
        <v>Medium-High</v>
      </c>
      <c r="AC217" s="35" t="str">
        <f aca="false">IF(NOT(ISNUMBER(X217)),"",IF(X217&lt;=MATCH(AB217,Config!$B$5:$B$9,0),"Within",IF(OR(X217-MATCH(AB217,Config!$B$5:$B$9,0)&gt;=2,AND('Residual Config'!$C$8="Y",ISNUMBER(SEARCH("Zero",AA217)))),"Red","Amber")))</f>
        <v>Within</v>
      </c>
      <c r="AD217" s="12" t="str">
        <f aca="false">IF(AC217="Red","Group CCO / CRO and Country CEO within 2 business days; action plan in 15 days; report to Board Risk &amp; Compliance Committee",IF(AC217="Amber","Country CO, risk owner and HO Administrator within 5 business days; action plan in 30 days",""))</f>
        <v/>
      </c>
    </row>
    <row r="218" customFormat="false" ht="15" hidden="false" customHeight="false" outlineLevel="0" collapsed="false">
      <c r="A218" s="26" t="str">
        <f aca="false">Entities!$A$15</f>
        <v>BH</v>
      </c>
      <c r="B218" s="12" t="str">
        <f aca="false">INDEX(Entities!$B$5:$B$34,MATCH(A218,Entities!$A$5:$A$34,0))</f>
        <v>Arab Bank – Bahrain</v>
      </c>
      <c r="C218" s="12" t="str">
        <f aca="false">INDEX(Entities!$D$5:$D$34,MATCH(A218,Entities!$A$5:$A$34,0))</f>
        <v>GCC</v>
      </c>
      <c r="D218" s="12" t="s">
        <v>304</v>
      </c>
      <c r="E218" s="12" t="str">
        <f aca="false">INDEX('Risk Taxonomy'!$B$5:$B$24,MATCH(D218,'Risk Taxonomy'!$A$5:$A$24,0))</f>
        <v>Liquidity and funding risk</v>
      </c>
      <c r="F218" s="29" t="n">
        <f aca="false">IF(NOT(ISNUMBER(G218)),"",G218)</f>
        <v>2</v>
      </c>
      <c r="G218" s="34" t="n">
        <f aca="false">IF(COUNTIFS('LxI Assessment'!$A$5:$A$394,A218,'LxI Assessment'!$D$5:$D$394,D218,'LxI Assessment'!$F$5:$F$394,"N/A")&gt;0,"N/A",IF(COUNTIFS('LxI Assessment'!$A$5:$A$394,A218,'LxI Assessment'!$D$5:$D$394,D218,'LxI Assessment'!$S$5:$S$394,"&gt;0")=0,"",SUMIFS('LxI Assessment'!$S$5:$S$394,'LxI Assessment'!$A$5:$A$394,A218,'LxI Assessment'!$D$5:$D$394,D218)))</f>
        <v>2</v>
      </c>
      <c r="H218" s="7" t="str">
        <f aca="false">IF(G218="N/A","N/A",IF(G218="","No data",INDEX(Config!$B$5:$B$9,G218)))</f>
        <v>Medium-Low</v>
      </c>
      <c r="I218" s="31" t="n">
        <f aca="false">IF(NOT(ISNUMBER($G218)),"",SUMPRODUCT(('Control Mapping'!$C$5:$C$83=D218)*('Control Mapping'!$Q$5:$Q$83&gt;0)))</f>
        <v>1</v>
      </c>
      <c r="J218" s="31" t="n">
        <f aca="false">IF(NOT(ISNUMBER($G218)),"",SUMPRODUCT(('Control Mapping'!$C$5:$C$83=D218)*('Control Mapping'!$F$5:$F$83="Y")*('Control Mapping'!$Q$5:$Q$83&gt;0)))</f>
        <v>1</v>
      </c>
      <c r="K218" s="31" t="n">
        <f aca="false">IF(NOT(ISNUMBER($G218)),"",SUMPRODUCT(('Control Mapping'!$C$5:$C$83=D218)*('Control Mapping'!$F$5:$F$83="Y")*('Control Mapping'!$Q$5:$Q$83=4)))</f>
        <v>0</v>
      </c>
      <c r="L218" s="29" t="n">
        <f aca="false">IF(NOT(ISNUMBER($G218)),"",IFERROR(SUMPRODUCT(('Control Mapping'!$C$5:$C$83=D218)*'Control Mapping'!$E$5:$E$83*'Control Mapping'!$Q$5:$Q$83)/SUMPRODUCT(('Control Mapping'!$C$5:$C$83=D218)*'Control Mapping'!$E$5:$E$83*('Control Mapping'!$Q$5:$Q$83&gt;0)),""))</f>
        <v>2</v>
      </c>
      <c r="M218" s="34" t="n">
        <f aca="false">IF(NOT(ISNUMBER($G218)),"",IF(J218=0,4,MAX(MATCH(L218,'Residual Config'!$E$11:$E$14,1),IF(K218&gt;0,'Residual Config'!$C$7,1))))</f>
        <v>2</v>
      </c>
      <c r="N218" s="7" t="str">
        <f aca="false">IF(NOT(ISNUMBER($G218)),"",IF(J218=0,"Ineffective (no key control)",INDEX('Residual Config'!$B$11:$B$14,M218)))</f>
        <v>Largely effective</v>
      </c>
      <c r="O218" s="36" t="n">
        <f aca="false">IF(NOT(ISNUMBER($G218)),"",IF(J218=0,0,SUMPRODUCT(('Control Mapping'!$C$5:$C$83=D218)*'Control Mapping'!$E$5:$E$83*(('Control Mapping'!$Q$5:$Q$83=1)*'Residual Config'!$D$11+('Control Mapping'!$Q$5:$Q$83=2)*'Residual Config'!$D$12+('Control Mapping'!$Q$5:$Q$83=3)*'Residual Config'!$D$13+('Control Mapping'!$Q$5:$Q$83=4)*'Residual Config'!$D$14))/SUMPRODUCT(('Control Mapping'!$C$5:$C$83=D218)*'Control Mapping'!$E$5:$E$83*('Control Mapping'!$Q$5:$Q$83&gt;0))))</f>
        <v>0.4</v>
      </c>
      <c r="P218" s="31" t="n">
        <f aca="false">IF(NOT(ISNUMBER($G218)),"",INDEX('Residual Config'!$B$19:$E$23,6-G218,M218))</f>
        <v>1</v>
      </c>
      <c r="Q218" s="29" t="n">
        <f aca="false">IF(NOT(ISNUMBER($G218)),"",MAX(1,F218*(1-O218)))</f>
        <v>1.2</v>
      </c>
      <c r="R218" s="31" t="n">
        <f aca="false">IF(NOT(ISNUMBER($G218)),"",MAX(MATCH(Q218,Config!$D$5:$D$9,1),G218-'Residual Config'!$C$6))</f>
        <v>1</v>
      </c>
      <c r="S218" s="34" t="n">
        <f aca="false">IF(NOT(ISNUMBER($G218)),"",IF('Residual Config'!$C$5="Numeric",R218,P218))</f>
        <v>1</v>
      </c>
      <c r="T218" s="7" t="str">
        <f aca="false">IF(G218="N/A","N/A",IF(S218="","No data",INDEX(Config!$B$5:$B$9,S218)))</f>
        <v>Low</v>
      </c>
      <c r="U218" s="32" t="n">
        <v>0</v>
      </c>
      <c r="V218" s="8"/>
      <c r="W218" s="33"/>
      <c r="X218" s="34" t="n">
        <f aca="false">IF(S218="","",IF(AND(W218="Y",U218&lt;&gt;0),MAX(1,MIN(5,S218+MAX(-Config!$C$27,MIN(Config!$C$27,U218)))),S218))</f>
        <v>1</v>
      </c>
      <c r="Y218" s="35" t="str">
        <f aca="false">IF(G218="N/A","N/A",IF(X218="","No data",INDEX(Config!$B$5:$B$9,X218)))</f>
        <v>Low</v>
      </c>
      <c r="Z218" s="7" t="str">
        <f aca="false">IF(U218=0,"None",IF(W218="Y","Applied","Pending HO approval"))</f>
        <v>None</v>
      </c>
      <c r="AA218" s="12" t="str">
        <f aca="false">INDEX('Risk Taxonomy'!$G$5:$G$24,MATCH(D218,'Risk Taxonomy'!$A$5:$A$24,0))</f>
        <v>Low</v>
      </c>
      <c r="AB218" s="7" t="str">
        <f aca="false">INDEX('Risk Taxonomy'!$H$5:$H$24,MATCH(D218,'Risk Taxonomy'!$A$5:$A$24,0))</f>
        <v>Medium</v>
      </c>
      <c r="AC218" s="35" t="str">
        <f aca="false">IF(NOT(ISNUMBER(X218)),"",IF(X218&lt;=MATCH(AB218,Config!$B$5:$B$9,0),"Within",IF(OR(X218-MATCH(AB218,Config!$B$5:$B$9,0)&gt;=2,AND('Residual Config'!$C$8="Y",ISNUMBER(SEARCH("Zero",AA218)))),"Red","Amber")))</f>
        <v>Within</v>
      </c>
      <c r="AD218" s="12" t="str">
        <f aca="false">IF(AC218="Red","Group CCO / CRO and Country CEO within 2 business days; action plan in 15 days; report to Board Risk &amp; Compliance Committee",IF(AC218="Amber","Country CO, risk owner and HO Administrator within 5 business days; action plan in 30 days",""))</f>
        <v/>
      </c>
    </row>
    <row r="219" customFormat="false" ht="15" hidden="false" customHeight="false" outlineLevel="0" collapsed="false">
      <c r="A219" s="26" t="str">
        <f aca="false">Entities!$A$15</f>
        <v>BH</v>
      </c>
      <c r="B219" s="12" t="str">
        <f aca="false">INDEX(Entities!$B$5:$B$34,MATCH(A219,Entities!$A$5:$A$34,0))</f>
        <v>Arab Bank – Bahrain</v>
      </c>
      <c r="C219" s="12" t="str">
        <f aca="false">INDEX(Entities!$D$5:$D$34,MATCH(A219,Entities!$A$5:$A$34,0))</f>
        <v>GCC</v>
      </c>
      <c r="D219" s="12" t="s">
        <v>307</v>
      </c>
      <c r="E219" s="12" t="str">
        <f aca="false">INDEX('Risk Taxonomy'!$B$5:$B$24,MATCH(D219,'Risk Taxonomy'!$A$5:$A$24,0))</f>
        <v>Operational risk</v>
      </c>
      <c r="F219" s="29" t="n">
        <f aca="false">IF(NOT(ISNUMBER(G219)),"",G219)</f>
        <v>3</v>
      </c>
      <c r="G219" s="34" t="n">
        <f aca="false">IF(COUNTIFS('LxI Assessment'!$A$5:$A$394,A219,'LxI Assessment'!$D$5:$D$394,D219,'LxI Assessment'!$F$5:$F$394,"N/A")&gt;0,"N/A",IF(COUNTIFS('LxI Assessment'!$A$5:$A$394,A219,'LxI Assessment'!$D$5:$D$394,D219,'LxI Assessment'!$S$5:$S$394,"&gt;0")=0,"",SUMIFS('LxI Assessment'!$S$5:$S$394,'LxI Assessment'!$A$5:$A$394,A219,'LxI Assessment'!$D$5:$D$394,D219)))</f>
        <v>3</v>
      </c>
      <c r="H219" s="7" t="str">
        <f aca="false">IF(G219="N/A","N/A",IF(G219="","No data",INDEX(Config!$B$5:$B$9,G219)))</f>
        <v>Medium</v>
      </c>
      <c r="I219" s="31" t="n">
        <f aca="false">IF(NOT(ISNUMBER($G219)),"",SUMPRODUCT(('Control Mapping'!$C$5:$C$83=D219)*('Control Mapping'!$Q$5:$Q$83&gt;0)))</f>
        <v>3</v>
      </c>
      <c r="J219" s="31" t="n">
        <f aca="false">IF(NOT(ISNUMBER($G219)),"",SUMPRODUCT(('Control Mapping'!$C$5:$C$83=D219)*('Control Mapping'!$F$5:$F$83="Y")*('Control Mapping'!$Q$5:$Q$83&gt;0)))</f>
        <v>2</v>
      </c>
      <c r="K219" s="31" t="n">
        <f aca="false">IF(NOT(ISNUMBER($G219)),"",SUMPRODUCT(('Control Mapping'!$C$5:$C$83=D219)*('Control Mapping'!$F$5:$F$83="Y")*('Control Mapping'!$Q$5:$Q$83=4)))</f>
        <v>0</v>
      </c>
      <c r="L219" s="29" t="n">
        <f aca="false">IF(NOT(ISNUMBER($G219)),"",IFERROR(SUMPRODUCT(('Control Mapping'!$C$5:$C$83=D219)*'Control Mapping'!$E$5:$E$83*'Control Mapping'!$Q$5:$Q$83)/SUMPRODUCT(('Control Mapping'!$C$5:$C$83=D219)*'Control Mapping'!$E$5:$E$83*('Control Mapping'!$Q$5:$Q$83&gt;0)),""))</f>
        <v>2.33333333333333</v>
      </c>
      <c r="M219" s="34" t="n">
        <f aca="false">IF(NOT(ISNUMBER($G219)),"",IF(J219=0,4,MAX(MATCH(L219,'Residual Config'!$E$11:$E$14,1),IF(K219&gt;0,'Residual Config'!$C$7,1))))</f>
        <v>2</v>
      </c>
      <c r="N219" s="7" t="str">
        <f aca="false">IF(NOT(ISNUMBER($G219)),"",IF(J219=0,"Ineffective (no key control)",INDEX('Residual Config'!$B$11:$B$14,M219)))</f>
        <v>Largely effective</v>
      </c>
      <c r="O219" s="36" t="n">
        <f aca="false">IF(NOT(ISNUMBER($G219)),"",IF(J219=0,0,SUMPRODUCT(('Control Mapping'!$C$5:$C$83=D219)*'Control Mapping'!$E$5:$E$83*(('Control Mapping'!$Q$5:$Q$83=1)*'Residual Config'!$D$11+('Control Mapping'!$Q$5:$Q$83=2)*'Residual Config'!$D$12+('Control Mapping'!$Q$5:$Q$83=3)*'Residual Config'!$D$13+('Control Mapping'!$Q$5:$Q$83=4)*'Residual Config'!$D$14))/SUMPRODUCT(('Control Mapping'!$C$5:$C$83=D219)*'Control Mapping'!$E$5:$E$83*('Control Mapping'!$Q$5:$Q$83&gt;0))))</f>
        <v>0.333333333333333</v>
      </c>
      <c r="P219" s="31" t="n">
        <f aca="false">IF(NOT(ISNUMBER($G219)),"",INDEX('Residual Config'!$B$19:$E$23,6-G219,M219))</f>
        <v>2</v>
      </c>
      <c r="Q219" s="29" t="n">
        <f aca="false">IF(NOT(ISNUMBER($G219)),"",MAX(1,F219*(1-O219)))</f>
        <v>2</v>
      </c>
      <c r="R219" s="31" t="n">
        <f aca="false">IF(NOT(ISNUMBER($G219)),"",MAX(MATCH(Q219,Config!$D$5:$D$9,1),G219-'Residual Config'!$C$6))</f>
        <v>2</v>
      </c>
      <c r="S219" s="34" t="n">
        <f aca="false">IF(NOT(ISNUMBER($G219)),"",IF('Residual Config'!$C$5="Numeric",R219,P219))</f>
        <v>2</v>
      </c>
      <c r="T219" s="7" t="str">
        <f aca="false">IF(G219="N/A","N/A",IF(S219="","No data",INDEX(Config!$B$5:$B$9,S219)))</f>
        <v>Medium-Low</v>
      </c>
      <c r="U219" s="32" t="n">
        <v>0</v>
      </c>
      <c r="V219" s="8"/>
      <c r="W219" s="33"/>
      <c r="X219" s="34" t="n">
        <f aca="false">IF(S219="","",IF(AND(W219="Y",U219&lt;&gt;0),MAX(1,MIN(5,S219+MAX(-Config!$C$27,MIN(Config!$C$27,U219)))),S219))</f>
        <v>2</v>
      </c>
      <c r="Y219" s="35" t="str">
        <f aca="false">IF(G219="N/A","N/A",IF(X219="","No data",INDEX(Config!$B$5:$B$9,X219)))</f>
        <v>Medium-Low</v>
      </c>
      <c r="Z219" s="7" t="str">
        <f aca="false">IF(U219=0,"None",IF(W219="Y","Applied","Pending HO approval"))</f>
        <v>None</v>
      </c>
      <c r="AA219" s="12" t="str">
        <f aca="false">INDEX('Risk Taxonomy'!$G$5:$G$24,MATCH(D219,'Risk Taxonomy'!$A$5:$A$24,0))</f>
        <v>Low</v>
      </c>
      <c r="AB219" s="7" t="str">
        <f aca="false">INDEX('Risk Taxonomy'!$H$5:$H$24,MATCH(D219,'Risk Taxonomy'!$A$5:$A$24,0))</f>
        <v>Medium</v>
      </c>
      <c r="AC219" s="35" t="str">
        <f aca="false">IF(NOT(ISNUMBER(X219)),"",IF(X219&lt;=MATCH(AB219,Config!$B$5:$B$9,0),"Within",IF(OR(X219-MATCH(AB219,Config!$B$5:$B$9,0)&gt;=2,AND('Residual Config'!$C$8="Y",ISNUMBER(SEARCH("Zero",AA219)))),"Red","Amber")))</f>
        <v>Within</v>
      </c>
      <c r="AD219" s="12" t="str">
        <f aca="false">IF(AC219="Red","Group CCO / CRO and Country CEO within 2 business days; action plan in 15 days; report to Board Risk &amp; Compliance Committee",IF(AC219="Amber","Country CO, risk owner and HO Administrator within 5 business days; action plan in 30 days",""))</f>
        <v/>
      </c>
    </row>
    <row r="220" customFormat="false" ht="15" hidden="false" customHeight="false" outlineLevel="0" collapsed="false">
      <c r="A220" s="26" t="str">
        <f aca="false">Entities!$A$15</f>
        <v>BH</v>
      </c>
      <c r="B220" s="12" t="str">
        <f aca="false">INDEX(Entities!$B$5:$B$34,MATCH(A220,Entities!$A$5:$A$34,0))</f>
        <v>Arab Bank – Bahrain</v>
      </c>
      <c r="C220" s="12" t="str">
        <f aca="false">INDEX(Entities!$D$5:$D$34,MATCH(A220,Entities!$A$5:$A$34,0))</f>
        <v>GCC</v>
      </c>
      <c r="D220" s="12" t="s">
        <v>310</v>
      </c>
      <c r="E220" s="12" t="str">
        <f aca="false">INDEX('Risk Taxonomy'!$B$5:$B$24,MATCH(D220,'Risk Taxonomy'!$A$5:$A$24,0))</f>
        <v>Cyber, information security and technology</v>
      </c>
      <c r="F220" s="29" t="n">
        <f aca="false">IF(NOT(ISNUMBER(G220)),"",G220)</f>
        <v>2</v>
      </c>
      <c r="G220" s="34" t="n">
        <f aca="false">IF(COUNTIFS('LxI Assessment'!$A$5:$A$394,A220,'LxI Assessment'!$D$5:$D$394,D220,'LxI Assessment'!$F$5:$F$394,"N/A")&gt;0,"N/A",IF(COUNTIFS('LxI Assessment'!$A$5:$A$394,A220,'LxI Assessment'!$D$5:$D$394,D220,'LxI Assessment'!$S$5:$S$394,"&gt;0")=0,"",SUMIFS('LxI Assessment'!$S$5:$S$394,'LxI Assessment'!$A$5:$A$394,A220,'LxI Assessment'!$D$5:$D$394,D220)))</f>
        <v>2</v>
      </c>
      <c r="H220" s="7" t="str">
        <f aca="false">IF(G220="N/A","N/A",IF(G220="","No data",INDEX(Config!$B$5:$B$9,G220)))</f>
        <v>Medium-Low</v>
      </c>
      <c r="I220" s="31" t="n">
        <f aca="false">IF(NOT(ISNUMBER($G220)),"",SUMPRODUCT(('Control Mapping'!$C$5:$C$83=D220)*('Control Mapping'!$Q$5:$Q$83&gt;0)))</f>
        <v>4</v>
      </c>
      <c r="J220" s="31" t="n">
        <f aca="false">IF(NOT(ISNUMBER($G220)),"",SUMPRODUCT(('Control Mapping'!$C$5:$C$83=D220)*('Control Mapping'!$F$5:$F$83="Y")*('Control Mapping'!$Q$5:$Q$83&gt;0)))</f>
        <v>4</v>
      </c>
      <c r="K220" s="31" t="n">
        <f aca="false">IF(NOT(ISNUMBER($G220)),"",SUMPRODUCT(('Control Mapping'!$C$5:$C$83=D220)*('Control Mapping'!$F$5:$F$83="Y")*('Control Mapping'!$Q$5:$Q$83=4)))</f>
        <v>0</v>
      </c>
      <c r="L220" s="29" t="n">
        <f aca="false">IF(NOT(ISNUMBER($G220)),"",IFERROR(SUMPRODUCT(('Control Mapping'!$C$5:$C$83=D220)*'Control Mapping'!$E$5:$E$83*'Control Mapping'!$Q$5:$Q$83)/SUMPRODUCT(('Control Mapping'!$C$5:$C$83=D220)*'Control Mapping'!$E$5:$E$83*('Control Mapping'!$Q$5:$Q$83&gt;0)),""))</f>
        <v>2.28571428571429</v>
      </c>
      <c r="M220" s="34" t="n">
        <f aca="false">IF(NOT(ISNUMBER($G220)),"",IF(J220=0,4,MAX(MATCH(L220,'Residual Config'!$E$11:$E$14,1),IF(K220&gt;0,'Residual Config'!$C$7,1))))</f>
        <v>2</v>
      </c>
      <c r="N220" s="7" t="str">
        <f aca="false">IF(NOT(ISNUMBER($G220)),"",IF(J220=0,"Ineffective (no key control)",INDEX('Residual Config'!$B$11:$B$14,M220)))</f>
        <v>Largely effective</v>
      </c>
      <c r="O220" s="36" t="n">
        <f aca="false">IF(NOT(ISNUMBER($G220)),"",IF(J220=0,0,SUMPRODUCT(('Control Mapping'!$C$5:$C$83=D220)*'Control Mapping'!$E$5:$E$83*(('Control Mapping'!$Q$5:$Q$83=1)*'Residual Config'!$D$11+('Control Mapping'!$Q$5:$Q$83=2)*'Residual Config'!$D$12+('Control Mapping'!$Q$5:$Q$83=3)*'Residual Config'!$D$13+('Control Mapping'!$Q$5:$Q$83=4)*'Residual Config'!$D$14))/SUMPRODUCT(('Control Mapping'!$C$5:$C$83=D220)*'Control Mapping'!$E$5:$E$83*('Control Mapping'!$Q$5:$Q$83&gt;0))))</f>
        <v>0.342857142857143</v>
      </c>
      <c r="P220" s="31" t="n">
        <f aca="false">IF(NOT(ISNUMBER($G220)),"",INDEX('Residual Config'!$B$19:$E$23,6-G220,M220))</f>
        <v>1</v>
      </c>
      <c r="Q220" s="29" t="n">
        <f aca="false">IF(NOT(ISNUMBER($G220)),"",MAX(1,F220*(1-O220)))</f>
        <v>1.31428571428571</v>
      </c>
      <c r="R220" s="31" t="n">
        <f aca="false">IF(NOT(ISNUMBER($G220)),"",MAX(MATCH(Q220,Config!$D$5:$D$9,1),G220-'Residual Config'!$C$6))</f>
        <v>1</v>
      </c>
      <c r="S220" s="34" t="n">
        <f aca="false">IF(NOT(ISNUMBER($G220)),"",IF('Residual Config'!$C$5="Numeric",R220,P220))</f>
        <v>1</v>
      </c>
      <c r="T220" s="7" t="str">
        <f aca="false">IF(G220="N/A","N/A",IF(S220="","No data",INDEX(Config!$B$5:$B$9,S220)))</f>
        <v>Low</v>
      </c>
      <c r="U220" s="32" t="n">
        <v>0</v>
      </c>
      <c r="V220" s="8"/>
      <c r="W220" s="33"/>
      <c r="X220" s="34" t="n">
        <f aca="false">IF(S220="","",IF(AND(W220="Y",U220&lt;&gt;0),MAX(1,MIN(5,S220+MAX(-Config!$C$27,MIN(Config!$C$27,U220)))),S220))</f>
        <v>1</v>
      </c>
      <c r="Y220" s="35" t="str">
        <f aca="false">IF(G220="N/A","N/A",IF(X220="","No data",INDEX(Config!$B$5:$B$9,X220)))</f>
        <v>Low</v>
      </c>
      <c r="Z220" s="7" t="str">
        <f aca="false">IF(U220=0,"None",IF(W220="Y","Applied","Pending HO approval"))</f>
        <v>None</v>
      </c>
      <c r="AA220" s="12" t="str">
        <f aca="false">INDEX('Risk Taxonomy'!$G$5:$G$24,MATCH(D220,'Risk Taxonomy'!$A$5:$A$24,0))</f>
        <v>Very low</v>
      </c>
      <c r="AB220" s="7" t="str">
        <f aca="false">INDEX('Risk Taxonomy'!$H$5:$H$24,MATCH(D220,'Risk Taxonomy'!$A$5:$A$24,0))</f>
        <v>Medium-Low</v>
      </c>
      <c r="AC220" s="35" t="str">
        <f aca="false">IF(NOT(ISNUMBER(X220)),"",IF(X220&lt;=MATCH(AB220,Config!$B$5:$B$9,0),"Within",IF(OR(X220-MATCH(AB220,Config!$B$5:$B$9,0)&gt;=2,AND('Residual Config'!$C$8="Y",ISNUMBER(SEARCH("Zero",AA220)))),"Red","Amber")))</f>
        <v>Within</v>
      </c>
      <c r="AD220" s="12" t="str">
        <f aca="false">IF(AC220="Red","Group CCO / CRO and Country CEO within 2 business days; action plan in 15 days; report to Board Risk &amp; Compliance Committee",IF(AC220="Amber","Country CO, risk owner and HO Administrator within 5 business days; action plan in 30 days",""))</f>
        <v/>
      </c>
    </row>
    <row r="221" customFormat="false" ht="15" hidden="false" customHeight="false" outlineLevel="0" collapsed="false">
      <c r="A221" s="26" t="str">
        <f aca="false">Entities!$A$15</f>
        <v>BH</v>
      </c>
      <c r="B221" s="12" t="str">
        <f aca="false">INDEX(Entities!$B$5:$B$34,MATCH(A221,Entities!$A$5:$A$34,0))</f>
        <v>Arab Bank – Bahrain</v>
      </c>
      <c r="C221" s="12" t="str">
        <f aca="false">INDEX(Entities!$D$5:$D$34,MATCH(A221,Entities!$A$5:$A$34,0))</f>
        <v>GCC</v>
      </c>
      <c r="D221" s="12" t="s">
        <v>313</v>
      </c>
      <c r="E221" s="12" t="str">
        <f aca="false">INDEX('Risk Taxonomy'!$B$5:$B$24,MATCH(D221,'Risk Taxonomy'!$A$5:$A$24,0))</f>
        <v>Third-party and outsourcing</v>
      </c>
      <c r="F221" s="29" t="n">
        <f aca="false">IF(NOT(ISNUMBER(G221)),"",G221)</f>
        <v>3</v>
      </c>
      <c r="G221" s="34" t="n">
        <f aca="false">IF(COUNTIFS('LxI Assessment'!$A$5:$A$394,A221,'LxI Assessment'!$D$5:$D$394,D221,'LxI Assessment'!$F$5:$F$394,"N/A")&gt;0,"N/A",IF(COUNTIFS('LxI Assessment'!$A$5:$A$394,A221,'LxI Assessment'!$D$5:$D$394,D221,'LxI Assessment'!$S$5:$S$394,"&gt;0")=0,"",SUMIFS('LxI Assessment'!$S$5:$S$394,'LxI Assessment'!$A$5:$A$394,A221,'LxI Assessment'!$D$5:$D$394,D221)))</f>
        <v>3</v>
      </c>
      <c r="H221" s="7" t="str">
        <f aca="false">IF(G221="N/A","N/A",IF(G221="","No data",INDEX(Config!$B$5:$B$9,G221)))</f>
        <v>Medium</v>
      </c>
      <c r="I221" s="31" t="n">
        <f aca="false">IF(NOT(ISNUMBER($G221)),"",SUMPRODUCT(('Control Mapping'!$C$5:$C$83=D221)*('Control Mapping'!$Q$5:$Q$83&gt;0)))</f>
        <v>2</v>
      </c>
      <c r="J221" s="31" t="n">
        <f aca="false">IF(NOT(ISNUMBER($G221)),"",SUMPRODUCT(('Control Mapping'!$C$5:$C$83=D221)*('Control Mapping'!$F$5:$F$83="Y")*('Control Mapping'!$Q$5:$Q$83&gt;0)))</f>
        <v>2</v>
      </c>
      <c r="K221" s="31" t="n">
        <f aca="false">IF(NOT(ISNUMBER($G221)),"",SUMPRODUCT(('Control Mapping'!$C$5:$C$83=D221)*('Control Mapping'!$F$5:$F$83="Y")*('Control Mapping'!$Q$5:$Q$83=4)))</f>
        <v>1</v>
      </c>
      <c r="L221" s="29" t="n">
        <f aca="false">IF(NOT(ISNUMBER($G221)),"",IFERROR(SUMPRODUCT(('Control Mapping'!$C$5:$C$83=D221)*'Control Mapping'!$E$5:$E$83*'Control Mapping'!$Q$5:$Q$83)/SUMPRODUCT(('Control Mapping'!$C$5:$C$83=D221)*'Control Mapping'!$E$5:$E$83*('Control Mapping'!$Q$5:$Q$83&gt;0)),""))</f>
        <v>2.5</v>
      </c>
      <c r="M221" s="34" t="n">
        <f aca="false">IF(NOT(ISNUMBER($G221)),"",IF(J221=0,4,MAX(MATCH(L221,'Residual Config'!$E$11:$E$14,1),IF(K221&gt;0,'Residual Config'!$C$7,1))))</f>
        <v>3</v>
      </c>
      <c r="N221" s="7" t="str">
        <f aca="false">IF(NOT(ISNUMBER($G221)),"",IF(J221=0,"Ineffective (no key control)",INDEX('Residual Config'!$B$11:$B$14,M221)))</f>
        <v>Partially effective</v>
      </c>
      <c r="O221" s="36" t="n">
        <f aca="false">IF(NOT(ISNUMBER($G221)),"",IF(J221=0,0,SUMPRODUCT(('Control Mapping'!$C$5:$C$83=D221)*'Control Mapping'!$E$5:$E$83*(('Control Mapping'!$Q$5:$Q$83=1)*'Residual Config'!$D$11+('Control Mapping'!$Q$5:$Q$83=2)*'Residual Config'!$D$12+('Control Mapping'!$Q$5:$Q$83=3)*'Residual Config'!$D$13+('Control Mapping'!$Q$5:$Q$83=4)*'Residual Config'!$D$14))/SUMPRODUCT(('Control Mapping'!$C$5:$C$83=D221)*'Control Mapping'!$E$5:$E$83*('Control Mapping'!$Q$5:$Q$83&gt;0))))</f>
        <v>0.3</v>
      </c>
      <c r="P221" s="31" t="n">
        <f aca="false">IF(NOT(ISNUMBER($G221)),"",INDEX('Residual Config'!$B$19:$E$23,6-G221,M221))</f>
        <v>3</v>
      </c>
      <c r="Q221" s="29" t="n">
        <f aca="false">IF(NOT(ISNUMBER($G221)),"",MAX(1,F221*(1-O221)))</f>
        <v>2.1</v>
      </c>
      <c r="R221" s="31" t="n">
        <f aca="false">IF(NOT(ISNUMBER($G221)),"",MAX(MATCH(Q221,Config!$D$5:$D$9,1),G221-'Residual Config'!$C$6))</f>
        <v>2</v>
      </c>
      <c r="S221" s="34" t="n">
        <f aca="false">IF(NOT(ISNUMBER($G221)),"",IF('Residual Config'!$C$5="Numeric",R221,P221))</f>
        <v>3</v>
      </c>
      <c r="T221" s="7" t="str">
        <f aca="false">IF(G221="N/A","N/A",IF(S221="","No data",INDEX(Config!$B$5:$B$9,S221)))</f>
        <v>Medium</v>
      </c>
      <c r="U221" s="32" t="n">
        <v>0</v>
      </c>
      <c r="V221" s="8"/>
      <c r="W221" s="33"/>
      <c r="X221" s="34" t="n">
        <f aca="false">IF(S221="","",IF(AND(W221="Y",U221&lt;&gt;0),MAX(1,MIN(5,S221+MAX(-Config!$C$27,MIN(Config!$C$27,U221)))),S221))</f>
        <v>3</v>
      </c>
      <c r="Y221" s="35" t="str">
        <f aca="false">IF(G221="N/A","N/A",IF(X221="","No data",INDEX(Config!$B$5:$B$9,X221)))</f>
        <v>Medium</v>
      </c>
      <c r="Z221" s="7" t="str">
        <f aca="false">IF(U221=0,"None",IF(W221="Y","Applied","Pending HO approval"))</f>
        <v>None</v>
      </c>
      <c r="AA221" s="12" t="str">
        <f aca="false">INDEX('Risk Taxonomy'!$G$5:$G$24,MATCH(D221,'Risk Taxonomy'!$A$5:$A$24,0))</f>
        <v>Low</v>
      </c>
      <c r="AB221" s="7" t="str">
        <f aca="false">INDEX('Risk Taxonomy'!$H$5:$H$24,MATCH(D221,'Risk Taxonomy'!$A$5:$A$24,0))</f>
        <v>Medium</v>
      </c>
      <c r="AC221" s="35" t="str">
        <f aca="false">IF(NOT(ISNUMBER(X221)),"",IF(X221&lt;=MATCH(AB221,Config!$B$5:$B$9,0),"Within",IF(OR(X221-MATCH(AB221,Config!$B$5:$B$9,0)&gt;=2,AND('Residual Config'!$C$8="Y",ISNUMBER(SEARCH("Zero",AA221)))),"Red","Amber")))</f>
        <v>Within</v>
      </c>
      <c r="AD221" s="12" t="str">
        <f aca="false">IF(AC221="Red","Group CCO / CRO and Country CEO within 2 business days; action plan in 15 days; report to Board Risk &amp; Compliance Committee",IF(AC221="Amber","Country CO, risk owner and HO Administrator within 5 business days; action plan in 30 days",""))</f>
        <v/>
      </c>
    </row>
    <row r="222" customFormat="false" ht="15" hidden="false" customHeight="false" outlineLevel="0" collapsed="false">
      <c r="A222" s="26" t="str">
        <f aca="false">Entities!$A$15</f>
        <v>BH</v>
      </c>
      <c r="B222" s="12" t="str">
        <f aca="false">INDEX(Entities!$B$5:$B$34,MATCH(A222,Entities!$A$5:$A$34,0))</f>
        <v>Arab Bank – Bahrain</v>
      </c>
      <c r="C222" s="12" t="str">
        <f aca="false">INDEX(Entities!$D$5:$D$34,MATCH(A222,Entities!$A$5:$A$34,0))</f>
        <v>GCC</v>
      </c>
      <c r="D222" s="12" t="s">
        <v>316</v>
      </c>
      <c r="E222" s="12" t="str">
        <f aca="false">INDEX('Risk Taxonomy'!$B$5:$B$24,MATCH(D222,'Risk Taxonomy'!$A$5:$A$24,0))</f>
        <v>Legal and litigation</v>
      </c>
      <c r="F222" s="29" t="n">
        <f aca="false">IF(NOT(ISNUMBER(G222)),"",G222)</f>
        <v>3</v>
      </c>
      <c r="G222" s="34" t="n">
        <f aca="false">IF(COUNTIFS('LxI Assessment'!$A$5:$A$394,A222,'LxI Assessment'!$D$5:$D$394,D222,'LxI Assessment'!$F$5:$F$394,"N/A")&gt;0,"N/A",IF(COUNTIFS('LxI Assessment'!$A$5:$A$394,A222,'LxI Assessment'!$D$5:$D$394,D222,'LxI Assessment'!$S$5:$S$394,"&gt;0")=0,"",SUMIFS('LxI Assessment'!$S$5:$S$394,'LxI Assessment'!$A$5:$A$394,A222,'LxI Assessment'!$D$5:$D$394,D222)))</f>
        <v>3</v>
      </c>
      <c r="H222" s="7" t="str">
        <f aca="false">IF(G222="N/A","N/A",IF(G222="","No data",INDEX(Config!$B$5:$B$9,G222)))</f>
        <v>Medium</v>
      </c>
      <c r="I222" s="31" t="n">
        <f aca="false">IF(NOT(ISNUMBER($G222)),"",SUMPRODUCT(('Control Mapping'!$C$5:$C$83=D222)*('Control Mapping'!$Q$5:$Q$83&gt;0)))</f>
        <v>1</v>
      </c>
      <c r="J222" s="31" t="n">
        <f aca="false">IF(NOT(ISNUMBER($G222)),"",SUMPRODUCT(('Control Mapping'!$C$5:$C$83=D222)*('Control Mapping'!$F$5:$F$83="Y")*('Control Mapping'!$Q$5:$Q$83&gt;0)))</f>
        <v>1</v>
      </c>
      <c r="K222" s="31" t="n">
        <f aca="false">IF(NOT(ISNUMBER($G222)),"",SUMPRODUCT(('Control Mapping'!$C$5:$C$83=D222)*('Control Mapping'!$F$5:$F$83="Y")*('Control Mapping'!$Q$5:$Q$83=4)))</f>
        <v>0</v>
      </c>
      <c r="L222" s="29" t="n">
        <f aca="false">IF(NOT(ISNUMBER($G222)),"",IFERROR(SUMPRODUCT(('Control Mapping'!$C$5:$C$83=D222)*'Control Mapping'!$E$5:$E$83*'Control Mapping'!$Q$5:$Q$83)/SUMPRODUCT(('Control Mapping'!$C$5:$C$83=D222)*'Control Mapping'!$E$5:$E$83*('Control Mapping'!$Q$5:$Q$83&gt;0)),""))</f>
        <v>2</v>
      </c>
      <c r="M222" s="34" t="n">
        <f aca="false">IF(NOT(ISNUMBER($G222)),"",IF(J222=0,4,MAX(MATCH(L222,'Residual Config'!$E$11:$E$14,1),IF(K222&gt;0,'Residual Config'!$C$7,1))))</f>
        <v>2</v>
      </c>
      <c r="N222" s="7" t="str">
        <f aca="false">IF(NOT(ISNUMBER($G222)),"",IF(J222=0,"Ineffective (no key control)",INDEX('Residual Config'!$B$11:$B$14,M222)))</f>
        <v>Largely effective</v>
      </c>
      <c r="O222" s="36" t="n">
        <f aca="false">IF(NOT(ISNUMBER($G222)),"",IF(J222=0,0,SUMPRODUCT(('Control Mapping'!$C$5:$C$83=D222)*'Control Mapping'!$E$5:$E$83*(('Control Mapping'!$Q$5:$Q$83=1)*'Residual Config'!$D$11+('Control Mapping'!$Q$5:$Q$83=2)*'Residual Config'!$D$12+('Control Mapping'!$Q$5:$Q$83=3)*'Residual Config'!$D$13+('Control Mapping'!$Q$5:$Q$83=4)*'Residual Config'!$D$14))/SUMPRODUCT(('Control Mapping'!$C$5:$C$83=D222)*'Control Mapping'!$E$5:$E$83*('Control Mapping'!$Q$5:$Q$83&gt;0))))</f>
        <v>0.4</v>
      </c>
      <c r="P222" s="31" t="n">
        <f aca="false">IF(NOT(ISNUMBER($G222)),"",INDEX('Residual Config'!$B$19:$E$23,6-G222,M222))</f>
        <v>2</v>
      </c>
      <c r="Q222" s="29" t="n">
        <f aca="false">IF(NOT(ISNUMBER($G222)),"",MAX(1,F222*(1-O222)))</f>
        <v>1.8</v>
      </c>
      <c r="R222" s="31" t="n">
        <f aca="false">IF(NOT(ISNUMBER($G222)),"",MAX(MATCH(Q222,Config!$D$5:$D$9,1),G222-'Residual Config'!$C$6))</f>
        <v>1</v>
      </c>
      <c r="S222" s="34" t="n">
        <f aca="false">IF(NOT(ISNUMBER($G222)),"",IF('Residual Config'!$C$5="Numeric",R222,P222))</f>
        <v>2</v>
      </c>
      <c r="T222" s="7" t="str">
        <f aca="false">IF(G222="N/A","N/A",IF(S222="","No data",INDEX(Config!$B$5:$B$9,S222)))</f>
        <v>Medium-Low</v>
      </c>
      <c r="U222" s="32" t="n">
        <v>0</v>
      </c>
      <c r="V222" s="8"/>
      <c r="W222" s="33"/>
      <c r="X222" s="34" t="n">
        <f aca="false">IF(S222="","",IF(AND(W222="Y",U222&lt;&gt;0),MAX(1,MIN(5,S222+MAX(-Config!$C$27,MIN(Config!$C$27,U222)))),S222))</f>
        <v>2</v>
      </c>
      <c r="Y222" s="35" t="str">
        <f aca="false">IF(G222="N/A","N/A",IF(X222="","No data",INDEX(Config!$B$5:$B$9,X222)))</f>
        <v>Medium-Low</v>
      </c>
      <c r="Z222" s="7" t="str">
        <f aca="false">IF(U222=0,"None",IF(W222="Y","Applied","Pending HO approval"))</f>
        <v>None</v>
      </c>
      <c r="AA222" s="12" t="str">
        <f aca="false">INDEX('Risk Taxonomy'!$G$5:$G$24,MATCH(D222,'Risk Taxonomy'!$A$5:$A$24,0))</f>
        <v>Very low</v>
      </c>
      <c r="AB222" s="7" t="str">
        <f aca="false">INDEX('Risk Taxonomy'!$H$5:$H$24,MATCH(D222,'Risk Taxonomy'!$A$5:$A$24,0))</f>
        <v>Medium-Low</v>
      </c>
      <c r="AC222" s="35" t="str">
        <f aca="false">IF(NOT(ISNUMBER(X222)),"",IF(X222&lt;=MATCH(AB222,Config!$B$5:$B$9,0),"Within",IF(OR(X222-MATCH(AB222,Config!$B$5:$B$9,0)&gt;=2,AND('Residual Config'!$C$8="Y",ISNUMBER(SEARCH("Zero",AA222)))),"Red","Amber")))</f>
        <v>Within</v>
      </c>
      <c r="AD222" s="12" t="str">
        <f aca="false">IF(AC222="Red","Group CCO / CRO and Country CEO within 2 business days; action plan in 15 days; report to Board Risk &amp; Compliance Committee",IF(AC222="Amber","Country CO, risk owner and HO Administrator within 5 business days; action plan in 30 days",""))</f>
        <v/>
      </c>
    </row>
    <row r="223" customFormat="false" ht="15" hidden="false" customHeight="false" outlineLevel="0" collapsed="false">
      <c r="A223" s="26" t="str">
        <f aca="false">Entities!$A$15</f>
        <v>BH</v>
      </c>
      <c r="B223" s="12" t="str">
        <f aca="false">INDEX(Entities!$B$5:$B$34,MATCH(A223,Entities!$A$5:$A$34,0))</f>
        <v>Arab Bank – Bahrain</v>
      </c>
      <c r="C223" s="12" t="str">
        <f aca="false">INDEX(Entities!$D$5:$D$34,MATCH(A223,Entities!$A$5:$A$34,0))</f>
        <v>GCC</v>
      </c>
      <c r="D223" s="12" t="s">
        <v>319</v>
      </c>
      <c r="E223" s="12" t="str">
        <f aca="false">INDEX('Risk Taxonomy'!$B$5:$B$24,MATCH(D223,'Risk Taxonomy'!$A$5:$A$24,0))</f>
        <v>Reputational</v>
      </c>
      <c r="F223" s="29" t="n">
        <f aca="false">IF(NOT(ISNUMBER(G223)),"",G223)</f>
        <v>3</v>
      </c>
      <c r="G223" s="34" t="n">
        <f aca="false">IF(COUNTIFS('LxI Assessment'!$A$5:$A$394,A223,'LxI Assessment'!$D$5:$D$394,D223,'LxI Assessment'!$F$5:$F$394,"N/A")&gt;0,"N/A",IF(COUNTIFS('LxI Assessment'!$A$5:$A$394,A223,'LxI Assessment'!$D$5:$D$394,D223,'LxI Assessment'!$S$5:$S$394,"&gt;0")=0,"",SUMIFS('LxI Assessment'!$S$5:$S$394,'LxI Assessment'!$A$5:$A$394,A223,'LxI Assessment'!$D$5:$D$394,D223)))</f>
        <v>3</v>
      </c>
      <c r="H223" s="7" t="str">
        <f aca="false">IF(G223="N/A","N/A",IF(G223="","No data",INDEX(Config!$B$5:$B$9,G223)))</f>
        <v>Medium</v>
      </c>
      <c r="I223" s="31" t="n">
        <f aca="false">IF(NOT(ISNUMBER($G223)),"",SUMPRODUCT(('Control Mapping'!$C$5:$C$83=D223)*('Control Mapping'!$Q$5:$Q$83&gt;0)))</f>
        <v>2</v>
      </c>
      <c r="J223" s="31" t="n">
        <f aca="false">IF(NOT(ISNUMBER($G223)),"",SUMPRODUCT(('Control Mapping'!$C$5:$C$83=D223)*('Control Mapping'!$F$5:$F$83="Y")*('Control Mapping'!$Q$5:$Q$83&gt;0)))</f>
        <v>1</v>
      </c>
      <c r="K223" s="31" t="n">
        <f aca="false">IF(NOT(ISNUMBER($G223)),"",SUMPRODUCT(('Control Mapping'!$C$5:$C$83=D223)*('Control Mapping'!$F$5:$F$83="Y")*('Control Mapping'!$Q$5:$Q$83=4)))</f>
        <v>0</v>
      </c>
      <c r="L223" s="29" t="n">
        <f aca="false">IF(NOT(ISNUMBER($G223)),"",IFERROR(SUMPRODUCT(('Control Mapping'!$C$5:$C$83=D223)*'Control Mapping'!$E$5:$E$83*'Control Mapping'!$Q$5:$Q$83)/SUMPRODUCT(('Control Mapping'!$C$5:$C$83=D223)*'Control Mapping'!$E$5:$E$83*('Control Mapping'!$Q$5:$Q$83&gt;0)),""))</f>
        <v>1.33333333333333</v>
      </c>
      <c r="M223" s="34" t="n">
        <f aca="false">IF(NOT(ISNUMBER($G223)),"",IF(J223=0,4,MAX(MATCH(L223,'Residual Config'!$E$11:$E$14,1),IF(K223&gt;0,'Residual Config'!$C$7,1))))</f>
        <v>1</v>
      </c>
      <c r="N223" s="7" t="str">
        <f aca="false">IF(NOT(ISNUMBER($G223)),"",IF(J223=0,"Ineffective (no key control)",INDEX('Residual Config'!$B$11:$B$14,M223)))</f>
        <v>Effective</v>
      </c>
      <c r="O223" s="36" t="n">
        <f aca="false">IF(NOT(ISNUMBER($G223)),"",IF(J223=0,0,SUMPRODUCT(('Control Mapping'!$C$5:$C$83=D223)*'Control Mapping'!$E$5:$E$83*(('Control Mapping'!$Q$5:$Q$83=1)*'Residual Config'!$D$11+('Control Mapping'!$Q$5:$Q$83=2)*'Residual Config'!$D$12+('Control Mapping'!$Q$5:$Q$83=3)*'Residual Config'!$D$13+('Control Mapping'!$Q$5:$Q$83=4)*'Residual Config'!$D$14))/SUMPRODUCT(('Control Mapping'!$C$5:$C$83=D223)*'Control Mapping'!$E$5:$E$83*('Control Mapping'!$Q$5:$Q$83&gt;0))))</f>
        <v>0.533333333333333</v>
      </c>
      <c r="P223" s="31" t="n">
        <f aca="false">IF(NOT(ISNUMBER($G223)),"",INDEX('Residual Config'!$B$19:$E$23,6-G223,M223))</f>
        <v>1</v>
      </c>
      <c r="Q223" s="29" t="n">
        <f aca="false">IF(NOT(ISNUMBER($G223)),"",MAX(1,F223*(1-O223)))</f>
        <v>1.4</v>
      </c>
      <c r="R223" s="31" t="n">
        <f aca="false">IF(NOT(ISNUMBER($G223)),"",MAX(MATCH(Q223,Config!$D$5:$D$9,1),G223-'Residual Config'!$C$6))</f>
        <v>1</v>
      </c>
      <c r="S223" s="34" t="n">
        <f aca="false">IF(NOT(ISNUMBER($G223)),"",IF('Residual Config'!$C$5="Numeric",R223,P223))</f>
        <v>1</v>
      </c>
      <c r="T223" s="7" t="str">
        <f aca="false">IF(G223="N/A","N/A",IF(S223="","No data",INDEX(Config!$B$5:$B$9,S223)))</f>
        <v>Low</v>
      </c>
      <c r="U223" s="32" t="n">
        <v>0</v>
      </c>
      <c r="V223" s="8"/>
      <c r="W223" s="33"/>
      <c r="X223" s="34" t="n">
        <f aca="false">IF(S223="","",IF(AND(W223="Y",U223&lt;&gt;0),MAX(1,MIN(5,S223+MAX(-Config!$C$27,MIN(Config!$C$27,U223)))),S223))</f>
        <v>1</v>
      </c>
      <c r="Y223" s="35" t="str">
        <f aca="false">IF(G223="N/A","N/A",IF(X223="","No data",INDEX(Config!$B$5:$B$9,X223)))</f>
        <v>Low</v>
      </c>
      <c r="Z223" s="7" t="str">
        <f aca="false">IF(U223=0,"None",IF(W223="Y","Applied","Pending HO approval"))</f>
        <v>None</v>
      </c>
      <c r="AA223" s="12" t="str">
        <f aca="false">INDEX('Risk Taxonomy'!$G$5:$G$24,MATCH(D223,'Risk Taxonomy'!$A$5:$A$24,0))</f>
        <v>Low</v>
      </c>
      <c r="AB223" s="7" t="str">
        <f aca="false">INDEX('Risk Taxonomy'!$H$5:$H$24,MATCH(D223,'Risk Taxonomy'!$A$5:$A$24,0))</f>
        <v>Medium</v>
      </c>
      <c r="AC223" s="35" t="str">
        <f aca="false">IF(NOT(ISNUMBER(X223)),"",IF(X223&lt;=MATCH(AB223,Config!$B$5:$B$9,0),"Within",IF(OR(X223-MATCH(AB223,Config!$B$5:$B$9,0)&gt;=2,AND('Residual Config'!$C$8="Y",ISNUMBER(SEARCH("Zero",AA223)))),"Red","Amber")))</f>
        <v>Within</v>
      </c>
      <c r="AD223" s="12" t="str">
        <f aca="false">IF(AC223="Red","Group CCO / CRO and Country CEO within 2 business days; action plan in 15 days; report to Board Risk &amp; Compliance Committee",IF(AC223="Amber","Country CO, risk owner and HO Administrator within 5 business days; action plan in 30 days",""))</f>
        <v/>
      </c>
    </row>
    <row r="224" customFormat="false" ht="15" hidden="false" customHeight="false" outlineLevel="0" collapsed="false">
      <c r="A224" s="26" t="str">
        <f aca="false">Entities!$A$15</f>
        <v>BH</v>
      </c>
      <c r="B224" s="12" t="str">
        <f aca="false">INDEX(Entities!$B$5:$B$34,MATCH(A224,Entities!$A$5:$A$34,0))</f>
        <v>Arab Bank – Bahrain</v>
      </c>
      <c r="C224" s="12" t="str">
        <f aca="false">INDEX(Entities!$D$5:$D$34,MATCH(A224,Entities!$A$5:$A$34,0))</f>
        <v>GCC</v>
      </c>
      <c r="D224" s="12" t="s">
        <v>322</v>
      </c>
      <c r="E224" s="12" t="str">
        <f aca="false">INDEX('Risk Taxonomy'!$B$5:$B$24,MATCH(D224,'Risk Taxonomy'!$A$5:$A$24,0))</f>
        <v>Strategic, business model and ESG</v>
      </c>
      <c r="F224" s="29" t="n">
        <f aca="false">IF(NOT(ISNUMBER(G224)),"",G224)</f>
        <v>3</v>
      </c>
      <c r="G224" s="34" t="n">
        <f aca="false">IF(COUNTIFS('LxI Assessment'!$A$5:$A$394,A224,'LxI Assessment'!$D$5:$D$394,D224,'LxI Assessment'!$F$5:$F$394,"N/A")&gt;0,"N/A",IF(COUNTIFS('LxI Assessment'!$A$5:$A$394,A224,'LxI Assessment'!$D$5:$D$394,D224,'LxI Assessment'!$S$5:$S$394,"&gt;0")=0,"",SUMIFS('LxI Assessment'!$S$5:$S$394,'LxI Assessment'!$A$5:$A$394,A224,'LxI Assessment'!$D$5:$D$394,D224)))</f>
        <v>3</v>
      </c>
      <c r="H224" s="7" t="str">
        <f aca="false">IF(G224="N/A","N/A",IF(G224="","No data",INDEX(Config!$B$5:$B$9,G224)))</f>
        <v>Medium</v>
      </c>
      <c r="I224" s="31" t="n">
        <f aca="false">IF(NOT(ISNUMBER($G224)),"",SUMPRODUCT(('Control Mapping'!$C$5:$C$83=D224)*('Control Mapping'!$Q$5:$Q$83&gt;0)))</f>
        <v>1</v>
      </c>
      <c r="J224" s="31" t="n">
        <f aca="false">IF(NOT(ISNUMBER($G224)),"",SUMPRODUCT(('Control Mapping'!$C$5:$C$83=D224)*('Control Mapping'!$F$5:$F$83="Y")*('Control Mapping'!$Q$5:$Q$83&gt;0)))</f>
        <v>1</v>
      </c>
      <c r="K224" s="31" t="n">
        <f aca="false">IF(NOT(ISNUMBER($G224)),"",SUMPRODUCT(('Control Mapping'!$C$5:$C$83=D224)*('Control Mapping'!$F$5:$F$83="Y")*('Control Mapping'!$Q$5:$Q$83=4)))</f>
        <v>0</v>
      </c>
      <c r="L224" s="29" t="n">
        <f aca="false">IF(NOT(ISNUMBER($G224)),"",IFERROR(SUMPRODUCT(('Control Mapping'!$C$5:$C$83=D224)*'Control Mapping'!$E$5:$E$83*'Control Mapping'!$Q$5:$Q$83)/SUMPRODUCT(('Control Mapping'!$C$5:$C$83=D224)*'Control Mapping'!$E$5:$E$83*('Control Mapping'!$Q$5:$Q$83&gt;0)),""))</f>
        <v>2</v>
      </c>
      <c r="M224" s="34" t="n">
        <f aca="false">IF(NOT(ISNUMBER($G224)),"",IF(J224=0,4,MAX(MATCH(L224,'Residual Config'!$E$11:$E$14,1),IF(K224&gt;0,'Residual Config'!$C$7,1))))</f>
        <v>2</v>
      </c>
      <c r="N224" s="7" t="str">
        <f aca="false">IF(NOT(ISNUMBER($G224)),"",IF(J224=0,"Ineffective (no key control)",INDEX('Residual Config'!$B$11:$B$14,M224)))</f>
        <v>Largely effective</v>
      </c>
      <c r="O224" s="36" t="n">
        <f aca="false">IF(NOT(ISNUMBER($G224)),"",IF(J224=0,0,SUMPRODUCT(('Control Mapping'!$C$5:$C$83=D224)*'Control Mapping'!$E$5:$E$83*(('Control Mapping'!$Q$5:$Q$83=1)*'Residual Config'!$D$11+('Control Mapping'!$Q$5:$Q$83=2)*'Residual Config'!$D$12+('Control Mapping'!$Q$5:$Q$83=3)*'Residual Config'!$D$13+('Control Mapping'!$Q$5:$Q$83=4)*'Residual Config'!$D$14))/SUMPRODUCT(('Control Mapping'!$C$5:$C$83=D224)*'Control Mapping'!$E$5:$E$83*('Control Mapping'!$Q$5:$Q$83&gt;0))))</f>
        <v>0.4</v>
      </c>
      <c r="P224" s="31" t="n">
        <f aca="false">IF(NOT(ISNUMBER($G224)),"",INDEX('Residual Config'!$B$19:$E$23,6-G224,M224))</f>
        <v>2</v>
      </c>
      <c r="Q224" s="29" t="n">
        <f aca="false">IF(NOT(ISNUMBER($G224)),"",MAX(1,F224*(1-O224)))</f>
        <v>1.8</v>
      </c>
      <c r="R224" s="31" t="n">
        <f aca="false">IF(NOT(ISNUMBER($G224)),"",MAX(MATCH(Q224,Config!$D$5:$D$9,1),G224-'Residual Config'!$C$6))</f>
        <v>1</v>
      </c>
      <c r="S224" s="34" t="n">
        <f aca="false">IF(NOT(ISNUMBER($G224)),"",IF('Residual Config'!$C$5="Numeric",R224,P224))</f>
        <v>2</v>
      </c>
      <c r="T224" s="7" t="str">
        <f aca="false">IF(G224="N/A","N/A",IF(S224="","No data",INDEX(Config!$B$5:$B$9,S224)))</f>
        <v>Medium-Low</v>
      </c>
      <c r="U224" s="32" t="n">
        <v>0</v>
      </c>
      <c r="V224" s="8"/>
      <c r="W224" s="33"/>
      <c r="X224" s="34" t="n">
        <f aca="false">IF(S224="","",IF(AND(W224="Y",U224&lt;&gt;0),MAX(1,MIN(5,S224+MAX(-Config!$C$27,MIN(Config!$C$27,U224)))),S224))</f>
        <v>2</v>
      </c>
      <c r="Y224" s="35" t="str">
        <f aca="false">IF(G224="N/A","N/A",IF(X224="","No data",INDEX(Config!$B$5:$B$9,X224)))</f>
        <v>Medium-Low</v>
      </c>
      <c r="Z224" s="7" t="str">
        <f aca="false">IF(U224=0,"None",IF(W224="Y","Applied","Pending HO approval"))</f>
        <v>None</v>
      </c>
      <c r="AA224" s="12" t="str">
        <f aca="false">INDEX('Risk Taxonomy'!$G$5:$G$24,MATCH(D224,'Risk Taxonomy'!$A$5:$A$24,0))</f>
        <v>Moderate</v>
      </c>
      <c r="AB224" s="7" t="str">
        <f aca="false">INDEX('Risk Taxonomy'!$H$5:$H$24,MATCH(D224,'Risk Taxonomy'!$A$5:$A$24,0))</f>
        <v>Medium-High</v>
      </c>
      <c r="AC224" s="35" t="str">
        <f aca="false">IF(NOT(ISNUMBER(X224)),"",IF(X224&lt;=MATCH(AB224,Config!$B$5:$B$9,0),"Within",IF(OR(X224-MATCH(AB224,Config!$B$5:$B$9,0)&gt;=2,AND('Residual Config'!$C$8="Y",ISNUMBER(SEARCH("Zero",AA224)))),"Red","Amber")))</f>
        <v>Within</v>
      </c>
      <c r="AD224" s="12" t="str">
        <f aca="false">IF(AC224="Red","Group CCO / CRO and Country CEO within 2 business days; action plan in 15 days; report to Board Risk &amp; Compliance Committee",IF(AC224="Amber","Country CO, risk owner and HO Administrator within 5 business days; action plan in 30 days",""))</f>
        <v/>
      </c>
    </row>
    <row r="225" customFormat="false" ht="15" hidden="false" customHeight="false" outlineLevel="0" collapsed="false">
      <c r="A225" s="26" t="str">
        <f aca="false">Entities!$A$16</f>
        <v>QA</v>
      </c>
      <c r="B225" s="12" t="str">
        <f aca="false">INDEX(Entities!$B$5:$B$34,MATCH(A225,Entities!$A$5:$A$34,0))</f>
        <v>Arab Bank – Qatar</v>
      </c>
      <c r="C225" s="12" t="str">
        <f aca="false">INDEX(Entities!$D$5:$D$34,MATCH(A225,Entities!$A$5:$A$34,0))</f>
        <v>GCC</v>
      </c>
      <c r="D225" s="12" t="s">
        <v>260</v>
      </c>
      <c r="E225" s="12" t="str">
        <f aca="false">INDEX('Risk Taxonomy'!$B$5:$B$24,MATCH(D225,'Risk Taxonomy'!$A$5:$A$24,0))</f>
        <v>Money laundering</v>
      </c>
      <c r="F225" s="29" t="n">
        <f aca="false">IF(NOT(ISNUMBER(G225)),"",IFERROR(IF(MATCH(SUMIFS('FC Calculation'!$N$5:$N$214,'FC Calculation'!$A$5:$A$214,A225,'FC Calculation'!$D$5:$D$214,D225),Config!$D$5:$D$9,1)=G225,SUMIFS('FC Calculation'!$N$5:$N$214,'FC Calculation'!$A$5:$A$214,A225,'FC Calculation'!$D$5:$D$214,D225),G225),G225))</f>
        <v>2.97634920634921</v>
      </c>
      <c r="G225" s="34" t="n">
        <f aca="false">IF(COUNTIFS('FC Calculation'!$A$5:$A$214,A225,'FC Calculation'!$D$5:$D$214,D225,'FC Calculation'!$T$5:$T$214,"&gt;0")=0,"",SUMIFS('FC Calculation'!$T$5:$T$214,'FC Calculation'!$A$5:$A$214,A225,'FC Calculation'!$D$5:$D$214,D225))</f>
        <v>3</v>
      </c>
      <c r="H225" s="7" t="str">
        <f aca="false">IF(G225="N/A","N/A",IF(G225="","No data",INDEX(Config!$B$5:$B$9,G225)))</f>
        <v>Medium</v>
      </c>
      <c r="I225" s="31" t="n">
        <f aca="false">IF(NOT(ISNUMBER($G225)),"",SUMPRODUCT(('Control Mapping'!$C$5:$C$83=D225)*('Control Mapping'!$R$5:$R$83&gt;0)))</f>
        <v>12</v>
      </c>
      <c r="J225" s="31" t="n">
        <f aca="false">IF(NOT(ISNUMBER($G225)),"",SUMPRODUCT(('Control Mapping'!$C$5:$C$83=D225)*('Control Mapping'!$F$5:$F$83="Y")*('Control Mapping'!$R$5:$R$83&gt;0)))</f>
        <v>9</v>
      </c>
      <c r="K225" s="31" t="n">
        <f aca="false">IF(NOT(ISNUMBER($G225)),"",SUMPRODUCT(('Control Mapping'!$C$5:$C$83=D225)*('Control Mapping'!$F$5:$F$83="Y")*('Control Mapping'!$R$5:$R$83=4)))</f>
        <v>2</v>
      </c>
      <c r="L225" s="29" t="n">
        <f aca="false">IF(NOT(ISNUMBER($G225)),"",IFERROR(SUMPRODUCT(('Control Mapping'!$C$5:$C$83=D225)*'Control Mapping'!$E$5:$E$83*'Control Mapping'!$R$5:$R$83)/SUMPRODUCT(('Control Mapping'!$C$5:$C$83=D225)*'Control Mapping'!$E$5:$E$83*('Control Mapping'!$R$5:$R$83&gt;0)),""))</f>
        <v>2.34782608695652</v>
      </c>
      <c r="M225" s="34" t="n">
        <f aca="false">IF(NOT(ISNUMBER($G225)),"",IF(J225=0,4,MAX(MATCH(L225,'Residual Config'!$E$11:$E$14,1),IF(K225&gt;0,'Residual Config'!$C$7,1))))</f>
        <v>3</v>
      </c>
      <c r="N225" s="7" t="str">
        <f aca="false">IF(NOT(ISNUMBER($G225)),"",IF(J225=0,"Ineffective (no key control)",INDEX('Residual Config'!$B$11:$B$14,M225)))</f>
        <v>Partially effective</v>
      </c>
      <c r="O225" s="36" t="n">
        <f aca="false">IF(NOT(ISNUMBER($G225)),"",IF(J225=0,0,SUMPRODUCT(('Control Mapping'!$C$5:$C$83=D225)*'Control Mapping'!$E$5:$E$83*(('Control Mapping'!$R$5:$R$83=1)*'Residual Config'!$D$11+('Control Mapping'!$R$5:$R$83=2)*'Residual Config'!$D$12+('Control Mapping'!$R$5:$R$83=3)*'Residual Config'!$D$13+('Control Mapping'!$R$5:$R$83=4)*'Residual Config'!$D$14))/SUMPRODUCT(('Control Mapping'!$C$5:$C$83=D225)*'Control Mapping'!$E$5:$E$83*('Control Mapping'!$R$5:$R$83&gt;0))))</f>
        <v>0.330434782608696</v>
      </c>
      <c r="P225" s="31" t="n">
        <f aca="false">IF(NOT(ISNUMBER($G225)),"",INDEX('Residual Config'!$B$19:$E$23,6-G225,M225))</f>
        <v>3</v>
      </c>
      <c r="Q225" s="29" t="n">
        <f aca="false">IF(NOT(ISNUMBER($G225)),"",MAX(1,F225*(1-O225)))</f>
        <v>1.99285990338164</v>
      </c>
      <c r="R225" s="31" t="n">
        <f aca="false">IF(NOT(ISNUMBER($G225)),"",MAX(MATCH(Q225,Config!$D$5:$D$9,1),G225-'Residual Config'!$C$6))</f>
        <v>2</v>
      </c>
      <c r="S225" s="34" t="n">
        <f aca="false">IF(NOT(ISNUMBER($G225)),"",IF('Residual Config'!$C$5="Numeric",R225,P225))</f>
        <v>3</v>
      </c>
      <c r="T225" s="7" t="str">
        <f aca="false">IF(G225="N/A","N/A",IF(S225="","No data",INDEX(Config!$B$5:$B$9,S225)))</f>
        <v>Medium</v>
      </c>
      <c r="U225" s="32" t="n">
        <v>0</v>
      </c>
      <c r="V225" s="8"/>
      <c r="W225" s="33"/>
      <c r="X225" s="34" t="n">
        <f aca="false">IF(S225="","",IF(AND(W225="Y",U225&lt;&gt;0),MAX(1,MIN(5,S225+MAX(-Config!$C$27,MIN(Config!$C$27,U225)))),S225))</f>
        <v>3</v>
      </c>
      <c r="Y225" s="35" t="str">
        <f aca="false">IF(G225="N/A","N/A",IF(X225="","No data",INDEX(Config!$B$5:$B$9,X225)))</f>
        <v>Medium</v>
      </c>
      <c r="Z225" s="7" t="str">
        <f aca="false">IF(U225=0,"None",IF(W225="Y","Applied","Pending HO approval"))</f>
        <v>None</v>
      </c>
      <c r="AA225" s="12" t="str">
        <f aca="false">INDEX('Risk Taxonomy'!$G$5:$G$24,MATCH(D225,'Risk Taxonomy'!$A$5:$A$24,0))</f>
        <v>Very low</v>
      </c>
      <c r="AB225" s="7" t="str">
        <f aca="false">INDEX('Risk Taxonomy'!$H$5:$H$24,MATCH(D225,'Risk Taxonomy'!$A$5:$A$24,0))</f>
        <v>Medium-Low</v>
      </c>
      <c r="AC225" s="35" t="str">
        <f aca="false">IF(NOT(ISNUMBER(X225)),"",IF(X225&lt;=MATCH(AB225,Config!$B$5:$B$9,0),"Within",IF(OR(X225-MATCH(AB225,Config!$B$5:$B$9,0)&gt;=2,AND('Residual Config'!$C$8="Y",ISNUMBER(SEARCH("Zero",AA225)))),"Red","Amber")))</f>
        <v>Amber</v>
      </c>
      <c r="AD225" s="12" t="str">
        <f aca="false">IF(AC225="Red","Group CCO / CRO and Country CEO within 2 business days; action plan in 15 days; report to Board Risk &amp; Compliance Committee",IF(AC225="Amber","Country CO, risk owner and HO Administrator within 5 business days; action plan in 30 days",""))</f>
        <v>Country CO, risk owner and HO Administrator within 5 business days; action plan in 30 days</v>
      </c>
    </row>
    <row r="226" customFormat="false" ht="15" hidden="false" customHeight="false" outlineLevel="0" collapsed="false">
      <c r="A226" s="26" t="str">
        <f aca="false">Entities!$A$16</f>
        <v>QA</v>
      </c>
      <c r="B226" s="12" t="str">
        <f aca="false">INDEX(Entities!$B$5:$B$34,MATCH(A226,Entities!$A$5:$A$34,0))</f>
        <v>Arab Bank – Qatar</v>
      </c>
      <c r="C226" s="12" t="str">
        <f aca="false">INDEX(Entities!$D$5:$D$34,MATCH(A226,Entities!$A$5:$A$34,0))</f>
        <v>GCC</v>
      </c>
      <c r="D226" s="12" t="s">
        <v>267</v>
      </c>
      <c r="E226" s="12" t="str">
        <f aca="false">INDEX('Risk Taxonomy'!$B$5:$B$24,MATCH(D226,'Risk Taxonomy'!$A$5:$A$24,0))</f>
        <v>Terrorist financing</v>
      </c>
      <c r="F226" s="29" t="n">
        <f aca="false">IF(NOT(ISNUMBER(G226)),"",IFERROR(IF(MATCH(SUMIFS('FC Calculation'!$N$5:$N$214,'FC Calculation'!$A$5:$A$214,A226,'FC Calculation'!$D$5:$D$214,D226),Config!$D$5:$D$9,1)=G226,SUMIFS('FC Calculation'!$N$5:$N$214,'FC Calculation'!$A$5:$A$214,A226,'FC Calculation'!$D$5:$D$214,D226),G226),G226))</f>
        <v>3.05238095238095</v>
      </c>
      <c r="G226" s="34" t="n">
        <f aca="false">IF(COUNTIFS('FC Calculation'!$A$5:$A$214,A226,'FC Calculation'!$D$5:$D$214,D226,'FC Calculation'!$T$5:$T$214,"&gt;0")=0,"",SUMIFS('FC Calculation'!$T$5:$T$214,'FC Calculation'!$A$5:$A$214,A226,'FC Calculation'!$D$5:$D$214,D226))</f>
        <v>3</v>
      </c>
      <c r="H226" s="7" t="str">
        <f aca="false">IF(G226="N/A","N/A",IF(G226="","No data",INDEX(Config!$B$5:$B$9,G226)))</f>
        <v>Medium</v>
      </c>
      <c r="I226" s="31" t="n">
        <f aca="false">IF(NOT(ISNUMBER($G226)),"",SUMPRODUCT(('Control Mapping'!$C$5:$C$83=D226)*('Control Mapping'!$R$5:$R$83&gt;0)))</f>
        <v>12</v>
      </c>
      <c r="J226" s="31" t="n">
        <f aca="false">IF(NOT(ISNUMBER($G226)),"",SUMPRODUCT(('Control Mapping'!$C$5:$C$83=D226)*('Control Mapping'!$F$5:$F$83="Y")*('Control Mapping'!$R$5:$R$83&gt;0)))</f>
        <v>9</v>
      </c>
      <c r="K226" s="31" t="n">
        <f aca="false">IF(NOT(ISNUMBER($G226)),"",SUMPRODUCT(('Control Mapping'!$C$5:$C$83=D226)*('Control Mapping'!$F$5:$F$83="Y")*('Control Mapping'!$R$5:$R$83=4)))</f>
        <v>3</v>
      </c>
      <c r="L226" s="29" t="n">
        <f aca="false">IF(NOT(ISNUMBER($G226)),"",IFERROR(SUMPRODUCT(('Control Mapping'!$C$5:$C$83=D226)*'Control Mapping'!$E$5:$E$83*'Control Mapping'!$R$5:$R$83)/SUMPRODUCT(('Control Mapping'!$C$5:$C$83=D226)*'Control Mapping'!$E$5:$E$83*('Control Mapping'!$R$5:$R$83&gt;0)),""))</f>
        <v>2.42105263157895</v>
      </c>
      <c r="M226" s="34" t="n">
        <f aca="false">IF(NOT(ISNUMBER($G226)),"",IF(J226=0,4,MAX(MATCH(L226,'Residual Config'!$E$11:$E$14,1),IF(K226&gt;0,'Residual Config'!$C$7,1))))</f>
        <v>3</v>
      </c>
      <c r="N226" s="7" t="str">
        <f aca="false">IF(NOT(ISNUMBER($G226)),"",IF(J226=0,"Ineffective (no key control)",INDEX('Residual Config'!$B$11:$B$14,M226)))</f>
        <v>Partially effective</v>
      </c>
      <c r="O226" s="36" t="n">
        <f aca="false">IF(NOT(ISNUMBER($G226)),"",IF(J226=0,0,SUMPRODUCT(('Control Mapping'!$C$5:$C$83=D226)*'Control Mapping'!$E$5:$E$83*(('Control Mapping'!$R$5:$R$83=1)*'Residual Config'!$D$11+('Control Mapping'!$R$5:$R$83=2)*'Residual Config'!$D$12+('Control Mapping'!$R$5:$R$83=3)*'Residual Config'!$D$13+('Control Mapping'!$R$5:$R$83=4)*'Residual Config'!$D$14))/SUMPRODUCT(('Control Mapping'!$C$5:$C$83=D226)*'Control Mapping'!$E$5:$E$83*('Control Mapping'!$R$5:$R$83&gt;0))))</f>
        <v>0.315789473684211</v>
      </c>
      <c r="P226" s="31" t="n">
        <f aca="false">IF(NOT(ISNUMBER($G226)),"",INDEX('Residual Config'!$B$19:$E$23,6-G226,M226))</f>
        <v>3</v>
      </c>
      <c r="Q226" s="29" t="n">
        <f aca="false">IF(NOT(ISNUMBER($G226)),"",MAX(1,F226*(1-O226)))</f>
        <v>2.08847117794486</v>
      </c>
      <c r="R226" s="31" t="n">
        <f aca="false">IF(NOT(ISNUMBER($G226)),"",MAX(MATCH(Q226,Config!$D$5:$D$9,1),G226-'Residual Config'!$C$6))</f>
        <v>2</v>
      </c>
      <c r="S226" s="34" t="n">
        <f aca="false">IF(NOT(ISNUMBER($G226)),"",IF('Residual Config'!$C$5="Numeric",R226,P226))</f>
        <v>3</v>
      </c>
      <c r="T226" s="7" t="str">
        <f aca="false">IF(G226="N/A","N/A",IF(S226="","No data",INDEX(Config!$B$5:$B$9,S226)))</f>
        <v>Medium</v>
      </c>
      <c r="U226" s="32" t="n">
        <v>0</v>
      </c>
      <c r="V226" s="8"/>
      <c r="W226" s="33"/>
      <c r="X226" s="34" t="n">
        <f aca="false">IF(S226="","",IF(AND(W226="Y",U226&lt;&gt;0),MAX(1,MIN(5,S226+MAX(-Config!$C$27,MIN(Config!$C$27,U226)))),S226))</f>
        <v>3</v>
      </c>
      <c r="Y226" s="35" t="str">
        <f aca="false">IF(G226="N/A","N/A",IF(X226="","No data",INDEX(Config!$B$5:$B$9,X226)))</f>
        <v>Medium</v>
      </c>
      <c r="Z226" s="7" t="str">
        <f aca="false">IF(U226=0,"None",IF(W226="Y","Applied","Pending HO approval"))</f>
        <v>None</v>
      </c>
      <c r="AA226" s="12" t="str">
        <f aca="false">INDEX('Risk Taxonomy'!$G$5:$G$24,MATCH(D226,'Risk Taxonomy'!$A$5:$A$24,0))</f>
        <v>Zero tolerance</v>
      </c>
      <c r="AB226" s="7" t="str">
        <f aca="false">INDEX('Risk Taxonomy'!$H$5:$H$24,MATCH(D226,'Risk Taxonomy'!$A$5:$A$24,0))</f>
        <v>Low</v>
      </c>
      <c r="AC226" s="35" t="str">
        <f aca="false">IF(NOT(ISNUMBER(X226)),"",IF(X226&lt;=MATCH(AB226,Config!$B$5:$B$9,0),"Within",IF(OR(X226-MATCH(AB226,Config!$B$5:$B$9,0)&gt;=2,AND('Residual Config'!$C$8="Y",ISNUMBER(SEARCH("Zero",AA226)))),"Red","Amber")))</f>
        <v>Red</v>
      </c>
      <c r="AD226" s="12" t="str">
        <f aca="false">IF(AC226="Red","Group CCO / CRO and Country CEO within 2 business days; action plan in 15 days; report to Board Risk &amp; Compliance Committee",IF(AC226="Amber","Country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227" customFormat="false" ht="15" hidden="false" customHeight="false" outlineLevel="0" collapsed="false">
      <c r="A227" s="26" t="str">
        <f aca="false">Entities!$A$16</f>
        <v>QA</v>
      </c>
      <c r="B227" s="12" t="str">
        <f aca="false">INDEX(Entities!$B$5:$B$34,MATCH(A227,Entities!$A$5:$A$34,0))</f>
        <v>Arab Bank – Qatar</v>
      </c>
      <c r="C227" s="12" t="str">
        <f aca="false">INDEX(Entities!$D$5:$D$34,MATCH(A227,Entities!$A$5:$A$34,0))</f>
        <v>GCC</v>
      </c>
      <c r="D227" s="12" t="s">
        <v>270</v>
      </c>
      <c r="E227" s="12" t="str">
        <f aca="false">INDEX('Risk Taxonomy'!$B$5:$B$24,MATCH(D227,'Risk Taxonomy'!$A$5:$A$24,0))</f>
        <v>Proliferation financing</v>
      </c>
      <c r="F227" s="29" t="n">
        <f aca="false">IF(NOT(ISNUMBER(G227)),"",IFERROR(IF(MATCH(SUMIFS('FC Calculation'!$N$5:$N$214,'FC Calculation'!$A$5:$A$214,A227,'FC Calculation'!$D$5:$D$214,D227),Config!$D$5:$D$9,1)=G227,SUMIFS('FC Calculation'!$N$5:$N$214,'FC Calculation'!$A$5:$A$214,A227,'FC Calculation'!$D$5:$D$214,D227),G227),G227))</f>
        <v>2.90833333333333</v>
      </c>
      <c r="G227" s="34" t="n">
        <f aca="false">IF(COUNTIFS('FC Calculation'!$A$5:$A$214,A227,'FC Calculation'!$D$5:$D$214,D227,'FC Calculation'!$T$5:$T$214,"&gt;0")=0,"",SUMIFS('FC Calculation'!$T$5:$T$214,'FC Calculation'!$A$5:$A$214,A227,'FC Calculation'!$D$5:$D$214,D227))</f>
        <v>3</v>
      </c>
      <c r="H227" s="7" t="str">
        <f aca="false">IF(G227="N/A","N/A",IF(G227="","No data",INDEX(Config!$B$5:$B$9,G227)))</f>
        <v>Medium</v>
      </c>
      <c r="I227" s="31" t="n">
        <f aca="false">IF(NOT(ISNUMBER($G227)),"",SUMPRODUCT(('Control Mapping'!$C$5:$C$83=D227)*('Control Mapping'!$R$5:$R$83&gt;0)))</f>
        <v>5</v>
      </c>
      <c r="J227" s="31" t="n">
        <f aca="false">IF(NOT(ISNUMBER($G227)),"",SUMPRODUCT(('Control Mapping'!$C$5:$C$83=D227)*('Control Mapping'!$F$5:$F$83="Y")*('Control Mapping'!$R$5:$R$83&gt;0)))</f>
        <v>5</v>
      </c>
      <c r="K227" s="31" t="n">
        <f aca="false">IF(NOT(ISNUMBER($G227)),"",SUMPRODUCT(('Control Mapping'!$C$5:$C$83=D227)*('Control Mapping'!$F$5:$F$83="Y")*('Control Mapping'!$R$5:$R$83=4)))</f>
        <v>2</v>
      </c>
      <c r="L227" s="29" t="n">
        <f aca="false">IF(NOT(ISNUMBER($G227)),"",IFERROR(SUMPRODUCT(('Control Mapping'!$C$5:$C$83=D227)*'Control Mapping'!$E$5:$E$83*'Control Mapping'!$R$5:$R$83)/SUMPRODUCT(('Control Mapping'!$C$5:$C$83=D227)*'Control Mapping'!$E$5:$E$83*('Control Mapping'!$R$5:$R$83&gt;0)),""))</f>
        <v>3</v>
      </c>
      <c r="M227" s="34" t="n">
        <f aca="false">IF(NOT(ISNUMBER($G227)),"",IF(J227=0,4,MAX(MATCH(L227,'Residual Config'!$E$11:$E$14,1),IF(K227&gt;0,'Residual Config'!$C$7,1))))</f>
        <v>3</v>
      </c>
      <c r="N227" s="7" t="str">
        <f aca="false">IF(NOT(ISNUMBER($G227)),"",IF(J227=0,"Ineffective (no key control)",INDEX('Residual Config'!$B$11:$B$14,M227)))</f>
        <v>Partially effective</v>
      </c>
      <c r="O227" s="36" t="n">
        <f aca="false">IF(NOT(ISNUMBER($G227)),"",IF(J227=0,0,SUMPRODUCT(('Control Mapping'!$C$5:$C$83=D227)*'Control Mapping'!$E$5:$E$83*(('Control Mapping'!$R$5:$R$83=1)*'Residual Config'!$D$11+('Control Mapping'!$R$5:$R$83=2)*'Residual Config'!$D$12+('Control Mapping'!$R$5:$R$83=3)*'Residual Config'!$D$13+('Control Mapping'!$R$5:$R$83=4)*'Residual Config'!$D$14))/SUMPRODUCT(('Control Mapping'!$C$5:$C$83=D227)*'Control Mapping'!$E$5:$E$83*('Control Mapping'!$R$5:$R$83&gt;0))))</f>
        <v>0.2</v>
      </c>
      <c r="P227" s="31" t="n">
        <f aca="false">IF(NOT(ISNUMBER($G227)),"",INDEX('Residual Config'!$B$19:$E$23,6-G227,M227))</f>
        <v>3</v>
      </c>
      <c r="Q227" s="29" t="n">
        <f aca="false">IF(NOT(ISNUMBER($G227)),"",MAX(1,F227*(1-O227)))</f>
        <v>2.32666666666667</v>
      </c>
      <c r="R227" s="31" t="n">
        <f aca="false">IF(NOT(ISNUMBER($G227)),"",MAX(MATCH(Q227,Config!$D$5:$D$9,1),G227-'Residual Config'!$C$6))</f>
        <v>2</v>
      </c>
      <c r="S227" s="34" t="n">
        <f aca="false">IF(NOT(ISNUMBER($G227)),"",IF('Residual Config'!$C$5="Numeric",R227,P227))</f>
        <v>3</v>
      </c>
      <c r="T227" s="7" t="str">
        <f aca="false">IF(G227="N/A","N/A",IF(S227="","No data",INDEX(Config!$B$5:$B$9,S227)))</f>
        <v>Medium</v>
      </c>
      <c r="U227" s="32" t="n">
        <v>0</v>
      </c>
      <c r="V227" s="8"/>
      <c r="W227" s="33"/>
      <c r="X227" s="34" t="n">
        <f aca="false">IF(S227="","",IF(AND(W227="Y",U227&lt;&gt;0),MAX(1,MIN(5,S227+MAX(-Config!$C$27,MIN(Config!$C$27,U227)))),S227))</f>
        <v>3</v>
      </c>
      <c r="Y227" s="35" t="str">
        <f aca="false">IF(G227="N/A","N/A",IF(X227="","No data",INDEX(Config!$B$5:$B$9,X227)))</f>
        <v>Medium</v>
      </c>
      <c r="Z227" s="7" t="str">
        <f aca="false">IF(U227=0,"None",IF(W227="Y","Applied","Pending HO approval"))</f>
        <v>None</v>
      </c>
      <c r="AA227" s="12" t="str">
        <f aca="false">INDEX('Risk Taxonomy'!$G$5:$G$24,MATCH(D227,'Risk Taxonomy'!$A$5:$A$24,0))</f>
        <v>Zero tolerance</v>
      </c>
      <c r="AB227" s="7" t="str">
        <f aca="false">INDEX('Risk Taxonomy'!$H$5:$H$24,MATCH(D227,'Risk Taxonomy'!$A$5:$A$24,0))</f>
        <v>Low</v>
      </c>
      <c r="AC227" s="35" t="str">
        <f aca="false">IF(NOT(ISNUMBER(X227)),"",IF(X227&lt;=MATCH(AB227,Config!$B$5:$B$9,0),"Within",IF(OR(X227-MATCH(AB227,Config!$B$5:$B$9,0)&gt;=2,AND('Residual Config'!$C$8="Y",ISNUMBER(SEARCH("Zero",AA227)))),"Red","Amber")))</f>
        <v>Red</v>
      </c>
      <c r="AD227" s="12" t="str">
        <f aca="false">IF(AC227="Red","Group CCO / CRO and Country CEO within 2 business days; action plan in 15 days; report to Board Risk &amp; Compliance Committee",IF(AC227="Amber","Country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228" customFormat="false" ht="15" hidden="false" customHeight="false" outlineLevel="0" collapsed="false">
      <c r="A228" s="26" t="str">
        <f aca="false">Entities!$A$16</f>
        <v>QA</v>
      </c>
      <c r="B228" s="12" t="str">
        <f aca="false">INDEX(Entities!$B$5:$B$34,MATCH(A228,Entities!$A$5:$A$34,0))</f>
        <v>Arab Bank – Qatar</v>
      </c>
      <c r="C228" s="12" t="str">
        <f aca="false">INDEX(Entities!$D$5:$D$34,MATCH(A228,Entities!$A$5:$A$34,0))</f>
        <v>GCC</v>
      </c>
      <c r="D228" s="12" t="s">
        <v>272</v>
      </c>
      <c r="E228" s="12" t="str">
        <f aca="false">INDEX('Risk Taxonomy'!$B$5:$B$24,MATCH(D228,'Risk Taxonomy'!$A$5:$A$24,0))</f>
        <v>Sanctions</v>
      </c>
      <c r="F228" s="29" t="n">
        <f aca="false">IF(NOT(ISNUMBER(G228)),"",IFERROR(IF(MATCH(SUMIFS('FC Calculation'!$N$5:$N$214,'FC Calculation'!$A$5:$A$214,A228,'FC Calculation'!$D$5:$D$214,D228),Config!$D$5:$D$9,1)=G228,SUMIFS('FC Calculation'!$N$5:$N$214,'FC Calculation'!$A$5:$A$214,A228,'FC Calculation'!$D$5:$D$214,D228),G228),G228))</f>
        <v>2.97714285714286</v>
      </c>
      <c r="G228" s="34" t="n">
        <f aca="false">IF(COUNTIFS('FC Calculation'!$A$5:$A$214,A228,'FC Calculation'!$D$5:$D$214,D228,'FC Calculation'!$T$5:$T$214,"&gt;0")=0,"",SUMIFS('FC Calculation'!$T$5:$T$214,'FC Calculation'!$A$5:$A$214,A228,'FC Calculation'!$D$5:$D$214,D228))</f>
        <v>3</v>
      </c>
      <c r="H228" s="7" t="str">
        <f aca="false">IF(G228="N/A","N/A",IF(G228="","No data",INDEX(Config!$B$5:$B$9,G228)))</f>
        <v>Medium</v>
      </c>
      <c r="I228" s="31" t="n">
        <f aca="false">IF(NOT(ISNUMBER($G228)),"",SUMPRODUCT(('Control Mapping'!$C$5:$C$83=D228)*('Control Mapping'!$R$5:$R$83&gt;0)))</f>
        <v>8</v>
      </c>
      <c r="J228" s="31" t="n">
        <f aca="false">IF(NOT(ISNUMBER($G228)),"",SUMPRODUCT(('Control Mapping'!$C$5:$C$83=D228)*('Control Mapping'!$F$5:$F$83="Y")*('Control Mapping'!$R$5:$R$83&gt;0)))</f>
        <v>5</v>
      </c>
      <c r="K228" s="31" t="n">
        <f aca="false">IF(NOT(ISNUMBER($G228)),"",SUMPRODUCT(('Control Mapping'!$C$5:$C$83=D228)*('Control Mapping'!$F$5:$F$83="Y")*('Control Mapping'!$R$5:$R$83=4)))</f>
        <v>2</v>
      </c>
      <c r="L228" s="29" t="n">
        <f aca="false">IF(NOT(ISNUMBER($G228)),"",IFERROR(SUMPRODUCT(('Control Mapping'!$C$5:$C$83=D228)*'Control Mapping'!$E$5:$E$83*'Control Mapping'!$R$5:$R$83)/SUMPRODUCT(('Control Mapping'!$C$5:$C$83=D228)*'Control Mapping'!$E$5:$E$83*('Control Mapping'!$R$5:$R$83&gt;0)),""))</f>
        <v>2.54545454545455</v>
      </c>
      <c r="M228" s="34" t="n">
        <f aca="false">IF(NOT(ISNUMBER($G228)),"",IF(J228=0,4,MAX(MATCH(L228,'Residual Config'!$E$11:$E$14,1),IF(K228&gt;0,'Residual Config'!$C$7,1))))</f>
        <v>3</v>
      </c>
      <c r="N228" s="7" t="str">
        <f aca="false">IF(NOT(ISNUMBER($G228)),"",IF(J228=0,"Ineffective (no key control)",INDEX('Residual Config'!$B$11:$B$14,M228)))</f>
        <v>Partially effective</v>
      </c>
      <c r="O228" s="36" t="n">
        <f aca="false">IF(NOT(ISNUMBER($G228)),"",IF(J228=0,0,SUMPRODUCT(('Control Mapping'!$C$5:$C$83=D228)*'Control Mapping'!$E$5:$E$83*(('Control Mapping'!$R$5:$R$83=1)*'Residual Config'!$D$11+('Control Mapping'!$R$5:$R$83=2)*'Residual Config'!$D$12+('Control Mapping'!$R$5:$R$83=3)*'Residual Config'!$D$13+('Control Mapping'!$R$5:$R$83=4)*'Residual Config'!$D$14))/SUMPRODUCT(('Control Mapping'!$C$5:$C$83=D228)*'Control Mapping'!$E$5:$E$83*('Control Mapping'!$R$5:$R$83&gt;0))))</f>
        <v>0.290909090909091</v>
      </c>
      <c r="P228" s="31" t="n">
        <f aca="false">IF(NOT(ISNUMBER($G228)),"",INDEX('Residual Config'!$B$19:$E$23,6-G228,M228))</f>
        <v>3</v>
      </c>
      <c r="Q228" s="29" t="n">
        <f aca="false">IF(NOT(ISNUMBER($G228)),"",MAX(1,F228*(1-O228)))</f>
        <v>2.11106493506494</v>
      </c>
      <c r="R228" s="31" t="n">
        <f aca="false">IF(NOT(ISNUMBER($G228)),"",MAX(MATCH(Q228,Config!$D$5:$D$9,1),G228-'Residual Config'!$C$6))</f>
        <v>2</v>
      </c>
      <c r="S228" s="34" t="n">
        <f aca="false">IF(NOT(ISNUMBER($G228)),"",IF('Residual Config'!$C$5="Numeric",R228,P228))</f>
        <v>3</v>
      </c>
      <c r="T228" s="7" t="str">
        <f aca="false">IF(G228="N/A","N/A",IF(S228="","No data",INDEX(Config!$B$5:$B$9,S228)))</f>
        <v>Medium</v>
      </c>
      <c r="U228" s="32" t="n">
        <v>0</v>
      </c>
      <c r="V228" s="8"/>
      <c r="W228" s="33"/>
      <c r="X228" s="34" t="n">
        <f aca="false">IF(S228="","",IF(AND(W228="Y",U228&lt;&gt;0),MAX(1,MIN(5,S228+MAX(-Config!$C$27,MIN(Config!$C$27,U228)))),S228))</f>
        <v>3</v>
      </c>
      <c r="Y228" s="35" t="str">
        <f aca="false">IF(G228="N/A","N/A",IF(X228="","No data",INDEX(Config!$B$5:$B$9,X228)))</f>
        <v>Medium</v>
      </c>
      <c r="Z228" s="7" t="str">
        <f aca="false">IF(U228=0,"None",IF(W228="Y","Applied","Pending HO approval"))</f>
        <v>None</v>
      </c>
      <c r="AA228" s="12" t="str">
        <f aca="false">INDEX('Risk Taxonomy'!$G$5:$G$24,MATCH(D228,'Risk Taxonomy'!$A$5:$A$24,0))</f>
        <v>Zero tolerance</v>
      </c>
      <c r="AB228" s="7" t="str">
        <f aca="false">INDEX('Risk Taxonomy'!$H$5:$H$24,MATCH(D228,'Risk Taxonomy'!$A$5:$A$24,0))</f>
        <v>Low</v>
      </c>
      <c r="AC228" s="35" t="str">
        <f aca="false">IF(NOT(ISNUMBER(X228)),"",IF(X228&lt;=MATCH(AB228,Config!$B$5:$B$9,0),"Within",IF(OR(X228-MATCH(AB228,Config!$B$5:$B$9,0)&gt;=2,AND('Residual Config'!$C$8="Y",ISNUMBER(SEARCH("Zero",AA228)))),"Red","Amber")))</f>
        <v>Red</v>
      </c>
      <c r="AD228" s="12" t="str">
        <f aca="false">IF(AC228="Red","Group CCO / CRO and Country CEO within 2 business days; action plan in 15 days; report to Board Risk &amp; Compliance Committee",IF(AC228="Amber","Country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229" customFormat="false" ht="15" hidden="false" customHeight="false" outlineLevel="0" collapsed="false">
      <c r="A229" s="26" t="str">
        <f aca="false">Entities!$A$16</f>
        <v>QA</v>
      </c>
      <c r="B229" s="12" t="str">
        <f aca="false">INDEX(Entities!$B$5:$B$34,MATCH(A229,Entities!$A$5:$A$34,0))</f>
        <v>Arab Bank – Qatar</v>
      </c>
      <c r="C229" s="12" t="str">
        <f aca="false">INDEX(Entities!$D$5:$D$34,MATCH(A229,Entities!$A$5:$A$34,0))</f>
        <v>GCC</v>
      </c>
      <c r="D229" s="12" t="s">
        <v>275</v>
      </c>
      <c r="E229" s="12" t="str">
        <f aca="false">INDEX('Risk Taxonomy'!$B$5:$B$24,MATCH(D229,'Risk Taxonomy'!$A$5:$A$24,0))</f>
        <v>Bribery and corruption</v>
      </c>
      <c r="F229" s="29" t="n">
        <f aca="false">IF(NOT(ISNUMBER(G229)),"",IFERROR(IF(MATCH(SUMIFS('FC Calculation'!$N$5:$N$214,'FC Calculation'!$A$5:$A$214,A229,'FC Calculation'!$D$5:$D$214,D229),Config!$D$5:$D$9,1)=G229,SUMIFS('FC Calculation'!$N$5:$N$214,'FC Calculation'!$A$5:$A$214,A229,'FC Calculation'!$D$5:$D$214,D229),G229),G229))</f>
        <v>2.59166666666667</v>
      </c>
      <c r="G229" s="34" t="n">
        <f aca="false">IF(COUNTIFS('FC Calculation'!$A$5:$A$214,A229,'FC Calculation'!$D$5:$D$214,D229,'FC Calculation'!$T$5:$T$214,"&gt;0")=0,"",SUMIFS('FC Calculation'!$T$5:$T$214,'FC Calculation'!$A$5:$A$214,A229,'FC Calculation'!$D$5:$D$214,D229))</f>
        <v>2</v>
      </c>
      <c r="H229" s="7" t="str">
        <f aca="false">IF(G229="N/A","N/A",IF(G229="","No data",INDEX(Config!$B$5:$B$9,G229)))</f>
        <v>Medium-Low</v>
      </c>
      <c r="I229" s="31" t="n">
        <f aca="false">IF(NOT(ISNUMBER($G229)),"",SUMPRODUCT(('Control Mapping'!$C$5:$C$83=D229)*('Control Mapping'!$R$5:$R$83&gt;0)))</f>
        <v>5</v>
      </c>
      <c r="J229" s="31" t="n">
        <f aca="false">IF(NOT(ISNUMBER($G229)),"",SUMPRODUCT(('Control Mapping'!$C$5:$C$83=D229)*('Control Mapping'!$F$5:$F$83="Y")*('Control Mapping'!$R$5:$R$83&gt;0)))</f>
        <v>2</v>
      </c>
      <c r="K229" s="31" t="n">
        <f aca="false">IF(NOT(ISNUMBER($G229)),"",SUMPRODUCT(('Control Mapping'!$C$5:$C$83=D229)*('Control Mapping'!$F$5:$F$83="Y")*('Control Mapping'!$R$5:$R$83=4)))</f>
        <v>0</v>
      </c>
      <c r="L229" s="29" t="n">
        <f aca="false">IF(NOT(ISNUMBER($G229)),"",IFERROR(SUMPRODUCT(('Control Mapping'!$C$5:$C$83=D229)*'Control Mapping'!$E$5:$E$83*'Control Mapping'!$R$5:$R$83)/SUMPRODUCT(('Control Mapping'!$C$5:$C$83=D229)*'Control Mapping'!$E$5:$E$83*('Control Mapping'!$R$5:$R$83&gt;0)),""))</f>
        <v>1.77777777777778</v>
      </c>
      <c r="M229" s="34" t="n">
        <f aca="false">IF(NOT(ISNUMBER($G229)),"",IF(J229=0,4,MAX(MATCH(L229,'Residual Config'!$E$11:$E$14,1),IF(K229&gt;0,'Residual Config'!$C$7,1))))</f>
        <v>2</v>
      </c>
      <c r="N229" s="7" t="str">
        <f aca="false">IF(NOT(ISNUMBER($G229)),"",IF(J229=0,"Ineffective (no key control)",INDEX('Residual Config'!$B$11:$B$14,M229)))</f>
        <v>Largely effective</v>
      </c>
      <c r="O229" s="36" t="n">
        <f aca="false">IF(NOT(ISNUMBER($G229)),"",IF(J229=0,0,SUMPRODUCT(('Control Mapping'!$C$5:$C$83=D229)*'Control Mapping'!$E$5:$E$83*(('Control Mapping'!$R$5:$R$83=1)*'Residual Config'!$D$11+('Control Mapping'!$R$5:$R$83=2)*'Residual Config'!$D$12+('Control Mapping'!$R$5:$R$83=3)*'Residual Config'!$D$13+('Control Mapping'!$R$5:$R$83=4)*'Residual Config'!$D$14))/SUMPRODUCT(('Control Mapping'!$C$5:$C$83=D229)*'Control Mapping'!$E$5:$E$83*('Control Mapping'!$R$5:$R$83&gt;0))))</f>
        <v>0.444444444444444</v>
      </c>
      <c r="P229" s="31" t="n">
        <f aca="false">IF(NOT(ISNUMBER($G229)),"",INDEX('Residual Config'!$B$19:$E$23,6-G229,M229))</f>
        <v>1</v>
      </c>
      <c r="Q229" s="29" t="n">
        <f aca="false">IF(NOT(ISNUMBER($G229)),"",MAX(1,F229*(1-O229)))</f>
        <v>1.43981481481481</v>
      </c>
      <c r="R229" s="31" t="n">
        <f aca="false">IF(NOT(ISNUMBER($G229)),"",MAX(MATCH(Q229,Config!$D$5:$D$9,1),G229-'Residual Config'!$C$6))</f>
        <v>1</v>
      </c>
      <c r="S229" s="34" t="n">
        <f aca="false">IF(NOT(ISNUMBER($G229)),"",IF('Residual Config'!$C$5="Numeric",R229,P229))</f>
        <v>1</v>
      </c>
      <c r="T229" s="7" t="str">
        <f aca="false">IF(G229="N/A","N/A",IF(S229="","No data",INDEX(Config!$B$5:$B$9,S229)))</f>
        <v>Low</v>
      </c>
      <c r="U229" s="32" t="n">
        <v>0</v>
      </c>
      <c r="V229" s="8"/>
      <c r="W229" s="33"/>
      <c r="X229" s="34" t="n">
        <f aca="false">IF(S229="","",IF(AND(W229="Y",U229&lt;&gt;0),MAX(1,MIN(5,S229+MAX(-Config!$C$27,MIN(Config!$C$27,U229)))),S229))</f>
        <v>1</v>
      </c>
      <c r="Y229" s="35" t="str">
        <f aca="false">IF(G229="N/A","N/A",IF(X229="","No data",INDEX(Config!$B$5:$B$9,X229)))</f>
        <v>Low</v>
      </c>
      <c r="Z229" s="7" t="str">
        <f aca="false">IF(U229=0,"None",IF(W229="Y","Applied","Pending HO approval"))</f>
        <v>None</v>
      </c>
      <c r="AA229" s="12" t="str">
        <f aca="false">INDEX('Risk Taxonomy'!$G$5:$G$24,MATCH(D229,'Risk Taxonomy'!$A$5:$A$24,0))</f>
        <v>Zero tolerance</v>
      </c>
      <c r="AB229" s="7" t="str">
        <f aca="false">INDEX('Risk Taxonomy'!$H$5:$H$24,MATCH(D229,'Risk Taxonomy'!$A$5:$A$24,0))</f>
        <v>Low</v>
      </c>
      <c r="AC229" s="35" t="str">
        <f aca="false">IF(NOT(ISNUMBER(X229)),"",IF(X229&lt;=MATCH(AB229,Config!$B$5:$B$9,0),"Within",IF(OR(X229-MATCH(AB229,Config!$B$5:$B$9,0)&gt;=2,AND('Residual Config'!$C$8="Y",ISNUMBER(SEARCH("Zero",AA229)))),"Red","Amber")))</f>
        <v>Within</v>
      </c>
      <c r="AD229" s="12" t="str">
        <f aca="false">IF(AC229="Red","Group CCO / CRO and Country CEO within 2 business days; action plan in 15 days; report to Board Risk &amp; Compliance Committee",IF(AC229="Amber","Country CO, risk owner and HO Administrator within 5 business days; action plan in 30 days",""))</f>
        <v/>
      </c>
    </row>
    <row r="230" customFormat="false" ht="15" hidden="false" customHeight="false" outlineLevel="0" collapsed="false">
      <c r="A230" s="26" t="str">
        <f aca="false">Entities!$A$16</f>
        <v>QA</v>
      </c>
      <c r="B230" s="12" t="str">
        <f aca="false">INDEX(Entities!$B$5:$B$34,MATCH(A230,Entities!$A$5:$A$34,0))</f>
        <v>Arab Bank – Qatar</v>
      </c>
      <c r="C230" s="12" t="str">
        <f aca="false">INDEX(Entities!$D$5:$D$34,MATCH(A230,Entities!$A$5:$A$34,0))</f>
        <v>GCC</v>
      </c>
      <c r="D230" s="12" t="s">
        <v>278</v>
      </c>
      <c r="E230" s="12" t="str">
        <f aca="false">INDEX('Risk Taxonomy'!$B$5:$B$24,MATCH(D230,'Risk Taxonomy'!$A$5:$A$24,0))</f>
        <v>Fraud</v>
      </c>
      <c r="F230" s="29" t="n">
        <f aca="false">IF(NOT(ISNUMBER(G230)),"",IFERROR(IF(MATCH(SUMIFS('FC Calculation'!$N$5:$N$214,'FC Calculation'!$A$5:$A$214,A230,'FC Calculation'!$D$5:$D$214,D230),Config!$D$5:$D$9,1)=G230,SUMIFS('FC Calculation'!$N$5:$N$214,'FC Calculation'!$A$5:$A$214,A230,'FC Calculation'!$D$5:$D$214,D230),G230),G230))</f>
        <v>2.94666666666667</v>
      </c>
      <c r="G230" s="34" t="n">
        <f aca="false">IF(COUNTIFS('FC Calculation'!$A$5:$A$214,A230,'FC Calculation'!$D$5:$D$214,D230,'FC Calculation'!$T$5:$T$214,"&gt;0")=0,"",SUMIFS('FC Calculation'!$T$5:$T$214,'FC Calculation'!$A$5:$A$214,A230,'FC Calculation'!$D$5:$D$214,D230))</f>
        <v>3</v>
      </c>
      <c r="H230" s="7" t="str">
        <f aca="false">IF(G230="N/A","N/A",IF(G230="","No data",INDEX(Config!$B$5:$B$9,G230)))</f>
        <v>Medium</v>
      </c>
      <c r="I230" s="31" t="n">
        <f aca="false">IF(NOT(ISNUMBER($G230)),"",SUMPRODUCT(('Control Mapping'!$C$5:$C$83=D230)*('Control Mapping'!$R$5:$R$83&gt;0)))</f>
        <v>6</v>
      </c>
      <c r="J230" s="31" t="n">
        <f aca="false">IF(NOT(ISNUMBER($G230)),"",SUMPRODUCT(('Control Mapping'!$C$5:$C$83=D230)*('Control Mapping'!$F$5:$F$83="Y")*('Control Mapping'!$R$5:$R$83&gt;0)))</f>
        <v>5</v>
      </c>
      <c r="K230" s="31" t="n">
        <f aca="false">IF(NOT(ISNUMBER($G230)),"",SUMPRODUCT(('Control Mapping'!$C$5:$C$83=D230)*('Control Mapping'!$F$5:$F$83="Y")*('Control Mapping'!$R$5:$R$83=4)))</f>
        <v>1</v>
      </c>
      <c r="L230" s="29" t="n">
        <f aca="false">IF(NOT(ISNUMBER($G230)),"",IFERROR(SUMPRODUCT(('Control Mapping'!$C$5:$C$83=D230)*'Control Mapping'!$E$5:$E$83*'Control Mapping'!$R$5:$R$83)/SUMPRODUCT(('Control Mapping'!$C$5:$C$83=D230)*'Control Mapping'!$E$5:$E$83*('Control Mapping'!$R$5:$R$83&gt;0)),""))</f>
        <v>2.3</v>
      </c>
      <c r="M230" s="34" t="n">
        <f aca="false">IF(NOT(ISNUMBER($G230)),"",IF(J230=0,4,MAX(MATCH(L230,'Residual Config'!$E$11:$E$14,1),IF(K230&gt;0,'Residual Config'!$C$7,1))))</f>
        <v>3</v>
      </c>
      <c r="N230" s="7" t="str">
        <f aca="false">IF(NOT(ISNUMBER($G230)),"",IF(J230=0,"Ineffective (no key control)",INDEX('Residual Config'!$B$11:$B$14,M230)))</f>
        <v>Partially effective</v>
      </c>
      <c r="O230" s="36" t="n">
        <f aca="false">IF(NOT(ISNUMBER($G230)),"",IF(J230=0,0,SUMPRODUCT(('Control Mapping'!$C$5:$C$83=D230)*'Control Mapping'!$E$5:$E$83*(('Control Mapping'!$R$5:$R$83=1)*'Residual Config'!$D$11+('Control Mapping'!$R$5:$R$83=2)*'Residual Config'!$D$12+('Control Mapping'!$R$5:$R$83=3)*'Residual Config'!$D$13+('Control Mapping'!$R$5:$R$83=4)*'Residual Config'!$D$14))/SUMPRODUCT(('Control Mapping'!$C$5:$C$83=D230)*'Control Mapping'!$E$5:$E$83*('Control Mapping'!$R$5:$R$83&gt;0))))</f>
        <v>0.34</v>
      </c>
      <c r="P230" s="31" t="n">
        <f aca="false">IF(NOT(ISNUMBER($G230)),"",INDEX('Residual Config'!$B$19:$E$23,6-G230,M230))</f>
        <v>3</v>
      </c>
      <c r="Q230" s="29" t="n">
        <f aca="false">IF(NOT(ISNUMBER($G230)),"",MAX(1,F230*(1-O230)))</f>
        <v>1.9448</v>
      </c>
      <c r="R230" s="31" t="n">
        <f aca="false">IF(NOT(ISNUMBER($G230)),"",MAX(MATCH(Q230,Config!$D$5:$D$9,1),G230-'Residual Config'!$C$6))</f>
        <v>2</v>
      </c>
      <c r="S230" s="34" t="n">
        <f aca="false">IF(NOT(ISNUMBER($G230)),"",IF('Residual Config'!$C$5="Numeric",R230,P230))</f>
        <v>3</v>
      </c>
      <c r="T230" s="7" t="str">
        <f aca="false">IF(G230="N/A","N/A",IF(S230="","No data",INDEX(Config!$B$5:$B$9,S230)))</f>
        <v>Medium</v>
      </c>
      <c r="U230" s="32" t="n">
        <v>0</v>
      </c>
      <c r="V230" s="8"/>
      <c r="W230" s="33"/>
      <c r="X230" s="34" t="n">
        <f aca="false">IF(S230="","",IF(AND(W230="Y",U230&lt;&gt;0),MAX(1,MIN(5,S230+MAX(-Config!$C$27,MIN(Config!$C$27,U230)))),S230))</f>
        <v>3</v>
      </c>
      <c r="Y230" s="35" t="str">
        <f aca="false">IF(G230="N/A","N/A",IF(X230="","No data",INDEX(Config!$B$5:$B$9,X230)))</f>
        <v>Medium</v>
      </c>
      <c r="Z230" s="7" t="str">
        <f aca="false">IF(U230=0,"None",IF(W230="Y","Applied","Pending HO approval"))</f>
        <v>None</v>
      </c>
      <c r="AA230" s="12" t="str">
        <f aca="false">INDEX('Risk Taxonomy'!$G$5:$G$24,MATCH(D230,'Risk Taxonomy'!$A$5:$A$24,0))</f>
        <v>Low</v>
      </c>
      <c r="AB230" s="7" t="str">
        <f aca="false">INDEX('Risk Taxonomy'!$H$5:$H$24,MATCH(D230,'Risk Taxonomy'!$A$5:$A$24,0))</f>
        <v>Medium</v>
      </c>
      <c r="AC230" s="35" t="str">
        <f aca="false">IF(NOT(ISNUMBER(X230)),"",IF(X230&lt;=MATCH(AB230,Config!$B$5:$B$9,0),"Within",IF(OR(X230-MATCH(AB230,Config!$B$5:$B$9,0)&gt;=2,AND('Residual Config'!$C$8="Y",ISNUMBER(SEARCH("Zero",AA230)))),"Red","Amber")))</f>
        <v>Within</v>
      </c>
      <c r="AD230" s="12" t="str">
        <f aca="false">IF(AC230="Red","Group CCO / CRO and Country CEO within 2 business days; action plan in 15 days; report to Board Risk &amp; Compliance Committee",IF(AC230="Amber","Country CO, risk owner and HO Administrator within 5 business days; action plan in 30 days",""))</f>
        <v/>
      </c>
    </row>
    <row r="231" customFormat="false" ht="15" hidden="false" customHeight="false" outlineLevel="0" collapsed="false">
      <c r="A231" s="26" t="str">
        <f aca="false">Entities!$A$16</f>
        <v>QA</v>
      </c>
      <c r="B231" s="12" t="str">
        <f aca="false">INDEX(Entities!$B$5:$B$34,MATCH(A231,Entities!$A$5:$A$34,0))</f>
        <v>Arab Bank – Qatar</v>
      </c>
      <c r="C231" s="12" t="str">
        <f aca="false">INDEX(Entities!$D$5:$D$34,MATCH(A231,Entities!$A$5:$A$34,0))</f>
        <v>GCC</v>
      </c>
      <c r="D231" s="12" t="s">
        <v>281</v>
      </c>
      <c r="E231" s="12" t="str">
        <f aca="false">INDEX('Risk Taxonomy'!$B$5:$B$24,MATCH(D231,'Risk Taxonomy'!$A$5:$A$24,0))</f>
        <v>Tax evasion and tax transparency</v>
      </c>
      <c r="F231" s="29" t="n">
        <f aca="false">IF(NOT(ISNUMBER(G231)),"",IFERROR(IF(MATCH(SUMIFS('FC Calculation'!$N$5:$N$214,'FC Calculation'!$A$5:$A$214,A231,'FC Calculation'!$D$5:$D$214,D231),Config!$D$5:$D$9,1)=G231,SUMIFS('FC Calculation'!$N$5:$N$214,'FC Calculation'!$A$5:$A$214,A231,'FC Calculation'!$D$5:$D$214,D231),G231),G231))</f>
        <v>2.93</v>
      </c>
      <c r="G231" s="34" t="n">
        <f aca="false">IF(COUNTIFS('FC Calculation'!$A$5:$A$214,A231,'FC Calculation'!$D$5:$D$214,D231,'FC Calculation'!$T$5:$T$214,"&gt;0")=0,"",SUMIFS('FC Calculation'!$T$5:$T$214,'FC Calculation'!$A$5:$A$214,A231,'FC Calculation'!$D$5:$D$214,D231))</f>
        <v>3</v>
      </c>
      <c r="H231" s="7" t="str">
        <f aca="false">IF(G231="N/A","N/A",IF(G231="","No data",INDEX(Config!$B$5:$B$9,G231)))</f>
        <v>Medium</v>
      </c>
      <c r="I231" s="31" t="n">
        <f aca="false">IF(NOT(ISNUMBER($G231)),"",SUMPRODUCT(('Control Mapping'!$C$5:$C$83=D231)*('Control Mapping'!$R$5:$R$83&gt;0)))</f>
        <v>5</v>
      </c>
      <c r="J231" s="31" t="n">
        <f aca="false">IF(NOT(ISNUMBER($G231)),"",SUMPRODUCT(('Control Mapping'!$C$5:$C$83=D231)*('Control Mapping'!$F$5:$F$83="Y")*('Control Mapping'!$R$5:$R$83&gt;0)))</f>
        <v>4</v>
      </c>
      <c r="K231" s="31" t="n">
        <f aca="false">IF(NOT(ISNUMBER($G231)),"",SUMPRODUCT(('Control Mapping'!$C$5:$C$83=D231)*('Control Mapping'!$F$5:$F$83="Y")*('Control Mapping'!$R$5:$R$83=4)))</f>
        <v>1</v>
      </c>
      <c r="L231" s="29" t="n">
        <f aca="false">IF(NOT(ISNUMBER($G231)),"",IFERROR(SUMPRODUCT(('Control Mapping'!$C$5:$C$83=D231)*'Control Mapping'!$E$5:$E$83*'Control Mapping'!$R$5:$R$83)/SUMPRODUCT(('Control Mapping'!$C$5:$C$83=D231)*'Control Mapping'!$E$5:$E$83*('Control Mapping'!$R$5:$R$83&gt;0)),""))</f>
        <v>2.33333333333333</v>
      </c>
      <c r="M231" s="34" t="n">
        <f aca="false">IF(NOT(ISNUMBER($G231)),"",IF(J231=0,4,MAX(MATCH(L231,'Residual Config'!$E$11:$E$14,1),IF(K231&gt;0,'Residual Config'!$C$7,1))))</f>
        <v>3</v>
      </c>
      <c r="N231" s="7" t="str">
        <f aca="false">IF(NOT(ISNUMBER($G231)),"",IF(J231=0,"Ineffective (no key control)",INDEX('Residual Config'!$B$11:$B$14,M231)))</f>
        <v>Partially effective</v>
      </c>
      <c r="O231" s="36" t="n">
        <f aca="false">IF(NOT(ISNUMBER($G231)),"",IF(J231=0,0,SUMPRODUCT(('Control Mapping'!$C$5:$C$83=D231)*'Control Mapping'!$E$5:$E$83*(('Control Mapping'!$R$5:$R$83=1)*'Residual Config'!$D$11+('Control Mapping'!$R$5:$R$83=2)*'Residual Config'!$D$12+('Control Mapping'!$R$5:$R$83=3)*'Residual Config'!$D$13+('Control Mapping'!$R$5:$R$83=4)*'Residual Config'!$D$14))/SUMPRODUCT(('Control Mapping'!$C$5:$C$83=D231)*'Control Mapping'!$E$5:$E$83*('Control Mapping'!$R$5:$R$83&gt;0))))</f>
        <v>0.333333333333333</v>
      </c>
      <c r="P231" s="31" t="n">
        <f aca="false">IF(NOT(ISNUMBER($G231)),"",INDEX('Residual Config'!$B$19:$E$23,6-G231,M231))</f>
        <v>3</v>
      </c>
      <c r="Q231" s="29" t="n">
        <f aca="false">IF(NOT(ISNUMBER($G231)),"",MAX(1,F231*(1-O231)))</f>
        <v>1.95333333333333</v>
      </c>
      <c r="R231" s="31" t="n">
        <f aca="false">IF(NOT(ISNUMBER($G231)),"",MAX(MATCH(Q231,Config!$D$5:$D$9,1),G231-'Residual Config'!$C$6))</f>
        <v>2</v>
      </c>
      <c r="S231" s="34" t="n">
        <f aca="false">IF(NOT(ISNUMBER($G231)),"",IF('Residual Config'!$C$5="Numeric",R231,P231))</f>
        <v>3</v>
      </c>
      <c r="T231" s="7" t="str">
        <f aca="false">IF(G231="N/A","N/A",IF(S231="","No data",INDEX(Config!$B$5:$B$9,S231)))</f>
        <v>Medium</v>
      </c>
      <c r="U231" s="32" t="n">
        <v>0</v>
      </c>
      <c r="V231" s="8"/>
      <c r="W231" s="33"/>
      <c r="X231" s="34" t="n">
        <f aca="false">IF(S231="","",IF(AND(W231="Y",U231&lt;&gt;0),MAX(1,MIN(5,S231+MAX(-Config!$C$27,MIN(Config!$C$27,U231)))),S231))</f>
        <v>3</v>
      </c>
      <c r="Y231" s="35" t="str">
        <f aca="false">IF(G231="N/A","N/A",IF(X231="","No data",INDEX(Config!$B$5:$B$9,X231)))</f>
        <v>Medium</v>
      </c>
      <c r="Z231" s="7" t="str">
        <f aca="false">IF(U231=0,"None",IF(W231="Y","Applied","Pending HO approval"))</f>
        <v>None</v>
      </c>
      <c r="AA231" s="12" t="str">
        <f aca="false">INDEX('Risk Taxonomy'!$G$5:$G$24,MATCH(D231,'Risk Taxonomy'!$A$5:$A$24,0))</f>
        <v>Zero tolerance (facilitation)</v>
      </c>
      <c r="AB231" s="7" t="str">
        <f aca="false">INDEX('Risk Taxonomy'!$H$5:$H$24,MATCH(D231,'Risk Taxonomy'!$A$5:$A$24,0))</f>
        <v>Low</v>
      </c>
      <c r="AC231" s="35" t="str">
        <f aca="false">IF(NOT(ISNUMBER(X231)),"",IF(X231&lt;=MATCH(AB231,Config!$B$5:$B$9,0),"Within",IF(OR(X231-MATCH(AB231,Config!$B$5:$B$9,0)&gt;=2,AND('Residual Config'!$C$8="Y",ISNUMBER(SEARCH("Zero",AA231)))),"Red","Amber")))</f>
        <v>Red</v>
      </c>
      <c r="AD231" s="12" t="str">
        <f aca="false">IF(AC231="Red","Group CCO / CRO and Country CEO within 2 business days; action plan in 15 days; report to Board Risk &amp; Compliance Committee",IF(AC231="Amber","Country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232" customFormat="false" ht="15" hidden="false" customHeight="false" outlineLevel="0" collapsed="false">
      <c r="A232" s="26" t="str">
        <f aca="false">Entities!$A$16</f>
        <v>QA</v>
      </c>
      <c r="B232" s="12" t="str">
        <f aca="false">INDEX(Entities!$B$5:$B$34,MATCH(A232,Entities!$A$5:$A$34,0))</f>
        <v>Arab Bank – Qatar</v>
      </c>
      <c r="C232" s="12" t="str">
        <f aca="false">INDEX(Entities!$D$5:$D$34,MATCH(A232,Entities!$A$5:$A$34,0))</f>
        <v>GCC</v>
      </c>
      <c r="D232" s="12" t="s">
        <v>284</v>
      </c>
      <c r="E232" s="12" t="str">
        <f aca="false">INDEX('Risk Taxonomy'!$B$5:$B$24,MATCH(D232,'Risk Taxonomy'!$A$5:$A$24,0))</f>
        <v>Regulatory compliance</v>
      </c>
      <c r="F232" s="29" t="n">
        <f aca="false">IF(NOT(ISNUMBER(G232)),"",G232)</f>
        <v>2</v>
      </c>
      <c r="G232" s="34" t="n">
        <f aca="false">IF(COUNTIFS('LxI Assessment'!$A$5:$A$394,A232,'LxI Assessment'!$D$5:$D$394,D232,'LxI Assessment'!$F$5:$F$394,"N/A")&gt;0,"N/A",IF(COUNTIFS('LxI Assessment'!$A$5:$A$394,A232,'LxI Assessment'!$D$5:$D$394,D232,'LxI Assessment'!$S$5:$S$394,"&gt;0")=0,"",SUMIFS('LxI Assessment'!$S$5:$S$394,'LxI Assessment'!$A$5:$A$394,A232,'LxI Assessment'!$D$5:$D$394,D232)))</f>
        <v>2</v>
      </c>
      <c r="H232" s="7" t="str">
        <f aca="false">IF(G232="N/A","N/A",IF(G232="","No data",INDEX(Config!$B$5:$B$9,G232)))</f>
        <v>Medium-Low</v>
      </c>
      <c r="I232" s="31" t="n">
        <f aca="false">IF(NOT(ISNUMBER($G232)),"",SUMPRODUCT(('Control Mapping'!$C$5:$C$83=D232)*('Control Mapping'!$R$5:$R$83&gt;0)))</f>
        <v>4</v>
      </c>
      <c r="J232" s="31" t="n">
        <f aca="false">IF(NOT(ISNUMBER($G232)),"",SUMPRODUCT(('Control Mapping'!$C$5:$C$83=D232)*('Control Mapping'!$F$5:$F$83="Y")*('Control Mapping'!$R$5:$R$83&gt;0)))</f>
        <v>3</v>
      </c>
      <c r="K232" s="31" t="n">
        <f aca="false">IF(NOT(ISNUMBER($G232)),"",SUMPRODUCT(('Control Mapping'!$C$5:$C$83=D232)*('Control Mapping'!$F$5:$F$83="Y")*('Control Mapping'!$R$5:$R$83=4)))</f>
        <v>1</v>
      </c>
      <c r="L232" s="29" t="n">
        <f aca="false">IF(NOT(ISNUMBER($G232)),"",IFERROR(SUMPRODUCT(('Control Mapping'!$C$5:$C$83=D232)*'Control Mapping'!$E$5:$E$83*'Control Mapping'!$R$5:$R$83)/SUMPRODUCT(('Control Mapping'!$C$5:$C$83=D232)*'Control Mapping'!$E$5:$E$83*('Control Mapping'!$R$5:$R$83&gt;0)),""))</f>
        <v>1.57142857142857</v>
      </c>
      <c r="M232" s="34" t="n">
        <f aca="false">IF(NOT(ISNUMBER($G232)),"",IF(J232=0,4,MAX(MATCH(L232,'Residual Config'!$E$11:$E$14,1),IF(K232&gt;0,'Residual Config'!$C$7,1))))</f>
        <v>3</v>
      </c>
      <c r="N232" s="7" t="str">
        <f aca="false">IF(NOT(ISNUMBER($G232)),"",IF(J232=0,"Ineffective (no key control)",INDEX('Residual Config'!$B$11:$B$14,M232)))</f>
        <v>Partially effective</v>
      </c>
      <c r="O232" s="36" t="n">
        <f aca="false">IF(NOT(ISNUMBER($G232)),"",IF(J232=0,0,SUMPRODUCT(('Control Mapping'!$C$5:$C$83=D232)*'Control Mapping'!$E$5:$E$83*(('Control Mapping'!$R$5:$R$83=1)*'Residual Config'!$D$11+('Control Mapping'!$R$5:$R$83=2)*'Residual Config'!$D$12+('Control Mapping'!$R$5:$R$83=3)*'Residual Config'!$D$13+('Control Mapping'!$R$5:$R$83=4)*'Residual Config'!$D$14))/SUMPRODUCT(('Control Mapping'!$C$5:$C$83=D232)*'Control Mapping'!$E$5:$E$83*('Control Mapping'!$R$5:$R$83&gt;0))))</f>
        <v>0.485714285714286</v>
      </c>
      <c r="P232" s="31" t="n">
        <f aca="false">IF(NOT(ISNUMBER($G232)),"",INDEX('Residual Config'!$B$19:$E$23,6-G232,M232))</f>
        <v>2</v>
      </c>
      <c r="Q232" s="29" t="n">
        <f aca="false">IF(NOT(ISNUMBER($G232)),"",MAX(1,F232*(1-O232)))</f>
        <v>1.02857142857143</v>
      </c>
      <c r="R232" s="31" t="n">
        <f aca="false">IF(NOT(ISNUMBER($G232)),"",MAX(MATCH(Q232,Config!$D$5:$D$9,1),G232-'Residual Config'!$C$6))</f>
        <v>1</v>
      </c>
      <c r="S232" s="34" t="n">
        <f aca="false">IF(NOT(ISNUMBER($G232)),"",IF('Residual Config'!$C$5="Numeric",R232,P232))</f>
        <v>2</v>
      </c>
      <c r="T232" s="7" t="str">
        <f aca="false">IF(G232="N/A","N/A",IF(S232="","No data",INDEX(Config!$B$5:$B$9,S232)))</f>
        <v>Medium-Low</v>
      </c>
      <c r="U232" s="32" t="n">
        <v>0</v>
      </c>
      <c r="V232" s="8"/>
      <c r="W232" s="33"/>
      <c r="X232" s="34" t="n">
        <f aca="false">IF(S232="","",IF(AND(W232="Y",U232&lt;&gt;0),MAX(1,MIN(5,S232+MAX(-Config!$C$27,MIN(Config!$C$27,U232)))),S232))</f>
        <v>2</v>
      </c>
      <c r="Y232" s="35" t="str">
        <f aca="false">IF(G232="N/A","N/A",IF(X232="","No data",INDEX(Config!$B$5:$B$9,X232)))</f>
        <v>Medium-Low</v>
      </c>
      <c r="Z232" s="7" t="str">
        <f aca="false">IF(U232=0,"None",IF(W232="Y","Applied","Pending HO approval"))</f>
        <v>None</v>
      </c>
      <c r="AA232" s="12" t="str">
        <f aca="false">INDEX('Risk Taxonomy'!$G$5:$G$24,MATCH(D232,'Risk Taxonomy'!$A$5:$A$24,0))</f>
        <v>Very low</v>
      </c>
      <c r="AB232" s="7" t="str">
        <f aca="false">INDEX('Risk Taxonomy'!$H$5:$H$24,MATCH(D232,'Risk Taxonomy'!$A$5:$A$24,0))</f>
        <v>Medium-Low</v>
      </c>
      <c r="AC232" s="35" t="str">
        <f aca="false">IF(NOT(ISNUMBER(X232)),"",IF(X232&lt;=MATCH(AB232,Config!$B$5:$B$9,0),"Within",IF(OR(X232-MATCH(AB232,Config!$B$5:$B$9,0)&gt;=2,AND('Residual Config'!$C$8="Y",ISNUMBER(SEARCH("Zero",AA232)))),"Red","Amber")))</f>
        <v>Within</v>
      </c>
      <c r="AD232" s="12" t="str">
        <f aca="false">IF(AC232="Red","Group CCO / CRO and Country CEO within 2 business days; action plan in 15 days; report to Board Risk &amp; Compliance Committee",IF(AC232="Amber","Country CO, risk owner and HO Administrator within 5 business days; action plan in 30 days",""))</f>
        <v/>
      </c>
    </row>
    <row r="233" customFormat="false" ht="15" hidden="false" customHeight="false" outlineLevel="0" collapsed="false">
      <c r="A233" s="26" t="str">
        <f aca="false">Entities!$A$16</f>
        <v>QA</v>
      </c>
      <c r="B233" s="12" t="str">
        <f aca="false">INDEX(Entities!$B$5:$B$34,MATCH(A233,Entities!$A$5:$A$34,0))</f>
        <v>Arab Bank – Qatar</v>
      </c>
      <c r="C233" s="12" t="str">
        <f aca="false">INDEX(Entities!$D$5:$D$34,MATCH(A233,Entities!$A$5:$A$34,0))</f>
        <v>GCC</v>
      </c>
      <c r="D233" s="12" t="s">
        <v>288</v>
      </c>
      <c r="E233" s="12" t="str">
        <f aca="false">INDEX('Risk Taxonomy'!$B$5:$B$24,MATCH(D233,'Risk Taxonomy'!$A$5:$A$24,0))</f>
        <v>Conduct and consumer protection</v>
      </c>
      <c r="F233" s="29" t="n">
        <f aca="false">IF(NOT(ISNUMBER(G233)),"",G233)</f>
        <v>2</v>
      </c>
      <c r="G233" s="34" t="n">
        <f aca="false">IF(COUNTIFS('LxI Assessment'!$A$5:$A$394,A233,'LxI Assessment'!$D$5:$D$394,D233,'LxI Assessment'!$F$5:$F$394,"N/A")&gt;0,"N/A",IF(COUNTIFS('LxI Assessment'!$A$5:$A$394,A233,'LxI Assessment'!$D$5:$D$394,D233,'LxI Assessment'!$S$5:$S$394,"&gt;0")=0,"",SUMIFS('LxI Assessment'!$S$5:$S$394,'LxI Assessment'!$A$5:$A$394,A233,'LxI Assessment'!$D$5:$D$394,D233)))</f>
        <v>2</v>
      </c>
      <c r="H233" s="7" t="str">
        <f aca="false">IF(G233="N/A","N/A",IF(G233="","No data",INDEX(Config!$B$5:$B$9,G233)))</f>
        <v>Medium-Low</v>
      </c>
      <c r="I233" s="31" t="n">
        <f aca="false">IF(NOT(ISNUMBER($G233)),"",SUMPRODUCT(('Control Mapping'!$C$5:$C$83=D233)*('Control Mapping'!$R$5:$R$83&gt;0)))</f>
        <v>2</v>
      </c>
      <c r="J233" s="31" t="n">
        <f aca="false">IF(NOT(ISNUMBER($G233)),"",SUMPRODUCT(('Control Mapping'!$C$5:$C$83=D233)*('Control Mapping'!$F$5:$F$83="Y")*('Control Mapping'!$R$5:$R$83&gt;0)))</f>
        <v>1</v>
      </c>
      <c r="K233" s="31" t="n">
        <f aca="false">IF(NOT(ISNUMBER($G233)),"",SUMPRODUCT(('Control Mapping'!$C$5:$C$83=D233)*('Control Mapping'!$F$5:$F$83="Y")*('Control Mapping'!$R$5:$R$83=4)))</f>
        <v>0</v>
      </c>
      <c r="L233" s="29" t="n">
        <f aca="false">IF(NOT(ISNUMBER($G233)),"",IFERROR(SUMPRODUCT(('Control Mapping'!$C$5:$C$83=D233)*'Control Mapping'!$E$5:$E$83*'Control Mapping'!$R$5:$R$83)/SUMPRODUCT(('Control Mapping'!$C$5:$C$83=D233)*'Control Mapping'!$E$5:$E$83*('Control Mapping'!$R$5:$R$83&gt;0)),""))</f>
        <v>2</v>
      </c>
      <c r="M233" s="34" t="n">
        <f aca="false">IF(NOT(ISNUMBER($G233)),"",IF(J233=0,4,MAX(MATCH(L233,'Residual Config'!$E$11:$E$14,1),IF(K233&gt;0,'Residual Config'!$C$7,1))))</f>
        <v>2</v>
      </c>
      <c r="N233" s="7" t="str">
        <f aca="false">IF(NOT(ISNUMBER($G233)),"",IF(J233=0,"Ineffective (no key control)",INDEX('Residual Config'!$B$11:$B$14,M233)))</f>
        <v>Largely effective</v>
      </c>
      <c r="O233" s="36" t="n">
        <f aca="false">IF(NOT(ISNUMBER($G233)),"",IF(J233=0,0,SUMPRODUCT(('Control Mapping'!$C$5:$C$83=D233)*'Control Mapping'!$E$5:$E$83*(('Control Mapping'!$R$5:$R$83=1)*'Residual Config'!$D$11+('Control Mapping'!$R$5:$R$83=2)*'Residual Config'!$D$12+('Control Mapping'!$R$5:$R$83=3)*'Residual Config'!$D$13+('Control Mapping'!$R$5:$R$83=4)*'Residual Config'!$D$14))/SUMPRODUCT(('Control Mapping'!$C$5:$C$83=D233)*'Control Mapping'!$E$5:$E$83*('Control Mapping'!$R$5:$R$83&gt;0))))</f>
        <v>0.4</v>
      </c>
      <c r="P233" s="31" t="n">
        <f aca="false">IF(NOT(ISNUMBER($G233)),"",INDEX('Residual Config'!$B$19:$E$23,6-G233,M233))</f>
        <v>1</v>
      </c>
      <c r="Q233" s="29" t="n">
        <f aca="false">IF(NOT(ISNUMBER($G233)),"",MAX(1,F233*(1-O233)))</f>
        <v>1.2</v>
      </c>
      <c r="R233" s="31" t="n">
        <f aca="false">IF(NOT(ISNUMBER($G233)),"",MAX(MATCH(Q233,Config!$D$5:$D$9,1),G233-'Residual Config'!$C$6))</f>
        <v>1</v>
      </c>
      <c r="S233" s="34" t="n">
        <f aca="false">IF(NOT(ISNUMBER($G233)),"",IF('Residual Config'!$C$5="Numeric",R233,P233))</f>
        <v>1</v>
      </c>
      <c r="T233" s="7" t="str">
        <f aca="false">IF(G233="N/A","N/A",IF(S233="","No data",INDEX(Config!$B$5:$B$9,S233)))</f>
        <v>Low</v>
      </c>
      <c r="U233" s="32" t="n">
        <v>0</v>
      </c>
      <c r="V233" s="8"/>
      <c r="W233" s="33"/>
      <c r="X233" s="34" t="n">
        <f aca="false">IF(S233="","",IF(AND(W233="Y",U233&lt;&gt;0),MAX(1,MIN(5,S233+MAX(-Config!$C$27,MIN(Config!$C$27,U233)))),S233))</f>
        <v>1</v>
      </c>
      <c r="Y233" s="35" t="str">
        <f aca="false">IF(G233="N/A","N/A",IF(X233="","No data",INDEX(Config!$B$5:$B$9,X233)))</f>
        <v>Low</v>
      </c>
      <c r="Z233" s="7" t="str">
        <f aca="false">IF(U233=0,"None",IF(W233="Y","Applied","Pending HO approval"))</f>
        <v>None</v>
      </c>
      <c r="AA233" s="12" t="str">
        <f aca="false">INDEX('Risk Taxonomy'!$G$5:$G$24,MATCH(D233,'Risk Taxonomy'!$A$5:$A$24,0))</f>
        <v>Low</v>
      </c>
      <c r="AB233" s="7" t="str">
        <f aca="false">INDEX('Risk Taxonomy'!$H$5:$H$24,MATCH(D233,'Risk Taxonomy'!$A$5:$A$24,0))</f>
        <v>Medium</v>
      </c>
      <c r="AC233" s="35" t="str">
        <f aca="false">IF(NOT(ISNUMBER(X233)),"",IF(X233&lt;=MATCH(AB233,Config!$B$5:$B$9,0),"Within",IF(OR(X233-MATCH(AB233,Config!$B$5:$B$9,0)&gt;=2,AND('Residual Config'!$C$8="Y",ISNUMBER(SEARCH("Zero",AA233)))),"Red","Amber")))</f>
        <v>Within</v>
      </c>
      <c r="AD233" s="12" t="str">
        <f aca="false">IF(AC233="Red","Group CCO / CRO and Country CEO within 2 business days; action plan in 15 days; report to Board Risk &amp; Compliance Committee",IF(AC233="Amber","Country CO, risk owner and HO Administrator within 5 business days; action plan in 30 days",""))</f>
        <v/>
      </c>
    </row>
    <row r="234" customFormat="false" ht="15" hidden="false" customHeight="false" outlineLevel="0" collapsed="false">
      <c r="A234" s="26" t="str">
        <f aca="false">Entities!$A$16</f>
        <v>QA</v>
      </c>
      <c r="B234" s="12" t="str">
        <f aca="false">INDEX(Entities!$B$5:$B$34,MATCH(A234,Entities!$A$5:$A$34,0))</f>
        <v>Arab Bank – Qatar</v>
      </c>
      <c r="C234" s="12" t="str">
        <f aca="false">INDEX(Entities!$D$5:$D$34,MATCH(A234,Entities!$A$5:$A$34,0))</f>
        <v>GCC</v>
      </c>
      <c r="D234" s="12" t="s">
        <v>290</v>
      </c>
      <c r="E234" s="12" t="str">
        <f aca="false">INDEX('Risk Taxonomy'!$B$5:$B$24,MATCH(D234,'Risk Taxonomy'!$A$5:$A$24,0))</f>
        <v>Data protection and privacy</v>
      </c>
      <c r="F234" s="29" t="n">
        <f aca="false">IF(NOT(ISNUMBER(G234)),"",G234)</f>
        <v>3</v>
      </c>
      <c r="G234" s="34" t="n">
        <f aca="false">IF(COUNTIFS('LxI Assessment'!$A$5:$A$394,A234,'LxI Assessment'!$D$5:$D$394,D234,'LxI Assessment'!$F$5:$F$394,"N/A")&gt;0,"N/A",IF(COUNTIFS('LxI Assessment'!$A$5:$A$394,A234,'LxI Assessment'!$D$5:$D$394,D234,'LxI Assessment'!$S$5:$S$394,"&gt;0")=0,"",SUMIFS('LxI Assessment'!$S$5:$S$394,'LxI Assessment'!$A$5:$A$394,A234,'LxI Assessment'!$D$5:$D$394,D234)))</f>
        <v>3</v>
      </c>
      <c r="H234" s="7" t="str">
        <f aca="false">IF(G234="N/A","N/A",IF(G234="","No data",INDEX(Config!$B$5:$B$9,G234)))</f>
        <v>Medium</v>
      </c>
      <c r="I234" s="31" t="n">
        <f aca="false">IF(NOT(ISNUMBER($G234)),"",SUMPRODUCT(('Control Mapping'!$C$5:$C$83=D234)*('Control Mapping'!$R$5:$R$83&gt;0)))</f>
        <v>2</v>
      </c>
      <c r="J234" s="31" t="n">
        <f aca="false">IF(NOT(ISNUMBER($G234)),"",SUMPRODUCT(('Control Mapping'!$C$5:$C$83=D234)*('Control Mapping'!$F$5:$F$83="Y")*('Control Mapping'!$R$5:$R$83&gt;0)))</f>
        <v>2</v>
      </c>
      <c r="K234" s="31" t="n">
        <f aca="false">IF(NOT(ISNUMBER($G234)),"",SUMPRODUCT(('Control Mapping'!$C$5:$C$83=D234)*('Control Mapping'!$F$5:$F$83="Y")*('Control Mapping'!$R$5:$R$83=4)))</f>
        <v>0</v>
      </c>
      <c r="L234" s="29" t="n">
        <f aca="false">IF(NOT(ISNUMBER($G234)),"",IFERROR(SUMPRODUCT(('Control Mapping'!$C$5:$C$83=D234)*'Control Mapping'!$E$5:$E$83*'Control Mapping'!$R$5:$R$83)/SUMPRODUCT(('Control Mapping'!$C$5:$C$83=D234)*'Control Mapping'!$E$5:$E$83*('Control Mapping'!$R$5:$R$83&gt;0)),""))</f>
        <v>2.5</v>
      </c>
      <c r="M234" s="34" t="n">
        <f aca="false">IF(NOT(ISNUMBER($G234)),"",IF(J234=0,4,MAX(MATCH(L234,'Residual Config'!$E$11:$E$14,1),IF(K234&gt;0,'Residual Config'!$C$7,1))))</f>
        <v>3</v>
      </c>
      <c r="N234" s="7" t="str">
        <f aca="false">IF(NOT(ISNUMBER($G234)),"",IF(J234=0,"Ineffective (no key control)",INDEX('Residual Config'!$B$11:$B$14,M234)))</f>
        <v>Partially effective</v>
      </c>
      <c r="O234" s="36" t="n">
        <f aca="false">IF(NOT(ISNUMBER($G234)),"",IF(J234=0,0,SUMPRODUCT(('Control Mapping'!$C$5:$C$83=D234)*'Control Mapping'!$E$5:$E$83*(('Control Mapping'!$R$5:$R$83=1)*'Residual Config'!$D$11+('Control Mapping'!$R$5:$R$83=2)*'Residual Config'!$D$12+('Control Mapping'!$R$5:$R$83=3)*'Residual Config'!$D$13+('Control Mapping'!$R$5:$R$83=4)*'Residual Config'!$D$14))/SUMPRODUCT(('Control Mapping'!$C$5:$C$83=D234)*'Control Mapping'!$E$5:$E$83*('Control Mapping'!$R$5:$R$83&gt;0))))</f>
        <v>0.3</v>
      </c>
      <c r="P234" s="31" t="n">
        <f aca="false">IF(NOT(ISNUMBER($G234)),"",INDEX('Residual Config'!$B$19:$E$23,6-G234,M234))</f>
        <v>3</v>
      </c>
      <c r="Q234" s="29" t="n">
        <f aca="false">IF(NOT(ISNUMBER($G234)),"",MAX(1,F234*(1-O234)))</f>
        <v>2.1</v>
      </c>
      <c r="R234" s="31" t="n">
        <f aca="false">IF(NOT(ISNUMBER($G234)),"",MAX(MATCH(Q234,Config!$D$5:$D$9,1),G234-'Residual Config'!$C$6))</f>
        <v>2</v>
      </c>
      <c r="S234" s="34" t="n">
        <f aca="false">IF(NOT(ISNUMBER($G234)),"",IF('Residual Config'!$C$5="Numeric",R234,P234))</f>
        <v>3</v>
      </c>
      <c r="T234" s="7" t="str">
        <f aca="false">IF(G234="N/A","N/A",IF(S234="","No data",INDEX(Config!$B$5:$B$9,S234)))</f>
        <v>Medium</v>
      </c>
      <c r="U234" s="32" t="n">
        <v>0</v>
      </c>
      <c r="V234" s="8"/>
      <c r="W234" s="33"/>
      <c r="X234" s="34" t="n">
        <f aca="false">IF(S234="","",IF(AND(W234="Y",U234&lt;&gt;0),MAX(1,MIN(5,S234+MAX(-Config!$C$27,MIN(Config!$C$27,U234)))),S234))</f>
        <v>3</v>
      </c>
      <c r="Y234" s="35" t="str">
        <f aca="false">IF(G234="N/A","N/A",IF(X234="","No data",INDEX(Config!$B$5:$B$9,X234)))</f>
        <v>Medium</v>
      </c>
      <c r="Z234" s="7" t="str">
        <f aca="false">IF(U234=0,"None",IF(W234="Y","Applied","Pending HO approval"))</f>
        <v>None</v>
      </c>
      <c r="AA234" s="12" t="str">
        <f aca="false">INDEX('Risk Taxonomy'!$G$5:$G$24,MATCH(D234,'Risk Taxonomy'!$A$5:$A$24,0))</f>
        <v>Very low</v>
      </c>
      <c r="AB234" s="7" t="str">
        <f aca="false">INDEX('Risk Taxonomy'!$H$5:$H$24,MATCH(D234,'Risk Taxonomy'!$A$5:$A$24,0))</f>
        <v>Medium-Low</v>
      </c>
      <c r="AC234" s="35" t="str">
        <f aca="false">IF(NOT(ISNUMBER(X234)),"",IF(X234&lt;=MATCH(AB234,Config!$B$5:$B$9,0),"Within",IF(OR(X234-MATCH(AB234,Config!$B$5:$B$9,0)&gt;=2,AND('Residual Config'!$C$8="Y",ISNUMBER(SEARCH("Zero",AA234)))),"Red","Amber")))</f>
        <v>Amber</v>
      </c>
      <c r="AD234" s="12" t="str">
        <f aca="false">IF(AC234="Red","Group CCO / CRO and Country CEO within 2 business days; action plan in 15 days; report to Board Risk &amp; Compliance Committee",IF(AC234="Amber","Country CO, risk owner and HO Administrator within 5 business days; action plan in 30 days",""))</f>
        <v>Country CO, risk owner and HO Administrator within 5 business days; action plan in 30 days</v>
      </c>
    </row>
    <row r="235" customFormat="false" ht="15" hidden="false" customHeight="false" outlineLevel="0" collapsed="false">
      <c r="A235" s="26" t="str">
        <f aca="false">Entities!$A$16</f>
        <v>QA</v>
      </c>
      <c r="B235" s="12" t="str">
        <f aca="false">INDEX(Entities!$B$5:$B$34,MATCH(A235,Entities!$A$5:$A$34,0))</f>
        <v>Arab Bank – Qatar</v>
      </c>
      <c r="C235" s="12" t="str">
        <f aca="false">INDEX(Entities!$D$5:$D$34,MATCH(A235,Entities!$A$5:$A$34,0))</f>
        <v>GCC</v>
      </c>
      <c r="D235" s="12" t="s">
        <v>293</v>
      </c>
      <c r="E235" s="12" t="str">
        <f aca="false">INDEX('Risk Taxonomy'!$B$5:$B$24,MATCH(D235,'Risk Taxonomy'!$A$5:$A$24,0))</f>
        <v>Shariah non-compliance</v>
      </c>
      <c r="F235" s="29" t="str">
        <f aca="false">IF(NOT(ISNUMBER(G235)),"",G235)</f>
        <v/>
      </c>
      <c r="G235" s="34" t="str">
        <f aca="false">IF(COUNTIFS('LxI Assessment'!$A$5:$A$394,A235,'LxI Assessment'!$D$5:$D$394,D235,'LxI Assessment'!$F$5:$F$394,"N/A")&gt;0,"N/A",IF(COUNTIFS('LxI Assessment'!$A$5:$A$394,A235,'LxI Assessment'!$D$5:$D$394,D235,'LxI Assessment'!$S$5:$S$394,"&gt;0")=0,"",SUMIFS('LxI Assessment'!$S$5:$S$394,'LxI Assessment'!$A$5:$A$394,A235,'LxI Assessment'!$D$5:$D$394,D235)))</f>
        <v>N/A</v>
      </c>
      <c r="H235" s="7" t="str">
        <f aca="false">IF(G235="N/A","N/A",IF(G235="","No data",INDEX(Config!$B$5:$B$9,G235)))</f>
        <v>N/A</v>
      </c>
      <c r="I235" s="31" t="str">
        <f aca="false">IF(NOT(ISNUMBER($G235)),"",SUMPRODUCT(('Control Mapping'!$C$5:$C$83=D235)*('Control Mapping'!$R$5:$R$83&gt;0)))</f>
        <v/>
      </c>
      <c r="J235" s="31" t="str">
        <f aca="false">IF(NOT(ISNUMBER($G235)),"",SUMPRODUCT(('Control Mapping'!$C$5:$C$83=D235)*('Control Mapping'!$F$5:$F$83="Y")*('Control Mapping'!$R$5:$R$83&gt;0)))</f>
        <v/>
      </c>
      <c r="K235" s="31" t="str">
        <f aca="false">IF(NOT(ISNUMBER($G235)),"",SUMPRODUCT(('Control Mapping'!$C$5:$C$83=D235)*('Control Mapping'!$F$5:$F$83="Y")*('Control Mapping'!$R$5:$R$83=4)))</f>
        <v/>
      </c>
      <c r="L235" s="29" t="str">
        <f aca="false">IF(NOT(ISNUMBER($G235)),"",IFERROR(SUMPRODUCT(('Control Mapping'!$C$5:$C$83=D235)*'Control Mapping'!$E$5:$E$83*'Control Mapping'!$R$5:$R$83)/SUMPRODUCT(('Control Mapping'!$C$5:$C$83=D235)*'Control Mapping'!$E$5:$E$83*('Control Mapping'!$R$5:$R$83&gt;0)),""))</f>
        <v/>
      </c>
      <c r="M235" s="34" t="str">
        <f aca="false">IF(NOT(ISNUMBER($G235)),"",IF(J235=0,4,MAX(MATCH(L235,'Residual Config'!$E$11:$E$14,1),IF(K235&gt;0,'Residual Config'!$C$7,1))))</f>
        <v/>
      </c>
      <c r="N235" s="7" t="str">
        <f aca="false">IF(NOT(ISNUMBER($G235)),"",IF(J235=0,"Ineffective (no key control)",INDEX('Residual Config'!$B$11:$B$14,M235)))</f>
        <v/>
      </c>
      <c r="O235" s="36" t="str">
        <f aca="false">IF(NOT(ISNUMBER($G235)),"",IF(J235=0,0,SUMPRODUCT(('Control Mapping'!$C$5:$C$83=D235)*'Control Mapping'!$E$5:$E$83*(('Control Mapping'!$R$5:$R$83=1)*'Residual Config'!$D$11+('Control Mapping'!$R$5:$R$83=2)*'Residual Config'!$D$12+('Control Mapping'!$R$5:$R$83=3)*'Residual Config'!$D$13+('Control Mapping'!$R$5:$R$83=4)*'Residual Config'!$D$14))/SUMPRODUCT(('Control Mapping'!$C$5:$C$83=D235)*'Control Mapping'!$E$5:$E$83*('Control Mapping'!$R$5:$R$83&gt;0))))</f>
        <v/>
      </c>
      <c r="P235" s="31" t="str">
        <f aca="false">IF(NOT(ISNUMBER($G235)),"",INDEX('Residual Config'!$B$19:$E$23,6-G235,M235))</f>
        <v/>
      </c>
      <c r="Q235" s="29" t="str">
        <f aca="false">IF(NOT(ISNUMBER($G235)),"",MAX(1,F235*(1-O235)))</f>
        <v/>
      </c>
      <c r="R235" s="31" t="str">
        <f aca="false">IF(NOT(ISNUMBER($G235)),"",MAX(MATCH(Q235,Config!$D$5:$D$9,1),G235-'Residual Config'!$C$6))</f>
        <v/>
      </c>
      <c r="S235" s="34" t="str">
        <f aca="false">IF(NOT(ISNUMBER($G235)),"",IF('Residual Config'!$C$5="Numeric",R235,P235))</f>
        <v/>
      </c>
      <c r="T235" s="7" t="str">
        <f aca="false">IF(G235="N/A","N/A",IF(S235="","No data",INDEX(Config!$B$5:$B$9,S235)))</f>
        <v>N/A</v>
      </c>
      <c r="U235" s="32" t="n">
        <v>0</v>
      </c>
      <c r="V235" s="8"/>
      <c r="W235" s="33"/>
      <c r="X235" s="34" t="str">
        <f aca="false">IF(S235="","",IF(AND(W235="Y",U235&lt;&gt;0),MAX(1,MIN(5,S235+MAX(-Config!$C$27,MIN(Config!$C$27,U235)))),S235))</f>
        <v/>
      </c>
      <c r="Y235" s="35" t="str">
        <f aca="false">IF(G235="N/A","N/A",IF(X235="","No data",INDEX(Config!$B$5:$B$9,X235)))</f>
        <v>N/A</v>
      </c>
      <c r="Z235" s="7" t="str">
        <f aca="false">IF(U235=0,"None",IF(W235="Y","Applied","Pending HO approval"))</f>
        <v>None</v>
      </c>
      <c r="AA235" s="12" t="str">
        <f aca="false">INDEX('Risk Taxonomy'!$G$5:$G$24,MATCH(D235,'Risk Taxonomy'!$A$5:$A$24,0))</f>
        <v>Very low</v>
      </c>
      <c r="AB235" s="7" t="str">
        <f aca="false">INDEX('Risk Taxonomy'!$H$5:$H$24,MATCH(D235,'Risk Taxonomy'!$A$5:$A$24,0))</f>
        <v>Medium-Low</v>
      </c>
      <c r="AC235" s="35" t="str">
        <f aca="false">IF(NOT(ISNUMBER(X235)),"",IF(X235&lt;=MATCH(AB235,Config!$B$5:$B$9,0),"Within",IF(OR(X235-MATCH(AB235,Config!$B$5:$B$9,0)&gt;=2,AND('Residual Config'!$C$8="Y",ISNUMBER(SEARCH("Zero",AA235)))),"Red","Amber")))</f>
        <v/>
      </c>
      <c r="AD235" s="12" t="str">
        <f aca="false">IF(AC235="Red","Group CCO / CRO and Country CEO within 2 business days; action plan in 15 days; report to Board Risk &amp; Compliance Committee",IF(AC235="Amber","Country CO, risk owner and HO Administrator within 5 business days; action plan in 30 days",""))</f>
        <v/>
      </c>
    </row>
    <row r="236" customFormat="false" ht="15" hidden="false" customHeight="false" outlineLevel="0" collapsed="false">
      <c r="A236" s="26" t="str">
        <f aca="false">Entities!$A$16</f>
        <v>QA</v>
      </c>
      <c r="B236" s="12" t="str">
        <f aca="false">INDEX(Entities!$B$5:$B$34,MATCH(A236,Entities!$A$5:$A$34,0))</f>
        <v>Arab Bank – Qatar</v>
      </c>
      <c r="C236" s="12" t="str">
        <f aca="false">INDEX(Entities!$D$5:$D$34,MATCH(A236,Entities!$A$5:$A$34,0))</f>
        <v>GCC</v>
      </c>
      <c r="D236" s="12" t="s">
        <v>297</v>
      </c>
      <c r="E236" s="12" t="str">
        <f aca="false">INDEX('Risk Taxonomy'!$B$5:$B$24,MATCH(D236,'Risk Taxonomy'!$A$5:$A$24,0))</f>
        <v>Credit risk</v>
      </c>
      <c r="F236" s="29" t="n">
        <f aca="false">IF(NOT(ISNUMBER(G236)),"",G236)</f>
        <v>3</v>
      </c>
      <c r="G236" s="34" t="n">
        <f aca="false">IF(COUNTIFS('LxI Assessment'!$A$5:$A$394,A236,'LxI Assessment'!$D$5:$D$394,D236,'LxI Assessment'!$F$5:$F$394,"N/A")&gt;0,"N/A",IF(COUNTIFS('LxI Assessment'!$A$5:$A$394,A236,'LxI Assessment'!$D$5:$D$394,D236,'LxI Assessment'!$S$5:$S$394,"&gt;0")=0,"",SUMIFS('LxI Assessment'!$S$5:$S$394,'LxI Assessment'!$A$5:$A$394,A236,'LxI Assessment'!$D$5:$D$394,D236)))</f>
        <v>3</v>
      </c>
      <c r="H236" s="7" t="str">
        <f aca="false">IF(G236="N/A","N/A",IF(G236="","No data",INDEX(Config!$B$5:$B$9,G236)))</f>
        <v>Medium</v>
      </c>
      <c r="I236" s="31" t="n">
        <f aca="false">IF(NOT(ISNUMBER($G236)),"",SUMPRODUCT(('Control Mapping'!$C$5:$C$83=D236)*('Control Mapping'!$R$5:$R$83&gt;0)))</f>
        <v>2</v>
      </c>
      <c r="J236" s="31" t="n">
        <f aca="false">IF(NOT(ISNUMBER($G236)),"",SUMPRODUCT(('Control Mapping'!$C$5:$C$83=D236)*('Control Mapping'!$F$5:$F$83="Y")*('Control Mapping'!$R$5:$R$83&gt;0)))</f>
        <v>1</v>
      </c>
      <c r="K236" s="31" t="n">
        <f aca="false">IF(NOT(ISNUMBER($G236)),"",SUMPRODUCT(('Control Mapping'!$C$5:$C$83=D236)*('Control Mapping'!$F$5:$F$83="Y")*('Control Mapping'!$R$5:$R$83=4)))</f>
        <v>0</v>
      </c>
      <c r="L236" s="29" t="n">
        <f aca="false">IF(NOT(ISNUMBER($G236)),"",IFERROR(SUMPRODUCT(('Control Mapping'!$C$5:$C$83=D236)*'Control Mapping'!$E$5:$E$83*'Control Mapping'!$R$5:$R$83)/SUMPRODUCT(('Control Mapping'!$C$5:$C$83=D236)*'Control Mapping'!$E$5:$E$83*('Control Mapping'!$R$5:$R$83&gt;0)),""))</f>
        <v>2</v>
      </c>
      <c r="M236" s="34" t="n">
        <f aca="false">IF(NOT(ISNUMBER($G236)),"",IF(J236=0,4,MAX(MATCH(L236,'Residual Config'!$E$11:$E$14,1),IF(K236&gt;0,'Residual Config'!$C$7,1))))</f>
        <v>2</v>
      </c>
      <c r="N236" s="7" t="str">
        <f aca="false">IF(NOT(ISNUMBER($G236)),"",IF(J236=0,"Ineffective (no key control)",INDEX('Residual Config'!$B$11:$B$14,M236)))</f>
        <v>Largely effective</v>
      </c>
      <c r="O236" s="36" t="n">
        <f aca="false">IF(NOT(ISNUMBER($G236)),"",IF(J236=0,0,SUMPRODUCT(('Control Mapping'!$C$5:$C$83=D236)*'Control Mapping'!$E$5:$E$83*(('Control Mapping'!$R$5:$R$83=1)*'Residual Config'!$D$11+('Control Mapping'!$R$5:$R$83=2)*'Residual Config'!$D$12+('Control Mapping'!$R$5:$R$83=3)*'Residual Config'!$D$13+('Control Mapping'!$R$5:$R$83=4)*'Residual Config'!$D$14))/SUMPRODUCT(('Control Mapping'!$C$5:$C$83=D236)*'Control Mapping'!$E$5:$E$83*('Control Mapping'!$R$5:$R$83&gt;0))))</f>
        <v>0.4</v>
      </c>
      <c r="P236" s="31" t="n">
        <f aca="false">IF(NOT(ISNUMBER($G236)),"",INDEX('Residual Config'!$B$19:$E$23,6-G236,M236))</f>
        <v>2</v>
      </c>
      <c r="Q236" s="29" t="n">
        <f aca="false">IF(NOT(ISNUMBER($G236)),"",MAX(1,F236*(1-O236)))</f>
        <v>1.8</v>
      </c>
      <c r="R236" s="31" t="n">
        <f aca="false">IF(NOT(ISNUMBER($G236)),"",MAX(MATCH(Q236,Config!$D$5:$D$9,1),G236-'Residual Config'!$C$6))</f>
        <v>1</v>
      </c>
      <c r="S236" s="34" t="n">
        <f aca="false">IF(NOT(ISNUMBER($G236)),"",IF('Residual Config'!$C$5="Numeric",R236,P236))</f>
        <v>2</v>
      </c>
      <c r="T236" s="7" t="str">
        <f aca="false">IF(G236="N/A","N/A",IF(S236="","No data",INDEX(Config!$B$5:$B$9,S236)))</f>
        <v>Medium-Low</v>
      </c>
      <c r="U236" s="32" t="n">
        <v>0</v>
      </c>
      <c r="V236" s="8"/>
      <c r="W236" s="33"/>
      <c r="X236" s="34" t="n">
        <f aca="false">IF(S236="","",IF(AND(W236="Y",U236&lt;&gt;0),MAX(1,MIN(5,S236+MAX(-Config!$C$27,MIN(Config!$C$27,U236)))),S236))</f>
        <v>2</v>
      </c>
      <c r="Y236" s="35" t="str">
        <f aca="false">IF(G236="N/A","N/A",IF(X236="","No data",INDEX(Config!$B$5:$B$9,X236)))</f>
        <v>Medium-Low</v>
      </c>
      <c r="Z236" s="7" t="str">
        <f aca="false">IF(U236=0,"None",IF(W236="Y","Applied","Pending HO approval"))</f>
        <v>None</v>
      </c>
      <c r="AA236" s="12" t="str">
        <f aca="false">INDEX('Risk Taxonomy'!$G$5:$G$24,MATCH(D236,'Risk Taxonomy'!$A$5:$A$24,0))</f>
        <v>Moderate</v>
      </c>
      <c r="AB236" s="7" t="str">
        <f aca="false">INDEX('Risk Taxonomy'!$H$5:$H$24,MATCH(D236,'Risk Taxonomy'!$A$5:$A$24,0))</f>
        <v>Medium-High</v>
      </c>
      <c r="AC236" s="35" t="str">
        <f aca="false">IF(NOT(ISNUMBER(X236)),"",IF(X236&lt;=MATCH(AB236,Config!$B$5:$B$9,0),"Within",IF(OR(X236-MATCH(AB236,Config!$B$5:$B$9,0)&gt;=2,AND('Residual Config'!$C$8="Y",ISNUMBER(SEARCH("Zero",AA236)))),"Red","Amber")))</f>
        <v>Within</v>
      </c>
      <c r="AD236" s="12" t="str">
        <f aca="false">IF(AC236="Red","Group CCO / CRO and Country CEO within 2 business days; action plan in 15 days; report to Board Risk &amp; Compliance Committee",IF(AC236="Amber","Country CO, risk owner and HO Administrator within 5 business days; action plan in 30 days",""))</f>
        <v/>
      </c>
    </row>
    <row r="237" customFormat="false" ht="15" hidden="false" customHeight="false" outlineLevel="0" collapsed="false">
      <c r="A237" s="26" t="str">
        <f aca="false">Entities!$A$16</f>
        <v>QA</v>
      </c>
      <c r="B237" s="12" t="str">
        <f aca="false">INDEX(Entities!$B$5:$B$34,MATCH(A237,Entities!$A$5:$A$34,0))</f>
        <v>Arab Bank – Qatar</v>
      </c>
      <c r="C237" s="12" t="str">
        <f aca="false">INDEX(Entities!$D$5:$D$34,MATCH(A237,Entities!$A$5:$A$34,0))</f>
        <v>GCC</v>
      </c>
      <c r="D237" s="12" t="s">
        <v>302</v>
      </c>
      <c r="E237" s="12" t="str">
        <f aca="false">INDEX('Risk Taxonomy'!$B$5:$B$24,MATCH(D237,'Risk Taxonomy'!$A$5:$A$24,0))</f>
        <v>Market risk</v>
      </c>
      <c r="F237" s="29" t="n">
        <f aca="false">IF(NOT(ISNUMBER(G237)),"",G237)</f>
        <v>3</v>
      </c>
      <c r="G237" s="34" t="n">
        <f aca="false">IF(COUNTIFS('LxI Assessment'!$A$5:$A$394,A237,'LxI Assessment'!$D$5:$D$394,D237,'LxI Assessment'!$F$5:$F$394,"N/A")&gt;0,"N/A",IF(COUNTIFS('LxI Assessment'!$A$5:$A$394,A237,'LxI Assessment'!$D$5:$D$394,D237,'LxI Assessment'!$S$5:$S$394,"&gt;0")=0,"",SUMIFS('LxI Assessment'!$S$5:$S$394,'LxI Assessment'!$A$5:$A$394,A237,'LxI Assessment'!$D$5:$D$394,D237)))</f>
        <v>3</v>
      </c>
      <c r="H237" s="7" t="str">
        <f aca="false">IF(G237="N/A","N/A",IF(G237="","No data",INDEX(Config!$B$5:$B$9,G237)))</f>
        <v>Medium</v>
      </c>
      <c r="I237" s="31" t="n">
        <f aca="false">IF(NOT(ISNUMBER($G237)),"",SUMPRODUCT(('Control Mapping'!$C$5:$C$83=D237)*('Control Mapping'!$R$5:$R$83&gt;0)))</f>
        <v>1</v>
      </c>
      <c r="J237" s="31" t="n">
        <f aca="false">IF(NOT(ISNUMBER($G237)),"",SUMPRODUCT(('Control Mapping'!$C$5:$C$83=D237)*('Control Mapping'!$F$5:$F$83="Y")*('Control Mapping'!$R$5:$R$83&gt;0)))</f>
        <v>1</v>
      </c>
      <c r="K237" s="31" t="n">
        <f aca="false">IF(NOT(ISNUMBER($G237)),"",SUMPRODUCT(('Control Mapping'!$C$5:$C$83=D237)*('Control Mapping'!$F$5:$F$83="Y")*('Control Mapping'!$R$5:$R$83=4)))</f>
        <v>0</v>
      </c>
      <c r="L237" s="29" t="n">
        <f aca="false">IF(NOT(ISNUMBER($G237)),"",IFERROR(SUMPRODUCT(('Control Mapping'!$C$5:$C$83=D237)*'Control Mapping'!$E$5:$E$83*'Control Mapping'!$R$5:$R$83)/SUMPRODUCT(('Control Mapping'!$C$5:$C$83=D237)*'Control Mapping'!$E$5:$E$83*('Control Mapping'!$R$5:$R$83&gt;0)),""))</f>
        <v>2</v>
      </c>
      <c r="M237" s="34" t="n">
        <f aca="false">IF(NOT(ISNUMBER($G237)),"",IF(J237=0,4,MAX(MATCH(L237,'Residual Config'!$E$11:$E$14,1),IF(K237&gt;0,'Residual Config'!$C$7,1))))</f>
        <v>2</v>
      </c>
      <c r="N237" s="7" t="str">
        <f aca="false">IF(NOT(ISNUMBER($G237)),"",IF(J237=0,"Ineffective (no key control)",INDEX('Residual Config'!$B$11:$B$14,M237)))</f>
        <v>Largely effective</v>
      </c>
      <c r="O237" s="36" t="n">
        <f aca="false">IF(NOT(ISNUMBER($G237)),"",IF(J237=0,0,SUMPRODUCT(('Control Mapping'!$C$5:$C$83=D237)*'Control Mapping'!$E$5:$E$83*(('Control Mapping'!$R$5:$R$83=1)*'Residual Config'!$D$11+('Control Mapping'!$R$5:$R$83=2)*'Residual Config'!$D$12+('Control Mapping'!$R$5:$R$83=3)*'Residual Config'!$D$13+('Control Mapping'!$R$5:$R$83=4)*'Residual Config'!$D$14))/SUMPRODUCT(('Control Mapping'!$C$5:$C$83=D237)*'Control Mapping'!$E$5:$E$83*('Control Mapping'!$R$5:$R$83&gt;0))))</f>
        <v>0.4</v>
      </c>
      <c r="P237" s="31" t="n">
        <f aca="false">IF(NOT(ISNUMBER($G237)),"",INDEX('Residual Config'!$B$19:$E$23,6-G237,M237))</f>
        <v>2</v>
      </c>
      <c r="Q237" s="29" t="n">
        <f aca="false">IF(NOT(ISNUMBER($G237)),"",MAX(1,F237*(1-O237)))</f>
        <v>1.8</v>
      </c>
      <c r="R237" s="31" t="n">
        <f aca="false">IF(NOT(ISNUMBER($G237)),"",MAX(MATCH(Q237,Config!$D$5:$D$9,1),G237-'Residual Config'!$C$6))</f>
        <v>1</v>
      </c>
      <c r="S237" s="34" t="n">
        <f aca="false">IF(NOT(ISNUMBER($G237)),"",IF('Residual Config'!$C$5="Numeric",R237,P237))</f>
        <v>2</v>
      </c>
      <c r="T237" s="7" t="str">
        <f aca="false">IF(G237="N/A","N/A",IF(S237="","No data",INDEX(Config!$B$5:$B$9,S237)))</f>
        <v>Medium-Low</v>
      </c>
      <c r="U237" s="32" t="n">
        <v>0</v>
      </c>
      <c r="V237" s="8"/>
      <c r="W237" s="33"/>
      <c r="X237" s="34" t="n">
        <f aca="false">IF(S237="","",IF(AND(W237="Y",U237&lt;&gt;0),MAX(1,MIN(5,S237+MAX(-Config!$C$27,MIN(Config!$C$27,U237)))),S237))</f>
        <v>2</v>
      </c>
      <c r="Y237" s="35" t="str">
        <f aca="false">IF(G237="N/A","N/A",IF(X237="","No data",INDEX(Config!$B$5:$B$9,X237)))</f>
        <v>Medium-Low</v>
      </c>
      <c r="Z237" s="7" t="str">
        <f aca="false">IF(U237=0,"None",IF(W237="Y","Applied","Pending HO approval"))</f>
        <v>None</v>
      </c>
      <c r="AA237" s="12" t="str">
        <f aca="false">INDEX('Risk Taxonomy'!$G$5:$G$24,MATCH(D237,'Risk Taxonomy'!$A$5:$A$24,0))</f>
        <v>Moderate</v>
      </c>
      <c r="AB237" s="7" t="str">
        <f aca="false">INDEX('Risk Taxonomy'!$H$5:$H$24,MATCH(D237,'Risk Taxonomy'!$A$5:$A$24,0))</f>
        <v>Medium-High</v>
      </c>
      <c r="AC237" s="35" t="str">
        <f aca="false">IF(NOT(ISNUMBER(X237)),"",IF(X237&lt;=MATCH(AB237,Config!$B$5:$B$9,0),"Within",IF(OR(X237-MATCH(AB237,Config!$B$5:$B$9,0)&gt;=2,AND('Residual Config'!$C$8="Y",ISNUMBER(SEARCH("Zero",AA237)))),"Red","Amber")))</f>
        <v>Within</v>
      </c>
      <c r="AD237" s="12" t="str">
        <f aca="false">IF(AC237="Red","Group CCO / CRO and Country CEO within 2 business days; action plan in 15 days; report to Board Risk &amp; Compliance Committee",IF(AC237="Amber","Country CO, risk owner and HO Administrator within 5 business days; action plan in 30 days",""))</f>
        <v/>
      </c>
    </row>
    <row r="238" customFormat="false" ht="15" hidden="false" customHeight="false" outlineLevel="0" collapsed="false">
      <c r="A238" s="26" t="str">
        <f aca="false">Entities!$A$16</f>
        <v>QA</v>
      </c>
      <c r="B238" s="12" t="str">
        <f aca="false">INDEX(Entities!$B$5:$B$34,MATCH(A238,Entities!$A$5:$A$34,0))</f>
        <v>Arab Bank – Qatar</v>
      </c>
      <c r="C238" s="12" t="str">
        <f aca="false">INDEX(Entities!$D$5:$D$34,MATCH(A238,Entities!$A$5:$A$34,0))</f>
        <v>GCC</v>
      </c>
      <c r="D238" s="12" t="s">
        <v>304</v>
      </c>
      <c r="E238" s="12" t="str">
        <f aca="false">INDEX('Risk Taxonomy'!$B$5:$B$24,MATCH(D238,'Risk Taxonomy'!$A$5:$A$24,0))</f>
        <v>Liquidity and funding risk</v>
      </c>
      <c r="F238" s="29" t="n">
        <f aca="false">IF(NOT(ISNUMBER(G238)),"",G238)</f>
        <v>3</v>
      </c>
      <c r="G238" s="34" t="n">
        <f aca="false">IF(COUNTIFS('LxI Assessment'!$A$5:$A$394,A238,'LxI Assessment'!$D$5:$D$394,D238,'LxI Assessment'!$F$5:$F$394,"N/A")&gt;0,"N/A",IF(COUNTIFS('LxI Assessment'!$A$5:$A$394,A238,'LxI Assessment'!$D$5:$D$394,D238,'LxI Assessment'!$S$5:$S$394,"&gt;0")=0,"",SUMIFS('LxI Assessment'!$S$5:$S$394,'LxI Assessment'!$A$5:$A$394,A238,'LxI Assessment'!$D$5:$D$394,D238)))</f>
        <v>3</v>
      </c>
      <c r="H238" s="7" t="str">
        <f aca="false">IF(G238="N/A","N/A",IF(G238="","No data",INDEX(Config!$B$5:$B$9,G238)))</f>
        <v>Medium</v>
      </c>
      <c r="I238" s="31" t="n">
        <f aca="false">IF(NOT(ISNUMBER($G238)),"",SUMPRODUCT(('Control Mapping'!$C$5:$C$83=D238)*('Control Mapping'!$R$5:$R$83&gt;0)))</f>
        <v>1</v>
      </c>
      <c r="J238" s="31" t="n">
        <f aca="false">IF(NOT(ISNUMBER($G238)),"",SUMPRODUCT(('Control Mapping'!$C$5:$C$83=D238)*('Control Mapping'!$F$5:$F$83="Y")*('Control Mapping'!$R$5:$R$83&gt;0)))</f>
        <v>1</v>
      </c>
      <c r="K238" s="31" t="n">
        <f aca="false">IF(NOT(ISNUMBER($G238)),"",SUMPRODUCT(('Control Mapping'!$C$5:$C$83=D238)*('Control Mapping'!$F$5:$F$83="Y")*('Control Mapping'!$R$5:$R$83=4)))</f>
        <v>0</v>
      </c>
      <c r="L238" s="29" t="n">
        <f aca="false">IF(NOT(ISNUMBER($G238)),"",IFERROR(SUMPRODUCT(('Control Mapping'!$C$5:$C$83=D238)*'Control Mapping'!$E$5:$E$83*'Control Mapping'!$R$5:$R$83)/SUMPRODUCT(('Control Mapping'!$C$5:$C$83=D238)*'Control Mapping'!$E$5:$E$83*('Control Mapping'!$R$5:$R$83&gt;0)),""))</f>
        <v>2</v>
      </c>
      <c r="M238" s="34" t="n">
        <f aca="false">IF(NOT(ISNUMBER($G238)),"",IF(J238=0,4,MAX(MATCH(L238,'Residual Config'!$E$11:$E$14,1),IF(K238&gt;0,'Residual Config'!$C$7,1))))</f>
        <v>2</v>
      </c>
      <c r="N238" s="7" t="str">
        <f aca="false">IF(NOT(ISNUMBER($G238)),"",IF(J238=0,"Ineffective (no key control)",INDEX('Residual Config'!$B$11:$B$14,M238)))</f>
        <v>Largely effective</v>
      </c>
      <c r="O238" s="36" t="n">
        <f aca="false">IF(NOT(ISNUMBER($G238)),"",IF(J238=0,0,SUMPRODUCT(('Control Mapping'!$C$5:$C$83=D238)*'Control Mapping'!$E$5:$E$83*(('Control Mapping'!$R$5:$R$83=1)*'Residual Config'!$D$11+('Control Mapping'!$R$5:$R$83=2)*'Residual Config'!$D$12+('Control Mapping'!$R$5:$R$83=3)*'Residual Config'!$D$13+('Control Mapping'!$R$5:$R$83=4)*'Residual Config'!$D$14))/SUMPRODUCT(('Control Mapping'!$C$5:$C$83=D238)*'Control Mapping'!$E$5:$E$83*('Control Mapping'!$R$5:$R$83&gt;0))))</f>
        <v>0.4</v>
      </c>
      <c r="P238" s="31" t="n">
        <f aca="false">IF(NOT(ISNUMBER($G238)),"",INDEX('Residual Config'!$B$19:$E$23,6-G238,M238))</f>
        <v>2</v>
      </c>
      <c r="Q238" s="29" t="n">
        <f aca="false">IF(NOT(ISNUMBER($G238)),"",MAX(1,F238*(1-O238)))</f>
        <v>1.8</v>
      </c>
      <c r="R238" s="31" t="n">
        <f aca="false">IF(NOT(ISNUMBER($G238)),"",MAX(MATCH(Q238,Config!$D$5:$D$9,1),G238-'Residual Config'!$C$6))</f>
        <v>1</v>
      </c>
      <c r="S238" s="34" t="n">
        <f aca="false">IF(NOT(ISNUMBER($G238)),"",IF('Residual Config'!$C$5="Numeric",R238,P238))</f>
        <v>2</v>
      </c>
      <c r="T238" s="7" t="str">
        <f aca="false">IF(G238="N/A","N/A",IF(S238="","No data",INDEX(Config!$B$5:$B$9,S238)))</f>
        <v>Medium-Low</v>
      </c>
      <c r="U238" s="32" t="n">
        <v>0</v>
      </c>
      <c r="V238" s="8"/>
      <c r="W238" s="33"/>
      <c r="X238" s="34" t="n">
        <f aca="false">IF(S238="","",IF(AND(W238="Y",U238&lt;&gt;0),MAX(1,MIN(5,S238+MAX(-Config!$C$27,MIN(Config!$C$27,U238)))),S238))</f>
        <v>2</v>
      </c>
      <c r="Y238" s="35" t="str">
        <f aca="false">IF(G238="N/A","N/A",IF(X238="","No data",INDEX(Config!$B$5:$B$9,X238)))</f>
        <v>Medium-Low</v>
      </c>
      <c r="Z238" s="7" t="str">
        <f aca="false">IF(U238=0,"None",IF(W238="Y","Applied","Pending HO approval"))</f>
        <v>None</v>
      </c>
      <c r="AA238" s="12" t="str">
        <f aca="false">INDEX('Risk Taxonomy'!$G$5:$G$24,MATCH(D238,'Risk Taxonomy'!$A$5:$A$24,0))</f>
        <v>Low</v>
      </c>
      <c r="AB238" s="7" t="str">
        <f aca="false">INDEX('Risk Taxonomy'!$H$5:$H$24,MATCH(D238,'Risk Taxonomy'!$A$5:$A$24,0))</f>
        <v>Medium</v>
      </c>
      <c r="AC238" s="35" t="str">
        <f aca="false">IF(NOT(ISNUMBER(X238)),"",IF(X238&lt;=MATCH(AB238,Config!$B$5:$B$9,0),"Within",IF(OR(X238-MATCH(AB238,Config!$B$5:$B$9,0)&gt;=2,AND('Residual Config'!$C$8="Y",ISNUMBER(SEARCH("Zero",AA238)))),"Red","Amber")))</f>
        <v>Within</v>
      </c>
      <c r="AD238" s="12" t="str">
        <f aca="false">IF(AC238="Red","Group CCO / CRO and Country CEO within 2 business days; action plan in 15 days; report to Board Risk &amp; Compliance Committee",IF(AC238="Amber","Country CO, risk owner and HO Administrator within 5 business days; action plan in 30 days",""))</f>
        <v/>
      </c>
    </row>
    <row r="239" customFormat="false" ht="15" hidden="false" customHeight="false" outlineLevel="0" collapsed="false">
      <c r="A239" s="26" t="str">
        <f aca="false">Entities!$A$16</f>
        <v>QA</v>
      </c>
      <c r="B239" s="12" t="str">
        <f aca="false">INDEX(Entities!$B$5:$B$34,MATCH(A239,Entities!$A$5:$A$34,0))</f>
        <v>Arab Bank – Qatar</v>
      </c>
      <c r="C239" s="12" t="str">
        <f aca="false">INDEX(Entities!$D$5:$D$34,MATCH(A239,Entities!$A$5:$A$34,0))</f>
        <v>GCC</v>
      </c>
      <c r="D239" s="12" t="s">
        <v>307</v>
      </c>
      <c r="E239" s="12" t="str">
        <f aca="false">INDEX('Risk Taxonomy'!$B$5:$B$24,MATCH(D239,'Risk Taxonomy'!$A$5:$A$24,0))</f>
        <v>Operational risk</v>
      </c>
      <c r="F239" s="29" t="n">
        <f aca="false">IF(NOT(ISNUMBER(G239)),"",G239)</f>
        <v>2</v>
      </c>
      <c r="G239" s="34" t="n">
        <f aca="false">IF(COUNTIFS('LxI Assessment'!$A$5:$A$394,A239,'LxI Assessment'!$D$5:$D$394,D239,'LxI Assessment'!$F$5:$F$394,"N/A")&gt;0,"N/A",IF(COUNTIFS('LxI Assessment'!$A$5:$A$394,A239,'LxI Assessment'!$D$5:$D$394,D239,'LxI Assessment'!$S$5:$S$394,"&gt;0")=0,"",SUMIFS('LxI Assessment'!$S$5:$S$394,'LxI Assessment'!$A$5:$A$394,A239,'LxI Assessment'!$D$5:$D$394,D239)))</f>
        <v>2</v>
      </c>
      <c r="H239" s="7" t="str">
        <f aca="false">IF(G239="N/A","N/A",IF(G239="","No data",INDEX(Config!$B$5:$B$9,G239)))</f>
        <v>Medium-Low</v>
      </c>
      <c r="I239" s="31" t="n">
        <f aca="false">IF(NOT(ISNUMBER($G239)),"",SUMPRODUCT(('Control Mapping'!$C$5:$C$83=D239)*('Control Mapping'!$R$5:$R$83&gt;0)))</f>
        <v>3</v>
      </c>
      <c r="J239" s="31" t="n">
        <f aca="false">IF(NOT(ISNUMBER($G239)),"",SUMPRODUCT(('Control Mapping'!$C$5:$C$83=D239)*('Control Mapping'!$F$5:$F$83="Y")*('Control Mapping'!$R$5:$R$83&gt;0)))</f>
        <v>2</v>
      </c>
      <c r="K239" s="31" t="n">
        <f aca="false">IF(NOT(ISNUMBER($G239)),"",SUMPRODUCT(('Control Mapping'!$C$5:$C$83=D239)*('Control Mapping'!$F$5:$F$83="Y")*('Control Mapping'!$R$5:$R$83=4)))</f>
        <v>1</v>
      </c>
      <c r="L239" s="29" t="n">
        <f aca="false">IF(NOT(ISNUMBER($G239)),"",IFERROR(SUMPRODUCT(('Control Mapping'!$C$5:$C$83=D239)*'Control Mapping'!$E$5:$E$83*'Control Mapping'!$R$5:$R$83)/SUMPRODUCT(('Control Mapping'!$C$5:$C$83=D239)*'Control Mapping'!$E$5:$E$83*('Control Mapping'!$R$5:$R$83&gt;0)),""))</f>
        <v>2.33333333333333</v>
      </c>
      <c r="M239" s="34" t="n">
        <f aca="false">IF(NOT(ISNUMBER($G239)),"",IF(J239=0,4,MAX(MATCH(L239,'Residual Config'!$E$11:$E$14,1),IF(K239&gt;0,'Residual Config'!$C$7,1))))</f>
        <v>3</v>
      </c>
      <c r="N239" s="7" t="str">
        <f aca="false">IF(NOT(ISNUMBER($G239)),"",IF(J239=0,"Ineffective (no key control)",INDEX('Residual Config'!$B$11:$B$14,M239)))</f>
        <v>Partially effective</v>
      </c>
      <c r="O239" s="36" t="n">
        <f aca="false">IF(NOT(ISNUMBER($G239)),"",IF(J239=0,0,SUMPRODUCT(('Control Mapping'!$C$5:$C$83=D239)*'Control Mapping'!$E$5:$E$83*(('Control Mapping'!$R$5:$R$83=1)*'Residual Config'!$D$11+('Control Mapping'!$R$5:$R$83=2)*'Residual Config'!$D$12+('Control Mapping'!$R$5:$R$83=3)*'Residual Config'!$D$13+('Control Mapping'!$R$5:$R$83=4)*'Residual Config'!$D$14))/SUMPRODUCT(('Control Mapping'!$C$5:$C$83=D239)*'Control Mapping'!$E$5:$E$83*('Control Mapping'!$R$5:$R$83&gt;0))))</f>
        <v>0.333333333333333</v>
      </c>
      <c r="P239" s="31" t="n">
        <f aca="false">IF(NOT(ISNUMBER($G239)),"",INDEX('Residual Config'!$B$19:$E$23,6-G239,M239))</f>
        <v>2</v>
      </c>
      <c r="Q239" s="29" t="n">
        <f aca="false">IF(NOT(ISNUMBER($G239)),"",MAX(1,F239*(1-O239)))</f>
        <v>1.33333333333333</v>
      </c>
      <c r="R239" s="31" t="n">
        <f aca="false">IF(NOT(ISNUMBER($G239)),"",MAX(MATCH(Q239,Config!$D$5:$D$9,1),G239-'Residual Config'!$C$6))</f>
        <v>1</v>
      </c>
      <c r="S239" s="34" t="n">
        <f aca="false">IF(NOT(ISNUMBER($G239)),"",IF('Residual Config'!$C$5="Numeric",R239,P239))</f>
        <v>2</v>
      </c>
      <c r="T239" s="7" t="str">
        <f aca="false">IF(G239="N/A","N/A",IF(S239="","No data",INDEX(Config!$B$5:$B$9,S239)))</f>
        <v>Medium-Low</v>
      </c>
      <c r="U239" s="32" t="n">
        <v>0</v>
      </c>
      <c r="V239" s="8"/>
      <c r="W239" s="33"/>
      <c r="X239" s="34" t="n">
        <f aca="false">IF(S239="","",IF(AND(W239="Y",U239&lt;&gt;0),MAX(1,MIN(5,S239+MAX(-Config!$C$27,MIN(Config!$C$27,U239)))),S239))</f>
        <v>2</v>
      </c>
      <c r="Y239" s="35" t="str">
        <f aca="false">IF(G239="N/A","N/A",IF(X239="","No data",INDEX(Config!$B$5:$B$9,X239)))</f>
        <v>Medium-Low</v>
      </c>
      <c r="Z239" s="7" t="str">
        <f aca="false">IF(U239=0,"None",IF(W239="Y","Applied","Pending HO approval"))</f>
        <v>None</v>
      </c>
      <c r="AA239" s="12" t="str">
        <f aca="false">INDEX('Risk Taxonomy'!$G$5:$G$24,MATCH(D239,'Risk Taxonomy'!$A$5:$A$24,0))</f>
        <v>Low</v>
      </c>
      <c r="AB239" s="7" t="str">
        <f aca="false">INDEX('Risk Taxonomy'!$H$5:$H$24,MATCH(D239,'Risk Taxonomy'!$A$5:$A$24,0))</f>
        <v>Medium</v>
      </c>
      <c r="AC239" s="35" t="str">
        <f aca="false">IF(NOT(ISNUMBER(X239)),"",IF(X239&lt;=MATCH(AB239,Config!$B$5:$B$9,0),"Within",IF(OR(X239-MATCH(AB239,Config!$B$5:$B$9,0)&gt;=2,AND('Residual Config'!$C$8="Y",ISNUMBER(SEARCH("Zero",AA239)))),"Red","Amber")))</f>
        <v>Within</v>
      </c>
      <c r="AD239" s="12" t="str">
        <f aca="false">IF(AC239="Red","Group CCO / CRO and Country CEO within 2 business days; action plan in 15 days; report to Board Risk &amp; Compliance Committee",IF(AC239="Amber","Country CO, risk owner and HO Administrator within 5 business days; action plan in 30 days",""))</f>
        <v/>
      </c>
    </row>
    <row r="240" customFormat="false" ht="15" hidden="false" customHeight="false" outlineLevel="0" collapsed="false">
      <c r="A240" s="26" t="str">
        <f aca="false">Entities!$A$16</f>
        <v>QA</v>
      </c>
      <c r="B240" s="12" t="str">
        <f aca="false">INDEX(Entities!$B$5:$B$34,MATCH(A240,Entities!$A$5:$A$34,0))</f>
        <v>Arab Bank – Qatar</v>
      </c>
      <c r="C240" s="12" t="str">
        <f aca="false">INDEX(Entities!$D$5:$D$34,MATCH(A240,Entities!$A$5:$A$34,0))</f>
        <v>GCC</v>
      </c>
      <c r="D240" s="12" t="s">
        <v>310</v>
      </c>
      <c r="E240" s="12" t="str">
        <f aca="false">INDEX('Risk Taxonomy'!$B$5:$B$24,MATCH(D240,'Risk Taxonomy'!$A$5:$A$24,0))</f>
        <v>Cyber, information security and technology</v>
      </c>
      <c r="F240" s="29" t="n">
        <f aca="false">IF(NOT(ISNUMBER(G240)),"",G240)</f>
        <v>3</v>
      </c>
      <c r="G240" s="34" t="n">
        <f aca="false">IF(COUNTIFS('LxI Assessment'!$A$5:$A$394,A240,'LxI Assessment'!$D$5:$D$394,D240,'LxI Assessment'!$F$5:$F$394,"N/A")&gt;0,"N/A",IF(COUNTIFS('LxI Assessment'!$A$5:$A$394,A240,'LxI Assessment'!$D$5:$D$394,D240,'LxI Assessment'!$S$5:$S$394,"&gt;0")=0,"",SUMIFS('LxI Assessment'!$S$5:$S$394,'LxI Assessment'!$A$5:$A$394,A240,'LxI Assessment'!$D$5:$D$394,D240)))</f>
        <v>3</v>
      </c>
      <c r="H240" s="7" t="str">
        <f aca="false">IF(G240="N/A","N/A",IF(G240="","No data",INDEX(Config!$B$5:$B$9,G240)))</f>
        <v>Medium</v>
      </c>
      <c r="I240" s="31" t="n">
        <f aca="false">IF(NOT(ISNUMBER($G240)),"",SUMPRODUCT(('Control Mapping'!$C$5:$C$83=D240)*('Control Mapping'!$R$5:$R$83&gt;0)))</f>
        <v>4</v>
      </c>
      <c r="J240" s="31" t="n">
        <f aca="false">IF(NOT(ISNUMBER($G240)),"",SUMPRODUCT(('Control Mapping'!$C$5:$C$83=D240)*('Control Mapping'!$F$5:$F$83="Y")*('Control Mapping'!$R$5:$R$83&gt;0)))</f>
        <v>4</v>
      </c>
      <c r="K240" s="31" t="n">
        <f aca="false">IF(NOT(ISNUMBER($G240)),"",SUMPRODUCT(('Control Mapping'!$C$5:$C$83=D240)*('Control Mapping'!$F$5:$F$83="Y")*('Control Mapping'!$R$5:$R$83=4)))</f>
        <v>1</v>
      </c>
      <c r="L240" s="29" t="n">
        <f aca="false">IF(NOT(ISNUMBER($G240)),"",IFERROR(SUMPRODUCT(('Control Mapping'!$C$5:$C$83=D240)*'Control Mapping'!$E$5:$E$83*'Control Mapping'!$R$5:$R$83)/SUMPRODUCT(('Control Mapping'!$C$5:$C$83=D240)*'Control Mapping'!$E$5:$E$83*('Control Mapping'!$R$5:$R$83&gt;0)),""))</f>
        <v>2</v>
      </c>
      <c r="M240" s="34" t="n">
        <f aca="false">IF(NOT(ISNUMBER($G240)),"",IF(J240=0,4,MAX(MATCH(L240,'Residual Config'!$E$11:$E$14,1),IF(K240&gt;0,'Residual Config'!$C$7,1))))</f>
        <v>3</v>
      </c>
      <c r="N240" s="7" t="str">
        <f aca="false">IF(NOT(ISNUMBER($G240)),"",IF(J240=0,"Ineffective (no key control)",INDEX('Residual Config'!$B$11:$B$14,M240)))</f>
        <v>Partially effective</v>
      </c>
      <c r="O240" s="36" t="n">
        <f aca="false">IF(NOT(ISNUMBER($G240)),"",IF(J240=0,0,SUMPRODUCT(('Control Mapping'!$C$5:$C$83=D240)*'Control Mapping'!$E$5:$E$83*(('Control Mapping'!$R$5:$R$83=1)*'Residual Config'!$D$11+('Control Mapping'!$R$5:$R$83=2)*'Residual Config'!$D$12+('Control Mapping'!$R$5:$R$83=3)*'Residual Config'!$D$13+('Control Mapping'!$R$5:$R$83=4)*'Residual Config'!$D$14))/SUMPRODUCT(('Control Mapping'!$C$5:$C$83=D240)*'Control Mapping'!$E$5:$E$83*('Control Mapping'!$R$5:$R$83&gt;0))))</f>
        <v>0.4</v>
      </c>
      <c r="P240" s="31" t="n">
        <f aca="false">IF(NOT(ISNUMBER($G240)),"",INDEX('Residual Config'!$B$19:$E$23,6-G240,M240))</f>
        <v>3</v>
      </c>
      <c r="Q240" s="29" t="n">
        <f aca="false">IF(NOT(ISNUMBER($G240)),"",MAX(1,F240*(1-O240)))</f>
        <v>1.8</v>
      </c>
      <c r="R240" s="31" t="n">
        <f aca="false">IF(NOT(ISNUMBER($G240)),"",MAX(MATCH(Q240,Config!$D$5:$D$9,1),G240-'Residual Config'!$C$6))</f>
        <v>1</v>
      </c>
      <c r="S240" s="34" t="n">
        <f aca="false">IF(NOT(ISNUMBER($G240)),"",IF('Residual Config'!$C$5="Numeric",R240,P240))</f>
        <v>3</v>
      </c>
      <c r="T240" s="7" t="str">
        <f aca="false">IF(G240="N/A","N/A",IF(S240="","No data",INDEX(Config!$B$5:$B$9,S240)))</f>
        <v>Medium</v>
      </c>
      <c r="U240" s="32" t="n">
        <v>0</v>
      </c>
      <c r="V240" s="8"/>
      <c r="W240" s="33"/>
      <c r="X240" s="34" t="n">
        <f aca="false">IF(S240="","",IF(AND(W240="Y",U240&lt;&gt;0),MAX(1,MIN(5,S240+MAX(-Config!$C$27,MIN(Config!$C$27,U240)))),S240))</f>
        <v>3</v>
      </c>
      <c r="Y240" s="35" t="str">
        <f aca="false">IF(G240="N/A","N/A",IF(X240="","No data",INDEX(Config!$B$5:$B$9,X240)))</f>
        <v>Medium</v>
      </c>
      <c r="Z240" s="7" t="str">
        <f aca="false">IF(U240=0,"None",IF(W240="Y","Applied","Pending HO approval"))</f>
        <v>None</v>
      </c>
      <c r="AA240" s="12" t="str">
        <f aca="false">INDEX('Risk Taxonomy'!$G$5:$G$24,MATCH(D240,'Risk Taxonomy'!$A$5:$A$24,0))</f>
        <v>Very low</v>
      </c>
      <c r="AB240" s="7" t="str">
        <f aca="false">INDEX('Risk Taxonomy'!$H$5:$H$24,MATCH(D240,'Risk Taxonomy'!$A$5:$A$24,0))</f>
        <v>Medium-Low</v>
      </c>
      <c r="AC240" s="35" t="str">
        <f aca="false">IF(NOT(ISNUMBER(X240)),"",IF(X240&lt;=MATCH(AB240,Config!$B$5:$B$9,0),"Within",IF(OR(X240-MATCH(AB240,Config!$B$5:$B$9,0)&gt;=2,AND('Residual Config'!$C$8="Y",ISNUMBER(SEARCH("Zero",AA240)))),"Red","Amber")))</f>
        <v>Amber</v>
      </c>
      <c r="AD240" s="12" t="str">
        <f aca="false">IF(AC240="Red","Group CCO / CRO and Country CEO within 2 business days; action plan in 15 days; report to Board Risk &amp; Compliance Committee",IF(AC240="Amber","Country CO, risk owner and HO Administrator within 5 business days; action plan in 30 days",""))</f>
        <v>Country CO, risk owner and HO Administrator within 5 business days; action plan in 30 days</v>
      </c>
    </row>
    <row r="241" customFormat="false" ht="15" hidden="false" customHeight="false" outlineLevel="0" collapsed="false">
      <c r="A241" s="26" t="str">
        <f aca="false">Entities!$A$16</f>
        <v>QA</v>
      </c>
      <c r="B241" s="12" t="str">
        <f aca="false">INDEX(Entities!$B$5:$B$34,MATCH(A241,Entities!$A$5:$A$34,0))</f>
        <v>Arab Bank – Qatar</v>
      </c>
      <c r="C241" s="12" t="str">
        <f aca="false">INDEX(Entities!$D$5:$D$34,MATCH(A241,Entities!$A$5:$A$34,0))</f>
        <v>GCC</v>
      </c>
      <c r="D241" s="12" t="s">
        <v>313</v>
      </c>
      <c r="E241" s="12" t="str">
        <f aca="false">INDEX('Risk Taxonomy'!$B$5:$B$24,MATCH(D241,'Risk Taxonomy'!$A$5:$A$24,0))</f>
        <v>Third-party and outsourcing</v>
      </c>
      <c r="F241" s="29" t="n">
        <f aca="false">IF(NOT(ISNUMBER(G241)),"",G241)</f>
        <v>2</v>
      </c>
      <c r="G241" s="34" t="n">
        <f aca="false">IF(COUNTIFS('LxI Assessment'!$A$5:$A$394,A241,'LxI Assessment'!$D$5:$D$394,D241,'LxI Assessment'!$F$5:$F$394,"N/A")&gt;0,"N/A",IF(COUNTIFS('LxI Assessment'!$A$5:$A$394,A241,'LxI Assessment'!$D$5:$D$394,D241,'LxI Assessment'!$S$5:$S$394,"&gt;0")=0,"",SUMIFS('LxI Assessment'!$S$5:$S$394,'LxI Assessment'!$A$5:$A$394,A241,'LxI Assessment'!$D$5:$D$394,D241)))</f>
        <v>2</v>
      </c>
      <c r="H241" s="7" t="str">
        <f aca="false">IF(G241="N/A","N/A",IF(G241="","No data",INDEX(Config!$B$5:$B$9,G241)))</f>
        <v>Medium-Low</v>
      </c>
      <c r="I241" s="31" t="n">
        <f aca="false">IF(NOT(ISNUMBER($G241)),"",SUMPRODUCT(('Control Mapping'!$C$5:$C$83=D241)*('Control Mapping'!$R$5:$R$83&gt;0)))</f>
        <v>2</v>
      </c>
      <c r="J241" s="31" t="n">
        <f aca="false">IF(NOT(ISNUMBER($G241)),"",SUMPRODUCT(('Control Mapping'!$C$5:$C$83=D241)*('Control Mapping'!$F$5:$F$83="Y")*('Control Mapping'!$R$5:$R$83&gt;0)))</f>
        <v>2</v>
      </c>
      <c r="K241" s="31" t="n">
        <f aca="false">IF(NOT(ISNUMBER($G241)),"",SUMPRODUCT(('Control Mapping'!$C$5:$C$83=D241)*('Control Mapping'!$F$5:$F$83="Y")*('Control Mapping'!$R$5:$R$83=4)))</f>
        <v>0</v>
      </c>
      <c r="L241" s="29" t="n">
        <f aca="false">IF(NOT(ISNUMBER($G241)),"",IFERROR(SUMPRODUCT(('Control Mapping'!$C$5:$C$83=D241)*'Control Mapping'!$E$5:$E$83*'Control Mapping'!$R$5:$R$83)/SUMPRODUCT(('Control Mapping'!$C$5:$C$83=D241)*'Control Mapping'!$E$5:$E$83*('Control Mapping'!$R$5:$R$83&gt;0)),""))</f>
        <v>2</v>
      </c>
      <c r="M241" s="34" t="n">
        <f aca="false">IF(NOT(ISNUMBER($G241)),"",IF(J241=0,4,MAX(MATCH(L241,'Residual Config'!$E$11:$E$14,1),IF(K241&gt;0,'Residual Config'!$C$7,1))))</f>
        <v>2</v>
      </c>
      <c r="N241" s="7" t="str">
        <f aca="false">IF(NOT(ISNUMBER($G241)),"",IF(J241=0,"Ineffective (no key control)",INDEX('Residual Config'!$B$11:$B$14,M241)))</f>
        <v>Largely effective</v>
      </c>
      <c r="O241" s="36" t="n">
        <f aca="false">IF(NOT(ISNUMBER($G241)),"",IF(J241=0,0,SUMPRODUCT(('Control Mapping'!$C$5:$C$83=D241)*'Control Mapping'!$E$5:$E$83*(('Control Mapping'!$R$5:$R$83=1)*'Residual Config'!$D$11+('Control Mapping'!$R$5:$R$83=2)*'Residual Config'!$D$12+('Control Mapping'!$R$5:$R$83=3)*'Residual Config'!$D$13+('Control Mapping'!$R$5:$R$83=4)*'Residual Config'!$D$14))/SUMPRODUCT(('Control Mapping'!$C$5:$C$83=D241)*'Control Mapping'!$E$5:$E$83*('Control Mapping'!$R$5:$R$83&gt;0))))</f>
        <v>0.4</v>
      </c>
      <c r="P241" s="31" t="n">
        <f aca="false">IF(NOT(ISNUMBER($G241)),"",INDEX('Residual Config'!$B$19:$E$23,6-G241,M241))</f>
        <v>1</v>
      </c>
      <c r="Q241" s="29" t="n">
        <f aca="false">IF(NOT(ISNUMBER($G241)),"",MAX(1,F241*(1-O241)))</f>
        <v>1.2</v>
      </c>
      <c r="R241" s="31" t="n">
        <f aca="false">IF(NOT(ISNUMBER($G241)),"",MAX(MATCH(Q241,Config!$D$5:$D$9,1),G241-'Residual Config'!$C$6))</f>
        <v>1</v>
      </c>
      <c r="S241" s="34" t="n">
        <f aca="false">IF(NOT(ISNUMBER($G241)),"",IF('Residual Config'!$C$5="Numeric",R241,P241))</f>
        <v>1</v>
      </c>
      <c r="T241" s="7" t="str">
        <f aca="false">IF(G241="N/A","N/A",IF(S241="","No data",INDEX(Config!$B$5:$B$9,S241)))</f>
        <v>Low</v>
      </c>
      <c r="U241" s="32" t="n">
        <v>0</v>
      </c>
      <c r="V241" s="8"/>
      <c r="W241" s="33"/>
      <c r="X241" s="34" t="n">
        <f aca="false">IF(S241="","",IF(AND(W241="Y",U241&lt;&gt;0),MAX(1,MIN(5,S241+MAX(-Config!$C$27,MIN(Config!$C$27,U241)))),S241))</f>
        <v>1</v>
      </c>
      <c r="Y241" s="35" t="str">
        <f aca="false">IF(G241="N/A","N/A",IF(X241="","No data",INDEX(Config!$B$5:$B$9,X241)))</f>
        <v>Low</v>
      </c>
      <c r="Z241" s="7" t="str">
        <f aca="false">IF(U241=0,"None",IF(W241="Y","Applied","Pending HO approval"))</f>
        <v>None</v>
      </c>
      <c r="AA241" s="12" t="str">
        <f aca="false">INDEX('Risk Taxonomy'!$G$5:$G$24,MATCH(D241,'Risk Taxonomy'!$A$5:$A$24,0))</f>
        <v>Low</v>
      </c>
      <c r="AB241" s="7" t="str">
        <f aca="false">INDEX('Risk Taxonomy'!$H$5:$H$24,MATCH(D241,'Risk Taxonomy'!$A$5:$A$24,0))</f>
        <v>Medium</v>
      </c>
      <c r="AC241" s="35" t="str">
        <f aca="false">IF(NOT(ISNUMBER(X241)),"",IF(X241&lt;=MATCH(AB241,Config!$B$5:$B$9,0),"Within",IF(OR(X241-MATCH(AB241,Config!$B$5:$B$9,0)&gt;=2,AND('Residual Config'!$C$8="Y",ISNUMBER(SEARCH("Zero",AA241)))),"Red","Amber")))</f>
        <v>Within</v>
      </c>
      <c r="AD241" s="12" t="str">
        <f aca="false">IF(AC241="Red","Group CCO / CRO and Country CEO within 2 business days; action plan in 15 days; report to Board Risk &amp; Compliance Committee",IF(AC241="Amber","Country CO, risk owner and HO Administrator within 5 business days; action plan in 30 days",""))</f>
        <v/>
      </c>
    </row>
    <row r="242" customFormat="false" ht="15" hidden="false" customHeight="false" outlineLevel="0" collapsed="false">
      <c r="A242" s="26" t="str">
        <f aca="false">Entities!$A$16</f>
        <v>QA</v>
      </c>
      <c r="B242" s="12" t="str">
        <f aca="false">INDEX(Entities!$B$5:$B$34,MATCH(A242,Entities!$A$5:$A$34,0))</f>
        <v>Arab Bank – Qatar</v>
      </c>
      <c r="C242" s="12" t="str">
        <f aca="false">INDEX(Entities!$D$5:$D$34,MATCH(A242,Entities!$A$5:$A$34,0))</f>
        <v>GCC</v>
      </c>
      <c r="D242" s="12" t="s">
        <v>316</v>
      </c>
      <c r="E242" s="12" t="str">
        <f aca="false">INDEX('Risk Taxonomy'!$B$5:$B$24,MATCH(D242,'Risk Taxonomy'!$A$5:$A$24,0))</f>
        <v>Legal and litigation</v>
      </c>
      <c r="F242" s="29" t="n">
        <f aca="false">IF(NOT(ISNUMBER(G242)),"",G242)</f>
        <v>2</v>
      </c>
      <c r="G242" s="34" t="n">
        <f aca="false">IF(COUNTIFS('LxI Assessment'!$A$5:$A$394,A242,'LxI Assessment'!$D$5:$D$394,D242,'LxI Assessment'!$F$5:$F$394,"N/A")&gt;0,"N/A",IF(COUNTIFS('LxI Assessment'!$A$5:$A$394,A242,'LxI Assessment'!$D$5:$D$394,D242,'LxI Assessment'!$S$5:$S$394,"&gt;0")=0,"",SUMIFS('LxI Assessment'!$S$5:$S$394,'LxI Assessment'!$A$5:$A$394,A242,'LxI Assessment'!$D$5:$D$394,D242)))</f>
        <v>2</v>
      </c>
      <c r="H242" s="7" t="str">
        <f aca="false">IF(G242="N/A","N/A",IF(G242="","No data",INDEX(Config!$B$5:$B$9,G242)))</f>
        <v>Medium-Low</v>
      </c>
      <c r="I242" s="31" t="n">
        <f aca="false">IF(NOT(ISNUMBER($G242)),"",SUMPRODUCT(('Control Mapping'!$C$5:$C$83=D242)*('Control Mapping'!$R$5:$R$83&gt;0)))</f>
        <v>1</v>
      </c>
      <c r="J242" s="31" t="n">
        <f aca="false">IF(NOT(ISNUMBER($G242)),"",SUMPRODUCT(('Control Mapping'!$C$5:$C$83=D242)*('Control Mapping'!$F$5:$F$83="Y")*('Control Mapping'!$R$5:$R$83&gt;0)))</f>
        <v>1</v>
      </c>
      <c r="K242" s="31" t="n">
        <f aca="false">IF(NOT(ISNUMBER($G242)),"",SUMPRODUCT(('Control Mapping'!$C$5:$C$83=D242)*('Control Mapping'!$F$5:$F$83="Y")*('Control Mapping'!$R$5:$R$83=4)))</f>
        <v>0</v>
      </c>
      <c r="L242" s="29" t="n">
        <f aca="false">IF(NOT(ISNUMBER($G242)),"",IFERROR(SUMPRODUCT(('Control Mapping'!$C$5:$C$83=D242)*'Control Mapping'!$E$5:$E$83*'Control Mapping'!$R$5:$R$83)/SUMPRODUCT(('Control Mapping'!$C$5:$C$83=D242)*'Control Mapping'!$E$5:$E$83*('Control Mapping'!$R$5:$R$83&gt;0)),""))</f>
        <v>1</v>
      </c>
      <c r="M242" s="34" t="n">
        <f aca="false">IF(NOT(ISNUMBER($G242)),"",IF(J242=0,4,MAX(MATCH(L242,'Residual Config'!$E$11:$E$14,1),IF(K242&gt;0,'Residual Config'!$C$7,1))))</f>
        <v>1</v>
      </c>
      <c r="N242" s="7" t="str">
        <f aca="false">IF(NOT(ISNUMBER($G242)),"",IF(J242=0,"Ineffective (no key control)",INDEX('Residual Config'!$B$11:$B$14,M242)))</f>
        <v>Effective</v>
      </c>
      <c r="O242" s="36" t="n">
        <f aca="false">IF(NOT(ISNUMBER($G242)),"",IF(J242=0,0,SUMPRODUCT(('Control Mapping'!$C$5:$C$83=D242)*'Control Mapping'!$E$5:$E$83*(('Control Mapping'!$R$5:$R$83=1)*'Residual Config'!$D$11+('Control Mapping'!$R$5:$R$83=2)*'Residual Config'!$D$12+('Control Mapping'!$R$5:$R$83=3)*'Residual Config'!$D$13+('Control Mapping'!$R$5:$R$83=4)*'Residual Config'!$D$14))/SUMPRODUCT(('Control Mapping'!$C$5:$C$83=D242)*'Control Mapping'!$E$5:$E$83*('Control Mapping'!$R$5:$R$83&gt;0))))</f>
        <v>0.6</v>
      </c>
      <c r="P242" s="31" t="n">
        <f aca="false">IF(NOT(ISNUMBER($G242)),"",INDEX('Residual Config'!$B$19:$E$23,6-G242,M242))</f>
        <v>1</v>
      </c>
      <c r="Q242" s="29" t="n">
        <f aca="false">IF(NOT(ISNUMBER($G242)),"",MAX(1,F242*(1-O242)))</f>
        <v>1</v>
      </c>
      <c r="R242" s="31" t="n">
        <f aca="false">IF(NOT(ISNUMBER($G242)),"",MAX(MATCH(Q242,Config!$D$5:$D$9,1),G242-'Residual Config'!$C$6))</f>
        <v>1</v>
      </c>
      <c r="S242" s="34" t="n">
        <f aca="false">IF(NOT(ISNUMBER($G242)),"",IF('Residual Config'!$C$5="Numeric",R242,P242))</f>
        <v>1</v>
      </c>
      <c r="T242" s="7" t="str">
        <f aca="false">IF(G242="N/A","N/A",IF(S242="","No data",INDEX(Config!$B$5:$B$9,S242)))</f>
        <v>Low</v>
      </c>
      <c r="U242" s="32" t="n">
        <v>0</v>
      </c>
      <c r="V242" s="8"/>
      <c r="W242" s="33"/>
      <c r="X242" s="34" t="n">
        <f aca="false">IF(S242="","",IF(AND(W242="Y",U242&lt;&gt;0),MAX(1,MIN(5,S242+MAX(-Config!$C$27,MIN(Config!$C$27,U242)))),S242))</f>
        <v>1</v>
      </c>
      <c r="Y242" s="35" t="str">
        <f aca="false">IF(G242="N/A","N/A",IF(X242="","No data",INDEX(Config!$B$5:$B$9,X242)))</f>
        <v>Low</v>
      </c>
      <c r="Z242" s="7" t="str">
        <f aca="false">IF(U242=0,"None",IF(W242="Y","Applied","Pending HO approval"))</f>
        <v>None</v>
      </c>
      <c r="AA242" s="12" t="str">
        <f aca="false">INDEX('Risk Taxonomy'!$G$5:$G$24,MATCH(D242,'Risk Taxonomy'!$A$5:$A$24,0))</f>
        <v>Very low</v>
      </c>
      <c r="AB242" s="7" t="str">
        <f aca="false">INDEX('Risk Taxonomy'!$H$5:$H$24,MATCH(D242,'Risk Taxonomy'!$A$5:$A$24,0))</f>
        <v>Medium-Low</v>
      </c>
      <c r="AC242" s="35" t="str">
        <f aca="false">IF(NOT(ISNUMBER(X242)),"",IF(X242&lt;=MATCH(AB242,Config!$B$5:$B$9,0),"Within",IF(OR(X242-MATCH(AB242,Config!$B$5:$B$9,0)&gt;=2,AND('Residual Config'!$C$8="Y",ISNUMBER(SEARCH("Zero",AA242)))),"Red","Amber")))</f>
        <v>Within</v>
      </c>
      <c r="AD242" s="12" t="str">
        <f aca="false">IF(AC242="Red","Group CCO / CRO and Country CEO within 2 business days; action plan in 15 days; report to Board Risk &amp; Compliance Committee",IF(AC242="Amber","Country CO, risk owner and HO Administrator within 5 business days; action plan in 30 days",""))</f>
        <v/>
      </c>
    </row>
    <row r="243" customFormat="false" ht="15" hidden="false" customHeight="false" outlineLevel="0" collapsed="false">
      <c r="A243" s="26" t="str">
        <f aca="false">Entities!$A$16</f>
        <v>QA</v>
      </c>
      <c r="B243" s="12" t="str">
        <f aca="false">INDEX(Entities!$B$5:$B$34,MATCH(A243,Entities!$A$5:$A$34,0))</f>
        <v>Arab Bank – Qatar</v>
      </c>
      <c r="C243" s="12" t="str">
        <f aca="false">INDEX(Entities!$D$5:$D$34,MATCH(A243,Entities!$A$5:$A$34,0))</f>
        <v>GCC</v>
      </c>
      <c r="D243" s="12" t="s">
        <v>319</v>
      </c>
      <c r="E243" s="12" t="str">
        <f aca="false">INDEX('Risk Taxonomy'!$B$5:$B$24,MATCH(D243,'Risk Taxonomy'!$A$5:$A$24,0))</f>
        <v>Reputational</v>
      </c>
      <c r="F243" s="29" t="n">
        <f aca="false">IF(NOT(ISNUMBER(G243)),"",G243)</f>
        <v>4</v>
      </c>
      <c r="G243" s="34" t="n">
        <f aca="false">IF(COUNTIFS('LxI Assessment'!$A$5:$A$394,A243,'LxI Assessment'!$D$5:$D$394,D243,'LxI Assessment'!$F$5:$F$394,"N/A")&gt;0,"N/A",IF(COUNTIFS('LxI Assessment'!$A$5:$A$394,A243,'LxI Assessment'!$D$5:$D$394,D243,'LxI Assessment'!$S$5:$S$394,"&gt;0")=0,"",SUMIFS('LxI Assessment'!$S$5:$S$394,'LxI Assessment'!$A$5:$A$394,A243,'LxI Assessment'!$D$5:$D$394,D243)))</f>
        <v>4</v>
      </c>
      <c r="H243" s="7" t="str">
        <f aca="false">IF(G243="N/A","N/A",IF(G243="","No data",INDEX(Config!$B$5:$B$9,G243)))</f>
        <v>Medium-High</v>
      </c>
      <c r="I243" s="31" t="n">
        <f aca="false">IF(NOT(ISNUMBER($G243)),"",SUMPRODUCT(('Control Mapping'!$C$5:$C$83=D243)*('Control Mapping'!$R$5:$R$83&gt;0)))</f>
        <v>2</v>
      </c>
      <c r="J243" s="31" t="n">
        <f aca="false">IF(NOT(ISNUMBER($G243)),"",SUMPRODUCT(('Control Mapping'!$C$5:$C$83=D243)*('Control Mapping'!$F$5:$F$83="Y")*('Control Mapping'!$R$5:$R$83&gt;0)))</f>
        <v>1</v>
      </c>
      <c r="K243" s="31" t="n">
        <f aca="false">IF(NOT(ISNUMBER($G243)),"",SUMPRODUCT(('Control Mapping'!$C$5:$C$83=D243)*('Control Mapping'!$F$5:$F$83="Y")*('Control Mapping'!$R$5:$R$83=4)))</f>
        <v>0</v>
      </c>
      <c r="L243" s="29" t="n">
        <f aca="false">IF(NOT(ISNUMBER($G243)),"",IFERROR(SUMPRODUCT(('Control Mapping'!$C$5:$C$83=D243)*'Control Mapping'!$E$5:$E$83*'Control Mapping'!$R$5:$R$83)/SUMPRODUCT(('Control Mapping'!$C$5:$C$83=D243)*'Control Mapping'!$E$5:$E$83*('Control Mapping'!$R$5:$R$83&gt;0)),""))</f>
        <v>2</v>
      </c>
      <c r="M243" s="34" t="n">
        <f aca="false">IF(NOT(ISNUMBER($G243)),"",IF(J243=0,4,MAX(MATCH(L243,'Residual Config'!$E$11:$E$14,1),IF(K243&gt;0,'Residual Config'!$C$7,1))))</f>
        <v>2</v>
      </c>
      <c r="N243" s="7" t="str">
        <f aca="false">IF(NOT(ISNUMBER($G243)),"",IF(J243=0,"Ineffective (no key control)",INDEX('Residual Config'!$B$11:$B$14,M243)))</f>
        <v>Largely effective</v>
      </c>
      <c r="O243" s="36" t="n">
        <f aca="false">IF(NOT(ISNUMBER($G243)),"",IF(J243=0,0,SUMPRODUCT(('Control Mapping'!$C$5:$C$83=D243)*'Control Mapping'!$E$5:$E$83*(('Control Mapping'!$R$5:$R$83=1)*'Residual Config'!$D$11+('Control Mapping'!$R$5:$R$83=2)*'Residual Config'!$D$12+('Control Mapping'!$R$5:$R$83=3)*'Residual Config'!$D$13+('Control Mapping'!$R$5:$R$83=4)*'Residual Config'!$D$14))/SUMPRODUCT(('Control Mapping'!$C$5:$C$83=D243)*'Control Mapping'!$E$5:$E$83*('Control Mapping'!$R$5:$R$83&gt;0))))</f>
        <v>0.4</v>
      </c>
      <c r="P243" s="31" t="n">
        <f aca="false">IF(NOT(ISNUMBER($G243)),"",INDEX('Residual Config'!$B$19:$E$23,6-G243,M243))</f>
        <v>3</v>
      </c>
      <c r="Q243" s="29" t="n">
        <f aca="false">IF(NOT(ISNUMBER($G243)),"",MAX(1,F243*(1-O243)))</f>
        <v>2.4</v>
      </c>
      <c r="R243" s="31" t="n">
        <f aca="false">IF(NOT(ISNUMBER($G243)),"",MAX(MATCH(Q243,Config!$D$5:$D$9,1),G243-'Residual Config'!$C$6))</f>
        <v>2</v>
      </c>
      <c r="S243" s="34" t="n">
        <f aca="false">IF(NOT(ISNUMBER($G243)),"",IF('Residual Config'!$C$5="Numeric",R243,P243))</f>
        <v>3</v>
      </c>
      <c r="T243" s="7" t="str">
        <f aca="false">IF(G243="N/A","N/A",IF(S243="","No data",INDEX(Config!$B$5:$B$9,S243)))</f>
        <v>Medium</v>
      </c>
      <c r="U243" s="32" t="n">
        <v>0</v>
      </c>
      <c r="V243" s="8"/>
      <c r="W243" s="33"/>
      <c r="X243" s="34" t="n">
        <f aca="false">IF(S243="","",IF(AND(W243="Y",U243&lt;&gt;0),MAX(1,MIN(5,S243+MAX(-Config!$C$27,MIN(Config!$C$27,U243)))),S243))</f>
        <v>3</v>
      </c>
      <c r="Y243" s="35" t="str">
        <f aca="false">IF(G243="N/A","N/A",IF(X243="","No data",INDEX(Config!$B$5:$B$9,X243)))</f>
        <v>Medium</v>
      </c>
      <c r="Z243" s="7" t="str">
        <f aca="false">IF(U243=0,"None",IF(W243="Y","Applied","Pending HO approval"))</f>
        <v>None</v>
      </c>
      <c r="AA243" s="12" t="str">
        <f aca="false">INDEX('Risk Taxonomy'!$G$5:$G$24,MATCH(D243,'Risk Taxonomy'!$A$5:$A$24,0))</f>
        <v>Low</v>
      </c>
      <c r="AB243" s="7" t="str">
        <f aca="false">INDEX('Risk Taxonomy'!$H$5:$H$24,MATCH(D243,'Risk Taxonomy'!$A$5:$A$24,0))</f>
        <v>Medium</v>
      </c>
      <c r="AC243" s="35" t="str">
        <f aca="false">IF(NOT(ISNUMBER(X243)),"",IF(X243&lt;=MATCH(AB243,Config!$B$5:$B$9,0),"Within",IF(OR(X243-MATCH(AB243,Config!$B$5:$B$9,0)&gt;=2,AND('Residual Config'!$C$8="Y",ISNUMBER(SEARCH("Zero",AA243)))),"Red","Amber")))</f>
        <v>Within</v>
      </c>
      <c r="AD243" s="12" t="str">
        <f aca="false">IF(AC243="Red","Group CCO / CRO and Country CEO within 2 business days; action plan in 15 days; report to Board Risk &amp; Compliance Committee",IF(AC243="Amber","Country CO, risk owner and HO Administrator within 5 business days; action plan in 30 days",""))</f>
        <v/>
      </c>
    </row>
    <row r="244" customFormat="false" ht="15" hidden="false" customHeight="false" outlineLevel="0" collapsed="false">
      <c r="A244" s="26" t="str">
        <f aca="false">Entities!$A$16</f>
        <v>QA</v>
      </c>
      <c r="B244" s="12" t="str">
        <f aca="false">INDEX(Entities!$B$5:$B$34,MATCH(A244,Entities!$A$5:$A$34,0))</f>
        <v>Arab Bank – Qatar</v>
      </c>
      <c r="C244" s="12" t="str">
        <f aca="false">INDEX(Entities!$D$5:$D$34,MATCH(A244,Entities!$A$5:$A$34,0))</f>
        <v>GCC</v>
      </c>
      <c r="D244" s="12" t="s">
        <v>322</v>
      </c>
      <c r="E244" s="12" t="str">
        <f aca="false">INDEX('Risk Taxonomy'!$B$5:$B$24,MATCH(D244,'Risk Taxonomy'!$A$5:$A$24,0))</f>
        <v>Strategic, business model and ESG</v>
      </c>
      <c r="F244" s="29" t="n">
        <f aca="false">IF(NOT(ISNUMBER(G244)),"",G244)</f>
        <v>2</v>
      </c>
      <c r="G244" s="34" t="n">
        <f aca="false">IF(COUNTIFS('LxI Assessment'!$A$5:$A$394,A244,'LxI Assessment'!$D$5:$D$394,D244,'LxI Assessment'!$F$5:$F$394,"N/A")&gt;0,"N/A",IF(COUNTIFS('LxI Assessment'!$A$5:$A$394,A244,'LxI Assessment'!$D$5:$D$394,D244,'LxI Assessment'!$S$5:$S$394,"&gt;0")=0,"",SUMIFS('LxI Assessment'!$S$5:$S$394,'LxI Assessment'!$A$5:$A$394,A244,'LxI Assessment'!$D$5:$D$394,D244)))</f>
        <v>2</v>
      </c>
      <c r="H244" s="7" t="str">
        <f aca="false">IF(G244="N/A","N/A",IF(G244="","No data",INDEX(Config!$B$5:$B$9,G244)))</f>
        <v>Medium-Low</v>
      </c>
      <c r="I244" s="31" t="n">
        <f aca="false">IF(NOT(ISNUMBER($G244)),"",SUMPRODUCT(('Control Mapping'!$C$5:$C$83=D244)*('Control Mapping'!$R$5:$R$83&gt;0)))</f>
        <v>1</v>
      </c>
      <c r="J244" s="31" t="n">
        <f aca="false">IF(NOT(ISNUMBER($G244)),"",SUMPRODUCT(('Control Mapping'!$C$5:$C$83=D244)*('Control Mapping'!$F$5:$F$83="Y")*('Control Mapping'!$R$5:$R$83&gt;0)))</f>
        <v>1</v>
      </c>
      <c r="K244" s="31" t="n">
        <f aca="false">IF(NOT(ISNUMBER($G244)),"",SUMPRODUCT(('Control Mapping'!$C$5:$C$83=D244)*('Control Mapping'!$F$5:$F$83="Y")*('Control Mapping'!$R$5:$R$83=4)))</f>
        <v>0</v>
      </c>
      <c r="L244" s="29" t="n">
        <f aca="false">IF(NOT(ISNUMBER($G244)),"",IFERROR(SUMPRODUCT(('Control Mapping'!$C$5:$C$83=D244)*'Control Mapping'!$E$5:$E$83*'Control Mapping'!$R$5:$R$83)/SUMPRODUCT(('Control Mapping'!$C$5:$C$83=D244)*'Control Mapping'!$E$5:$E$83*('Control Mapping'!$R$5:$R$83&gt;0)),""))</f>
        <v>2</v>
      </c>
      <c r="M244" s="34" t="n">
        <f aca="false">IF(NOT(ISNUMBER($G244)),"",IF(J244=0,4,MAX(MATCH(L244,'Residual Config'!$E$11:$E$14,1),IF(K244&gt;0,'Residual Config'!$C$7,1))))</f>
        <v>2</v>
      </c>
      <c r="N244" s="7" t="str">
        <f aca="false">IF(NOT(ISNUMBER($G244)),"",IF(J244=0,"Ineffective (no key control)",INDEX('Residual Config'!$B$11:$B$14,M244)))</f>
        <v>Largely effective</v>
      </c>
      <c r="O244" s="36" t="n">
        <f aca="false">IF(NOT(ISNUMBER($G244)),"",IF(J244=0,0,SUMPRODUCT(('Control Mapping'!$C$5:$C$83=D244)*'Control Mapping'!$E$5:$E$83*(('Control Mapping'!$R$5:$R$83=1)*'Residual Config'!$D$11+('Control Mapping'!$R$5:$R$83=2)*'Residual Config'!$D$12+('Control Mapping'!$R$5:$R$83=3)*'Residual Config'!$D$13+('Control Mapping'!$R$5:$R$83=4)*'Residual Config'!$D$14))/SUMPRODUCT(('Control Mapping'!$C$5:$C$83=D244)*'Control Mapping'!$E$5:$E$83*('Control Mapping'!$R$5:$R$83&gt;0))))</f>
        <v>0.4</v>
      </c>
      <c r="P244" s="31" t="n">
        <f aca="false">IF(NOT(ISNUMBER($G244)),"",INDEX('Residual Config'!$B$19:$E$23,6-G244,M244))</f>
        <v>1</v>
      </c>
      <c r="Q244" s="29" t="n">
        <f aca="false">IF(NOT(ISNUMBER($G244)),"",MAX(1,F244*(1-O244)))</f>
        <v>1.2</v>
      </c>
      <c r="R244" s="31" t="n">
        <f aca="false">IF(NOT(ISNUMBER($G244)),"",MAX(MATCH(Q244,Config!$D$5:$D$9,1),G244-'Residual Config'!$C$6))</f>
        <v>1</v>
      </c>
      <c r="S244" s="34" t="n">
        <f aca="false">IF(NOT(ISNUMBER($G244)),"",IF('Residual Config'!$C$5="Numeric",R244,P244))</f>
        <v>1</v>
      </c>
      <c r="T244" s="7" t="str">
        <f aca="false">IF(G244="N/A","N/A",IF(S244="","No data",INDEX(Config!$B$5:$B$9,S244)))</f>
        <v>Low</v>
      </c>
      <c r="U244" s="32" t="n">
        <v>0</v>
      </c>
      <c r="V244" s="8"/>
      <c r="W244" s="33"/>
      <c r="X244" s="34" t="n">
        <f aca="false">IF(S244="","",IF(AND(W244="Y",U244&lt;&gt;0),MAX(1,MIN(5,S244+MAX(-Config!$C$27,MIN(Config!$C$27,U244)))),S244))</f>
        <v>1</v>
      </c>
      <c r="Y244" s="35" t="str">
        <f aca="false">IF(G244="N/A","N/A",IF(X244="","No data",INDEX(Config!$B$5:$B$9,X244)))</f>
        <v>Low</v>
      </c>
      <c r="Z244" s="7" t="str">
        <f aca="false">IF(U244=0,"None",IF(W244="Y","Applied","Pending HO approval"))</f>
        <v>None</v>
      </c>
      <c r="AA244" s="12" t="str">
        <f aca="false">INDEX('Risk Taxonomy'!$G$5:$G$24,MATCH(D244,'Risk Taxonomy'!$A$5:$A$24,0))</f>
        <v>Moderate</v>
      </c>
      <c r="AB244" s="7" t="str">
        <f aca="false">INDEX('Risk Taxonomy'!$H$5:$H$24,MATCH(D244,'Risk Taxonomy'!$A$5:$A$24,0))</f>
        <v>Medium-High</v>
      </c>
      <c r="AC244" s="35" t="str">
        <f aca="false">IF(NOT(ISNUMBER(X244)),"",IF(X244&lt;=MATCH(AB244,Config!$B$5:$B$9,0),"Within",IF(OR(X244-MATCH(AB244,Config!$B$5:$B$9,0)&gt;=2,AND('Residual Config'!$C$8="Y",ISNUMBER(SEARCH("Zero",AA244)))),"Red","Amber")))</f>
        <v>Within</v>
      </c>
      <c r="AD244" s="12" t="str">
        <f aca="false">IF(AC244="Red","Group CCO / CRO and Country CEO within 2 business days; action plan in 15 days; report to Board Risk &amp; Compliance Committee",IF(AC244="Amber","Country CO, risk owner and HO Administrator within 5 business days; action plan in 30 days",""))</f>
        <v/>
      </c>
    </row>
    <row r="245" customFormat="false" ht="15" hidden="false" customHeight="false" outlineLevel="0" collapsed="false">
      <c r="A245" s="26" t="str">
        <f aca="false">Entities!$A$17</f>
        <v>SA</v>
      </c>
      <c r="B245" s="12" t="str">
        <f aca="false">INDEX(Entities!$B$5:$B$34,MATCH(A245,Entities!$A$5:$A$34,0))</f>
        <v>Arab National Bank (affiliate)</v>
      </c>
      <c r="C245" s="12" t="str">
        <f aca="false">INDEX(Entities!$D$5:$D$34,MATCH(A245,Entities!$A$5:$A$34,0))</f>
        <v>GCC</v>
      </c>
      <c r="D245" s="12" t="s">
        <v>260</v>
      </c>
      <c r="E245" s="12" t="str">
        <f aca="false">INDEX('Risk Taxonomy'!$B$5:$B$24,MATCH(D245,'Risk Taxonomy'!$A$5:$A$24,0))</f>
        <v>Money laundering</v>
      </c>
      <c r="F245" s="29" t="n">
        <f aca="false">IF(NOT(ISNUMBER(G245)),"",IFERROR(IF(MATCH(SUMIFS('FC Calculation'!$N$5:$N$214,'FC Calculation'!$A$5:$A$214,A245,'FC Calculation'!$D$5:$D$214,D245),Config!$D$5:$D$9,1)=G245,SUMIFS('FC Calculation'!$N$5:$N$214,'FC Calculation'!$A$5:$A$214,A245,'FC Calculation'!$D$5:$D$214,D245),G245),G245))</f>
        <v>2.78</v>
      </c>
      <c r="G245" s="34" t="n">
        <f aca="false">IF(COUNTIFS('FC Calculation'!$A$5:$A$214,A245,'FC Calculation'!$D$5:$D$214,D245,'FC Calculation'!$T$5:$T$214,"&gt;0")=0,"",SUMIFS('FC Calculation'!$T$5:$T$214,'FC Calculation'!$A$5:$A$214,A245,'FC Calculation'!$D$5:$D$214,D245))</f>
        <v>3</v>
      </c>
      <c r="H245" s="7" t="str">
        <f aca="false">IF(G245="N/A","N/A",IF(G245="","No data",INDEX(Config!$B$5:$B$9,G245)))</f>
        <v>Medium</v>
      </c>
      <c r="I245" s="31" t="n">
        <f aca="false">IF(NOT(ISNUMBER($G245)),"",SUMPRODUCT(('Control Mapping'!$C$5:$C$83=D245)*('Control Mapping'!$S$5:$S$83&gt;0)))</f>
        <v>12</v>
      </c>
      <c r="J245" s="31" t="n">
        <f aca="false">IF(NOT(ISNUMBER($G245)),"",SUMPRODUCT(('Control Mapping'!$C$5:$C$83=D245)*('Control Mapping'!$F$5:$F$83="Y")*('Control Mapping'!$S$5:$S$83&gt;0)))</f>
        <v>9</v>
      </c>
      <c r="K245" s="31" t="n">
        <f aca="false">IF(NOT(ISNUMBER($G245)),"",SUMPRODUCT(('Control Mapping'!$C$5:$C$83=D245)*('Control Mapping'!$F$5:$F$83="Y")*('Control Mapping'!$S$5:$S$83=4)))</f>
        <v>0</v>
      </c>
      <c r="L245" s="29" t="n">
        <f aca="false">IF(NOT(ISNUMBER($G245)),"",IFERROR(SUMPRODUCT(('Control Mapping'!$C$5:$C$83=D245)*'Control Mapping'!$E$5:$E$83*'Control Mapping'!$S$5:$S$83)/SUMPRODUCT(('Control Mapping'!$C$5:$C$83=D245)*'Control Mapping'!$E$5:$E$83*('Control Mapping'!$S$5:$S$83&gt;0)),""))</f>
        <v>2.04347826086957</v>
      </c>
      <c r="M245" s="34" t="n">
        <f aca="false">IF(NOT(ISNUMBER($G245)),"",IF(J245=0,4,MAX(MATCH(L245,'Residual Config'!$E$11:$E$14,1),IF(K245&gt;0,'Residual Config'!$C$7,1))))</f>
        <v>2</v>
      </c>
      <c r="N245" s="7" t="str">
        <f aca="false">IF(NOT(ISNUMBER($G245)),"",IF(J245=0,"Ineffective (no key control)",INDEX('Residual Config'!$B$11:$B$14,M245)))</f>
        <v>Largely effective</v>
      </c>
      <c r="O245" s="36" t="n">
        <f aca="false">IF(NOT(ISNUMBER($G245)),"",IF(J245=0,0,SUMPRODUCT(('Control Mapping'!$C$5:$C$83=D245)*'Control Mapping'!$E$5:$E$83*(('Control Mapping'!$S$5:$S$83=1)*'Residual Config'!$D$11+('Control Mapping'!$S$5:$S$83=2)*'Residual Config'!$D$12+('Control Mapping'!$S$5:$S$83=3)*'Residual Config'!$D$13+('Control Mapping'!$S$5:$S$83=4)*'Residual Config'!$D$14))/SUMPRODUCT(('Control Mapping'!$C$5:$C$83=D245)*'Control Mapping'!$E$5:$E$83*('Control Mapping'!$S$5:$S$83&gt;0))))</f>
        <v>0.391304347826087</v>
      </c>
      <c r="P245" s="31" t="n">
        <f aca="false">IF(NOT(ISNUMBER($G245)),"",INDEX('Residual Config'!$B$19:$E$23,6-G245,M245))</f>
        <v>2</v>
      </c>
      <c r="Q245" s="29" t="n">
        <f aca="false">IF(NOT(ISNUMBER($G245)),"",MAX(1,F245*(1-O245)))</f>
        <v>1.69217391304348</v>
      </c>
      <c r="R245" s="31" t="n">
        <f aca="false">IF(NOT(ISNUMBER($G245)),"",MAX(MATCH(Q245,Config!$D$5:$D$9,1),G245-'Residual Config'!$C$6))</f>
        <v>1</v>
      </c>
      <c r="S245" s="34" t="n">
        <f aca="false">IF(NOT(ISNUMBER($G245)),"",IF('Residual Config'!$C$5="Numeric",R245,P245))</f>
        <v>2</v>
      </c>
      <c r="T245" s="7" t="str">
        <f aca="false">IF(G245="N/A","N/A",IF(S245="","No data",INDEX(Config!$B$5:$B$9,S245)))</f>
        <v>Medium-Low</v>
      </c>
      <c r="U245" s="32" t="n">
        <v>0</v>
      </c>
      <c r="V245" s="8"/>
      <c r="W245" s="33"/>
      <c r="X245" s="34" t="n">
        <f aca="false">IF(S245="","",IF(AND(W245="Y",U245&lt;&gt;0),MAX(1,MIN(5,S245+MAX(-Config!$C$27,MIN(Config!$C$27,U245)))),S245))</f>
        <v>2</v>
      </c>
      <c r="Y245" s="35" t="str">
        <f aca="false">IF(G245="N/A","N/A",IF(X245="","No data",INDEX(Config!$B$5:$B$9,X245)))</f>
        <v>Medium-Low</v>
      </c>
      <c r="Z245" s="7" t="str">
        <f aca="false">IF(U245=0,"None",IF(W245="Y","Applied","Pending HO approval"))</f>
        <v>None</v>
      </c>
      <c r="AA245" s="12" t="str">
        <f aca="false">INDEX('Risk Taxonomy'!$G$5:$G$24,MATCH(D245,'Risk Taxonomy'!$A$5:$A$24,0))</f>
        <v>Very low</v>
      </c>
      <c r="AB245" s="7" t="str">
        <f aca="false">INDEX('Risk Taxonomy'!$H$5:$H$24,MATCH(D245,'Risk Taxonomy'!$A$5:$A$24,0))</f>
        <v>Medium-Low</v>
      </c>
      <c r="AC245" s="35" t="str">
        <f aca="false">IF(NOT(ISNUMBER(X245)),"",IF(X245&lt;=MATCH(AB245,Config!$B$5:$B$9,0),"Within",IF(OR(X245-MATCH(AB245,Config!$B$5:$B$9,0)&gt;=2,AND('Residual Config'!$C$8="Y",ISNUMBER(SEARCH("Zero",AA245)))),"Red","Amber")))</f>
        <v>Within</v>
      </c>
      <c r="AD245" s="12" t="str">
        <f aca="false">IF(AC245="Red","Group CCO / CRO and Country CEO within 2 business days; action plan in 15 days; report to Board Risk &amp; Compliance Committee",IF(AC245="Amber","Country CO, risk owner and HO Administrator within 5 business days; action plan in 30 days",""))</f>
        <v/>
      </c>
    </row>
    <row r="246" customFormat="false" ht="15" hidden="false" customHeight="false" outlineLevel="0" collapsed="false">
      <c r="A246" s="26" t="str">
        <f aca="false">Entities!$A$17</f>
        <v>SA</v>
      </c>
      <c r="B246" s="12" t="str">
        <f aca="false">INDEX(Entities!$B$5:$B$34,MATCH(A246,Entities!$A$5:$A$34,0))</f>
        <v>Arab National Bank (affiliate)</v>
      </c>
      <c r="C246" s="12" t="str">
        <f aca="false">INDEX(Entities!$D$5:$D$34,MATCH(A246,Entities!$A$5:$A$34,0))</f>
        <v>GCC</v>
      </c>
      <c r="D246" s="12" t="s">
        <v>267</v>
      </c>
      <c r="E246" s="12" t="str">
        <f aca="false">INDEX('Risk Taxonomy'!$B$5:$B$24,MATCH(D246,'Risk Taxonomy'!$A$5:$A$24,0))</f>
        <v>Terrorist financing</v>
      </c>
      <c r="F246" s="29" t="n">
        <f aca="false">IF(NOT(ISNUMBER(G246)),"",IFERROR(IF(MATCH(SUMIFS('FC Calculation'!$N$5:$N$214,'FC Calculation'!$A$5:$A$214,A246,'FC Calculation'!$D$5:$D$214,D246),Config!$D$5:$D$9,1)=G246,SUMIFS('FC Calculation'!$N$5:$N$214,'FC Calculation'!$A$5:$A$214,A246,'FC Calculation'!$D$5:$D$214,D246),G246),G246))</f>
        <v>2.81071428571429</v>
      </c>
      <c r="G246" s="34" t="n">
        <f aca="false">IF(COUNTIFS('FC Calculation'!$A$5:$A$214,A246,'FC Calculation'!$D$5:$D$214,D246,'FC Calculation'!$T$5:$T$214,"&gt;0")=0,"",SUMIFS('FC Calculation'!$T$5:$T$214,'FC Calculation'!$A$5:$A$214,A246,'FC Calculation'!$D$5:$D$214,D246))</f>
        <v>3</v>
      </c>
      <c r="H246" s="7" t="str">
        <f aca="false">IF(G246="N/A","N/A",IF(G246="","No data",INDEX(Config!$B$5:$B$9,G246)))</f>
        <v>Medium</v>
      </c>
      <c r="I246" s="31" t="n">
        <f aca="false">IF(NOT(ISNUMBER($G246)),"",SUMPRODUCT(('Control Mapping'!$C$5:$C$83=D246)*('Control Mapping'!$S$5:$S$83&gt;0)))</f>
        <v>12</v>
      </c>
      <c r="J246" s="31" t="n">
        <f aca="false">IF(NOT(ISNUMBER($G246)),"",SUMPRODUCT(('Control Mapping'!$C$5:$C$83=D246)*('Control Mapping'!$F$5:$F$83="Y")*('Control Mapping'!$S$5:$S$83&gt;0)))</f>
        <v>9</v>
      </c>
      <c r="K246" s="31" t="n">
        <f aca="false">IF(NOT(ISNUMBER($G246)),"",SUMPRODUCT(('Control Mapping'!$C$5:$C$83=D246)*('Control Mapping'!$F$5:$F$83="Y")*('Control Mapping'!$S$5:$S$83=4)))</f>
        <v>1</v>
      </c>
      <c r="L246" s="29" t="n">
        <f aca="false">IF(NOT(ISNUMBER($G246)),"",IFERROR(SUMPRODUCT(('Control Mapping'!$C$5:$C$83=D246)*'Control Mapping'!$E$5:$E$83*'Control Mapping'!$S$5:$S$83)/SUMPRODUCT(('Control Mapping'!$C$5:$C$83=D246)*'Control Mapping'!$E$5:$E$83*('Control Mapping'!$S$5:$S$83&gt;0)),""))</f>
        <v>2.05263157894737</v>
      </c>
      <c r="M246" s="34" t="n">
        <f aca="false">IF(NOT(ISNUMBER($G246)),"",IF(J246=0,4,MAX(MATCH(L246,'Residual Config'!$E$11:$E$14,1),IF(K246&gt;0,'Residual Config'!$C$7,1))))</f>
        <v>3</v>
      </c>
      <c r="N246" s="7" t="str">
        <f aca="false">IF(NOT(ISNUMBER($G246)),"",IF(J246=0,"Ineffective (no key control)",INDEX('Residual Config'!$B$11:$B$14,M246)))</f>
        <v>Partially effective</v>
      </c>
      <c r="O246" s="36" t="n">
        <f aca="false">IF(NOT(ISNUMBER($G246)),"",IF(J246=0,0,SUMPRODUCT(('Control Mapping'!$C$5:$C$83=D246)*'Control Mapping'!$E$5:$E$83*(('Control Mapping'!$S$5:$S$83=1)*'Residual Config'!$D$11+('Control Mapping'!$S$5:$S$83=2)*'Residual Config'!$D$12+('Control Mapping'!$S$5:$S$83=3)*'Residual Config'!$D$13+('Control Mapping'!$S$5:$S$83=4)*'Residual Config'!$D$14))/SUMPRODUCT(('Control Mapping'!$C$5:$C$83=D246)*'Control Mapping'!$E$5:$E$83*('Control Mapping'!$S$5:$S$83&gt;0))))</f>
        <v>0.389473684210526</v>
      </c>
      <c r="P246" s="31" t="n">
        <f aca="false">IF(NOT(ISNUMBER($G246)),"",INDEX('Residual Config'!$B$19:$E$23,6-G246,M246))</f>
        <v>3</v>
      </c>
      <c r="Q246" s="29" t="n">
        <f aca="false">IF(NOT(ISNUMBER($G246)),"",MAX(1,F246*(1-O246)))</f>
        <v>1.71601503759398</v>
      </c>
      <c r="R246" s="31" t="n">
        <f aca="false">IF(NOT(ISNUMBER($G246)),"",MAX(MATCH(Q246,Config!$D$5:$D$9,1),G246-'Residual Config'!$C$6))</f>
        <v>1</v>
      </c>
      <c r="S246" s="34" t="n">
        <f aca="false">IF(NOT(ISNUMBER($G246)),"",IF('Residual Config'!$C$5="Numeric",R246,P246))</f>
        <v>3</v>
      </c>
      <c r="T246" s="7" t="str">
        <f aca="false">IF(G246="N/A","N/A",IF(S246="","No data",INDEX(Config!$B$5:$B$9,S246)))</f>
        <v>Medium</v>
      </c>
      <c r="U246" s="32" t="n">
        <v>0</v>
      </c>
      <c r="V246" s="8"/>
      <c r="W246" s="33"/>
      <c r="X246" s="34" t="n">
        <f aca="false">IF(S246="","",IF(AND(W246="Y",U246&lt;&gt;0),MAX(1,MIN(5,S246+MAX(-Config!$C$27,MIN(Config!$C$27,U246)))),S246))</f>
        <v>3</v>
      </c>
      <c r="Y246" s="35" t="str">
        <f aca="false">IF(G246="N/A","N/A",IF(X246="","No data",INDEX(Config!$B$5:$B$9,X246)))</f>
        <v>Medium</v>
      </c>
      <c r="Z246" s="7" t="str">
        <f aca="false">IF(U246=0,"None",IF(W246="Y","Applied","Pending HO approval"))</f>
        <v>None</v>
      </c>
      <c r="AA246" s="12" t="str">
        <f aca="false">INDEX('Risk Taxonomy'!$G$5:$G$24,MATCH(D246,'Risk Taxonomy'!$A$5:$A$24,0))</f>
        <v>Zero tolerance</v>
      </c>
      <c r="AB246" s="7" t="str">
        <f aca="false">INDEX('Risk Taxonomy'!$H$5:$H$24,MATCH(D246,'Risk Taxonomy'!$A$5:$A$24,0))</f>
        <v>Low</v>
      </c>
      <c r="AC246" s="35" t="str">
        <f aca="false">IF(NOT(ISNUMBER(X246)),"",IF(X246&lt;=MATCH(AB246,Config!$B$5:$B$9,0),"Within",IF(OR(X246-MATCH(AB246,Config!$B$5:$B$9,0)&gt;=2,AND('Residual Config'!$C$8="Y",ISNUMBER(SEARCH("Zero",AA246)))),"Red","Amber")))</f>
        <v>Red</v>
      </c>
      <c r="AD246" s="12" t="str">
        <f aca="false">IF(AC246="Red","Group CCO / CRO and Country CEO within 2 business days; action plan in 15 days; report to Board Risk &amp; Compliance Committee",IF(AC246="Amber","Country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247" customFormat="false" ht="15" hidden="false" customHeight="false" outlineLevel="0" collapsed="false">
      <c r="A247" s="26" t="str">
        <f aca="false">Entities!$A$17</f>
        <v>SA</v>
      </c>
      <c r="B247" s="12" t="str">
        <f aca="false">INDEX(Entities!$B$5:$B$34,MATCH(A247,Entities!$A$5:$A$34,0))</f>
        <v>Arab National Bank (affiliate)</v>
      </c>
      <c r="C247" s="12" t="str">
        <f aca="false">INDEX(Entities!$D$5:$D$34,MATCH(A247,Entities!$A$5:$A$34,0))</f>
        <v>GCC</v>
      </c>
      <c r="D247" s="12" t="s">
        <v>270</v>
      </c>
      <c r="E247" s="12" t="str">
        <f aca="false">INDEX('Risk Taxonomy'!$B$5:$B$24,MATCH(D247,'Risk Taxonomy'!$A$5:$A$24,0))</f>
        <v>Proliferation financing</v>
      </c>
      <c r="F247" s="29" t="n">
        <f aca="false">IF(NOT(ISNUMBER(G247)),"",IFERROR(IF(MATCH(SUMIFS('FC Calculation'!$N$5:$N$214,'FC Calculation'!$A$5:$A$214,A247,'FC Calculation'!$D$5:$D$214,D247),Config!$D$5:$D$9,1)=G247,SUMIFS('FC Calculation'!$N$5:$N$214,'FC Calculation'!$A$5:$A$214,A247,'FC Calculation'!$D$5:$D$214,D247),G247),G247))</f>
        <v>3.09583333333333</v>
      </c>
      <c r="G247" s="34" t="n">
        <f aca="false">IF(COUNTIFS('FC Calculation'!$A$5:$A$214,A247,'FC Calculation'!$D$5:$D$214,D247,'FC Calculation'!$T$5:$T$214,"&gt;0")=0,"",SUMIFS('FC Calculation'!$T$5:$T$214,'FC Calculation'!$A$5:$A$214,A247,'FC Calculation'!$D$5:$D$214,D247))</f>
        <v>3</v>
      </c>
      <c r="H247" s="7" t="str">
        <f aca="false">IF(G247="N/A","N/A",IF(G247="","No data",INDEX(Config!$B$5:$B$9,G247)))</f>
        <v>Medium</v>
      </c>
      <c r="I247" s="31" t="n">
        <f aca="false">IF(NOT(ISNUMBER($G247)),"",SUMPRODUCT(('Control Mapping'!$C$5:$C$83=D247)*('Control Mapping'!$S$5:$S$83&gt;0)))</f>
        <v>5</v>
      </c>
      <c r="J247" s="31" t="n">
        <f aca="false">IF(NOT(ISNUMBER($G247)),"",SUMPRODUCT(('Control Mapping'!$C$5:$C$83=D247)*('Control Mapping'!$F$5:$F$83="Y")*('Control Mapping'!$S$5:$S$83&gt;0)))</f>
        <v>5</v>
      </c>
      <c r="K247" s="31" t="n">
        <f aca="false">IF(NOT(ISNUMBER($G247)),"",SUMPRODUCT(('Control Mapping'!$C$5:$C$83=D247)*('Control Mapping'!$F$5:$F$83="Y")*('Control Mapping'!$S$5:$S$83=4)))</f>
        <v>1</v>
      </c>
      <c r="L247" s="29" t="n">
        <f aca="false">IF(NOT(ISNUMBER($G247)),"",IFERROR(SUMPRODUCT(('Control Mapping'!$C$5:$C$83=D247)*'Control Mapping'!$E$5:$E$83*'Control Mapping'!$S$5:$S$83)/SUMPRODUCT(('Control Mapping'!$C$5:$C$83=D247)*'Control Mapping'!$E$5:$E$83*('Control Mapping'!$S$5:$S$83&gt;0)),""))</f>
        <v>2.1</v>
      </c>
      <c r="M247" s="34" t="n">
        <f aca="false">IF(NOT(ISNUMBER($G247)),"",IF(J247=0,4,MAX(MATCH(L247,'Residual Config'!$E$11:$E$14,1),IF(K247&gt;0,'Residual Config'!$C$7,1))))</f>
        <v>3</v>
      </c>
      <c r="N247" s="7" t="str">
        <f aca="false">IF(NOT(ISNUMBER($G247)),"",IF(J247=0,"Ineffective (no key control)",INDEX('Residual Config'!$B$11:$B$14,M247)))</f>
        <v>Partially effective</v>
      </c>
      <c r="O247" s="36" t="n">
        <f aca="false">IF(NOT(ISNUMBER($G247)),"",IF(J247=0,0,SUMPRODUCT(('Control Mapping'!$C$5:$C$83=D247)*'Control Mapping'!$E$5:$E$83*(('Control Mapping'!$S$5:$S$83=1)*'Residual Config'!$D$11+('Control Mapping'!$S$5:$S$83=2)*'Residual Config'!$D$12+('Control Mapping'!$S$5:$S$83=3)*'Residual Config'!$D$13+('Control Mapping'!$S$5:$S$83=4)*'Residual Config'!$D$14))/SUMPRODUCT(('Control Mapping'!$C$5:$C$83=D247)*'Control Mapping'!$E$5:$E$83*('Control Mapping'!$S$5:$S$83&gt;0))))</f>
        <v>0.38</v>
      </c>
      <c r="P247" s="31" t="n">
        <f aca="false">IF(NOT(ISNUMBER($G247)),"",INDEX('Residual Config'!$B$19:$E$23,6-G247,M247))</f>
        <v>3</v>
      </c>
      <c r="Q247" s="29" t="n">
        <f aca="false">IF(NOT(ISNUMBER($G247)),"",MAX(1,F247*(1-O247)))</f>
        <v>1.91941666666667</v>
      </c>
      <c r="R247" s="31" t="n">
        <f aca="false">IF(NOT(ISNUMBER($G247)),"",MAX(MATCH(Q247,Config!$D$5:$D$9,1),G247-'Residual Config'!$C$6))</f>
        <v>2</v>
      </c>
      <c r="S247" s="34" t="n">
        <f aca="false">IF(NOT(ISNUMBER($G247)),"",IF('Residual Config'!$C$5="Numeric",R247,P247))</f>
        <v>3</v>
      </c>
      <c r="T247" s="7" t="str">
        <f aca="false">IF(G247="N/A","N/A",IF(S247="","No data",INDEX(Config!$B$5:$B$9,S247)))</f>
        <v>Medium</v>
      </c>
      <c r="U247" s="32" t="n">
        <v>0</v>
      </c>
      <c r="V247" s="8"/>
      <c r="W247" s="33"/>
      <c r="X247" s="34" t="n">
        <f aca="false">IF(S247="","",IF(AND(W247="Y",U247&lt;&gt;0),MAX(1,MIN(5,S247+MAX(-Config!$C$27,MIN(Config!$C$27,U247)))),S247))</f>
        <v>3</v>
      </c>
      <c r="Y247" s="35" t="str">
        <f aca="false">IF(G247="N/A","N/A",IF(X247="","No data",INDEX(Config!$B$5:$B$9,X247)))</f>
        <v>Medium</v>
      </c>
      <c r="Z247" s="7" t="str">
        <f aca="false">IF(U247=0,"None",IF(W247="Y","Applied","Pending HO approval"))</f>
        <v>None</v>
      </c>
      <c r="AA247" s="12" t="str">
        <f aca="false">INDEX('Risk Taxonomy'!$G$5:$G$24,MATCH(D247,'Risk Taxonomy'!$A$5:$A$24,0))</f>
        <v>Zero tolerance</v>
      </c>
      <c r="AB247" s="7" t="str">
        <f aca="false">INDEX('Risk Taxonomy'!$H$5:$H$24,MATCH(D247,'Risk Taxonomy'!$A$5:$A$24,0))</f>
        <v>Low</v>
      </c>
      <c r="AC247" s="35" t="str">
        <f aca="false">IF(NOT(ISNUMBER(X247)),"",IF(X247&lt;=MATCH(AB247,Config!$B$5:$B$9,0),"Within",IF(OR(X247-MATCH(AB247,Config!$B$5:$B$9,0)&gt;=2,AND('Residual Config'!$C$8="Y",ISNUMBER(SEARCH("Zero",AA247)))),"Red","Amber")))</f>
        <v>Red</v>
      </c>
      <c r="AD247" s="12" t="str">
        <f aca="false">IF(AC247="Red","Group CCO / CRO and Country CEO within 2 business days; action plan in 15 days; report to Board Risk &amp; Compliance Committee",IF(AC247="Amber","Country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248" customFormat="false" ht="15" hidden="false" customHeight="false" outlineLevel="0" collapsed="false">
      <c r="A248" s="26" t="str">
        <f aca="false">Entities!$A$17</f>
        <v>SA</v>
      </c>
      <c r="B248" s="12" t="str">
        <f aca="false">INDEX(Entities!$B$5:$B$34,MATCH(A248,Entities!$A$5:$A$34,0))</f>
        <v>Arab National Bank (affiliate)</v>
      </c>
      <c r="C248" s="12" t="str">
        <f aca="false">INDEX(Entities!$D$5:$D$34,MATCH(A248,Entities!$A$5:$A$34,0))</f>
        <v>GCC</v>
      </c>
      <c r="D248" s="12" t="s">
        <v>272</v>
      </c>
      <c r="E248" s="12" t="str">
        <f aca="false">INDEX('Risk Taxonomy'!$B$5:$B$24,MATCH(D248,'Risk Taxonomy'!$A$5:$A$24,0))</f>
        <v>Sanctions</v>
      </c>
      <c r="F248" s="29" t="n">
        <f aca="false">IF(NOT(ISNUMBER(G248)),"",IFERROR(IF(MATCH(SUMIFS('FC Calculation'!$N$5:$N$214,'FC Calculation'!$A$5:$A$214,A248,'FC Calculation'!$D$5:$D$214,D248),Config!$D$5:$D$9,1)=G248,SUMIFS('FC Calculation'!$N$5:$N$214,'FC Calculation'!$A$5:$A$214,A248,'FC Calculation'!$D$5:$D$214,D248),G248),G248))</f>
        <v>2.99285714285714</v>
      </c>
      <c r="G248" s="34" t="n">
        <f aca="false">IF(COUNTIFS('FC Calculation'!$A$5:$A$214,A248,'FC Calculation'!$D$5:$D$214,D248,'FC Calculation'!$T$5:$T$214,"&gt;0")=0,"",SUMIFS('FC Calculation'!$T$5:$T$214,'FC Calculation'!$A$5:$A$214,A248,'FC Calculation'!$D$5:$D$214,D248))</f>
        <v>3</v>
      </c>
      <c r="H248" s="7" t="str">
        <f aca="false">IF(G248="N/A","N/A",IF(G248="","No data",INDEX(Config!$B$5:$B$9,G248)))</f>
        <v>Medium</v>
      </c>
      <c r="I248" s="31" t="n">
        <f aca="false">IF(NOT(ISNUMBER($G248)),"",SUMPRODUCT(('Control Mapping'!$C$5:$C$83=D248)*('Control Mapping'!$S$5:$S$83&gt;0)))</f>
        <v>8</v>
      </c>
      <c r="J248" s="31" t="n">
        <f aca="false">IF(NOT(ISNUMBER($G248)),"",SUMPRODUCT(('Control Mapping'!$C$5:$C$83=D248)*('Control Mapping'!$F$5:$F$83="Y")*('Control Mapping'!$S$5:$S$83&gt;0)))</f>
        <v>5</v>
      </c>
      <c r="K248" s="31" t="n">
        <f aca="false">IF(NOT(ISNUMBER($G248)),"",SUMPRODUCT(('Control Mapping'!$C$5:$C$83=D248)*('Control Mapping'!$F$5:$F$83="Y")*('Control Mapping'!$S$5:$S$83=4)))</f>
        <v>1</v>
      </c>
      <c r="L248" s="29" t="n">
        <f aca="false">IF(NOT(ISNUMBER($G248)),"",IFERROR(SUMPRODUCT(('Control Mapping'!$C$5:$C$83=D248)*'Control Mapping'!$E$5:$E$83*'Control Mapping'!$S$5:$S$83)/SUMPRODUCT(('Control Mapping'!$C$5:$C$83=D248)*'Control Mapping'!$E$5:$E$83*('Control Mapping'!$S$5:$S$83&gt;0)),""))</f>
        <v>2.45454545454545</v>
      </c>
      <c r="M248" s="34" t="n">
        <f aca="false">IF(NOT(ISNUMBER($G248)),"",IF(J248=0,4,MAX(MATCH(L248,'Residual Config'!$E$11:$E$14,1),IF(K248&gt;0,'Residual Config'!$C$7,1))))</f>
        <v>3</v>
      </c>
      <c r="N248" s="7" t="str">
        <f aca="false">IF(NOT(ISNUMBER($G248)),"",IF(J248=0,"Ineffective (no key control)",INDEX('Residual Config'!$B$11:$B$14,M248)))</f>
        <v>Partially effective</v>
      </c>
      <c r="O248" s="36" t="n">
        <f aca="false">IF(NOT(ISNUMBER($G248)),"",IF(J248=0,0,SUMPRODUCT(('Control Mapping'!$C$5:$C$83=D248)*'Control Mapping'!$E$5:$E$83*(('Control Mapping'!$S$5:$S$83=1)*'Residual Config'!$D$11+('Control Mapping'!$S$5:$S$83=2)*'Residual Config'!$D$12+('Control Mapping'!$S$5:$S$83=3)*'Residual Config'!$D$13+('Control Mapping'!$S$5:$S$83=4)*'Residual Config'!$D$14))/SUMPRODUCT(('Control Mapping'!$C$5:$C$83=D248)*'Control Mapping'!$E$5:$E$83*('Control Mapping'!$S$5:$S$83&gt;0))))</f>
        <v>0.309090909090909</v>
      </c>
      <c r="P248" s="31" t="n">
        <f aca="false">IF(NOT(ISNUMBER($G248)),"",INDEX('Residual Config'!$B$19:$E$23,6-G248,M248))</f>
        <v>3</v>
      </c>
      <c r="Q248" s="29" t="n">
        <f aca="false">IF(NOT(ISNUMBER($G248)),"",MAX(1,F248*(1-O248)))</f>
        <v>2.06779220779221</v>
      </c>
      <c r="R248" s="31" t="n">
        <f aca="false">IF(NOT(ISNUMBER($G248)),"",MAX(MATCH(Q248,Config!$D$5:$D$9,1),G248-'Residual Config'!$C$6))</f>
        <v>2</v>
      </c>
      <c r="S248" s="34" t="n">
        <f aca="false">IF(NOT(ISNUMBER($G248)),"",IF('Residual Config'!$C$5="Numeric",R248,P248))</f>
        <v>3</v>
      </c>
      <c r="T248" s="7" t="str">
        <f aca="false">IF(G248="N/A","N/A",IF(S248="","No data",INDEX(Config!$B$5:$B$9,S248)))</f>
        <v>Medium</v>
      </c>
      <c r="U248" s="32" t="n">
        <v>0</v>
      </c>
      <c r="V248" s="8"/>
      <c r="W248" s="33"/>
      <c r="X248" s="34" t="n">
        <f aca="false">IF(S248="","",IF(AND(W248="Y",U248&lt;&gt;0),MAX(1,MIN(5,S248+MAX(-Config!$C$27,MIN(Config!$C$27,U248)))),S248))</f>
        <v>3</v>
      </c>
      <c r="Y248" s="35" t="str">
        <f aca="false">IF(G248="N/A","N/A",IF(X248="","No data",INDEX(Config!$B$5:$B$9,X248)))</f>
        <v>Medium</v>
      </c>
      <c r="Z248" s="7" t="str">
        <f aca="false">IF(U248=0,"None",IF(W248="Y","Applied","Pending HO approval"))</f>
        <v>None</v>
      </c>
      <c r="AA248" s="12" t="str">
        <f aca="false">INDEX('Risk Taxonomy'!$G$5:$G$24,MATCH(D248,'Risk Taxonomy'!$A$5:$A$24,0))</f>
        <v>Zero tolerance</v>
      </c>
      <c r="AB248" s="7" t="str">
        <f aca="false">INDEX('Risk Taxonomy'!$H$5:$H$24,MATCH(D248,'Risk Taxonomy'!$A$5:$A$24,0))</f>
        <v>Low</v>
      </c>
      <c r="AC248" s="35" t="str">
        <f aca="false">IF(NOT(ISNUMBER(X248)),"",IF(X248&lt;=MATCH(AB248,Config!$B$5:$B$9,0),"Within",IF(OR(X248-MATCH(AB248,Config!$B$5:$B$9,0)&gt;=2,AND('Residual Config'!$C$8="Y",ISNUMBER(SEARCH("Zero",AA248)))),"Red","Amber")))</f>
        <v>Red</v>
      </c>
      <c r="AD248" s="12" t="str">
        <f aca="false">IF(AC248="Red","Group CCO / CRO and Country CEO within 2 business days; action plan in 15 days; report to Board Risk &amp; Compliance Committee",IF(AC248="Amber","Country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249" customFormat="false" ht="15" hidden="false" customHeight="false" outlineLevel="0" collapsed="false">
      <c r="A249" s="26" t="str">
        <f aca="false">Entities!$A$17</f>
        <v>SA</v>
      </c>
      <c r="B249" s="12" t="str">
        <f aca="false">INDEX(Entities!$B$5:$B$34,MATCH(A249,Entities!$A$5:$A$34,0))</f>
        <v>Arab National Bank (affiliate)</v>
      </c>
      <c r="C249" s="12" t="str">
        <f aca="false">INDEX(Entities!$D$5:$D$34,MATCH(A249,Entities!$A$5:$A$34,0))</f>
        <v>GCC</v>
      </c>
      <c r="D249" s="12" t="s">
        <v>275</v>
      </c>
      <c r="E249" s="12" t="str">
        <f aca="false">INDEX('Risk Taxonomy'!$B$5:$B$24,MATCH(D249,'Risk Taxonomy'!$A$5:$A$24,0))</f>
        <v>Bribery and corruption</v>
      </c>
      <c r="F249" s="29" t="n">
        <f aca="false">IF(NOT(ISNUMBER(G249)),"",IFERROR(IF(MATCH(SUMIFS('FC Calculation'!$N$5:$N$214,'FC Calculation'!$A$5:$A$214,A249,'FC Calculation'!$D$5:$D$214,D249),Config!$D$5:$D$9,1)=G249,SUMIFS('FC Calculation'!$N$5:$N$214,'FC Calculation'!$A$5:$A$214,A249,'FC Calculation'!$D$5:$D$214,D249),G249),G249))</f>
        <v>2.75333333333333</v>
      </c>
      <c r="G249" s="34" t="n">
        <f aca="false">IF(COUNTIFS('FC Calculation'!$A$5:$A$214,A249,'FC Calculation'!$D$5:$D$214,D249,'FC Calculation'!$T$5:$T$214,"&gt;0")=0,"",SUMIFS('FC Calculation'!$T$5:$T$214,'FC Calculation'!$A$5:$A$214,A249,'FC Calculation'!$D$5:$D$214,D249))</f>
        <v>3</v>
      </c>
      <c r="H249" s="7" t="str">
        <f aca="false">IF(G249="N/A","N/A",IF(G249="","No data",INDEX(Config!$B$5:$B$9,G249)))</f>
        <v>Medium</v>
      </c>
      <c r="I249" s="31" t="n">
        <f aca="false">IF(NOT(ISNUMBER($G249)),"",SUMPRODUCT(('Control Mapping'!$C$5:$C$83=D249)*('Control Mapping'!$S$5:$S$83&gt;0)))</f>
        <v>5</v>
      </c>
      <c r="J249" s="31" t="n">
        <f aca="false">IF(NOT(ISNUMBER($G249)),"",SUMPRODUCT(('Control Mapping'!$C$5:$C$83=D249)*('Control Mapping'!$F$5:$F$83="Y")*('Control Mapping'!$S$5:$S$83&gt;0)))</f>
        <v>2</v>
      </c>
      <c r="K249" s="31" t="n">
        <f aca="false">IF(NOT(ISNUMBER($G249)),"",SUMPRODUCT(('Control Mapping'!$C$5:$C$83=D249)*('Control Mapping'!$F$5:$F$83="Y")*('Control Mapping'!$S$5:$S$83=4)))</f>
        <v>0</v>
      </c>
      <c r="L249" s="29" t="n">
        <f aca="false">IF(NOT(ISNUMBER($G249)),"",IFERROR(SUMPRODUCT(('Control Mapping'!$C$5:$C$83=D249)*'Control Mapping'!$E$5:$E$83*'Control Mapping'!$S$5:$S$83)/SUMPRODUCT(('Control Mapping'!$C$5:$C$83=D249)*'Control Mapping'!$E$5:$E$83*('Control Mapping'!$S$5:$S$83&gt;0)),""))</f>
        <v>1.88888888888889</v>
      </c>
      <c r="M249" s="34" t="n">
        <f aca="false">IF(NOT(ISNUMBER($G249)),"",IF(J249=0,4,MAX(MATCH(L249,'Residual Config'!$E$11:$E$14,1),IF(K249&gt;0,'Residual Config'!$C$7,1))))</f>
        <v>2</v>
      </c>
      <c r="N249" s="7" t="str">
        <f aca="false">IF(NOT(ISNUMBER($G249)),"",IF(J249=0,"Ineffective (no key control)",INDEX('Residual Config'!$B$11:$B$14,M249)))</f>
        <v>Largely effective</v>
      </c>
      <c r="O249" s="36" t="n">
        <f aca="false">IF(NOT(ISNUMBER($G249)),"",IF(J249=0,0,SUMPRODUCT(('Control Mapping'!$C$5:$C$83=D249)*'Control Mapping'!$E$5:$E$83*(('Control Mapping'!$S$5:$S$83=1)*'Residual Config'!$D$11+('Control Mapping'!$S$5:$S$83=2)*'Residual Config'!$D$12+('Control Mapping'!$S$5:$S$83=3)*'Residual Config'!$D$13+('Control Mapping'!$S$5:$S$83=4)*'Residual Config'!$D$14))/SUMPRODUCT(('Control Mapping'!$C$5:$C$83=D249)*'Control Mapping'!$E$5:$E$83*('Control Mapping'!$S$5:$S$83&gt;0))))</f>
        <v>0.422222222222222</v>
      </c>
      <c r="P249" s="31" t="n">
        <f aca="false">IF(NOT(ISNUMBER($G249)),"",INDEX('Residual Config'!$B$19:$E$23,6-G249,M249))</f>
        <v>2</v>
      </c>
      <c r="Q249" s="29" t="n">
        <f aca="false">IF(NOT(ISNUMBER($G249)),"",MAX(1,F249*(1-O249)))</f>
        <v>1.59081481481481</v>
      </c>
      <c r="R249" s="31" t="n">
        <f aca="false">IF(NOT(ISNUMBER($G249)),"",MAX(MATCH(Q249,Config!$D$5:$D$9,1),G249-'Residual Config'!$C$6))</f>
        <v>1</v>
      </c>
      <c r="S249" s="34" t="n">
        <f aca="false">IF(NOT(ISNUMBER($G249)),"",IF('Residual Config'!$C$5="Numeric",R249,P249))</f>
        <v>2</v>
      </c>
      <c r="T249" s="7" t="str">
        <f aca="false">IF(G249="N/A","N/A",IF(S249="","No data",INDEX(Config!$B$5:$B$9,S249)))</f>
        <v>Medium-Low</v>
      </c>
      <c r="U249" s="32" t="n">
        <v>0</v>
      </c>
      <c r="V249" s="8"/>
      <c r="W249" s="33"/>
      <c r="X249" s="34" t="n">
        <f aca="false">IF(S249="","",IF(AND(W249="Y",U249&lt;&gt;0),MAX(1,MIN(5,S249+MAX(-Config!$C$27,MIN(Config!$C$27,U249)))),S249))</f>
        <v>2</v>
      </c>
      <c r="Y249" s="35" t="str">
        <f aca="false">IF(G249="N/A","N/A",IF(X249="","No data",INDEX(Config!$B$5:$B$9,X249)))</f>
        <v>Medium-Low</v>
      </c>
      <c r="Z249" s="7" t="str">
        <f aca="false">IF(U249=0,"None",IF(W249="Y","Applied","Pending HO approval"))</f>
        <v>None</v>
      </c>
      <c r="AA249" s="12" t="str">
        <f aca="false">INDEX('Risk Taxonomy'!$G$5:$G$24,MATCH(D249,'Risk Taxonomy'!$A$5:$A$24,0))</f>
        <v>Zero tolerance</v>
      </c>
      <c r="AB249" s="7" t="str">
        <f aca="false">INDEX('Risk Taxonomy'!$H$5:$H$24,MATCH(D249,'Risk Taxonomy'!$A$5:$A$24,0))</f>
        <v>Low</v>
      </c>
      <c r="AC249" s="35" t="str">
        <f aca="false">IF(NOT(ISNUMBER(X249)),"",IF(X249&lt;=MATCH(AB249,Config!$B$5:$B$9,0),"Within",IF(OR(X249-MATCH(AB249,Config!$B$5:$B$9,0)&gt;=2,AND('Residual Config'!$C$8="Y",ISNUMBER(SEARCH("Zero",AA249)))),"Red","Amber")))</f>
        <v>Amber</v>
      </c>
      <c r="AD249" s="12" t="str">
        <f aca="false">IF(AC249="Red","Group CCO / CRO and Country CEO within 2 business days; action plan in 15 days; report to Board Risk &amp; Compliance Committee",IF(AC249="Amber","Country CO, risk owner and HO Administrator within 5 business days; action plan in 30 days",""))</f>
        <v>Country CO, risk owner and HO Administrator within 5 business days; action plan in 30 days</v>
      </c>
    </row>
    <row r="250" customFormat="false" ht="15" hidden="false" customHeight="false" outlineLevel="0" collapsed="false">
      <c r="A250" s="26" t="str">
        <f aca="false">Entities!$A$17</f>
        <v>SA</v>
      </c>
      <c r="B250" s="12" t="str">
        <f aca="false">INDEX(Entities!$B$5:$B$34,MATCH(A250,Entities!$A$5:$A$34,0))</f>
        <v>Arab National Bank (affiliate)</v>
      </c>
      <c r="C250" s="12" t="str">
        <f aca="false">INDEX(Entities!$D$5:$D$34,MATCH(A250,Entities!$A$5:$A$34,0))</f>
        <v>GCC</v>
      </c>
      <c r="D250" s="12" t="s">
        <v>278</v>
      </c>
      <c r="E250" s="12" t="str">
        <f aca="false">INDEX('Risk Taxonomy'!$B$5:$B$24,MATCH(D250,'Risk Taxonomy'!$A$5:$A$24,0))</f>
        <v>Fraud</v>
      </c>
      <c r="F250" s="29" t="n">
        <f aca="false">IF(NOT(ISNUMBER(G250)),"",IFERROR(IF(MATCH(SUMIFS('FC Calculation'!$N$5:$N$214,'FC Calculation'!$A$5:$A$214,A250,'FC Calculation'!$D$5:$D$214,D250),Config!$D$5:$D$9,1)=G250,SUMIFS('FC Calculation'!$N$5:$N$214,'FC Calculation'!$A$5:$A$214,A250,'FC Calculation'!$D$5:$D$214,D250),G250),G250))</f>
        <v>2.69</v>
      </c>
      <c r="G250" s="34" t="n">
        <f aca="false">IF(COUNTIFS('FC Calculation'!$A$5:$A$214,A250,'FC Calculation'!$D$5:$D$214,D250,'FC Calculation'!$T$5:$T$214,"&gt;0")=0,"",SUMIFS('FC Calculation'!$T$5:$T$214,'FC Calculation'!$A$5:$A$214,A250,'FC Calculation'!$D$5:$D$214,D250))</f>
        <v>3</v>
      </c>
      <c r="H250" s="7" t="str">
        <f aca="false">IF(G250="N/A","N/A",IF(G250="","No data",INDEX(Config!$B$5:$B$9,G250)))</f>
        <v>Medium</v>
      </c>
      <c r="I250" s="31" t="n">
        <f aca="false">IF(NOT(ISNUMBER($G250)),"",SUMPRODUCT(('Control Mapping'!$C$5:$C$83=D250)*('Control Mapping'!$S$5:$S$83&gt;0)))</f>
        <v>6</v>
      </c>
      <c r="J250" s="31" t="n">
        <f aca="false">IF(NOT(ISNUMBER($G250)),"",SUMPRODUCT(('Control Mapping'!$C$5:$C$83=D250)*('Control Mapping'!$F$5:$F$83="Y")*('Control Mapping'!$S$5:$S$83&gt;0)))</f>
        <v>5</v>
      </c>
      <c r="K250" s="31" t="n">
        <f aca="false">IF(NOT(ISNUMBER($G250)),"",SUMPRODUCT(('Control Mapping'!$C$5:$C$83=D250)*('Control Mapping'!$F$5:$F$83="Y")*('Control Mapping'!$S$5:$S$83=4)))</f>
        <v>1</v>
      </c>
      <c r="L250" s="29" t="n">
        <f aca="false">IF(NOT(ISNUMBER($G250)),"",IFERROR(SUMPRODUCT(('Control Mapping'!$C$5:$C$83=D250)*'Control Mapping'!$E$5:$E$83*'Control Mapping'!$S$5:$S$83)/SUMPRODUCT(('Control Mapping'!$C$5:$C$83=D250)*'Control Mapping'!$E$5:$E$83*('Control Mapping'!$S$5:$S$83&gt;0)),""))</f>
        <v>2.5</v>
      </c>
      <c r="M250" s="34" t="n">
        <f aca="false">IF(NOT(ISNUMBER($G250)),"",IF(J250=0,4,MAX(MATCH(L250,'Residual Config'!$E$11:$E$14,1),IF(K250&gt;0,'Residual Config'!$C$7,1))))</f>
        <v>3</v>
      </c>
      <c r="N250" s="7" t="str">
        <f aca="false">IF(NOT(ISNUMBER($G250)),"",IF(J250=0,"Ineffective (no key control)",INDEX('Residual Config'!$B$11:$B$14,M250)))</f>
        <v>Partially effective</v>
      </c>
      <c r="O250" s="36" t="n">
        <f aca="false">IF(NOT(ISNUMBER($G250)),"",IF(J250=0,0,SUMPRODUCT(('Control Mapping'!$C$5:$C$83=D250)*'Control Mapping'!$E$5:$E$83*(('Control Mapping'!$S$5:$S$83=1)*'Residual Config'!$D$11+('Control Mapping'!$S$5:$S$83=2)*'Residual Config'!$D$12+('Control Mapping'!$S$5:$S$83=3)*'Residual Config'!$D$13+('Control Mapping'!$S$5:$S$83=4)*'Residual Config'!$D$14))/SUMPRODUCT(('Control Mapping'!$C$5:$C$83=D250)*'Control Mapping'!$E$5:$E$83*('Control Mapping'!$S$5:$S$83&gt;0))))</f>
        <v>0.3</v>
      </c>
      <c r="P250" s="31" t="n">
        <f aca="false">IF(NOT(ISNUMBER($G250)),"",INDEX('Residual Config'!$B$19:$E$23,6-G250,M250))</f>
        <v>3</v>
      </c>
      <c r="Q250" s="29" t="n">
        <f aca="false">IF(NOT(ISNUMBER($G250)),"",MAX(1,F250*(1-O250)))</f>
        <v>1.883</v>
      </c>
      <c r="R250" s="31" t="n">
        <f aca="false">IF(NOT(ISNUMBER($G250)),"",MAX(MATCH(Q250,Config!$D$5:$D$9,1),G250-'Residual Config'!$C$6))</f>
        <v>2</v>
      </c>
      <c r="S250" s="34" t="n">
        <f aca="false">IF(NOT(ISNUMBER($G250)),"",IF('Residual Config'!$C$5="Numeric",R250,P250))</f>
        <v>3</v>
      </c>
      <c r="T250" s="7" t="str">
        <f aca="false">IF(G250="N/A","N/A",IF(S250="","No data",INDEX(Config!$B$5:$B$9,S250)))</f>
        <v>Medium</v>
      </c>
      <c r="U250" s="32" t="n">
        <v>0</v>
      </c>
      <c r="V250" s="8"/>
      <c r="W250" s="33"/>
      <c r="X250" s="34" t="n">
        <f aca="false">IF(S250="","",IF(AND(W250="Y",U250&lt;&gt;0),MAX(1,MIN(5,S250+MAX(-Config!$C$27,MIN(Config!$C$27,U250)))),S250))</f>
        <v>3</v>
      </c>
      <c r="Y250" s="35" t="str">
        <f aca="false">IF(G250="N/A","N/A",IF(X250="","No data",INDEX(Config!$B$5:$B$9,X250)))</f>
        <v>Medium</v>
      </c>
      <c r="Z250" s="7" t="str">
        <f aca="false">IF(U250=0,"None",IF(W250="Y","Applied","Pending HO approval"))</f>
        <v>None</v>
      </c>
      <c r="AA250" s="12" t="str">
        <f aca="false">INDEX('Risk Taxonomy'!$G$5:$G$24,MATCH(D250,'Risk Taxonomy'!$A$5:$A$24,0))</f>
        <v>Low</v>
      </c>
      <c r="AB250" s="7" t="str">
        <f aca="false">INDEX('Risk Taxonomy'!$H$5:$H$24,MATCH(D250,'Risk Taxonomy'!$A$5:$A$24,0))</f>
        <v>Medium</v>
      </c>
      <c r="AC250" s="35" t="str">
        <f aca="false">IF(NOT(ISNUMBER(X250)),"",IF(X250&lt;=MATCH(AB250,Config!$B$5:$B$9,0),"Within",IF(OR(X250-MATCH(AB250,Config!$B$5:$B$9,0)&gt;=2,AND('Residual Config'!$C$8="Y",ISNUMBER(SEARCH("Zero",AA250)))),"Red","Amber")))</f>
        <v>Within</v>
      </c>
      <c r="AD250" s="12" t="str">
        <f aca="false">IF(AC250="Red","Group CCO / CRO and Country CEO within 2 business days; action plan in 15 days; report to Board Risk &amp; Compliance Committee",IF(AC250="Amber","Country CO, risk owner and HO Administrator within 5 business days; action plan in 30 days",""))</f>
        <v/>
      </c>
    </row>
    <row r="251" customFormat="false" ht="15" hidden="false" customHeight="false" outlineLevel="0" collapsed="false">
      <c r="A251" s="26" t="str">
        <f aca="false">Entities!$A$17</f>
        <v>SA</v>
      </c>
      <c r="B251" s="12" t="str">
        <f aca="false">INDEX(Entities!$B$5:$B$34,MATCH(A251,Entities!$A$5:$A$34,0))</f>
        <v>Arab National Bank (affiliate)</v>
      </c>
      <c r="C251" s="12" t="str">
        <f aca="false">INDEX(Entities!$D$5:$D$34,MATCH(A251,Entities!$A$5:$A$34,0))</f>
        <v>GCC</v>
      </c>
      <c r="D251" s="12" t="s">
        <v>281</v>
      </c>
      <c r="E251" s="12" t="str">
        <f aca="false">INDEX('Risk Taxonomy'!$B$5:$B$24,MATCH(D251,'Risk Taxonomy'!$A$5:$A$24,0))</f>
        <v>Tax evasion and tax transparency</v>
      </c>
      <c r="F251" s="29" t="n">
        <f aca="false">IF(NOT(ISNUMBER(G251)),"",IFERROR(IF(MATCH(SUMIFS('FC Calculation'!$N$5:$N$214,'FC Calculation'!$A$5:$A$214,A251,'FC Calculation'!$D$5:$D$214,D251),Config!$D$5:$D$9,1)=G251,SUMIFS('FC Calculation'!$N$5:$N$214,'FC Calculation'!$A$5:$A$214,A251,'FC Calculation'!$D$5:$D$214,D251),G251),G251))</f>
        <v>2.90222222222222</v>
      </c>
      <c r="G251" s="34" t="n">
        <f aca="false">IF(COUNTIFS('FC Calculation'!$A$5:$A$214,A251,'FC Calculation'!$D$5:$D$214,D251,'FC Calculation'!$T$5:$T$214,"&gt;0")=0,"",SUMIFS('FC Calculation'!$T$5:$T$214,'FC Calculation'!$A$5:$A$214,A251,'FC Calculation'!$D$5:$D$214,D251))</f>
        <v>3</v>
      </c>
      <c r="H251" s="7" t="str">
        <f aca="false">IF(G251="N/A","N/A",IF(G251="","No data",INDEX(Config!$B$5:$B$9,G251)))</f>
        <v>Medium</v>
      </c>
      <c r="I251" s="31" t="n">
        <f aca="false">IF(NOT(ISNUMBER($G251)),"",SUMPRODUCT(('Control Mapping'!$C$5:$C$83=D251)*('Control Mapping'!$S$5:$S$83&gt;0)))</f>
        <v>5</v>
      </c>
      <c r="J251" s="31" t="n">
        <f aca="false">IF(NOT(ISNUMBER($G251)),"",SUMPRODUCT(('Control Mapping'!$C$5:$C$83=D251)*('Control Mapping'!$F$5:$F$83="Y")*('Control Mapping'!$S$5:$S$83&gt;0)))</f>
        <v>4</v>
      </c>
      <c r="K251" s="31" t="n">
        <f aca="false">IF(NOT(ISNUMBER($G251)),"",SUMPRODUCT(('Control Mapping'!$C$5:$C$83=D251)*('Control Mapping'!$F$5:$F$83="Y")*('Control Mapping'!$S$5:$S$83=4)))</f>
        <v>0</v>
      </c>
      <c r="L251" s="29" t="n">
        <f aca="false">IF(NOT(ISNUMBER($G251)),"",IFERROR(SUMPRODUCT(('Control Mapping'!$C$5:$C$83=D251)*'Control Mapping'!$E$5:$E$83*'Control Mapping'!$S$5:$S$83)/SUMPRODUCT(('Control Mapping'!$C$5:$C$83=D251)*'Control Mapping'!$E$5:$E$83*('Control Mapping'!$S$5:$S$83&gt;0)),""))</f>
        <v>2</v>
      </c>
      <c r="M251" s="34" t="n">
        <f aca="false">IF(NOT(ISNUMBER($G251)),"",IF(J251=0,4,MAX(MATCH(L251,'Residual Config'!$E$11:$E$14,1),IF(K251&gt;0,'Residual Config'!$C$7,1))))</f>
        <v>2</v>
      </c>
      <c r="N251" s="7" t="str">
        <f aca="false">IF(NOT(ISNUMBER($G251)),"",IF(J251=0,"Ineffective (no key control)",INDEX('Residual Config'!$B$11:$B$14,M251)))</f>
        <v>Largely effective</v>
      </c>
      <c r="O251" s="36" t="n">
        <f aca="false">IF(NOT(ISNUMBER($G251)),"",IF(J251=0,0,SUMPRODUCT(('Control Mapping'!$C$5:$C$83=D251)*'Control Mapping'!$E$5:$E$83*(('Control Mapping'!$S$5:$S$83=1)*'Residual Config'!$D$11+('Control Mapping'!$S$5:$S$83=2)*'Residual Config'!$D$12+('Control Mapping'!$S$5:$S$83=3)*'Residual Config'!$D$13+('Control Mapping'!$S$5:$S$83=4)*'Residual Config'!$D$14))/SUMPRODUCT(('Control Mapping'!$C$5:$C$83=D251)*'Control Mapping'!$E$5:$E$83*('Control Mapping'!$S$5:$S$83&gt;0))))</f>
        <v>0.4</v>
      </c>
      <c r="P251" s="31" t="n">
        <f aca="false">IF(NOT(ISNUMBER($G251)),"",INDEX('Residual Config'!$B$19:$E$23,6-G251,M251))</f>
        <v>2</v>
      </c>
      <c r="Q251" s="29" t="n">
        <f aca="false">IF(NOT(ISNUMBER($G251)),"",MAX(1,F251*(1-O251)))</f>
        <v>1.74133333333333</v>
      </c>
      <c r="R251" s="31" t="n">
        <f aca="false">IF(NOT(ISNUMBER($G251)),"",MAX(MATCH(Q251,Config!$D$5:$D$9,1),G251-'Residual Config'!$C$6))</f>
        <v>1</v>
      </c>
      <c r="S251" s="34" t="n">
        <f aca="false">IF(NOT(ISNUMBER($G251)),"",IF('Residual Config'!$C$5="Numeric",R251,P251))</f>
        <v>2</v>
      </c>
      <c r="T251" s="7" t="str">
        <f aca="false">IF(G251="N/A","N/A",IF(S251="","No data",INDEX(Config!$B$5:$B$9,S251)))</f>
        <v>Medium-Low</v>
      </c>
      <c r="U251" s="32" t="n">
        <v>0</v>
      </c>
      <c r="V251" s="8"/>
      <c r="W251" s="33"/>
      <c r="X251" s="34" t="n">
        <f aca="false">IF(S251="","",IF(AND(W251="Y",U251&lt;&gt;0),MAX(1,MIN(5,S251+MAX(-Config!$C$27,MIN(Config!$C$27,U251)))),S251))</f>
        <v>2</v>
      </c>
      <c r="Y251" s="35" t="str">
        <f aca="false">IF(G251="N/A","N/A",IF(X251="","No data",INDEX(Config!$B$5:$B$9,X251)))</f>
        <v>Medium-Low</v>
      </c>
      <c r="Z251" s="7" t="str">
        <f aca="false">IF(U251=0,"None",IF(W251="Y","Applied","Pending HO approval"))</f>
        <v>None</v>
      </c>
      <c r="AA251" s="12" t="str">
        <f aca="false">INDEX('Risk Taxonomy'!$G$5:$G$24,MATCH(D251,'Risk Taxonomy'!$A$5:$A$24,0))</f>
        <v>Zero tolerance (facilitation)</v>
      </c>
      <c r="AB251" s="7" t="str">
        <f aca="false">INDEX('Risk Taxonomy'!$H$5:$H$24,MATCH(D251,'Risk Taxonomy'!$A$5:$A$24,0))</f>
        <v>Low</v>
      </c>
      <c r="AC251" s="35" t="str">
        <f aca="false">IF(NOT(ISNUMBER(X251)),"",IF(X251&lt;=MATCH(AB251,Config!$B$5:$B$9,0),"Within",IF(OR(X251-MATCH(AB251,Config!$B$5:$B$9,0)&gt;=2,AND('Residual Config'!$C$8="Y",ISNUMBER(SEARCH("Zero",AA251)))),"Red","Amber")))</f>
        <v>Amber</v>
      </c>
      <c r="AD251" s="12" t="str">
        <f aca="false">IF(AC251="Red","Group CCO / CRO and Country CEO within 2 business days; action plan in 15 days; report to Board Risk &amp; Compliance Committee",IF(AC251="Amber","Country CO, risk owner and HO Administrator within 5 business days; action plan in 30 days",""))</f>
        <v>Country CO, risk owner and HO Administrator within 5 business days; action plan in 30 days</v>
      </c>
    </row>
    <row r="252" customFormat="false" ht="15" hidden="false" customHeight="false" outlineLevel="0" collapsed="false">
      <c r="A252" s="26" t="str">
        <f aca="false">Entities!$A$17</f>
        <v>SA</v>
      </c>
      <c r="B252" s="12" t="str">
        <f aca="false">INDEX(Entities!$B$5:$B$34,MATCH(A252,Entities!$A$5:$A$34,0))</f>
        <v>Arab National Bank (affiliate)</v>
      </c>
      <c r="C252" s="12" t="str">
        <f aca="false">INDEX(Entities!$D$5:$D$34,MATCH(A252,Entities!$A$5:$A$34,0))</f>
        <v>GCC</v>
      </c>
      <c r="D252" s="12" t="s">
        <v>284</v>
      </c>
      <c r="E252" s="12" t="str">
        <f aca="false">INDEX('Risk Taxonomy'!$B$5:$B$24,MATCH(D252,'Risk Taxonomy'!$A$5:$A$24,0))</f>
        <v>Regulatory compliance</v>
      </c>
      <c r="F252" s="29" t="n">
        <f aca="false">IF(NOT(ISNUMBER(G252)),"",G252)</f>
        <v>4</v>
      </c>
      <c r="G252" s="34" t="n">
        <f aca="false">IF(COUNTIFS('LxI Assessment'!$A$5:$A$394,A252,'LxI Assessment'!$D$5:$D$394,D252,'LxI Assessment'!$F$5:$F$394,"N/A")&gt;0,"N/A",IF(COUNTIFS('LxI Assessment'!$A$5:$A$394,A252,'LxI Assessment'!$D$5:$D$394,D252,'LxI Assessment'!$S$5:$S$394,"&gt;0")=0,"",SUMIFS('LxI Assessment'!$S$5:$S$394,'LxI Assessment'!$A$5:$A$394,A252,'LxI Assessment'!$D$5:$D$394,D252)))</f>
        <v>4</v>
      </c>
      <c r="H252" s="7" t="str">
        <f aca="false">IF(G252="N/A","N/A",IF(G252="","No data",INDEX(Config!$B$5:$B$9,G252)))</f>
        <v>Medium-High</v>
      </c>
      <c r="I252" s="31" t="n">
        <f aca="false">IF(NOT(ISNUMBER($G252)),"",SUMPRODUCT(('Control Mapping'!$C$5:$C$83=D252)*('Control Mapping'!$S$5:$S$83&gt;0)))</f>
        <v>4</v>
      </c>
      <c r="J252" s="31" t="n">
        <f aca="false">IF(NOT(ISNUMBER($G252)),"",SUMPRODUCT(('Control Mapping'!$C$5:$C$83=D252)*('Control Mapping'!$F$5:$F$83="Y")*('Control Mapping'!$S$5:$S$83&gt;0)))</f>
        <v>3</v>
      </c>
      <c r="K252" s="31" t="n">
        <f aca="false">IF(NOT(ISNUMBER($G252)),"",SUMPRODUCT(('Control Mapping'!$C$5:$C$83=D252)*('Control Mapping'!$F$5:$F$83="Y")*('Control Mapping'!$S$5:$S$83=4)))</f>
        <v>0</v>
      </c>
      <c r="L252" s="29" t="n">
        <f aca="false">IF(NOT(ISNUMBER($G252)),"",IFERROR(SUMPRODUCT(('Control Mapping'!$C$5:$C$83=D252)*'Control Mapping'!$E$5:$E$83*'Control Mapping'!$S$5:$S$83)/SUMPRODUCT(('Control Mapping'!$C$5:$C$83=D252)*'Control Mapping'!$E$5:$E$83*('Control Mapping'!$S$5:$S$83&gt;0)),""))</f>
        <v>2</v>
      </c>
      <c r="M252" s="34" t="n">
        <f aca="false">IF(NOT(ISNUMBER($G252)),"",IF(J252=0,4,MAX(MATCH(L252,'Residual Config'!$E$11:$E$14,1),IF(K252&gt;0,'Residual Config'!$C$7,1))))</f>
        <v>2</v>
      </c>
      <c r="N252" s="7" t="str">
        <f aca="false">IF(NOT(ISNUMBER($G252)),"",IF(J252=0,"Ineffective (no key control)",INDEX('Residual Config'!$B$11:$B$14,M252)))</f>
        <v>Largely effective</v>
      </c>
      <c r="O252" s="36" t="n">
        <f aca="false">IF(NOT(ISNUMBER($G252)),"",IF(J252=0,0,SUMPRODUCT(('Control Mapping'!$C$5:$C$83=D252)*'Control Mapping'!$E$5:$E$83*(('Control Mapping'!$S$5:$S$83=1)*'Residual Config'!$D$11+('Control Mapping'!$S$5:$S$83=2)*'Residual Config'!$D$12+('Control Mapping'!$S$5:$S$83=3)*'Residual Config'!$D$13+('Control Mapping'!$S$5:$S$83=4)*'Residual Config'!$D$14))/SUMPRODUCT(('Control Mapping'!$C$5:$C$83=D252)*'Control Mapping'!$E$5:$E$83*('Control Mapping'!$S$5:$S$83&gt;0))))</f>
        <v>0.4</v>
      </c>
      <c r="P252" s="31" t="n">
        <f aca="false">IF(NOT(ISNUMBER($G252)),"",INDEX('Residual Config'!$B$19:$E$23,6-G252,M252))</f>
        <v>3</v>
      </c>
      <c r="Q252" s="29" t="n">
        <f aca="false">IF(NOT(ISNUMBER($G252)),"",MAX(1,F252*(1-O252)))</f>
        <v>2.4</v>
      </c>
      <c r="R252" s="31" t="n">
        <f aca="false">IF(NOT(ISNUMBER($G252)),"",MAX(MATCH(Q252,Config!$D$5:$D$9,1),G252-'Residual Config'!$C$6))</f>
        <v>2</v>
      </c>
      <c r="S252" s="34" t="n">
        <f aca="false">IF(NOT(ISNUMBER($G252)),"",IF('Residual Config'!$C$5="Numeric",R252,P252))</f>
        <v>3</v>
      </c>
      <c r="T252" s="7" t="str">
        <f aca="false">IF(G252="N/A","N/A",IF(S252="","No data",INDEX(Config!$B$5:$B$9,S252)))</f>
        <v>Medium</v>
      </c>
      <c r="U252" s="32" t="n">
        <v>0</v>
      </c>
      <c r="V252" s="8"/>
      <c r="W252" s="33"/>
      <c r="X252" s="34" t="n">
        <f aca="false">IF(S252="","",IF(AND(W252="Y",U252&lt;&gt;0),MAX(1,MIN(5,S252+MAX(-Config!$C$27,MIN(Config!$C$27,U252)))),S252))</f>
        <v>3</v>
      </c>
      <c r="Y252" s="35" t="str">
        <f aca="false">IF(G252="N/A","N/A",IF(X252="","No data",INDEX(Config!$B$5:$B$9,X252)))</f>
        <v>Medium</v>
      </c>
      <c r="Z252" s="7" t="str">
        <f aca="false">IF(U252=0,"None",IF(W252="Y","Applied","Pending HO approval"))</f>
        <v>None</v>
      </c>
      <c r="AA252" s="12" t="str">
        <f aca="false">INDEX('Risk Taxonomy'!$G$5:$G$24,MATCH(D252,'Risk Taxonomy'!$A$5:$A$24,0))</f>
        <v>Very low</v>
      </c>
      <c r="AB252" s="7" t="str">
        <f aca="false">INDEX('Risk Taxonomy'!$H$5:$H$24,MATCH(D252,'Risk Taxonomy'!$A$5:$A$24,0))</f>
        <v>Medium-Low</v>
      </c>
      <c r="AC252" s="35" t="str">
        <f aca="false">IF(NOT(ISNUMBER(X252)),"",IF(X252&lt;=MATCH(AB252,Config!$B$5:$B$9,0),"Within",IF(OR(X252-MATCH(AB252,Config!$B$5:$B$9,0)&gt;=2,AND('Residual Config'!$C$8="Y",ISNUMBER(SEARCH("Zero",AA252)))),"Red","Amber")))</f>
        <v>Amber</v>
      </c>
      <c r="AD252" s="12" t="str">
        <f aca="false">IF(AC252="Red","Group CCO / CRO and Country CEO within 2 business days; action plan in 15 days; report to Board Risk &amp; Compliance Committee",IF(AC252="Amber","Country CO, risk owner and HO Administrator within 5 business days; action plan in 30 days",""))</f>
        <v>Country CO, risk owner and HO Administrator within 5 business days; action plan in 30 days</v>
      </c>
    </row>
    <row r="253" customFormat="false" ht="15" hidden="false" customHeight="false" outlineLevel="0" collapsed="false">
      <c r="A253" s="26" t="str">
        <f aca="false">Entities!$A$17</f>
        <v>SA</v>
      </c>
      <c r="B253" s="12" t="str">
        <f aca="false">INDEX(Entities!$B$5:$B$34,MATCH(A253,Entities!$A$5:$A$34,0))</f>
        <v>Arab National Bank (affiliate)</v>
      </c>
      <c r="C253" s="12" t="str">
        <f aca="false">INDEX(Entities!$D$5:$D$34,MATCH(A253,Entities!$A$5:$A$34,0))</f>
        <v>GCC</v>
      </c>
      <c r="D253" s="12" t="s">
        <v>288</v>
      </c>
      <c r="E253" s="12" t="str">
        <f aca="false">INDEX('Risk Taxonomy'!$B$5:$B$24,MATCH(D253,'Risk Taxonomy'!$A$5:$A$24,0))</f>
        <v>Conduct and consumer protection</v>
      </c>
      <c r="F253" s="29" t="n">
        <f aca="false">IF(NOT(ISNUMBER(G253)),"",G253)</f>
        <v>4</v>
      </c>
      <c r="G253" s="34" t="n">
        <f aca="false">IF(COUNTIFS('LxI Assessment'!$A$5:$A$394,A253,'LxI Assessment'!$D$5:$D$394,D253,'LxI Assessment'!$F$5:$F$394,"N/A")&gt;0,"N/A",IF(COUNTIFS('LxI Assessment'!$A$5:$A$394,A253,'LxI Assessment'!$D$5:$D$394,D253,'LxI Assessment'!$S$5:$S$394,"&gt;0")=0,"",SUMIFS('LxI Assessment'!$S$5:$S$394,'LxI Assessment'!$A$5:$A$394,A253,'LxI Assessment'!$D$5:$D$394,D253)))</f>
        <v>4</v>
      </c>
      <c r="H253" s="7" t="str">
        <f aca="false">IF(G253="N/A","N/A",IF(G253="","No data",INDEX(Config!$B$5:$B$9,G253)))</f>
        <v>Medium-High</v>
      </c>
      <c r="I253" s="31" t="n">
        <f aca="false">IF(NOT(ISNUMBER($G253)),"",SUMPRODUCT(('Control Mapping'!$C$5:$C$83=D253)*('Control Mapping'!$S$5:$S$83&gt;0)))</f>
        <v>2</v>
      </c>
      <c r="J253" s="31" t="n">
        <f aca="false">IF(NOT(ISNUMBER($G253)),"",SUMPRODUCT(('Control Mapping'!$C$5:$C$83=D253)*('Control Mapping'!$F$5:$F$83="Y")*('Control Mapping'!$S$5:$S$83&gt;0)))</f>
        <v>1</v>
      </c>
      <c r="K253" s="31" t="n">
        <f aca="false">IF(NOT(ISNUMBER($G253)),"",SUMPRODUCT(('Control Mapping'!$C$5:$C$83=D253)*('Control Mapping'!$F$5:$F$83="Y")*('Control Mapping'!$S$5:$S$83=4)))</f>
        <v>0</v>
      </c>
      <c r="L253" s="29" t="n">
        <f aca="false">IF(NOT(ISNUMBER($G253)),"",IFERROR(SUMPRODUCT(('Control Mapping'!$C$5:$C$83=D253)*'Control Mapping'!$E$5:$E$83*'Control Mapping'!$S$5:$S$83)/SUMPRODUCT(('Control Mapping'!$C$5:$C$83=D253)*'Control Mapping'!$E$5:$E$83*('Control Mapping'!$S$5:$S$83&gt;0)),""))</f>
        <v>2.6</v>
      </c>
      <c r="M253" s="34" t="n">
        <f aca="false">IF(NOT(ISNUMBER($G253)),"",IF(J253=0,4,MAX(MATCH(L253,'Residual Config'!$E$11:$E$14,1),IF(K253&gt;0,'Residual Config'!$C$7,1))))</f>
        <v>3</v>
      </c>
      <c r="N253" s="7" t="str">
        <f aca="false">IF(NOT(ISNUMBER($G253)),"",IF(J253=0,"Ineffective (no key control)",INDEX('Residual Config'!$B$11:$B$14,M253)))</f>
        <v>Partially effective</v>
      </c>
      <c r="O253" s="36" t="n">
        <f aca="false">IF(NOT(ISNUMBER($G253)),"",IF(J253=0,0,SUMPRODUCT(('Control Mapping'!$C$5:$C$83=D253)*'Control Mapping'!$E$5:$E$83*(('Control Mapping'!$S$5:$S$83=1)*'Residual Config'!$D$11+('Control Mapping'!$S$5:$S$83=2)*'Residual Config'!$D$12+('Control Mapping'!$S$5:$S$83=3)*'Residual Config'!$D$13+('Control Mapping'!$S$5:$S$83=4)*'Residual Config'!$D$14))/SUMPRODUCT(('Control Mapping'!$C$5:$C$83=D253)*'Control Mapping'!$E$5:$E$83*('Control Mapping'!$S$5:$S$83&gt;0))))</f>
        <v>0.28</v>
      </c>
      <c r="P253" s="31" t="n">
        <f aca="false">IF(NOT(ISNUMBER($G253)),"",INDEX('Residual Config'!$B$19:$E$23,6-G253,M253))</f>
        <v>4</v>
      </c>
      <c r="Q253" s="29" t="n">
        <f aca="false">IF(NOT(ISNUMBER($G253)),"",MAX(1,F253*(1-O253)))</f>
        <v>2.88</v>
      </c>
      <c r="R253" s="31" t="n">
        <f aca="false">IF(NOT(ISNUMBER($G253)),"",MAX(MATCH(Q253,Config!$D$5:$D$9,1),G253-'Residual Config'!$C$6))</f>
        <v>3</v>
      </c>
      <c r="S253" s="34" t="n">
        <f aca="false">IF(NOT(ISNUMBER($G253)),"",IF('Residual Config'!$C$5="Numeric",R253,P253))</f>
        <v>4</v>
      </c>
      <c r="T253" s="7" t="str">
        <f aca="false">IF(G253="N/A","N/A",IF(S253="","No data",INDEX(Config!$B$5:$B$9,S253)))</f>
        <v>Medium-High</v>
      </c>
      <c r="U253" s="32" t="n">
        <v>0</v>
      </c>
      <c r="V253" s="8"/>
      <c r="W253" s="33"/>
      <c r="X253" s="34" t="n">
        <f aca="false">IF(S253="","",IF(AND(W253="Y",U253&lt;&gt;0),MAX(1,MIN(5,S253+MAX(-Config!$C$27,MIN(Config!$C$27,U253)))),S253))</f>
        <v>4</v>
      </c>
      <c r="Y253" s="35" t="str">
        <f aca="false">IF(G253="N/A","N/A",IF(X253="","No data",INDEX(Config!$B$5:$B$9,X253)))</f>
        <v>Medium-High</v>
      </c>
      <c r="Z253" s="7" t="str">
        <f aca="false">IF(U253=0,"None",IF(W253="Y","Applied","Pending HO approval"))</f>
        <v>None</v>
      </c>
      <c r="AA253" s="12" t="str">
        <f aca="false">INDEX('Risk Taxonomy'!$G$5:$G$24,MATCH(D253,'Risk Taxonomy'!$A$5:$A$24,0))</f>
        <v>Low</v>
      </c>
      <c r="AB253" s="7" t="str">
        <f aca="false">INDEX('Risk Taxonomy'!$H$5:$H$24,MATCH(D253,'Risk Taxonomy'!$A$5:$A$24,0))</f>
        <v>Medium</v>
      </c>
      <c r="AC253" s="35" t="str">
        <f aca="false">IF(NOT(ISNUMBER(X253)),"",IF(X253&lt;=MATCH(AB253,Config!$B$5:$B$9,0),"Within",IF(OR(X253-MATCH(AB253,Config!$B$5:$B$9,0)&gt;=2,AND('Residual Config'!$C$8="Y",ISNUMBER(SEARCH("Zero",AA253)))),"Red","Amber")))</f>
        <v>Amber</v>
      </c>
      <c r="AD253" s="12" t="str">
        <f aca="false">IF(AC253="Red","Group CCO / CRO and Country CEO within 2 business days; action plan in 15 days; report to Board Risk &amp; Compliance Committee",IF(AC253="Amber","Country CO, risk owner and HO Administrator within 5 business days; action plan in 30 days",""))</f>
        <v>Country CO, risk owner and HO Administrator within 5 business days; action plan in 30 days</v>
      </c>
    </row>
    <row r="254" customFormat="false" ht="15" hidden="false" customHeight="false" outlineLevel="0" collapsed="false">
      <c r="A254" s="26" t="str">
        <f aca="false">Entities!$A$17</f>
        <v>SA</v>
      </c>
      <c r="B254" s="12" t="str">
        <f aca="false">INDEX(Entities!$B$5:$B$34,MATCH(A254,Entities!$A$5:$A$34,0))</f>
        <v>Arab National Bank (affiliate)</v>
      </c>
      <c r="C254" s="12" t="str">
        <f aca="false">INDEX(Entities!$D$5:$D$34,MATCH(A254,Entities!$A$5:$A$34,0))</f>
        <v>GCC</v>
      </c>
      <c r="D254" s="12" t="s">
        <v>290</v>
      </c>
      <c r="E254" s="12" t="str">
        <f aca="false">INDEX('Risk Taxonomy'!$B$5:$B$24,MATCH(D254,'Risk Taxonomy'!$A$5:$A$24,0))</f>
        <v>Data protection and privacy</v>
      </c>
      <c r="F254" s="29" t="n">
        <f aca="false">IF(NOT(ISNUMBER(G254)),"",G254)</f>
        <v>2</v>
      </c>
      <c r="G254" s="34" t="n">
        <f aca="false">IF(COUNTIFS('LxI Assessment'!$A$5:$A$394,A254,'LxI Assessment'!$D$5:$D$394,D254,'LxI Assessment'!$F$5:$F$394,"N/A")&gt;0,"N/A",IF(COUNTIFS('LxI Assessment'!$A$5:$A$394,A254,'LxI Assessment'!$D$5:$D$394,D254,'LxI Assessment'!$S$5:$S$394,"&gt;0")=0,"",SUMIFS('LxI Assessment'!$S$5:$S$394,'LxI Assessment'!$A$5:$A$394,A254,'LxI Assessment'!$D$5:$D$394,D254)))</f>
        <v>2</v>
      </c>
      <c r="H254" s="7" t="str">
        <f aca="false">IF(G254="N/A","N/A",IF(G254="","No data",INDEX(Config!$B$5:$B$9,G254)))</f>
        <v>Medium-Low</v>
      </c>
      <c r="I254" s="31" t="n">
        <f aca="false">IF(NOT(ISNUMBER($G254)),"",SUMPRODUCT(('Control Mapping'!$C$5:$C$83=D254)*('Control Mapping'!$S$5:$S$83&gt;0)))</f>
        <v>2</v>
      </c>
      <c r="J254" s="31" t="n">
        <f aca="false">IF(NOT(ISNUMBER($G254)),"",SUMPRODUCT(('Control Mapping'!$C$5:$C$83=D254)*('Control Mapping'!$F$5:$F$83="Y")*('Control Mapping'!$S$5:$S$83&gt;0)))</f>
        <v>2</v>
      </c>
      <c r="K254" s="31" t="n">
        <f aca="false">IF(NOT(ISNUMBER($G254)),"",SUMPRODUCT(('Control Mapping'!$C$5:$C$83=D254)*('Control Mapping'!$F$5:$F$83="Y")*('Control Mapping'!$S$5:$S$83=4)))</f>
        <v>0</v>
      </c>
      <c r="L254" s="29" t="n">
        <f aca="false">IF(NOT(ISNUMBER($G254)),"",IFERROR(SUMPRODUCT(('Control Mapping'!$C$5:$C$83=D254)*'Control Mapping'!$E$5:$E$83*'Control Mapping'!$S$5:$S$83)/SUMPRODUCT(('Control Mapping'!$C$5:$C$83=D254)*'Control Mapping'!$E$5:$E$83*('Control Mapping'!$S$5:$S$83&gt;0)),""))</f>
        <v>2</v>
      </c>
      <c r="M254" s="34" t="n">
        <f aca="false">IF(NOT(ISNUMBER($G254)),"",IF(J254=0,4,MAX(MATCH(L254,'Residual Config'!$E$11:$E$14,1),IF(K254&gt;0,'Residual Config'!$C$7,1))))</f>
        <v>2</v>
      </c>
      <c r="N254" s="7" t="str">
        <f aca="false">IF(NOT(ISNUMBER($G254)),"",IF(J254=0,"Ineffective (no key control)",INDEX('Residual Config'!$B$11:$B$14,M254)))</f>
        <v>Largely effective</v>
      </c>
      <c r="O254" s="36" t="n">
        <f aca="false">IF(NOT(ISNUMBER($G254)),"",IF(J254=0,0,SUMPRODUCT(('Control Mapping'!$C$5:$C$83=D254)*'Control Mapping'!$E$5:$E$83*(('Control Mapping'!$S$5:$S$83=1)*'Residual Config'!$D$11+('Control Mapping'!$S$5:$S$83=2)*'Residual Config'!$D$12+('Control Mapping'!$S$5:$S$83=3)*'Residual Config'!$D$13+('Control Mapping'!$S$5:$S$83=4)*'Residual Config'!$D$14))/SUMPRODUCT(('Control Mapping'!$C$5:$C$83=D254)*'Control Mapping'!$E$5:$E$83*('Control Mapping'!$S$5:$S$83&gt;0))))</f>
        <v>0.4</v>
      </c>
      <c r="P254" s="31" t="n">
        <f aca="false">IF(NOT(ISNUMBER($G254)),"",INDEX('Residual Config'!$B$19:$E$23,6-G254,M254))</f>
        <v>1</v>
      </c>
      <c r="Q254" s="29" t="n">
        <f aca="false">IF(NOT(ISNUMBER($G254)),"",MAX(1,F254*(1-O254)))</f>
        <v>1.2</v>
      </c>
      <c r="R254" s="31" t="n">
        <f aca="false">IF(NOT(ISNUMBER($G254)),"",MAX(MATCH(Q254,Config!$D$5:$D$9,1),G254-'Residual Config'!$C$6))</f>
        <v>1</v>
      </c>
      <c r="S254" s="34" t="n">
        <f aca="false">IF(NOT(ISNUMBER($G254)),"",IF('Residual Config'!$C$5="Numeric",R254,P254))</f>
        <v>1</v>
      </c>
      <c r="T254" s="7" t="str">
        <f aca="false">IF(G254="N/A","N/A",IF(S254="","No data",INDEX(Config!$B$5:$B$9,S254)))</f>
        <v>Low</v>
      </c>
      <c r="U254" s="32" t="n">
        <v>0</v>
      </c>
      <c r="V254" s="8"/>
      <c r="W254" s="33"/>
      <c r="X254" s="34" t="n">
        <f aca="false">IF(S254="","",IF(AND(W254="Y",U254&lt;&gt;0),MAX(1,MIN(5,S254+MAX(-Config!$C$27,MIN(Config!$C$27,U254)))),S254))</f>
        <v>1</v>
      </c>
      <c r="Y254" s="35" t="str">
        <f aca="false">IF(G254="N/A","N/A",IF(X254="","No data",INDEX(Config!$B$5:$B$9,X254)))</f>
        <v>Low</v>
      </c>
      <c r="Z254" s="7" t="str">
        <f aca="false">IF(U254=0,"None",IF(W254="Y","Applied","Pending HO approval"))</f>
        <v>None</v>
      </c>
      <c r="AA254" s="12" t="str">
        <f aca="false">INDEX('Risk Taxonomy'!$G$5:$G$24,MATCH(D254,'Risk Taxonomy'!$A$5:$A$24,0))</f>
        <v>Very low</v>
      </c>
      <c r="AB254" s="7" t="str">
        <f aca="false">INDEX('Risk Taxonomy'!$H$5:$H$24,MATCH(D254,'Risk Taxonomy'!$A$5:$A$24,0))</f>
        <v>Medium-Low</v>
      </c>
      <c r="AC254" s="35" t="str">
        <f aca="false">IF(NOT(ISNUMBER(X254)),"",IF(X254&lt;=MATCH(AB254,Config!$B$5:$B$9,0),"Within",IF(OR(X254-MATCH(AB254,Config!$B$5:$B$9,0)&gt;=2,AND('Residual Config'!$C$8="Y",ISNUMBER(SEARCH("Zero",AA254)))),"Red","Amber")))</f>
        <v>Within</v>
      </c>
      <c r="AD254" s="12" t="str">
        <f aca="false">IF(AC254="Red","Group CCO / CRO and Country CEO within 2 business days; action plan in 15 days; report to Board Risk &amp; Compliance Committee",IF(AC254="Amber","Country CO, risk owner and HO Administrator within 5 business days; action plan in 30 days",""))</f>
        <v/>
      </c>
    </row>
    <row r="255" customFormat="false" ht="15" hidden="false" customHeight="false" outlineLevel="0" collapsed="false">
      <c r="A255" s="26" t="str">
        <f aca="false">Entities!$A$17</f>
        <v>SA</v>
      </c>
      <c r="B255" s="12" t="str">
        <f aca="false">INDEX(Entities!$B$5:$B$34,MATCH(A255,Entities!$A$5:$A$34,0))</f>
        <v>Arab National Bank (affiliate)</v>
      </c>
      <c r="C255" s="12" t="str">
        <f aca="false">INDEX(Entities!$D$5:$D$34,MATCH(A255,Entities!$A$5:$A$34,0))</f>
        <v>GCC</v>
      </c>
      <c r="D255" s="12" t="s">
        <v>293</v>
      </c>
      <c r="E255" s="12" t="str">
        <f aca="false">INDEX('Risk Taxonomy'!$B$5:$B$24,MATCH(D255,'Risk Taxonomy'!$A$5:$A$24,0))</f>
        <v>Shariah non-compliance</v>
      </c>
      <c r="F255" s="29" t="str">
        <f aca="false">IF(NOT(ISNUMBER(G255)),"",G255)</f>
        <v/>
      </c>
      <c r="G255" s="34" t="str">
        <f aca="false">IF(COUNTIFS('LxI Assessment'!$A$5:$A$394,A255,'LxI Assessment'!$D$5:$D$394,D255,'LxI Assessment'!$F$5:$F$394,"N/A")&gt;0,"N/A",IF(COUNTIFS('LxI Assessment'!$A$5:$A$394,A255,'LxI Assessment'!$D$5:$D$394,D255,'LxI Assessment'!$S$5:$S$394,"&gt;0")=0,"",SUMIFS('LxI Assessment'!$S$5:$S$394,'LxI Assessment'!$A$5:$A$394,A255,'LxI Assessment'!$D$5:$D$394,D255)))</f>
        <v>N/A</v>
      </c>
      <c r="H255" s="7" t="str">
        <f aca="false">IF(G255="N/A","N/A",IF(G255="","No data",INDEX(Config!$B$5:$B$9,G255)))</f>
        <v>N/A</v>
      </c>
      <c r="I255" s="31" t="str">
        <f aca="false">IF(NOT(ISNUMBER($G255)),"",SUMPRODUCT(('Control Mapping'!$C$5:$C$83=D255)*('Control Mapping'!$S$5:$S$83&gt;0)))</f>
        <v/>
      </c>
      <c r="J255" s="31" t="str">
        <f aca="false">IF(NOT(ISNUMBER($G255)),"",SUMPRODUCT(('Control Mapping'!$C$5:$C$83=D255)*('Control Mapping'!$F$5:$F$83="Y")*('Control Mapping'!$S$5:$S$83&gt;0)))</f>
        <v/>
      </c>
      <c r="K255" s="31" t="str">
        <f aca="false">IF(NOT(ISNUMBER($G255)),"",SUMPRODUCT(('Control Mapping'!$C$5:$C$83=D255)*('Control Mapping'!$F$5:$F$83="Y")*('Control Mapping'!$S$5:$S$83=4)))</f>
        <v/>
      </c>
      <c r="L255" s="29" t="str">
        <f aca="false">IF(NOT(ISNUMBER($G255)),"",IFERROR(SUMPRODUCT(('Control Mapping'!$C$5:$C$83=D255)*'Control Mapping'!$E$5:$E$83*'Control Mapping'!$S$5:$S$83)/SUMPRODUCT(('Control Mapping'!$C$5:$C$83=D255)*'Control Mapping'!$E$5:$E$83*('Control Mapping'!$S$5:$S$83&gt;0)),""))</f>
        <v/>
      </c>
      <c r="M255" s="34" t="str">
        <f aca="false">IF(NOT(ISNUMBER($G255)),"",IF(J255=0,4,MAX(MATCH(L255,'Residual Config'!$E$11:$E$14,1),IF(K255&gt;0,'Residual Config'!$C$7,1))))</f>
        <v/>
      </c>
      <c r="N255" s="7" t="str">
        <f aca="false">IF(NOT(ISNUMBER($G255)),"",IF(J255=0,"Ineffective (no key control)",INDEX('Residual Config'!$B$11:$B$14,M255)))</f>
        <v/>
      </c>
      <c r="O255" s="36" t="str">
        <f aca="false">IF(NOT(ISNUMBER($G255)),"",IF(J255=0,0,SUMPRODUCT(('Control Mapping'!$C$5:$C$83=D255)*'Control Mapping'!$E$5:$E$83*(('Control Mapping'!$S$5:$S$83=1)*'Residual Config'!$D$11+('Control Mapping'!$S$5:$S$83=2)*'Residual Config'!$D$12+('Control Mapping'!$S$5:$S$83=3)*'Residual Config'!$D$13+('Control Mapping'!$S$5:$S$83=4)*'Residual Config'!$D$14))/SUMPRODUCT(('Control Mapping'!$C$5:$C$83=D255)*'Control Mapping'!$E$5:$E$83*('Control Mapping'!$S$5:$S$83&gt;0))))</f>
        <v/>
      </c>
      <c r="P255" s="31" t="str">
        <f aca="false">IF(NOT(ISNUMBER($G255)),"",INDEX('Residual Config'!$B$19:$E$23,6-G255,M255))</f>
        <v/>
      </c>
      <c r="Q255" s="29" t="str">
        <f aca="false">IF(NOT(ISNUMBER($G255)),"",MAX(1,F255*(1-O255)))</f>
        <v/>
      </c>
      <c r="R255" s="31" t="str">
        <f aca="false">IF(NOT(ISNUMBER($G255)),"",MAX(MATCH(Q255,Config!$D$5:$D$9,1),G255-'Residual Config'!$C$6))</f>
        <v/>
      </c>
      <c r="S255" s="34" t="str">
        <f aca="false">IF(NOT(ISNUMBER($G255)),"",IF('Residual Config'!$C$5="Numeric",R255,P255))</f>
        <v/>
      </c>
      <c r="T255" s="7" t="str">
        <f aca="false">IF(G255="N/A","N/A",IF(S255="","No data",INDEX(Config!$B$5:$B$9,S255)))</f>
        <v>N/A</v>
      </c>
      <c r="U255" s="32" t="n">
        <v>0</v>
      </c>
      <c r="V255" s="8"/>
      <c r="W255" s="33"/>
      <c r="X255" s="34" t="str">
        <f aca="false">IF(S255="","",IF(AND(W255="Y",U255&lt;&gt;0),MAX(1,MIN(5,S255+MAX(-Config!$C$27,MIN(Config!$C$27,U255)))),S255))</f>
        <v/>
      </c>
      <c r="Y255" s="35" t="str">
        <f aca="false">IF(G255="N/A","N/A",IF(X255="","No data",INDEX(Config!$B$5:$B$9,X255)))</f>
        <v>N/A</v>
      </c>
      <c r="Z255" s="7" t="str">
        <f aca="false">IF(U255=0,"None",IF(W255="Y","Applied","Pending HO approval"))</f>
        <v>None</v>
      </c>
      <c r="AA255" s="12" t="str">
        <f aca="false">INDEX('Risk Taxonomy'!$G$5:$G$24,MATCH(D255,'Risk Taxonomy'!$A$5:$A$24,0))</f>
        <v>Very low</v>
      </c>
      <c r="AB255" s="7" t="str">
        <f aca="false">INDEX('Risk Taxonomy'!$H$5:$H$24,MATCH(D255,'Risk Taxonomy'!$A$5:$A$24,0))</f>
        <v>Medium-Low</v>
      </c>
      <c r="AC255" s="35" t="str">
        <f aca="false">IF(NOT(ISNUMBER(X255)),"",IF(X255&lt;=MATCH(AB255,Config!$B$5:$B$9,0),"Within",IF(OR(X255-MATCH(AB255,Config!$B$5:$B$9,0)&gt;=2,AND('Residual Config'!$C$8="Y",ISNUMBER(SEARCH("Zero",AA255)))),"Red","Amber")))</f>
        <v/>
      </c>
      <c r="AD255" s="12" t="str">
        <f aca="false">IF(AC255="Red","Group CCO / CRO and Country CEO within 2 business days; action plan in 15 days; report to Board Risk &amp; Compliance Committee",IF(AC255="Amber","Country CO, risk owner and HO Administrator within 5 business days; action plan in 30 days",""))</f>
        <v/>
      </c>
    </row>
    <row r="256" customFormat="false" ht="15" hidden="false" customHeight="false" outlineLevel="0" collapsed="false">
      <c r="A256" s="26" t="str">
        <f aca="false">Entities!$A$17</f>
        <v>SA</v>
      </c>
      <c r="B256" s="12" t="str">
        <f aca="false">INDEX(Entities!$B$5:$B$34,MATCH(A256,Entities!$A$5:$A$34,0))</f>
        <v>Arab National Bank (affiliate)</v>
      </c>
      <c r="C256" s="12" t="str">
        <f aca="false">INDEX(Entities!$D$5:$D$34,MATCH(A256,Entities!$A$5:$A$34,0))</f>
        <v>GCC</v>
      </c>
      <c r="D256" s="12" t="s">
        <v>297</v>
      </c>
      <c r="E256" s="12" t="str">
        <f aca="false">INDEX('Risk Taxonomy'!$B$5:$B$24,MATCH(D256,'Risk Taxonomy'!$A$5:$A$24,0))</f>
        <v>Credit risk</v>
      </c>
      <c r="F256" s="29" t="n">
        <f aca="false">IF(NOT(ISNUMBER(G256)),"",G256)</f>
        <v>2</v>
      </c>
      <c r="G256" s="34" t="n">
        <f aca="false">IF(COUNTIFS('LxI Assessment'!$A$5:$A$394,A256,'LxI Assessment'!$D$5:$D$394,D256,'LxI Assessment'!$F$5:$F$394,"N/A")&gt;0,"N/A",IF(COUNTIFS('LxI Assessment'!$A$5:$A$394,A256,'LxI Assessment'!$D$5:$D$394,D256,'LxI Assessment'!$S$5:$S$394,"&gt;0")=0,"",SUMIFS('LxI Assessment'!$S$5:$S$394,'LxI Assessment'!$A$5:$A$394,A256,'LxI Assessment'!$D$5:$D$394,D256)))</f>
        <v>2</v>
      </c>
      <c r="H256" s="7" t="str">
        <f aca="false">IF(G256="N/A","N/A",IF(G256="","No data",INDEX(Config!$B$5:$B$9,G256)))</f>
        <v>Medium-Low</v>
      </c>
      <c r="I256" s="31" t="n">
        <f aca="false">IF(NOT(ISNUMBER($G256)),"",SUMPRODUCT(('Control Mapping'!$C$5:$C$83=D256)*('Control Mapping'!$S$5:$S$83&gt;0)))</f>
        <v>2</v>
      </c>
      <c r="J256" s="31" t="n">
        <f aca="false">IF(NOT(ISNUMBER($G256)),"",SUMPRODUCT(('Control Mapping'!$C$5:$C$83=D256)*('Control Mapping'!$F$5:$F$83="Y")*('Control Mapping'!$S$5:$S$83&gt;0)))</f>
        <v>1</v>
      </c>
      <c r="K256" s="31" t="n">
        <f aca="false">IF(NOT(ISNUMBER($G256)),"",SUMPRODUCT(('Control Mapping'!$C$5:$C$83=D256)*('Control Mapping'!$F$5:$F$83="Y")*('Control Mapping'!$S$5:$S$83=4)))</f>
        <v>0</v>
      </c>
      <c r="L256" s="29" t="n">
        <f aca="false">IF(NOT(ISNUMBER($G256)),"",IFERROR(SUMPRODUCT(('Control Mapping'!$C$5:$C$83=D256)*'Control Mapping'!$E$5:$E$83*'Control Mapping'!$S$5:$S$83)/SUMPRODUCT(('Control Mapping'!$C$5:$C$83=D256)*'Control Mapping'!$E$5:$E$83*('Control Mapping'!$S$5:$S$83&gt;0)),""))</f>
        <v>2</v>
      </c>
      <c r="M256" s="34" t="n">
        <f aca="false">IF(NOT(ISNUMBER($G256)),"",IF(J256=0,4,MAX(MATCH(L256,'Residual Config'!$E$11:$E$14,1),IF(K256&gt;0,'Residual Config'!$C$7,1))))</f>
        <v>2</v>
      </c>
      <c r="N256" s="7" t="str">
        <f aca="false">IF(NOT(ISNUMBER($G256)),"",IF(J256=0,"Ineffective (no key control)",INDEX('Residual Config'!$B$11:$B$14,M256)))</f>
        <v>Largely effective</v>
      </c>
      <c r="O256" s="36" t="n">
        <f aca="false">IF(NOT(ISNUMBER($G256)),"",IF(J256=0,0,SUMPRODUCT(('Control Mapping'!$C$5:$C$83=D256)*'Control Mapping'!$E$5:$E$83*(('Control Mapping'!$S$5:$S$83=1)*'Residual Config'!$D$11+('Control Mapping'!$S$5:$S$83=2)*'Residual Config'!$D$12+('Control Mapping'!$S$5:$S$83=3)*'Residual Config'!$D$13+('Control Mapping'!$S$5:$S$83=4)*'Residual Config'!$D$14))/SUMPRODUCT(('Control Mapping'!$C$5:$C$83=D256)*'Control Mapping'!$E$5:$E$83*('Control Mapping'!$S$5:$S$83&gt;0))))</f>
        <v>0.4</v>
      </c>
      <c r="P256" s="31" t="n">
        <f aca="false">IF(NOT(ISNUMBER($G256)),"",INDEX('Residual Config'!$B$19:$E$23,6-G256,M256))</f>
        <v>1</v>
      </c>
      <c r="Q256" s="29" t="n">
        <f aca="false">IF(NOT(ISNUMBER($G256)),"",MAX(1,F256*(1-O256)))</f>
        <v>1.2</v>
      </c>
      <c r="R256" s="31" t="n">
        <f aca="false">IF(NOT(ISNUMBER($G256)),"",MAX(MATCH(Q256,Config!$D$5:$D$9,1),G256-'Residual Config'!$C$6))</f>
        <v>1</v>
      </c>
      <c r="S256" s="34" t="n">
        <f aca="false">IF(NOT(ISNUMBER($G256)),"",IF('Residual Config'!$C$5="Numeric",R256,P256))</f>
        <v>1</v>
      </c>
      <c r="T256" s="7" t="str">
        <f aca="false">IF(G256="N/A","N/A",IF(S256="","No data",INDEX(Config!$B$5:$B$9,S256)))</f>
        <v>Low</v>
      </c>
      <c r="U256" s="32" t="n">
        <v>0</v>
      </c>
      <c r="V256" s="8"/>
      <c r="W256" s="33"/>
      <c r="X256" s="34" t="n">
        <f aca="false">IF(S256="","",IF(AND(W256="Y",U256&lt;&gt;0),MAX(1,MIN(5,S256+MAX(-Config!$C$27,MIN(Config!$C$27,U256)))),S256))</f>
        <v>1</v>
      </c>
      <c r="Y256" s="35" t="str">
        <f aca="false">IF(G256="N/A","N/A",IF(X256="","No data",INDEX(Config!$B$5:$B$9,X256)))</f>
        <v>Low</v>
      </c>
      <c r="Z256" s="7" t="str">
        <f aca="false">IF(U256=0,"None",IF(W256="Y","Applied","Pending HO approval"))</f>
        <v>None</v>
      </c>
      <c r="AA256" s="12" t="str">
        <f aca="false">INDEX('Risk Taxonomy'!$G$5:$G$24,MATCH(D256,'Risk Taxonomy'!$A$5:$A$24,0))</f>
        <v>Moderate</v>
      </c>
      <c r="AB256" s="7" t="str">
        <f aca="false">INDEX('Risk Taxonomy'!$H$5:$H$24,MATCH(D256,'Risk Taxonomy'!$A$5:$A$24,0))</f>
        <v>Medium-High</v>
      </c>
      <c r="AC256" s="35" t="str">
        <f aca="false">IF(NOT(ISNUMBER(X256)),"",IF(X256&lt;=MATCH(AB256,Config!$B$5:$B$9,0),"Within",IF(OR(X256-MATCH(AB256,Config!$B$5:$B$9,0)&gt;=2,AND('Residual Config'!$C$8="Y",ISNUMBER(SEARCH("Zero",AA256)))),"Red","Amber")))</f>
        <v>Within</v>
      </c>
      <c r="AD256" s="12" t="str">
        <f aca="false">IF(AC256="Red","Group CCO / CRO and Country CEO within 2 business days; action plan in 15 days; report to Board Risk &amp; Compliance Committee",IF(AC256="Amber","Country CO, risk owner and HO Administrator within 5 business days; action plan in 30 days",""))</f>
        <v/>
      </c>
    </row>
    <row r="257" customFormat="false" ht="15" hidden="false" customHeight="false" outlineLevel="0" collapsed="false">
      <c r="A257" s="26" t="str">
        <f aca="false">Entities!$A$17</f>
        <v>SA</v>
      </c>
      <c r="B257" s="12" t="str">
        <f aca="false">INDEX(Entities!$B$5:$B$34,MATCH(A257,Entities!$A$5:$A$34,0))</f>
        <v>Arab National Bank (affiliate)</v>
      </c>
      <c r="C257" s="12" t="str">
        <f aca="false">INDEX(Entities!$D$5:$D$34,MATCH(A257,Entities!$A$5:$A$34,0))</f>
        <v>GCC</v>
      </c>
      <c r="D257" s="12" t="s">
        <v>302</v>
      </c>
      <c r="E257" s="12" t="str">
        <f aca="false">INDEX('Risk Taxonomy'!$B$5:$B$24,MATCH(D257,'Risk Taxonomy'!$A$5:$A$24,0))</f>
        <v>Market risk</v>
      </c>
      <c r="F257" s="29" t="n">
        <f aca="false">IF(NOT(ISNUMBER(G257)),"",G257)</f>
        <v>3</v>
      </c>
      <c r="G257" s="34" t="n">
        <f aca="false">IF(COUNTIFS('LxI Assessment'!$A$5:$A$394,A257,'LxI Assessment'!$D$5:$D$394,D257,'LxI Assessment'!$F$5:$F$394,"N/A")&gt;0,"N/A",IF(COUNTIFS('LxI Assessment'!$A$5:$A$394,A257,'LxI Assessment'!$D$5:$D$394,D257,'LxI Assessment'!$S$5:$S$394,"&gt;0")=0,"",SUMIFS('LxI Assessment'!$S$5:$S$394,'LxI Assessment'!$A$5:$A$394,A257,'LxI Assessment'!$D$5:$D$394,D257)))</f>
        <v>3</v>
      </c>
      <c r="H257" s="7" t="str">
        <f aca="false">IF(G257="N/A","N/A",IF(G257="","No data",INDEX(Config!$B$5:$B$9,G257)))</f>
        <v>Medium</v>
      </c>
      <c r="I257" s="31" t="n">
        <f aca="false">IF(NOT(ISNUMBER($G257)),"",SUMPRODUCT(('Control Mapping'!$C$5:$C$83=D257)*('Control Mapping'!$S$5:$S$83&gt;0)))</f>
        <v>1</v>
      </c>
      <c r="J257" s="31" t="n">
        <f aca="false">IF(NOT(ISNUMBER($G257)),"",SUMPRODUCT(('Control Mapping'!$C$5:$C$83=D257)*('Control Mapping'!$F$5:$F$83="Y")*('Control Mapping'!$S$5:$S$83&gt;0)))</f>
        <v>1</v>
      </c>
      <c r="K257" s="31" t="n">
        <f aca="false">IF(NOT(ISNUMBER($G257)),"",SUMPRODUCT(('Control Mapping'!$C$5:$C$83=D257)*('Control Mapping'!$F$5:$F$83="Y")*('Control Mapping'!$S$5:$S$83=4)))</f>
        <v>0</v>
      </c>
      <c r="L257" s="29" t="n">
        <f aca="false">IF(NOT(ISNUMBER($G257)),"",IFERROR(SUMPRODUCT(('Control Mapping'!$C$5:$C$83=D257)*'Control Mapping'!$E$5:$E$83*'Control Mapping'!$S$5:$S$83)/SUMPRODUCT(('Control Mapping'!$C$5:$C$83=D257)*'Control Mapping'!$E$5:$E$83*('Control Mapping'!$S$5:$S$83&gt;0)),""))</f>
        <v>2</v>
      </c>
      <c r="M257" s="34" t="n">
        <f aca="false">IF(NOT(ISNUMBER($G257)),"",IF(J257=0,4,MAX(MATCH(L257,'Residual Config'!$E$11:$E$14,1),IF(K257&gt;0,'Residual Config'!$C$7,1))))</f>
        <v>2</v>
      </c>
      <c r="N257" s="7" t="str">
        <f aca="false">IF(NOT(ISNUMBER($G257)),"",IF(J257=0,"Ineffective (no key control)",INDEX('Residual Config'!$B$11:$B$14,M257)))</f>
        <v>Largely effective</v>
      </c>
      <c r="O257" s="36" t="n">
        <f aca="false">IF(NOT(ISNUMBER($G257)),"",IF(J257=0,0,SUMPRODUCT(('Control Mapping'!$C$5:$C$83=D257)*'Control Mapping'!$E$5:$E$83*(('Control Mapping'!$S$5:$S$83=1)*'Residual Config'!$D$11+('Control Mapping'!$S$5:$S$83=2)*'Residual Config'!$D$12+('Control Mapping'!$S$5:$S$83=3)*'Residual Config'!$D$13+('Control Mapping'!$S$5:$S$83=4)*'Residual Config'!$D$14))/SUMPRODUCT(('Control Mapping'!$C$5:$C$83=D257)*'Control Mapping'!$E$5:$E$83*('Control Mapping'!$S$5:$S$83&gt;0))))</f>
        <v>0.4</v>
      </c>
      <c r="P257" s="31" t="n">
        <f aca="false">IF(NOT(ISNUMBER($G257)),"",INDEX('Residual Config'!$B$19:$E$23,6-G257,M257))</f>
        <v>2</v>
      </c>
      <c r="Q257" s="29" t="n">
        <f aca="false">IF(NOT(ISNUMBER($G257)),"",MAX(1,F257*(1-O257)))</f>
        <v>1.8</v>
      </c>
      <c r="R257" s="31" t="n">
        <f aca="false">IF(NOT(ISNUMBER($G257)),"",MAX(MATCH(Q257,Config!$D$5:$D$9,1),G257-'Residual Config'!$C$6))</f>
        <v>1</v>
      </c>
      <c r="S257" s="34" t="n">
        <f aca="false">IF(NOT(ISNUMBER($G257)),"",IF('Residual Config'!$C$5="Numeric",R257,P257))</f>
        <v>2</v>
      </c>
      <c r="T257" s="7" t="str">
        <f aca="false">IF(G257="N/A","N/A",IF(S257="","No data",INDEX(Config!$B$5:$B$9,S257)))</f>
        <v>Medium-Low</v>
      </c>
      <c r="U257" s="32" t="n">
        <v>0</v>
      </c>
      <c r="V257" s="8"/>
      <c r="W257" s="33"/>
      <c r="X257" s="34" t="n">
        <f aca="false">IF(S257="","",IF(AND(W257="Y",U257&lt;&gt;0),MAX(1,MIN(5,S257+MAX(-Config!$C$27,MIN(Config!$C$27,U257)))),S257))</f>
        <v>2</v>
      </c>
      <c r="Y257" s="35" t="str">
        <f aca="false">IF(G257="N/A","N/A",IF(X257="","No data",INDEX(Config!$B$5:$B$9,X257)))</f>
        <v>Medium-Low</v>
      </c>
      <c r="Z257" s="7" t="str">
        <f aca="false">IF(U257=0,"None",IF(W257="Y","Applied","Pending HO approval"))</f>
        <v>None</v>
      </c>
      <c r="AA257" s="12" t="str">
        <f aca="false">INDEX('Risk Taxonomy'!$G$5:$G$24,MATCH(D257,'Risk Taxonomy'!$A$5:$A$24,0))</f>
        <v>Moderate</v>
      </c>
      <c r="AB257" s="7" t="str">
        <f aca="false">INDEX('Risk Taxonomy'!$H$5:$H$24,MATCH(D257,'Risk Taxonomy'!$A$5:$A$24,0))</f>
        <v>Medium-High</v>
      </c>
      <c r="AC257" s="35" t="str">
        <f aca="false">IF(NOT(ISNUMBER(X257)),"",IF(X257&lt;=MATCH(AB257,Config!$B$5:$B$9,0),"Within",IF(OR(X257-MATCH(AB257,Config!$B$5:$B$9,0)&gt;=2,AND('Residual Config'!$C$8="Y",ISNUMBER(SEARCH("Zero",AA257)))),"Red","Amber")))</f>
        <v>Within</v>
      </c>
      <c r="AD257" s="12" t="str">
        <f aca="false">IF(AC257="Red","Group CCO / CRO and Country CEO within 2 business days; action plan in 15 days; report to Board Risk &amp; Compliance Committee",IF(AC257="Amber","Country CO, risk owner and HO Administrator within 5 business days; action plan in 30 days",""))</f>
        <v/>
      </c>
    </row>
    <row r="258" customFormat="false" ht="15" hidden="false" customHeight="false" outlineLevel="0" collapsed="false">
      <c r="A258" s="26" t="str">
        <f aca="false">Entities!$A$17</f>
        <v>SA</v>
      </c>
      <c r="B258" s="12" t="str">
        <f aca="false">INDEX(Entities!$B$5:$B$34,MATCH(A258,Entities!$A$5:$A$34,0))</f>
        <v>Arab National Bank (affiliate)</v>
      </c>
      <c r="C258" s="12" t="str">
        <f aca="false">INDEX(Entities!$D$5:$D$34,MATCH(A258,Entities!$A$5:$A$34,0))</f>
        <v>GCC</v>
      </c>
      <c r="D258" s="12" t="s">
        <v>304</v>
      </c>
      <c r="E258" s="12" t="str">
        <f aca="false">INDEX('Risk Taxonomy'!$B$5:$B$24,MATCH(D258,'Risk Taxonomy'!$A$5:$A$24,0))</f>
        <v>Liquidity and funding risk</v>
      </c>
      <c r="F258" s="29" t="n">
        <f aca="false">IF(NOT(ISNUMBER(G258)),"",G258)</f>
        <v>4</v>
      </c>
      <c r="G258" s="34" t="n">
        <f aca="false">IF(COUNTIFS('LxI Assessment'!$A$5:$A$394,A258,'LxI Assessment'!$D$5:$D$394,D258,'LxI Assessment'!$F$5:$F$394,"N/A")&gt;0,"N/A",IF(COUNTIFS('LxI Assessment'!$A$5:$A$394,A258,'LxI Assessment'!$D$5:$D$394,D258,'LxI Assessment'!$S$5:$S$394,"&gt;0")=0,"",SUMIFS('LxI Assessment'!$S$5:$S$394,'LxI Assessment'!$A$5:$A$394,A258,'LxI Assessment'!$D$5:$D$394,D258)))</f>
        <v>4</v>
      </c>
      <c r="H258" s="7" t="str">
        <f aca="false">IF(G258="N/A","N/A",IF(G258="","No data",INDEX(Config!$B$5:$B$9,G258)))</f>
        <v>Medium-High</v>
      </c>
      <c r="I258" s="31" t="n">
        <f aca="false">IF(NOT(ISNUMBER($G258)),"",SUMPRODUCT(('Control Mapping'!$C$5:$C$83=D258)*('Control Mapping'!$S$5:$S$83&gt;0)))</f>
        <v>1</v>
      </c>
      <c r="J258" s="31" t="n">
        <f aca="false">IF(NOT(ISNUMBER($G258)),"",SUMPRODUCT(('Control Mapping'!$C$5:$C$83=D258)*('Control Mapping'!$F$5:$F$83="Y")*('Control Mapping'!$S$5:$S$83&gt;0)))</f>
        <v>1</v>
      </c>
      <c r="K258" s="31" t="n">
        <f aca="false">IF(NOT(ISNUMBER($G258)),"",SUMPRODUCT(('Control Mapping'!$C$5:$C$83=D258)*('Control Mapping'!$F$5:$F$83="Y")*('Control Mapping'!$S$5:$S$83=4)))</f>
        <v>0</v>
      </c>
      <c r="L258" s="29" t="n">
        <f aca="false">IF(NOT(ISNUMBER($G258)),"",IFERROR(SUMPRODUCT(('Control Mapping'!$C$5:$C$83=D258)*'Control Mapping'!$E$5:$E$83*'Control Mapping'!$S$5:$S$83)/SUMPRODUCT(('Control Mapping'!$C$5:$C$83=D258)*'Control Mapping'!$E$5:$E$83*('Control Mapping'!$S$5:$S$83&gt;0)),""))</f>
        <v>1</v>
      </c>
      <c r="M258" s="34" t="n">
        <f aca="false">IF(NOT(ISNUMBER($G258)),"",IF(J258=0,4,MAX(MATCH(L258,'Residual Config'!$E$11:$E$14,1),IF(K258&gt;0,'Residual Config'!$C$7,1))))</f>
        <v>1</v>
      </c>
      <c r="N258" s="7" t="str">
        <f aca="false">IF(NOT(ISNUMBER($G258)),"",IF(J258=0,"Ineffective (no key control)",INDEX('Residual Config'!$B$11:$B$14,M258)))</f>
        <v>Effective</v>
      </c>
      <c r="O258" s="36" t="n">
        <f aca="false">IF(NOT(ISNUMBER($G258)),"",IF(J258=0,0,SUMPRODUCT(('Control Mapping'!$C$5:$C$83=D258)*'Control Mapping'!$E$5:$E$83*(('Control Mapping'!$S$5:$S$83=1)*'Residual Config'!$D$11+('Control Mapping'!$S$5:$S$83=2)*'Residual Config'!$D$12+('Control Mapping'!$S$5:$S$83=3)*'Residual Config'!$D$13+('Control Mapping'!$S$5:$S$83=4)*'Residual Config'!$D$14))/SUMPRODUCT(('Control Mapping'!$C$5:$C$83=D258)*'Control Mapping'!$E$5:$E$83*('Control Mapping'!$S$5:$S$83&gt;0))))</f>
        <v>0.6</v>
      </c>
      <c r="P258" s="31" t="n">
        <f aca="false">IF(NOT(ISNUMBER($G258)),"",INDEX('Residual Config'!$B$19:$E$23,6-G258,M258))</f>
        <v>2</v>
      </c>
      <c r="Q258" s="29" t="n">
        <f aca="false">IF(NOT(ISNUMBER($G258)),"",MAX(1,F258*(1-O258)))</f>
        <v>1.6</v>
      </c>
      <c r="R258" s="31" t="n">
        <f aca="false">IF(NOT(ISNUMBER($G258)),"",MAX(MATCH(Q258,Config!$D$5:$D$9,1),G258-'Residual Config'!$C$6))</f>
        <v>2</v>
      </c>
      <c r="S258" s="34" t="n">
        <f aca="false">IF(NOT(ISNUMBER($G258)),"",IF('Residual Config'!$C$5="Numeric",R258,P258))</f>
        <v>2</v>
      </c>
      <c r="T258" s="7" t="str">
        <f aca="false">IF(G258="N/A","N/A",IF(S258="","No data",INDEX(Config!$B$5:$B$9,S258)))</f>
        <v>Medium-Low</v>
      </c>
      <c r="U258" s="32" t="n">
        <v>0</v>
      </c>
      <c r="V258" s="8"/>
      <c r="W258" s="33"/>
      <c r="X258" s="34" t="n">
        <f aca="false">IF(S258="","",IF(AND(W258="Y",U258&lt;&gt;0),MAX(1,MIN(5,S258+MAX(-Config!$C$27,MIN(Config!$C$27,U258)))),S258))</f>
        <v>2</v>
      </c>
      <c r="Y258" s="35" t="str">
        <f aca="false">IF(G258="N/A","N/A",IF(X258="","No data",INDEX(Config!$B$5:$B$9,X258)))</f>
        <v>Medium-Low</v>
      </c>
      <c r="Z258" s="7" t="str">
        <f aca="false">IF(U258=0,"None",IF(W258="Y","Applied","Pending HO approval"))</f>
        <v>None</v>
      </c>
      <c r="AA258" s="12" t="str">
        <f aca="false">INDEX('Risk Taxonomy'!$G$5:$G$24,MATCH(D258,'Risk Taxonomy'!$A$5:$A$24,0))</f>
        <v>Low</v>
      </c>
      <c r="AB258" s="7" t="str">
        <f aca="false">INDEX('Risk Taxonomy'!$H$5:$H$24,MATCH(D258,'Risk Taxonomy'!$A$5:$A$24,0))</f>
        <v>Medium</v>
      </c>
      <c r="AC258" s="35" t="str">
        <f aca="false">IF(NOT(ISNUMBER(X258)),"",IF(X258&lt;=MATCH(AB258,Config!$B$5:$B$9,0),"Within",IF(OR(X258-MATCH(AB258,Config!$B$5:$B$9,0)&gt;=2,AND('Residual Config'!$C$8="Y",ISNUMBER(SEARCH("Zero",AA258)))),"Red","Amber")))</f>
        <v>Within</v>
      </c>
      <c r="AD258" s="12" t="str">
        <f aca="false">IF(AC258="Red","Group CCO / CRO and Country CEO within 2 business days; action plan in 15 days; report to Board Risk &amp; Compliance Committee",IF(AC258="Amber","Country CO, risk owner and HO Administrator within 5 business days; action plan in 30 days",""))</f>
        <v/>
      </c>
    </row>
    <row r="259" customFormat="false" ht="15" hidden="false" customHeight="false" outlineLevel="0" collapsed="false">
      <c r="A259" s="26" t="str">
        <f aca="false">Entities!$A$17</f>
        <v>SA</v>
      </c>
      <c r="B259" s="12" t="str">
        <f aca="false">INDEX(Entities!$B$5:$B$34,MATCH(A259,Entities!$A$5:$A$34,0))</f>
        <v>Arab National Bank (affiliate)</v>
      </c>
      <c r="C259" s="12" t="str">
        <f aca="false">INDEX(Entities!$D$5:$D$34,MATCH(A259,Entities!$A$5:$A$34,0))</f>
        <v>GCC</v>
      </c>
      <c r="D259" s="12" t="s">
        <v>307</v>
      </c>
      <c r="E259" s="12" t="str">
        <f aca="false">INDEX('Risk Taxonomy'!$B$5:$B$24,MATCH(D259,'Risk Taxonomy'!$A$5:$A$24,0))</f>
        <v>Operational risk</v>
      </c>
      <c r="F259" s="29" t="n">
        <f aca="false">IF(NOT(ISNUMBER(G259)),"",G259)</f>
        <v>3</v>
      </c>
      <c r="G259" s="34" t="n">
        <f aca="false">IF(COUNTIFS('LxI Assessment'!$A$5:$A$394,A259,'LxI Assessment'!$D$5:$D$394,D259,'LxI Assessment'!$F$5:$F$394,"N/A")&gt;0,"N/A",IF(COUNTIFS('LxI Assessment'!$A$5:$A$394,A259,'LxI Assessment'!$D$5:$D$394,D259,'LxI Assessment'!$S$5:$S$394,"&gt;0")=0,"",SUMIFS('LxI Assessment'!$S$5:$S$394,'LxI Assessment'!$A$5:$A$394,A259,'LxI Assessment'!$D$5:$D$394,D259)))</f>
        <v>3</v>
      </c>
      <c r="H259" s="7" t="str">
        <f aca="false">IF(G259="N/A","N/A",IF(G259="","No data",INDEX(Config!$B$5:$B$9,G259)))</f>
        <v>Medium</v>
      </c>
      <c r="I259" s="31" t="n">
        <f aca="false">IF(NOT(ISNUMBER($G259)),"",SUMPRODUCT(('Control Mapping'!$C$5:$C$83=D259)*('Control Mapping'!$S$5:$S$83&gt;0)))</f>
        <v>3</v>
      </c>
      <c r="J259" s="31" t="n">
        <f aca="false">IF(NOT(ISNUMBER($G259)),"",SUMPRODUCT(('Control Mapping'!$C$5:$C$83=D259)*('Control Mapping'!$F$5:$F$83="Y")*('Control Mapping'!$S$5:$S$83&gt;0)))</f>
        <v>2</v>
      </c>
      <c r="K259" s="31" t="n">
        <f aca="false">IF(NOT(ISNUMBER($G259)),"",SUMPRODUCT(('Control Mapping'!$C$5:$C$83=D259)*('Control Mapping'!$F$5:$F$83="Y")*('Control Mapping'!$S$5:$S$83=4)))</f>
        <v>0</v>
      </c>
      <c r="L259" s="29" t="n">
        <f aca="false">IF(NOT(ISNUMBER($G259)),"",IFERROR(SUMPRODUCT(('Control Mapping'!$C$5:$C$83=D259)*'Control Mapping'!$E$5:$E$83*'Control Mapping'!$S$5:$S$83)/SUMPRODUCT(('Control Mapping'!$C$5:$C$83=D259)*'Control Mapping'!$E$5:$E$83*('Control Mapping'!$S$5:$S$83&gt;0)),""))</f>
        <v>2.33333333333333</v>
      </c>
      <c r="M259" s="34" t="n">
        <f aca="false">IF(NOT(ISNUMBER($G259)),"",IF(J259=0,4,MAX(MATCH(L259,'Residual Config'!$E$11:$E$14,1),IF(K259&gt;0,'Residual Config'!$C$7,1))))</f>
        <v>2</v>
      </c>
      <c r="N259" s="7" t="str">
        <f aca="false">IF(NOT(ISNUMBER($G259)),"",IF(J259=0,"Ineffective (no key control)",INDEX('Residual Config'!$B$11:$B$14,M259)))</f>
        <v>Largely effective</v>
      </c>
      <c r="O259" s="36" t="n">
        <f aca="false">IF(NOT(ISNUMBER($G259)),"",IF(J259=0,0,SUMPRODUCT(('Control Mapping'!$C$5:$C$83=D259)*'Control Mapping'!$E$5:$E$83*(('Control Mapping'!$S$5:$S$83=1)*'Residual Config'!$D$11+('Control Mapping'!$S$5:$S$83=2)*'Residual Config'!$D$12+('Control Mapping'!$S$5:$S$83=3)*'Residual Config'!$D$13+('Control Mapping'!$S$5:$S$83=4)*'Residual Config'!$D$14))/SUMPRODUCT(('Control Mapping'!$C$5:$C$83=D259)*'Control Mapping'!$E$5:$E$83*('Control Mapping'!$S$5:$S$83&gt;0))))</f>
        <v>0.333333333333333</v>
      </c>
      <c r="P259" s="31" t="n">
        <f aca="false">IF(NOT(ISNUMBER($G259)),"",INDEX('Residual Config'!$B$19:$E$23,6-G259,M259))</f>
        <v>2</v>
      </c>
      <c r="Q259" s="29" t="n">
        <f aca="false">IF(NOT(ISNUMBER($G259)),"",MAX(1,F259*(1-O259)))</f>
        <v>2</v>
      </c>
      <c r="R259" s="31" t="n">
        <f aca="false">IF(NOT(ISNUMBER($G259)),"",MAX(MATCH(Q259,Config!$D$5:$D$9,1),G259-'Residual Config'!$C$6))</f>
        <v>2</v>
      </c>
      <c r="S259" s="34" t="n">
        <f aca="false">IF(NOT(ISNUMBER($G259)),"",IF('Residual Config'!$C$5="Numeric",R259,P259))</f>
        <v>2</v>
      </c>
      <c r="T259" s="7" t="str">
        <f aca="false">IF(G259="N/A","N/A",IF(S259="","No data",INDEX(Config!$B$5:$B$9,S259)))</f>
        <v>Medium-Low</v>
      </c>
      <c r="U259" s="32" t="n">
        <v>0</v>
      </c>
      <c r="V259" s="8"/>
      <c r="W259" s="33"/>
      <c r="X259" s="34" t="n">
        <f aca="false">IF(S259="","",IF(AND(W259="Y",U259&lt;&gt;0),MAX(1,MIN(5,S259+MAX(-Config!$C$27,MIN(Config!$C$27,U259)))),S259))</f>
        <v>2</v>
      </c>
      <c r="Y259" s="35" t="str">
        <f aca="false">IF(G259="N/A","N/A",IF(X259="","No data",INDEX(Config!$B$5:$B$9,X259)))</f>
        <v>Medium-Low</v>
      </c>
      <c r="Z259" s="7" t="str">
        <f aca="false">IF(U259=0,"None",IF(W259="Y","Applied","Pending HO approval"))</f>
        <v>None</v>
      </c>
      <c r="AA259" s="12" t="str">
        <f aca="false">INDEX('Risk Taxonomy'!$G$5:$G$24,MATCH(D259,'Risk Taxonomy'!$A$5:$A$24,0))</f>
        <v>Low</v>
      </c>
      <c r="AB259" s="7" t="str">
        <f aca="false">INDEX('Risk Taxonomy'!$H$5:$H$24,MATCH(D259,'Risk Taxonomy'!$A$5:$A$24,0))</f>
        <v>Medium</v>
      </c>
      <c r="AC259" s="35" t="str">
        <f aca="false">IF(NOT(ISNUMBER(X259)),"",IF(X259&lt;=MATCH(AB259,Config!$B$5:$B$9,0),"Within",IF(OR(X259-MATCH(AB259,Config!$B$5:$B$9,0)&gt;=2,AND('Residual Config'!$C$8="Y",ISNUMBER(SEARCH("Zero",AA259)))),"Red","Amber")))</f>
        <v>Within</v>
      </c>
      <c r="AD259" s="12" t="str">
        <f aca="false">IF(AC259="Red","Group CCO / CRO and Country CEO within 2 business days; action plan in 15 days; report to Board Risk &amp; Compliance Committee",IF(AC259="Amber","Country CO, risk owner and HO Administrator within 5 business days; action plan in 30 days",""))</f>
        <v/>
      </c>
    </row>
    <row r="260" customFormat="false" ht="15" hidden="false" customHeight="false" outlineLevel="0" collapsed="false">
      <c r="A260" s="26" t="str">
        <f aca="false">Entities!$A$17</f>
        <v>SA</v>
      </c>
      <c r="B260" s="12" t="str">
        <f aca="false">INDEX(Entities!$B$5:$B$34,MATCH(A260,Entities!$A$5:$A$34,0))</f>
        <v>Arab National Bank (affiliate)</v>
      </c>
      <c r="C260" s="12" t="str">
        <f aca="false">INDEX(Entities!$D$5:$D$34,MATCH(A260,Entities!$A$5:$A$34,0))</f>
        <v>GCC</v>
      </c>
      <c r="D260" s="12" t="s">
        <v>310</v>
      </c>
      <c r="E260" s="12" t="str">
        <f aca="false">INDEX('Risk Taxonomy'!$B$5:$B$24,MATCH(D260,'Risk Taxonomy'!$A$5:$A$24,0))</f>
        <v>Cyber, information security and technology</v>
      </c>
      <c r="F260" s="29" t="n">
        <f aca="false">IF(NOT(ISNUMBER(G260)),"",G260)</f>
        <v>3</v>
      </c>
      <c r="G260" s="34" t="n">
        <f aca="false">IF(COUNTIFS('LxI Assessment'!$A$5:$A$394,A260,'LxI Assessment'!$D$5:$D$394,D260,'LxI Assessment'!$F$5:$F$394,"N/A")&gt;0,"N/A",IF(COUNTIFS('LxI Assessment'!$A$5:$A$394,A260,'LxI Assessment'!$D$5:$D$394,D260,'LxI Assessment'!$S$5:$S$394,"&gt;0")=0,"",SUMIFS('LxI Assessment'!$S$5:$S$394,'LxI Assessment'!$A$5:$A$394,A260,'LxI Assessment'!$D$5:$D$394,D260)))</f>
        <v>3</v>
      </c>
      <c r="H260" s="7" t="str">
        <f aca="false">IF(G260="N/A","N/A",IF(G260="","No data",INDEX(Config!$B$5:$B$9,G260)))</f>
        <v>Medium</v>
      </c>
      <c r="I260" s="31" t="n">
        <f aca="false">IF(NOT(ISNUMBER($G260)),"",SUMPRODUCT(('Control Mapping'!$C$5:$C$83=D260)*('Control Mapping'!$S$5:$S$83&gt;0)))</f>
        <v>4</v>
      </c>
      <c r="J260" s="31" t="n">
        <f aca="false">IF(NOT(ISNUMBER($G260)),"",SUMPRODUCT(('Control Mapping'!$C$5:$C$83=D260)*('Control Mapping'!$F$5:$F$83="Y")*('Control Mapping'!$S$5:$S$83&gt;0)))</f>
        <v>4</v>
      </c>
      <c r="K260" s="31" t="n">
        <f aca="false">IF(NOT(ISNUMBER($G260)),"",SUMPRODUCT(('Control Mapping'!$C$5:$C$83=D260)*('Control Mapping'!$F$5:$F$83="Y")*('Control Mapping'!$S$5:$S$83=4)))</f>
        <v>0</v>
      </c>
      <c r="L260" s="29" t="n">
        <f aca="false">IF(NOT(ISNUMBER($G260)),"",IFERROR(SUMPRODUCT(('Control Mapping'!$C$5:$C$83=D260)*'Control Mapping'!$E$5:$E$83*'Control Mapping'!$S$5:$S$83)/SUMPRODUCT(('Control Mapping'!$C$5:$C$83=D260)*'Control Mapping'!$E$5:$E$83*('Control Mapping'!$S$5:$S$83&gt;0)),""))</f>
        <v>1.71428571428571</v>
      </c>
      <c r="M260" s="34" t="n">
        <f aca="false">IF(NOT(ISNUMBER($G260)),"",IF(J260=0,4,MAX(MATCH(L260,'Residual Config'!$E$11:$E$14,1),IF(K260&gt;0,'Residual Config'!$C$7,1))))</f>
        <v>2</v>
      </c>
      <c r="N260" s="7" t="str">
        <f aca="false">IF(NOT(ISNUMBER($G260)),"",IF(J260=0,"Ineffective (no key control)",INDEX('Residual Config'!$B$11:$B$14,M260)))</f>
        <v>Largely effective</v>
      </c>
      <c r="O260" s="36" t="n">
        <f aca="false">IF(NOT(ISNUMBER($G260)),"",IF(J260=0,0,SUMPRODUCT(('Control Mapping'!$C$5:$C$83=D260)*'Control Mapping'!$E$5:$E$83*(('Control Mapping'!$S$5:$S$83=1)*'Residual Config'!$D$11+('Control Mapping'!$S$5:$S$83=2)*'Residual Config'!$D$12+('Control Mapping'!$S$5:$S$83=3)*'Residual Config'!$D$13+('Control Mapping'!$S$5:$S$83=4)*'Residual Config'!$D$14))/SUMPRODUCT(('Control Mapping'!$C$5:$C$83=D260)*'Control Mapping'!$E$5:$E$83*('Control Mapping'!$S$5:$S$83&gt;0))))</f>
        <v>0.457142857142857</v>
      </c>
      <c r="P260" s="31" t="n">
        <f aca="false">IF(NOT(ISNUMBER($G260)),"",INDEX('Residual Config'!$B$19:$E$23,6-G260,M260))</f>
        <v>2</v>
      </c>
      <c r="Q260" s="29" t="n">
        <f aca="false">IF(NOT(ISNUMBER($G260)),"",MAX(1,F260*(1-O260)))</f>
        <v>1.62857142857143</v>
      </c>
      <c r="R260" s="31" t="n">
        <f aca="false">IF(NOT(ISNUMBER($G260)),"",MAX(MATCH(Q260,Config!$D$5:$D$9,1),G260-'Residual Config'!$C$6))</f>
        <v>1</v>
      </c>
      <c r="S260" s="34" t="n">
        <f aca="false">IF(NOT(ISNUMBER($G260)),"",IF('Residual Config'!$C$5="Numeric",R260,P260))</f>
        <v>2</v>
      </c>
      <c r="T260" s="7" t="str">
        <f aca="false">IF(G260="N/A","N/A",IF(S260="","No data",INDEX(Config!$B$5:$B$9,S260)))</f>
        <v>Medium-Low</v>
      </c>
      <c r="U260" s="32" t="n">
        <v>0</v>
      </c>
      <c r="V260" s="8"/>
      <c r="W260" s="33"/>
      <c r="X260" s="34" t="n">
        <f aca="false">IF(S260="","",IF(AND(W260="Y",U260&lt;&gt;0),MAX(1,MIN(5,S260+MAX(-Config!$C$27,MIN(Config!$C$27,U260)))),S260))</f>
        <v>2</v>
      </c>
      <c r="Y260" s="35" t="str">
        <f aca="false">IF(G260="N/A","N/A",IF(X260="","No data",INDEX(Config!$B$5:$B$9,X260)))</f>
        <v>Medium-Low</v>
      </c>
      <c r="Z260" s="7" t="str">
        <f aca="false">IF(U260=0,"None",IF(W260="Y","Applied","Pending HO approval"))</f>
        <v>None</v>
      </c>
      <c r="AA260" s="12" t="str">
        <f aca="false">INDEX('Risk Taxonomy'!$G$5:$G$24,MATCH(D260,'Risk Taxonomy'!$A$5:$A$24,0))</f>
        <v>Very low</v>
      </c>
      <c r="AB260" s="7" t="str">
        <f aca="false">INDEX('Risk Taxonomy'!$H$5:$H$24,MATCH(D260,'Risk Taxonomy'!$A$5:$A$24,0))</f>
        <v>Medium-Low</v>
      </c>
      <c r="AC260" s="35" t="str">
        <f aca="false">IF(NOT(ISNUMBER(X260)),"",IF(X260&lt;=MATCH(AB260,Config!$B$5:$B$9,0),"Within",IF(OR(X260-MATCH(AB260,Config!$B$5:$B$9,0)&gt;=2,AND('Residual Config'!$C$8="Y",ISNUMBER(SEARCH("Zero",AA260)))),"Red","Amber")))</f>
        <v>Within</v>
      </c>
      <c r="AD260" s="12" t="str">
        <f aca="false">IF(AC260="Red","Group CCO / CRO and Country CEO within 2 business days; action plan in 15 days; report to Board Risk &amp; Compliance Committee",IF(AC260="Amber","Country CO, risk owner and HO Administrator within 5 business days; action plan in 30 days",""))</f>
        <v/>
      </c>
    </row>
    <row r="261" customFormat="false" ht="15" hidden="false" customHeight="false" outlineLevel="0" collapsed="false">
      <c r="A261" s="26" t="str">
        <f aca="false">Entities!$A$17</f>
        <v>SA</v>
      </c>
      <c r="B261" s="12" t="str">
        <f aca="false">INDEX(Entities!$B$5:$B$34,MATCH(A261,Entities!$A$5:$A$34,0))</f>
        <v>Arab National Bank (affiliate)</v>
      </c>
      <c r="C261" s="12" t="str">
        <f aca="false">INDEX(Entities!$D$5:$D$34,MATCH(A261,Entities!$A$5:$A$34,0))</f>
        <v>GCC</v>
      </c>
      <c r="D261" s="12" t="s">
        <v>313</v>
      </c>
      <c r="E261" s="12" t="str">
        <f aca="false">INDEX('Risk Taxonomy'!$B$5:$B$24,MATCH(D261,'Risk Taxonomy'!$A$5:$A$24,0))</f>
        <v>Third-party and outsourcing</v>
      </c>
      <c r="F261" s="29" t="n">
        <f aca="false">IF(NOT(ISNUMBER(G261)),"",G261)</f>
        <v>3</v>
      </c>
      <c r="G261" s="34" t="n">
        <f aca="false">IF(COUNTIFS('LxI Assessment'!$A$5:$A$394,A261,'LxI Assessment'!$D$5:$D$394,D261,'LxI Assessment'!$F$5:$F$394,"N/A")&gt;0,"N/A",IF(COUNTIFS('LxI Assessment'!$A$5:$A$394,A261,'LxI Assessment'!$D$5:$D$394,D261,'LxI Assessment'!$S$5:$S$394,"&gt;0")=0,"",SUMIFS('LxI Assessment'!$S$5:$S$394,'LxI Assessment'!$A$5:$A$394,A261,'LxI Assessment'!$D$5:$D$394,D261)))</f>
        <v>3</v>
      </c>
      <c r="H261" s="7" t="str">
        <f aca="false">IF(G261="N/A","N/A",IF(G261="","No data",INDEX(Config!$B$5:$B$9,G261)))</f>
        <v>Medium</v>
      </c>
      <c r="I261" s="31" t="n">
        <f aca="false">IF(NOT(ISNUMBER($G261)),"",SUMPRODUCT(('Control Mapping'!$C$5:$C$83=D261)*('Control Mapping'!$S$5:$S$83&gt;0)))</f>
        <v>2</v>
      </c>
      <c r="J261" s="31" t="n">
        <f aca="false">IF(NOT(ISNUMBER($G261)),"",SUMPRODUCT(('Control Mapping'!$C$5:$C$83=D261)*('Control Mapping'!$F$5:$F$83="Y")*('Control Mapping'!$S$5:$S$83&gt;0)))</f>
        <v>2</v>
      </c>
      <c r="K261" s="31" t="n">
        <f aca="false">IF(NOT(ISNUMBER($G261)),"",SUMPRODUCT(('Control Mapping'!$C$5:$C$83=D261)*('Control Mapping'!$F$5:$F$83="Y")*('Control Mapping'!$S$5:$S$83=4)))</f>
        <v>0</v>
      </c>
      <c r="L261" s="29" t="n">
        <f aca="false">IF(NOT(ISNUMBER($G261)),"",IFERROR(SUMPRODUCT(('Control Mapping'!$C$5:$C$83=D261)*'Control Mapping'!$E$5:$E$83*'Control Mapping'!$S$5:$S$83)/SUMPRODUCT(('Control Mapping'!$C$5:$C$83=D261)*'Control Mapping'!$E$5:$E$83*('Control Mapping'!$S$5:$S$83&gt;0)),""))</f>
        <v>1.75</v>
      </c>
      <c r="M261" s="34" t="n">
        <f aca="false">IF(NOT(ISNUMBER($G261)),"",IF(J261=0,4,MAX(MATCH(L261,'Residual Config'!$E$11:$E$14,1),IF(K261&gt;0,'Residual Config'!$C$7,1))))</f>
        <v>2</v>
      </c>
      <c r="N261" s="7" t="str">
        <f aca="false">IF(NOT(ISNUMBER($G261)),"",IF(J261=0,"Ineffective (no key control)",INDEX('Residual Config'!$B$11:$B$14,M261)))</f>
        <v>Largely effective</v>
      </c>
      <c r="O261" s="36" t="n">
        <f aca="false">IF(NOT(ISNUMBER($G261)),"",IF(J261=0,0,SUMPRODUCT(('Control Mapping'!$C$5:$C$83=D261)*'Control Mapping'!$E$5:$E$83*(('Control Mapping'!$S$5:$S$83=1)*'Residual Config'!$D$11+('Control Mapping'!$S$5:$S$83=2)*'Residual Config'!$D$12+('Control Mapping'!$S$5:$S$83=3)*'Residual Config'!$D$13+('Control Mapping'!$S$5:$S$83=4)*'Residual Config'!$D$14))/SUMPRODUCT(('Control Mapping'!$C$5:$C$83=D261)*'Control Mapping'!$E$5:$E$83*('Control Mapping'!$S$5:$S$83&gt;0))))</f>
        <v>0.45</v>
      </c>
      <c r="P261" s="31" t="n">
        <f aca="false">IF(NOT(ISNUMBER($G261)),"",INDEX('Residual Config'!$B$19:$E$23,6-G261,M261))</f>
        <v>2</v>
      </c>
      <c r="Q261" s="29" t="n">
        <f aca="false">IF(NOT(ISNUMBER($G261)),"",MAX(1,F261*(1-O261)))</f>
        <v>1.65</v>
      </c>
      <c r="R261" s="31" t="n">
        <f aca="false">IF(NOT(ISNUMBER($G261)),"",MAX(MATCH(Q261,Config!$D$5:$D$9,1),G261-'Residual Config'!$C$6))</f>
        <v>1</v>
      </c>
      <c r="S261" s="34" t="n">
        <f aca="false">IF(NOT(ISNUMBER($G261)),"",IF('Residual Config'!$C$5="Numeric",R261,P261))</f>
        <v>2</v>
      </c>
      <c r="T261" s="7" t="str">
        <f aca="false">IF(G261="N/A","N/A",IF(S261="","No data",INDEX(Config!$B$5:$B$9,S261)))</f>
        <v>Medium-Low</v>
      </c>
      <c r="U261" s="32" t="n">
        <v>0</v>
      </c>
      <c r="V261" s="8"/>
      <c r="W261" s="33"/>
      <c r="X261" s="34" t="n">
        <f aca="false">IF(S261="","",IF(AND(W261="Y",U261&lt;&gt;0),MAX(1,MIN(5,S261+MAX(-Config!$C$27,MIN(Config!$C$27,U261)))),S261))</f>
        <v>2</v>
      </c>
      <c r="Y261" s="35" t="str">
        <f aca="false">IF(G261="N/A","N/A",IF(X261="","No data",INDEX(Config!$B$5:$B$9,X261)))</f>
        <v>Medium-Low</v>
      </c>
      <c r="Z261" s="7" t="str">
        <f aca="false">IF(U261=0,"None",IF(W261="Y","Applied","Pending HO approval"))</f>
        <v>None</v>
      </c>
      <c r="AA261" s="12" t="str">
        <f aca="false">INDEX('Risk Taxonomy'!$G$5:$G$24,MATCH(D261,'Risk Taxonomy'!$A$5:$A$24,0))</f>
        <v>Low</v>
      </c>
      <c r="AB261" s="7" t="str">
        <f aca="false">INDEX('Risk Taxonomy'!$H$5:$H$24,MATCH(D261,'Risk Taxonomy'!$A$5:$A$24,0))</f>
        <v>Medium</v>
      </c>
      <c r="AC261" s="35" t="str">
        <f aca="false">IF(NOT(ISNUMBER(X261)),"",IF(X261&lt;=MATCH(AB261,Config!$B$5:$B$9,0),"Within",IF(OR(X261-MATCH(AB261,Config!$B$5:$B$9,0)&gt;=2,AND('Residual Config'!$C$8="Y",ISNUMBER(SEARCH("Zero",AA261)))),"Red","Amber")))</f>
        <v>Within</v>
      </c>
      <c r="AD261" s="12" t="str">
        <f aca="false">IF(AC261="Red","Group CCO / CRO and Country CEO within 2 business days; action plan in 15 days; report to Board Risk &amp; Compliance Committee",IF(AC261="Amber","Country CO, risk owner and HO Administrator within 5 business days; action plan in 30 days",""))</f>
        <v/>
      </c>
    </row>
    <row r="262" customFormat="false" ht="15" hidden="false" customHeight="false" outlineLevel="0" collapsed="false">
      <c r="A262" s="26" t="str">
        <f aca="false">Entities!$A$17</f>
        <v>SA</v>
      </c>
      <c r="B262" s="12" t="str">
        <f aca="false">INDEX(Entities!$B$5:$B$34,MATCH(A262,Entities!$A$5:$A$34,0))</f>
        <v>Arab National Bank (affiliate)</v>
      </c>
      <c r="C262" s="12" t="str">
        <f aca="false">INDEX(Entities!$D$5:$D$34,MATCH(A262,Entities!$A$5:$A$34,0))</f>
        <v>GCC</v>
      </c>
      <c r="D262" s="12" t="s">
        <v>316</v>
      </c>
      <c r="E262" s="12" t="str">
        <f aca="false">INDEX('Risk Taxonomy'!$B$5:$B$24,MATCH(D262,'Risk Taxonomy'!$A$5:$A$24,0))</f>
        <v>Legal and litigation</v>
      </c>
      <c r="F262" s="29" t="n">
        <f aca="false">IF(NOT(ISNUMBER(G262)),"",G262)</f>
        <v>1</v>
      </c>
      <c r="G262" s="34" t="n">
        <f aca="false">IF(COUNTIFS('LxI Assessment'!$A$5:$A$394,A262,'LxI Assessment'!$D$5:$D$394,D262,'LxI Assessment'!$F$5:$F$394,"N/A")&gt;0,"N/A",IF(COUNTIFS('LxI Assessment'!$A$5:$A$394,A262,'LxI Assessment'!$D$5:$D$394,D262,'LxI Assessment'!$S$5:$S$394,"&gt;0")=0,"",SUMIFS('LxI Assessment'!$S$5:$S$394,'LxI Assessment'!$A$5:$A$394,A262,'LxI Assessment'!$D$5:$D$394,D262)))</f>
        <v>1</v>
      </c>
      <c r="H262" s="7" t="str">
        <f aca="false">IF(G262="N/A","N/A",IF(G262="","No data",INDEX(Config!$B$5:$B$9,G262)))</f>
        <v>Low</v>
      </c>
      <c r="I262" s="31" t="n">
        <f aca="false">IF(NOT(ISNUMBER($G262)),"",SUMPRODUCT(('Control Mapping'!$C$5:$C$83=D262)*('Control Mapping'!$S$5:$S$83&gt;0)))</f>
        <v>1</v>
      </c>
      <c r="J262" s="31" t="n">
        <f aca="false">IF(NOT(ISNUMBER($G262)),"",SUMPRODUCT(('Control Mapping'!$C$5:$C$83=D262)*('Control Mapping'!$F$5:$F$83="Y")*('Control Mapping'!$S$5:$S$83&gt;0)))</f>
        <v>1</v>
      </c>
      <c r="K262" s="31" t="n">
        <f aca="false">IF(NOT(ISNUMBER($G262)),"",SUMPRODUCT(('Control Mapping'!$C$5:$C$83=D262)*('Control Mapping'!$F$5:$F$83="Y")*('Control Mapping'!$S$5:$S$83=4)))</f>
        <v>0</v>
      </c>
      <c r="L262" s="29" t="n">
        <f aca="false">IF(NOT(ISNUMBER($G262)),"",IFERROR(SUMPRODUCT(('Control Mapping'!$C$5:$C$83=D262)*'Control Mapping'!$E$5:$E$83*'Control Mapping'!$S$5:$S$83)/SUMPRODUCT(('Control Mapping'!$C$5:$C$83=D262)*'Control Mapping'!$E$5:$E$83*('Control Mapping'!$S$5:$S$83&gt;0)),""))</f>
        <v>2</v>
      </c>
      <c r="M262" s="34" t="n">
        <f aca="false">IF(NOT(ISNUMBER($G262)),"",IF(J262=0,4,MAX(MATCH(L262,'Residual Config'!$E$11:$E$14,1),IF(K262&gt;0,'Residual Config'!$C$7,1))))</f>
        <v>2</v>
      </c>
      <c r="N262" s="7" t="str">
        <f aca="false">IF(NOT(ISNUMBER($G262)),"",IF(J262=0,"Ineffective (no key control)",INDEX('Residual Config'!$B$11:$B$14,M262)))</f>
        <v>Largely effective</v>
      </c>
      <c r="O262" s="36" t="n">
        <f aca="false">IF(NOT(ISNUMBER($G262)),"",IF(J262=0,0,SUMPRODUCT(('Control Mapping'!$C$5:$C$83=D262)*'Control Mapping'!$E$5:$E$83*(('Control Mapping'!$S$5:$S$83=1)*'Residual Config'!$D$11+('Control Mapping'!$S$5:$S$83=2)*'Residual Config'!$D$12+('Control Mapping'!$S$5:$S$83=3)*'Residual Config'!$D$13+('Control Mapping'!$S$5:$S$83=4)*'Residual Config'!$D$14))/SUMPRODUCT(('Control Mapping'!$C$5:$C$83=D262)*'Control Mapping'!$E$5:$E$83*('Control Mapping'!$S$5:$S$83&gt;0))))</f>
        <v>0.4</v>
      </c>
      <c r="P262" s="31" t="n">
        <f aca="false">IF(NOT(ISNUMBER($G262)),"",INDEX('Residual Config'!$B$19:$E$23,6-G262,M262))</f>
        <v>1</v>
      </c>
      <c r="Q262" s="29" t="n">
        <f aca="false">IF(NOT(ISNUMBER($G262)),"",MAX(1,F262*(1-O262)))</f>
        <v>1</v>
      </c>
      <c r="R262" s="31" t="n">
        <f aca="false">IF(NOT(ISNUMBER($G262)),"",MAX(MATCH(Q262,Config!$D$5:$D$9,1),G262-'Residual Config'!$C$6))</f>
        <v>1</v>
      </c>
      <c r="S262" s="34" t="n">
        <f aca="false">IF(NOT(ISNUMBER($G262)),"",IF('Residual Config'!$C$5="Numeric",R262,P262))</f>
        <v>1</v>
      </c>
      <c r="T262" s="7" t="str">
        <f aca="false">IF(G262="N/A","N/A",IF(S262="","No data",INDEX(Config!$B$5:$B$9,S262)))</f>
        <v>Low</v>
      </c>
      <c r="U262" s="32" t="n">
        <v>0</v>
      </c>
      <c r="V262" s="8"/>
      <c r="W262" s="33"/>
      <c r="X262" s="34" t="n">
        <f aca="false">IF(S262="","",IF(AND(W262="Y",U262&lt;&gt;0),MAX(1,MIN(5,S262+MAX(-Config!$C$27,MIN(Config!$C$27,U262)))),S262))</f>
        <v>1</v>
      </c>
      <c r="Y262" s="35" t="str">
        <f aca="false">IF(G262="N/A","N/A",IF(X262="","No data",INDEX(Config!$B$5:$B$9,X262)))</f>
        <v>Low</v>
      </c>
      <c r="Z262" s="7" t="str">
        <f aca="false">IF(U262=0,"None",IF(W262="Y","Applied","Pending HO approval"))</f>
        <v>None</v>
      </c>
      <c r="AA262" s="12" t="str">
        <f aca="false">INDEX('Risk Taxonomy'!$G$5:$G$24,MATCH(D262,'Risk Taxonomy'!$A$5:$A$24,0))</f>
        <v>Very low</v>
      </c>
      <c r="AB262" s="7" t="str">
        <f aca="false">INDEX('Risk Taxonomy'!$H$5:$H$24,MATCH(D262,'Risk Taxonomy'!$A$5:$A$24,0))</f>
        <v>Medium-Low</v>
      </c>
      <c r="AC262" s="35" t="str">
        <f aca="false">IF(NOT(ISNUMBER(X262)),"",IF(X262&lt;=MATCH(AB262,Config!$B$5:$B$9,0),"Within",IF(OR(X262-MATCH(AB262,Config!$B$5:$B$9,0)&gt;=2,AND('Residual Config'!$C$8="Y",ISNUMBER(SEARCH("Zero",AA262)))),"Red","Amber")))</f>
        <v>Within</v>
      </c>
      <c r="AD262" s="12" t="str">
        <f aca="false">IF(AC262="Red","Group CCO / CRO and Country CEO within 2 business days; action plan in 15 days; report to Board Risk &amp; Compliance Committee",IF(AC262="Amber","Country CO, risk owner and HO Administrator within 5 business days; action plan in 30 days",""))</f>
        <v/>
      </c>
    </row>
    <row r="263" customFormat="false" ht="15" hidden="false" customHeight="false" outlineLevel="0" collapsed="false">
      <c r="A263" s="26" t="str">
        <f aca="false">Entities!$A$17</f>
        <v>SA</v>
      </c>
      <c r="B263" s="12" t="str">
        <f aca="false">INDEX(Entities!$B$5:$B$34,MATCH(A263,Entities!$A$5:$A$34,0))</f>
        <v>Arab National Bank (affiliate)</v>
      </c>
      <c r="C263" s="12" t="str">
        <f aca="false">INDEX(Entities!$D$5:$D$34,MATCH(A263,Entities!$A$5:$A$34,0))</f>
        <v>GCC</v>
      </c>
      <c r="D263" s="12" t="s">
        <v>319</v>
      </c>
      <c r="E263" s="12" t="str">
        <f aca="false">INDEX('Risk Taxonomy'!$B$5:$B$24,MATCH(D263,'Risk Taxonomy'!$A$5:$A$24,0))</f>
        <v>Reputational</v>
      </c>
      <c r="F263" s="29" t="n">
        <f aca="false">IF(NOT(ISNUMBER(G263)),"",G263)</f>
        <v>2</v>
      </c>
      <c r="G263" s="34" t="n">
        <f aca="false">IF(COUNTIFS('LxI Assessment'!$A$5:$A$394,A263,'LxI Assessment'!$D$5:$D$394,D263,'LxI Assessment'!$F$5:$F$394,"N/A")&gt;0,"N/A",IF(COUNTIFS('LxI Assessment'!$A$5:$A$394,A263,'LxI Assessment'!$D$5:$D$394,D263,'LxI Assessment'!$S$5:$S$394,"&gt;0")=0,"",SUMIFS('LxI Assessment'!$S$5:$S$394,'LxI Assessment'!$A$5:$A$394,A263,'LxI Assessment'!$D$5:$D$394,D263)))</f>
        <v>2</v>
      </c>
      <c r="H263" s="7" t="str">
        <f aca="false">IF(G263="N/A","N/A",IF(G263="","No data",INDEX(Config!$B$5:$B$9,G263)))</f>
        <v>Medium-Low</v>
      </c>
      <c r="I263" s="31" t="n">
        <f aca="false">IF(NOT(ISNUMBER($G263)),"",SUMPRODUCT(('Control Mapping'!$C$5:$C$83=D263)*('Control Mapping'!$S$5:$S$83&gt;0)))</f>
        <v>2</v>
      </c>
      <c r="J263" s="31" t="n">
        <f aca="false">IF(NOT(ISNUMBER($G263)),"",SUMPRODUCT(('Control Mapping'!$C$5:$C$83=D263)*('Control Mapping'!$F$5:$F$83="Y")*('Control Mapping'!$S$5:$S$83&gt;0)))</f>
        <v>1</v>
      </c>
      <c r="K263" s="31" t="n">
        <f aca="false">IF(NOT(ISNUMBER($G263)),"",SUMPRODUCT(('Control Mapping'!$C$5:$C$83=D263)*('Control Mapping'!$F$5:$F$83="Y")*('Control Mapping'!$S$5:$S$83=4)))</f>
        <v>0</v>
      </c>
      <c r="L263" s="29" t="n">
        <f aca="false">IF(NOT(ISNUMBER($G263)),"",IFERROR(SUMPRODUCT(('Control Mapping'!$C$5:$C$83=D263)*'Control Mapping'!$E$5:$E$83*'Control Mapping'!$S$5:$S$83)/SUMPRODUCT(('Control Mapping'!$C$5:$C$83=D263)*'Control Mapping'!$E$5:$E$83*('Control Mapping'!$S$5:$S$83&gt;0)),""))</f>
        <v>1.33333333333333</v>
      </c>
      <c r="M263" s="34" t="n">
        <f aca="false">IF(NOT(ISNUMBER($G263)),"",IF(J263=0,4,MAX(MATCH(L263,'Residual Config'!$E$11:$E$14,1),IF(K263&gt;0,'Residual Config'!$C$7,1))))</f>
        <v>1</v>
      </c>
      <c r="N263" s="7" t="str">
        <f aca="false">IF(NOT(ISNUMBER($G263)),"",IF(J263=0,"Ineffective (no key control)",INDEX('Residual Config'!$B$11:$B$14,M263)))</f>
        <v>Effective</v>
      </c>
      <c r="O263" s="36" t="n">
        <f aca="false">IF(NOT(ISNUMBER($G263)),"",IF(J263=0,0,SUMPRODUCT(('Control Mapping'!$C$5:$C$83=D263)*'Control Mapping'!$E$5:$E$83*(('Control Mapping'!$S$5:$S$83=1)*'Residual Config'!$D$11+('Control Mapping'!$S$5:$S$83=2)*'Residual Config'!$D$12+('Control Mapping'!$S$5:$S$83=3)*'Residual Config'!$D$13+('Control Mapping'!$S$5:$S$83=4)*'Residual Config'!$D$14))/SUMPRODUCT(('Control Mapping'!$C$5:$C$83=D263)*'Control Mapping'!$E$5:$E$83*('Control Mapping'!$S$5:$S$83&gt;0))))</f>
        <v>0.533333333333333</v>
      </c>
      <c r="P263" s="31" t="n">
        <f aca="false">IF(NOT(ISNUMBER($G263)),"",INDEX('Residual Config'!$B$19:$E$23,6-G263,M263))</f>
        <v>1</v>
      </c>
      <c r="Q263" s="29" t="n">
        <f aca="false">IF(NOT(ISNUMBER($G263)),"",MAX(1,F263*(1-O263)))</f>
        <v>1</v>
      </c>
      <c r="R263" s="31" t="n">
        <f aca="false">IF(NOT(ISNUMBER($G263)),"",MAX(MATCH(Q263,Config!$D$5:$D$9,1),G263-'Residual Config'!$C$6))</f>
        <v>1</v>
      </c>
      <c r="S263" s="34" t="n">
        <f aca="false">IF(NOT(ISNUMBER($G263)),"",IF('Residual Config'!$C$5="Numeric",R263,P263))</f>
        <v>1</v>
      </c>
      <c r="T263" s="7" t="str">
        <f aca="false">IF(G263="N/A","N/A",IF(S263="","No data",INDEX(Config!$B$5:$B$9,S263)))</f>
        <v>Low</v>
      </c>
      <c r="U263" s="32" t="n">
        <v>0</v>
      </c>
      <c r="V263" s="8"/>
      <c r="W263" s="33"/>
      <c r="X263" s="34" t="n">
        <f aca="false">IF(S263="","",IF(AND(W263="Y",U263&lt;&gt;0),MAX(1,MIN(5,S263+MAX(-Config!$C$27,MIN(Config!$C$27,U263)))),S263))</f>
        <v>1</v>
      </c>
      <c r="Y263" s="35" t="str">
        <f aca="false">IF(G263="N/A","N/A",IF(X263="","No data",INDEX(Config!$B$5:$B$9,X263)))</f>
        <v>Low</v>
      </c>
      <c r="Z263" s="7" t="str">
        <f aca="false">IF(U263=0,"None",IF(W263="Y","Applied","Pending HO approval"))</f>
        <v>None</v>
      </c>
      <c r="AA263" s="12" t="str">
        <f aca="false">INDEX('Risk Taxonomy'!$G$5:$G$24,MATCH(D263,'Risk Taxonomy'!$A$5:$A$24,0))</f>
        <v>Low</v>
      </c>
      <c r="AB263" s="7" t="str">
        <f aca="false">INDEX('Risk Taxonomy'!$H$5:$H$24,MATCH(D263,'Risk Taxonomy'!$A$5:$A$24,0))</f>
        <v>Medium</v>
      </c>
      <c r="AC263" s="35" t="str">
        <f aca="false">IF(NOT(ISNUMBER(X263)),"",IF(X263&lt;=MATCH(AB263,Config!$B$5:$B$9,0),"Within",IF(OR(X263-MATCH(AB263,Config!$B$5:$B$9,0)&gt;=2,AND('Residual Config'!$C$8="Y",ISNUMBER(SEARCH("Zero",AA263)))),"Red","Amber")))</f>
        <v>Within</v>
      </c>
      <c r="AD263" s="12" t="str">
        <f aca="false">IF(AC263="Red","Group CCO / CRO and Country CEO within 2 business days; action plan in 15 days; report to Board Risk &amp; Compliance Committee",IF(AC263="Amber","Country CO, risk owner and HO Administrator within 5 business days; action plan in 30 days",""))</f>
        <v/>
      </c>
    </row>
    <row r="264" customFormat="false" ht="15" hidden="false" customHeight="false" outlineLevel="0" collapsed="false">
      <c r="A264" s="26" t="str">
        <f aca="false">Entities!$A$17</f>
        <v>SA</v>
      </c>
      <c r="B264" s="12" t="str">
        <f aca="false">INDEX(Entities!$B$5:$B$34,MATCH(A264,Entities!$A$5:$A$34,0))</f>
        <v>Arab National Bank (affiliate)</v>
      </c>
      <c r="C264" s="12" t="str">
        <f aca="false">INDEX(Entities!$D$5:$D$34,MATCH(A264,Entities!$A$5:$A$34,0))</f>
        <v>GCC</v>
      </c>
      <c r="D264" s="12" t="s">
        <v>322</v>
      </c>
      <c r="E264" s="12" t="str">
        <f aca="false">INDEX('Risk Taxonomy'!$B$5:$B$24,MATCH(D264,'Risk Taxonomy'!$A$5:$A$24,0))</f>
        <v>Strategic, business model and ESG</v>
      </c>
      <c r="F264" s="29" t="n">
        <f aca="false">IF(NOT(ISNUMBER(G264)),"",G264)</f>
        <v>3</v>
      </c>
      <c r="G264" s="34" t="n">
        <f aca="false">IF(COUNTIFS('LxI Assessment'!$A$5:$A$394,A264,'LxI Assessment'!$D$5:$D$394,D264,'LxI Assessment'!$F$5:$F$394,"N/A")&gt;0,"N/A",IF(COUNTIFS('LxI Assessment'!$A$5:$A$394,A264,'LxI Assessment'!$D$5:$D$394,D264,'LxI Assessment'!$S$5:$S$394,"&gt;0")=0,"",SUMIFS('LxI Assessment'!$S$5:$S$394,'LxI Assessment'!$A$5:$A$394,A264,'LxI Assessment'!$D$5:$D$394,D264)))</f>
        <v>3</v>
      </c>
      <c r="H264" s="7" t="str">
        <f aca="false">IF(G264="N/A","N/A",IF(G264="","No data",INDEX(Config!$B$5:$B$9,G264)))</f>
        <v>Medium</v>
      </c>
      <c r="I264" s="31" t="n">
        <f aca="false">IF(NOT(ISNUMBER($G264)),"",SUMPRODUCT(('Control Mapping'!$C$5:$C$83=D264)*('Control Mapping'!$S$5:$S$83&gt;0)))</f>
        <v>1</v>
      </c>
      <c r="J264" s="31" t="n">
        <f aca="false">IF(NOT(ISNUMBER($G264)),"",SUMPRODUCT(('Control Mapping'!$C$5:$C$83=D264)*('Control Mapping'!$F$5:$F$83="Y")*('Control Mapping'!$S$5:$S$83&gt;0)))</f>
        <v>1</v>
      </c>
      <c r="K264" s="31" t="n">
        <f aca="false">IF(NOT(ISNUMBER($G264)),"",SUMPRODUCT(('Control Mapping'!$C$5:$C$83=D264)*('Control Mapping'!$F$5:$F$83="Y")*('Control Mapping'!$S$5:$S$83=4)))</f>
        <v>0</v>
      </c>
      <c r="L264" s="29" t="n">
        <f aca="false">IF(NOT(ISNUMBER($G264)),"",IFERROR(SUMPRODUCT(('Control Mapping'!$C$5:$C$83=D264)*'Control Mapping'!$E$5:$E$83*'Control Mapping'!$S$5:$S$83)/SUMPRODUCT(('Control Mapping'!$C$5:$C$83=D264)*'Control Mapping'!$E$5:$E$83*('Control Mapping'!$S$5:$S$83&gt;0)),""))</f>
        <v>2</v>
      </c>
      <c r="M264" s="34" t="n">
        <f aca="false">IF(NOT(ISNUMBER($G264)),"",IF(J264=0,4,MAX(MATCH(L264,'Residual Config'!$E$11:$E$14,1),IF(K264&gt;0,'Residual Config'!$C$7,1))))</f>
        <v>2</v>
      </c>
      <c r="N264" s="7" t="str">
        <f aca="false">IF(NOT(ISNUMBER($G264)),"",IF(J264=0,"Ineffective (no key control)",INDEX('Residual Config'!$B$11:$B$14,M264)))</f>
        <v>Largely effective</v>
      </c>
      <c r="O264" s="36" t="n">
        <f aca="false">IF(NOT(ISNUMBER($G264)),"",IF(J264=0,0,SUMPRODUCT(('Control Mapping'!$C$5:$C$83=D264)*'Control Mapping'!$E$5:$E$83*(('Control Mapping'!$S$5:$S$83=1)*'Residual Config'!$D$11+('Control Mapping'!$S$5:$S$83=2)*'Residual Config'!$D$12+('Control Mapping'!$S$5:$S$83=3)*'Residual Config'!$D$13+('Control Mapping'!$S$5:$S$83=4)*'Residual Config'!$D$14))/SUMPRODUCT(('Control Mapping'!$C$5:$C$83=D264)*'Control Mapping'!$E$5:$E$83*('Control Mapping'!$S$5:$S$83&gt;0))))</f>
        <v>0.4</v>
      </c>
      <c r="P264" s="31" t="n">
        <f aca="false">IF(NOT(ISNUMBER($G264)),"",INDEX('Residual Config'!$B$19:$E$23,6-G264,M264))</f>
        <v>2</v>
      </c>
      <c r="Q264" s="29" t="n">
        <f aca="false">IF(NOT(ISNUMBER($G264)),"",MAX(1,F264*(1-O264)))</f>
        <v>1.8</v>
      </c>
      <c r="R264" s="31" t="n">
        <f aca="false">IF(NOT(ISNUMBER($G264)),"",MAX(MATCH(Q264,Config!$D$5:$D$9,1),G264-'Residual Config'!$C$6))</f>
        <v>1</v>
      </c>
      <c r="S264" s="34" t="n">
        <f aca="false">IF(NOT(ISNUMBER($G264)),"",IF('Residual Config'!$C$5="Numeric",R264,P264))</f>
        <v>2</v>
      </c>
      <c r="T264" s="7" t="str">
        <f aca="false">IF(G264="N/A","N/A",IF(S264="","No data",INDEX(Config!$B$5:$B$9,S264)))</f>
        <v>Medium-Low</v>
      </c>
      <c r="U264" s="32" t="n">
        <v>0</v>
      </c>
      <c r="V264" s="8"/>
      <c r="W264" s="33"/>
      <c r="X264" s="34" t="n">
        <f aca="false">IF(S264="","",IF(AND(W264="Y",U264&lt;&gt;0),MAX(1,MIN(5,S264+MAX(-Config!$C$27,MIN(Config!$C$27,U264)))),S264))</f>
        <v>2</v>
      </c>
      <c r="Y264" s="35" t="str">
        <f aca="false">IF(G264="N/A","N/A",IF(X264="","No data",INDEX(Config!$B$5:$B$9,X264)))</f>
        <v>Medium-Low</v>
      </c>
      <c r="Z264" s="7" t="str">
        <f aca="false">IF(U264=0,"None",IF(W264="Y","Applied","Pending HO approval"))</f>
        <v>None</v>
      </c>
      <c r="AA264" s="12" t="str">
        <f aca="false">INDEX('Risk Taxonomy'!$G$5:$G$24,MATCH(D264,'Risk Taxonomy'!$A$5:$A$24,0))</f>
        <v>Moderate</v>
      </c>
      <c r="AB264" s="7" t="str">
        <f aca="false">INDEX('Risk Taxonomy'!$H$5:$H$24,MATCH(D264,'Risk Taxonomy'!$A$5:$A$24,0))</f>
        <v>Medium-High</v>
      </c>
      <c r="AC264" s="35" t="str">
        <f aca="false">IF(NOT(ISNUMBER(X264)),"",IF(X264&lt;=MATCH(AB264,Config!$B$5:$B$9,0),"Within",IF(OR(X264-MATCH(AB264,Config!$B$5:$B$9,0)&gt;=2,AND('Residual Config'!$C$8="Y",ISNUMBER(SEARCH("Zero",AA264)))),"Red","Amber")))</f>
        <v>Within</v>
      </c>
      <c r="AD264" s="12" t="str">
        <f aca="false">IF(AC264="Red","Group CCO / CRO and Country CEO within 2 business days; action plan in 15 days; report to Board Risk &amp; Compliance Committee",IF(AC264="Amber","Country CO, risk owner and HO Administrator within 5 business days; action plan in 30 days",""))</f>
        <v/>
      </c>
    </row>
    <row r="265" customFormat="false" ht="15" hidden="false" customHeight="false" outlineLevel="0" collapsed="false">
      <c r="A265" s="26" t="str">
        <f aca="false">Entities!$A$18</f>
        <v>OM</v>
      </c>
      <c r="B265" s="12" t="str">
        <f aca="false">INDEX(Entities!$B$5:$B$34,MATCH(A265,Entities!$A$5:$A$34,0))</f>
        <v>Oman Arab Bank (affiliate)</v>
      </c>
      <c r="C265" s="12" t="str">
        <f aca="false">INDEX(Entities!$D$5:$D$34,MATCH(A265,Entities!$A$5:$A$34,0))</f>
        <v>GCC</v>
      </c>
      <c r="D265" s="12" t="s">
        <v>260</v>
      </c>
      <c r="E265" s="12" t="str">
        <f aca="false">INDEX('Risk Taxonomy'!$B$5:$B$24,MATCH(D265,'Risk Taxonomy'!$A$5:$A$24,0))</f>
        <v>Money laundering</v>
      </c>
      <c r="F265" s="29" t="n">
        <f aca="false">IF(NOT(ISNUMBER(G265)),"",IFERROR(IF(MATCH(SUMIFS('FC Calculation'!$N$5:$N$214,'FC Calculation'!$A$5:$A$214,A265,'FC Calculation'!$D$5:$D$214,D265),Config!$D$5:$D$9,1)=G265,SUMIFS('FC Calculation'!$N$5:$N$214,'FC Calculation'!$A$5:$A$214,A265,'FC Calculation'!$D$5:$D$214,D265),G265),G265))</f>
        <v>2.7831746031746</v>
      </c>
      <c r="G265" s="34" t="n">
        <f aca="false">IF(COUNTIFS('FC Calculation'!$A$5:$A$214,A265,'FC Calculation'!$D$5:$D$214,D265,'FC Calculation'!$T$5:$T$214,"&gt;0")=0,"",SUMIFS('FC Calculation'!$T$5:$T$214,'FC Calculation'!$A$5:$A$214,A265,'FC Calculation'!$D$5:$D$214,D265))</f>
        <v>3</v>
      </c>
      <c r="H265" s="7" t="str">
        <f aca="false">IF(G265="N/A","N/A",IF(G265="","No data",INDEX(Config!$B$5:$B$9,G265)))</f>
        <v>Medium</v>
      </c>
      <c r="I265" s="31" t="n">
        <f aca="false">IF(NOT(ISNUMBER($G265)),"",SUMPRODUCT(('Control Mapping'!$C$5:$C$83=D265)*('Control Mapping'!$T$5:$T$83&gt;0)))</f>
        <v>12</v>
      </c>
      <c r="J265" s="31" t="n">
        <f aca="false">IF(NOT(ISNUMBER($G265)),"",SUMPRODUCT(('Control Mapping'!$C$5:$C$83=D265)*('Control Mapping'!$F$5:$F$83="Y")*('Control Mapping'!$T$5:$T$83&gt;0)))</f>
        <v>9</v>
      </c>
      <c r="K265" s="31" t="n">
        <f aca="false">IF(NOT(ISNUMBER($G265)),"",SUMPRODUCT(('Control Mapping'!$C$5:$C$83=D265)*('Control Mapping'!$F$5:$F$83="Y")*('Control Mapping'!$T$5:$T$83=4)))</f>
        <v>0</v>
      </c>
      <c r="L265" s="29" t="n">
        <f aca="false">IF(NOT(ISNUMBER($G265)),"",IFERROR(SUMPRODUCT(('Control Mapping'!$C$5:$C$83=D265)*'Control Mapping'!$E$5:$E$83*'Control Mapping'!$T$5:$T$83)/SUMPRODUCT(('Control Mapping'!$C$5:$C$83=D265)*'Control Mapping'!$E$5:$E$83*('Control Mapping'!$T$5:$T$83&gt;0)),""))</f>
        <v>2.04347826086957</v>
      </c>
      <c r="M265" s="34" t="n">
        <f aca="false">IF(NOT(ISNUMBER($G265)),"",IF(J265=0,4,MAX(MATCH(L265,'Residual Config'!$E$11:$E$14,1),IF(K265&gt;0,'Residual Config'!$C$7,1))))</f>
        <v>2</v>
      </c>
      <c r="N265" s="7" t="str">
        <f aca="false">IF(NOT(ISNUMBER($G265)),"",IF(J265=0,"Ineffective (no key control)",INDEX('Residual Config'!$B$11:$B$14,M265)))</f>
        <v>Largely effective</v>
      </c>
      <c r="O265" s="36" t="n">
        <f aca="false">IF(NOT(ISNUMBER($G265)),"",IF(J265=0,0,SUMPRODUCT(('Control Mapping'!$C$5:$C$83=D265)*'Control Mapping'!$E$5:$E$83*(('Control Mapping'!$T$5:$T$83=1)*'Residual Config'!$D$11+('Control Mapping'!$T$5:$T$83=2)*'Residual Config'!$D$12+('Control Mapping'!$T$5:$T$83=3)*'Residual Config'!$D$13+('Control Mapping'!$T$5:$T$83=4)*'Residual Config'!$D$14))/SUMPRODUCT(('Control Mapping'!$C$5:$C$83=D265)*'Control Mapping'!$E$5:$E$83*('Control Mapping'!$T$5:$T$83&gt;0))))</f>
        <v>0.391304347826087</v>
      </c>
      <c r="P265" s="31" t="n">
        <f aca="false">IF(NOT(ISNUMBER($G265)),"",INDEX('Residual Config'!$B$19:$E$23,6-G265,M265))</f>
        <v>2</v>
      </c>
      <c r="Q265" s="29" t="n">
        <f aca="false">IF(NOT(ISNUMBER($G265)),"",MAX(1,F265*(1-O265)))</f>
        <v>1.69410628019324</v>
      </c>
      <c r="R265" s="31" t="n">
        <f aca="false">IF(NOT(ISNUMBER($G265)),"",MAX(MATCH(Q265,Config!$D$5:$D$9,1),G265-'Residual Config'!$C$6))</f>
        <v>1</v>
      </c>
      <c r="S265" s="34" t="n">
        <f aca="false">IF(NOT(ISNUMBER($G265)),"",IF('Residual Config'!$C$5="Numeric",R265,P265))</f>
        <v>2</v>
      </c>
      <c r="T265" s="7" t="str">
        <f aca="false">IF(G265="N/A","N/A",IF(S265="","No data",INDEX(Config!$B$5:$B$9,S265)))</f>
        <v>Medium-Low</v>
      </c>
      <c r="U265" s="32" t="n">
        <v>0</v>
      </c>
      <c r="V265" s="8"/>
      <c r="W265" s="33"/>
      <c r="X265" s="34" t="n">
        <f aca="false">IF(S265="","",IF(AND(W265="Y",U265&lt;&gt;0),MAX(1,MIN(5,S265+MAX(-Config!$C$27,MIN(Config!$C$27,U265)))),S265))</f>
        <v>2</v>
      </c>
      <c r="Y265" s="35" t="str">
        <f aca="false">IF(G265="N/A","N/A",IF(X265="","No data",INDEX(Config!$B$5:$B$9,X265)))</f>
        <v>Medium-Low</v>
      </c>
      <c r="Z265" s="7" t="str">
        <f aca="false">IF(U265=0,"None",IF(W265="Y","Applied","Pending HO approval"))</f>
        <v>None</v>
      </c>
      <c r="AA265" s="12" t="str">
        <f aca="false">INDEX('Risk Taxonomy'!$G$5:$G$24,MATCH(D265,'Risk Taxonomy'!$A$5:$A$24,0))</f>
        <v>Very low</v>
      </c>
      <c r="AB265" s="7" t="str">
        <f aca="false">INDEX('Risk Taxonomy'!$H$5:$H$24,MATCH(D265,'Risk Taxonomy'!$A$5:$A$24,0))</f>
        <v>Medium-Low</v>
      </c>
      <c r="AC265" s="35" t="str">
        <f aca="false">IF(NOT(ISNUMBER(X265)),"",IF(X265&lt;=MATCH(AB265,Config!$B$5:$B$9,0),"Within",IF(OR(X265-MATCH(AB265,Config!$B$5:$B$9,0)&gt;=2,AND('Residual Config'!$C$8="Y",ISNUMBER(SEARCH("Zero",AA265)))),"Red","Amber")))</f>
        <v>Within</v>
      </c>
      <c r="AD265" s="12" t="str">
        <f aca="false">IF(AC265="Red","Group CCO / CRO and Country CEO within 2 business days; action plan in 15 days; report to Board Risk &amp; Compliance Committee",IF(AC265="Amber","Country CO, risk owner and HO Administrator within 5 business days; action plan in 30 days",""))</f>
        <v/>
      </c>
    </row>
    <row r="266" customFormat="false" ht="15" hidden="false" customHeight="false" outlineLevel="0" collapsed="false">
      <c r="A266" s="26" t="str">
        <f aca="false">Entities!$A$18</f>
        <v>OM</v>
      </c>
      <c r="B266" s="12" t="str">
        <f aca="false">INDEX(Entities!$B$5:$B$34,MATCH(A266,Entities!$A$5:$A$34,0))</f>
        <v>Oman Arab Bank (affiliate)</v>
      </c>
      <c r="C266" s="12" t="str">
        <f aca="false">INDEX(Entities!$D$5:$D$34,MATCH(A266,Entities!$A$5:$A$34,0))</f>
        <v>GCC</v>
      </c>
      <c r="D266" s="12" t="s">
        <v>267</v>
      </c>
      <c r="E266" s="12" t="str">
        <f aca="false">INDEX('Risk Taxonomy'!$B$5:$B$24,MATCH(D266,'Risk Taxonomy'!$A$5:$A$24,0))</f>
        <v>Terrorist financing</v>
      </c>
      <c r="F266" s="29" t="n">
        <f aca="false">IF(NOT(ISNUMBER(G266)),"",IFERROR(IF(MATCH(SUMIFS('FC Calculation'!$N$5:$N$214,'FC Calculation'!$A$5:$A$214,A266,'FC Calculation'!$D$5:$D$214,D266),Config!$D$5:$D$9,1)=G266,SUMIFS('FC Calculation'!$N$5:$N$214,'FC Calculation'!$A$5:$A$214,A266,'FC Calculation'!$D$5:$D$214,D266),G266),G266))</f>
        <v>2.6452380952381</v>
      </c>
      <c r="G266" s="34" t="n">
        <f aca="false">IF(COUNTIFS('FC Calculation'!$A$5:$A$214,A266,'FC Calculation'!$D$5:$D$214,D266,'FC Calculation'!$T$5:$T$214,"&gt;0")=0,"",SUMIFS('FC Calculation'!$T$5:$T$214,'FC Calculation'!$A$5:$A$214,A266,'FC Calculation'!$D$5:$D$214,D266))</f>
        <v>3</v>
      </c>
      <c r="H266" s="7" t="str">
        <f aca="false">IF(G266="N/A","N/A",IF(G266="","No data",INDEX(Config!$B$5:$B$9,G266)))</f>
        <v>Medium</v>
      </c>
      <c r="I266" s="31" t="n">
        <f aca="false">IF(NOT(ISNUMBER($G266)),"",SUMPRODUCT(('Control Mapping'!$C$5:$C$83=D266)*('Control Mapping'!$T$5:$T$83&gt;0)))</f>
        <v>12</v>
      </c>
      <c r="J266" s="31" t="n">
        <f aca="false">IF(NOT(ISNUMBER($G266)),"",SUMPRODUCT(('Control Mapping'!$C$5:$C$83=D266)*('Control Mapping'!$F$5:$F$83="Y")*('Control Mapping'!$T$5:$T$83&gt;0)))</f>
        <v>9</v>
      </c>
      <c r="K266" s="31" t="n">
        <f aca="false">IF(NOT(ISNUMBER($G266)),"",SUMPRODUCT(('Control Mapping'!$C$5:$C$83=D266)*('Control Mapping'!$F$5:$F$83="Y")*('Control Mapping'!$T$5:$T$83=4)))</f>
        <v>0</v>
      </c>
      <c r="L266" s="29" t="n">
        <f aca="false">IF(NOT(ISNUMBER($G266)),"",IFERROR(SUMPRODUCT(('Control Mapping'!$C$5:$C$83=D266)*'Control Mapping'!$E$5:$E$83*'Control Mapping'!$T$5:$T$83)/SUMPRODUCT(('Control Mapping'!$C$5:$C$83=D266)*'Control Mapping'!$E$5:$E$83*('Control Mapping'!$T$5:$T$83&gt;0)),""))</f>
        <v>1.89473684210526</v>
      </c>
      <c r="M266" s="34" t="n">
        <f aca="false">IF(NOT(ISNUMBER($G266)),"",IF(J266=0,4,MAX(MATCH(L266,'Residual Config'!$E$11:$E$14,1),IF(K266&gt;0,'Residual Config'!$C$7,1))))</f>
        <v>2</v>
      </c>
      <c r="N266" s="7" t="str">
        <f aca="false">IF(NOT(ISNUMBER($G266)),"",IF(J266=0,"Ineffective (no key control)",INDEX('Residual Config'!$B$11:$B$14,M266)))</f>
        <v>Largely effective</v>
      </c>
      <c r="O266" s="36" t="n">
        <f aca="false">IF(NOT(ISNUMBER($G266)),"",IF(J266=0,0,SUMPRODUCT(('Control Mapping'!$C$5:$C$83=D266)*'Control Mapping'!$E$5:$E$83*(('Control Mapping'!$T$5:$T$83=1)*'Residual Config'!$D$11+('Control Mapping'!$T$5:$T$83=2)*'Residual Config'!$D$12+('Control Mapping'!$T$5:$T$83=3)*'Residual Config'!$D$13+('Control Mapping'!$T$5:$T$83=4)*'Residual Config'!$D$14))/SUMPRODUCT(('Control Mapping'!$C$5:$C$83=D266)*'Control Mapping'!$E$5:$E$83*('Control Mapping'!$T$5:$T$83&gt;0))))</f>
        <v>0.421052631578947</v>
      </c>
      <c r="P266" s="31" t="n">
        <f aca="false">IF(NOT(ISNUMBER($G266)),"",INDEX('Residual Config'!$B$19:$E$23,6-G266,M266))</f>
        <v>2</v>
      </c>
      <c r="Q266" s="29" t="n">
        <f aca="false">IF(NOT(ISNUMBER($G266)),"",MAX(1,F266*(1-O266)))</f>
        <v>1.53145363408521</v>
      </c>
      <c r="R266" s="31" t="n">
        <f aca="false">IF(NOT(ISNUMBER($G266)),"",MAX(MATCH(Q266,Config!$D$5:$D$9,1),G266-'Residual Config'!$C$6))</f>
        <v>1</v>
      </c>
      <c r="S266" s="34" t="n">
        <f aca="false">IF(NOT(ISNUMBER($G266)),"",IF('Residual Config'!$C$5="Numeric",R266,P266))</f>
        <v>2</v>
      </c>
      <c r="T266" s="7" t="str">
        <f aca="false">IF(G266="N/A","N/A",IF(S266="","No data",INDEX(Config!$B$5:$B$9,S266)))</f>
        <v>Medium-Low</v>
      </c>
      <c r="U266" s="32" t="n">
        <v>0</v>
      </c>
      <c r="V266" s="8"/>
      <c r="W266" s="33"/>
      <c r="X266" s="34" t="n">
        <f aca="false">IF(S266="","",IF(AND(W266="Y",U266&lt;&gt;0),MAX(1,MIN(5,S266+MAX(-Config!$C$27,MIN(Config!$C$27,U266)))),S266))</f>
        <v>2</v>
      </c>
      <c r="Y266" s="35" t="str">
        <f aca="false">IF(G266="N/A","N/A",IF(X266="","No data",INDEX(Config!$B$5:$B$9,X266)))</f>
        <v>Medium-Low</v>
      </c>
      <c r="Z266" s="7" t="str">
        <f aca="false">IF(U266=0,"None",IF(W266="Y","Applied","Pending HO approval"))</f>
        <v>None</v>
      </c>
      <c r="AA266" s="12" t="str">
        <f aca="false">INDEX('Risk Taxonomy'!$G$5:$G$24,MATCH(D266,'Risk Taxonomy'!$A$5:$A$24,0))</f>
        <v>Zero tolerance</v>
      </c>
      <c r="AB266" s="7" t="str">
        <f aca="false">INDEX('Risk Taxonomy'!$H$5:$H$24,MATCH(D266,'Risk Taxonomy'!$A$5:$A$24,0))</f>
        <v>Low</v>
      </c>
      <c r="AC266" s="35" t="str">
        <f aca="false">IF(NOT(ISNUMBER(X266)),"",IF(X266&lt;=MATCH(AB266,Config!$B$5:$B$9,0),"Within",IF(OR(X266-MATCH(AB266,Config!$B$5:$B$9,0)&gt;=2,AND('Residual Config'!$C$8="Y",ISNUMBER(SEARCH("Zero",AA266)))),"Red","Amber")))</f>
        <v>Amber</v>
      </c>
      <c r="AD266" s="12" t="str">
        <f aca="false">IF(AC266="Red","Group CCO / CRO and Country CEO within 2 business days; action plan in 15 days; report to Board Risk &amp; Compliance Committee",IF(AC266="Amber","Country CO, risk owner and HO Administrator within 5 business days; action plan in 30 days",""))</f>
        <v>Country CO, risk owner and HO Administrator within 5 business days; action plan in 30 days</v>
      </c>
    </row>
    <row r="267" customFormat="false" ht="15" hidden="false" customHeight="false" outlineLevel="0" collapsed="false">
      <c r="A267" s="26" t="str">
        <f aca="false">Entities!$A$18</f>
        <v>OM</v>
      </c>
      <c r="B267" s="12" t="str">
        <f aca="false">INDEX(Entities!$B$5:$B$34,MATCH(A267,Entities!$A$5:$A$34,0))</f>
        <v>Oman Arab Bank (affiliate)</v>
      </c>
      <c r="C267" s="12" t="str">
        <f aca="false">INDEX(Entities!$D$5:$D$34,MATCH(A267,Entities!$A$5:$A$34,0))</f>
        <v>GCC</v>
      </c>
      <c r="D267" s="12" t="s">
        <v>270</v>
      </c>
      <c r="E267" s="12" t="str">
        <f aca="false">INDEX('Risk Taxonomy'!$B$5:$B$24,MATCH(D267,'Risk Taxonomy'!$A$5:$A$24,0))</f>
        <v>Proliferation financing</v>
      </c>
      <c r="F267" s="29" t="n">
        <f aca="false">IF(NOT(ISNUMBER(G267)),"",IFERROR(IF(MATCH(SUMIFS('FC Calculation'!$N$5:$N$214,'FC Calculation'!$A$5:$A$214,A267,'FC Calculation'!$D$5:$D$214,D267),Config!$D$5:$D$9,1)=G267,SUMIFS('FC Calculation'!$N$5:$N$214,'FC Calculation'!$A$5:$A$214,A267,'FC Calculation'!$D$5:$D$214,D267),G267),G267))</f>
        <v>2.7625</v>
      </c>
      <c r="G267" s="34" t="n">
        <f aca="false">IF(COUNTIFS('FC Calculation'!$A$5:$A$214,A267,'FC Calculation'!$D$5:$D$214,D267,'FC Calculation'!$T$5:$T$214,"&gt;0")=0,"",SUMIFS('FC Calculation'!$T$5:$T$214,'FC Calculation'!$A$5:$A$214,A267,'FC Calculation'!$D$5:$D$214,D267))</f>
        <v>3</v>
      </c>
      <c r="H267" s="7" t="str">
        <f aca="false">IF(G267="N/A","N/A",IF(G267="","No data",INDEX(Config!$B$5:$B$9,G267)))</f>
        <v>Medium</v>
      </c>
      <c r="I267" s="31" t="n">
        <f aca="false">IF(NOT(ISNUMBER($G267)),"",SUMPRODUCT(('Control Mapping'!$C$5:$C$83=D267)*('Control Mapping'!$T$5:$T$83&gt;0)))</f>
        <v>5</v>
      </c>
      <c r="J267" s="31" t="n">
        <f aca="false">IF(NOT(ISNUMBER($G267)),"",SUMPRODUCT(('Control Mapping'!$C$5:$C$83=D267)*('Control Mapping'!$F$5:$F$83="Y")*('Control Mapping'!$T$5:$T$83&gt;0)))</f>
        <v>5</v>
      </c>
      <c r="K267" s="31" t="n">
        <f aca="false">IF(NOT(ISNUMBER($G267)),"",SUMPRODUCT(('Control Mapping'!$C$5:$C$83=D267)*('Control Mapping'!$F$5:$F$83="Y")*('Control Mapping'!$T$5:$T$83=4)))</f>
        <v>0</v>
      </c>
      <c r="L267" s="29" t="n">
        <f aca="false">IF(NOT(ISNUMBER($G267)),"",IFERROR(SUMPRODUCT(('Control Mapping'!$C$5:$C$83=D267)*'Control Mapping'!$E$5:$E$83*'Control Mapping'!$T$5:$T$83)/SUMPRODUCT(('Control Mapping'!$C$5:$C$83=D267)*'Control Mapping'!$E$5:$E$83*('Control Mapping'!$T$5:$T$83&gt;0)),""))</f>
        <v>1.7</v>
      </c>
      <c r="M267" s="34" t="n">
        <f aca="false">IF(NOT(ISNUMBER($G267)),"",IF(J267=0,4,MAX(MATCH(L267,'Residual Config'!$E$11:$E$14,1),IF(K267&gt;0,'Residual Config'!$C$7,1))))</f>
        <v>2</v>
      </c>
      <c r="N267" s="7" t="str">
        <f aca="false">IF(NOT(ISNUMBER($G267)),"",IF(J267=0,"Ineffective (no key control)",INDEX('Residual Config'!$B$11:$B$14,M267)))</f>
        <v>Largely effective</v>
      </c>
      <c r="O267" s="36" t="n">
        <f aca="false">IF(NOT(ISNUMBER($G267)),"",IF(J267=0,0,SUMPRODUCT(('Control Mapping'!$C$5:$C$83=D267)*'Control Mapping'!$E$5:$E$83*(('Control Mapping'!$T$5:$T$83=1)*'Residual Config'!$D$11+('Control Mapping'!$T$5:$T$83=2)*'Residual Config'!$D$12+('Control Mapping'!$T$5:$T$83=3)*'Residual Config'!$D$13+('Control Mapping'!$T$5:$T$83=4)*'Residual Config'!$D$14))/SUMPRODUCT(('Control Mapping'!$C$5:$C$83=D267)*'Control Mapping'!$E$5:$E$83*('Control Mapping'!$T$5:$T$83&gt;0))))</f>
        <v>0.46</v>
      </c>
      <c r="P267" s="31" t="n">
        <f aca="false">IF(NOT(ISNUMBER($G267)),"",INDEX('Residual Config'!$B$19:$E$23,6-G267,M267))</f>
        <v>2</v>
      </c>
      <c r="Q267" s="29" t="n">
        <f aca="false">IF(NOT(ISNUMBER($G267)),"",MAX(1,F267*(1-O267)))</f>
        <v>1.49175</v>
      </c>
      <c r="R267" s="31" t="n">
        <f aca="false">IF(NOT(ISNUMBER($G267)),"",MAX(MATCH(Q267,Config!$D$5:$D$9,1),G267-'Residual Config'!$C$6))</f>
        <v>1</v>
      </c>
      <c r="S267" s="34" t="n">
        <f aca="false">IF(NOT(ISNUMBER($G267)),"",IF('Residual Config'!$C$5="Numeric",R267,P267))</f>
        <v>2</v>
      </c>
      <c r="T267" s="7" t="str">
        <f aca="false">IF(G267="N/A","N/A",IF(S267="","No data",INDEX(Config!$B$5:$B$9,S267)))</f>
        <v>Medium-Low</v>
      </c>
      <c r="U267" s="32" t="n">
        <v>0</v>
      </c>
      <c r="V267" s="8"/>
      <c r="W267" s="33"/>
      <c r="X267" s="34" t="n">
        <f aca="false">IF(S267="","",IF(AND(W267="Y",U267&lt;&gt;0),MAX(1,MIN(5,S267+MAX(-Config!$C$27,MIN(Config!$C$27,U267)))),S267))</f>
        <v>2</v>
      </c>
      <c r="Y267" s="35" t="str">
        <f aca="false">IF(G267="N/A","N/A",IF(X267="","No data",INDEX(Config!$B$5:$B$9,X267)))</f>
        <v>Medium-Low</v>
      </c>
      <c r="Z267" s="7" t="str">
        <f aca="false">IF(U267=0,"None",IF(W267="Y","Applied","Pending HO approval"))</f>
        <v>None</v>
      </c>
      <c r="AA267" s="12" t="str">
        <f aca="false">INDEX('Risk Taxonomy'!$G$5:$G$24,MATCH(D267,'Risk Taxonomy'!$A$5:$A$24,0))</f>
        <v>Zero tolerance</v>
      </c>
      <c r="AB267" s="7" t="str">
        <f aca="false">INDEX('Risk Taxonomy'!$H$5:$H$24,MATCH(D267,'Risk Taxonomy'!$A$5:$A$24,0))</f>
        <v>Low</v>
      </c>
      <c r="AC267" s="35" t="str">
        <f aca="false">IF(NOT(ISNUMBER(X267)),"",IF(X267&lt;=MATCH(AB267,Config!$B$5:$B$9,0),"Within",IF(OR(X267-MATCH(AB267,Config!$B$5:$B$9,0)&gt;=2,AND('Residual Config'!$C$8="Y",ISNUMBER(SEARCH("Zero",AA267)))),"Red","Amber")))</f>
        <v>Amber</v>
      </c>
      <c r="AD267" s="12" t="str">
        <f aca="false">IF(AC267="Red","Group CCO / CRO and Country CEO within 2 business days; action plan in 15 days; report to Board Risk &amp; Compliance Committee",IF(AC267="Amber","Country CO, risk owner and HO Administrator within 5 business days; action plan in 30 days",""))</f>
        <v>Country CO, risk owner and HO Administrator within 5 business days; action plan in 30 days</v>
      </c>
    </row>
    <row r="268" customFormat="false" ht="15" hidden="false" customHeight="false" outlineLevel="0" collapsed="false">
      <c r="A268" s="26" t="str">
        <f aca="false">Entities!$A$18</f>
        <v>OM</v>
      </c>
      <c r="B268" s="12" t="str">
        <f aca="false">INDEX(Entities!$B$5:$B$34,MATCH(A268,Entities!$A$5:$A$34,0))</f>
        <v>Oman Arab Bank (affiliate)</v>
      </c>
      <c r="C268" s="12" t="str">
        <f aca="false">INDEX(Entities!$D$5:$D$34,MATCH(A268,Entities!$A$5:$A$34,0))</f>
        <v>GCC</v>
      </c>
      <c r="D268" s="12" t="s">
        <v>272</v>
      </c>
      <c r="E268" s="12" t="str">
        <f aca="false">INDEX('Risk Taxonomy'!$B$5:$B$24,MATCH(D268,'Risk Taxonomy'!$A$5:$A$24,0))</f>
        <v>Sanctions</v>
      </c>
      <c r="F268" s="29" t="n">
        <f aca="false">IF(NOT(ISNUMBER(G268)),"",IFERROR(IF(MATCH(SUMIFS('FC Calculation'!$N$5:$N$214,'FC Calculation'!$A$5:$A$214,A268,'FC Calculation'!$D$5:$D$214,D268),Config!$D$5:$D$9,1)=G268,SUMIFS('FC Calculation'!$N$5:$N$214,'FC Calculation'!$A$5:$A$214,A268,'FC Calculation'!$D$5:$D$214,D268),G268),G268))</f>
        <v>2.81547619047619</v>
      </c>
      <c r="G268" s="34" t="n">
        <f aca="false">IF(COUNTIFS('FC Calculation'!$A$5:$A$214,A268,'FC Calculation'!$D$5:$D$214,D268,'FC Calculation'!$T$5:$T$214,"&gt;0")=0,"",SUMIFS('FC Calculation'!$T$5:$T$214,'FC Calculation'!$A$5:$A$214,A268,'FC Calculation'!$D$5:$D$214,D268))</f>
        <v>3</v>
      </c>
      <c r="H268" s="7" t="str">
        <f aca="false">IF(G268="N/A","N/A",IF(G268="","No data",INDEX(Config!$B$5:$B$9,G268)))</f>
        <v>Medium</v>
      </c>
      <c r="I268" s="31" t="n">
        <f aca="false">IF(NOT(ISNUMBER($G268)),"",SUMPRODUCT(('Control Mapping'!$C$5:$C$83=D268)*('Control Mapping'!$T$5:$T$83&gt;0)))</f>
        <v>8</v>
      </c>
      <c r="J268" s="31" t="n">
        <f aca="false">IF(NOT(ISNUMBER($G268)),"",SUMPRODUCT(('Control Mapping'!$C$5:$C$83=D268)*('Control Mapping'!$F$5:$F$83="Y")*('Control Mapping'!$T$5:$T$83&gt;0)))</f>
        <v>5</v>
      </c>
      <c r="K268" s="31" t="n">
        <f aca="false">IF(NOT(ISNUMBER($G268)),"",SUMPRODUCT(('Control Mapping'!$C$5:$C$83=D268)*('Control Mapping'!$F$5:$F$83="Y")*('Control Mapping'!$T$5:$T$83=4)))</f>
        <v>0</v>
      </c>
      <c r="L268" s="29" t="n">
        <f aca="false">IF(NOT(ISNUMBER($G268)),"",IFERROR(SUMPRODUCT(('Control Mapping'!$C$5:$C$83=D268)*'Control Mapping'!$E$5:$E$83*'Control Mapping'!$T$5:$T$83)/SUMPRODUCT(('Control Mapping'!$C$5:$C$83=D268)*'Control Mapping'!$E$5:$E$83*('Control Mapping'!$T$5:$T$83&gt;0)),""))</f>
        <v>1.90909090909091</v>
      </c>
      <c r="M268" s="34" t="n">
        <f aca="false">IF(NOT(ISNUMBER($G268)),"",IF(J268=0,4,MAX(MATCH(L268,'Residual Config'!$E$11:$E$14,1),IF(K268&gt;0,'Residual Config'!$C$7,1))))</f>
        <v>2</v>
      </c>
      <c r="N268" s="7" t="str">
        <f aca="false">IF(NOT(ISNUMBER($G268)),"",IF(J268=0,"Ineffective (no key control)",INDEX('Residual Config'!$B$11:$B$14,M268)))</f>
        <v>Largely effective</v>
      </c>
      <c r="O268" s="36" t="n">
        <f aca="false">IF(NOT(ISNUMBER($G268)),"",IF(J268=0,0,SUMPRODUCT(('Control Mapping'!$C$5:$C$83=D268)*'Control Mapping'!$E$5:$E$83*(('Control Mapping'!$T$5:$T$83=1)*'Residual Config'!$D$11+('Control Mapping'!$T$5:$T$83=2)*'Residual Config'!$D$12+('Control Mapping'!$T$5:$T$83=3)*'Residual Config'!$D$13+('Control Mapping'!$T$5:$T$83=4)*'Residual Config'!$D$14))/SUMPRODUCT(('Control Mapping'!$C$5:$C$83=D268)*'Control Mapping'!$E$5:$E$83*('Control Mapping'!$T$5:$T$83&gt;0))))</f>
        <v>0.418181818181818</v>
      </c>
      <c r="P268" s="31" t="n">
        <f aca="false">IF(NOT(ISNUMBER($G268)),"",INDEX('Residual Config'!$B$19:$E$23,6-G268,M268))</f>
        <v>2</v>
      </c>
      <c r="Q268" s="29" t="n">
        <f aca="false">IF(NOT(ISNUMBER($G268)),"",MAX(1,F268*(1-O268)))</f>
        <v>1.63809523809524</v>
      </c>
      <c r="R268" s="31" t="n">
        <f aca="false">IF(NOT(ISNUMBER($G268)),"",MAX(MATCH(Q268,Config!$D$5:$D$9,1),G268-'Residual Config'!$C$6))</f>
        <v>1</v>
      </c>
      <c r="S268" s="34" t="n">
        <f aca="false">IF(NOT(ISNUMBER($G268)),"",IF('Residual Config'!$C$5="Numeric",R268,P268))</f>
        <v>2</v>
      </c>
      <c r="T268" s="7" t="str">
        <f aca="false">IF(G268="N/A","N/A",IF(S268="","No data",INDEX(Config!$B$5:$B$9,S268)))</f>
        <v>Medium-Low</v>
      </c>
      <c r="U268" s="32" t="n">
        <v>0</v>
      </c>
      <c r="V268" s="8"/>
      <c r="W268" s="33"/>
      <c r="X268" s="34" t="n">
        <f aca="false">IF(S268="","",IF(AND(W268="Y",U268&lt;&gt;0),MAX(1,MIN(5,S268+MAX(-Config!$C$27,MIN(Config!$C$27,U268)))),S268))</f>
        <v>2</v>
      </c>
      <c r="Y268" s="35" t="str">
        <f aca="false">IF(G268="N/A","N/A",IF(X268="","No data",INDEX(Config!$B$5:$B$9,X268)))</f>
        <v>Medium-Low</v>
      </c>
      <c r="Z268" s="7" t="str">
        <f aca="false">IF(U268=0,"None",IF(W268="Y","Applied","Pending HO approval"))</f>
        <v>None</v>
      </c>
      <c r="AA268" s="12" t="str">
        <f aca="false">INDEX('Risk Taxonomy'!$G$5:$G$24,MATCH(D268,'Risk Taxonomy'!$A$5:$A$24,0))</f>
        <v>Zero tolerance</v>
      </c>
      <c r="AB268" s="7" t="str">
        <f aca="false">INDEX('Risk Taxonomy'!$H$5:$H$24,MATCH(D268,'Risk Taxonomy'!$A$5:$A$24,0))</f>
        <v>Low</v>
      </c>
      <c r="AC268" s="35" t="str">
        <f aca="false">IF(NOT(ISNUMBER(X268)),"",IF(X268&lt;=MATCH(AB268,Config!$B$5:$B$9,0),"Within",IF(OR(X268-MATCH(AB268,Config!$B$5:$B$9,0)&gt;=2,AND('Residual Config'!$C$8="Y",ISNUMBER(SEARCH("Zero",AA268)))),"Red","Amber")))</f>
        <v>Amber</v>
      </c>
      <c r="AD268" s="12" t="str">
        <f aca="false">IF(AC268="Red","Group CCO / CRO and Country CEO within 2 business days; action plan in 15 days; report to Board Risk &amp; Compliance Committee",IF(AC268="Amber","Country CO, risk owner and HO Administrator within 5 business days; action plan in 30 days",""))</f>
        <v>Country CO, risk owner and HO Administrator within 5 business days; action plan in 30 days</v>
      </c>
    </row>
    <row r="269" customFormat="false" ht="15" hidden="false" customHeight="false" outlineLevel="0" collapsed="false">
      <c r="A269" s="26" t="str">
        <f aca="false">Entities!$A$18</f>
        <v>OM</v>
      </c>
      <c r="B269" s="12" t="str">
        <f aca="false">INDEX(Entities!$B$5:$B$34,MATCH(A269,Entities!$A$5:$A$34,0))</f>
        <v>Oman Arab Bank (affiliate)</v>
      </c>
      <c r="C269" s="12" t="str">
        <f aca="false">INDEX(Entities!$D$5:$D$34,MATCH(A269,Entities!$A$5:$A$34,0))</f>
        <v>GCC</v>
      </c>
      <c r="D269" s="12" t="s">
        <v>275</v>
      </c>
      <c r="E269" s="12" t="str">
        <f aca="false">INDEX('Risk Taxonomy'!$B$5:$B$24,MATCH(D269,'Risk Taxonomy'!$A$5:$A$24,0))</f>
        <v>Bribery and corruption</v>
      </c>
      <c r="F269" s="29" t="n">
        <f aca="false">IF(NOT(ISNUMBER(G269)),"",IFERROR(IF(MATCH(SUMIFS('FC Calculation'!$N$5:$N$214,'FC Calculation'!$A$5:$A$214,A269,'FC Calculation'!$D$5:$D$214,D269),Config!$D$5:$D$9,1)=G269,SUMIFS('FC Calculation'!$N$5:$N$214,'FC Calculation'!$A$5:$A$214,A269,'FC Calculation'!$D$5:$D$214,D269),G269),G269))</f>
        <v>2.66</v>
      </c>
      <c r="G269" s="34" t="n">
        <f aca="false">IF(COUNTIFS('FC Calculation'!$A$5:$A$214,A269,'FC Calculation'!$D$5:$D$214,D269,'FC Calculation'!$T$5:$T$214,"&gt;0")=0,"",SUMIFS('FC Calculation'!$T$5:$T$214,'FC Calculation'!$A$5:$A$214,A269,'FC Calculation'!$D$5:$D$214,D269))</f>
        <v>3</v>
      </c>
      <c r="H269" s="7" t="str">
        <f aca="false">IF(G269="N/A","N/A",IF(G269="","No data",INDEX(Config!$B$5:$B$9,G269)))</f>
        <v>Medium</v>
      </c>
      <c r="I269" s="31" t="n">
        <f aca="false">IF(NOT(ISNUMBER($G269)),"",SUMPRODUCT(('Control Mapping'!$C$5:$C$83=D269)*('Control Mapping'!$T$5:$T$83&gt;0)))</f>
        <v>5</v>
      </c>
      <c r="J269" s="31" t="n">
        <f aca="false">IF(NOT(ISNUMBER($G269)),"",SUMPRODUCT(('Control Mapping'!$C$5:$C$83=D269)*('Control Mapping'!$F$5:$F$83="Y")*('Control Mapping'!$T$5:$T$83&gt;0)))</f>
        <v>2</v>
      </c>
      <c r="K269" s="31" t="n">
        <f aca="false">IF(NOT(ISNUMBER($G269)),"",SUMPRODUCT(('Control Mapping'!$C$5:$C$83=D269)*('Control Mapping'!$F$5:$F$83="Y")*('Control Mapping'!$T$5:$T$83=4)))</f>
        <v>0</v>
      </c>
      <c r="L269" s="29" t="n">
        <f aca="false">IF(NOT(ISNUMBER($G269)),"",IFERROR(SUMPRODUCT(('Control Mapping'!$C$5:$C$83=D269)*'Control Mapping'!$E$5:$E$83*'Control Mapping'!$T$5:$T$83)/SUMPRODUCT(('Control Mapping'!$C$5:$C$83=D269)*'Control Mapping'!$E$5:$E$83*('Control Mapping'!$T$5:$T$83&gt;0)),""))</f>
        <v>1.88888888888889</v>
      </c>
      <c r="M269" s="34" t="n">
        <f aca="false">IF(NOT(ISNUMBER($G269)),"",IF(J269=0,4,MAX(MATCH(L269,'Residual Config'!$E$11:$E$14,1),IF(K269&gt;0,'Residual Config'!$C$7,1))))</f>
        <v>2</v>
      </c>
      <c r="N269" s="7" t="str">
        <f aca="false">IF(NOT(ISNUMBER($G269)),"",IF(J269=0,"Ineffective (no key control)",INDEX('Residual Config'!$B$11:$B$14,M269)))</f>
        <v>Largely effective</v>
      </c>
      <c r="O269" s="36" t="n">
        <f aca="false">IF(NOT(ISNUMBER($G269)),"",IF(J269=0,0,SUMPRODUCT(('Control Mapping'!$C$5:$C$83=D269)*'Control Mapping'!$E$5:$E$83*(('Control Mapping'!$T$5:$T$83=1)*'Residual Config'!$D$11+('Control Mapping'!$T$5:$T$83=2)*'Residual Config'!$D$12+('Control Mapping'!$T$5:$T$83=3)*'Residual Config'!$D$13+('Control Mapping'!$T$5:$T$83=4)*'Residual Config'!$D$14))/SUMPRODUCT(('Control Mapping'!$C$5:$C$83=D269)*'Control Mapping'!$E$5:$E$83*('Control Mapping'!$T$5:$T$83&gt;0))))</f>
        <v>0.422222222222222</v>
      </c>
      <c r="P269" s="31" t="n">
        <f aca="false">IF(NOT(ISNUMBER($G269)),"",INDEX('Residual Config'!$B$19:$E$23,6-G269,M269))</f>
        <v>2</v>
      </c>
      <c r="Q269" s="29" t="n">
        <f aca="false">IF(NOT(ISNUMBER($G269)),"",MAX(1,F269*(1-O269)))</f>
        <v>1.53688888888889</v>
      </c>
      <c r="R269" s="31" t="n">
        <f aca="false">IF(NOT(ISNUMBER($G269)),"",MAX(MATCH(Q269,Config!$D$5:$D$9,1),G269-'Residual Config'!$C$6))</f>
        <v>1</v>
      </c>
      <c r="S269" s="34" t="n">
        <f aca="false">IF(NOT(ISNUMBER($G269)),"",IF('Residual Config'!$C$5="Numeric",R269,P269))</f>
        <v>2</v>
      </c>
      <c r="T269" s="7" t="str">
        <f aca="false">IF(G269="N/A","N/A",IF(S269="","No data",INDEX(Config!$B$5:$B$9,S269)))</f>
        <v>Medium-Low</v>
      </c>
      <c r="U269" s="32" t="n">
        <v>0</v>
      </c>
      <c r="V269" s="8"/>
      <c r="W269" s="33"/>
      <c r="X269" s="34" t="n">
        <f aca="false">IF(S269="","",IF(AND(W269="Y",U269&lt;&gt;0),MAX(1,MIN(5,S269+MAX(-Config!$C$27,MIN(Config!$C$27,U269)))),S269))</f>
        <v>2</v>
      </c>
      <c r="Y269" s="35" t="str">
        <f aca="false">IF(G269="N/A","N/A",IF(X269="","No data",INDEX(Config!$B$5:$B$9,X269)))</f>
        <v>Medium-Low</v>
      </c>
      <c r="Z269" s="7" t="str">
        <f aca="false">IF(U269=0,"None",IF(W269="Y","Applied","Pending HO approval"))</f>
        <v>None</v>
      </c>
      <c r="AA269" s="12" t="str">
        <f aca="false">INDEX('Risk Taxonomy'!$G$5:$G$24,MATCH(D269,'Risk Taxonomy'!$A$5:$A$24,0))</f>
        <v>Zero tolerance</v>
      </c>
      <c r="AB269" s="7" t="str">
        <f aca="false">INDEX('Risk Taxonomy'!$H$5:$H$24,MATCH(D269,'Risk Taxonomy'!$A$5:$A$24,0))</f>
        <v>Low</v>
      </c>
      <c r="AC269" s="35" t="str">
        <f aca="false">IF(NOT(ISNUMBER(X269)),"",IF(X269&lt;=MATCH(AB269,Config!$B$5:$B$9,0),"Within",IF(OR(X269-MATCH(AB269,Config!$B$5:$B$9,0)&gt;=2,AND('Residual Config'!$C$8="Y",ISNUMBER(SEARCH("Zero",AA269)))),"Red","Amber")))</f>
        <v>Amber</v>
      </c>
      <c r="AD269" s="12" t="str">
        <f aca="false">IF(AC269="Red","Group CCO / CRO and Country CEO within 2 business days; action plan in 15 days; report to Board Risk &amp; Compliance Committee",IF(AC269="Amber","Country CO, risk owner and HO Administrator within 5 business days; action plan in 30 days",""))</f>
        <v>Country CO, risk owner and HO Administrator within 5 business days; action plan in 30 days</v>
      </c>
    </row>
    <row r="270" customFormat="false" ht="15" hidden="false" customHeight="false" outlineLevel="0" collapsed="false">
      <c r="A270" s="26" t="str">
        <f aca="false">Entities!$A$18</f>
        <v>OM</v>
      </c>
      <c r="B270" s="12" t="str">
        <f aca="false">INDEX(Entities!$B$5:$B$34,MATCH(A270,Entities!$A$5:$A$34,0))</f>
        <v>Oman Arab Bank (affiliate)</v>
      </c>
      <c r="C270" s="12" t="str">
        <f aca="false">INDEX(Entities!$D$5:$D$34,MATCH(A270,Entities!$A$5:$A$34,0))</f>
        <v>GCC</v>
      </c>
      <c r="D270" s="12" t="s">
        <v>278</v>
      </c>
      <c r="E270" s="12" t="str">
        <f aca="false">INDEX('Risk Taxonomy'!$B$5:$B$24,MATCH(D270,'Risk Taxonomy'!$A$5:$A$24,0))</f>
        <v>Fraud</v>
      </c>
      <c r="F270" s="29" t="n">
        <f aca="false">IF(NOT(ISNUMBER(G270)),"",IFERROR(IF(MATCH(SUMIFS('FC Calculation'!$N$5:$N$214,'FC Calculation'!$A$5:$A$214,A270,'FC Calculation'!$D$5:$D$214,D270),Config!$D$5:$D$9,1)=G270,SUMIFS('FC Calculation'!$N$5:$N$214,'FC Calculation'!$A$5:$A$214,A270,'FC Calculation'!$D$5:$D$214,D270),G270),G270))</f>
        <v>2.73833333333333</v>
      </c>
      <c r="G270" s="34" t="n">
        <f aca="false">IF(COUNTIFS('FC Calculation'!$A$5:$A$214,A270,'FC Calculation'!$D$5:$D$214,D270,'FC Calculation'!$T$5:$T$214,"&gt;0")=0,"",SUMIFS('FC Calculation'!$T$5:$T$214,'FC Calculation'!$A$5:$A$214,A270,'FC Calculation'!$D$5:$D$214,D270))</f>
        <v>3</v>
      </c>
      <c r="H270" s="7" t="str">
        <f aca="false">IF(G270="N/A","N/A",IF(G270="","No data",INDEX(Config!$B$5:$B$9,G270)))</f>
        <v>Medium</v>
      </c>
      <c r="I270" s="31" t="n">
        <f aca="false">IF(NOT(ISNUMBER($G270)),"",SUMPRODUCT(('Control Mapping'!$C$5:$C$83=D270)*('Control Mapping'!$T$5:$T$83&gt;0)))</f>
        <v>6</v>
      </c>
      <c r="J270" s="31" t="n">
        <f aca="false">IF(NOT(ISNUMBER($G270)),"",SUMPRODUCT(('Control Mapping'!$C$5:$C$83=D270)*('Control Mapping'!$F$5:$F$83="Y")*('Control Mapping'!$T$5:$T$83&gt;0)))</f>
        <v>5</v>
      </c>
      <c r="K270" s="31" t="n">
        <f aca="false">IF(NOT(ISNUMBER($G270)),"",SUMPRODUCT(('Control Mapping'!$C$5:$C$83=D270)*('Control Mapping'!$F$5:$F$83="Y")*('Control Mapping'!$T$5:$T$83=4)))</f>
        <v>1</v>
      </c>
      <c r="L270" s="29" t="n">
        <f aca="false">IF(NOT(ISNUMBER($G270)),"",IFERROR(SUMPRODUCT(('Control Mapping'!$C$5:$C$83=D270)*'Control Mapping'!$E$5:$E$83*'Control Mapping'!$T$5:$T$83)/SUMPRODUCT(('Control Mapping'!$C$5:$C$83=D270)*'Control Mapping'!$E$5:$E$83*('Control Mapping'!$T$5:$T$83&gt;0)),""))</f>
        <v>2.7</v>
      </c>
      <c r="M270" s="34" t="n">
        <f aca="false">IF(NOT(ISNUMBER($G270)),"",IF(J270=0,4,MAX(MATCH(L270,'Residual Config'!$E$11:$E$14,1),IF(K270&gt;0,'Residual Config'!$C$7,1))))</f>
        <v>3</v>
      </c>
      <c r="N270" s="7" t="str">
        <f aca="false">IF(NOT(ISNUMBER($G270)),"",IF(J270=0,"Ineffective (no key control)",INDEX('Residual Config'!$B$11:$B$14,M270)))</f>
        <v>Partially effective</v>
      </c>
      <c r="O270" s="36" t="n">
        <f aca="false">IF(NOT(ISNUMBER($G270)),"",IF(J270=0,0,SUMPRODUCT(('Control Mapping'!$C$5:$C$83=D270)*'Control Mapping'!$E$5:$E$83*(('Control Mapping'!$T$5:$T$83=1)*'Residual Config'!$D$11+('Control Mapping'!$T$5:$T$83=2)*'Residual Config'!$D$12+('Control Mapping'!$T$5:$T$83=3)*'Residual Config'!$D$13+('Control Mapping'!$T$5:$T$83=4)*'Residual Config'!$D$14))/SUMPRODUCT(('Control Mapping'!$C$5:$C$83=D270)*'Control Mapping'!$E$5:$E$83*('Control Mapping'!$T$5:$T$83&gt;0))))</f>
        <v>0.26</v>
      </c>
      <c r="P270" s="31" t="n">
        <f aca="false">IF(NOT(ISNUMBER($G270)),"",INDEX('Residual Config'!$B$19:$E$23,6-G270,M270))</f>
        <v>3</v>
      </c>
      <c r="Q270" s="29" t="n">
        <f aca="false">IF(NOT(ISNUMBER($G270)),"",MAX(1,F270*(1-O270)))</f>
        <v>2.02636666666667</v>
      </c>
      <c r="R270" s="31" t="n">
        <f aca="false">IF(NOT(ISNUMBER($G270)),"",MAX(MATCH(Q270,Config!$D$5:$D$9,1),G270-'Residual Config'!$C$6))</f>
        <v>2</v>
      </c>
      <c r="S270" s="34" t="n">
        <f aca="false">IF(NOT(ISNUMBER($G270)),"",IF('Residual Config'!$C$5="Numeric",R270,P270))</f>
        <v>3</v>
      </c>
      <c r="T270" s="7" t="str">
        <f aca="false">IF(G270="N/A","N/A",IF(S270="","No data",INDEX(Config!$B$5:$B$9,S270)))</f>
        <v>Medium</v>
      </c>
      <c r="U270" s="32" t="n">
        <v>0</v>
      </c>
      <c r="V270" s="8"/>
      <c r="W270" s="33"/>
      <c r="X270" s="34" t="n">
        <f aca="false">IF(S270="","",IF(AND(W270="Y",U270&lt;&gt;0),MAX(1,MIN(5,S270+MAX(-Config!$C$27,MIN(Config!$C$27,U270)))),S270))</f>
        <v>3</v>
      </c>
      <c r="Y270" s="35" t="str">
        <f aca="false">IF(G270="N/A","N/A",IF(X270="","No data",INDEX(Config!$B$5:$B$9,X270)))</f>
        <v>Medium</v>
      </c>
      <c r="Z270" s="7" t="str">
        <f aca="false">IF(U270=0,"None",IF(W270="Y","Applied","Pending HO approval"))</f>
        <v>None</v>
      </c>
      <c r="AA270" s="12" t="str">
        <f aca="false">INDEX('Risk Taxonomy'!$G$5:$G$24,MATCH(D270,'Risk Taxonomy'!$A$5:$A$24,0))</f>
        <v>Low</v>
      </c>
      <c r="AB270" s="7" t="str">
        <f aca="false">INDEX('Risk Taxonomy'!$H$5:$H$24,MATCH(D270,'Risk Taxonomy'!$A$5:$A$24,0))</f>
        <v>Medium</v>
      </c>
      <c r="AC270" s="35" t="str">
        <f aca="false">IF(NOT(ISNUMBER(X270)),"",IF(X270&lt;=MATCH(AB270,Config!$B$5:$B$9,0),"Within",IF(OR(X270-MATCH(AB270,Config!$B$5:$B$9,0)&gt;=2,AND('Residual Config'!$C$8="Y",ISNUMBER(SEARCH("Zero",AA270)))),"Red","Amber")))</f>
        <v>Within</v>
      </c>
      <c r="AD270" s="12" t="str">
        <f aca="false">IF(AC270="Red","Group CCO / CRO and Country CEO within 2 business days; action plan in 15 days; report to Board Risk &amp; Compliance Committee",IF(AC270="Amber","Country CO, risk owner and HO Administrator within 5 business days; action plan in 30 days",""))</f>
        <v/>
      </c>
    </row>
    <row r="271" customFormat="false" ht="15" hidden="false" customHeight="false" outlineLevel="0" collapsed="false">
      <c r="A271" s="26" t="str">
        <f aca="false">Entities!$A$18</f>
        <v>OM</v>
      </c>
      <c r="B271" s="12" t="str">
        <f aca="false">INDEX(Entities!$B$5:$B$34,MATCH(A271,Entities!$A$5:$A$34,0))</f>
        <v>Oman Arab Bank (affiliate)</v>
      </c>
      <c r="C271" s="12" t="str">
        <f aca="false">INDEX(Entities!$D$5:$D$34,MATCH(A271,Entities!$A$5:$A$34,0))</f>
        <v>GCC</v>
      </c>
      <c r="D271" s="12" t="s">
        <v>281</v>
      </c>
      <c r="E271" s="12" t="str">
        <f aca="false">INDEX('Risk Taxonomy'!$B$5:$B$24,MATCH(D271,'Risk Taxonomy'!$A$5:$A$24,0))</f>
        <v>Tax evasion and tax transparency</v>
      </c>
      <c r="F271" s="29" t="n">
        <f aca="false">IF(NOT(ISNUMBER(G271)),"",IFERROR(IF(MATCH(SUMIFS('FC Calculation'!$N$5:$N$214,'FC Calculation'!$A$5:$A$214,A271,'FC Calculation'!$D$5:$D$214,D271),Config!$D$5:$D$9,1)=G271,SUMIFS('FC Calculation'!$N$5:$N$214,'FC Calculation'!$A$5:$A$214,A271,'FC Calculation'!$D$5:$D$214,D271),G271),G271))</f>
        <v>2.98055555555556</v>
      </c>
      <c r="G271" s="34" t="n">
        <f aca="false">IF(COUNTIFS('FC Calculation'!$A$5:$A$214,A271,'FC Calculation'!$D$5:$D$214,D271,'FC Calculation'!$T$5:$T$214,"&gt;0")=0,"",SUMIFS('FC Calculation'!$T$5:$T$214,'FC Calculation'!$A$5:$A$214,A271,'FC Calculation'!$D$5:$D$214,D271))</f>
        <v>3</v>
      </c>
      <c r="H271" s="7" t="str">
        <f aca="false">IF(G271="N/A","N/A",IF(G271="","No data",INDEX(Config!$B$5:$B$9,G271)))</f>
        <v>Medium</v>
      </c>
      <c r="I271" s="31" t="n">
        <f aca="false">IF(NOT(ISNUMBER($G271)),"",SUMPRODUCT(('Control Mapping'!$C$5:$C$83=D271)*('Control Mapping'!$T$5:$T$83&gt;0)))</f>
        <v>5</v>
      </c>
      <c r="J271" s="31" t="n">
        <f aca="false">IF(NOT(ISNUMBER($G271)),"",SUMPRODUCT(('Control Mapping'!$C$5:$C$83=D271)*('Control Mapping'!$F$5:$F$83="Y")*('Control Mapping'!$T$5:$T$83&gt;0)))</f>
        <v>4</v>
      </c>
      <c r="K271" s="31" t="n">
        <f aca="false">IF(NOT(ISNUMBER($G271)),"",SUMPRODUCT(('Control Mapping'!$C$5:$C$83=D271)*('Control Mapping'!$F$5:$F$83="Y")*('Control Mapping'!$T$5:$T$83=4)))</f>
        <v>0</v>
      </c>
      <c r="L271" s="29" t="n">
        <f aca="false">IF(NOT(ISNUMBER($G271)),"",IFERROR(SUMPRODUCT(('Control Mapping'!$C$5:$C$83=D271)*'Control Mapping'!$E$5:$E$83*'Control Mapping'!$T$5:$T$83)/SUMPRODUCT(('Control Mapping'!$C$5:$C$83=D271)*'Control Mapping'!$E$5:$E$83*('Control Mapping'!$T$5:$T$83&gt;0)),""))</f>
        <v>1.88888888888889</v>
      </c>
      <c r="M271" s="34" t="n">
        <f aca="false">IF(NOT(ISNUMBER($G271)),"",IF(J271=0,4,MAX(MATCH(L271,'Residual Config'!$E$11:$E$14,1),IF(K271&gt;0,'Residual Config'!$C$7,1))))</f>
        <v>2</v>
      </c>
      <c r="N271" s="7" t="str">
        <f aca="false">IF(NOT(ISNUMBER($G271)),"",IF(J271=0,"Ineffective (no key control)",INDEX('Residual Config'!$B$11:$B$14,M271)))</f>
        <v>Largely effective</v>
      </c>
      <c r="O271" s="36" t="n">
        <f aca="false">IF(NOT(ISNUMBER($G271)),"",IF(J271=0,0,SUMPRODUCT(('Control Mapping'!$C$5:$C$83=D271)*'Control Mapping'!$E$5:$E$83*(('Control Mapping'!$T$5:$T$83=1)*'Residual Config'!$D$11+('Control Mapping'!$T$5:$T$83=2)*'Residual Config'!$D$12+('Control Mapping'!$T$5:$T$83=3)*'Residual Config'!$D$13+('Control Mapping'!$T$5:$T$83=4)*'Residual Config'!$D$14))/SUMPRODUCT(('Control Mapping'!$C$5:$C$83=D271)*'Control Mapping'!$E$5:$E$83*('Control Mapping'!$T$5:$T$83&gt;0))))</f>
        <v>0.422222222222222</v>
      </c>
      <c r="P271" s="31" t="n">
        <f aca="false">IF(NOT(ISNUMBER($G271)),"",INDEX('Residual Config'!$B$19:$E$23,6-G271,M271))</f>
        <v>2</v>
      </c>
      <c r="Q271" s="29" t="n">
        <f aca="false">IF(NOT(ISNUMBER($G271)),"",MAX(1,F271*(1-O271)))</f>
        <v>1.7220987654321</v>
      </c>
      <c r="R271" s="31" t="n">
        <f aca="false">IF(NOT(ISNUMBER($G271)),"",MAX(MATCH(Q271,Config!$D$5:$D$9,1),G271-'Residual Config'!$C$6))</f>
        <v>1</v>
      </c>
      <c r="S271" s="34" t="n">
        <f aca="false">IF(NOT(ISNUMBER($G271)),"",IF('Residual Config'!$C$5="Numeric",R271,P271))</f>
        <v>2</v>
      </c>
      <c r="T271" s="7" t="str">
        <f aca="false">IF(G271="N/A","N/A",IF(S271="","No data",INDEX(Config!$B$5:$B$9,S271)))</f>
        <v>Medium-Low</v>
      </c>
      <c r="U271" s="32" t="n">
        <v>0</v>
      </c>
      <c r="V271" s="8"/>
      <c r="W271" s="33"/>
      <c r="X271" s="34" t="n">
        <f aca="false">IF(S271="","",IF(AND(W271="Y",U271&lt;&gt;0),MAX(1,MIN(5,S271+MAX(-Config!$C$27,MIN(Config!$C$27,U271)))),S271))</f>
        <v>2</v>
      </c>
      <c r="Y271" s="35" t="str">
        <f aca="false">IF(G271="N/A","N/A",IF(X271="","No data",INDEX(Config!$B$5:$B$9,X271)))</f>
        <v>Medium-Low</v>
      </c>
      <c r="Z271" s="7" t="str">
        <f aca="false">IF(U271=0,"None",IF(W271="Y","Applied","Pending HO approval"))</f>
        <v>None</v>
      </c>
      <c r="AA271" s="12" t="str">
        <f aca="false">INDEX('Risk Taxonomy'!$G$5:$G$24,MATCH(D271,'Risk Taxonomy'!$A$5:$A$24,0))</f>
        <v>Zero tolerance (facilitation)</v>
      </c>
      <c r="AB271" s="7" t="str">
        <f aca="false">INDEX('Risk Taxonomy'!$H$5:$H$24,MATCH(D271,'Risk Taxonomy'!$A$5:$A$24,0))</f>
        <v>Low</v>
      </c>
      <c r="AC271" s="35" t="str">
        <f aca="false">IF(NOT(ISNUMBER(X271)),"",IF(X271&lt;=MATCH(AB271,Config!$B$5:$B$9,0),"Within",IF(OR(X271-MATCH(AB271,Config!$B$5:$B$9,0)&gt;=2,AND('Residual Config'!$C$8="Y",ISNUMBER(SEARCH("Zero",AA271)))),"Red","Amber")))</f>
        <v>Amber</v>
      </c>
      <c r="AD271" s="12" t="str">
        <f aca="false">IF(AC271="Red","Group CCO / CRO and Country CEO within 2 business days; action plan in 15 days; report to Board Risk &amp; Compliance Committee",IF(AC271="Amber","Country CO, risk owner and HO Administrator within 5 business days; action plan in 30 days",""))</f>
        <v>Country CO, risk owner and HO Administrator within 5 business days; action plan in 30 days</v>
      </c>
    </row>
    <row r="272" customFormat="false" ht="15" hidden="false" customHeight="false" outlineLevel="0" collapsed="false">
      <c r="A272" s="26" t="str">
        <f aca="false">Entities!$A$18</f>
        <v>OM</v>
      </c>
      <c r="B272" s="12" t="str">
        <f aca="false">INDEX(Entities!$B$5:$B$34,MATCH(A272,Entities!$A$5:$A$34,0))</f>
        <v>Oman Arab Bank (affiliate)</v>
      </c>
      <c r="C272" s="12" t="str">
        <f aca="false">INDEX(Entities!$D$5:$D$34,MATCH(A272,Entities!$A$5:$A$34,0))</f>
        <v>GCC</v>
      </c>
      <c r="D272" s="12" t="s">
        <v>284</v>
      </c>
      <c r="E272" s="12" t="str">
        <f aca="false">INDEX('Risk Taxonomy'!$B$5:$B$24,MATCH(D272,'Risk Taxonomy'!$A$5:$A$24,0))</f>
        <v>Regulatory compliance</v>
      </c>
      <c r="F272" s="29" t="n">
        <f aca="false">IF(NOT(ISNUMBER(G272)),"",G272)</f>
        <v>3</v>
      </c>
      <c r="G272" s="34" t="n">
        <f aca="false">IF(COUNTIFS('LxI Assessment'!$A$5:$A$394,A272,'LxI Assessment'!$D$5:$D$394,D272,'LxI Assessment'!$F$5:$F$394,"N/A")&gt;0,"N/A",IF(COUNTIFS('LxI Assessment'!$A$5:$A$394,A272,'LxI Assessment'!$D$5:$D$394,D272,'LxI Assessment'!$S$5:$S$394,"&gt;0")=0,"",SUMIFS('LxI Assessment'!$S$5:$S$394,'LxI Assessment'!$A$5:$A$394,A272,'LxI Assessment'!$D$5:$D$394,D272)))</f>
        <v>3</v>
      </c>
      <c r="H272" s="7" t="str">
        <f aca="false">IF(G272="N/A","N/A",IF(G272="","No data",INDEX(Config!$B$5:$B$9,G272)))</f>
        <v>Medium</v>
      </c>
      <c r="I272" s="31" t="n">
        <f aca="false">IF(NOT(ISNUMBER($G272)),"",SUMPRODUCT(('Control Mapping'!$C$5:$C$83=D272)*('Control Mapping'!$T$5:$T$83&gt;0)))</f>
        <v>4</v>
      </c>
      <c r="J272" s="31" t="n">
        <f aca="false">IF(NOT(ISNUMBER($G272)),"",SUMPRODUCT(('Control Mapping'!$C$5:$C$83=D272)*('Control Mapping'!$F$5:$F$83="Y")*('Control Mapping'!$T$5:$T$83&gt;0)))</f>
        <v>3</v>
      </c>
      <c r="K272" s="31" t="n">
        <f aca="false">IF(NOT(ISNUMBER($G272)),"",SUMPRODUCT(('Control Mapping'!$C$5:$C$83=D272)*('Control Mapping'!$F$5:$F$83="Y")*('Control Mapping'!$T$5:$T$83=4)))</f>
        <v>0</v>
      </c>
      <c r="L272" s="29" t="n">
        <f aca="false">IF(NOT(ISNUMBER($G272)),"",IFERROR(SUMPRODUCT(('Control Mapping'!$C$5:$C$83=D272)*'Control Mapping'!$E$5:$E$83*'Control Mapping'!$T$5:$T$83)/SUMPRODUCT(('Control Mapping'!$C$5:$C$83=D272)*'Control Mapping'!$E$5:$E$83*('Control Mapping'!$T$5:$T$83&gt;0)),""))</f>
        <v>1.71428571428571</v>
      </c>
      <c r="M272" s="34" t="n">
        <f aca="false">IF(NOT(ISNUMBER($G272)),"",IF(J272=0,4,MAX(MATCH(L272,'Residual Config'!$E$11:$E$14,1),IF(K272&gt;0,'Residual Config'!$C$7,1))))</f>
        <v>2</v>
      </c>
      <c r="N272" s="7" t="str">
        <f aca="false">IF(NOT(ISNUMBER($G272)),"",IF(J272=0,"Ineffective (no key control)",INDEX('Residual Config'!$B$11:$B$14,M272)))</f>
        <v>Largely effective</v>
      </c>
      <c r="O272" s="36" t="n">
        <f aca="false">IF(NOT(ISNUMBER($G272)),"",IF(J272=0,0,SUMPRODUCT(('Control Mapping'!$C$5:$C$83=D272)*'Control Mapping'!$E$5:$E$83*(('Control Mapping'!$T$5:$T$83=1)*'Residual Config'!$D$11+('Control Mapping'!$T$5:$T$83=2)*'Residual Config'!$D$12+('Control Mapping'!$T$5:$T$83=3)*'Residual Config'!$D$13+('Control Mapping'!$T$5:$T$83=4)*'Residual Config'!$D$14))/SUMPRODUCT(('Control Mapping'!$C$5:$C$83=D272)*'Control Mapping'!$E$5:$E$83*('Control Mapping'!$T$5:$T$83&gt;0))))</f>
        <v>0.457142857142857</v>
      </c>
      <c r="P272" s="31" t="n">
        <f aca="false">IF(NOT(ISNUMBER($G272)),"",INDEX('Residual Config'!$B$19:$E$23,6-G272,M272))</f>
        <v>2</v>
      </c>
      <c r="Q272" s="29" t="n">
        <f aca="false">IF(NOT(ISNUMBER($G272)),"",MAX(1,F272*(1-O272)))</f>
        <v>1.62857142857143</v>
      </c>
      <c r="R272" s="31" t="n">
        <f aca="false">IF(NOT(ISNUMBER($G272)),"",MAX(MATCH(Q272,Config!$D$5:$D$9,1),G272-'Residual Config'!$C$6))</f>
        <v>1</v>
      </c>
      <c r="S272" s="34" t="n">
        <f aca="false">IF(NOT(ISNUMBER($G272)),"",IF('Residual Config'!$C$5="Numeric",R272,P272))</f>
        <v>2</v>
      </c>
      <c r="T272" s="7" t="str">
        <f aca="false">IF(G272="N/A","N/A",IF(S272="","No data",INDEX(Config!$B$5:$B$9,S272)))</f>
        <v>Medium-Low</v>
      </c>
      <c r="U272" s="32" t="n">
        <v>0</v>
      </c>
      <c r="V272" s="8"/>
      <c r="W272" s="33"/>
      <c r="X272" s="34" t="n">
        <f aca="false">IF(S272="","",IF(AND(W272="Y",U272&lt;&gt;0),MAX(1,MIN(5,S272+MAX(-Config!$C$27,MIN(Config!$C$27,U272)))),S272))</f>
        <v>2</v>
      </c>
      <c r="Y272" s="35" t="str">
        <f aca="false">IF(G272="N/A","N/A",IF(X272="","No data",INDEX(Config!$B$5:$B$9,X272)))</f>
        <v>Medium-Low</v>
      </c>
      <c r="Z272" s="7" t="str">
        <f aca="false">IF(U272=0,"None",IF(W272="Y","Applied","Pending HO approval"))</f>
        <v>None</v>
      </c>
      <c r="AA272" s="12" t="str">
        <f aca="false">INDEX('Risk Taxonomy'!$G$5:$G$24,MATCH(D272,'Risk Taxonomy'!$A$5:$A$24,0))</f>
        <v>Very low</v>
      </c>
      <c r="AB272" s="7" t="str">
        <f aca="false">INDEX('Risk Taxonomy'!$H$5:$H$24,MATCH(D272,'Risk Taxonomy'!$A$5:$A$24,0))</f>
        <v>Medium-Low</v>
      </c>
      <c r="AC272" s="35" t="str">
        <f aca="false">IF(NOT(ISNUMBER(X272)),"",IF(X272&lt;=MATCH(AB272,Config!$B$5:$B$9,0),"Within",IF(OR(X272-MATCH(AB272,Config!$B$5:$B$9,0)&gt;=2,AND('Residual Config'!$C$8="Y",ISNUMBER(SEARCH("Zero",AA272)))),"Red","Amber")))</f>
        <v>Within</v>
      </c>
      <c r="AD272" s="12" t="str">
        <f aca="false">IF(AC272="Red","Group CCO / CRO and Country CEO within 2 business days; action plan in 15 days; report to Board Risk &amp; Compliance Committee",IF(AC272="Amber","Country CO, risk owner and HO Administrator within 5 business days; action plan in 30 days",""))</f>
        <v/>
      </c>
    </row>
    <row r="273" customFormat="false" ht="15" hidden="false" customHeight="false" outlineLevel="0" collapsed="false">
      <c r="A273" s="26" t="str">
        <f aca="false">Entities!$A$18</f>
        <v>OM</v>
      </c>
      <c r="B273" s="12" t="str">
        <f aca="false">INDEX(Entities!$B$5:$B$34,MATCH(A273,Entities!$A$5:$A$34,0))</f>
        <v>Oman Arab Bank (affiliate)</v>
      </c>
      <c r="C273" s="12" t="str">
        <f aca="false">INDEX(Entities!$D$5:$D$34,MATCH(A273,Entities!$A$5:$A$34,0))</f>
        <v>GCC</v>
      </c>
      <c r="D273" s="12" t="s">
        <v>288</v>
      </c>
      <c r="E273" s="12" t="str">
        <f aca="false">INDEX('Risk Taxonomy'!$B$5:$B$24,MATCH(D273,'Risk Taxonomy'!$A$5:$A$24,0))</f>
        <v>Conduct and consumer protection</v>
      </c>
      <c r="F273" s="29" t="n">
        <f aca="false">IF(NOT(ISNUMBER(G273)),"",G273)</f>
        <v>3</v>
      </c>
      <c r="G273" s="34" t="n">
        <f aca="false">IF(COUNTIFS('LxI Assessment'!$A$5:$A$394,A273,'LxI Assessment'!$D$5:$D$394,D273,'LxI Assessment'!$F$5:$F$394,"N/A")&gt;0,"N/A",IF(COUNTIFS('LxI Assessment'!$A$5:$A$394,A273,'LxI Assessment'!$D$5:$D$394,D273,'LxI Assessment'!$S$5:$S$394,"&gt;0")=0,"",SUMIFS('LxI Assessment'!$S$5:$S$394,'LxI Assessment'!$A$5:$A$394,A273,'LxI Assessment'!$D$5:$D$394,D273)))</f>
        <v>3</v>
      </c>
      <c r="H273" s="7" t="str">
        <f aca="false">IF(G273="N/A","N/A",IF(G273="","No data",INDEX(Config!$B$5:$B$9,G273)))</f>
        <v>Medium</v>
      </c>
      <c r="I273" s="31" t="n">
        <f aca="false">IF(NOT(ISNUMBER($G273)),"",SUMPRODUCT(('Control Mapping'!$C$5:$C$83=D273)*('Control Mapping'!$T$5:$T$83&gt;0)))</f>
        <v>2</v>
      </c>
      <c r="J273" s="31" t="n">
        <f aca="false">IF(NOT(ISNUMBER($G273)),"",SUMPRODUCT(('Control Mapping'!$C$5:$C$83=D273)*('Control Mapping'!$F$5:$F$83="Y")*('Control Mapping'!$T$5:$T$83&gt;0)))</f>
        <v>1</v>
      </c>
      <c r="K273" s="31" t="n">
        <f aca="false">IF(NOT(ISNUMBER($G273)),"",SUMPRODUCT(('Control Mapping'!$C$5:$C$83=D273)*('Control Mapping'!$F$5:$F$83="Y")*('Control Mapping'!$T$5:$T$83=4)))</f>
        <v>0</v>
      </c>
      <c r="L273" s="29" t="n">
        <f aca="false">IF(NOT(ISNUMBER($G273)),"",IFERROR(SUMPRODUCT(('Control Mapping'!$C$5:$C$83=D273)*'Control Mapping'!$E$5:$E$83*'Control Mapping'!$T$5:$T$83)/SUMPRODUCT(('Control Mapping'!$C$5:$C$83=D273)*'Control Mapping'!$E$5:$E$83*('Control Mapping'!$T$5:$T$83&gt;0)),""))</f>
        <v>2</v>
      </c>
      <c r="M273" s="34" t="n">
        <f aca="false">IF(NOT(ISNUMBER($G273)),"",IF(J273=0,4,MAX(MATCH(L273,'Residual Config'!$E$11:$E$14,1),IF(K273&gt;0,'Residual Config'!$C$7,1))))</f>
        <v>2</v>
      </c>
      <c r="N273" s="7" t="str">
        <f aca="false">IF(NOT(ISNUMBER($G273)),"",IF(J273=0,"Ineffective (no key control)",INDEX('Residual Config'!$B$11:$B$14,M273)))</f>
        <v>Largely effective</v>
      </c>
      <c r="O273" s="36" t="n">
        <f aca="false">IF(NOT(ISNUMBER($G273)),"",IF(J273=0,0,SUMPRODUCT(('Control Mapping'!$C$5:$C$83=D273)*'Control Mapping'!$E$5:$E$83*(('Control Mapping'!$T$5:$T$83=1)*'Residual Config'!$D$11+('Control Mapping'!$T$5:$T$83=2)*'Residual Config'!$D$12+('Control Mapping'!$T$5:$T$83=3)*'Residual Config'!$D$13+('Control Mapping'!$T$5:$T$83=4)*'Residual Config'!$D$14))/SUMPRODUCT(('Control Mapping'!$C$5:$C$83=D273)*'Control Mapping'!$E$5:$E$83*('Control Mapping'!$T$5:$T$83&gt;0))))</f>
        <v>0.4</v>
      </c>
      <c r="P273" s="31" t="n">
        <f aca="false">IF(NOT(ISNUMBER($G273)),"",INDEX('Residual Config'!$B$19:$E$23,6-G273,M273))</f>
        <v>2</v>
      </c>
      <c r="Q273" s="29" t="n">
        <f aca="false">IF(NOT(ISNUMBER($G273)),"",MAX(1,F273*(1-O273)))</f>
        <v>1.8</v>
      </c>
      <c r="R273" s="31" t="n">
        <f aca="false">IF(NOT(ISNUMBER($G273)),"",MAX(MATCH(Q273,Config!$D$5:$D$9,1),G273-'Residual Config'!$C$6))</f>
        <v>1</v>
      </c>
      <c r="S273" s="34" t="n">
        <f aca="false">IF(NOT(ISNUMBER($G273)),"",IF('Residual Config'!$C$5="Numeric",R273,P273))</f>
        <v>2</v>
      </c>
      <c r="T273" s="7" t="str">
        <f aca="false">IF(G273="N/A","N/A",IF(S273="","No data",INDEX(Config!$B$5:$B$9,S273)))</f>
        <v>Medium-Low</v>
      </c>
      <c r="U273" s="32" t="n">
        <v>0</v>
      </c>
      <c r="V273" s="8"/>
      <c r="W273" s="33"/>
      <c r="X273" s="34" t="n">
        <f aca="false">IF(S273="","",IF(AND(W273="Y",U273&lt;&gt;0),MAX(1,MIN(5,S273+MAX(-Config!$C$27,MIN(Config!$C$27,U273)))),S273))</f>
        <v>2</v>
      </c>
      <c r="Y273" s="35" t="str">
        <f aca="false">IF(G273="N/A","N/A",IF(X273="","No data",INDEX(Config!$B$5:$B$9,X273)))</f>
        <v>Medium-Low</v>
      </c>
      <c r="Z273" s="7" t="str">
        <f aca="false">IF(U273=0,"None",IF(W273="Y","Applied","Pending HO approval"))</f>
        <v>None</v>
      </c>
      <c r="AA273" s="12" t="str">
        <f aca="false">INDEX('Risk Taxonomy'!$G$5:$G$24,MATCH(D273,'Risk Taxonomy'!$A$5:$A$24,0))</f>
        <v>Low</v>
      </c>
      <c r="AB273" s="7" t="str">
        <f aca="false">INDEX('Risk Taxonomy'!$H$5:$H$24,MATCH(D273,'Risk Taxonomy'!$A$5:$A$24,0))</f>
        <v>Medium</v>
      </c>
      <c r="AC273" s="35" t="str">
        <f aca="false">IF(NOT(ISNUMBER(X273)),"",IF(X273&lt;=MATCH(AB273,Config!$B$5:$B$9,0),"Within",IF(OR(X273-MATCH(AB273,Config!$B$5:$B$9,0)&gt;=2,AND('Residual Config'!$C$8="Y",ISNUMBER(SEARCH("Zero",AA273)))),"Red","Amber")))</f>
        <v>Within</v>
      </c>
      <c r="AD273" s="12" t="str">
        <f aca="false">IF(AC273="Red","Group CCO / CRO and Country CEO within 2 business days; action plan in 15 days; report to Board Risk &amp; Compliance Committee",IF(AC273="Amber","Country CO, risk owner and HO Administrator within 5 business days; action plan in 30 days",""))</f>
        <v/>
      </c>
    </row>
    <row r="274" customFormat="false" ht="15" hidden="false" customHeight="false" outlineLevel="0" collapsed="false">
      <c r="A274" s="26" t="str">
        <f aca="false">Entities!$A$18</f>
        <v>OM</v>
      </c>
      <c r="B274" s="12" t="str">
        <f aca="false">INDEX(Entities!$B$5:$B$34,MATCH(A274,Entities!$A$5:$A$34,0))</f>
        <v>Oman Arab Bank (affiliate)</v>
      </c>
      <c r="C274" s="12" t="str">
        <f aca="false">INDEX(Entities!$D$5:$D$34,MATCH(A274,Entities!$A$5:$A$34,0))</f>
        <v>GCC</v>
      </c>
      <c r="D274" s="12" t="s">
        <v>290</v>
      </c>
      <c r="E274" s="12" t="str">
        <f aca="false">INDEX('Risk Taxonomy'!$B$5:$B$24,MATCH(D274,'Risk Taxonomy'!$A$5:$A$24,0))</f>
        <v>Data protection and privacy</v>
      </c>
      <c r="F274" s="29" t="n">
        <f aca="false">IF(NOT(ISNUMBER(G274)),"",G274)</f>
        <v>3</v>
      </c>
      <c r="G274" s="34" t="n">
        <f aca="false">IF(COUNTIFS('LxI Assessment'!$A$5:$A$394,A274,'LxI Assessment'!$D$5:$D$394,D274,'LxI Assessment'!$F$5:$F$394,"N/A")&gt;0,"N/A",IF(COUNTIFS('LxI Assessment'!$A$5:$A$394,A274,'LxI Assessment'!$D$5:$D$394,D274,'LxI Assessment'!$S$5:$S$394,"&gt;0")=0,"",SUMIFS('LxI Assessment'!$S$5:$S$394,'LxI Assessment'!$A$5:$A$394,A274,'LxI Assessment'!$D$5:$D$394,D274)))</f>
        <v>3</v>
      </c>
      <c r="H274" s="7" t="str">
        <f aca="false">IF(G274="N/A","N/A",IF(G274="","No data",INDEX(Config!$B$5:$B$9,G274)))</f>
        <v>Medium</v>
      </c>
      <c r="I274" s="31" t="n">
        <f aca="false">IF(NOT(ISNUMBER($G274)),"",SUMPRODUCT(('Control Mapping'!$C$5:$C$83=D274)*('Control Mapping'!$T$5:$T$83&gt;0)))</f>
        <v>2</v>
      </c>
      <c r="J274" s="31" t="n">
        <f aca="false">IF(NOT(ISNUMBER($G274)),"",SUMPRODUCT(('Control Mapping'!$C$5:$C$83=D274)*('Control Mapping'!$F$5:$F$83="Y")*('Control Mapping'!$T$5:$T$83&gt;0)))</f>
        <v>2</v>
      </c>
      <c r="K274" s="31" t="n">
        <f aca="false">IF(NOT(ISNUMBER($G274)),"",SUMPRODUCT(('Control Mapping'!$C$5:$C$83=D274)*('Control Mapping'!$F$5:$F$83="Y")*('Control Mapping'!$T$5:$T$83=4)))</f>
        <v>0</v>
      </c>
      <c r="L274" s="29" t="n">
        <f aca="false">IF(NOT(ISNUMBER($G274)),"",IFERROR(SUMPRODUCT(('Control Mapping'!$C$5:$C$83=D274)*'Control Mapping'!$E$5:$E$83*'Control Mapping'!$T$5:$T$83)/SUMPRODUCT(('Control Mapping'!$C$5:$C$83=D274)*'Control Mapping'!$E$5:$E$83*('Control Mapping'!$T$5:$T$83&gt;0)),""))</f>
        <v>1.5</v>
      </c>
      <c r="M274" s="34" t="n">
        <f aca="false">IF(NOT(ISNUMBER($G274)),"",IF(J274=0,4,MAX(MATCH(L274,'Residual Config'!$E$11:$E$14,1),IF(K274&gt;0,'Residual Config'!$C$7,1))))</f>
        <v>2</v>
      </c>
      <c r="N274" s="7" t="str">
        <f aca="false">IF(NOT(ISNUMBER($G274)),"",IF(J274=0,"Ineffective (no key control)",INDEX('Residual Config'!$B$11:$B$14,M274)))</f>
        <v>Largely effective</v>
      </c>
      <c r="O274" s="36" t="n">
        <f aca="false">IF(NOT(ISNUMBER($G274)),"",IF(J274=0,0,SUMPRODUCT(('Control Mapping'!$C$5:$C$83=D274)*'Control Mapping'!$E$5:$E$83*(('Control Mapping'!$T$5:$T$83=1)*'Residual Config'!$D$11+('Control Mapping'!$T$5:$T$83=2)*'Residual Config'!$D$12+('Control Mapping'!$T$5:$T$83=3)*'Residual Config'!$D$13+('Control Mapping'!$T$5:$T$83=4)*'Residual Config'!$D$14))/SUMPRODUCT(('Control Mapping'!$C$5:$C$83=D274)*'Control Mapping'!$E$5:$E$83*('Control Mapping'!$T$5:$T$83&gt;0))))</f>
        <v>0.5</v>
      </c>
      <c r="P274" s="31" t="n">
        <f aca="false">IF(NOT(ISNUMBER($G274)),"",INDEX('Residual Config'!$B$19:$E$23,6-G274,M274))</f>
        <v>2</v>
      </c>
      <c r="Q274" s="29" t="n">
        <f aca="false">IF(NOT(ISNUMBER($G274)),"",MAX(1,F274*(1-O274)))</f>
        <v>1.5</v>
      </c>
      <c r="R274" s="31" t="n">
        <f aca="false">IF(NOT(ISNUMBER($G274)),"",MAX(MATCH(Q274,Config!$D$5:$D$9,1),G274-'Residual Config'!$C$6))</f>
        <v>1</v>
      </c>
      <c r="S274" s="34" t="n">
        <f aca="false">IF(NOT(ISNUMBER($G274)),"",IF('Residual Config'!$C$5="Numeric",R274,P274))</f>
        <v>2</v>
      </c>
      <c r="T274" s="7" t="str">
        <f aca="false">IF(G274="N/A","N/A",IF(S274="","No data",INDEX(Config!$B$5:$B$9,S274)))</f>
        <v>Medium-Low</v>
      </c>
      <c r="U274" s="32" t="n">
        <v>0</v>
      </c>
      <c r="V274" s="8"/>
      <c r="W274" s="33"/>
      <c r="X274" s="34" t="n">
        <f aca="false">IF(S274="","",IF(AND(W274="Y",U274&lt;&gt;0),MAX(1,MIN(5,S274+MAX(-Config!$C$27,MIN(Config!$C$27,U274)))),S274))</f>
        <v>2</v>
      </c>
      <c r="Y274" s="35" t="str">
        <f aca="false">IF(G274="N/A","N/A",IF(X274="","No data",INDEX(Config!$B$5:$B$9,X274)))</f>
        <v>Medium-Low</v>
      </c>
      <c r="Z274" s="7" t="str">
        <f aca="false">IF(U274=0,"None",IF(W274="Y","Applied","Pending HO approval"))</f>
        <v>None</v>
      </c>
      <c r="AA274" s="12" t="str">
        <f aca="false">INDEX('Risk Taxonomy'!$G$5:$G$24,MATCH(D274,'Risk Taxonomy'!$A$5:$A$24,0))</f>
        <v>Very low</v>
      </c>
      <c r="AB274" s="7" t="str">
        <f aca="false">INDEX('Risk Taxonomy'!$H$5:$H$24,MATCH(D274,'Risk Taxonomy'!$A$5:$A$24,0))</f>
        <v>Medium-Low</v>
      </c>
      <c r="AC274" s="35" t="str">
        <f aca="false">IF(NOT(ISNUMBER(X274)),"",IF(X274&lt;=MATCH(AB274,Config!$B$5:$B$9,0),"Within",IF(OR(X274-MATCH(AB274,Config!$B$5:$B$9,0)&gt;=2,AND('Residual Config'!$C$8="Y",ISNUMBER(SEARCH("Zero",AA274)))),"Red","Amber")))</f>
        <v>Within</v>
      </c>
      <c r="AD274" s="12" t="str">
        <f aca="false">IF(AC274="Red","Group CCO / CRO and Country CEO within 2 business days; action plan in 15 days; report to Board Risk &amp; Compliance Committee",IF(AC274="Amber","Country CO, risk owner and HO Administrator within 5 business days; action plan in 30 days",""))</f>
        <v/>
      </c>
    </row>
    <row r="275" customFormat="false" ht="15" hidden="false" customHeight="false" outlineLevel="0" collapsed="false">
      <c r="A275" s="26" t="str">
        <f aca="false">Entities!$A$18</f>
        <v>OM</v>
      </c>
      <c r="B275" s="12" t="str">
        <f aca="false">INDEX(Entities!$B$5:$B$34,MATCH(A275,Entities!$A$5:$A$34,0))</f>
        <v>Oman Arab Bank (affiliate)</v>
      </c>
      <c r="C275" s="12" t="str">
        <f aca="false">INDEX(Entities!$D$5:$D$34,MATCH(A275,Entities!$A$5:$A$34,0))</f>
        <v>GCC</v>
      </c>
      <c r="D275" s="12" t="s">
        <v>293</v>
      </c>
      <c r="E275" s="12" t="str">
        <f aca="false">INDEX('Risk Taxonomy'!$B$5:$B$24,MATCH(D275,'Risk Taxonomy'!$A$5:$A$24,0))</f>
        <v>Shariah non-compliance</v>
      </c>
      <c r="F275" s="29" t="str">
        <f aca="false">IF(NOT(ISNUMBER(G275)),"",G275)</f>
        <v/>
      </c>
      <c r="G275" s="34" t="str">
        <f aca="false">IF(COUNTIFS('LxI Assessment'!$A$5:$A$394,A275,'LxI Assessment'!$D$5:$D$394,D275,'LxI Assessment'!$F$5:$F$394,"N/A")&gt;0,"N/A",IF(COUNTIFS('LxI Assessment'!$A$5:$A$394,A275,'LxI Assessment'!$D$5:$D$394,D275,'LxI Assessment'!$S$5:$S$394,"&gt;0")=0,"",SUMIFS('LxI Assessment'!$S$5:$S$394,'LxI Assessment'!$A$5:$A$394,A275,'LxI Assessment'!$D$5:$D$394,D275)))</f>
        <v>N/A</v>
      </c>
      <c r="H275" s="7" t="str">
        <f aca="false">IF(G275="N/A","N/A",IF(G275="","No data",INDEX(Config!$B$5:$B$9,G275)))</f>
        <v>N/A</v>
      </c>
      <c r="I275" s="31" t="str">
        <f aca="false">IF(NOT(ISNUMBER($G275)),"",SUMPRODUCT(('Control Mapping'!$C$5:$C$83=D275)*('Control Mapping'!$T$5:$T$83&gt;0)))</f>
        <v/>
      </c>
      <c r="J275" s="31" t="str">
        <f aca="false">IF(NOT(ISNUMBER($G275)),"",SUMPRODUCT(('Control Mapping'!$C$5:$C$83=D275)*('Control Mapping'!$F$5:$F$83="Y")*('Control Mapping'!$T$5:$T$83&gt;0)))</f>
        <v/>
      </c>
      <c r="K275" s="31" t="str">
        <f aca="false">IF(NOT(ISNUMBER($G275)),"",SUMPRODUCT(('Control Mapping'!$C$5:$C$83=D275)*('Control Mapping'!$F$5:$F$83="Y")*('Control Mapping'!$T$5:$T$83=4)))</f>
        <v/>
      </c>
      <c r="L275" s="29" t="str">
        <f aca="false">IF(NOT(ISNUMBER($G275)),"",IFERROR(SUMPRODUCT(('Control Mapping'!$C$5:$C$83=D275)*'Control Mapping'!$E$5:$E$83*'Control Mapping'!$T$5:$T$83)/SUMPRODUCT(('Control Mapping'!$C$5:$C$83=D275)*'Control Mapping'!$E$5:$E$83*('Control Mapping'!$T$5:$T$83&gt;0)),""))</f>
        <v/>
      </c>
      <c r="M275" s="34" t="str">
        <f aca="false">IF(NOT(ISNUMBER($G275)),"",IF(J275=0,4,MAX(MATCH(L275,'Residual Config'!$E$11:$E$14,1),IF(K275&gt;0,'Residual Config'!$C$7,1))))</f>
        <v/>
      </c>
      <c r="N275" s="7" t="str">
        <f aca="false">IF(NOT(ISNUMBER($G275)),"",IF(J275=0,"Ineffective (no key control)",INDEX('Residual Config'!$B$11:$B$14,M275)))</f>
        <v/>
      </c>
      <c r="O275" s="36" t="str">
        <f aca="false">IF(NOT(ISNUMBER($G275)),"",IF(J275=0,0,SUMPRODUCT(('Control Mapping'!$C$5:$C$83=D275)*'Control Mapping'!$E$5:$E$83*(('Control Mapping'!$T$5:$T$83=1)*'Residual Config'!$D$11+('Control Mapping'!$T$5:$T$83=2)*'Residual Config'!$D$12+('Control Mapping'!$T$5:$T$83=3)*'Residual Config'!$D$13+('Control Mapping'!$T$5:$T$83=4)*'Residual Config'!$D$14))/SUMPRODUCT(('Control Mapping'!$C$5:$C$83=D275)*'Control Mapping'!$E$5:$E$83*('Control Mapping'!$T$5:$T$83&gt;0))))</f>
        <v/>
      </c>
      <c r="P275" s="31" t="str">
        <f aca="false">IF(NOT(ISNUMBER($G275)),"",INDEX('Residual Config'!$B$19:$E$23,6-G275,M275))</f>
        <v/>
      </c>
      <c r="Q275" s="29" t="str">
        <f aca="false">IF(NOT(ISNUMBER($G275)),"",MAX(1,F275*(1-O275)))</f>
        <v/>
      </c>
      <c r="R275" s="31" t="str">
        <f aca="false">IF(NOT(ISNUMBER($G275)),"",MAX(MATCH(Q275,Config!$D$5:$D$9,1),G275-'Residual Config'!$C$6))</f>
        <v/>
      </c>
      <c r="S275" s="34" t="str">
        <f aca="false">IF(NOT(ISNUMBER($G275)),"",IF('Residual Config'!$C$5="Numeric",R275,P275))</f>
        <v/>
      </c>
      <c r="T275" s="7" t="str">
        <f aca="false">IF(G275="N/A","N/A",IF(S275="","No data",INDEX(Config!$B$5:$B$9,S275)))</f>
        <v>N/A</v>
      </c>
      <c r="U275" s="32" t="n">
        <v>0</v>
      </c>
      <c r="V275" s="8"/>
      <c r="W275" s="33"/>
      <c r="X275" s="34" t="str">
        <f aca="false">IF(S275="","",IF(AND(W275="Y",U275&lt;&gt;0),MAX(1,MIN(5,S275+MAX(-Config!$C$27,MIN(Config!$C$27,U275)))),S275))</f>
        <v/>
      </c>
      <c r="Y275" s="35" t="str">
        <f aca="false">IF(G275="N/A","N/A",IF(X275="","No data",INDEX(Config!$B$5:$B$9,X275)))</f>
        <v>N/A</v>
      </c>
      <c r="Z275" s="7" t="str">
        <f aca="false">IF(U275=0,"None",IF(W275="Y","Applied","Pending HO approval"))</f>
        <v>None</v>
      </c>
      <c r="AA275" s="12" t="str">
        <f aca="false">INDEX('Risk Taxonomy'!$G$5:$G$24,MATCH(D275,'Risk Taxonomy'!$A$5:$A$24,0))</f>
        <v>Very low</v>
      </c>
      <c r="AB275" s="7" t="str">
        <f aca="false">INDEX('Risk Taxonomy'!$H$5:$H$24,MATCH(D275,'Risk Taxonomy'!$A$5:$A$24,0))</f>
        <v>Medium-Low</v>
      </c>
      <c r="AC275" s="35" t="str">
        <f aca="false">IF(NOT(ISNUMBER(X275)),"",IF(X275&lt;=MATCH(AB275,Config!$B$5:$B$9,0),"Within",IF(OR(X275-MATCH(AB275,Config!$B$5:$B$9,0)&gt;=2,AND('Residual Config'!$C$8="Y",ISNUMBER(SEARCH("Zero",AA275)))),"Red","Amber")))</f>
        <v/>
      </c>
      <c r="AD275" s="12" t="str">
        <f aca="false">IF(AC275="Red","Group CCO / CRO and Country CEO within 2 business days; action plan in 15 days; report to Board Risk &amp; Compliance Committee",IF(AC275="Amber","Country CO, risk owner and HO Administrator within 5 business days; action plan in 30 days",""))</f>
        <v/>
      </c>
    </row>
    <row r="276" customFormat="false" ht="15" hidden="false" customHeight="false" outlineLevel="0" collapsed="false">
      <c r="A276" s="26" t="str">
        <f aca="false">Entities!$A$18</f>
        <v>OM</v>
      </c>
      <c r="B276" s="12" t="str">
        <f aca="false">INDEX(Entities!$B$5:$B$34,MATCH(A276,Entities!$A$5:$A$34,0))</f>
        <v>Oman Arab Bank (affiliate)</v>
      </c>
      <c r="C276" s="12" t="str">
        <f aca="false">INDEX(Entities!$D$5:$D$34,MATCH(A276,Entities!$A$5:$A$34,0))</f>
        <v>GCC</v>
      </c>
      <c r="D276" s="12" t="s">
        <v>297</v>
      </c>
      <c r="E276" s="12" t="str">
        <f aca="false">INDEX('Risk Taxonomy'!$B$5:$B$24,MATCH(D276,'Risk Taxonomy'!$A$5:$A$24,0))</f>
        <v>Credit risk</v>
      </c>
      <c r="F276" s="29" t="n">
        <f aca="false">IF(NOT(ISNUMBER(G276)),"",G276)</f>
        <v>2</v>
      </c>
      <c r="G276" s="34" t="n">
        <f aca="false">IF(COUNTIFS('LxI Assessment'!$A$5:$A$394,A276,'LxI Assessment'!$D$5:$D$394,D276,'LxI Assessment'!$F$5:$F$394,"N/A")&gt;0,"N/A",IF(COUNTIFS('LxI Assessment'!$A$5:$A$394,A276,'LxI Assessment'!$D$5:$D$394,D276,'LxI Assessment'!$S$5:$S$394,"&gt;0")=0,"",SUMIFS('LxI Assessment'!$S$5:$S$394,'LxI Assessment'!$A$5:$A$394,A276,'LxI Assessment'!$D$5:$D$394,D276)))</f>
        <v>2</v>
      </c>
      <c r="H276" s="7" t="str">
        <f aca="false">IF(G276="N/A","N/A",IF(G276="","No data",INDEX(Config!$B$5:$B$9,G276)))</f>
        <v>Medium-Low</v>
      </c>
      <c r="I276" s="31" t="n">
        <f aca="false">IF(NOT(ISNUMBER($G276)),"",SUMPRODUCT(('Control Mapping'!$C$5:$C$83=D276)*('Control Mapping'!$T$5:$T$83&gt;0)))</f>
        <v>2</v>
      </c>
      <c r="J276" s="31" t="n">
        <f aca="false">IF(NOT(ISNUMBER($G276)),"",SUMPRODUCT(('Control Mapping'!$C$5:$C$83=D276)*('Control Mapping'!$F$5:$F$83="Y")*('Control Mapping'!$T$5:$T$83&gt;0)))</f>
        <v>1</v>
      </c>
      <c r="K276" s="31" t="n">
        <f aca="false">IF(NOT(ISNUMBER($G276)),"",SUMPRODUCT(('Control Mapping'!$C$5:$C$83=D276)*('Control Mapping'!$F$5:$F$83="Y")*('Control Mapping'!$T$5:$T$83=4)))</f>
        <v>0</v>
      </c>
      <c r="L276" s="29" t="n">
        <f aca="false">IF(NOT(ISNUMBER($G276)),"",IFERROR(SUMPRODUCT(('Control Mapping'!$C$5:$C$83=D276)*'Control Mapping'!$E$5:$E$83*'Control Mapping'!$T$5:$T$83)/SUMPRODUCT(('Control Mapping'!$C$5:$C$83=D276)*'Control Mapping'!$E$5:$E$83*('Control Mapping'!$T$5:$T$83&gt;0)),""))</f>
        <v>1.6</v>
      </c>
      <c r="M276" s="34" t="n">
        <f aca="false">IF(NOT(ISNUMBER($G276)),"",IF(J276=0,4,MAX(MATCH(L276,'Residual Config'!$E$11:$E$14,1),IF(K276&gt;0,'Residual Config'!$C$7,1))))</f>
        <v>2</v>
      </c>
      <c r="N276" s="7" t="str">
        <f aca="false">IF(NOT(ISNUMBER($G276)),"",IF(J276=0,"Ineffective (no key control)",INDEX('Residual Config'!$B$11:$B$14,M276)))</f>
        <v>Largely effective</v>
      </c>
      <c r="O276" s="36" t="n">
        <f aca="false">IF(NOT(ISNUMBER($G276)),"",IF(J276=0,0,SUMPRODUCT(('Control Mapping'!$C$5:$C$83=D276)*'Control Mapping'!$E$5:$E$83*(('Control Mapping'!$T$5:$T$83=1)*'Residual Config'!$D$11+('Control Mapping'!$T$5:$T$83=2)*'Residual Config'!$D$12+('Control Mapping'!$T$5:$T$83=3)*'Residual Config'!$D$13+('Control Mapping'!$T$5:$T$83=4)*'Residual Config'!$D$14))/SUMPRODUCT(('Control Mapping'!$C$5:$C$83=D276)*'Control Mapping'!$E$5:$E$83*('Control Mapping'!$T$5:$T$83&gt;0))))</f>
        <v>0.48</v>
      </c>
      <c r="P276" s="31" t="n">
        <f aca="false">IF(NOT(ISNUMBER($G276)),"",INDEX('Residual Config'!$B$19:$E$23,6-G276,M276))</f>
        <v>1</v>
      </c>
      <c r="Q276" s="29" t="n">
        <f aca="false">IF(NOT(ISNUMBER($G276)),"",MAX(1,F276*(1-O276)))</f>
        <v>1.04</v>
      </c>
      <c r="R276" s="31" t="n">
        <f aca="false">IF(NOT(ISNUMBER($G276)),"",MAX(MATCH(Q276,Config!$D$5:$D$9,1),G276-'Residual Config'!$C$6))</f>
        <v>1</v>
      </c>
      <c r="S276" s="34" t="n">
        <f aca="false">IF(NOT(ISNUMBER($G276)),"",IF('Residual Config'!$C$5="Numeric",R276,P276))</f>
        <v>1</v>
      </c>
      <c r="T276" s="7" t="str">
        <f aca="false">IF(G276="N/A","N/A",IF(S276="","No data",INDEX(Config!$B$5:$B$9,S276)))</f>
        <v>Low</v>
      </c>
      <c r="U276" s="32" t="n">
        <v>0</v>
      </c>
      <c r="V276" s="8"/>
      <c r="W276" s="33"/>
      <c r="X276" s="34" t="n">
        <f aca="false">IF(S276="","",IF(AND(W276="Y",U276&lt;&gt;0),MAX(1,MIN(5,S276+MAX(-Config!$C$27,MIN(Config!$C$27,U276)))),S276))</f>
        <v>1</v>
      </c>
      <c r="Y276" s="35" t="str">
        <f aca="false">IF(G276="N/A","N/A",IF(X276="","No data",INDEX(Config!$B$5:$B$9,X276)))</f>
        <v>Low</v>
      </c>
      <c r="Z276" s="7" t="str">
        <f aca="false">IF(U276=0,"None",IF(W276="Y","Applied","Pending HO approval"))</f>
        <v>None</v>
      </c>
      <c r="AA276" s="12" t="str">
        <f aca="false">INDEX('Risk Taxonomy'!$G$5:$G$24,MATCH(D276,'Risk Taxonomy'!$A$5:$A$24,0))</f>
        <v>Moderate</v>
      </c>
      <c r="AB276" s="7" t="str">
        <f aca="false">INDEX('Risk Taxonomy'!$H$5:$H$24,MATCH(D276,'Risk Taxonomy'!$A$5:$A$24,0))</f>
        <v>Medium-High</v>
      </c>
      <c r="AC276" s="35" t="str">
        <f aca="false">IF(NOT(ISNUMBER(X276)),"",IF(X276&lt;=MATCH(AB276,Config!$B$5:$B$9,0),"Within",IF(OR(X276-MATCH(AB276,Config!$B$5:$B$9,0)&gt;=2,AND('Residual Config'!$C$8="Y",ISNUMBER(SEARCH("Zero",AA276)))),"Red","Amber")))</f>
        <v>Within</v>
      </c>
      <c r="AD276" s="12" t="str">
        <f aca="false">IF(AC276="Red","Group CCO / CRO and Country CEO within 2 business days; action plan in 15 days; report to Board Risk &amp; Compliance Committee",IF(AC276="Amber","Country CO, risk owner and HO Administrator within 5 business days; action plan in 30 days",""))</f>
        <v/>
      </c>
    </row>
    <row r="277" customFormat="false" ht="15" hidden="false" customHeight="false" outlineLevel="0" collapsed="false">
      <c r="A277" s="26" t="str">
        <f aca="false">Entities!$A$18</f>
        <v>OM</v>
      </c>
      <c r="B277" s="12" t="str">
        <f aca="false">INDEX(Entities!$B$5:$B$34,MATCH(A277,Entities!$A$5:$A$34,0))</f>
        <v>Oman Arab Bank (affiliate)</v>
      </c>
      <c r="C277" s="12" t="str">
        <f aca="false">INDEX(Entities!$D$5:$D$34,MATCH(A277,Entities!$A$5:$A$34,0))</f>
        <v>GCC</v>
      </c>
      <c r="D277" s="12" t="s">
        <v>302</v>
      </c>
      <c r="E277" s="12" t="str">
        <f aca="false">INDEX('Risk Taxonomy'!$B$5:$B$24,MATCH(D277,'Risk Taxonomy'!$A$5:$A$24,0))</f>
        <v>Market risk</v>
      </c>
      <c r="F277" s="29" t="n">
        <f aca="false">IF(NOT(ISNUMBER(G277)),"",G277)</f>
        <v>2</v>
      </c>
      <c r="G277" s="34" t="n">
        <f aca="false">IF(COUNTIFS('LxI Assessment'!$A$5:$A$394,A277,'LxI Assessment'!$D$5:$D$394,D277,'LxI Assessment'!$F$5:$F$394,"N/A")&gt;0,"N/A",IF(COUNTIFS('LxI Assessment'!$A$5:$A$394,A277,'LxI Assessment'!$D$5:$D$394,D277,'LxI Assessment'!$S$5:$S$394,"&gt;0")=0,"",SUMIFS('LxI Assessment'!$S$5:$S$394,'LxI Assessment'!$A$5:$A$394,A277,'LxI Assessment'!$D$5:$D$394,D277)))</f>
        <v>2</v>
      </c>
      <c r="H277" s="7" t="str">
        <f aca="false">IF(G277="N/A","N/A",IF(G277="","No data",INDEX(Config!$B$5:$B$9,G277)))</f>
        <v>Medium-Low</v>
      </c>
      <c r="I277" s="31" t="n">
        <f aca="false">IF(NOT(ISNUMBER($G277)),"",SUMPRODUCT(('Control Mapping'!$C$5:$C$83=D277)*('Control Mapping'!$T$5:$T$83&gt;0)))</f>
        <v>1</v>
      </c>
      <c r="J277" s="31" t="n">
        <f aca="false">IF(NOT(ISNUMBER($G277)),"",SUMPRODUCT(('Control Mapping'!$C$5:$C$83=D277)*('Control Mapping'!$F$5:$F$83="Y")*('Control Mapping'!$T$5:$T$83&gt;0)))</f>
        <v>1</v>
      </c>
      <c r="K277" s="31" t="n">
        <f aca="false">IF(NOT(ISNUMBER($G277)),"",SUMPRODUCT(('Control Mapping'!$C$5:$C$83=D277)*('Control Mapping'!$F$5:$F$83="Y")*('Control Mapping'!$T$5:$T$83=4)))</f>
        <v>0</v>
      </c>
      <c r="L277" s="29" t="n">
        <f aca="false">IF(NOT(ISNUMBER($G277)),"",IFERROR(SUMPRODUCT(('Control Mapping'!$C$5:$C$83=D277)*'Control Mapping'!$E$5:$E$83*'Control Mapping'!$T$5:$T$83)/SUMPRODUCT(('Control Mapping'!$C$5:$C$83=D277)*'Control Mapping'!$E$5:$E$83*('Control Mapping'!$T$5:$T$83&gt;0)),""))</f>
        <v>2</v>
      </c>
      <c r="M277" s="34" t="n">
        <f aca="false">IF(NOT(ISNUMBER($G277)),"",IF(J277=0,4,MAX(MATCH(L277,'Residual Config'!$E$11:$E$14,1),IF(K277&gt;0,'Residual Config'!$C$7,1))))</f>
        <v>2</v>
      </c>
      <c r="N277" s="7" t="str">
        <f aca="false">IF(NOT(ISNUMBER($G277)),"",IF(J277=0,"Ineffective (no key control)",INDEX('Residual Config'!$B$11:$B$14,M277)))</f>
        <v>Largely effective</v>
      </c>
      <c r="O277" s="36" t="n">
        <f aca="false">IF(NOT(ISNUMBER($G277)),"",IF(J277=0,0,SUMPRODUCT(('Control Mapping'!$C$5:$C$83=D277)*'Control Mapping'!$E$5:$E$83*(('Control Mapping'!$T$5:$T$83=1)*'Residual Config'!$D$11+('Control Mapping'!$T$5:$T$83=2)*'Residual Config'!$D$12+('Control Mapping'!$T$5:$T$83=3)*'Residual Config'!$D$13+('Control Mapping'!$T$5:$T$83=4)*'Residual Config'!$D$14))/SUMPRODUCT(('Control Mapping'!$C$5:$C$83=D277)*'Control Mapping'!$E$5:$E$83*('Control Mapping'!$T$5:$T$83&gt;0))))</f>
        <v>0.4</v>
      </c>
      <c r="P277" s="31" t="n">
        <f aca="false">IF(NOT(ISNUMBER($G277)),"",INDEX('Residual Config'!$B$19:$E$23,6-G277,M277))</f>
        <v>1</v>
      </c>
      <c r="Q277" s="29" t="n">
        <f aca="false">IF(NOT(ISNUMBER($G277)),"",MAX(1,F277*(1-O277)))</f>
        <v>1.2</v>
      </c>
      <c r="R277" s="31" t="n">
        <f aca="false">IF(NOT(ISNUMBER($G277)),"",MAX(MATCH(Q277,Config!$D$5:$D$9,1),G277-'Residual Config'!$C$6))</f>
        <v>1</v>
      </c>
      <c r="S277" s="34" t="n">
        <f aca="false">IF(NOT(ISNUMBER($G277)),"",IF('Residual Config'!$C$5="Numeric",R277,P277))</f>
        <v>1</v>
      </c>
      <c r="T277" s="7" t="str">
        <f aca="false">IF(G277="N/A","N/A",IF(S277="","No data",INDEX(Config!$B$5:$B$9,S277)))</f>
        <v>Low</v>
      </c>
      <c r="U277" s="32" t="n">
        <v>0</v>
      </c>
      <c r="V277" s="8"/>
      <c r="W277" s="33"/>
      <c r="X277" s="34" t="n">
        <f aca="false">IF(S277="","",IF(AND(W277="Y",U277&lt;&gt;0),MAX(1,MIN(5,S277+MAX(-Config!$C$27,MIN(Config!$C$27,U277)))),S277))</f>
        <v>1</v>
      </c>
      <c r="Y277" s="35" t="str">
        <f aca="false">IF(G277="N/A","N/A",IF(X277="","No data",INDEX(Config!$B$5:$B$9,X277)))</f>
        <v>Low</v>
      </c>
      <c r="Z277" s="7" t="str">
        <f aca="false">IF(U277=0,"None",IF(W277="Y","Applied","Pending HO approval"))</f>
        <v>None</v>
      </c>
      <c r="AA277" s="12" t="str">
        <f aca="false">INDEX('Risk Taxonomy'!$G$5:$G$24,MATCH(D277,'Risk Taxonomy'!$A$5:$A$24,0))</f>
        <v>Moderate</v>
      </c>
      <c r="AB277" s="7" t="str">
        <f aca="false">INDEX('Risk Taxonomy'!$H$5:$H$24,MATCH(D277,'Risk Taxonomy'!$A$5:$A$24,0))</f>
        <v>Medium-High</v>
      </c>
      <c r="AC277" s="35" t="str">
        <f aca="false">IF(NOT(ISNUMBER(X277)),"",IF(X277&lt;=MATCH(AB277,Config!$B$5:$B$9,0),"Within",IF(OR(X277-MATCH(AB277,Config!$B$5:$B$9,0)&gt;=2,AND('Residual Config'!$C$8="Y",ISNUMBER(SEARCH("Zero",AA277)))),"Red","Amber")))</f>
        <v>Within</v>
      </c>
      <c r="AD277" s="12" t="str">
        <f aca="false">IF(AC277="Red","Group CCO / CRO and Country CEO within 2 business days; action plan in 15 days; report to Board Risk &amp; Compliance Committee",IF(AC277="Amber","Country CO, risk owner and HO Administrator within 5 business days; action plan in 30 days",""))</f>
        <v/>
      </c>
    </row>
    <row r="278" customFormat="false" ht="15" hidden="false" customHeight="false" outlineLevel="0" collapsed="false">
      <c r="A278" s="26" t="str">
        <f aca="false">Entities!$A$18</f>
        <v>OM</v>
      </c>
      <c r="B278" s="12" t="str">
        <f aca="false">INDEX(Entities!$B$5:$B$34,MATCH(A278,Entities!$A$5:$A$34,0))</f>
        <v>Oman Arab Bank (affiliate)</v>
      </c>
      <c r="C278" s="12" t="str">
        <f aca="false">INDEX(Entities!$D$5:$D$34,MATCH(A278,Entities!$A$5:$A$34,0))</f>
        <v>GCC</v>
      </c>
      <c r="D278" s="12" t="s">
        <v>304</v>
      </c>
      <c r="E278" s="12" t="str">
        <f aca="false">INDEX('Risk Taxonomy'!$B$5:$B$24,MATCH(D278,'Risk Taxonomy'!$A$5:$A$24,0))</f>
        <v>Liquidity and funding risk</v>
      </c>
      <c r="F278" s="29" t="n">
        <f aca="false">IF(NOT(ISNUMBER(G278)),"",G278)</f>
        <v>3</v>
      </c>
      <c r="G278" s="34" t="n">
        <f aca="false">IF(COUNTIFS('LxI Assessment'!$A$5:$A$394,A278,'LxI Assessment'!$D$5:$D$394,D278,'LxI Assessment'!$F$5:$F$394,"N/A")&gt;0,"N/A",IF(COUNTIFS('LxI Assessment'!$A$5:$A$394,A278,'LxI Assessment'!$D$5:$D$394,D278,'LxI Assessment'!$S$5:$S$394,"&gt;0")=0,"",SUMIFS('LxI Assessment'!$S$5:$S$394,'LxI Assessment'!$A$5:$A$394,A278,'LxI Assessment'!$D$5:$D$394,D278)))</f>
        <v>3</v>
      </c>
      <c r="H278" s="7" t="str">
        <f aca="false">IF(G278="N/A","N/A",IF(G278="","No data",INDEX(Config!$B$5:$B$9,G278)))</f>
        <v>Medium</v>
      </c>
      <c r="I278" s="31" t="n">
        <f aca="false">IF(NOT(ISNUMBER($G278)),"",SUMPRODUCT(('Control Mapping'!$C$5:$C$83=D278)*('Control Mapping'!$T$5:$T$83&gt;0)))</f>
        <v>1</v>
      </c>
      <c r="J278" s="31" t="n">
        <f aca="false">IF(NOT(ISNUMBER($G278)),"",SUMPRODUCT(('Control Mapping'!$C$5:$C$83=D278)*('Control Mapping'!$F$5:$F$83="Y")*('Control Mapping'!$T$5:$T$83&gt;0)))</f>
        <v>1</v>
      </c>
      <c r="K278" s="31" t="n">
        <f aca="false">IF(NOT(ISNUMBER($G278)),"",SUMPRODUCT(('Control Mapping'!$C$5:$C$83=D278)*('Control Mapping'!$F$5:$F$83="Y")*('Control Mapping'!$T$5:$T$83=4)))</f>
        <v>0</v>
      </c>
      <c r="L278" s="29" t="n">
        <f aca="false">IF(NOT(ISNUMBER($G278)),"",IFERROR(SUMPRODUCT(('Control Mapping'!$C$5:$C$83=D278)*'Control Mapping'!$E$5:$E$83*'Control Mapping'!$T$5:$T$83)/SUMPRODUCT(('Control Mapping'!$C$5:$C$83=D278)*'Control Mapping'!$E$5:$E$83*('Control Mapping'!$T$5:$T$83&gt;0)),""))</f>
        <v>2</v>
      </c>
      <c r="M278" s="34" t="n">
        <f aca="false">IF(NOT(ISNUMBER($G278)),"",IF(J278=0,4,MAX(MATCH(L278,'Residual Config'!$E$11:$E$14,1),IF(K278&gt;0,'Residual Config'!$C$7,1))))</f>
        <v>2</v>
      </c>
      <c r="N278" s="7" t="str">
        <f aca="false">IF(NOT(ISNUMBER($G278)),"",IF(J278=0,"Ineffective (no key control)",INDEX('Residual Config'!$B$11:$B$14,M278)))</f>
        <v>Largely effective</v>
      </c>
      <c r="O278" s="36" t="n">
        <f aca="false">IF(NOT(ISNUMBER($G278)),"",IF(J278=0,0,SUMPRODUCT(('Control Mapping'!$C$5:$C$83=D278)*'Control Mapping'!$E$5:$E$83*(('Control Mapping'!$T$5:$T$83=1)*'Residual Config'!$D$11+('Control Mapping'!$T$5:$T$83=2)*'Residual Config'!$D$12+('Control Mapping'!$T$5:$T$83=3)*'Residual Config'!$D$13+('Control Mapping'!$T$5:$T$83=4)*'Residual Config'!$D$14))/SUMPRODUCT(('Control Mapping'!$C$5:$C$83=D278)*'Control Mapping'!$E$5:$E$83*('Control Mapping'!$T$5:$T$83&gt;0))))</f>
        <v>0.4</v>
      </c>
      <c r="P278" s="31" t="n">
        <f aca="false">IF(NOT(ISNUMBER($G278)),"",INDEX('Residual Config'!$B$19:$E$23,6-G278,M278))</f>
        <v>2</v>
      </c>
      <c r="Q278" s="29" t="n">
        <f aca="false">IF(NOT(ISNUMBER($G278)),"",MAX(1,F278*(1-O278)))</f>
        <v>1.8</v>
      </c>
      <c r="R278" s="31" t="n">
        <f aca="false">IF(NOT(ISNUMBER($G278)),"",MAX(MATCH(Q278,Config!$D$5:$D$9,1),G278-'Residual Config'!$C$6))</f>
        <v>1</v>
      </c>
      <c r="S278" s="34" t="n">
        <f aca="false">IF(NOT(ISNUMBER($G278)),"",IF('Residual Config'!$C$5="Numeric",R278,P278))</f>
        <v>2</v>
      </c>
      <c r="T278" s="7" t="str">
        <f aca="false">IF(G278="N/A","N/A",IF(S278="","No data",INDEX(Config!$B$5:$B$9,S278)))</f>
        <v>Medium-Low</v>
      </c>
      <c r="U278" s="32" t="n">
        <v>0</v>
      </c>
      <c r="V278" s="8"/>
      <c r="W278" s="33"/>
      <c r="X278" s="34" t="n">
        <f aca="false">IF(S278="","",IF(AND(W278="Y",U278&lt;&gt;0),MAX(1,MIN(5,S278+MAX(-Config!$C$27,MIN(Config!$C$27,U278)))),S278))</f>
        <v>2</v>
      </c>
      <c r="Y278" s="35" t="str">
        <f aca="false">IF(G278="N/A","N/A",IF(X278="","No data",INDEX(Config!$B$5:$B$9,X278)))</f>
        <v>Medium-Low</v>
      </c>
      <c r="Z278" s="7" t="str">
        <f aca="false">IF(U278=0,"None",IF(W278="Y","Applied","Pending HO approval"))</f>
        <v>None</v>
      </c>
      <c r="AA278" s="12" t="str">
        <f aca="false">INDEX('Risk Taxonomy'!$G$5:$G$24,MATCH(D278,'Risk Taxonomy'!$A$5:$A$24,0))</f>
        <v>Low</v>
      </c>
      <c r="AB278" s="7" t="str">
        <f aca="false">INDEX('Risk Taxonomy'!$H$5:$H$24,MATCH(D278,'Risk Taxonomy'!$A$5:$A$24,0))</f>
        <v>Medium</v>
      </c>
      <c r="AC278" s="35" t="str">
        <f aca="false">IF(NOT(ISNUMBER(X278)),"",IF(X278&lt;=MATCH(AB278,Config!$B$5:$B$9,0),"Within",IF(OR(X278-MATCH(AB278,Config!$B$5:$B$9,0)&gt;=2,AND('Residual Config'!$C$8="Y",ISNUMBER(SEARCH("Zero",AA278)))),"Red","Amber")))</f>
        <v>Within</v>
      </c>
      <c r="AD278" s="12" t="str">
        <f aca="false">IF(AC278="Red","Group CCO / CRO and Country CEO within 2 business days; action plan in 15 days; report to Board Risk &amp; Compliance Committee",IF(AC278="Amber","Country CO, risk owner and HO Administrator within 5 business days; action plan in 30 days",""))</f>
        <v/>
      </c>
    </row>
    <row r="279" customFormat="false" ht="15" hidden="false" customHeight="false" outlineLevel="0" collapsed="false">
      <c r="A279" s="26" t="str">
        <f aca="false">Entities!$A$18</f>
        <v>OM</v>
      </c>
      <c r="B279" s="12" t="str">
        <f aca="false">INDEX(Entities!$B$5:$B$34,MATCH(A279,Entities!$A$5:$A$34,0))</f>
        <v>Oman Arab Bank (affiliate)</v>
      </c>
      <c r="C279" s="12" t="str">
        <f aca="false">INDEX(Entities!$D$5:$D$34,MATCH(A279,Entities!$A$5:$A$34,0))</f>
        <v>GCC</v>
      </c>
      <c r="D279" s="12" t="s">
        <v>307</v>
      </c>
      <c r="E279" s="12" t="str">
        <f aca="false">INDEX('Risk Taxonomy'!$B$5:$B$24,MATCH(D279,'Risk Taxonomy'!$A$5:$A$24,0))</f>
        <v>Operational risk</v>
      </c>
      <c r="F279" s="29" t="n">
        <f aca="false">IF(NOT(ISNUMBER(G279)),"",G279)</f>
        <v>3</v>
      </c>
      <c r="G279" s="34" t="n">
        <f aca="false">IF(COUNTIFS('LxI Assessment'!$A$5:$A$394,A279,'LxI Assessment'!$D$5:$D$394,D279,'LxI Assessment'!$F$5:$F$394,"N/A")&gt;0,"N/A",IF(COUNTIFS('LxI Assessment'!$A$5:$A$394,A279,'LxI Assessment'!$D$5:$D$394,D279,'LxI Assessment'!$S$5:$S$394,"&gt;0")=0,"",SUMIFS('LxI Assessment'!$S$5:$S$394,'LxI Assessment'!$A$5:$A$394,A279,'LxI Assessment'!$D$5:$D$394,D279)))</f>
        <v>3</v>
      </c>
      <c r="H279" s="7" t="str">
        <f aca="false">IF(G279="N/A","N/A",IF(G279="","No data",INDEX(Config!$B$5:$B$9,G279)))</f>
        <v>Medium</v>
      </c>
      <c r="I279" s="31" t="n">
        <f aca="false">IF(NOT(ISNUMBER($G279)),"",SUMPRODUCT(('Control Mapping'!$C$5:$C$83=D279)*('Control Mapping'!$T$5:$T$83&gt;0)))</f>
        <v>3</v>
      </c>
      <c r="J279" s="31" t="n">
        <f aca="false">IF(NOT(ISNUMBER($G279)),"",SUMPRODUCT(('Control Mapping'!$C$5:$C$83=D279)*('Control Mapping'!$F$5:$F$83="Y")*('Control Mapping'!$T$5:$T$83&gt;0)))</f>
        <v>2</v>
      </c>
      <c r="K279" s="31" t="n">
        <f aca="false">IF(NOT(ISNUMBER($G279)),"",SUMPRODUCT(('Control Mapping'!$C$5:$C$83=D279)*('Control Mapping'!$F$5:$F$83="Y")*('Control Mapping'!$T$5:$T$83=4)))</f>
        <v>1</v>
      </c>
      <c r="L279" s="29" t="n">
        <f aca="false">IF(NOT(ISNUMBER($G279)),"",IFERROR(SUMPRODUCT(('Control Mapping'!$C$5:$C$83=D279)*'Control Mapping'!$E$5:$E$83*'Control Mapping'!$T$5:$T$83)/SUMPRODUCT(('Control Mapping'!$C$5:$C$83=D279)*'Control Mapping'!$E$5:$E$83*('Control Mapping'!$T$5:$T$83&gt;0)),""))</f>
        <v>2.66666666666667</v>
      </c>
      <c r="M279" s="34" t="n">
        <f aca="false">IF(NOT(ISNUMBER($G279)),"",IF(J279=0,4,MAX(MATCH(L279,'Residual Config'!$E$11:$E$14,1),IF(K279&gt;0,'Residual Config'!$C$7,1))))</f>
        <v>3</v>
      </c>
      <c r="N279" s="7" t="str">
        <f aca="false">IF(NOT(ISNUMBER($G279)),"",IF(J279=0,"Ineffective (no key control)",INDEX('Residual Config'!$B$11:$B$14,M279)))</f>
        <v>Partially effective</v>
      </c>
      <c r="O279" s="36" t="n">
        <f aca="false">IF(NOT(ISNUMBER($G279)),"",IF(J279=0,0,SUMPRODUCT(('Control Mapping'!$C$5:$C$83=D279)*'Control Mapping'!$E$5:$E$83*(('Control Mapping'!$T$5:$T$83=1)*'Residual Config'!$D$11+('Control Mapping'!$T$5:$T$83=2)*'Residual Config'!$D$12+('Control Mapping'!$T$5:$T$83=3)*'Residual Config'!$D$13+('Control Mapping'!$T$5:$T$83=4)*'Residual Config'!$D$14))/SUMPRODUCT(('Control Mapping'!$C$5:$C$83=D279)*'Control Mapping'!$E$5:$E$83*('Control Mapping'!$T$5:$T$83&gt;0))))</f>
        <v>0.266666666666667</v>
      </c>
      <c r="P279" s="31" t="n">
        <f aca="false">IF(NOT(ISNUMBER($G279)),"",INDEX('Residual Config'!$B$19:$E$23,6-G279,M279))</f>
        <v>3</v>
      </c>
      <c r="Q279" s="29" t="n">
        <f aca="false">IF(NOT(ISNUMBER($G279)),"",MAX(1,F279*(1-O279)))</f>
        <v>2.2</v>
      </c>
      <c r="R279" s="31" t="n">
        <f aca="false">IF(NOT(ISNUMBER($G279)),"",MAX(MATCH(Q279,Config!$D$5:$D$9,1),G279-'Residual Config'!$C$6))</f>
        <v>2</v>
      </c>
      <c r="S279" s="34" t="n">
        <f aca="false">IF(NOT(ISNUMBER($G279)),"",IF('Residual Config'!$C$5="Numeric",R279,P279))</f>
        <v>3</v>
      </c>
      <c r="T279" s="7" t="str">
        <f aca="false">IF(G279="N/A","N/A",IF(S279="","No data",INDEX(Config!$B$5:$B$9,S279)))</f>
        <v>Medium</v>
      </c>
      <c r="U279" s="32" t="n">
        <v>0</v>
      </c>
      <c r="V279" s="8"/>
      <c r="W279" s="33"/>
      <c r="X279" s="34" t="n">
        <f aca="false">IF(S279="","",IF(AND(W279="Y",U279&lt;&gt;0),MAX(1,MIN(5,S279+MAX(-Config!$C$27,MIN(Config!$C$27,U279)))),S279))</f>
        <v>3</v>
      </c>
      <c r="Y279" s="35" t="str">
        <f aca="false">IF(G279="N/A","N/A",IF(X279="","No data",INDEX(Config!$B$5:$B$9,X279)))</f>
        <v>Medium</v>
      </c>
      <c r="Z279" s="7" t="str">
        <f aca="false">IF(U279=0,"None",IF(W279="Y","Applied","Pending HO approval"))</f>
        <v>None</v>
      </c>
      <c r="AA279" s="12" t="str">
        <f aca="false">INDEX('Risk Taxonomy'!$G$5:$G$24,MATCH(D279,'Risk Taxonomy'!$A$5:$A$24,0))</f>
        <v>Low</v>
      </c>
      <c r="AB279" s="7" t="str">
        <f aca="false">INDEX('Risk Taxonomy'!$H$5:$H$24,MATCH(D279,'Risk Taxonomy'!$A$5:$A$24,0))</f>
        <v>Medium</v>
      </c>
      <c r="AC279" s="35" t="str">
        <f aca="false">IF(NOT(ISNUMBER(X279)),"",IF(X279&lt;=MATCH(AB279,Config!$B$5:$B$9,0),"Within",IF(OR(X279-MATCH(AB279,Config!$B$5:$B$9,0)&gt;=2,AND('Residual Config'!$C$8="Y",ISNUMBER(SEARCH("Zero",AA279)))),"Red","Amber")))</f>
        <v>Within</v>
      </c>
      <c r="AD279" s="12" t="str">
        <f aca="false">IF(AC279="Red","Group CCO / CRO and Country CEO within 2 business days; action plan in 15 days; report to Board Risk &amp; Compliance Committee",IF(AC279="Amber","Country CO, risk owner and HO Administrator within 5 business days; action plan in 30 days",""))</f>
        <v/>
      </c>
    </row>
    <row r="280" customFormat="false" ht="15" hidden="false" customHeight="false" outlineLevel="0" collapsed="false">
      <c r="A280" s="26" t="str">
        <f aca="false">Entities!$A$18</f>
        <v>OM</v>
      </c>
      <c r="B280" s="12" t="str">
        <f aca="false">INDEX(Entities!$B$5:$B$34,MATCH(A280,Entities!$A$5:$A$34,0))</f>
        <v>Oman Arab Bank (affiliate)</v>
      </c>
      <c r="C280" s="12" t="str">
        <f aca="false">INDEX(Entities!$D$5:$D$34,MATCH(A280,Entities!$A$5:$A$34,0))</f>
        <v>GCC</v>
      </c>
      <c r="D280" s="12" t="s">
        <v>310</v>
      </c>
      <c r="E280" s="12" t="str">
        <f aca="false">INDEX('Risk Taxonomy'!$B$5:$B$24,MATCH(D280,'Risk Taxonomy'!$A$5:$A$24,0))</f>
        <v>Cyber, information security and technology</v>
      </c>
      <c r="F280" s="29" t="n">
        <f aca="false">IF(NOT(ISNUMBER(G280)),"",G280)</f>
        <v>4</v>
      </c>
      <c r="G280" s="34" t="n">
        <f aca="false">IF(COUNTIFS('LxI Assessment'!$A$5:$A$394,A280,'LxI Assessment'!$D$5:$D$394,D280,'LxI Assessment'!$F$5:$F$394,"N/A")&gt;0,"N/A",IF(COUNTIFS('LxI Assessment'!$A$5:$A$394,A280,'LxI Assessment'!$D$5:$D$394,D280,'LxI Assessment'!$S$5:$S$394,"&gt;0")=0,"",SUMIFS('LxI Assessment'!$S$5:$S$394,'LxI Assessment'!$A$5:$A$394,A280,'LxI Assessment'!$D$5:$D$394,D280)))</f>
        <v>4</v>
      </c>
      <c r="H280" s="7" t="str">
        <f aca="false">IF(G280="N/A","N/A",IF(G280="","No data",INDEX(Config!$B$5:$B$9,G280)))</f>
        <v>Medium-High</v>
      </c>
      <c r="I280" s="31" t="n">
        <f aca="false">IF(NOT(ISNUMBER($G280)),"",SUMPRODUCT(('Control Mapping'!$C$5:$C$83=D280)*('Control Mapping'!$T$5:$T$83&gt;0)))</f>
        <v>4</v>
      </c>
      <c r="J280" s="31" t="n">
        <f aca="false">IF(NOT(ISNUMBER($G280)),"",SUMPRODUCT(('Control Mapping'!$C$5:$C$83=D280)*('Control Mapping'!$F$5:$F$83="Y")*('Control Mapping'!$T$5:$T$83&gt;0)))</f>
        <v>4</v>
      </c>
      <c r="K280" s="31" t="n">
        <f aca="false">IF(NOT(ISNUMBER($G280)),"",SUMPRODUCT(('Control Mapping'!$C$5:$C$83=D280)*('Control Mapping'!$F$5:$F$83="Y")*('Control Mapping'!$T$5:$T$83=4)))</f>
        <v>0</v>
      </c>
      <c r="L280" s="29" t="n">
        <f aca="false">IF(NOT(ISNUMBER($G280)),"",IFERROR(SUMPRODUCT(('Control Mapping'!$C$5:$C$83=D280)*'Control Mapping'!$E$5:$E$83*'Control Mapping'!$T$5:$T$83)/SUMPRODUCT(('Control Mapping'!$C$5:$C$83=D280)*'Control Mapping'!$E$5:$E$83*('Control Mapping'!$T$5:$T$83&gt;0)),""))</f>
        <v>1.85714285714286</v>
      </c>
      <c r="M280" s="34" t="n">
        <f aca="false">IF(NOT(ISNUMBER($G280)),"",IF(J280=0,4,MAX(MATCH(L280,'Residual Config'!$E$11:$E$14,1),IF(K280&gt;0,'Residual Config'!$C$7,1))))</f>
        <v>2</v>
      </c>
      <c r="N280" s="7" t="str">
        <f aca="false">IF(NOT(ISNUMBER($G280)),"",IF(J280=0,"Ineffective (no key control)",INDEX('Residual Config'!$B$11:$B$14,M280)))</f>
        <v>Largely effective</v>
      </c>
      <c r="O280" s="36" t="n">
        <f aca="false">IF(NOT(ISNUMBER($G280)),"",IF(J280=0,0,SUMPRODUCT(('Control Mapping'!$C$5:$C$83=D280)*'Control Mapping'!$E$5:$E$83*(('Control Mapping'!$T$5:$T$83=1)*'Residual Config'!$D$11+('Control Mapping'!$T$5:$T$83=2)*'Residual Config'!$D$12+('Control Mapping'!$T$5:$T$83=3)*'Residual Config'!$D$13+('Control Mapping'!$T$5:$T$83=4)*'Residual Config'!$D$14))/SUMPRODUCT(('Control Mapping'!$C$5:$C$83=D280)*'Control Mapping'!$E$5:$E$83*('Control Mapping'!$T$5:$T$83&gt;0))))</f>
        <v>0.428571428571429</v>
      </c>
      <c r="P280" s="31" t="n">
        <f aca="false">IF(NOT(ISNUMBER($G280)),"",INDEX('Residual Config'!$B$19:$E$23,6-G280,M280))</f>
        <v>3</v>
      </c>
      <c r="Q280" s="29" t="n">
        <f aca="false">IF(NOT(ISNUMBER($G280)),"",MAX(1,F280*(1-O280)))</f>
        <v>2.28571428571429</v>
      </c>
      <c r="R280" s="31" t="n">
        <f aca="false">IF(NOT(ISNUMBER($G280)),"",MAX(MATCH(Q280,Config!$D$5:$D$9,1),G280-'Residual Config'!$C$6))</f>
        <v>2</v>
      </c>
      <c r="S280" s="34" t="n">
        <f aca="false">IF(NOT(ISNUMBER($G280)),"",IF('Residual Config'!$C$5="Numeric",R280,P280))</f>
        <v>3</v>
      </c>
      <c r="T280" s="7" t="str">
        <f aca="false">IF(G280="N/A","N/A",IF(S280="","No data",INDEX(Config!$B$5:$B$9,S280)))</f>
        <v>Medium</v>
      </c>
      <c r="U280" s="32" t="n">
        <v>0</v>
      </c>
      <c r="V280" s="8"/>
      <c r="W280" s="33"/>
      <c r="X280" s="34" t="n">
        <f aca="false">IF(S280="","",IF(AND(W280="Y",U280&lt;&gt;0),MAX(1,MIN(5,S280+MAX(-Config!$C$27,MIN(Config!$C$27,U280)))),S280))</f>
        <v>3</v>
      </c>
      <c r="Y280" s="35" t="str">
        <f aca="false">IF(G280="N/A","N/A",IF(X280="","No data",INDEX(Config!$B$5:$B$9,X280)))</f>
        <v>Medium</v>
      </c>
      <c r="Z280" s="7" t="str">
        <f aca="false">IF(U280=0,"None",IF(W280="Y","Applied","Pending HO approval"))</f>
        <v>None</v>
      </c>
      <c r="AA280" s="12" t="str">
        <f aca="false">INDEX('Risk Taxonomy'!$G$5:$G$24,MATCH(D280,'Risk Taxonomy'!$A$5:$A$24,0))</f>
        <v>Very low</v>
      </c>
      <c r="AB280" s="7" t="str">
        <f aca="false">INDEX('Risk Taxonomy'!$H$5:$H$24,MATCH(D280,'Risk Taxonomy'!$A$5:$A$24,0))</f>
        <v>Medium-Low</v>
      </c>
      <c r="AC280" s="35" t="str">
        <f aca="false">IF(NOT(ISNUMBER(X280)),"",IF(X280&lt;=MATCH(AB280,Config!$B$5:$B$9,0),"Within",IF(OR(X280-MATCH(AB280,Config!$B$5:$B$9,0)&gt;=2,AND('Residual Config'!$C$8="Y",ISNUMBER(SEARCH("Zero",AA280)))),"Red","Amber")))</f>
        <v>Amber</v>
      </c>
      <c r="AD280" s="12" t="str">
        <f aca="false">IF(AC280="Red","Group CCO / CRO and Country CEO within 2 business days; action plan in 15 days; report to Board Risk &amp; Compliance Committee",IF(AC280="Amber","Country CO, risk owner and HO Administrator within 5 business days; action plan in 30 days",""))</f>
        <v>Country CO, risk owner and HO Administrator within 5 business days; action plan in 30 days</v>
      </c>
    </row>
    <row r="281" customFormat="false" ht="15" hidden="false" customHeight="false" outlineLevel="0" collapsed="false">
      <c r="A281" s="26" t="str">
        <f aca="false">Entities!$A$18</f>
        <v>OM</v>
      </c>
      <c r="B281" s="12" t="str">
        <f aca="false">INDEX(Entities!$B$5:$B$34,MATCH(A281,Entities!$A$5:$A$34,0))</f>
        <v>Oman Arab Bank (affiliate)</v>
      </c>
      <c r="C281" s="12" t="str">
        <f aca="false">INDEX(Entities!$D$5:$D$34,MATCH(A281,Entities!$A$5:$A$34,0))</f>
        <v>GCC</v>
      </c>
      <c r="D281" s="12" t="s">
        <v>313</v>
      </c>
      <c r="E281" s="12" t="str">
        <f aca="false">INDEX('Risk Taxonomy'!$B$5:$B$24,MATCH(D281,'Risk Taxonomy'!$A$5:$A$24,0))</f>
        <v>Third-party and outsourcing</v>
      </c>
      <c r="F281" s="29" t="n">
        <f aca="false">IF(NOT(ISNUMBER(G281)),"",G281)</f>
        <v>1</v>
      </c>
      <c r="G281" s="34" t="n">
        <f aca="false">IF(COUNTIFS('LxI Assessment'!$A$5:$A$394,A281,'LxI Assessment'!$D$5:$D$394,D281,'LxI Assessment'!$F$5:$F$394,"N/A")&gt;0,"N/A",IF(COUNTIFS('LxI Assessment'!$A$5:$A$394,A281,'LxI Assessment'!$D$5:$D$394,D281,'LxI Assessment'!$S$5:$S$394,"&gt;0")=0,"",SUMIFS('LxI Assessment'!$S$5:$S$394,'LxI Assessment'!$A$5:$A$394,A281,'LxI Assessment'!$D$5:$D$394,D281)))</f>
        <v>1</v>
      </c>
      <c r="H281" s="7" t="str">
        <f aca="false">IF(G281="N/A","N/A",IF(G281="","No data",INDEX(Config!$B$5:$B$9,G281)))</f>
        <v>Low</v>
      </c>
      <c r="I281" s="31" t="n">
        <f aca="false">IF(NOT(ISNUMBER($G281)),"",SUMPRODUCT(('Control Mapping'!$C$5:$C$83=D281)*('Control Mapping'!$T$5:$T$83&gt;0)))</f>
        <v>2</v>
      </c>
      <c r="J281" s="31" t="n">
        <f aca="false">IF(NOT(ISNUMBER($G281)),"",SUMPRODUCT(('Control Mapping'!$C$5:$C$83=D281)*('Control Mapping'!$F$5:$F$83="Y")*('Control Mapping'!$T$5:$T$83&gt;0)))</f>
        <v>2</v>
      </c>
      <c r="K281" s="31" t="n">
        <f aca="false">IF(NOT(ISNUMBER($G281)),"",SUMPRODUCT(('Control Mapping'!$C$5:$C$83=D281)*('Control Mapping'!$F$5:$F$83="Y")*('Control Mapping'!$T$5:$T$83=4)))</f>
        <v>0</v>
      </c>
      <c r="L281" s="29" t="n">
        <f aca="false">IF(NOT(ISNUMBER($G281)),"",IFERROR(SUMPRODUCT(('Control Mapping'!$C$5:$C$83=D281)*'Control Mapping'!$E$5:$E$83*'Control Mapping'!$T$5:$T$83)/SUMPRODUCT(('Control Mapping'!$C$5:$C$83=D281)*'Control Mapping'!$E$5:$E$83*('Control Mapping'!$T$5:$T$83&gt;0)),""))</f>
        <v>2</v>
      </c>
      <c r="M281" s="34" t="n">
        <f aca="false">IF(NOT(ISNUMBER($G281)),"",IF(J281=0,4,MAX(MATCH(L281,'Residual Config'!$E$11:$E$14,1),IF(K281&gt;0,'Residual Config'!$C$7,1))))</f>
        <v>2</v>
      </c>
      <c r="N281" s="7" t="str">
        <f aca="false">IF(NOT(ISNUMBER($G281)),"",IF(J281=0,"Ineffective (no key control)",INDEX('Residual Config'!$B$11:$B$14,M281)))</f>
        <v>Largely effective</v>
      </c>
      <c r="O281" s="36" t="n">
        <f aca="false">IF(NOT(ISNUMBER($G281)),"",IF(J281=0,0,SUMPRODUCT(('Control Mapping'!$C$5:$C$83=D281)*'Control Mapping'!$E$5:$E$83*(('Control Mapping'!$T$5:$T$83=1)*'Residual Config'!$D$11+('Control Mapping'!$T$5:$T$83=2)*'Residual Config'!$D$12+('Control Mapping'!$T$5:$T$83=3)*'Residual Config'!$D$13+('Control Mapping'!$T$5:$T$83=4)*'Residual Config'!$D$14))/SUMPRODUCT(('Control Mapping'!$C$5:$C$83=D281)*'Control Mapping'!$E$5:$E$83*('Control Mapping'!$T$5:$T$83&gt;0))))</f>
        <v>0.4</v>
      </c>
      <c r="P281" s="31" t="n">
        <f aca="false">IF(NOT(ISNUMBER($G281)),"",INDEX('Residual Config'!$B$19:$E$23,6-G281,M281))</f>
        <v>1</v>
      </c>
      <c r="Q281" s="29" t="n">
        <f aca="false">IF(NOT(ISNUMBER($G281)),"",MAX(1,F281*(1-O281)))</f>
        <v>1</v>
      </c>
      <c r="R281" s="31" t="n">
        <f aca="false">IF(NOT(ISNUMBER($G281)),"",MAX(MATCH(Q281,Config!$D$5:$D$9,1),G281-'Residual Config'!$C$6))</f>
        <v>1</v>
      </c>
      <c r="S281" s="34" t="n">
        <f aca="false">IF(NOT(ISNUMBER($G281)),"",IF('Residual Config'!$C$5="Numeric",R281,P281))</f>
        <v>1</v>
      </c>
      <c r="T281" s="7" t="str">
        <f aca="false">IF(G281="N/A","N/A",IF(S281="","No data",INDEX(Config!$B$5:$B$9,S281)))</f>
        <v>Low</v>
      </c>
      <c r="U281" s="32" t="n">
        <v>0</v>
      </c>
      <c r="V281" s="8"/>
      <c r="W281" s="33"/>
      <c r="X281" s="34" t="n">
        <f aca="false">IF(S281="","",IF(AND(W281="Y",U281&lt;&gt;0),MAX(1,MIN(5,S281+MAX(-Config!$C$27,MIN(Config!$C$27,U281)))),S281))</f>
        <v>1</v>
      </c>
      <c r="Y281" s="35" t="str">
        <f aca="false">IF(G281="N/A","N/A",IF(X281="","No data",INDEX(Config!$B$5:$B$9,X281)))</f>
        <v>Low</v>
      </c>
      <c r="Z281" s="7" t="str">
        <f aca="false">IF(U281=0,"None",IF(W281="Y","Applied","Pending HO approval"))</f>
        <v>None</v>
      </c>
      <c r="AA281" s="12" t="str">
        <f aca="false">INDEX('Risk Taxonomy'!$G$5:$G$24,MATCH(D281,'Risk Taxonomy'!$A$5:$A$24,0))</f>
        <v>Low</v>
      </c>
      <c r="AB281" s="7" t="str">
        <f aca="false">INDEX('Risk Taxonomy'!$H$5:$H$24,MATCH(D281,'Risk Taxonomy'!$A$5:$A$24,0))</f>
        <v>Medium</v>
      </c>
      <c r="AC281" s="35" t="str">
        <f aca="false">IF(NOT(ISNUMBER(X281)),"",IF(X281&lt;=MATCH(AB281,Config!$B$5:$B$9,0),"Within",IF(OR(X281-MATCH(AB281,Config!$B$5:$B$9,0)&gt;=2,AND('Residual Config'!$C$8="Y",ISNUMBER(SEARCH("Zero",AA281)))),"Red","Amber")))</f>
        <v>Within</v>
      </c>
      <c r="AD281" s="12" t="str">
        <f aca="false">IF(AC281="Red","Group CCO / CRO and Country CEO within 2 business days; action plan in 15 days; report to Board Risk &amp; Compliance Committee",IF(AC281="Amber","Country CO, risk owner and HO Administrator within 5 business days; action plan in 30 days",""))</f>
        <v/>
      </c>
    </row>
    <row r="282" customFormat="false" ht="15" hidden="false" customHeight="false" outlineLevel="0" collapsed="false">
      <c r="A282" s="26" t="str">
        <f aca="false">Entities!$A$18</f>
        <v>OM</v>
      </c>
      <c r="B282" s="12" t="str">
        <f aca="false">INDEX(Entities!$B$5:$B$34,MATCH(A282,Entities!$A$5:$A$34,0))</f>
        <v>Oman Arab Bank (affiliate)</v>
      </c>
      <c r="C282" s="12" t="str">
        <f aca="false">INDEX(Entities!$D$5:$D$34,MATCH(A282,Entities!$A$5:$A$34,0))</f>
        <v>GCC</v>
      </c>
      <c r="D282" s="12" t="s">
        <v>316</v>
      </c>
      <c r="E282" s="12" t="str">
        <f aca="false">INDEX('Risk Taxonomy'!$B$5:$B$24,MATCH(D282,'Risk Taxonomy'!$A$5:$A$24,0))</f>
        <v>Legal and litigation</v>
      </c>
      <c r="F282" s="29" t="n">
        <f aca="false">IF(NOT(ISNUMBER(G282)),"",G282)</f>
        <v>3</v>
      </c>
      <c r="G282" s="34" t="n">
        <f aca="false">IF(COUNTIFS('LxI Assessment'!$A$5:$A$394,A282,'LxI Assessment'!$D$5:$D$394,D282,'LxI Assessment'!$F$5:$F$394,"N/A")&gt;0,"N/A",IF(COUNTIFS('LxI Assessment'!$A$5:$A$394,A282,'LxI Assessment'!$D$5:$D$394,D282,'LxI Assessment'!$S$5:$S$394,"&gt;0")=0,"",SUMIFS('LxI Assessment'!$S$5:$S$394,'LxI Assessment'!$A$5:$A$394,A282,'LxI Assessment'!$D$5:$D$394,D282)))</f>
        <v>3</v>
      </c>
      <c r="H282" s="7" t="str">
        <f aca="false">IF(G282="N/A","N/A",IF(G282="","No data",INDEX(Config!$B$5:$B$9,G282)))</f>
        <v>Medium</v>
      </c>
      <c r="I282" s="31" t="n">
        <f aca="false">IF(NOT(ISNUMBER($G282)),"",SUMPRODUCT(('Control Mapping'!$C$5:$C$83=D282)*('Control Mapping'!$T$5:$T$83&gt;0)))</f>
        <v>1</v>
      </c>
      <c r="J282" s="31" t="n">
        <f aca="false">IF(NOT(ISNUMBER($G282)),"",SUMPRODUCT(('Control Mapping'!$C$5:$C$83=D282)*('Control Mapping'!$F$5:$F$83="Y")*('Control Mapping'!$T$5:$T$83&gt;0)))</f>
        <v>1</v>
      </c>
      <c r="K282" s="31" t="n">
        <f aca="false">IF(NOT(ISNUMBER($G282)),"",SUMPRODUCT(('Control Mapping'!$C$5:$C$83=D282)*('Control Mapping'!$F$5:$F$83="Y")*('Control Mapping'!$T$5:$T$83=4)))</f>
        <v>0</v>
      </c>
      <c r="L282" s="29" t="n">
        <f aca="false">IF(NOT(ISNUMBER($G282)),"",IFERROR(SUMPRODUCT(('Control Mapping'!$C$5:$C$83=D282)*'Control Mapping'!$E$5:$E$83*'Control Mapping'!$T$5:$T$83)/SUMPRODUCT(('Control Mapping'!$C$5:$C$83=D282)*'Control Mapping'!$E$5:$E$83*('Control Mapping'!$T$5:$T$83&gt;0)),""))</f>
        <v>2</v>
      </c>
      <c r="M282" s="34" t="n">
        <f aca="false">IF(NOT(ISNUMBER($G282)),"",IF(J282=0,4,MAX(MATCH(L282,'Residual Config'!$E$11:$E$14,1),IF(K282&gt;0,'Residual Config'!$C$7,1))))</f>
        <v>2</v>
      </c>
      <c r="N282" s="7" t="str">
        <f aca="false">IF(NOT(ISNUMBER($G282)),"",IF(J282=0,"Ineffective (no key control)",INDEX('Residual Config'!$B$11:$B$14,M282)))</f>
        <v>Largely effective</v>
      </c>
      <c r="O282" s="36" t="n">
        <f aca="false">IF(NOT(ISNUMBER($G282)),"",IF(J282=0,0,SUMPRODUCT(('Control Mapping'!$C$5:$C$83=D282)*'Control Mapping'!$E$5:$E$83*(('Control Mapping'!$T$5:$T$83=1)*'Residual Config'!$D$11+('Control Mapping'!$T$5:$T$83=2)*'Residual Config'!$D$12+('Control Mapping'!$T$5:$T$83=3)*'Residual Config'!$D$13+('Control Mapping'!$T$5:$T$83=4)*'Residual Config'!$D$14))/SUMPRODUCT(('Control Mapping'!$C$5:$C$83=D282)*'Control Mapping'!$E$5:$E$83*('Control Mapping'!$T$5:$T$83&gt;0))))</f>
        <v>0.4</v>
      </c>
      <c r="P282" s="31" t="n">
        <f aca="false">IF(NOT(ISNUMBER($G282)),"",INDEX('Residual Config'!$B$19:$E$23,6-G282,M282))</f>
        <v>2</v>
      </c>
      <c r="Q282" s="29" t="n">
        <f aca="false">IF(NOT(ISNUMBER($G282)),"",MAX(1,F282*(1-O282)))</f>
        <v>1.8</v>
      </c>
      <c r="R282" s="31" t="n">
        <f aca="false">IF(NOT(ISNUMBER($G282)),"",MAX(MATCH(Q282,Config!$D$5:$D$9,1),G282-'Residual Config'!$C$6))</f>
        <v>1</v>
      </c>
      <c r="S282" s="34" t="n">
        <f aca="false">IF(NOT(ISNUMBER($G282)),"",IF('Residual Config'!$C$5="Numeric",R282,P282))</f>
        <v>2</v>
      </c>
      <c r="T282" s="7" t="str">
        <f aca="false">IF(G282="N/A","N/A",IF(S282="","No data",INDEX(Config!$B$5:$B$9,S282)))</f>
        <v>Medium-Low</v>
      </c>
      <c r="U282" s="32" t="n">
        <v>0</v>
      </c>
      <c r="V282" s="8"/>
      <c r="W282" s="33"/>
      <c r="X282" s="34" t="n">
        <f aca="false">IF(S282="","",IF(AND(W282="Y",U282&lt;&gt;0),MAX(1,MIN(5,S282+MAX(-Config!$C$27,MIN(Config!$C$27,U282)))),S282))</f>
        <v>2</v>
      </c>
      <c r="Y282" s="35" t="str">
        <f aca="false">IF(G282="N/A","N/A",IF(X282="","No data",INDEX(Config!$B$5:$B$9,X282)))</f>
        <v>Medium-Low</v>
      </c>
      <c r="Z282" s="7" t="str">
        <f aca="false">IF(U282=0,"None",IF(W282="Y","Applied","Pending HO approval"))</f>
        <v>None</v>
      </c>
      <c r="AA282" s="12" t="str">
        <f aca="false">INDEX('Risk Taxonomy'!$G$5:$G$24,MATCH(D282,'Risk Taxonomy'!$A$5:$A$24,0))</f>
        <v>Very low</v>
      </c>
      <c r="AB282" s="7" t="str">
        <f aca="false">INDEX('Risk Taxonomy'!$H$5:$H$24,MATCH(D282,'Risk Taxonomy'!$A$5:$A$24,0))</f>
        <v>Medium-Low</v>
      </c>
      <c r="AC282" s="35" t="str">
        <f aca="false">IF(NOT(ISNUMBER(X282)),"",IF(X282&lt;=MATCH(AB282,Config!$B$5:$B$9,0),"Within",IF(OR(X282-MATCH(AB282,Config!$B$5:$B$9,0)&gt;=2,AND('Residual Config'!$C$8="Y",ISNUMBER(SEARCH("Zero",AA282)))),"Red","Amber")))</f>
        <v>Within</v>
      </c>
      <c r="AD282" s="12" t="str">
        <f aca="false">IF(AC282="Red","Group CCO / CRO and Country CEO within 2 business days; action plan in 15 days; report to Board Risk &amp; Compliance Committee",IF(AC282="Amber","Country CO, risk owner and HO Administrator within 5 business days; action plan in 30 days",""))</f>
        <v/>
      </c>
    </row>
    <row r="283" customFormat="false" ht="15" hidden="false" customHeight="false" outlineLevel="0" collapsed="false">
      <c r="A283" s="26" t="str">
        <f aca="false">Entities!$A$18</f>
        <v>OM</v>
      </c>
      <c r="B283" s="12" t="str">
        <f aca="false">INDEX(Entities!$B$5:$B$34,MATCH(A283,Entities!$A$5:$A$34,0))</f>
        <v>Oman Arab Bank (affiliate)</v>
      </c>
      <c r="C283" s="12" t="str">
        <f aca="false">INDEX(Entities!$D$5:$D$34,MATCH(A283,Entities!$A$5:$A$34,0))</f>
        <v>GCC</v>
      </c>
      <c r="D283" s="12" t="s">
        <v>319</v>
      </c>
      <c r="E283" s="12" t="str">
        <f aca="false">INDEX('Risk Taxonomy'!$B$5:$B$24,MATCH(D283,'Risk Taxonomy'!$A$5:$A$24,0))</f>
        <v>Reputational</v>
      </c>
      <c r="F283" s="29" t="n">
        <f aca="false">IF(NOT(ISNUMBER(G283)),"",G283)</f>
        <v>3</v>
      </c>
      <c r="G283" s="34" t="n">
        <f aca="false">IF(COUNTIFS('LxI Assessment'!$A$5:$A$394,A283,'LxI Assessment'!$D$5:$D$394,D283,'LxI Assessment'!$F$5:$F$394,"N/A")&gt;0,"N/A",IF(COUNTIFS('LxI Assessment'!$A$5:$A$394,A283,'LxI Assessment'!$D$5:$D$394,D283,'LxI Assessment'!$S$5:$S$394,"&gt;0")=0,"",SUMIFS('LxI Assessment'!$S$5:$S$394,'LxI Assessment'!$A$5:$A$394,A283,'LxI Assessment'!$D$5:$D$394,D283)))</f>
        <v>3</v>
      </c>
      <c r="H283" s="7" t="str">
        <f aca="false">IF(G283="N/A","N/A",IF(G283="","No data",INDEX(Config!$B$5:$B$9,G283)))</f>
        <v>Medium</v>
      </c>
      <c r="I283" s="31" t="n">
        <f aca="false">IF(NOT(ISNUMBER($G283)),"",SUMPRODUCT(('Control Mapping'!$C$5:$C$83=D283)*('Control Mapping'!$T$5:$T$83&gt;0)))</f>
        <v>2</v>
      </c>
      <c r="J283" s="31" t="n">
        <f aca="false">IF(NOT(ISNUMBER($G283)),"",SUMPRODUCT(('Control Mapping'!$C$5:$C$83=D283)*('Control Mapping'!$F$5:$F$83="Y")*('Control Mapping'!$T$5:$T$83&gt;0)))</f>
        <v>1</v>
      </c>
      <c r="K283" s="31" t="n">
        <f aca="false">IF(NOT(ISNUMBER($G283)),"",SUMPRODUCT(('Control Mapping'!$C$5:$C$83=D283)*('Control Mapping'!$F$5:$F$83="Y")*('Control Mapping'!$T$5:$T$83=4)))</f>
        <v>0</v>
      </c>
      <c r="L283" s="29" t="n">
        <f aca="false">IF(NOT(ISNUMBER($G283)),"",IFERROR(SUMPRODUCT(('Control Mapping'!$C$5:$C$83=D283)*'Control Mapping'!$E$5:$E$83*'Control Mapping'!$T$5:$T$83)/SUMPRODUCT(('Control Mapping'!$C$5:$C$83=D283)*'Control Mapping'!$E$5:$E$83*('Control Mapping'!$T$5:$T$83&gt;0)),""))</f>
        <v>2</v>
      </c>
      <c r="M283" s="34" t="n">
        <f aca="false">IF(NOT(ISNUMBER($G283)),"",IF(J283=0,4,MAX(MATCH(L283,'Residual Config'!$E$11:$E$14,1),IF(K283&gt;0,'Residual Config'!$C$7,1))))</f>
        <v>2</v>
      </c>
      <c r="N283" s="7" t="str">
        <f aca="false">IF(NOT(ISNUMBER($G283)),"",IF(J283=0,"Ineffective (no key control)",INDEX('Residual Config'!$B$11:$B$14,M283)))</f>
        <v>Largely effective</v>
      </c>
      <c r="O283" s="36" t="n">
        <f aca="false">IF(NOT(ISNUMBER($G283)),"",IF(J283=0,0,SUMPRODUCT(('Control Mapping'!$C$5:$C$83=D283)*'Control Mapping'!$E$5:$E$83*(('Control Mapping'!$T$5:$T$83=1)*'Residual Config'!$D$11+('Control Mapping'!$T$5:$T$83=2)*'Residual Config'!$D$12+('Control Mapping'!$T$5:$T$83=3)*'Residual Config'!$D$13+('Control Mapping'!$T$5:$T$83=4)*'Residual Config'!$D$14))/SUMPRODUCT(('Control Mapping'!$C$5:$C$83=D283)*'Control Mapping'!$E$5:$E$83*('Control Mapping'!$T$5:$T$83&gt;0))))</f>
        <v>0.4</v>
      </c>
      <c r="P283" s="31" t="n">
        <f aca="false">IF(NOT(ISNUMBER($G283)),"",INDEX('Residual Config'!$B$19:$E$23,6-G283,M283))</f>
        <v>2</v>
      </c>
      <c r="Q283" s="29" t="n">
        <f aca="false">IF(NOT(ISNUMBER($G283)),"",MAX(1,F283*(1-O283)))</f>
        <v>1.8</v>
      </c>
      <c r="R283" s="31" t="n">
        <f aca="false">IF(NOT(ISNUMBER($G283)),"",MAX(MATCH(Q283,Config!$D$5:$D$9,1),G283-'Residual Config'!$C$6))</f>
        <v>1</v>
      </c>
      <c r="S283" s="34" t="n">
        <f aca="false">IF(NOT(ISNUMBER($G283)),"",IF('Residual Config'!$C$5="Numeric",R283,P283))</f>
        <v>2</v>
      </c>
      <c r="T283" s="7" t="str">
        <f aca="false">IF(G283="N/A","N/A",IF(S283="","No data",INDEX(Config!$B$5:$B$9,S283)))</f>
        <v>Medium-Low</v>
      </c>
      <c r="U283" s="32" t="n">
        <v>0</v>
      </c>
      <c r="V283" s="8"/>
      <c r="W283" s="33"/>
      <c r="X283" s="34" t="n">
        <f aca="false">IF(S283="","",IF(AND(W283="Y",U283&lt;&gt;0),MAX(1,MIN(5,S283+MAX(-Config!$C$27,MIN(Config!$C$27,U283)))),S283))</f>
        <v>2</v>
      </c>
      <c r="Y283" s="35" t="str">
        <f aca="false">IF(G283="N/A","N/A",IF(X283="","No data",INDEX(Config!$B$5:$B$9,X283)))</f>
        <v>Medium-Low</v>
      </c>
      <c r="Z283" s="7" t="str">
        <f aca="false">IF(U283=0,"None",IF(W283="Y","Applied","Pending HO approval"))</f>
        <v>None</v>
      </c>
      <c r="AA283" s="12" t="str">
        <f aca="false">INDEX('Risk Taxonomy'!$G$5:$G$24,MATCH(D283,'Risk Taxonomy'!$A$5:$A$24,0))</f>
        <v>Low</v>
      </c>
      <c r="AB283" s="7" t="str">
        <f aca="false">INDEX('Risk Taxonomy'!$H$5:$H$24,MATCH(D283,'Risk Taxonomy'!$A$5:$A$24,0))</f>
        <v>Medium</v>
      </c>
      <c r="AC283" s="35" t="str">
        <f aca="false">IF(NOT(ISNUMBER(X283)),"",IF(X283&lt;=MATCH(AB283,Config!$B$5:$B$9,0),"Within",IF(OR(X283-MATCH(AB283,Config!$B$5:$B$9,0)&gt;=2,AND('Residual Config'!$C$8="Y",ISNUMBER(SEARCH("Zero",AA283)))),"Red","Amber")))</f>
        <v>Within</v>
      </c>
      <c r="AD283" s="12" t="str">
        <f aca="false">IF(AC283="Red","Group CCO / CRO and Country CEO within 2 business days; action plan in 15 days; report to Board Risk &amp; Compliance Committee",IF(AC283="Amber","Country CO, risk owner and HO Administrator within 5 business days; action plan in 30 days",""))</f>
        <v/>
      </c>
    </row>
    <row r="284" customFormat="false" ht="15" hidden="false" customHeight="false" outlineLevel="0" collapsed="false">
      <c r="A284" s="26" t="str">
        <f aca="false">Entities!$A$18</f>
        <v>OM</v>
      </c>
      <c r="B284" s="12" t="str">
        <f aca="false">INDEX(Entities!$B$5:$B$34,MATCH(A284,Entities!$A$5:$A$34,0))</f>
        <v>Oman Arab Bank (affiliate)</v>
      </c>
      <c r="C284" s="12" t="str">
        <f aca="false">INDEX(Entities!$D$5:$D$34,MATCH(A284,Entities!$A$5:$A$34,0))</f>
        <v>GCC</v>
      </c>
      <c r="D284" s="12" t="s">
        <v>322</v>
      </c>
      <c r="E284" s="12" t="str">
        <f aca="false">INDEX('Risk Taxonomy'!$B$5:$B$24,MATCH(D284,'Risk Taxonomy'!$A$5:$A$24,0))</f>
        <v>Strategic, business model and ESG</v>
      </c>
      <c r="F284" s="29" t="n">
        <f aca="false">IF(NOT(ISNUMBER(G284)),"",G284)</f>
        <v>4</v>
      </c>
      <c r="G284" s="34" t="n">
        <f aca="false">IF(COUNTIFS('LxI Assessment'!$A$5:$A$394,A284,'LxI Assessment'!$D$5:$D$394,D284,'LxI Assessment'!$F$5:$F$394,"N/A")&gt;0,"N/A",IF(COUNTIFS('LxI Assessment'!$A$5:$A$394,A284,'LxI Assessment'!$D$5:$D$394,D284,'LxI Assessment'!$S$5:$S$394,"&gt;0")=0,"",SUMIFS('LxI Assessment'!$S$5:$S$394,'LxI Assessment'!$A$5:$A$394,A284,'LxI Assessment'!$D$5:$D$394,D284)))</f>
        <v>4</v>
      </c>
      <c r="H284" s="7" t="str">
        <f aca="false">IF(G284="N/A","N/A",IF(G284="","No data",INDEX(Config!$B$5:$B$9,G284)))</f>
        <v>Medium-High</v>
      </c>
      <c r="I284" s="31" t="n">
        <f aca="false">IF(NOT(ISNUMBER($G284)),"",SUMPRODUCT(('Control Mapping'!$C$5:$C$83=D284)*('Control Mapping'!$T$5:$T$83&gt;0)))</f>
        <v>1</v>
      </c>
      <c r="J284" s="31" t="n">
        <f aca="false">IF(NOT(ISNUMBER($G284)),"",SUMPRODUCT(('Control Mapping'!$C$5:$C$83=D284)*('Control Mapping'!$F$5:$F$83="Y")*('Control Mapping'!$T$5:$T$83&gt;0)))</f>
        <v>1</v>
      </c>
      <c r="K284" s="31" t="n">
        <f aca="false">IF(NOT(ISNUMBER($G284)),"",SUMPRODUCT(('Control Mapping'!$C$5:$C$83=D284)*('Control Mapping'!$F$5:$F$83="Y")*('Control Mapping'!$T$5:$T$83=4)))</f>
        <v>0</v>
      </c>
      <c r="L284" s="29" t="n">
        <f aca="false">IF(NOT(ISNUMBER($G284)),"",IFERROR(SUMPRODUCT(('Control Mapping'!$C$5:$C$83=D284)*'Control Mapping'!$E$5:$E$83*'Control Mapping'!$T$5:$T$83)/SUMPRODUCT(('Control Mapping'!$C$5:$C$83=D284)*'Control Mapping'!$E$5:$E$83*('Control Mapping'!$T$5:$T$83&gt;0)),""))</f>
        <v>1</v>
      </c>
      <c r="M284" s="34" t="n">
        <f aca="false">IF(NOT(ISNUMBER($G284)),"",IF(J284=0,4,MAX(MATCH(L284,'Residual Config'!$E$11:$E$14,1),IF(K284&gt;0,'Residual Config'!$C$7,1))))</f>
        <v>1</v>
      </c>
      <c r="N284" s="7" t="str">
        <f aca="false">IF(NOT(ISNUMBER($G284)),"",IF(J284=0,"Ineffective (no key control)",INDEX('Residual Config'!$B$11:$B$14,M284)))</f>
        <v>Effective</v>
      </c>
      <c r="O284" s="36" t="n">
        <f aca="false">IF(NOT(ISNUMBER($G284)),"",IF(J284=0,0,SUMPRODUCT(('Control Mapping'!$C$5:$C$83=D284)*'Control Mapping'!$E$5:$E$83*(('Control Mapping'!$T$5:$T$83=1)*'Residual Config'!$D$11+('Control Mapping'!$T$5:$T$83=2)*'Residual Config'!$D$12+('Control Mapping'!$T$5:$T$83=3)*'Residual Config'!$D$13+('Control Mapping'!$T$5:$T$83=4)*'Residual Config'!$D$14))/SUMPRODUCT(('Control Mapping'!$C$5:$C$83=D284)*'Control Mapping'!$E$5:$E$83*('Control Mapping'!$T$5:$T$83&gt;0))))</f>
        <v>0.6</v>
      </c>
      <c r="P284" s="31" t="n">
        <f aca="false">IF(NOT(ISNUMBER($G284)),"",INDEX('Residual Config'!$B$19:$E$23,6-G284,M284))</f>
        <v>2</v>
      </c>
      <c r="Q284" s="29" t="n">
        <f aca="false">IF(NOT(ISNUMBER($G284)),"",MAX(1,F284*(1-O284)))</f>
        <v>1.6</v>
      </c>
      <c r="R284" s="31" t="n">
        <f aca="false">IF(NOT(ISNUMBER($G284)),"",MAX(MATCH(Q284,Config!$D$5:$D$9,1),G284-'Residual Config'!$C$6))</f>
        <v>2</v>
      </c>
      <c r="S284" s="34" t="n">
        <f aca="false">IF(NOT(ISNUMBER($G284)),"",IF('Residual Config'!$C$5="Numeric",R284,P284))</f>
        <v>2</v>
      </c>
      <c r="T284" s="7" t="str">
        <f aca="false">IF(G284="N/A","N/A",IF(S284="","No data",INDEX(Config!$B$5:$B$9,S284)))</f>
        <v>Medium-Low</v>
      </c>
      <c r="U284" s="32" t="n">
        <v>0</v>
      </c>
      <c r="V284" s="8"/>
      <c r="W284" s="33"/>
      <c r="X284" s="34" t="n">
        <f aca="false">IF(S284="","",IF(AND(W284="Y",U284&lt;&gt;0),MAX(1,MIN(5,S284+MAX(-Config!$C$27,MIN(Config!$C$27,U284)))),S284))</f>
        <v>2</v>
      </c>
      <c r="Y284" s="35" t="str">
        <f aca="false">IF(G284="N/A","N/A",IF(X284="","No data",INDEX(Config!$B$5:$B$9,X284)))</f>
        <v>Medium-Low</v>
      </c>
      <c r="Z284" s="7" t="str">
        <f aca="false">IF(U284=0,"None",IF(W284="Y","Applied","Pending HO approval"))</f>
        <v>None</v>
      </c>
      <c r="AA284" s="12" t="str">
        <f aca="false">INDEX('Risk Taxonomy'!$G$5:$G$24,MATCH(D284,'Risk Taxonomy'!$A$5:$A$24,0))</f>
        <v>Moderate</v>
      </c>
      <c r="AB284" s="7" t="str">
        <f aca="false">INDEX('Risk Taxonomy'!$H$5:$H$24,MATCH(D284,'Risk Taxonomy'!$A$5:$A$24,0))</f>
        <v>Medium-High</v>
      </c>
      <c r="AC284" s="35" t="str">
        <f aca="false">IF(NOT(ISNUMBER(X284)),"",IF(X284&lt;=MATCH(AB284,Config!$B$5:$B$9,0),"Within",IF(OR(X284-MATCH(AB284,Config!$B$5:$B$9,0)&gt;=2,AND('Residual Config'!$C$8="Y",ISNUMBER(SEARCH("Zero",AA284)))),"Red","Amber")))</f>
        <v>Within</v>
      </c>
      <c r="AD284" s="12" t="str">
        <f aca="false">IF(AC284="Red","Group CCO / CRO and Country CEO within 2 business days; action plan in 15 days; report to Board Risk &amp; Compliance Committee",IF(AC284="Amber","Country CO, risk owner and HO Administrator within 5 business days; action plan in 30 days",""))</f>
        <v/>
      </c>
    </row>
    <row r="285" customFormat="false" ht="15" hidden="false" customHeight="false" outlineLevel="0" collapsed="false">
      <c r="A285" s="26" t="str">
        <f aca="false">Entities!$A$19</f>
        <v>IQ</v>
      </c>
      <c r="B285" s="12" t="str">
        <f aca="false">INDEX(Entities!$B$5:$B$34,MATCH(A285,Entities!$A$5:$A$34,0))</f>
        <v>Arab Bank Iraq</v>
      </c>
      <c r="C285" s="12" t="str">
        <f aca="false">INDEX(Entities!$D$5:$D$34,MATCH(A285,Entities!$A$5:$A$34,0))</f>
        <v>Iraq and Yemen</v>
      </c>
      <c r="D285" s="12" t="s">
        <v>260</v>
      </c>
      <c r="E285" s="12" t="str">
        <f aca="false">INDEX('Risk Taxonomy'!$B$5:$B$24,MATCH(D285,'Risk Taxonomy'!$A$5:$A$24,0))</f>
        <v>Money laundering</v>
      </c>
      <c r="F285" s="29" t="n">
        <f aca="false">IF(NOT(ISNUMBER(G285)),"",IFERROR(IF(MATCH(SUMIFS('FC Calculation'!$N$5:$N$214,'FC Calculation'!$A$5:$A$214,A285,'FC Calculation'!$D$5:$D$214,D285),Config!$D$5:$D$9,1)=G285,SUMIFS('FC Calculation'!$N$5:$N$214,'FC Calculation'!$A$5:$A$214,A285,'FC Calculation'!$D$5:$D$214,D285),G285),G285))</f>
        <v>3.72944444444444</v>
      </c>
      <c r="G285" s="34" t="n">
        <f aca="false">IF(COUNTIFS('FC Calculation'!$A$5:$A$214,A285,'FC Calculation'!$D$5:$D$214,D285,'FC Calculation'!$T$5:$T$214,"&gt;0")=0,"",SUMIFS('FC Calculation'!$T$5:$T$214,'FC Calculation'!$A$5:$A$214,A285,'FC Calculation'!$D$5:$D$214,D285))</f>
        <v>4</v>
      </c>
      <c r="H285" s="7" t="str">
        <f aca="false">IF(G285="N/A","N/A",IF(G285="","No data",INDEX(Config!$B$5:$B$9,G285)))</f>
        <v>Medium-High</v>
      </c>
      <c r="I285" s="31" t="n">
        <f aca="false">IF(NOT(ISNUMBER($G285)),"",SUMPRODUCT(('Control Mapping'!$C$5:$C$83=D285)*('Control Mapping'!$U$5:$U$83&gt;0)))</f>
        <v>12</v>
      </c>
      <c r="J285" s="31" t="n">
        <f aca="false">IF(NOT(ISNUMBER($G285)),"",SUMPRODUCT(('Control Mapping'!$C$5:$C$83=D285)*('Control Mapping'!$F$5:$F$83="Y")*('Control Mapping'!$U$5:$U$83&gt;0)))</f>
        <v>9</v>
      </c>
      <c r="K285" s="31" t="n">
        <f aca="false">IF(NOT(ISNUMBER($G285)),"",SUMPRODUCT(('Control Mapping'!$C$5:$C$83=D285)*('Control Mapping'!$F$5:$F$83="Y")*('Control Mapping'!$U$5:$U$83=4)))</f>
        <v>1</v>
      </c>
      <c r="L285" s="29" t="n">
        <f aca="false">IF(NOT(ISNUMBER($G285)),"",IFERROR(SUMPRODUCT(('Control Mapping'!$C$5:$C$83=D285)*'Control Mapping'!$E$5:$E$83*'Control Mapping'!$U$5:$U$83)/SUMPRODUCT(('Control Mapping'!$C$5:$C$83=D285)*'Control Mapping'!$E$5:$E$83*('Control Mapping'!$U$5:$U$83&gt;0)),""))</f>
        <v>2.56521739130435</v>
      </c>
      <c r="M285" s="34" t="n">
        <f aca="false">IF(NOT(ISNUMBER($G285)),"",IF(J285=0,4,MAX(MATCH(L285,'Residual Config'!$E$11:$E$14,1),IF(K285&gt;0,'Residual Config'!$C$7,1))))</f>
        <v>3</v>
      </c>
      <c r="N285" s="7" t="str">
        <f aca="false">IF(NOT(ISNUMBER($G285)),"",IF(J285=0,"Ineffective (no key control)",INDEX('Residual Config'!$B$11:$B$14,M285)))</f>
        <v>Partially effective</v>
      </c>
      <c r="O285" s="36" t="n">
        <f aca="false">IF(NOT(ISNUMBER($G285)),"",IF(J285=0,0,SUMPRODUCT(('Control Mapping'!$C$5:$C$83=D285)*'Control Mapping'!$E$5:$E$83*(('Control Mapping'!$U$5:$U$83=1)*'Residual Config'!$D$11+('Control Mapping'!$U$5:$U$83=2)*'Residual Config'!$D$12+('Control Mapping'!$U$5:$U$83=3)*'Residual Config'!$D$13+('Control Mapping'!$U$5:$U$83=4)*'Residual Config'!$D$14))/SUMPRODUCT(('Control Mapping'!$C$5:$C$83=D285)*'Control Mapping'!$E$5:$E$83*('Control Mapping'!$U$5:$U$83&gt;0))))</f>
        <v>0.28695652173913</v>
      </c>
      <c r="P285" s="31" t="n">
        <f aca="false">IF(NOT(ISNUMBER($G285)),"",INDEX('Residual Config'!$B$19:$E$23,6-G285,M285))</f>
        <v>4</v>
      </c>
      <c r="Q285" s="29" t="n">
        <f aca="false">IF(NOT(ISNUMBER($G285)),"",MAX(1,F285*(1-O285)))</f>
        <v>2.65925603864734</v>
      </c>
      <c r="R285" s="31" t="n">
        <f aca="false">IF(NOT(ISNUMBER($G285)),"",MAX(MATCH(Q285,Config!$D$5:$D$9,1),G285-'Residual Config'!$C$6))</f>
        <v>3</v>
      </c>
      <c r="S285" s="34" t="n">
        <f aca="false">IF(NOT(ISNUMBER($G285)),"",IF('Residual Config'!$C$5="Numeric",R285,P285))</f>
        <v>4</v>
      </c>
      <c r="T285" s="7" t="str">
        <f aca="false">IF(G285="N/A","N/A",IF(S285="","No data",INDEX(Config!$B$5:$B$9,S285)))</f>
        <v>Medium-High</v>
      </c>
      <c r="U285" s="32" t="n">
        <v>0</v>
      </c>
      <c r="V285" s="8"/>
      <c r="W285" s="33"/>
      <c r="X285" s="34" t="n">
        <f aca="false">IF(S285="","",IF(AND(W285="Y",U285&lt;&gt;0),MAX(1,MIN(5,S285+MAX(-Config!$C$27,MIN(Config!$C$27,U285)))),S285))</f>
        <v>4</v>
      </c>
      <c r="Y285" s="35" t="str">
        <f aca="false">IF(G285="N/A","N/A",IF(X285="","No data",INDEX(Config!$B$5:$B$9,X285)))</f>
        <v>Medium-High</v>
      </c>
      <c r="Z285" s="7" t="str">
        <f aca="false">IF(U285=0,"None",IF(W285="Y","Applied","Pending HO approval"))</f>
        <v>None</v>
      </c>
      <c r="AA285" s="12" t="str">
        <f aca="false">INDEX('Risk Taxonomy'!$G$5:$G$24,MATCH(D285,'Risk Taxonomy'!$A$5:$A$24,0))</f>
        <v>Very low</v>
      </c>
      <c r="AB285" s="7" t="str">
        <f aca="false">INDEX('Risk Taxonomy'!$H$5:$H$24,MATCH(D285,'Risk Taxonomy'!$A$5:$A$24,0))</f>
        <v>Medium-Low</v>
      </c>
      <c r="AC285" s="35" t="str">
        <f aca="false">IF(NOT(ISNUMBER(X285)),"",IF(X285&lt;=MATCH(AB285,Config!$B$5:$B$9,0),"Within",IF(OR(X285-MATCH(AB285,Config!$B$5:$B$9,0)&gt;=2,AND('Residual Config'!$C$8="Y",ISNUMBER(SEARCH("Zero",AA285)))),"Red","Amber")))</f>
        <v>Red</v>
      </c>
      <c r="AD285" s="12" t="str">
        <f aca="false">IF(AC285="Red","Group CCO / CRO and Country CEO within 2 business days; action plan in 15 days; report to Board Risk &amp; Compliance Committee",IF(AC285="Amber","Country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286" customFormat="false" ht="15" hidden="false" customHeight="false" outlineLevel="0" collapsed="false">
      <c r="A286" s="26" t="str">
        <f aca="false">Entities!$A$19</f>
        <v>IQ</v>
      </c>
      <c r="B286" s="12" t="str">
        <f aca="false">INDEX(Entities!$B$5:$B$34,MATCH(A286,Entities!$A$5:$A$34,0))</f>
        <v>Arab Bank Iraq</v>
      </c>
      <c r="C286" s="12" t="str">
        <f aca="false">INDEX(Entities!$D$5:$D$34,MATCH(A286,Entities!$A$5:$A$34,0))</f>
        <v>Iraq and Yemen</v>
      </c>
      <c r="D286" s="12" t="s">
        <v>267</v>
      </c>
      <c r="E286" s="12" t="str">
        <f aca="false">INDEX('Risk Taxonomy'!$B$5:$B$24,MATCH(D286,'Risk Taxonomy'!$A$5:$A$24,0))</f>
        <v>Terrorist financing</v>
      </c>
      <c r="F286" s="29" t="n">
        <f aca="false">IF(NOT(ISNUMBER(G286)),"",IFERROR(IF(MATCH(SUMIFS('FC Calculation'!$N$5:$N$214,'FC Calculation'!$A$5:$A$214,A286,'FC Calculation'!$D$5:$D$214,D286),Config!$D$5:$D$9,1)=G286,SUMIFS('FC Calculation'!$N$5:$N$214,'FC Calculation'!$A$5:$A$214,A286,'FC Calculation'!$D$5:$D$214,D286),G286),G286))</f>
        <v>3.89761904761905</v>
      </c>
      <c r="G286" s="34" t="n">
        <f aca="false">IF(COUNTIFS('FC Calculation'!$A$5:$A$214,A286,'FC Calculation'!$D$5:$D$214,D286,'FC Calculation'!$T$5:$T$214,"&gt;0")=0,"",SUMIFS('FC Calculation'!$T$5:$T$214,'FC Calculation'!$A$5:$A$214,A286,'FC Calculation'!$D$5:$D$214,D286))</f>
        <v>4</v>
      </c>
      <c r="H286" s="7" t="str">
        <f aca="false">IF(G286="N/A","N/A",IF(G286="","No data",INDEX(Config!$B$5:$B$9,G286)))</f>
        <v>Medium-High</v>
      </c>
      <c r="I286" s="31" t="n">
        <f aca="false">IF(NOT(ISNUMBER($G286)),"",SUMPRODUCT(('Control Mapping'!$C$5:$C$83=D286)*('Control Mapping'!$U$5:$U$83&gt;0)))</f>
        <v>12</v>
      </c>
      <c r="J286" s="31" t="n">
        <f aca="false">IF(NOT(ISNUMBER($G286)),"",SUMPRODUCT(('Control Mapping'!$C$5:$C$83=D286)*('Control Mapping'!$F$5:$F$83="Y")*('Control Mapping'!$U$5:$U$83&gt;0)))</f>
        <v>9</v>
      </c>
      <c r="K286" s="31" t="n">
        <f aca="false">IF(NOT(ISNUMBER($G286)),"",SUMPRODUCT(('Control Mapping'!$C$5:$C$83=D286)*('Control Mapping'!$F$5:$F$83="Y")*('Control Mapping'!$U$5:$U$83=4)))</f>
        <v>0</v>
      </c>
      <c r="L286" s="29" t="n">
        <f aca="false">IF(NOT(ISNUMBER($G286)),"",IFERROR(SUMPRODUCT(('Control Mapping'!$C$5:$C$83=D286)*'Control Mapping'!$E$5:$E$83*'Control Mapping'!$U$5:$U$83)/SUMPRODUCT(('Control Mapping'!$C$5:$C$83=D286)*'Control Mapping'!$E$5:$E$83*('Control Mapping'!$U$5:$U$83&gt;0)),""))</f>
        <v>2.42105263157895</v>
      </c>
      <c r="M286" s="34" t="n">
        <f aca="false">IF(NOT(ISNUMBER($G286)),"",IF(J286=0,4,MAX(MATCH(L286,'Residual Config'!$E$11:$E$14,1),IF(K286&gt;0,'Residual Config'!$C$7,1))))</f>
        <v>2</v>
      </c>
      <c r="N286" s="7" t="str">
        <f aca="false">IF(NOT(ISNUMBER($G286)),"",IF(J286=0,"Ineffective (no key control)",INDEX('Residual Config'!$B$11:$B$14,M286)))</f>
        <v>Largely effective</v>
      </c>
      <c r="O286" s="36" t="n">
        <f aca="false">IF(NOT(ISNUMBER($G286)),"",IF(J286=0,0,SUMPRODUCT(('Control Mapping'!$C$5:$C$83=D286)*'Control Mapping'!$E$5:$E$83*(('Control Mapping'!$U$5:$U$83=1)*'Residual Config'!$D$11+('Control Mapping'!$U$5:$U$83=2)*'Residual Config'!$D$12+('Control Mapping'!$U$5:$U$83=3)*'Residual Config'!$D$13+('Control Mapping'!$U$5:$U$83=4)*'Residual Config'!$D$14))/SUMPRODUCT(('Control Mapping'!$C$5:$C$83=D286)*'Control Mapping'!$E$5:$E$83*('Control Mapping'!$U$5:$U$83&gt;0))))</f>
        <v>0.315789473684211</v>
      </c>
      <c r="P286" s="31" t="n">
        <f aca="false">IF(NOT(ISNUMBER($G286)),"",INDEX('Residual Config'!$B$19:$E$23,6-G286,M286))</f>
        <v>3</v>
      </c>
      <c r="Q286" s="29" t="n">
        <f aca="false">IF(NOT(ISNUMBER($G286)),"",MAX(1,F286*(1-O286)))</f>
        <v>2.66679197994987</v>
      </c>
      <c r="R286" s="31" t="n">
        <f aca="false">IF(NOT(ISNUMBER($G286)),"",MAX(MATCH(Q286,Config!$D$5:$D$9,1),G286-'Residual Config'!$C$6))</f>
        <v>3</v>
      </c>
      <c r="S286" s="34" t="n">
        <f aca="false">IF(NOT(ISNUMBER($G286)),"",IF('Residual Config'!$C$5="Numeric",R286,P286))</f>
        <v>3</v>
      </c>
      <c r="T286" s="7" t="str">
        <f aca="false">IF(G286="N/A","N/A",IF(S286="","No data",INDEX(Config!$B$5:$B$9,S286)))</f>
        <v>Medium</v>
      </c>
      <c r="U286" s="32" t="n">
        <v>0</v>
      </c>
      <c r="V286" s="8"/>
      <c r="W286" s="33"/>
      <c r="X286" s="34" t="n">
        <f aca="false">IF(S286="","",IF(AND(W286="Y",U286&lt;&gt;0),MAX(1,MIN(5,S286+MAX(-Config!$C$27,MIN(Config!$C$27,U286)))),S286))</f>
        <v>3</v>
      </c>
      <c r="Y286" s="35" t="str">
        <f aca="false">IF(G286="N/A","N/A",IF(X286="","No data",INDEX(Config!$B$5:$B$9,X286)))</f>
        <v>Medium</v>
      </c>
      <c r="Z286" s="7" t="str">
        <f aca="false">IF(U286=0,"None",IF(W286="Y","Applied","Pending HO approval"))</f>
        <v>None</v>
      </c>
      <c r="AA286" s="12" t="str">
        <f aca="false">INDEX('Risk Taxonomy'!$G$5:$G$24,MATCH(D286,'Risk Taxonomy'!$A$5:$A$24,0))</f>
        <v>Zero tolerance</v>
      </c>
      <c r="AB286" s="7" t="str">
        <f aca="false">INDEX('Risk Taxonomy'!$H$5:$H$24,MATCH(D286,'Risk Taxonomy'!$A$5:$A$24,0))</f>
        <v>Low</v>
      </c>
      <c r="AC286" s="35" t="str">
        <f aca="false">IF(NOT(ISNUMBER(X286)),"",IF(X286&lt;=MATCH(AB286,Config!$B$5:$B$9,0),"Within",IF(OR(X286-MATCH(AB286,Config!$B$5:$B$9,0)&gt;=2,AND('Residual Config'!$C$8="Y",ISNUMBER(SEARCH("Zero",AA286)))),"Red","Amber")))</f>
        <v>Red</v>
      </c>
      <c r="AD286" s="12" t="str">
        <f aca="false">IF(AC286="Red","Group CCO / CRO and Country CEO within 2 business days; action plan in 15 days; report to Board Risk &amp; Compliance Committee",IF(AC286="Amber","Country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287" customFormat="false" ht="15" hidden="false" customHeight="false" outlineLevel="0" collapsed="false">
      <c r="A287" s="26" t="str">
        <f aca="false">Entities!$A$19</f>
        <v>IQ</v>
      </c>
      <c r="B287" s="12" t="str">
        <f aca="false">INDEX(Entities!$B$5:$B$34,MATCH(A287,Entities!$A$5:$A$34,0))</f>
        <v>Arab Bank Iraq</v>
      </c>
      <c r="C287" s="12" t="str">
        <f aca="false">INDEX(Entities!$D$5:$D$34,MATCH(A287,Entities!$A$5:$A$34,0))</f>
        <v>Iraq and Yemen</v>
      </c>
      <c r="D287" s="12" t="s">
        <v>270</v>
      </c>
      <c r="E287" s="12" t="str">
        <f aca="false">INDEX('Risk Taxonomy'!$B$5:$B$24,MATCH(D287,'Risk Taxonomy'!$A$5:$A$24,0))</f>
        <v>Proliferation financing</v>
      </c>
      <c r="F287" s="29" t="n">
        <f aca="false">IF(NOT(ISNUMBER(G287)),"",IFERROR(IF(MATCH(SUMIFS('FC Calculation'!$N$5:$N$214,'FC Calculation'!$A$5:$A$214,A287,'FC Calculation'!$D$5:$D$214,D287),Config!$D$5:$D$9,1)=G287,SUMIFS('FC Calculation'!$N$5:$N$214,'FC Calculation'!$A$5:$A$214,A287,'FC Calculation'!$D$5:$D$214,D287),G287),G287))</f>
        <v>3.5125</v>
      </c>
      <c r="G287" s="34" t="n">
        <f aca="false">IF(COUNTIFS('FC Calculation'!$A$5:$A$214,A287,'FC Calculation'!$D$5:$D$214,D287,'FC Calculation'!$T$5:$T$214,"&gt;0")=0,"",SUMIFS('FC Calculation'!$T$5:$T$214,'FC Calculation'!$A$5:$A$214,A287,'FC Calculation'!$D$5:$D$214,D287))</f>
        <v>4</v>
      </c>
      <c r="H287" s="7" t="str">
        <f aca="false">IF(G287="N/A","N/A",IF(G287="","No data",INDEX(Config!$B$5:$B$9,G287)))</f>
        <v>Medium-High</v>
      </c>
      <c r="I287" s="31" t="n">
        <f aca="false">IF(NOT(ISNUMBER($G287)),"",SUMPRODUCT(('Control Mapping'!$C$5:$C$83=D287)*('Control Mapping'!$U$5:$U$83&gt;0)))</f>
        <v>5</v>
      </c>
      <c r="J287" s="31" t="n">
        <f aca="false">IF(NOT(ISNUMBER($G287)),"",SUMPRODUCT(('Control Mapping'!$C$5:$C$83=D287)*('Control Mapping'!$F$5:$F$83="Y")*('Control Mapping'!$U$5:$U$83&gt;0)))</f>
        <v>5</v>
      </c>
      <c r="K287" s="31" t="n">
        <f aca="false">IF(NOT(ISNUMBER($G287)),"",SUMPRODUCT(('Control Mapping'!$C$5:$C$83=D287)*('Control Mapping'!$F$5:$F$83="Y")*('Control Mapping'!$U$5:$U$83=4)))</f>
        <v>1</v>
      </c>
      <c r="L287" s="29" t="n">
        <f aca="false">IF(NOT(ISNUMBER($G287)),"",IFERROR(SUMPRODUCT(('Control Mapping'!$C$5:$C$83=D287)*'Control Mapping'!$E$5:$E$83*'Control Mapping'!$U$5:$U$83)/SUMPRODUCT(('Control Mapping'!$C$5:$C$83=D287)*'Control Mapping'!$E$5:$E$83*('Control Mapping'!$U$5:$U$83&gt;0)),""))</f>
        <v>2.6</v>
      </c>
      <c r="M287" s="34" t="n">
        <f aca="false">IF(NOT(ISNUMBER($G287)),"",IF(J287=0,4,MAX(MATCH(L287,'Residual Config'!$E$11:$E$14,1),IF(K287&gt;0,'Residual Config'!$C$7,1))))</f>
        <v>3</v>
      </c>
      <c r="N287" s="7" t="str">
        <f aca="false">IF(NOT(ISNUMBER($G287)),"",IF(J287=0,"Ineffective (no key control)",INDEX('Residual Config'!$B$11:$B$14,M287)))</f>
        <v>Partially effective</v>
      </c>
      <c r="O287" s="36" t="n">
        <f aca="false">IF(NOT(ISNUMBER($G287)),"",IF(J287=0,0,SUMPRODUCT(('Control Mapping'!$C$5:$C$83=D287)*'Control Mapping'!$E$5:$E$83*(('Control Mapping'!$U$5:$U$83=1)*'Residual Config'!$D$11+('Control Mapping'!$U$5:$U$83=2)*'Residual Config'!$D$12+('Control Mapping'!$U$5:$U$83=3)*'Residual Config'!$D$13+('Control Mapping'!$U$5:$U$83=4)*'Residual Config'!$D$14))/SUMPRODUCT(('Control Mapping'!$C$5:$C$83=D287)*'Control Mapping'!$E$5:$E$83*('Control Mapping'!$U$5:$U$83&gt;0))))</f>
        <v>0.28</v>
      </c>
      <c r="P287" s="31" t="n">
        <f aca="false">IF(NOT(ISNUMBER($G287)),"",INDEX('Residual Config'!$B$19:$E$23,6-G287,M287))</f>
        <v>4</v>
      </c>
      <c r="Q287" s="29" t="n">
        <f aca="false">IF(NOT(ISNUMBER($G287)),"",MAX(1,F287*(1-O287)))</f>
        <v>2.529</v>
      </c>
      <c r="R287" s="31" t="n">
        <f aca="false">IF(NOT(ISNUMBER($G287)),"",MAX(MATCH(Q287,Config!$D$5:$D$9,1),G287-'Residual Config'!$C$6))</f>
        <v>2</v>
      </c>
      <c r="S287" s="34" t="n">
        <f aca="false">IF(NOT(ISNUMBER($G287)),"",IF('Residual Config'!$C$5="Numeric",R287,P287))</f>
        <v>4</v>
      </c>
      <c r="T287" s="7" t="str">
        <f aca="false">IF(G287="N/A","N/A",IF(S287="","No data",INDEX(Config!$B$5:$B$9,S287)))</f>
        <v>Medium-High</v>
      </c>
      <c r="U287" s="32" t="n">
        <v>0</v>
      </c>
      <c r="V287" s="8"/>
      <c r="W287" s="33"/>
      <c r="X287" s="34" t="n">
        <f aca="false">IF(S287="","",IF(AND(W287="Y",U287&lt;&gt;0),MAX(1,MIN(5,S287+MAX(-Config!$C$27,MIN(Config!$C$27,U287)))),S287))</f>
        <v>4</v>
      </c>
      <c r="Y287" s="35" t="str">
        <f aca="false">IF(G287="N/A","N/A",IF(X287="","No data",INDEX(Config!$B$5:$B$9,X287)))</f>
        <v>Medium-High</v>
      </c>
      <c r="Z287" s="7" t="str">
        <f aca="false">IF(U287=0,"None",IF(W287="Y","Applied","Pending HO approval"))</f>
        <v>None</v>
      </c>
      <c r="AA287" s="12" t="str">
        <f aca="false">INDEX('Risk Taxonomy'!$G$5:$G$24,MATCH(D287,'Risk Taxonomy'!$A$5:$A$24,0))</f>
        <v>Zero tolerance</v>
      </c>
      <c r="AB287" s="7" t="str">
        <f aca="false">INDEX('Risk Taxonomy'!$H$5:$H$24,MATCH(D287,'Risk Taxonomy'!$A$5:$A$24,0))</f>
        <v>Low</v>
      </c>
      <c r="AC287" s="35" t="str">
        <f aca="false">IF(NOT(ISNUMBER(X287)),"",IF(X287&lt;=MATCH(AB287,Config!$B$5:$B$9,0),"Within",IF(OR(X287-MATCH(AB287,Config!$B$5:$B$9,0)&gt;=2,AND('Residual Config'!$C$8="Y",ISNUMBER(SEARCH("Zero",AA287)))),"Red","Amber")))</f>
        <v>Red</v>
      </c>
      <c r="AD287" s="12" t="str">
        <f aca="false">IF(AC287="Red","Group CCO / CRO and Country CEO within 2 business days; action plan in 15 days; report to Board Risk &amp; Compliance Committee",IF(AC287="Amber","Country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288" customFormat="false" ht="15" hidden="false" customHeight="false" outlineLevel="0" collapsed="false">
      <c r="A288" s="26" t="str">
        <f aca="false">Entities!$A$19</f>
        <v>IQ</v>
      </c>
      <c r="B288" s="12" t="str">
        <f aca="false">INDEX(Entities!$B$5:$B$34,MATCH(A288,Entities!$A$5:$A$34,0))</f>
        <v>Arab Bank Iraq</v>
      </c>
      <c r="C288" s="12" t="str">
        <f aca="false">INDEX(Entities!$D$5:$D$34,MATCH(A288,Entities!$A$5:$A$34,0))</f>
        <v>Iraq and Yemen</v>
      </c>
      <c r="D288" s="12" t="s">
        <v>272</v>
      </c>
      <c r="E288" s="12" t="str">
        <f aca="false">INDEX('Risk Taxonomy'!$B$5:$B$24,MATCH(D288,'Risk Taxonomy'!$A$5:$A$24,0))</f>
        <v>Sanctions</v>
      </c>
      <c r="F288" s="29" t="n">
        <f aca="false">IF(NOT(ISNUMBER(G288)),"",IFERROR(IF(MATCH(SUMIFS('FC Calculation'!$N$5:$N$214,'FC Calculation'!$A$5:$A$214,A288,'FC Calculation'!$D$5:$D$214,D288),Config!$D$5:$D$9,1)=G288,SUMIFS('FC Calculation'!$N$5:$N$214,'FC Calculation'!$A$5:$A$214,A288,'FC Calculation'!$D$5:$D$214,D288),G288),G288))</f>
        <v>3.53285714285714</v>
      </c>
      <c r="G288" s="34" t="n">
        <f aca="false">IF(COUNTIFS('FC Calculation'!$A$5:$A$214,A288,'FC Calculation'!$D$5:$D$214,D288,'FC Calculation'!$T$5:$T$214,"&gt;0")=0,"",SUMIFS('FC Calculation'!$T$5:$T$214,'FC Calculation'!$A$5:$A$214,A288,'FC Calculation'!$D$5:$D$214,D288))</f>
        <v>4</v>
      </c>
      <c r="H288" s="7" t="str">
        <f aca="false">IF(G288="N/A","N/A",IF(G288="","No data",INDEX(Config!$B$5:$B$9,G288)))</f>
        <v>Medium-High</v>
      </c>
      <c r="I288" s="31" t="n">
        <f aca="false">IF(NOT(ISNUMBER($G288)),"",SUMPRODUCT(('Control Mapping'!$C$5:$C$83=D288)*('Control Mapping'!$U$5:$U$83&gt;0)))</f>
        <v>8</v>
      </c>
      <c r="J288" s="31" t="n">
        <f aca="false">IF(NOT(ISNUMBER($G288)),"",SUMPRODUCT(('Control Mapping'!$C$5:$C$83=D288)*('Control Mapping'!$F$5:$F$83="Y")*('Control Mapping'!$U$5:$U$83&gt;0)))</f>
        <v>5</v>
      </c>
      <c r="K288" s="31" t="n">
        <f aca="false">IF(NOT(ISNUMBER($G288)),"",SUMPRODUCT(('Control Mapping'!$C$5:$C$83=D288)*('Control Mapping'!$F$5:$F$83="Y")*('Control Mapping'!$U$5:$U$83=4)))</f>
        <v>0</v>
      </c>
      <c r="L288" s="29" t="n">
        <f aca="false">IF(NOT(ISNUMBER($G288)),"",IFERROR(SUMPRODUCT(('Control Mapping'!$C$5:$C$83=D288)*'Control Mapping'!$E$5:$E$83*'Control Mapping'!$U$5:$U$83)/SUMPRODUCT(('Control Mapping'!$C$5:$C$83=D288)*'Control Mapping'!$E$5:$E$83*('Control Mapping'!$U$5:$U$83&gt;0)),""))</f>
        <v>2.18181818181818</v>
      </c>
      <c r="M288" s="34" t="n">
        <f aca="false">IF(NOT(ISNUMBER($G288)),"",IF(J288=0,4,MAX(MATCH(L288,'Residual Config'!$E$11:$E$14,1),IF(K288&gt;0,'Residual Config'!$C$7,1))))</f>
        <v>2</v>
      </c>
      <c r="N288" s="7" t="str">
        <f aca="false">IF(NOT(ISNUMBER($G288)),"",IF(J288=0,"Ineffective (no key control)",INDEX('Residual Config'!$B$11:$B$14,M288)))</f>
        <v>Largely effective</v>
      </c>
      <c r="O288" s="36" t="n">
        <f aca="false">IF(NOT(ISNUMBER($G288)),"",IF(J288=0,0,SUMPRODUCT(('Control Mapping'!$C$5:$C$83=D288)*'Control Mapping'!$E$5:$E$83*(('Control Mapping'!$U$5:$U$83=1)*'Residual Config'!$D$11+('Control Mapping'!$U$5:$U$83=2)*'Residual Config'!$D$12+('Control Mapping'!$U$5:$U$83=3)*'Residual Config'!$D$13+('Control Mapping'!$U$5:$U$83=4)*'Residual Config'!$D$14))/SUMPRODUCT(('Control Mapping'!$C$5:$C$83=D288)*'Control Mapping'!$E$5:$E$83*('Control Mapping'!$U$5:$U$83&gt;0))))</f>
        <v>0.363636363636364</v>
      </c>
      <c r="P288" s="31" t="n">
        <f aca="false">IF(NOT(ISNUMBER($G288)),"",INDEX('Residual Config'!$B$19:$E$23,6-G288,M288))</f>
        <v>3</v>
      </c>
      <c r="Q288" s="29" t="n">
        <f aca="false">IF(NOT(ISNUMBER($G288)),"",MAX(1,F288*(1-O288)))</f>
        <v>2.24818181818182</v>
      </c>
      <c r="R288" s="31" t="n">
        <f aca="false">IF(NOT(ISNUMBER($G288)),"",MAX(MATCH(Q288,Config!$D$5:$D$9,1),G288-'Residual Config'!$C$6))</f>
        <v>2</v>
      </c>
      <c r="S288" s="34" t="n">
        <f aca="false">IF(NOT(ISNUMBER($G288)),"",IF('Residual Config'!$C$5="Numeric",R288,P288))</f>
        <v>3</v>
      </c>
      <c r="T288" s="7" t="str">
        <f aca="false">IF(G288="N/A","N/A",IF(S288="","No data",INDEX(Config!$B$5:$B$9,S288)))</f>
        <v>Medium</v>
      </c>
      <c r="U288" s="32" t="n">
        <v>-1</v>
      </c>
      <c r="V288" s="8" t="s">
        <v>3994</v>
      </c>
      <c r="W288" s="33"/>
      <c r="X288" s="34" t="n">
        <f aca="false">IF(S288="","",IF(AND(W288="Y",U288&lt;&gt;0),MAX(1,MIN(5,S288+MAX(-Config!$C$27,MIN(Config!$C$27,U288)))),S288))</f>
        <v>3</v>
      </c>
      <c r="Y288" s="35" t="str">
        <f aca="false">IF(G288="N/A","N/A",IF(X288="","No data",INDEX(Config!$B$5:$B$9,X288)))</f>
        <v>Medium</v>
      </c>
      <c r="Z288" s="7" t="str">
        <f aca="false">IF(U288=0,"None",IF(W288="Y","Applied","Pending HO approval"))</f>
        <v>Pending HO approval</v>
      </c>
      <c r="AA288" s="12" t="str">
        <f aca="false">INDEX('Risk Taxonomy'!$G$5:$G$24,MATCH(D288,'Risk Taxonomy'!$A$5:$A$24,0))</f>
        <v>Zero tolerance</v>
      </c>
      <c r="AB288" s="7" t="str">
        <f aca="false">INDEX('Risk Taxonomy'!$H$5:$H$24,MATCH(D288,'Risk Taxonomy'!$A$5:$A$24,0))</f>
        <v>Low</v>
      </c>
      <c r="AC288" s="35" t="str">
        <f aca="false">IF(NOT(ISNUMBER(X288)),"",IF(X288&lt;=MATCH(AB288,Config!$B$5:$B$9,0),"Within",IF(OR(X288-MATCH(AB288,Config!$B$5:$B$9,0)&gt;=2,AND('Residual Config'!$C$8="Y",ISNUMBER(SEARCH("Zero",AA288)))),"Red","Amber")))</f>
        <v>Red</v>
      </c>
      <c r="AD288" s="12" t="str">
        <f aca="false">IF(AC288="Red","Group CCO / CRO and Country CEO within 2 business days; action plan in 15 days; report to Board Risk &amp; Compliance Committee",IF(AC288="Amber","Country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289" customFormat="false" ht="15" hidden="false" customHeight="false" outlineLevel="0" collapsed="false">
      <c r="A289" s="26" t="str">
        <f aca="false">Entities!$A$19</f>
        <v>IQ</v>
      </c>
      <c r="B289" s="12" t="str">
        <f aca="false">INDEX(Entities!$B$5:$B$34,MATCH(A289,Entities!$A$5:$A$34,0))</f>
        <v>Arab Bank Iraq</v>
      </c>
      <c r="C289" s="12" t="str">
        <f aca="false">INDEX(Entities!$D$5:$D$34,MATCH(A289,Entities!$A$5:$A$34,0))</f>
        <v>Iraq and Yemen</v>
      </c>
      <c r="D289" s="12" t="s">
        <v>275</v>
      </c>
      <c r="E289" s="12" t="str">
        <f aca="false">INDEX('Risk Taxonomy'!$B$5:$B$24,MATCH(D289,'Risk Taxonomy'!$A$5:$A$24,0))</f>
        <v>Bribery and corruption</v>
      </c>
      <c r="F289" s="29" t="n">
        <f aca="false">IF(NOT(ISNUMBER(G289)),"",IFERROR(IF(MATCH(SUMIFS('FC Calculation'!$N$5:$N$214,'FC Calculation'!$A$5:$A$214,A289,'FC Calculation'!$D$5:$D$214,D289),Config!$D$5:$D$9,1)=G289,SUMIFS('FC Calculation'!$N$5:$N$214,'FC Calculation'!$A$5:$A$214,A289,'FC Calculation'!$D$5:$D$214,D289),G289),G289))</f>
        <v>4.05</v>
      </c>
      <c r="G289" s="34" t="n">
        <f aca="false">IF(COUNTIFS('FC Calculation'!$A$5:$A$214,A289,'FC Calculation'!$D$5:$D$214,D289,'FC Calculation'!$T$5:$T$214,"&gt;0")=0,"",SUMIFS('FC Calculation'!$T$5:$T$214,'FC Calculation'!$A$5:$A$214,A289,'FC Calculation'!$D$5:$D$214,D289))</f>
        <v>4</v>
      </c>
      <c r="H289" s="7" t="str">
        <f aca="false">IF(G289="N/A","N/A",IF(G289="","No data",INDEX(Config!$B$5:$B$9,G289)))</f>
        <v>Medium-High</v>
      </c>
      <c r="I289" s="31" t="n">
        <f aca="false">IF(NOT(ISNUMBER($G289)),"",SUMPRODUCT(('Control Mapping'!$C$5:$C$83=D289)*('Control Mapping'!$U$5:$U$83&gt;0)))</f>
        <v>5</v>
      </c>
      <c r="J289" s="31" t="n">
        <f aca="false">IF(NOT(ISNUMBER($G289)),"",SUMPRODUCT(('Control Mapping'!$C$5:$C$83=D289)*('Control Mapping'!$F$5:$F$83="Y")*('Control Mapping'!$U$5:$U$83&gt;0)))</f>
        <v>2</v>
      </c>
      <c r="K289" s="31" t="n">
        <f aca="false">IF(NOT(ISNUMBER($G289)),"",SUMPRODUCT(('Control Mapping'!$C$5:$C$83=D289)*('Control Mapping'!$F$5:$F$83="Y")*('Control Mapping'!$U$5:$U$83=4)))</f>
        <v>0</v>
      </c>
      <c r="L289" s="29" t="n">
        <f aca="false">IF(NOT(ISNUMBER($G289)),"",IFERROR(SUMPRODUCT(('Control Mapping'!$C$5:$C$83=D289)*'Control Mapping'!$E$5:$E$83*'Control Mapping'!$U$5:$U$83)/SUMPRODUCT(('Control Mapping'!$C$5:$C$83=D289)*'Control Mapping'!$E$5:$E$83*('Control Mapping'!$U$5:$U$83&gt;0)),""))</f>
        <v>2.33333333333333</v>
      </c>
      <c r="M289" s="34" t="n">
        <f aca="false">IF(NOT(ISNUMBER($G289)),"",IF(J289=0,4,MAX(MATCH(L289,'Residual Config'!$E$11:$E$14,1),IF(K289&gt;0,'Residual Config'!$C$7,1))))</f>
        <v>2</v>
      </c>
      <c r="N289" s="7" t="str">
        <f aca="false">IF(NOT(ISNUMBER($G289)),"",IF(J289=0,"Ineffective (no key control)",INDEX('Residual Config'!$B$11:$B$14,M289)))</f>
        <v>Largely effective</v>
      </c>
      <c r="O289" s="36" t="n">
        <f aca="false">IF(NOT(ISNUMBER($G289)),"",IF(J289=0,0,SUMPRODUCT(('Control Mapping'!$C$5:$C$83=D289)*'Control Mapping'!$E$5:$E$83*(('Control Mapping'!$U$5:$U$83=1)*'Residual Config'!$D$11+('Control Mapping'!$U$5:$U$83=2)*'Residual Config'!$D$12+('Control Mapping'!$U$5:$U$83=3)*'Residual Config'!$D$13+('Control Mapping'!$U$5:$U$83=4)*'Residual Config'!$D$14))/SUMPRODUCT(('Control Mapping'!$C$5:$C$83=D289)*'Control Mapping'!$E$5:$E$83*('Control Mapping'!$U$5:$U$83&gt;0))))</f>
        <v>0.333333333333333</v>
      </c>
      <c r="P289" s="31" t="n">
        <f aca="false">IF(NOT(ISNUMBER($G289)),"",INDEX('Residual Config'!$B$19:$E$23,6-G289,M289))</f>
        <v>3</v>
      </c>
      <c r="Q289" s="29" t="n">
        <f aca="false">IF(NOT(ISNUMBER($G289)),"",MAX(1,F289*(1-O289)))</f>
        <v>2.7</v>
      </c>
      <c r="R289" s="31" t="n">
        <f aca="false">IF(NOT(ISNUMBER($G289)),"",MAX(MATCH(Q289,Config!$D$5:$D$9,1),G289-'Residual Config'!$C$6))</f>
        <v>3</v>
      </c>
      <c r="S289" s="34" t="n">
        <f aca="false">IF(NOT(ISNUMBER($G289)),"",IF('Residual Config'!$C$5="Numeric",R289,P289))</f>
        <v>3</v>
      </c>
      <c r="T289" s="7" t="str">
        <f aca="false">IF(G289="N/A","N/A",IF(S289="","No data",INDEX(Config!$B$5:$B$9,S289)))</f>
        <v>Medium</v>
      </c>
      <c r="U289" s="32" t="n">
        <v>0</v>
      </c>
      <c r="V289" s="8"/>
      <c r="W289" s="33"/>
      <c r="X289" s="34" t="n">
        <f aca="false">IF(S289="","",IF(AND(W289="Y",U289&lt;&gt;0),MAX(1,MIN(5,S289+MAX(-Config!$C$27,MIN(Config!$C$27,U289)))),S289))</f>
        <v>3</v>
      </c>
      <c r="Y289" s="35" t="str">
        <f aca="false">IF(G289="N/A","N/A",IF(X289="","No data",INDEX(Config!$B$5:$B$9,X289)))</f>
        <v>Medium</v>
      </c>
      <c r="Z289" s="7" t="str">
        <f aca="false">IF(U289=0,"None",IF(W289="Y","Applied","Pending HO approval"))</f>
        <v>None</v>
      </c>
      <c r="AA289" s="12" t="str">
        <f aca="false">INDEX('Risk Taxonomy'!$G$5:$G$24,MATCH(D289,'Risk Taxonomy'!$A$5:$A$24,0))</f>
        <v>Zero tolerance</v>
      </c>
      <c r="AB289" s="7" t="str">
        <f aca="false">INDEX('Risk Taxonomy'!$H$5:$H$24,MATCH(D289,'Risk Taxonomy'!$A$5:$A$24,0))</f>
        <v>Low</v>
      </c>
      <c r="AC289" s="35" t="str">
        <f aca="false">IF(NOT(ISNUMBER(X289)),"",IF(X289&lt;=MATCH(AB289,Config!$B$5:$B$9,0),"Within",IF(OR(X289-MATCH(AB289,Config!$B$5:$B$9,0)&gt;=2,AND('Residual Config'!$C$8="Y",ISNUMBER(SEARCH("Zero",AA289)))),"Red","Amber")))</f>
        <v>Red</v>
      </c>
      <c r="AD289" s="12" t="str">
        <f aca="false">IF(AC289="Red","Group CCO / CRO and Country CEO within 2 business days; action plan in 15 days; report to Board Risk &amp; Compliance Committee",IF(AC289="Amber","Country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290" customFormat="false" ht="15" hidden="false" customHeight="false" outlineLevel="0" collapsed="false">
      <c r="A290" s="26" t="str">
        <f aca="false">Entities!$A$19</f>
        <v>IQ</v>
      </c>
      <c r="B290" s="12" t="str">
        <f aca="false">INDEX(Entities!$B$5:$B$34,MATCH(A290,Entities!$A$5:$A$34,0))</f>
        <v>Arab Bank Iraq</v>
      </c>
      <c r="C290" s="12" t="str">
        <f aca="false">INDEX(Entities!$D$5:$D$34,MATCH(A290,Entities!$A$5:$A$34,0))</f>
        <v>Iraq and Yemen</v>
      </c>
      <c r="D290" s="12" t="s">
        <v>278</v>
      </c>
      <c r="E290" s="12" t="str">
        <f aca="false">INDEX('Risk Taxonomy'!$B$5:$B$24,MATCH(D290,'Risk Taxonomy'!$A$5:$A$24,0))</f>
        <v>Fraud</v>
      </c>
      <c r="F290" s="29" t="n">
        <f aca="false">IF(NOT(ISNUMBER(G290)),"",IFERROR(IF(MATCH(SUMIFS('FC Calculation'!$N$5:$N$214,'FC Calculation'!$A$5:$A$214,A290,'FC Calculation'!$D$5:$D$214,D290),Config!$D$5:$D$9,1)=G290,SUMIFS('FC Calculation'!$N$5:$N$214,'FC Calculation'!$A$5:$A$214,A290,'FC Calculation'!$D$5:$D$214,D290),G290),G290))</f>
        <v>3.96</v>
      </c>
      <c r="G290" s="34" t="n">
        <f aca="false">IF(COUNTIFS('FC Calculation'!$A$5:$A$214,A290,'FC Calculation'!$D$5:$D$214,D290,'FC Calculation'!$T$5:$T$214,"&gt;0")=0,"",SUMIFS('FC Calculation'!$T$5:$T$214,'FC Calculation'!$A$5:$A$214,A290,'FC Calculation'!$D$5:$D$214,D290))</f>
        <v>4</v>
      </c>
      <c r="H290" s="7" t="str">
        <f aca="false">IF(G290="N/A","N/A",IF(G290="","No data",INDEX(Config!$B$5:$B$9,G290)))</f>
        <v>Medium-High</v>
      </c>
      <c r="I290" s="31" t="n">
        <f aca="false">IF(NOT(ISNUMBER($G290)),"",SUMPRODUCT(('Control Mapping'!$C$5:$C$83=D290)*('Control Mapping'!$U$5:$U$83&gt;0)))</f>
        <v>6</v>
      </c>
      <c r="J290" s="31" t="n">
        <f aca="false">IF(NOT(ISNUMBER($G290)),"",SUMPRODUCT(('Control Mapping'!$C$5:$C$83=D290)*('Control Mapping'!$F$5:$F$83="Y")*('Control Mapping'!$U$5:$U$83&gt;0)))</f>
        <v>5</v>
      </c>
      <c r="K290" s="31" t="n">
        <f aca="false">IF(NOT(ISNUMBER($G290)),"",SUMPRODUCT(('Control Mapping'!$C$5:$C$83=D290)*('Control Mapping'!$F$5:$F$83="Y")*('Control Mapping'!$U$5:$U$83=4)))</f>
        <v>1</v>
      </c>
      <c r="L290" s="29" t="n">
        <f aca="false">IF(NOT(ISNUMBER($G290)),"",IFERROR(SUMPRODUCT(('Control Mapping'!$C$5:$C$83=D290)*'Control Mapping'!$E$5:$E$83*'Control Mapping'!$U$5:$U$83)/SUMPRODUCT(('Control Mapping'!$C$5:$C$83=D290)*'Control Mapping'!$E$5:$E$83*('Control Mapping'!$U$5:$U$83&gt;0)),""))</f>
        <v>2.7</v>
      </c>
      <c r="M290" s="34" t="n">
        <f aca="false">IF(NOT(ISNUMBER($G290)),"",IF(J290=0,4,MAX(MATCH(L290,'Residual Config'!$E$11:$E$14,1),IF(K290&gt;0,'Residual Config'!$C$7,1))))</f>
        <v>3</v>
      </c>
      <c r="N290" s="7" t="str">
        <f aca="false">IF(NOT(ISNUMBER($G290)),"",IF(J290=0,"Ineffective (no key control)",INDEX('Residual Config'!$B$11:$B$14,M290)))</f>
        <v>Partially effective</v>
      </c>
      <c r="O290" s="36" t="n">
        <f aca="false">IF(NOT(ISNUMBER($G290)),"",IF(J290=0,0,SUMPRODUCT(('Control Mapping'!$C$5:$C$83=D290)*'Control Mapping'!$E$5:$E$83*(('Control Mapping'!$U$5:$U$83=1)*'Residual Config'!$D$11+('Control Mapping'!$U$5:$U$83=2)*'Residual Config'!$D$12+('Control Mapping'!$U$5:$U$83=3)*'Residual Config'!$D$13+('Control Mapping'!$U$5:$U$83=4)*'Residual Config'!$D$14))/SUMPRODUCT(('Control Mapping'!$C$5:$C$83=D290)*'Control Mapping'!$E$5:$E$83*('Control Mapping'!$U$5:$U$83&gt;0))))</f>
        <v>0.26</v>
      </c>
      <c r="P290" s="31" t="n">
        <f aca="false">IF(NOT(ISNUMBER($G290)),"",INDEX('Residual Config'!$B$19:$E$23,6-G290,M290))</f>
        <v>4</v>
      </c>
      <c r="Q290" s="29" t="n">
        <f aca="false">IF(NOT(ISNUMBER($G290)),"",MAX(1,F290*(1-O290)))</f>
        <v>2.9304</v>
      </c>
      <c r="R290" s="31" t="n">
        <f aca="false">IF(NOT(ISNUMBER($G290)),"",MAX(MATCH(Q290,Config!$D$5:$D$9,1),G290-'Residual Config'!$C$6))</f>
        <v>3</v>
      </c>
      <c r="S290" s="34" t="n">
        <f aca="false">IF(NOT(ISNUMBER($G290)),"",IF('Residual Config'!$C$5="Numeric",R290,P290))</f>
        <v>4</v>
      </c>
      <c r="T290" s="7" t="str">
        <f aca="false">IF(G290="N/A","N/A",IF(S290="","No data",INDEX(Config!$B$5:$B$9,S290)))</f>
        <v>Medium-High</v>
      </c>
      <c r="U290" s="32" t="n">
        <v>0</v>
      </c>
      <c r="V290" s="8"/>
      <c r="W290" s="33"/>
      <c r="X290" s="34" t="n">
        <f aca="false">IF(S290="","",IF(AND(W290="Y",U290&lt;&gt;0),MAX(1,MIN(5,S290+MAX(-Config!$C$27,MIN(Config!$C$27,U290)))),S290))</f>
        <v>4</v>
      </c>
      <c r="Y290" s="35" t="str">
        <f aca="false">IF(G290="N/A","N/A",IF(X290="","No data",INDEX(Config!$B$5:$B$9,X290)))</f>
        <v>Medium-High</v>
      </c>
      <c r="Z290" s="7" t="str">
        <f aca="false">IF(U290=0,"None",IF(W290="Y","Applied","Pending HO approval"))</f>
        <v>None</v>
      </c>
      <c r="AA290" s="12" t="str">
        <f aca="false">INDEX('Risk Taxonomy'!$G$5:$G$24,MATCH(D290,'Risk Taxonomy'!$A$5:$A$24,0))</f>
        <v>Low</v>
      </c>
      <c r="AB290" s="7" t="str">
        <f aca="false">INDEX('Risk Taxonomy'!$H$5:$H$24,MATCH(D290,'Risk Taxonomy'!$A$5:$A$24,0))</f>
        <v>Medium</v>
      </c>
      <c r="AC290" s="35" t="str">
        <f aca="false">IF(NOT(ISNUMBER(X290)),"",IF(X290&lt;=MATCH(AB290,Config!$B$5:$B$9,0),"Within",IF(OR(X290-MATCH(AB290,Config!$B$5:$B$9,0)&gt;=2,AND('Residual Config'!$C$8="Y",ISNUMBER(SEARCH("Zero",AA290)))),"Red","Amber")))</f>
        <v>Amber</v>
      </c>
      <c r="AD290" s="12" t="str">
        <f aca="false">IF(AC290="Red","Group CCO / CRO and Country CEO within 2 business days; action plan in 15 days; report to Board Risk &amp; Compliance Committee",IF(AC290="Amber","Country CO, risk owner and HO Administrator within 5 business days; action plan in 30 days",""))</f>
        <v>Country CO, risk owner and HO Administrator within 5 business days; action plan in 30 days</v>
      </c>
    </row>
    <row r="291" customFormat="false" ht="15" hidden="false" customHeight="false" outlineLevel="0" collapsed="false">
      <c r="A291" s="26" t="str">
        <f aca="false">Entities!$A$19</f>
        <v>IQ</v>
      </c>
      <c r="B291" s="12" t="str">
        <f aca="false">INDEX(Entities!$B$5:$B$34,MATCH(A291,Entities!$A$5:$A$34,0))</f>
        <v>Arab Bank Iraq</v>
      </c>
      <c r="C291" s="12" t="str">
        <f aca="false">INDEX(Entities!$D$5:$D$34,MATCH(A291,Entities!$A$5:$A$34,0))</f>
        <v>Iraq and Yemen</v>
      </c>
      <c r="D291" s="12" t="s">
        <v>281</v>
      </c>
      <c r="E291" s="12" t="str">
        <f aca="false">INDEX('Risk Taxonomy'!$B$5:$B$24,MATCH(D291,'Risk Taxonomy'!$A$5:$A$24,0))</f>
        <v>Tax evasion and tax transparency</v>
      </c>
      <c r="F291" s="29" t="n">
        <f aca="false">IF(NOT(ISNUMBER(G291)),"",IFERROR(IF(MATCH(SUMIFS('FC Calculation'!$N$5:$N$214,'FC Calculation'!$A$5:$A$214,A291,'FC Calculation'!$D$5:$D$214,D291),Config!$D$5:$D$9,1)=G291,SUMIFS('FC Calculation'!$N$5:$N$214,'FC Calculation'!$A$5:$A$214,A291,'FC Calculation'!$D$5:$D$214,D291),G291),G291))</f>
        <v>3.73166666666667</v>
      </c>
      <c r="G291" s="34" t="n">
        <f aca="false">IF(COUNTIFS('FC Calculation'!$A$5:$A$214,A291,'FC Calculation'!$D$5:$D$214,D291,'FC Calculation'!$T$5:$T$214,"&gt;0")=0,"",SUMIFS('FC Calculation'!$T$5:$T$214,'FC Calculation'!$A$5:$A$214,A291,'FC Calculation'!$D$5:$D$214,D291))</f>
        <v>4</v>
      </c>
      <c r="H291" s="7" t="str">
        <f aca="false">IF(G291="N/A","N/A",IF(G291="","No data",INDEX(Config!$B$5:$B$9,G291)))</f>
        <v>Medium-High</v>
      </c>
      <c r="I291" s="31" t="n">
        <f aca="false">IF(NOT(ISNUMBER($G291)),"",SUMPRODUCT(('Control Mapping'!$C$5:$C$83=D291)*('Control Mapping'!$U$5:$U$83&gt;0)))</f>
        <v>5</v>
      </c>
      <c r="J291" s="31" t="n">
        <f aca="false">IF(NOT(ISNUMBER($G291)),"",SUMPRODUCT(('Control Mapping'!$C$5:$C$83=D291)*('Control Mapping'!$F$5:$F$83="Y")*('Control Mapping'!$U$5:$U$83&gt;0)))</f>
        <v>4</v>
      </c>
      <c r="K291" s="31" t="n">
        <f aca="false">IF(NOT(ISNUMBER($G291)),"",SUMPRODUCT(('Control Mapping'!$C$5:$C$83=D291)*('Control Mapping'!$F$5:$F$83="Y")*('Control Mapping'!$U$5:$U$83=4)))</f>
        <v>0</v>
      </c>
      <c r="L291" s="29" t="n">
        <f aca="false">IF(NOT(ISNUMBER($G291)),"",IFERROR(SUMPRODUCT(('Control Mapping'!$C$5:$C$83=D291)*'Control Mapping'!$E$5:$E$83*'Control Mapping'!$U$5:$U$83)/SUMPRODUCT(('Control Mapping'!$C$5:$C$83=D291)*'Control Mapping'!$E$5:$E$83*('Control Mapping'!$U$5:$U$83&gt;0)),""))</f>
        <v>2.66666666666667</v>
      </c>
      <c r="M291" s="34" t="n">
        <f aca="false">IF(NOT(ISNUMBER($G291)),"",IF(J291=0,4,MAX(MATCH(L291,'Residual Config'!$E$11:$E$14,1),IF(K291&gt;0,'Residual Config'!$C$7,1))))</f>
        <v>3</v>
      </c>
      <c r="N291" s="7" t="str">
        <f aca="false">IF(NOT(ISNUMBER($G291)),"",IF(J291=0,"Ineffective (no key control)",INDEX('Residual Config'!$B$11:$B$14,M291)))</f>
        <v>Partially effective</v>
      </c>
      <c r="O291" s="36" t="n">
        <f aca="false">IF(NOT(ISNUMBER($G291)),"",IF(J291=0,0,SUMPRODUCT(('Control Mapping'!$C$5:$C$83=D291)*'Control Mapping'!$E$5:$E$83*(('Control Mapping'!$U$5:$U$83=1)*'Residual Config'!$D$11+('Control Mapping'!$U$5:$U$83=2)*'Residual Config'!$D$12+('Control Mapping'!$U$5:$U$83=3)*'Residual Config'!$D$13+('Control Mapping'!$U$5:$U$83=4)*'Residual Config'!$D$14))/SUMPRODUCT(('Control Mapping'!$C$5:$C$83=D291)*'Control Mapping'!$E$5:$E$83*('Control Mapping'!$U$5:$U$83&gt;0))))</f>
        <v>0.266666666666667</v>
      </c>
      <c r="P291" s="31" t="n">
        <f aca="false">IF(NOT(ISNUMBER($G291)),"",INDEX('Residual Config'!$B$19:$E$23,6-G291,M291))</f>
        <v>4</v>
      </c>
      <c r="Q291" s="29" t="n">
        <f aca="false">IF(NOT(ISNUMBER($G291)),"",MAX(1,F291*(1-O291)))</f>
        <v>2.73655555555556</v>
      </c>
      <c r="R291" s="31" t="n">
        <f aca="false">IF(NOT(ISNUMBER($G291)),"",MAX(MATCH(Q291,Config!$D$5:$D$9,1),G291-'Residual Config'!$C$6))</f>
        <v>3</v>
      </c>
      <c r="S291" s="34" t="n">
        <f aca="false">IF(NOT(ISNUMBER($G291)),"",IF('Residual Config'!$C$5="Numeric",R291,P291))</f>
        <v>4</v>
      </c>
      <c r="T291" s="7" t="str">
        <f aca="false">IF(G291="N/A","N/A",IF(S291="","No data",INDEX(Config!$B$5:$B$9,S291)))</f>
        <v>Medium-High</v>
      </c>
      <c r="U291" s="32" t="n">
        <v>0</v>
      </c>
      <c r="V291" s="8"/>
      <c r="W291" s="33"/>
      <c r="X291" s="34" t="n">
        <f aca="false">IF(S291="","",IF(AND(W291="Y",U291&lt;&gt;0),MAX(1,MIN(5,S291+MAX(-Config!$C$27,MIN(Config!$C$27,U291)))),S291))</f>
        <v>4</v>
      </c>
      <c r="Y291" s="35" t="str">
        <f aca="false">IF(G291="N/A","N/A",IF(X291="","No data",INDEX(Config!$B$5:$B$9,X291)))</f>
        <v>Medium-High</v>
      </c>
      <c r="Z291" s="7" t="str">
        <f aca="false">IF(U291=0,"None",IF(W291="Y","Applied","Pending HO approval"))</f>
        <v>None</v>
      </c>
      <c r="AA291" s="12" t="str">
        <f aca="false">INDEX('Risk Taxonomy'!$G$5:$G$24,MATCH(D291,'Risk Taxonomy'!$A$5:$A$24,0))</f>
        <v>Zero tolerance (facilitation)</v>
      </c>
      <c r="AB291" s="7" t="str">
        <f aca="false">INDEX('Risk Taxonomy'!$H$5:$H$24,MATCH(D291,'Risk Taxonomy'!$A$5:$A$24,0))</f>
        <v>Low</v>
      </c>
      <c r="AC291" s="35" t="str">
        <f aca="false">IF(NOT(ISNUMBER(X291)),"",IF(X291&lt;=MATCH(AB291,Config!$B$5:$B$9,0),"Within",IF(OR(X291-MATCH(AB291,Config!$B$5:$B$9,0)&gt;=2,AND('Residual Config'!$C$8="Y",ISNUMBER(SEARCH("Zero",AA291)))),"Red","Amber")))</f>
        <v>Red</v>
      </c>
      <c r="AD291" s="12" t="str">
        <f aca="false">IF(AC291="Red","Group CCO / CRO and Country CEO within 2 business days; action plan in 15 days; report to Board Risk &amp; Compliance Committee",IF(AC291="Amber","Country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292" customFormat="false" ht="15" hidden="false" customHeight="false" outlineLevel="0" collapsed="false">
      <c r="A292" s="26" t="str">
        <f aca="false">Entities!$A$19</f>
        <v>IQ</v>
      </c>
      <c r="B292" s="12" t="str">
        <f aca="false">INDEX(Entities!$B$5:$B$34,MATCH(A292,Entities!$A$5:$A$34,0))</f>
        <v>Arab Bank Iraq</v>
      </c>
      <c r="C292" s="12" t="str">
        <f aca="false">INDEX(Entities!$D$5:$D$34,MATCH(A292,Entities!$A$5:$A$34,0))</f>
        <v>Iraq and Yemen</v>
      </c>
      <c r="D292" s="12" t="s">
        <v>284</v>
      </c>
      <c r="E292" s="12" t="str">
        <f aca="false">INDEX('Risk Taxonomy'!$B$5:$B$24,MATCH(D292,'Risk Taxonomy'!$A$5:$A$24,0))</f>
        <v>Regulatory compliance</v>
      </c>
      <c r="F292" s="29" t="n">
        <f aca="false">IF(NOT(ISNUMBER(G292)),"",G292)</f>
        <v>5</v>
      </c>
      <c r="G292" s="34" t="n">
        <f aca="false">IF(COUNTIFS('LxI Assessment'!$A$5:$A$394,A292,'LxI Assessment'!$D$5:$D$394,D292,'LxI Assessment'!$F$5:$F$394,"N/A")&gt;0,"N/A",IF(COUNTIFS('LxI Assessment'!$A$5:$A$394,A292,'LxI Assessment'!$D$5:$D$394,D292,'LxI Assessment'!$S$5:$S$394,"&gt;0")=0,"",SUMIFS('LxI Assessment'!$S$5:$S$394,'LxI Assessment'!$A$5:$A$394,A292,'LxI Assessment'!$D$5:$D$394,D292)))</f>
        <v>5</v>
      </c>
      <c r="H292" s="7" t="str">
        <f aca="false">IF(G292="N/A","N/A",IF(G292="","No data",INDEX(Config!$B$5:$B$9,G292)))</f>
        <v>High</v>
      </c>
      <c r="I292" s="31" t="n">
        <f aca="false">IF(NOT(ISNUMBER($G292)),"",SUMPRODUCT(('Control Mapping'!$C$5:$C$83=D292)*('Control Mapping'!$U$5:$U$83&gt;0)))</f>
        <v>4</v>
      </c>
      <c r="J292" s="31" t="n">
        <f aca="false">IF(NOT(ISNUMBER($G292)),"",SUMPRODUCT(('Control Mapping'!$C$5:$C$83=D292)*('Control Mapping'!$F$5:$F$83="Y")*('Control Mapping'!$U$5:$U$83&gt;0)))</f>
        <v>3</v>
      </c>
      <c r="K292" s="31" t="n">
        <f aca="false">IF(NOT(ISNUMBER($G292)),"",SUMPRODUCT(('Control Mapping'!$C$5:$C$83=D292)*('Control Mapping'!$F$5:$F$83="Y")*('Control Mapping'!$U$5:$U$83=4)))</f>
        <v>0</v>
      </c>
      <c r="L292" s="29" t="n">
        <f aca="false">IF(NOT(ISNUMBER($G292)),"",IFERROR(SUMPRODUCT(('Control Mapping'!$C$5:$C$83=D292)*'Control Mapping'!$E$5:$E$83*'Control Mapping'!$U$5:$U$83)/SUMPRODUCT(('Control Mapping'!$C$5:$C$83=D292)*'Control Mapping'!$E$5:$E$83*('Control Mapping'!$U$5:$U$83&gt;0)),""))</f>
        <v>2.42857142857143</v>
      </c>
      <c r="M292" s="34" t="n">
        <f aca="false">IF(NOT(ISNUMBER($G292)),"",IF(J292=0,4,MAX(MATCH(L292,'Residual Config'!$E$11:$E$14,1),IF(K292&gt;0,'Residual Config'!$C$7,1))))</f>
        <v>2</v>
      </c>
      <c r="N292" s="7" t="str">
        <f aca="false">IF(NOT(ISNUMBER($G292)),"",IF(J292=0,"Ineffective (no key control)",INDEX('Residual Config'!$B$11:$B$14,M292)))</f>
        <v>Largely effective</v>
      </c>
      <c r="O292" s="36" t="n">
        <f aca="false">IF(NOT(ISNUMBER($G292)),"",IF(J292=0,0,SUMPRODUCT(('Control Mapping'!$C$5:$C$83=D292)*'Control Mapping'!$E$5:$E$83*(('Control Mapping'!$U$5:$U$83=1)*'Residual Config'!$D$11+('Control Mapping'!$U$5:$U$83=2)*'Residual Config'!$D$12+('Control Mapping'!$U$5:$U$83=3)*'Residual Config'!$D$13+('Control Mapping'!$U$5:$U$83=4)*'Residual Config'!$D$14))/SUMPRODUCT(('Control Mapping'!$C$5:$C$83=D292)*'Control Mapping'!$E$5:$E$83*('Control Mapping'!$U$5:$U$83&gt;0))))</f>
        <v>0.314285714285714</v>
      </c>
      <c r="P292" s="31" t="n">
        <f aca="false">IF(NOT(ISNUMBER($G292)),"",INDEX('Residual Config'!$B$19:$E$23,6-G292,M292))</f>
        <v>4</v>
      </c>
      <c r="Q292" s="29" t="n">
        <f aca="false">IF(NOT(ISNUMBER($G292)),"",MAX(1,F292*(1-O292)))</f>
        <v>3.42857142857143</v>
      </c>
      <c r="R292" s="31" t="n">
        <f aca="false">IF(NOT(ISNUMBER($G292)),"",MAX(MATCH(Q292,Config!$D$5:$D$9,1),G292-'Residual Config'!$C$6))</f>
        <v>4</v>
      </c>
      <c r="S292" s="34" t="n">
        <f aca="false">IF(NOT(ISNUMBER($G292)),"",IF('Residual Config'!$C$5="Numeric",R292,P292))</f>
        <v>4</v>
      </c>
      <c r="T292" s="7" t="str">
        <f aca="false">IF(G292="N/A","N/A",IF(S292="","No data",INDEX(Config!$B$5:$B$9,S292)))</f>
        <v>Medium-High</v>
      </c>
      <c r="U292" s="32" t="n">
        <v>0</v>
      </c>
      <c r="V292" s="8"/>
      <c r="W292" s="33"/>
      <c r="X292" s="34" t="n">
        <f aca="false">IF(S292="","",IF(AND(W292="Y",U292&lt;&gt;0),MAX(1,MIN(5,S292+MAX(-Config!$C$27,MIN(Config!$C$27,U292)))),S292))</f>
        <v>4</v>
      </c>
      <c r="Y292" s="35" t="str">
        <f aca="false">IF(G292="N/A","N/A",IF(X292="","No data",INDEX(Config!$B$5:$B$9,X292)))</f>
        <v>Medium-High</v>
      </c>
      <c r="Z292" s="7" t="str">
        <f aca="false">IF(U292=0,"None",IF(W292="Y","Applied","Pending HO approval"))</f>
        <v>None</v>
      </c>
      <c r="AA292" s="12" t="str">
        <f aca="false">INDEX('Risk Taxonomy'!$G$5:$G$24,MATCH(D292,'Risk Taxonomy'!$A$5:$A$24,0))</f>
        <v>Very low</v>
      </c>
      <c r="AB292" s="7" t="str">
        <f aca="false">INDEX('Risk Taxonomy'!$H$5:$H$24,MATCH(D292,'Risk Taxonomy'!$A$5:$A$24,0))</f>
        <v>Medium-Low</v>
      </c>
      <c r="AC292" s="35" t="str">
        <f aca="false">IF(NOT(ISNUMBER(X292)),"",IF(X292&lt;=MATCH(AB292,Config!$B$5:$B$9,0),"Within",IF(OR(X292-MATCH(AB292,Config!$B$5:$B$9,0)&gt;=2,AND('Residual Config'!$C$8="Y",ISNUMBER(SEARCH("Zero",AA292)))),"Red","Amber")))</f>
        <v>Red</v>
      </c>
      <c r="AD292" s="12" t="str">
        <f aca="false">IF(AC292="Red","Group CCO / CRO and Country CEO within 2 business days; action plan in 15 days; report to Board Risk &amp; Compliance Committee",IF(AC292="Amber","Country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293" customFormat="false" ht="15" hidden="false" customHeight="false" outlineLevel="0" collapsed="false">
      <c r="A293" s="26" t="str">
        <f aca="false">Entities!$A$19</f>
        <v>IQ</v>
      </c>
      <c r="B293" s="12" t="str">
        <f aca="false">INDEX(Entities!$B$5:$B$34,MATCH(A293,Entities!$A$5:$A$34,0))</f>
        <v>Arab Bank Iraq</v>
      </c>
      <c r="C293" s="12" t="str">
        <f aca="false">INDEX(Entities!$D$5:$D$34,MATCH(A293,Entities!$A$5:$A$34,0))</f>
        <v>Iraq and Yemen</v>
      </c>
      <c r="D293" s="12" t="s">
        <v>288</v>
      </c>
      <c r="E293" s="12" t="str">
        <f aca="false">INDEX('Risk Taxonomy'!$B$5:$B$24,MATCH(D293,'Risk Taxonomy'!$A$5:$A$24,0))</f>
        <v>Conduct and consumer protection</v>
      </c>
      <c r="F293" s="29" t="n">
        <f aca="false">IF(NOT(ISNUMBER(G293)),"",G293)</f>
        <v>3</v>
      </c>
      <c r="G293" s="34" t="n">
        <f aca="false">IF(COUNTIFS('LxI Assessment'!$A$5:$A$394,A293,'LxI Assessment'!$D$5:$D$394,D293,'LxI Assessment'!$F$5:$F$394,"N/A")&gt;0,"N/A",IF(COUNTIFS('LxI Assessment'!$A$5:$A$394,A293,'LxI Assessment'!$D$5:$D$394,D293,'LxI Assessment'!$S$5:$S$394,"&gt;0")=0,"",SUMIFS('LxI Assessment'!$S$5:$S$394,'LxI Assessment'!$A$5:$A$394,A293,'LxI Assessment'!$D$5:$D$394,D293)))</f>
        <v>3</v>
      </c>
      <c r="H293" s="7" t="str">
        <f aca="false">IF(G293="N/A","N/A",IF(G293="","No data",INDEX(Config!$B$5:$B$9,G293)))</f>
        <v>Medium</v>
      </c>
      <c r="I293" s="31" t="n">
        <f aca="false">IF(NOT(ISNUMBER($G293)),"",SUMPRODUCT(('Control Mapping'!$C$5:$C$83=D293)*('Control Mapping'!$U$5:$U$83&gt;0)))</f>
        <v>2</v>
      </c>
      <c r="J293" s="31" t="n">
        <f aca="false">IF(NOT(ISNUMBER($G293)),"",SUMPRODUCT(('Control Mapping'!$C$5:$C$83=D293)*('Control Mapping'!$F$5:$F$83="Y")*('Control Mapping'!$U$5:$U$83&gt;0)))</f>
        <v>1</v>
      </c>
      <c r="K293" s="31" t="n">
        <f aca="false">IF(NOT(ISNUMBER($G293)),"",SUMPRODUCT(('Control Mapping'!$C$5:$C$83=D293)*('Control Mapping'!$F$5:$F$83="Y")*('Control Mapping'!$U$5:$U$83=4)))</f>
        <v>0</v>
      </c>
      <c r="L293" s="29" t="n">
        <f aca="false">IF(NOT(ISNUMBER($G293)),"",IFERROR(SUMPRODUCT(('Control Mapping'!$C$5:$C$83=D293)*'Control Mapping'!$E$5:$E$83*'Control Mapping'!$U$5:$U$83)/SUMPRODUCT(('Control Mapping'!$C$5:$C$83=D293)*'Control Mapping'!$E$5:$E$83*('Control Mapping'!$U$5:$U$83&gt;0)),""))</f>
        <v>2.4</v>
      </c>
      <c r="M293" s="34" t="n">
        <f aca="false">IF(NOT(ISNUMBER($G293)),"",IF(J293=0,4,MAX(MATCH(L293,'Residual Config'!$E$11:$E$14,1),IF(K293&gt;0,'Residual Config'!$C$7,1))))</f>
        <v>2</v>
      </c>
      <c r="N293" s="7" t="str">
        <f aca="false">IF(NOT(ISNUMBER($G293)),"",IF(J293=0,"Ineffective (no key control)",INDEX('Residual Config'!$B$11:$B$14,M293)))</f>
        <v>Largely effective</v>
      </c>
      <c r="O293" s="36" t="n">
        <f aca="false">IF(NOT(ISNUMBER($G293)),"",IF(J293=0,0,SUMPRODUCT(('Control Mapping'!$C$5:$C$83=D293)*'Control Mapping'!$E$5:$E$83*(('Control Mapping'!$U$5:$U$83=1)*'Residual Config'!$D$11+('Control Mapping'!$U$5:$U$83=2)*'Residual Config'!$D$12+('Control Mapping'!$U$5:$U$83=3)*'Residual Config'!$D$13+('Control Mapping'!$U$5:$U$83=4)*'Residual Config'!$D$14))/SUMPRODUCT(('Control Mapping'!$C$5:$C$83=D293)*'Control Mapping'!$E$5:$E$83*('Control Mapping'!$U$5:$U$83&gt;0))))</f>
        <v>0.32</v>
      </c>
      <c r="P293" s="31" t="n">
        <f aca="false">IF(NOT(ISNUMBER($G293)),"",INDEX('Residual Config'!$B$19:$E$23,6-G293,M293))</f>
        <v>2</v>
      </c>
      <c r="Q293" s="29" t="n">
        <f aca="false">IF(NOT(ISNUMBER($G293)),"",MAX(1,F293*(1-O293)))</f>
        <v>2.04</v>
      </c>
      <c r="R293" s="31" t="n">
        <f aca="false">IF(NOT(ISNUMBER($G293)),"",MAX(MATCH(Q293,Config!$D$5:$D$9,1),G293-'Residual Config'!$C$6))</f>
        <v>2</v>
      </c>
      <c r="S293" s="34" t="n">
        <f aca="false">IF(NOT(ISNUMBER($G293)),"",IF('Residual Config'!$C$5="Numeric",R293,P293))</f>
        <v>2</v>
      </c>
      <c r="T293" s="7" t="str">
        <f aca="false">IF(G293="N/A","N/A",IF(S293="","No data",INDEX(Config!$B$5:$B$9,S293)))</f>
        <v>Medium-Low</v>
      </c>
      <c r="U293" s="32" t="n">
        <v>0</v>
      </c>
      <c r="V293" s="8"/>
      <c r="W293" s="33"/>
      <c r="X293" s="34" t="n">
        <f aca="false">IF(S293="","",IF(AND(W293="Y",U293&lt;&gt;0),MAX(1,MIN(5,S293+MAX(-Config!$C$27,MIN(Config!$C$27,U293)))),S293))</f>
        <v>2</v>
      </c>
      <c r="Y293" s="35" t="str">
        <f aca="false">IF(G293="N/A","N/A",IF(X293="","No data",INDEX(Config!$B$5:$B$9,X293)))</f>
        <v>Medium-Low</v>
      </c>
      <c r="Z293" s="7" t="str">
        <f aca="false">IF(U293=0,"None",IF(W293="Y","Applied","Pending HO approval"))</f>
        <v>None</v>
      </c>
      <c r="AA293" s="12" t="str">
        <f aca="false">INDEX('Risk Taxonomy'!$G$5:$G$24,MATCH(D293,'Risk Taxonomy'!$A$5:$A$24,0))</f>
        <v>Low</v>
      </c>
      <c r="AB293" s="7" t="str">
        <f aca="false">INDEX('Risk Taxonomy'!$H$5:$H$24,MATCH(D293,'Risk Taxonomy'!$A$5:$A$24,0))</f>
        <v>Medium</v>
      </c>
      <c r="AC293" s="35" t="str">
        <f aca="false">IF(NOT(ISNUMBER(X293)),"",IF(X293&lt;=MATCH(AB293,Config!$B$5:$B$9,0),"Within",IF(OR(X293-MATCH(AB293,Config!$B$5:$B$9,0)&gt;=2,AND('Residual Config'!$C$8="Y",ISNUMBER(SEARCH("Zero",AA293)))),"Red","Amber")))</f>
        <v>Within</v>
      </c>
      <c r="AD293" s="12" t="str">
        <f aca="false">IF(AC293="Red","Group CCO / CRO and Country CEO within 2 business days; action plan in 15 days; report to Board Risk &amp; Compliance Committee",IF(AC293="Amber","Country CO, risk owner and HO Administrator within 5 business days; action plan in 30 days",""))</f>
        <v/>
      </c>
    </row>
    <row r="294" customFormat="false" ht="15" hidden="false" customHeight="false" outlineLevel="0" collapsed="false">
      <c r="A294" s="26" t="str">
        <f aca="false">Entities!$A$19</f>
        <v>IQ</v>
      </c>
      <c r="B294" s="12" t="str">
        <f aca="false">INDEX(Entities!$B$5:$B$34,MATCH(A294,Entities!$A$5:$A$34,0))</f>
        <v>Arab Bank Iraq</v>
      </c>
      <c r="C294" s="12" t="str">
        <f aca="false">INDEX(Entities!$D$5:$D$34,MATCH(A294,Entities!$A$5:$A$34,0))</f>
        <v>Iraq and Yemen</v>
      </c>
      <c r="D294" s="12" t="s">
        <v>290</v>
      </c>
      <c r="E294" s="12" t="str">
        <f aca="false">INDEX('Risk Taxonomy'!$B$5:$B$24,MATCH(D294,'Risk Taxonomy'!$A$5:$A$24,0))</f>
        <v>Data protection and privacy</v>
      </c>
      <c r="F294" s="29" t="n">
        <f aca="false">IF(NOT(ISNUMBER(G294)),"",G294)</f>
        <v>5</v>
      </c>
      <c r="G294" s="34" t="n">
        <f aca="false">IF(COUNTIFS('LxI Assessment'!$A$5:$A$394,A294,'LxI Assessment'!$D$5:$D$394,D294,'LxI Assessment'!$F$5:$F$394,"N/A")&gt;0,"N/A",IF(COUNTIFS('LxI Assessment'!$A$5:$A$394,A294,'LxI Assessment'!$D$5:$D$394,D294,'LxI Assessment'!$S$5:$S$394,"&gt;0")=0,"",SUMIFS('LxI Assessment'!$S$5:$S$394,'LxI Assessment'!$A$5:$A$394,A294,'LxI Assessment'!$D$5:$D$394,D294)))</f>
        <v>5</v>
      </c>
      <c r="H294" s="7" t="str">
        <f aca="false">IF(G294="N/A","N/A",IF(G294="","No data",INDEX(Config!$B$5:$B$9,G294)))</f>
        <v>High</v>
      </c>
      <c r="I294" s="31" t="n">
        <f aca="false">IF(NOT(ISNUMBER($G294)),"",SUMPRODUCT(('Control Mapping'!$C$5:$C$83=D294)*('Control Mapping'!$U$5:$U$83&gt;0)))</f>
        <v>2</v>
      </c>
      <c r="J294" s="31" t="n">
        <f aca="false">IF(NOT(ISNUMBER($G294)),"",SUMPRODUCT(('Control Mapping'!$C$5:$C$83=D294)*('Control Mapping'!$F$5:$F$83="Y")*('Control Mapping'!$U$5:$U$83&gt;0)))</f>
        <v>2</v>
      </c>
      <c r="K294" s="31" t="n">
        <f aca="false">IF(NOT(ISNUMBER($G294)),"",SUMPRODUCT(('Control Mapping'!$C$5:$C$83=D294)*('Control Mapping'!$F$5:$F$83="Y")*('Control Mapping'!$U$5:$U$83=4)))</f>
        <v>0</v>
      </c>
      <c r="L294" s="29" t="n">
        <f aca="false">IF(NOT(ISNUMBER($G294)),"",IFERROR(SUMPRODUCT(('Control Mapping'!$C$5:$C$83=D294)*'Control Mapping'!$E$5:$E$83*'Control Mapping'!$U$5:$U$83)/SUMPRODUCT(('Control Mapping'!$C$5:$C$83=D294)*'Control Mapping'!$E$5:$E$83*('Control Mapping'!$U$5:$U$83&gt;0)),""))</f>
        <v>3</v>
      </c>
      <c r="M294" s="34" t="n">
        <f aca="false">IF(NOT(ISNUMBER($G294)),"",IF(J294=0,4,MAX(MATCH(L294,'Residual Config'!$E$11:$E$14,1),IF(K294&gt;0,'Residual Config'!$C$7,1))))</f>
        <v>3</v>
      </c>
      <c r="N294" s="7" t="str">
        <f aca="false">IF(NOT(ISNUMBER($G294)),"",IF(J294=0,"Ineffective (no key control)",INDEX('Residual Config'!$B$11:$B$14,M294)))</f>
        <v>Partially effective</v>
      </c>
      <c r="O294" s="36" t="n">
        <f aca="false">IF(NOT(ISNUMBER($G294)),"",IF(J294=0,0,SUMPRODUCT(('Control Mapping'!$C$5:$C$83=D294)*'Control Mapping'!$E$5:$E$83*(('Control Mapping'!$U$5:$U$83=1)*'Residual Config'!$D$11+('Control Mapping'!$U$5:$U$83=2)*'Residual Config'!$D$12+('Control Mapping'!$U$5:$U$83=3)*'Residual Config'!$D$13+('Control Mapping'!$U$5:$U$83=4)*'Residual Config'!$D$14))/SUMPRODUCT(('Control Mapping'!$C$5:$C$83=D294)*'Control Mapping'!$E$5:$E$83*('Control Mapping'!$U$5:$U$83&gt;0))))</f>
        <v>0.2</v>
      </c>
      <c r="P294" s="31" t="n">
        <f aca="false">IF(NOT(ISNUMBER($G294)),"",INDEX('Residual Config'!$B$19:$E$23,6-G294,M294))</f>
        <v>5</v>
      </c>
      <c r="Q294" s="29" t="n">
        <f aca="false">IF(NOT(ISNUMBER($G294)),"",MAX(1,F294*(1-O294)))</f>
        <v>4</v>
      </c>
      <c r="R294" s="31" t="n">
        <f aca="false">IF(NOT(ISNUMBER($G294)),"",MAX(MATCH(Q294,Config!$D$5:$D$9,1),G294-'Residual Config'!$C$6))</f>
        <v>4</v>
      </c>
      <c r="S294" s="34" t="n">
        <f aca="false">IF(NOT(ISNUMBER($G294)),"",IF('Residual Config'!$C$5="Numeric",R294,P294))</f>
        <v>5</v>
      </c>
      <c r="T294" s="7" t="str">
        <f aca="false">IF(G294="N/A","N/A",IF(S294="","No data",INDEX(Config!$B$5:$B$9,S294)))</f>
        <v>High</v>
      </c>
      <c r="U294" s="32" t="n">
        <v>0</v>
      </c>
      <c r="V294" s="8"/>
      <c r="W294" s="33"/>
      <c r="X294" s="34" t="n">
        <f aca="false">IF(S294="","",IF(AND(W294="Y",U294&lt;&gt;0),MAX(1,MIN(5,S294+MAX(-Config!$C$27,MIN(Config!$C$27,U294)))),S294))</f>
        <v>5</v>
      </c>
      <c r="Y294" s="35" t="str">
        <f aca="false">IF(G294="N/A","N/A",IF(X294="","No data",INDEX(Config!$B$5:$B$9,X294)))</f>
        <v>High</v>
      </c>
      <c r="Z294" s="7" t="str">
        <f aca="false">IF(U294=0,"None",IF(W294="Y","Applied","Pending HO approval"))</f>
        <v>None</v>
      </c>
      <c r="AA294" s="12" t="str">
        <f aca="false">INDEX('Risk Taxonomy'!$G$5:$G$24,MATCH(D294,'Risk Taxonomy'!$A$5:$A$24,0))</f>
        <v>Very low</v>
      </c>
      <c r="AB294" s="7" t="str">
        <f aca="false">INDEX('Risk Taxonomy'!$H$5:$H$24,MATCH(D294,'Risk Taxonomy'!$A$5:$A$24,0))</f>
        <v>Medium-Low</v>
      </c>
      <c r="AC294" s="35" t="str">
        <f aca="false">IF(NOT(ISNUMBER(X294)),"",IF(X294&lt;=MATCH(AB294,Config!$B$5:$B$9,0),"Within",IF(OR(X294-MATCH(AB294,Config!$B$5:$B$9,0)&gt;=2,AND('Residual Config'!$C$8="Y",ISNUMBER(SEARCH("Zero",AA294)))),"Red","Amber")))</f>
        <v>Red</v>
      </c>
      <c r="AD294" s="12" t="str">
        <f aca="false">IF(AC294="Red","Group CCO / CRO and Country CEO within 2 business days; action plan in 15 days; report to Board Risk &amp; Compliance Committee",IF(AC294="Amber","Country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295" customFormat="false" ht="15" hidden="false" customHeight="false" outlineLevel="0" collapsed="false">
      <c r="A295" s="26" t="str">
        <f aca="false">Entities!$A$19</f>
        <v>IQ</v>
      </c>
      <c r="B295" s="12" t="str">
        <f aca="false">INDEX(Entities!$B$5:$B$34,MATCH(A295,Entities!$A$5:$A$34,0))</f>
        <v>Arab Bank Iraq</v>
      </c>
      <c r="C295" s="12" t="str">
        <f aca="false">INDEX(Entities!$D$5:$D$34,MATCH(A295,Entities!$A$5:$A$34,0))</f>
        <v>Iraq and Yemen</v>
      </c>
      <c r="D295" s="12" t="s">
        <v>293</v>
      </c>
      <c r="E295" s="12" t="str">
        <f aca="false">INDEX('Risk Taxonomy'!$B$5:$B$24,MATCH(D295,'Risk Taxonomy'!$A$5:$A$24,0))</f>
        <v>Shariah non-compliance</v>
      </c>
      <c r="F295" s="29" t="str">
        <f aca="false">IF(NOT(ISNUMBER(G295)),"",G295)</f>
        <v/>
      </c>
      <c r="G295" s="34" t="str">
        <f aca="false">IF(COUNTIFS('LxI Assessment'!$A$5:$A$394,A295,'LxI Assessment'!$D$5:$D$394,D295,'LxI Assessment'!$F$5:$F$394,"N/A")&gt;0,"N/A",IF(COUNTIFS('LxI Assessment'!$A$5:$A$394,A295,'LxI Assessment'!$D$5:$D$394,D295,'LxI Assessment'!$S$5:$S$394,"&gt;0")=0,"",SUMIFS('LxI Assessment'!$S$5:$S$394,'LxI Assessment'!$A$5:$A$394,A295,'LxI Assessment'!$D$5:$D$394,D295)))</f>
        <v>N/A</v>
      </c>
      <c r="H295" s="7" t="str">
        <f aca="false">IF(G295="N/A","N/A",IF(G295="","No data",INDEX(Config!$B$5:$B$9,G295)))</f>
        <v>N/A</v>
      </c>
      <c r="I295" s="31" t="str">
        <f aca="false">IF(NOT(ISNUMBER($G295)),"",SUMPRODUCT(('Control Mapping'!$C$5:$C$83=D295)*('Control Mapping'!$U$5:$U$83&gt;0)))</f>
        <v/>
      </c>
      <c r="J295" s="31" t="str">
        <f aca="false">IF(NOT(ISNUMBER($G295)),"",SUMPRODUCT(('Control Mapping'!$C$5:$C$83=D295)*('Control Mapping'!$F$5:$F$83="Y")*('Control Mapping'!$U$5:$U$83&gt;0)))</f>
        <v/>
      </c>
      <c r="K295" s="31" t="str">
        <f aca="false">IF(NOT(ISNUMBER($G295)),"",SUMPRODUCT(('Control Mapping'!$C$5:$C$83=D295)*('Control Mapping'!$F$5:$F$83="Y")*('Control Mapping'!$U$5:$U$83=4)))</f>
        <v/>
      </c>
      <c r="L295" s="29" t="str">
        <f aca="false">IF(NOT(ISNUMBER($G295)),"",IFERROR(SUMPRODUCT(('Control Mapping'!$C$5:$C$83=D295)*'Control Mapping'!$E$5:$E$83*'Control Mapping'!$U$5:$U$83)/SUMPRODUCT(('Control Mapping'!$C$5:$C$83=D295)*'Control Mapping'!$E$5:$E$83*('Control Mapping'!$U$5:$U$83&gt;0)),""))</f>
        <v/>
      </c>
      <c r="M295" s="34" t="str">
        <f aca="false">IF(NOT(ISNUMBER($G295)),"",IF(J295=0,4,MAX(MATCH(L295,'Residual Config'!$E$11:$E$14,1),IF(K295&gt;0,'Residual Config'!$C$7,1))))</f>
        <v/>
      </c>
      <c r="N295" s="7" t="str">
        <f aca="false">IF(NOT(ISNUMBER($G295)),"",IF(J295=0,"Ineffective (no key control)",INDEX('Residual Config'!$B$11:$B$14,M295)))</f>
        <v/>
      </c>
      <c r="O295" s="36" t="str">
        <f aca="false">IF(NOT(ISNUMBER($G295)),"",IF(J295=0,0,SUMPRODUCT(('Control Mapping'!$C$5:$C$83=D295)*'Control Mapping'!$E$5:$E$83*(('Control Mapping'!$U$5:$U$83=1)*'Residual Config'!$D$11+('Control Mapping'!$U$5:$U$83=2)*'Residual Config'!$D$12+('Control Mapping'!$U$5:$U$83=3)*'Residual Config'!$D$13+('Control Mapping'!$U$5:$U$83=4)*'Residual Config'!$D$14))/SUMPRODUCT(('Control Mapping'!$C$5:$C$83=D295)*'Control Mapping'!$E$5:$E$83*('Control Mapping'!$U$5:$U$83&gt;0))))</f>
        <v/>
      </c>
      <c r="P295" s="31" t="str">
        <f aca="false">IF(NOT(ISNUMBER($G295)),"",INDEX('Residual Config'!$B$19:$E$23,6-G295,M295))</f>
        <v/>
      </c>
      <c r="Q295" s="29" t="str">
        <f aca="false">IF(NOT(ISNUMBER($G295)),"",MAX(1,F295*(1-O295)))</f>
        <v/>
      </c>
      <c r="R295" s="31" t="str">
        <f aca="false">IF(NOT(ISNUMBER($G295)),"",MAX(MATCH(Q295,Config!$D$5:$D$9,1),G295-'Residual Config'!$C$6))</f>
        <v/>
      </c>
      <c r="S295" s="34" t="str">
        <f aca="false">IF(NOT(ISNUMBER($G295)),"",IF('Residual Config'!$C$5="Numeric",R295,P295))</f>
        <v/>
      </c>
      <c r="T295" s="7" t="str">
        <f aca="false">IF(G295="N/A","N/A",IF(S295="","No data",INDEX(Config!$B$5:$B$9,S295)))</f>
        <v>N/A</v>
      </c>
      <c r="U295" s="32" t="n">
        <v>0</v>
      </c>
      <c r="V295" s="8"/>
      <c r="W295" s="33"/>
      <c r="X295" s="34" t="str">
        <f aca="false">IF(S295="","",IF(AND(W295="Y",U295&lt;&gt;0),MAX(1,MIN(5,S295+MAX(-Config!$C$27,MIN(Config!$C$27,U295)))),S295))</f>
        <v/>
      </c>
      <c r="Y295" s="35" t="str">
        <f aca="false">IF(G295="N/A","N/A",IF(X295="","No data",INDEX(Config!$B$5:$B$9,X295)))</f>
        <v>N/A</v>
      </c>
      <c r="Z295" s="7" t="str">
        <f aca="false">IF(U295=0,"None",IF(W295="Y","Applied","Pending HO approval"))</f>
        <v>None</v>
      </c>
      <c r="AA295" s="12" t="str">
        <f aca="false">INDEX('Risk Taxonomy'!$G$5:$G$24,MATCH(D295,'Risk Taxonomy'!$A$5:$A$24,0))</f>
        <v>Very low</v>
      </c>
      <c r="AB295" s="7" t="str">
        <f aca="false">INDEX('Risk Taxonomy'!$H$5:$H$24,MATCH(D295,'Risk Taxonomy'!$A$5:$A$24,0))</f>
        <v>Medium-Low</v>
      </c>
      <c r="AC295" s="35" t="str">
        <f aca="false">IF(NOT(ISNUMBER(X295)),"",IF(X295&lt;=MATCH(AB295,Config!$B$5:$B$9,0),"Within",IF(OR(X295-MATCH(AB295,Config!$B$5:$B$9,0)&gt;=2,AND('Residual Config'!$C$8="Y",ISNUMBER(SEARCH("Zero",AA295)))),"Red","Amber")))</f>
        <v/>
      </c>
      <c r="AD295" s="12" t="str">
        <f aca="false">IF(AC295="Red","Group CCO / CRO and Country CEO within 2 business days; action plan in 15 days; report to Board Risk &amp; Compliance Committee",IF(AC295="Amber","Country CO, risk owner and HO Administrator within 5 business days; action plan in 30 days",""))</f>
        <v/>
      </c>
    </row>
    <row r="296" customFormat="false" ht="15" hidden="false" customHeight="false" outlineLevel="0" collapsed="false">
      <c r="A296" s="26" t="str">
        <f aca="false">Entities!$A$19</f>
        <v>IQ</v>
      </c>
      <c r="B296" s="12" t="str">
        <f aca="false">INDEX(Entities!$B$5:$B$34,MATCH(A296,Entities!$A$5:$A$34,0))</f>
        <v>Arab Bank Iraq</v>
      </c>
      <c r="C296" s="12" t="str">
        <f aca="false">INDEX(Entities!$D$5:$D$34,MATCH(A296,Entities!$A$5:$A$34,0))</f>
        <v>Iraq and Yemen</v>
      </c>
      <c r="D296" s="12" t="s">
        <v>297</v>
      </c>
      <c r="E296" s="12" t="str">
        <f aca="false">INDEX('Risk Taxonomy'!$B$5:$B$24,MATCH(D296,'Risk Taxonomy'!$A$5:$A$24,0))</f>
        <v>Credit risk</v>
      </c>
      <c r="F296" s="29" t="n">
        <f aca="false">IF(NOT(ISNUMBER(G296)),"",G296)</f>
        <v>4</v>
      </c>
      <c r="G296" s="34" t="n">
        <f aca="false">IF(COUNTIFS('LxI Assessment'!$A$5:$A$394,A296,'LxI Assessment'!$D$5:$D$394,D296,'LxI Assessment'!$F$5:$F$394,"N/A")&gt;0,"N/A",IF(COUNTIFS('LxI Assessment'!$A$5:$A$394,A296,'LxI Assessment'!$D$5:$D$394,D296,'LxI Assessment'!$S$5:$S$394,"&gt;0")=0,"",SUMIFS('LxI Assessment'!$S$5:$S$394,'LxI Assessment'!$A$5:$A$394,A296,'LxI Assessment'!$D$5:$D$394,D296)))</f>
        <v>4</v>
      </c>
      <c r="H296" s="7" t="str">
        <f aca="false">IF(G296="N/A","N/A",IF(G296="","No data",INDEX(Config!$B$5:$B$9,G296)))</f>
        <v>Medium-High</v>
      </c>
      <c r="I296" s="31" t="n">
        <f aca="false">IF(NOT(ISNUMBER($G296)),"",SUMPRODUCT(('Control Mapping'!$C$5:$C$83=D296)*('Control Mapping'!$U$5:$U$83&gt;0)))</f>
        <v>2</v>
      </c>
      <c r="J296" s="31" t="n">
        <f aca="false">IF(NOT(ISNUMBER($G296)),"",SUMPRODUCT(('Control Mapping'!$C$5:$C$83=D296)*('Control Mapping'!$F$5:$F$83="Y")*('Control Mapping'!$U$5:$U$83&gt;0)))</f>
        <v>1</v>
      </c>
      <c r="K296" s="31" t="n">
        <f aca="false">IF(NOT(ISNUMBER($G296)),"",SUMPRODUCT(('Control Mapping'!$C$5:$C$83=D296)*('Control Mapping'!$F$5:$F$83="Y")*('Control Mapping'!$U$5:$U$83=4)))</f>
        <v>1</v>
      </c>
      <c r="L296" s="29" t="n">
        <f aca="false">IF(NOT(ISNUMBER($G296)),"",IFERROR(SUMPRODUCT(('Control Mapping'!$C$5:$C$83=D296)*'Control Mapping'!$E$5:$E$83*'Control Mapping'!$U$5:$U$83)/SUMPRODUCT(('Control Mapping'!$C$5:$C$83=D296)*'Control Mapping'!$E$5:$E$83*('Control Mapping'!$U$5:$U$83&gt;0)),""))</f>
        <v>3.2</v>
      </c>
      <c r="M296" s="34" t="n">
        <f aca="false">IF(NOT(ISNUMBER($G296)),"",IF(J296=0,4,MAX(MATCH(L296,'Residual Config'!$E$11:$E$14,1),IF(K296&gt;0,'Residual Config'!$C$7,1))))</f>
        <v>3</v>
      </c>
      <c r="N296" s="7" t="str">
        <f aca="false">IF(NOT(ISNUMBER($G296)),"",IF(J296=0,"Ineffective (no key control)",INDEX('Residual Config'!$B$11:$B$14,M296)))</f>
        <v>Partially effective</v>
      </c>
      <c r="O296" s="36" t="n">
        <f aca="false">IF(NOT(ISNUMBER($G296)),"",IF(J296=0,0,SUMPRODUCT(('Control Mapping'!$C$5:$C$83=D296)*'Control Mapping'!$E$5:$E$83*(('Control Mapping'!$U$5:$U$83=1)*'Residual Config'!$D$11+('Control Mapping'!$U$5:$U$83=2)*'Residual Config'!$D$12+('Control Mapping'!$U$5:$U$83=3)*'Residual Config'!$D$13+('Control Mapping'!$U$5:$U$83=4)*'Residual Config'!$D$14))/SUMPRODUCT(('Control Mapping'!$C$5:$C$83=D296)*'Control Mapping'!$E$5:$E$83*('Control Mapping'!$U$5:$U$83&gt;0))))</f>
        <v>0.16</v>
      </c>
      <c r="P296" s="31" t="n">
        <f aca="false">IF(NOT(ISNUMBER($G296)),"",INDEX('Residual Config'!$B$19:$E$23,6-G296,M296))</f>
        <v>4</v>
      </c>
      <c r="Q296" s="29" t="n">
        <f aca="false">IF(NOT(ISNUMBER($G296)),"",MAX(1,F296*(1-O296)))</f>
        <v>3.36</v>
      </c>
      <c r="R296" s="31" t="n">
        <f aca="false">IF(NOT(ISNUMBER($G296)),"",MAX(MATCH(Q296,Config!$D$5:$D$9,1),G296-'Residual Config'!$C$6))</f>
        <v>3</v>
      </c>
      <c r="S296" s="34" t="n">
        <f aca="false">IF(NOT(ISNUMBER($G296)),"",IF('Residual Config'!$C$5="Numeric",R296,P296))</f>
        <v>4</v>
      </c>
      <c r="T296" s="7" t="str">
        <f aca="false">IF(G296="N/A","N/A",IF(S296="","No data",INDEX(Config!$B$5:$B$9,S296)))</f>
        <v>Medium-High</v>
      </c>
      <c r="U296" s="32" t="n">
        <v>0</v>
      </c>
      <c r="V296" s="8"/>
      <c r="W296" s="33"/>
      <c r="X296" s="34" t="n">
        <f aca="false">IF(S296="","",IF(AND(W296="Y",U296&lt;&gt;0),MAX(1,MIN(5,S296+MAX(-Config!$C$27,MIN(Config!$C$27,U296)))),S296))</f>
        <v>4</v>
      </c>
      <c r="Y296" s="35" t="str">
        <f aca="false">IF(G296="N/A","N/A",IF(X296="","No data",INDEX(Config!$B$5:$B$9,X296)))</f>
        <v>Medium-High</v>
      </c>
      <c r="Z296" s="7" t="str">
        <f aca="false">IF(U296=0,"None",IF(W296="Y","Applied","Pending HO approval"))</f>
        <v>None</v>
      </c>
      <c r="AA296" s="12" t="str">
        <f aca="false">INDEX('Risk Taxonomy'!$G$5:$G$24,MATCH(D296,'Risk Taxonomy'!$A$5:$A$24,0))</f>
        <v>Moderate</v>
      </c>
      <c r="AB296" s="7" t="str">
        <f aca="false">INDEX('Risk Taxonomy'!$H$5:$H$24,MATCH(D296,'Risk Taxonomy'!$A$5:$A$24,0))</f>
        <v>Medium-High</v>
      </c>
      <c r="AC296" s="35" t="str">
        <f aca="false">IF(NOT(ISNUMBER(X296)),"",IF(X296&lt;=MATCH(AB296,Config!$B$5:$B$9,0),"Within",IF(OR(X296-MATCH(AB296,Config!$B$5:$B$9,0)&gt;=2,AND('Residual Config'!$C$8="Y",ISNUMBER(SEARCH("Zero",AA296)))),"Red","Amber")))</f>
        <v>Within</v>
      </c>
      <c r="AD296" s="12" t="str">
        <f aca="false">IF(AC296="Red","Group CCO / CRO and Country CEO within 2 business days; action plan in 15 days; report to Board Risk &amp; Compliance Committee",IF(AC296="Amber","Country CO, risk owner and HO Administrator within 5 business days; action plan in 30 days",""))</f>
        <v/>
      </c>
    </row>
    <row r="297" customFormat="false" ht="15" hidden="false" customHeight="false" outlineLevel="0" collapsed="false">
      <c r="A297" s="26" t="str">
        <f aca="false">Entities!$A$19</f>
        <v>IQ</v>
      </c>
      <c r="B297" s="12" t="str">
        <f aca="false">INDEX(Entities!$B$5:$B$34,MATCH(A297,Entities!$A$5:$A$34,0))</f>
        <v>Arab Bank Iraq</v>
      </c>
      <c r="C297" s="12" t="str">
        <f aca="false">INDEX(Entities!$D$5:$D$34,MATCH(A297,Entities!$A$5:$A$34,0))</f>
        <v>Iraq and Yemen</v>
      </c>
      <c r="D297" s="12" t="s">
        <v>302</v>
      </c>
      <c r="E297" s="12" t="str">
        <f aca="false">INDEX('Risk Taxonomy'!$B$5:$B$24,MATCH(D297,'Risk Taxonomy'!$A$5:$A$24,0))</f>
        <v>Market risk</v>
      </c>
      <c r="F297" s="29" t="n">
        <f aca="false">IF(NOT(ISNUMBER(G297)),"",G297)</f>
        <v>4</v>
      </c>
      <c r="G297" s="34" t="n">
        <f aca="false">IF(COUNTIFS('LxI Assessment'!$A$5:$A$394,A297,'LxI Assessment'!$D$5:$D$394,D297,'LxI Assessment'!$F$5:$F$394,"N/A")&gt;0,"N/A",IF(COUNTIFS('LxI Assessment'!$A$5:$A$394,A297,'LxI Assessment'!$D$5:$D$394,D297,'LxI Assessment'!$S$5:$S$394,"&gt;0")=0,"",SUMIFS('LxI Assessment'!$S$5:$S$394,'LxI Assessment'!$A$5:$A$394,A297,'LxI Assessment'!$D$5:$D$394,D297)))</f>
        <v>4</v>
      </c>
      <c r="H297" s="7" t="str">
        <f aca="false">IF(G297="N/A","N/A",IF(G297="","No data",INDEX(Config!$B$5:$B$9,G297)))</f>
        <v>Medium-High</v>
      </c>
      <c r="I297" s="31" t="n">
        <f aca="false">IF(NOT(ISNUMBER($G297)),"",SUMPRODUCT(('Control Mapping'!$C$5:$C$83=D297)*('Control Mapping'!$U$5:$U$83&gt;0)))</f>
        <v>1</v>
      </c>
      <c r="J297" s="31" t="n">
        <f aca="false">IF(NOT(ISNUMBER($G297)),"",SUMPRODUCT(('Control Mapping'!$C$5:$C$83=D297)*('Control Mapping'!$F$5:$F$83="Y")*('Control Mapping'!$U$5:$U$83&gt;0)))</f>
        <v>1</v>
      </c>
      <c r="K297" s="31" t="n">
        <f aca="false">IF(NOT(ISNUMBER($G297)),"",SUMPRODUCT(('Control Mapping'!$C$5:$C$83=D297)*('Control Mapping'!$F$5:$F$83="Y")*('Control Mapping'!$U$5:$U$83=4)))</f>
        <v>1</v>
      </c>
      <c r="L297" s="29" t="n">
        <f aca="false">IF(NOT(ISNUMBER($G297)),"",IFERROR(SUMPRODUCT(('Control Mapping'!$C$5:$C$83=D297)*'Control Mapping'!$E$5:$E$83*'Control Mapping'!$U$5:$U$83)/SUMPRODUCT(('Control Mapping'!$C$5:$C$83=D297)*'Control Mapping'!$E$5:$E$83*('Control Mapping'!$U$5:$U$83&gt;0)),""))</f>
        <v>4</v>
      </c>
      <c r="M297" s="34" t="n">
        <f aca="false">IF(NOT(ISNUMBER($G297)),"",IF(J297=0,4,MAX(MATCH(L297,'Residual Config'!$E$11:$E$14,1),IF(K297&gt;0,'Residual Config'!$C$7,1))))</f>
        <v>4</v>
      </c>
      <c r="N297" s="7" t="str">
        <f aca="false">IF(NOT(ISNUMBER($G297)),"",IF(J297=0,"Ineffective (no key control)",INDEX('Residual Config'!$B$11:$B$14,M297)))</f>
        <v>Ineffective</v>
      </c>
      <c r="O297" s="36" t="n">
        <f aca="false">IF(NOT(ISNUMBER($G297)),"",IF(J297=0,0,SUMPRODUCT(('Control Mapping'!$C$5:$C$83=D297)*'Control Mapping'!$E$5:$E$83*(('Control Mapping'!$U$5:$U$83=1)*'Residual Config'!$D$11+('Control Mapping'!$U$5:$U$83=2)*'Residual Config'!$D$12+('Control Mapping'!$U$5:$U$83=3)*'Residual Config'!$D$13+('Control Mapping'!$U$5:$U$83=4)*'Residual Config'!$D$14))/SUMPRODUCT(('Control Mapping'!$C$5:$C$83=D297)*'Control Mapping'!$E$5:$E$83*('Control Mapping'!$U$5:$U$83&gt;0))))</f>
        <v>0</v>
      </c>
      <c r="P297" s="31" t="n">
        <f aca="false">IF(NOT(ISNUMBER($G297)),"",INDEX('Residual Config'!$B$19:$E$23,6-G297,M297))</f>
        <v>4</v>
      </c>
      <c r="Q297" s="29" t="n">
        <f aca="false">IF(NOT(ISNUMBER($G297)),"",MAX(1,F297*(1-O297)))</f>
        <v>4</v>
      </c>
      <c r="R297" s="31" t="n">
        <f aca="false">IF(NOT(ISNUMBER($G297)),"",MAX(MATCH(Q297,Config!$D$5:$D$9,1),G297-'Residual Config'!$C$6))</f>
        <v>4</v>
      </c>
      <c r="S297" s="34" t="n">
        <f aca="false">IF(NOT(ISNUMBER($G297)),"",IF('Residual Config'!$C$5="Numeric",R297,P297))</f>
        <v>4</v>
      </c>
      <c r="T297" s="7" t="str">
        <f aca="false">IF(G297="N/A","N/A",IF(S297="","No data",INDEX(Config!$B$5:$B$9,S297)))</f>
        <v>Medium-High</v>
      </c>
      <c r="U297" s="32" t="n">
        <v>0</v>
      </c>
      <c r="V297" s="8"/>
      <c r="W297" s="33"/>
      <c r="X297" s="34" t="n">
        <f aca="false">IF(S297="","",IF(AND(W297="Y",U297&lt;&gt;0),MAX(1,MIN(5,S297+MAX(-Config!$C$27,MIN(Config!$C$27,U297)))),S297))</f>
        <v>4</v>
      </c>
      <c r="Y297" s="35" t="str">
        <f aca="false">IF(G297="N/A","N/A",IF(X297="","No data",INDEX(Config!$B$5:$B$9,X297)))</f>
        <v>Medium-High</v>
      </c>
      <c r="Z297" s="7" t="str">
        <f aca="false">IF(U297=0,"None",IF(W297="Y","Applied","Pending HO approval"))</f>
        <v>None</v>
      </c>
      <c r="AA297" s="12" t="str">
        <f aca="false">INDEX('Risk Taxonomy'!$G$5:$G$24,MATCH(D297,'Risk Taxonomy'!$A$5:$A$24,0))</f>
        <v>Moderate</v>
      </c>
      <c r="AB297" s="7" t="str">
        <f aca="false">INDEX('Risk Taxonomy'!$H$5:$H$24,MATCH(D297,'Risk Taxonomy'!$A$5:$A$24,0))</f>
        <v>Medium-High</v>
      </c>
      <c r="AC297" s="35" t="str">
        <f aca="false">IF(NOT(ISNUMBER(X297)),"",IF(X297&lt;=MATCH(AB297,Config!$B$5:$B$9,0),"Within",IF(OR(X297-MATCH(AB297,Config!$B$5:$B$9,0)&gt;=2,AND('Residual Config'!$C$8="Y",ISNUMBER(SEARCH("Zero",AA297)))),"Red","Amber")))</f>
        <v>Within</v>
      </c>
      <c r="AD297" s="12" t="str">
        <f aca="false">IF(AC297="Red","Group CCO / CRO and Country CEO within 2 business days; action plan in 15 days; report to Board Risk &amp; Compliance Committee",IF(AC297="Amber","Country CO, risk owner and HO Administrator within 5 business days; action plan in 30 days",""))</f>
        <v/>
      </c>
    </row>
    <row r="298" customFormat="false" ht="15" hidden="false" customHeight="false" outlineLevel="0" collapsed="false">
      <c r="A298" s="26" t="str">
        <f aca="false">Entities!$A$19</f>
        <v>IQ</v>
      </c>
      <c r="B298" s="12" t="str">
        <f aca="false">INDEX(Entities!$B$5:$B$34,MATCH(A298,Entities!$A$5:$A$34,0))</f>
        <v>Arab Bank Iraq</v>
      </c>
      <c r="C298" s="12" t="str">
        <f aca="false">INDEX(Entities!$D$5:$D$34,MATCH(A298,Entities!$A$5:$A$34,0))</f>
        <v>Iraq and Yemen</v>
      </c>
      <c r="D298" s="12" t="s">
        <v>304</v>
      </c>
      <c r="E298" s="12" t="str">
        <f aca="false">INDEX('Risk Taxonomy'!$B$5:$B$24,MATCH(D298,'Risk Taxonomy'!$A$5:$A$24,0))</f>
        <v>Liquidity and funding risk</v>
      </c>
      <c r="F298" s="29" t="n">
        <f aca="false">IF(NOT(ISNUMBER(G298)),"",G298)</f>
        <v>5</v>
      </c>
      <c r="G298" s="34" t="n">
        <f aca="false">IF(COUNTIFS('LxI Assessment'!$A$5:$A$394,A298,'LxI Assessment'!$D$5:$D$394,D298,'LxI Assessment'!$F$5:$F$394,"N/A")&gt;0,"N/A",IF(COUNTIFS('LxI Assessment'!$A$5:$A$394,A298,'LxI Assessment'!$D$5:$D$394,D298,'LxI Assessment'!$S$5:$S$394,"&gt;0")=0,"",SUMIFS('LxI Assessment'!$S$5:$S$394,'LxI Assessment'!$A$5:$A$394,A298,'LxI Assessment'!$D$5:$D$394,D298)))</f>
        <v>5</v>
      </c>
      <c r="H298" s="7" t="str">
        <f aca="false">IF(G298="N/A","N/A",IF(G298="","No data",INDEX(Config!$B$5:$B$9,G298)))</f>
        <v>High</v>
      </c>
      <c r="I298" s="31" t="n">
        <f aca="false">IF(NOT(ISNUMBER($G298)),"",SUMPRODUCT(('Control Mapping'!$C$5:$C$83=D298)*('Control Mapping'!$U$5:$U$83&gt;0)))</f>
        <v>1</v>
      </c>
      <c r="J298" s="31" t="n">
        <f aca="false">IF(NOT(ISNUMBER($G298)),"",SUMPRODUCT(('Control Mapping'!$C$5:$C$83=D298)*('Control Mapping'!$F$5:$F$83="Y")*('Control Mapping'!$U$5:$U$83&gt;0)))</f>
        <v>1</v>
      </c>
      <c r="K298" s="31" t="n">
        <f aca="false">IF(NOT(ISNUMBER($G298)),"",SUMPRODUCT(('Control Mapping'!$C$5:$C$83=D298)*('Control Mapping'!$F$5:$F$83="Y")*('Control Mapping'!$U$5:$U$83=4)))</f>
        <v>0</v>
      </c>
      <c r="L298" s="29" t="n">
        <f aca="false">IF(NOT(ISNUMBER($G298)),"",IFERROR(SUMPRODUCT(('Control Mapping'!$C$5:$C$83=D298)*'Control Mapping'!$E$5:$E$83*'Control Mapping'!$U$5:$U$83)/SUMPRODUCT(('Control Mapping'!$C$5:$C$83=D298)*'Control Mapping'!$E$5:$E$83*('Control Mapping'!$U$5:$U$83&gt;0)),""))</f>
        <v>2</v>
      </c>
      <c r="M298" s="34" t="n">
        <f aca="false">IF(NOT(ISNUMBER($G298)),"",IF(J298=0,4,MAX(MATCH(L298,'Residual Config'!$E$11:$E$14,1),IF(K298&gt;0,'Residual Config'!$C$7,1))))</f>
        <v>2</v>
      </c>
      <c r="N298" s="7" t="str">
        <f aca="false">IF(NOT(ISNUMBER($G298)),"",IF(J298=0,"Ineffective (no key control)",INDEX('Residual Config'!$B$11:$B$14,M298)))</f>
        <v>Largely effective</v>
      </c>
      <c r="O298" s="36" t="n">
        <f aca="false">IF(NOT(ISNUMBER($G298)),"",IF(J298=0,0,SUMPRODUCT(('Control Mapping'!$C$5:$C$83=D298)*'Control Mapping'!$E$5:$E$83*(('Control Mapping'!$U$5:$U$83=1)*'Residual Config'!$D$11+('Control Mapping'!$U$5:$U$83=2)*'Residual Config'!$D$12+('Control Mapping'!$U$5:$U$83=3)*'Residual Config'!$D$13+('Control Mapping'!$U$5:$U$83=4)*'Residual Config'!$D$14))/SUMPRODUCT(('Control Mapping'!$C$5:$C$83=D298)*'Control Mapping'!$E$5:$E$83*('Control Mapping'!$U$5:$U$83&gt;0))))</f>
        <v>0.4</v>
      </c>
      <c r="P298" s="31" t="n">
        <f aca="false">IF(NOT(ISNUMBER($G298)),"",INDEX('Residual Config'!$B$19:$E$23,6-G298,M298))</f>
        <v>4</v>
      </c>
      <c r="Q298" s="29" t="n">
        <f aca="false">IF(NOT(ISNUMBER($G298)),"",MAX(1,F298*(1-O298)))</f>
        <v>3</v>
      </c>
      <c r="R298" s="31" t="n">
        <f aca="false">IF(NOT(ISNUMBER($G298)),"",MAX(MATCH(Q298,Config!$D$5:$D$9,1),G298-'Residual Config'!$C$6))</f>
        <v>3</v>
      </c>
      <c r="S298" s="34" t="n">
        <f aca="false">IF(NOT(ISNUMBER($G298)),"",IF('Residual Config'!$C$5="Numeric",R298,P298))</f>
        <v>4</v>
      </c>
      <c r="T298" s="7" t="str">
        <f aca="false">IF(G298="N/A","N/A",IF(S298="","No data",INDEX(Config!$B$5:$B$9,S298)))</f>
        <v>Medium-High</v>
      </c>
      <c r="U298" s="32" t="n">
        <v>0</v>
      </c>
      <c r="V298" s="8"/>
      <c r="W298" s="33"/>
      <c r="X298" s="34" t="n">
        <f aca="false">IF(S298="","",IF(AND(W298="Y",U298&lt;&gt;0),MAX(1,MIN(5,S298+MAX(-Config!$C$27,MIN(Config!$C$27,U298)))),S298))</f>
        <v>4</v>
      </c>
      <c r="Y298" s="35" t="str">
        <f aca="false">IF(G298="N/A","N/A",IF(X298="","No data",INDEX(Config!$B$5:$B$9,X298)))</f>
        <v>Medium-High</v>
      </c>
      <c r="Z298" s="7" t="str">
        <f aca="false">IF(U298=0,"None",IF(W298="Y","Applied","Pending HO approval"))</f>
        <v>None</v>
      </c>
      <c r="AA298" s="12" t="str">
        <f aca="false">INDEX('Risk Taxonomy'!$G$5:$G$24,MATCH(D298,'Risk Taxonomy'!$A$5:$A$24,0))</f>
        <v>Low</v>
      </c>
      <c r="AB298" s="7" t="str">
        <f aca="false">INDEX('Risk Taxonomy'!$H$5:$H$24,MATCH(D298,'Risk Taxonomy'!$A$5:$A$24,0))</f>
        <v>Medium</v>
      </c>
      <c r="AC298" s="35" t="str">
        <f aca="false">IF(NOT(ISNUMBER(X298)),"",IF(X298&lt;=MATCH(AB298,Config!$B$5:$B$9,0),"Within",IF(OR(X298-MATCH(AB298,Config!$B$5:$B$9,0)&gt;=2,AND('Residual Config'!$C$8="Y",ISNUMBER(SEARCH("Zero",AA298)))),"Red","Amber")))</f>
        <v>Amber</v>
      </c>
      <c r="AD298" s="12" t="str">
        <f aca="false">IF(AC298="Red","Group CCO / CRO and Country CEO within 2 business days; action plan in 15 days; report to Board Risk &amp; Compliance Committee",IF(AC298="Amber","Country CO, risk owner and HO Administrator within 5 business days; action plan in 30 days",""))</f>
        <v>Country CO, risk owner and HO Administrator within 5 business days; action plan in 30 days</v>
      </c>
    </row>
    <row r="299" customFormat="false" ht="15" hidden="false" customHeight="false" outlineLevel="0" collapsed="false">
      <c r="A299" s="26" t="str">
        <f aca="false">Entities!$A$19</f>
        <v>IQ</v>
      </c>
      <c r="B299" s="12" t="str">
        <f aca="false">INDEX(Entities!$B$5:$B$34,MATCH(A299,Entities!$A$5:$A$34,0))</f>
        <v>Arab Bank Iraq</v>
      </c>
      <c r="C299" s="12" t="str">
        <f aca="false">INDEX(Entities!$D$5:$D$34,MATCH(A299,Entities!$A$5:$A$34,0))</f>
        <v>Iraq and Yemen</v>
      </c>
      <c r="D299" s="12" t="s">
        <v>307</v>
      </c>
      <c r="E299" s="12" t="str">
        <f aca="false">INDEX('Risk Taxonomy'!$B$5:$B$24,MATCH(D299,'Risk Taxonomy'!$A$5:$A$24,0))</f>
        <v>Operational risk</v>
      </c>
      <c r="F299" s="29" t="n">
        <f aca="false">IF(NOT(ISNUMBER(G299)),"",G299)</f>
        <v>5</v>
      </c>
      <c r="G299" s="34" t="n">
        <f aca="false">IF(COUNTIFS('LxI Assessment'!$A$5:$A$394,A299,'LxI Assessment'!$D$5:$D$394,D299,'LxI Assessment'!$F$5:$F$394,"N/A")&gt;0,"N/A",IF(COUNTIFS('LxI Assessment'!$A$5:$A$394,A299,'LxI Assessment'!$D$5:$D$394,D299,'LxI Assessment'!$S$5:$S$394,"&gt;0")=0,"",SUMIFS('LxI Assessment'!$S$5:$S$394,'LxI Assessment'!$A$5:$A$394,A299,'LxI Assessment'!$D$5:$D$394,D299)))</f>
        <v>5</v>
      </c>
      <c r="H299" s="7" t="str">
        <f aca="false">IF(G299="N/A","N/A",IF(G299="","No data",INDEX(Config!$B$5:$B$9,G299)))</f>
        <v>High</v>
      </c>
      <c r="I299" s="31" t="n">
        <f aca="false">IF(NOT(ISNUMBER($G299)),"",SUMPRODUCT(('Control Mapping'!$C$5:$C$83=D299)*('Control Mapping'!$U$5:$U$83&gt;0)))</f>
        <v>3</v>
      </c>
      <c r="J299" s="31" t="n">
        <f aca="false">IF(NOT(ISNUMBER($G299)),"",SUMPRODUCT(('Control Mapping'!$C$5:$C$83=D299)*('Control Mapping'!$F$5:$F$83="Y")*('Control Mapping'!$U$5:$U$83&gt;0)))</f>
        <v>2</v>
      </c>
      <c r="K299" s="31" t="n">
        <f aca="false">IF(NOT(ISNUMBER($G299)),"",SUMPRODUCT(('Control Mapping'!$C$5:$C$83=D299)*('Control Mapping'!$F$5:$F$83="Y")*('Control Mapping'!$U$5:$U$83=4)))</f>
        <v>1</v>
      </c>
      <c r="L299" s="29" t="n">
        <f aca="false">IF(NOT(ISNUMBER($G299)),"",IFERROR(SUMPRODUCT(('Control Mapping'!$C$5:$C$83=D299)*'Control Mapping'!$E$5:$E$83*'Control Mapping'!$U$5:$U$83)/SUMPRODUCT(('Control Mapping'!$C$5:$C$83=D299)*'Control Mapping'!$E$5:$E$83*('Control Mapping'!$U$5:$U$83&gt;0)),""))</f>
        <v>2.66666666666667</v>
      </c>
      <c r="M299" s="34" t="n">
        <f aca="false">IF(NOT(ISNUMBER($G299)),"",IF(J299=0,4,MAX(MATCH(L299,'Residual Config'!$E$11:$E$14,1),IF(K299&gt;0,'Residual Config'!$C$7,1))))</f>
        <v>3</v>
      </c>
      <c r="N299" s="7" t="str">
        <f aca="false">IF(NOT(ISNUMBER($G299)),"",IF(J299=0,"Ineffective (no key control)",INDEX('Residual Config'!$B$11:$B$14,M299)))</f>
        <v>Partially effective</v>
      </c>
      <c r="O299" s="36" t="n">
        <f aca="false">IF(NOT(ISNUMBER($G299)),"",IF(J299=0,0,SUMPRODUCT(('Control Mapping'!$C$5:$C$83=D299)*'Control Mapping'!$E$5:$E$83*(('Control Mapping'!$U$5:$U$83=1)*'Residual Config'!$D$11+('Control Mapping'!$U$5:$U$83=2)*'Residual Config'!$D$12+('Control Mapping'!$U$5:$U$83=3)*'Residual Config'!$D$13+('Control Mapping'!$U$5:$U$83=4)*'Residual Config'!$D$14))/SUMPRODUCT(('Control Mapping'!$C$5:$C$83=D299)*'Control Mapping'!$E$5:$E$83*('Control Mapping'!$U$5:$U$83&gt;0))))</f>
        <v>0.266666666666667</v>
      </c>
      <c r="P299" s="31" t="n">
        <f aca="false">IF(NOT(ISNUMBER($G299)),"",INDEX('Residual Config'!$B$19:$E$23,6-G299,M299))</f>
        <v>5</v>
      </c>
      <c r="Q299" s="29" t="n">
        <f aca="false">IF(NOT(ISNUMBER($G299)),"",MAX(1,F299*(1-O299)))</f>
        <v>3.66666666666667</v>
      </c>
      <c r="R299" s="31" t="n">
        <f aca="false">IF(NOT(ISNUMBER($G299)),"",MAX(MATCH(Q299,Config!$D$5:$D$9,1),G299-'Residual Config'!$C$6))</f>
        <v>4</v>
      </c>
      <c r="S299" s="34" t="n">
        <f aca="false">IF(NOT(ISNUMBER($G299)),"",IF('Residual Config'!$C$5="Numeric",R299,P299))</f>
        <v>5</v>
      </c>
      <c r="T299" s="7" t="str">
        <f aca="false">IF(G299="N/A","N/A",IF(S299="","No data",INDEX(Config!$B$5:$B$9,S299)))</f>
        <v>High</v>
      </c>
      <c r="U299" s="32" t="n">
        <v>0</v>
      </c>
      <c r="V299" s="8"/>
      <c r="W299" s="33"/>
      <c r="X299" s="34" t="n">
        <f aca="false">IF(S299="","",IF(AND(W299="Y",U299&lt;&gt;0),MAX(1,MIN(5,S299+MAX(-Config!$C$27,MIN(Config!$C$27,U299)))),S299))</f>
        <v>5</v>
      </c>
      <c r="Y299" s="35" t="str">
        <f aca="false">IF(G299="N/A","N/A",IF(X299="","No data",INDEX(Config!$B$5:$B$9,X299)))</f>
        <v>High</v>
      </c>
      <c r="Z299" s="7" t="str">
        <f aca="false">IF(U299=0,"None",IF(W299="Y","Applied","Pending HO approval"))</f>
        <v>None</v>
      </c>
      <c r="AA299" s="12" t="str">
        <f aca="false">INDEX('Risk Taxonomy'!$G$5:$G$24,MATCH(D299,'Risk Taxonomy'!$A$5:$A$24,0))</f>
        <v>Low</v>
      </c>
      <c r="AB299" s="7" t="str">
        <f aca="false">INDEX('Risk Taxonomy'!$H$5:$H$24,MATCH(D299,'Risk Taxonomy'!$A$5:$A$24,0))</f>
        <v>Medium</v>
      </c>
      <c r="AC299" s="35" t="str">
        <f aca="false">IF(NOT(ISNUMBER(X299)),"",IF(X299&lt;=MATCH(AB299,Config!$B$5:$B$9,0),"Within",IF(OR(X299-MATCH(AB299,Config!$B$5:$B$9,0)&gt;=2,AND('Residual Config'!$C$8="Y",ISNUMBER(SEARCH("Zero",AA299)))),"Red","Amber")))</f>
        <v>Red</v>
      </c>
      <c r="AD299" s="12" t="str">
        <f aca="false">IF(AC299="Red","Group CCO / CRO and Country CEO within 2 business days; action plan in 15 days; report to Board Risk &amp; Compliance Committee",IF(AC299="Amber","Country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00" customFormat="false" ht="15" hidden="false" customHeight="false" outlineLevel="0" collapsed="false">
      <c r="A300" s="26" t="str">
        <f aca="false">Entities!$A$19</f>
        <v>IQ</v>
      </c>
      <c r="B300" s="12" t="str">
        <f aca="false">INDEX(Entities!$B$5:$B$34,MATCH(A300,Entities!$A$5:$A$34,0))</f>
        <v>Arab Bank Iraq</v>
      </c>
      <c r="C300" s="12" t="str">
        <f aca="false">INDEX(Entities!$D$5:$D$34,MATCH(A300,Entities!$A$5:$A$34,0))</f>
        <v>Iraq and Yemen</v>
      </c>
      <c r="D300" s="12" t="s">
        <v>310</v>
      </c>
      <c r="E300" s="12" t="str">
        <f aca="false">INDEX('Risk Taxonomy'!$B$5:$B$24,MATCH(D300,'Risk Taxonomy'!$A$5:$A$24,0))</f>
        <v>Cyber, information security and technology</v>
      </c>
      <c r="F300" s="29" t="n">
        <f aca="false">IF(NOT(ISNUMBER(G300)),"",G300)</f>
        <v>5</v>
      </c>
      <c r="G300" s="34" t="n">
        <f aca="false">IF(COUNTIFS('LxI Assessment'!$A$5:$A$394,A300,'LxI Assessment'!$D$5:$D$394,D300,'LxI Assessment'!$F$5:$F$394,"N/A")&gt;0,"N/A",IF(COUNTIFS('LxI Assessment'!$A$5:$A$394,A300,'LxI Assessment'!$D$5:$D$394,D300,'LxI Assessment'!$S$5:$S$394,"&gt;0")=0,"",SUMIFS('LxI Assessment'!$S$5:$S$394,'LxI Assessment'!$A$5:$A$394,A300,'LxI Assessment'!$D$5:$D$394,D300)))</f>
        <v>5</v>
      </c>
      <c r="H300" s="7" t="str">
        <f aca="false">IF(G300="N/A","N/A",IF(G300="","No data",INDEX(Config!$B$5:$B$9,G300)))</f>
        <v>High</v>
      </c>
      <c r="I300" s="31" t="n">
        <f aca="false">IF(NOT(ISNUMBER($G300)),"",SUMPRODUCT(('Control Mapping'!$C$5:$C$83=D300)*('Control Mapping'!$U$5:$U$83&gt;0)))</f>
        <v>4</v>
      </c>
      <c r="J300" s="31" t="n">
        <f aca="false">IF(NOT(ISNUMBER($G300)),"",SUMPRODUCT(('Control Mapping'!$C$5:$C$83=D300)*('Control Mapping'!$F$5:$F$83="Y")*('Control Mapping'!$U$5:$U$83&gt;0)))</f>
        <v>4</v>
      </c>
      <c r="K300" s="31" t="n">
        <f aca="false">IF(NOT(ISNUMBER($G300)),"",SUMPRODUCT(('Control Mapping'!$C$5:$C$83=D300)*('Control Mapping'!$F$5:$F$83="Y")*('Control Mapping'!$U$5:$U$83=4)))</f>
        <v>0</v>
      </c>
      <c r="L300" s="29" t="n">
        <f aca="false">IF(NOT(ISNUMBER($G300)),"",IFERROR(SUMPRODUCT(('Control Mapping'!$C$5:$C$83=D300)*'Control Mapping'!$E$5:$E$83*'Control Mapping'!$U$5:$U$83)/SUMPRODUCT(('Control Mapping'!$C$5:$C$83=D300)*'Control Mapping'!$E$5:$E$83*('Control Mapping'!$U$5:$U$83&gt;0)),""))</f>
        <v>2.42857142857143</v>
      </c>
      <c r="M300" s="34" t="n">
        <f aca="false">IF(NOT(ISNUMBER($G300)),"",IF(J300=0,4,MAX(MATCH(L300,'Residual Config'!$E$11:$E$14,1),IF(K300&gt;0,'Residual Config'!$C$7,1))))</f>
        <v>2</v>
      </c>
      <c r="N300" s="7" t="str">
        <f aca="false">IF(NOT(ISNUMBER($G300)),"",IF(J300=0,"Ineffective (no key control)",INDEX('Residual Config'!$B$11:$B$14,M300)))</f>
        <v>Largely effective</v>
      </c>
      <c r="O300" s="36" t="n">
        <f aca="false">IF(NOT(ISNUMBER($G300)),"",IF(J300=0,0,SUMPRODUCT(('Control Mapping'!$C$5:$C$83=D300)*'Control Mapping'!$E$5:$E$83*(('Control Mapping'!$U$5:$U$83=1)*'Residual Config'!$D$11+('Control Mapping'!$U$5:$U$83=2)*'Residual Config'!$D$12+('Control Mapping'!$U$5:$U$83=3)*'Residual Config'!$D$13+('Control Mapping'!$U$5:$U$83=4)*'Residual Config'!$D$14))/SUMPRODUCT(('Control Mapping'!$C$5:$C$83=D300)*'Control Mapping'!$E$5:$E$83*('Control Mapping'!$U$5:$U$83&gt;0))))</f>
        <v>0.314285714285714</v>
      </c>
      <c r="P300" s="31" t="n">
        <f aca="false">IF(NOT(ISNUMBER($G300)),"",INDEX('Residual Config'!$B$19:$E$23,6-G300,M300))</f>
        <v>4</v>
      </c>
      <c r="Q300" s="29" t="n">
        <f aca="false">IF(NOT(ISNUMBER($G300)),"",MAX(1,F300*(1-O300)))</f>
        <v>3.42857142857143</v>
      </c>
      <c r="R300" s="31" t="n">
        <f aca="false">IF(NOT(ISNUMBER($G300)),"",MAX(MATCH(Q300,Config!$D$5:$D$9,1),G300-'Residual Config'!$C$6))</f>
        <v>4</v>
      </c>
      <c r="S300" s="34" t="n">
        <f aca="false">IF(NOT(ISNUMBER($G300)),"",IF('Residual Config'!$C$5="Numeric",R300,P300))</f>
        <v>4</v>
      </c>
      <c r="T300" s="7" t="str">
        <f aca="false">IF(G300="N/A","N/A",IF(S300="","No data",INDEX(Config!$B$5:$B$9,S300)))</f>
        <v>Medium-High</v>
      </c>
      <c r="U300" s="32" t="n">
        <v>0</v>
      </c>
      <c r="V300" s="8"/>
      <c r="W300" s="33"/>
      <c r="X300" s="34" t="n">
        <f aca="false">IF(S300="","",IF(AND(W300="Y",U300&lt;&gt;0),MAX(1,MIN(5,S300+MAX(-Config!$C$27,MIN(Config!$C$27,U300)))),S300))</f>
        <v>4</v>
      </c>
      <c r="Y300" s="35" t="str">
        <f aca="false">IF(G300="N/A","N/A",IF(X300="","No data",INDEX(Config!$B$5:$B$9,X300)))</f>
        <v>Medium-High</v>
      </c>
      <c r="Z300" s="7" t="str">
        <f aca="false">IF(U300=0,"None",IF(W300="Y","Applied","Pending HO approval"))</f>
        <v>None</v>
      </c>
      <c r="AA300" s="12" t="str">
        <f aca="false">INDEX('Risk Taxonomy'!$G$5:$G$24,MATCH(D300,'Risk Taxonomy'!$A$5:$A$24,0))</f>
        <v>Very low</v>
      </c>
      <c r="AB300" s="7" t="str">
        <f aca="false">INDEX('Risk Taxonomy'!$H$5:$H$24,MATCH(D300,'Risk Taxonomy'!$A$5:$A$24,0))</f>
        <v>Medium-Low</v>
      </c>
      <c r="AC300" s="35" t="str">
        <f aca="false">IF(NOT(ISNUMBER(X300)),"",IF(X300&lt;=MATCH(AB300,Config!$B$5:$B$9,0),"Within",IF(OR(X300-MATCH(AB300,Config!$B$5:$B$9,0)&gt;=2,AND('Residual Config'!$C$8="Y",ISNUMBER(SEARCH("Zero",AA300)))),"Red","Amber")))</f>
        <v>Red</v>
      </c>
      <c r="AD300" s="12" t="str">
        <f aca="false">IF(AC300="Red","Group CCO / CRO and Country CEO within 2 business days; action plan in 15 days; report to Board Risk &amp; Compliance Committee",IF(AC300="Amber","Country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01" customFormat="false" ht="15" hidden="false" customHeight="false" outlineLevel="0" collapsed="false">
      <c r="A301" s="26" t="str">
        <f aca="false">Entities!$A$19</f>
        <v>IQ</v>
      </c>
      <c r="B301" s="12" t="str">
        <f aca="false">INDEX(Entities!$B$5:$B$34,MATCH(A301,Entities!$A$5:$A$34,0))</f>
        <v>Arab Bank Iraq</v>
      </c>
      <c r="C301" s="12" t="str">
        <f aca="false">INDEX(Entities!$D$5:$D$34,MATCH(A301,Entities!$A$5:$A$34,0))</f>
        <v>Iraq and Yemen</v>
      </c>
      <c r="D301" s="12" t="s">
        <v>313</v>
      </c>
      <c r="E301" s="12" t="str">
        <f aca="false">INDEX('Risk Taxonomy'!$B$5:$B$24,MATCH(D301,'Risk Taxonomy'!$A$5:$A$24,0))</f>
        <v>Third-party and outsourcing</v>
      </c>
      <c r="F301" s="29" t="n">
        <f aca="false">IF(NOT(ISNUMBER(G301)),"",G301)</f>
        <v>4</v>
      </c>
      <c r="G301" s="34" t="n">
        <f aca="false">IF(COUNTIFS('LxI Assessment'!$A$5:$A$394,A301,'LxI Assessment'!$D$5:$D$394,D301,'LxI Assessment'!$F$5:$F$394,"N/A")&gt;0,"N/A",IF(COUNTIFS('LxI Assessment'!$A$5:$A$394,A301,'LxI Assessment'!$D$5:$D$394,D301,'LxI Assessment'!$S$5:$S$394,"&gt;0")=0,"",SUMIFS('LxI Assessment'!$S$5:$S$394,'LxI Assessment'!$A$5:$A$394,A301,'LxI Assessment'!$D$5:$D$394,D301)))</f>
        <v>4</v>
      </c>
      <c r="H301" s="7" t="str">
        <f aca="false">IF(G301="N/A","N/A",IF(G301="","No data",INDEX(Config!$B$5:$B$9,G301)))</f>
        <v>Medium-High</v>
      </c>
      <c r="I301" s="31" t="n">
        <f aca="false">IF(NOT(ISNUMBER($G301)),"",SUMPRODUCT(('Control Mapping'!$C$5:$C$83=D301)*('Control Mapping'!$U$5:$U$83&gt;0)))</f>
        <v>2</v>
      </c>
      <c r="J301" s="31" t="n">
        <f aca="false">IF(NOT(ISNUMBER($G301)),"",SUMPRODUCT(('Control Mapping'!$C$5:$C$83=D301)*('Control Mapping'!$F$5:$F$83="Y")*('Control Mapping'!$U$5:$U$83&gt;0)))</f>
        <v>2</v>
      </c>
      <c r="K301" s="31" t="n">
        <f aca="false">IF(NOT(ISNUMBER($G301)),"",SUMPRODUCT(('Control Mapping'!$C$5:$C$83=D301)*('Control Mapping'!$F$5:$F$83="Y")*('Control Mapping'!$U$5:$U$83=4)))</f>
        <v>0</v>
      </c>
      <c r="L301" s="29" t="n">
        <f aca="false">IF(NOT(ISNUMBER($G301)),"",IFERROR(SUMPRODUCT(('Control Mapping'!$C$5:$C$83=D301)*'Control Mapping'!$E$5:$E$83*'Control Mapping'!$U$5:$U$83)/SUMPRODUCT(('Control Mapping'!$C$5:$C$83=D301)*'Control Mapping'!$E$5:$E$83*('Control Mapping'!$U$5:$U$83&gt;0)),""))</f>
        <v>2.25</v>
      </c>
      <c r="M301" s="34" t="n">
        <f aca="false">IF(NOT(ISNUMBER($G301)),"",IF(J301=0,4,MAX(MATCH(L301,'Residual Config'!$E$11:$E$14,1),IF(K301&gt;0,'Residual Config'!$C$7,1))))</f>
        <v>2</v>
      </c>
      <c r="N301" s="7" t="str">
        <f aca="false">IF(NOT(ISNUMBER($G301)),"",IF(J301=0,"Ineffective (no key control)",INDEX('Residual Config'!$B$11:$B$14,M301)))</f>
        <v>Largely effective</v>
      </c>
      <c r="O301" s="36" t="n">
        <f aca="false">IF(NOT(ISNUMBER($G301)),"",IF(J301=0,0,SUMPRODUCT(('Control Mapping'!$C$5:$C$83=D301)*'Control Mapping'!$E$5:$E$83*(('Control Mapping'!$U$5:$U$83=1)*'Residual Config'!$D$11+('Control Mapping'!$U$5:$U$83=2)*'Residual Config'!$D$12+('Control Mapping'!$U$5:$U$83=3)*'Residual Config'!$D$13+('Control Mapping'!$U$5:$U$83=4)*'Residual Config'!$D$14))/SUMPRODUCT(('Control Mapping'!$C$5:$C$83=D301)*'Control Mapping'!$E$5:$E$83*('Control Mapping'!$U$5:$U$83&gt;0))))</f>
        <v>0.35</v>
      </c>
      <c r="P301" s="31" t="n">
        <f aca="false">IF(NOT(ISNUMBER($G301)),"",INDEX('Residual Config'!$B$19:$E$23,6-G301,M301))</f>
        <v>3</v>
      </c>
      <c r="Q301" s="29" t="n">
        <f aca="false">IF(NOT(ISNUMBER($G301)),"",MAX(1,F301*(1-O301)))</f>
        <v>2.6</v>
      </c>
      <c r="R301" s="31" t="n">
        <f aca="false">IF(NOT(ISNUMBER($G301)),"",MAX(MATCH(Q301,Config!$D$5:$D$9,1),G301-'Residual Config'!$C$6))</f>
        <v>2</v>
      </c>
      <c r="S301" s="34" t="n">
        <f aca="false">IF(NOT(ISNUMBER($G301)),"",IF('Residual Config'!$C$5="Numeric",R301,P301))</f>
        <v>3</v>
      </c>
      <c r="T301" s="7" t="str">
        <f aca="false">IF(G301="N/A","N/A",IF(S301="","No data",INDEX(Config!$B$5:$B$9,S301)))</f>
        <v>Medium</v>
      </c>
      <c r="U301" s="32" t="n">
        <v>0</v>
      </c>
      <c r="V301" s="8"/>
      <c r="W301" s="33"/>
      <c r="X301" s="34" t="n">
        <f aca="false">IF(S301="","",IF(AND(W301="Y",U301&lt;&gt;0),MAX(1,MIN(5,S301+MAX(-Config!$C$27,MIN(Config!$C$27,U301)))),S301))</f>
        <v>3</v>
      </c>
      <c r="Y301" s="35" t="str">
        <f aca="false">IF(G301="N/A","N/A",IF(X301="","No data",INDEX(Config!$B$5:$B$9,X301)))</f>
        <v>Medium</v>
      </c>
      <c r="Z301" s="7" t="str">
        <f aca="false">IF(U301=0,"None",IF(W301="Y","Applied","Pending HO approval"))</f>
        <v>None</v>
      </c>
      <c r="AA301" s="12" t="str">
        <f aca="false">INDEX('Risk Taxonomy'!$G$5:$G$24,MATCH(D301,'Risk Taxonomy'!$A$5:$A$24,0))</f>
        <v>Low</v>
      </c>
      <c r="AB301" s="7" t="str">
        <f aca="false">INDEX('Risk Taxonomy'!$H$5:$H$24,MATCH(D301,'Risk Taxonomy'!$A$5:$A$24,0))</f>
        <v>Medium</v>
      </c>
      <c r="AC301" s="35" t="str">
        <f aca="false">IF(NOT(ISNUMBER(X301)),"",IF(X301&lt;=MATCH(AB301,Config!$B$5:$B$9,0),"Within",IF(OR(X301-MATCH(AB301,Config!$B$5:$B$9,0)&gt;=2,AND('Residual Config'!$C$8="Y",ISNUMBER(SEARCH("Zero",AA301)))),"Red","Amber")))</f>
        <v>Within</v>
      </c>
      <c r="AD301" s="12" t="str">
        <f aca="false">IF(AC301="Red","Group CCO / CRO and Country CEO within 2 business days; action plan in 15 days; report to Board Risk &amp; Compliance Committee",IF(AC301="Amber","Country CO, risk owner and HO Administrator within 5 business days; action plan in 30 days",""))</f>
        <v/>
      </c>
    </row>
    <row r="302" customFormat="false" ht="15" hidden="false" customHeight="false" outlineLevel="0" collapsed="false">
      <c r="A302" s="26" t="str">
        <f aca="false">Entities!$A$19</f>
        <v>IQ</v>
      </c>
      <c r="B302" s="12" t="str">
        <f aca="false">INDEX(Entities!$B$5:$B$34,MATCH(A302,Entities!$A$5:$A$34,0))</f>
        <v>Arab Bank Iraq</v>
      </c>
      <c r="C302" s="12" t="str">
        <f aca="false">INDEX(Entities!$D$5:$D$34,MATCH(A302,Entities!$A$5:$A$34,0))</f>
        <v>Iraq and Yemen</v>
      </c>
      <c r="D302" s="12" t="s">
        <v>316</v>
      </c>
      <c r="E302" s="12" t="str">
        <f aca="false">INDEX('Risk Taxonomy'!$B$5:$B$24,MATCH(D302,'Risk Taxonomy'!$A$5:$A$24,0))</f>
        <v>Legal and litigation</v>
      </c>
      <c r="F302" s="29" t="n">
        <f aca="false">IF(NOT(ISNUMBER(G302)),"",G302)</f>
        <v>3</v>
      </c>
      <c r="G302" s="34" t="n">
        <f aca="false">IF(COUNTIFS('LxI Assessment'!$A$5:$A$394,A302,'LxI Assessment'!$D$5:$D$394,D302,'LxI Assessment'!$F$5:$F$394,"N/A")&gt;0,"N/A",IF(COUNTIFS('LxI Assessment'!$A$5:$A$394,A302,'LxI Assessment'!$D$5:$D$394,D302,'LxI Assessment'!$S$5:$S$394,"&gt;0")=0,"",SUMIFS('LxI Assessment'!$S$5:$S$394,'LxI Assessment'!$A$5:$A$394,A302,'LxI Assessment'!$D$5:$D$394,D302)))</f>
        <v>3</v>
      </c>
      <c r="H302" s="7" t="str">
        <f aca="false">IF(G302="N/A","N/A",IF(G302="","No data",INDEX(Config!$B$5:$B$9,G302)))</f>
        <v>Medium</v>
      </c>
      <c r="I302" s="31" t="n">
        <f aca="false">IF(NOT(ISNUMBER($G302)),"",SUMPRODUCT(('Control Mapping'!$C$5:$C$83=D302)*('Control Mapping'!$U$5:$U$83&gt;0)))</f>
        <v>1</v>
      </c>
      <c r="J302" s="31" t="n">
        <f aca="false">IF(NOT(ISNUMBER($G302)),"",SUMPRODUCT(('Control Mapping'!$C$5:$C$83=D302)*('Control Mapping'!$F$5:$F$83="Y")*('Control Mapping'!$U$5:$U$83&gt;0)))</f>
        <v>1</v>
      </c>
      <c r="K302" s="31" t="n">
        <f aca="false">IF(NOT(ISNUMBER($G302)),"",SUMPRODUCT(('Control Mapping'!$C$5:$C$83=D302)*('Control Mapping'!$F$5:$F$83="Y")*('Control Mapping'!$U$5:$U$83=4)))</f>
        <v>1</v>
      </c>
      <c r="L302" s="29" t="n">
        <f aca="false">IF(NOT(ISNUMBER($G302)),"",IFERROR(SUMPRODUCT(('Control Mapping'!$C$5:$C$83=D302)*'Control Mapping'!$E$5:$E$83*'Control Mapping'!$U$5:$U$83)/SUMPRODUCT(('Control Mapping'!$C$5:$C$83=D302)*'Control Mapping'!$E$5:$E$83*('Control Mapping'!$U$5:$U$83&gt;0)),""))</f>
        <v>4</v>
      </c>
      <c r="M302" s="34" t="n">
        <f aca="false">IF(NOT(ISNUMBER($G302)),"",IF(J302=0,4,MAX(MATCH(L302,'Residual Config'!$E$11:$E$14,1),IF(K302&gt;0,'Residual Config'!$C$7,1))))</f>
        <v>4</v>
      </c>
      <c r="N302" s="7" t="str">
        <f aca="false">IF(NOT(ISNUMBER($G302)),"",IF(J302=0,"Ineffective (no key control)",INDEX('Residual Config'!$B$11:$B$14,M302)))</f>
        <v>Ineffective</v>
      </c>
      <c r="O302" s="36" t="n">
        <f aca="false">IF(NOT(ISNUMBER($G302)),"",IF(J302=0,0,SUMPRODUCT(('Control Mapping'!$C$5:$C$83=D302)*'Control Mapping'!$E$5:$E$83*(('Control Mapping'!$U$5:$U$83=1)*'Residual Config'!$D$11+('Control Mapping'!$U$5:$U$83=2)*'Residual Config'!$D$12+('Control Mapping'!$U$5:$U$83=3)*'Residual Config'!$D$13+('Control Mapping'!$U$5:$U$83=4)*'Residual Config'!$D$14))/SUMPRODUCT(('Control Mapping'!$C$5:$C$83=D302)*'Control Mapping'!$E$5:$E$83*('Control Mapping'!$U$5:$U$83&gt;0))))</f>
        <v>0</v>
      </c>
      <c r="P302" s="31" t="n">
        <f aca="false">IF(NOT(ISNUMBER($G302)),"",INDEX('Residual Config'!$B$19:$E$23,6-G302,M302))</f>
        <v>3</v>
      </c>
      <c r="Q302" s="29" t="n">
        <f aca="false">IF(NOT(ISNUMBER($G302)),"",MAX(1,F302*(1-O302)))</f>
        <v>3</v>
      </c>
      <c r="R302" s="31" t="n">
        <f aca="false">IF(NOT(ISNUMBER($G302)),"",MAX(MATCH(Q302,Config!$D$5:$D$9,1),G302-'Residual Config'!$C$6))</f>
        <v>3</v>
      </c>
      <c r="S302" s="34" t="n">
        <f aca="false">IF(NOT(ISNUMBER($G302)),"",IF('Residual Config'!$C$5="Numeric",R302,P302))</f>
        <v>3</v>
      </c>
      <c r="T302" s="7" t="str">
        <f aca="false">IF(G302="N/A","N/A",IF(S302="","No data",INDEX(Config!$B$5:$B$9,S302)))</f>
        <v>Medium</v>
      </c>
      <c r="U302" s="32" t="n">
        <v>0</v>
      </c>
      <c r="V302" s="8"/>
      <c r="W302" s="33"/>
      <c r="X302" s="34" t="n">
        <f aca="false">IF(S302="","",IF(AND(W302="Y",U302&lt;&gt;0),MAX(1,MIN(5,S302+MAX(-Config!$C$27,MIN(Config!$C$27,U302)))),S302))</f>
        <v>3</v>
      </c>
      <c r="Y302" s="35" t="str">
        <f aca="false">IF(G302="N/A","N/A",IF(X302="","No data",INDEX(Config!$B$5:$B$9,X302)))</f>
        <v>Medium</v>
      </c>
      <c r="Z302" s="7" t="str">
        <f aca="false">IF(U302=0,"None",IF(W302="Y","Applied","Pending HO approval"))</f>
        <v>None</v>
      </c>
      <c r="AA302" s="12" t="str">
        <f aca="false">INDEX('Risk Taxonomy'!$G$5:$G$24,MATCH(D302,'Risk Taxonomy'!$A$5:$A$24,0))</f>
        <v>Very low</v>
      </c>
      <c r="AB302" s="7" t="str">
        <f aca="false">INDEX('Risk Taxonomy'!$H$5:$H$24,MATCH(D302,'Risk Taxonomy'!$A$5:$A$24,0))</f>
        <v>Medium-Low</v>
      </c>
      <c r="AC302" s="35" t="str">
        <f aca="false">IF(NOT(ISNUMBER(X302)),"",IF(X302&lt;=MATCH(AB302,Config!$B$5:$B$9,0),"Within",IF(OR(X302-MATCH(AB302,Config!$B$5:$B$9,0)&gt;=2,AND('Residual Config'!$C$8="Y",ISNUMBER(SEARCH("Zero",AA302)))),"Red","Amber")))</f>
        <v>Amber</v>
      </c>
      <c r="AD302" s="12" t="str">
        <f aca="false">IF(AC302="Red","Group CCO / CRO and Country CEO within 2 business days; action plan in 15 days; report to Board Risk &amp; Compliance Committee",IF(AC302="Amber","Country CO, risk owner and HO Administrator within 5 business days; action plan in 30 days",""))</f>
        <v>Country CO, risk owner and HO Administrator within 5 business days; action plan in 30 days</v>
      </c>
    </row>
    <row r="303" customFormat="false" ht="15" hidden="false" customHeight="false" outlineLevel="0" collapsed="false">
      <c r="A303" s="26" t="str">
        <f aca="false">Entities!$A$19</f>
        <v>IQ</v>
      </c>
      <c r="B303" s="12" t="str">
        <f aca="false">INDEX(Entities!$B$5:$B$34,MATCH(A303,Entities!$A$5:$A$34,0))</f>
        <v>Arab Bank Iraq</v>
      </c>
      <c r="C303" s="12" t="str">
        <f aca="false">INDEX(Entities!$D$5:$D$34,MATCH(A303,Entities!$A$5:$A$34,0))</f>
        <v>Iraq and Yemen</v>
      </c>
      <c r="D303" s="12" t="s">
        <v>319</v>
      </c>
      <c r="E303" s="12" t="str">
        <f aca="false">INDEX('Risk Taxonomy'!$B$5:$B$24,MATCH(D303,'Risk Taxonomy'!$A$5:$A$24,0))</f>
        <v>Reputational</v>
      </c>
      <c r="F303" s="29" t="n">
        <f aca="false">IF(NOT(ISNUMBER(G303)),"",G303)</f>
        <v>5</v>
      </c>
      <c r="G303" s="34" t="n">
        <f aca="false">IF(COUNTIFS('LxI Assessment'!$A$5:$A$394,A303,'LxI Assessment'!$D$5:$D$394,D303,'LxI Assessment'!$F$5:$F$394,"N/A")&gt;0,"N/A",IF(COUNTIFS('LxI Assessment'!$A$5:$A$394,A303,'LxI Assessment'!$D$5:$D$394,D303,'LxI Assessment'!$S$5:$S$394,"&gt;0")=0,"",SUMIFS('LxI Assessment'!$S$5:$S$394,'LxI Assessment'!$A$5:$A$394,A303,'LxI Assessment'!$D$5:$D$394,D303)))</f>
        <v>5</v>
      </c>
      <c r="H303" s="7" t="str">
        <f aca="false">IF(G303="N/A","N/A",IF(G303="","No data",INDEX(Config!$B$5:$B$9,G303)))</f>
        <v>High</v>
      </c>
      <c r="I303" s="31" t="n">
        <f aca="false">IF(NOT(ISNUMBER($G303)),"",SUMPRODUCT(('Control Mapping'!$C$5:$C$83=D303)*('Control Mapping'!$U$5:$U$83&gt;0)))</f>
        <v>2</v>
      </c>
      <c r="J303" s="31" t="n">
        <f aca="false">IF(NOT(ISNUMBER($G303)),"",SUMPRODUCT(('Control Mapping'!$C$5:$C$83=D303)*('Control Mapping'!$F$5:$F$83="Y")*('Control Mapping'!$U$5:$U$83&gt;0)))</f>
        <v>1</v>
      </c>
      <c r="K303" s="31" t="n">
        <f aca="false">IF(NOT(ISNUMBER($G303)),"",SUMPRODUCT(('Control Mapping'!$C$5:$C$83=D303)*('Control Mapping'!$F$5:$F$83="Y")*('Control Mapping'!$U$5:$U$83=4)))</f>
        <v>1</v>
      </c>
      <c r="L303" s="29" t="n">
        <f aca="false">IF(NOT(ISNUMBER($G303)),"",IFERROR(SUMPRODUCT(('Control Mapping'!$C$5:$C$83=D303)*'Control Mapping'!$E$5:$E$83*'Control Mapping'!$U$5:$U$83)/SUMPRODUCT(('Control Mapping'!$C$5:$C$83=D303)*'Control Mapping'!$E$5:$E$83*('Control Mapping'!$U$5:$U$83&gt;0)),""))</f>
        <v>3.66666666666667</v>
      </c>
      <c r="M303" s="34" t="n">
        <f aca="false">IF(NOT(ISNUMBER($G303)),"",IF(J303=0,4,MAX(MATCH(L303,'Residual Config'!$E$11:$E$14,1),IF(K303&gt;0,'Residual Config'!$C$7,1))))</f>
        <v>4</v>
      </c>
      <c r="N303" s="7" t="str">
        <f aca="false">IF(NOT(ISNUMBER($G303)),"",IF(J303=0,"Ineffective (no key control)",INDEX('Residual Config'!$B$11:$B$14,M303)))</f>
        <v>Ineffective</v>
      </c>
      <c r="O303" s="36" t="n">
        <f aca="false">IF(NOT(ISNUMBER($G303)),"",IF(J303=0,0,SUMPRODUCT(('Control Mapping'!$C$5:$C$83=D303)*'Control Mapping'!$E$5:$E$83*(('Control Mapping'!$U$5:$U$83=1)*'Residual Config'!$D$11+('Control Mapping'!$U$5:$U$83=2)*'Residual Config'!$D$12+('Control Mapping'!$U$5:$U$83=3)*'Residual Config'!$D$13+('Control Mapping'!$U$5:$U$83=4)*'Residual Config'!$D$14))/SUMPRODUCT(('Control Mapping'!$C$5:$C$83=D303)*'Control Mapping'!$E$5:$E$83*('Control Mapping'!$U$5:$U$83&gt;0))))</f>
        <v>0.0666666666666667</v>
      </c>
      <c r="P303" s="31" t="n">
        <f aca="false">IF(NOT(ISNUMBER($G303)),"",INDEX('Residual Config'!$B$19:$E$23,6-G303,M303))</f>
        <v>5</v>
      </c>
      <c r="Q303" s="29" t="n">
        <f aca="false">IF(NOT(ISNUMBER($G303)),"",MAX(1,F303*(1-O303)))</f>
        <v>4.66666666666667</v>
      </c>
      <c r="R303" s="31" t="n">
        <f aca="false">IF(NOT(ISNUMBER($G303)),"",MAX(MATCH(Q303,Config!$D$5:$D$9,1),G303-'Residual Config'!$C$6))</f>
        <v>5</v>
      </c>
      <c r="S303" s="34" t="n">
        <f aca="false">IF(NOT(ISNUMBER($G303)),"",IF('Residual Config'!$C$5="Numeric",R303,P303))</f>
        <v>5</v>
      </c>
      <c r="T303" s="7" t="str">
        <f aca="false">IF(G303="N/A","N/A",IF(S303="","No data",INDEX(Config!$B$5:$B$9,S303)))</f>
        <v>High</v>
      </c>
      <c r="U303" s="32" t="n">
        <v>0</v>
      </c>
      <c r="V303" s="8"/>
      <c r="W303" s="33"/>
      <c r="X303" s="34" t="n">
        <f aca="false">IF(S303="","",IF(AND(W303="Y",U303&lt;&gt;0),MAX(1,MIN(5,S303+MAX(-Config!$C$27,MIN(Config!$C$27,U303)))),S303))</f>
        <v>5</v>
      </c>
      <c r="Y303" s="35" t="str">
        <f aca="false">IF(G303="N/A","N/A",IF(X303="","No data",INDEX(Config!$B$5:$B$9,X303)))</f>
        <v>High</v>
      </c>
      <c r="Z303" s="7" t="str">
        <f aca="false">IF(U303=0,"None",IF(W303="Y","Applied","Pending HO approval"))</f>
        <v>None</v>
      </c>
      <c r="AA303" s="12" t="str">
        <f aca="false">INDEX('Risk Taxonomy'!$G$5:$G$24,MATCH(D303,'Risk Taxonomy'!$A$5:$A$24,0))</f>
        <v>Low</v>
      </c>
      <c r="AB303" s="7" t="str">
        <f aca="false">INDEX('Risk Taxonomy'!$H$5:$H$24,MATCH(D303,'Risk Taxonomy'!$A$5:$A$24,0))</f>
        <v>Medium</v>
      </c>
      <c r="AC303" s="35" t="str">
        <f aca="false">IF(NOT(ISNUMBER(X303)),"",IF(X303&lt;=MATCH(AB303,Config!$B$5:$B$9,0),"Within",IF(OR(X303-MATCH(AB303,Config!$B$5:$B$9,0)&gt;=2,AND('Residual Config'!$C$8="Y",ISNUMBER(SEARCH("Zero",AA303)))),"Red","Amber")))</f>
        <v>Red</v>
      </c>
      <c r="AD303" s="12" t="str">
        <f aca="false">IF(AC303="Red","Group CCO / CRO and Country CEO within 2 business days; action plan in 15 days; report to Board Risk &amp; Compliance Committee",IF(AC303="Amber","Country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04" customFormat="false" ht="15" hidden="false" customHeight="false" outlineLevel="0" collapsed="false">
      <c r="A304" s="26" t="str">
        <f aca="false">Entities!$A$19</f>
        <v>IQ</v>
      </c>
      <c r="B304" s="12" t="str">
        <f aca="false">INDEX(Entities!$B$5:$B$34,MATCH(A304,Entities!$A$5:$A$34,0))</f>
        <v>Arab Bank Iraq</v>
      </c>
      <c r="C304" s="12" t="str">
        <f aca="false">INDEX(Entities!$D$5:$D$34,MATCH(A304,Entities!$A$5:$A$34,0))</f>
        <v>Iraq and Yemen</v>
      </c>
      <c r="D304" s="12" t="s">
        <v>322</v>
      </c>
      <c r="E304" s="12" t="str">
        <f aca="false">INDEX('Risk Taxonomy'!$B$5:$B$24,MATCH(D304,'Risk Taxonomy'!$A$5:$A$24,0))</f>
        <v>Strategic, business model and ESG</v>
      </c>
      <c r="F304" s="29" t="n">
        <f aca="false">IF(NOT(ISNUMBER(G304)),"",G304)</f>
        <v>4</v>
      </c>
      <c r="G304" s="34" t="n">
        <f aca="false">IF(COUNTIFS('LxI Assessment'!$A$5:$A$394,A304,'LxI Assessment'!$D$5:$D$394,D304,'LxI Assessment'!$F$5:$F$394,"N/A")&gt;0,"N/A",IF(COUNTIFS('LxI Assessment'!$A$5:$A$394,A304,'LxI Assessment'!$D$5:$D$394,D304,'LxI Assessment'!$S$5:$S$394,"&gt;0")=0,"",SUMIFS('LxI Assessment'!$S$5:$S$394,'LxI Assessment'!$A$5:$A$394,A304,'LxI Assessment'!$D$5:$D$394,D304)))</f>
        <v>4</v>
      </c>
      <c r="H304" s="7" t="str">
        <f aca="false">IF(G304="N/A","N/A",IF(G304="","No data",INDEX(Config!$B$5:$B$9,G304)))</f>
        <v>Medium-High</v>
      </c>
      <c r="I304" s="31" t="n">
        <f aca="false">IF(NOT(ISNUMBER($G304)),"",SUMPRODUCT(('Control Mapping'!$C$5:$C$83=D304)*('Control Mapping'!$U$5:$U$83&gt;0)))</f>
        <v>1</v>
      </c>
      <c r="J304" s="31" t="n">
        <f aca="false">IF(NOT(ISNUMBER($G304)),"",SUMPRODUCT(('Control Mapping'!$C$5:$C$83=D304)*('Control Mapping'!$F$5:$F$83="Y")*('Control Mapping'!$U$5:$U$83&gt;0)))</f>
        <v>1</v>
      </c>
      <c r="K304" s="31" t="n">
        <f aca="false">IF(NOT(ISNUMBER($G304)),"",SUMPRODUCT(('Control Mapping'!$C$5:$C$83=D304)*('Control Mapping'!$F$5:$F$83="Y")*('Control Mapping'!$U$5:$U$83=4)))</f>
        <v>1</v>
      </c>
      <c r="L304" s="29" t="n">
        <f aca="false">IF(NOT(ISNUMBER($G304)),"",IFERROR(SUMPRODUCT(('Control Mapping'!$C$5:$C$83=D304)*'Control Mapping'!$E$5:$E$83*'Control Mapping'!$U$5:$U$83)/SUMPRODUCT(('Control Mapping'!$C$5:$C$83=D304)*'Control Mapping'!$E$5:$E$83*('Control Mapping'!$U$5:$U$83&gt;0)),""))</f>
        <v>4</v>
      </c>
      <c r="M304" s="34" t="n">
        <f aca="false">IF(NOT(ISNUMBER($G304)),"",IF(J304=0,4,MAX(MATCH(L304,'Residual Config'!$E$11:$E$14,1),IF(K304&gt;0,'Residual Config'!$C$7,1))))</f>
        <v>4</v>
      </c>
      <c r="N304" s="7" t="str">
        <f aca="false">IF(NOT(ISNUMBER($G304)),"",IF(J304=0,"Ineffective (no key control)",INDEX('Residual Config'!$B$11:$B$14,M304)))</f>
        <v>Ineffective</v>
      </c>
      <c r="O304" s="36" t="n">
        <f aca="false">IF(NOT(ISNUMBER($G304)),"",IF(J304=0,0,SUMPRODUCT(('Control Mapping'!$C$5:$C$83=D304)*'Control Mapping'!$E$5:$E$83*(('Control Mapping'!$U$5:$U$83=1)*'Residual Config'!$D$11+('Control Mapping'!$U$5:$U$83=2)*'Residual Config'!$D$12+('Control Mapping'!$U$5:$U$83=3)*'Residual Config'!$D$13+('Control Mapping'!$U$5:$U$83=4)*'Residual Config'!$D$14))/SUMPRODUCT(('Control Mapping'!$C$5:$C$83=D304)*'Control Mapping'!$E$5:$E$83*('Control Mapping'!$U$5:$U$83&gt;0))))</f>
        <v>0</v>
      </c>
      <c r="P304" s="31" t="n">
        <f aca="false">IF(NOT(ISNUMBER($G304)),"",INDEX('Residual Config'!$B$19:$E$23,6-G304,M304))</f>
        <v>4</v>
      </c>
      <c r="Q304" s="29" t="n">
        <f aca="false">IF(NOT(ISNUMBER($G304)),"",MAX(1,F304*(1-O304)))</f>
        <v>4</v>
      </c>
      <c r="R304" s="31" t="n">
        <f aca="false">IF(NOT(ISNUMBER($G304)),"",MAX(MATCH(Q304,Config!$D$5:$D$9,1),G304-'Residual Config'!$C$6))</f>
        <v>4</v>
      </c>
      <c r="S304" s="34" t="n">
        <f aca="false">IF(NOT(ISNUMBER($G304)),"",IF('Residual Config'!$C$5="Numeric",R304,P304))</f>
        <v>4</v>
      </c>
      <c r="T304" s="7" t="str">
        <f aca="false">IF(G304="N/A","N/A",IF(S304="","No data",INDEX(Config!$B$5:$B$9,S304)))</f>
        <v>Medium-High</v>
      </c>
      <c r="U304" s="32" t="n">
        <v>0</v>
      </c>
      <c r="V304" s="8"/>
      <c r="W304" s="33"/>
      <c r="X304" s="34" t="n">
        <f aca="false">IF(S304="","",IF(AND(W304="Y",U304&lt;&gt;0),MAX(1,MIN(5,S304+MAX(-Config!$C$27,MIN(Config!$C$27,U304)))),S304))</f>
        <v>4</v>
      </c>
      <c r="Y304" s="35" t="str">
        <f aca="false">IF(G304="N/A","N/A",IF(X304="","No data",INDEX(Config!$B$5:$B$9,X304)))</f>
        <v>Medium-High</v>
      </c>
      <c r="Z304" s="7" t="str">
        <f aca="false">IF(U304=0,"None",IF(W304="Y","Applied","Pending HO approval"))</f>
        <v>None</v>
      </c>
      <c r="AA304" s="12" t="str">
        <f aca="false">INDEX('Risk Taxonomy'!$G$5:$G$24,MATCH(D304,'Risk Taxonomy'!$A$5:$A$24,0))</f>
        <v>Moderate</v>
      </c>
      <c r="AB304" s="7" t="str">
        <f aca="false">INDEX('Risk Taxonomy'!$H$5:$H$24,MATCH(D304,'Risk Taxonomy'!$A$5:$A$24,0))</f>
        <v>Medium-High</v>
      </c>
      <c r="AC304" s="35" t="str">
        <f aca="false">IF(NOT(ISNUMBER(X304)),"",IF(X304&lt;=MATCH(AB304,Config!$B$5:$B$9,0),"Within",IF(OR(X304-MATCH(AB304,Config!$B$5:$B$9,0)&gt;=2,AND('Residual Config'!$C$8="Y",ISNUMBER(SEARCH("Zero",AA304)))),"Red","Amber")))</f>
        <v>Within</v>
      </c>
      <c r="AD304" s="12" t="str">
        <f aca="false">IF(AC304="Red","Group CCO / CRO and Country CEO within 2 business days; action plan in 15 days; report to Board Risk &amp; Compliance Committee",IF(AC304="Amber","Country CO, risk owner and HO Administrator within 5 business days; action plan in 30 days",""))</f>
        <v/>
      </c>
    </row>
    <row r="305" customFormat="false" ht="15" hidden="false" customHeight="false" outlineLevel="0" collapsed="false">
      <c r="A305" s="26" t="str">
        <f aca="false">Entities!$A$20</f>
        <v>YE</v>
      </c>
      <c r="B305" s="12" t="str">
        <f aca="false">INDEX(Entities!$B$5:$B$34,MATCH(A305,Entities!$A$5:$A$34,0))</f>
        <v>Arab Bank – Yemen</v>
      </c>
      <c r="C305" s="12" t="str">
        <f aca="false">INDEX(Entities!$D$5:$D$34,MATCH(A305,Entities!$A$5:$A$34,0))</f>
        <v>Iraq and Yemen</v>
      </c>
      <c r="D305" s="12" t="s">
        <v>260</v>
      </c>
      <c r="E305" s="12" t="str">
        <f aca="false">INDEX('Risk Taxonomy'!$B$5:$B$24,MATCH(D305,'Risk Taxonomy'!$A$5:$A$24,0))</f>
        <v>Money laundering</v>
      </c>
      <c r="F305" s="29" t="n">
        <f aca="false">IF(NOT(ISNUMBER(G305)),"",IFERROR(IF(MATCH(SUMIFS('FC Calculation'!$N$5:$N$214,'FC Calculation'!$A$5:$A$214,A305,'FC Calculation'!$D$5:$D$214,D305),Config!$D$5:$D$9,1)=G305,SUMIFS('FC Calculation'!$N$5:$N$214,'FC Calculation'!$A$5:$A$214,A305,'FC Calculation'!$D$5:$D$214,D305),G305),G305))</f>
        <v>4.085</v>
      </c>
      <c r="G305" s="34" t="n">
        <f aca="false">IF(COUNTIFS('FC Calculation'!$A$5:$A$214,A305,'FC Calculation'!$D$5:$D$214,D305,'FC Calculation'!$T$5:$T$214,"&gt;0")=0,"",SUMIFS('FC Calculation'!$T$5:$T$214,'FC Calculation'!$A$5:$A$214,A305,'FC Calculation'!$D$5:$D$214,D305))</f>
        <v>4</v>
      </c>
      <c r="H305" s="7" t="str">
        <f aca="false">IF(G305="N/A","N/A",IF(G305="","No data",INDEX(Config!$B$5:$B$9,G305)))</f>
        <v>Medium-High</v>
      </c>
      <c r="I305" s="31" t="n">
        <f aca="false">IF(NOT(ISNUMBER($G305)),"",SUMPRODUCT(('Control Mapping'!$C$5:$C$83=D305)*('Control Mapping'!$V$5:$V$83&gt;0)))</f>
        <v>12</v>
      </c>
      <c r="J305" s="31" t="n">
        <f aca="false">IF(NOT(ISNUMBER($G305)),"",SUMPRODUCT(('Control Mapping'!$C$5:$C$83=D305)*('Control Mapping'!$F$5:$F$83="Y")*('Control Mapping'!$V$5:$V$83&gt;0)))</f>
        <v>9</v>
      </c>
      <c r="K305" s="31" t="n">
        <f aca="false">IF(NOT(ISNUMBER($G305)),"",SUMPRODUCT(('Control Mapping'!$C$5:$C$83=D305)*('Control Mapping'!$F$5:$F$83="Y")*('Control Mapping'!$V$5:$V$83=4)))</f>
        <v>2</v>
      </c>
      <c r="L305" s="29" t="n">
        <f aca="false">IF(NOT(ISNUMBER($G305)),"",IFERROR(SUMPRODUCT(('Control Mapping'!$C$5:$C$83=D305)*'Control Mapping'!$E$5:$E$83*'Control Mapping'!$V$5:$V$83)/SUMPRODUCT(('Control Mapping'!$C$5:$C$83=D305)*'Control Mapping'!$E$5:$E$83*('Control Mapping'!$V$5:$V$83&gt;0)),""))</f>
        <v>2.69565217391304</v>
      </c>
      <c r="M305" s="34" t="n">
        <f aca="false">IF(NOT(ISNUMBER($G305)),"",IF(J305=0,4,MAX(MATCH(L305,'Residual Config'!$E$11:$E$14,1),IF(K305&gt;0,'Residual Config'!$C$7,1))))</f>
        <v>3</v>
      </c>
      <c r="N305" s="7" t="str">
        <f aca="false">IF(NOT(ISNUMBER($G305)),"",IF(J305=0,"Ineffective (no key control)",INDEX('Residual Config'!$B$11:$B$14,M305)))</f>
        <v>Partially effective</v>
      </c>
      <c r="O305" s="36" t="n">
        <f aca="false">IF(NOT(ISNUMBER($G305)),"",IF(J305=0,0,SUMPRODUCT(('Control Mapping'!$C$5:$C$83=D305)*'Control Mapping'!$E$5:$E$83*(('Control Mapping'!$V$5:$V$83=1)*'Residual Config'!$D$11+('Control Mapping'!$V$5:$V$83=2)*'Residual Config'!$D$12+('Control Mapping'!$V$5:$V$83=3)*'Residual Config'!$D$13+('Control Mapping'!$V$5:$V$83=4)*'Residual Config'!$D$14))/SUMPRODUCT(('Control Mapping'!$C$5:$C$83=D305)*'Control Mapping'!$E$5:$E$83*('Control Mapping'!$V$5:$V$83&gt;0))))</f>
        <v>0.260869565217391</v>
      </c>
      <c r="P305" s="31" t="n">
        <f aca="false">IF(NOT(ISNUMBER($G305)),"",INDEX('Residual Config'!$B$19:$E$23,6-G305,M305))</f>
        <v>4</v>
      </c>
      <c r="Q305" s="29" t="n">
        <f aca="false">IF(NOT(ISNUMBER($G305)),"",MAX(1,F305*(1-O305)))</f>
        <v>3.01934782608696</v>
      </c>
      <c r="R305" s="31" t="n">
        <f aca="false">IF(NOT(ISNUMBER($G305)),"",MAX(MATCH(Q305,Config!$D$5:$D$9,1),G305-'Residual Config'!$C$6))</f>
        <v>3</v>
      </c>
      <c r="S305" s="34" t="n">
        <f aca="false">IF(NOT(ISNUMBER($G305)),"",IF('Residual Config'!$C$5="Numeric",R305,P305))</f>
        <v>4</v>
      </c>
      <c r="T305" s="7" t="str">
        <f aca="false">IF(G305="N/A","N/A",IF(S305="","No data",INDEX(Config!$B$5:$B$9,S305)))</f>
        <v>Medium-High</v>
      </c>
      <c r="U305" s="32" t="n">
        <v>0</v>
      </c>
      <c r="V305" s="8"/>
      <c r="W305" s="33"/>
      <c r="X305" s="34" t="n">
        <f aca="false">IF(S305="","",IF(AND(W305="Y",U305&lt;&gt;0),MAX(1,MIN(5,S305+MAX(-Config!$C$27,MIN(Config!$C$27,U305)))),S305))</f>
        <v>4</v>
      </c>
      <c r="Y305" s="35" t="str">
        <f aca="false">IF(G305="N/A","N/A",IF(X305="","No data",INDEX(Config!$B$5:$B$9,X305)))</f>
        <v>Medium-High</v>
      </c>
      <c r="Z305" s="7" t="str">
        <f aca="false">IF(U305=0,"None",IF(W305="Y","Applied","Pending HO approval"))</f>
        <v>None</v>
      </c>
      <c r="AA305" s="12" t="str">
        <f aca="false">INDEX('Risk Taxonomy'!$G$5:$G$24,MATCH(D305,'Risk Taxonomy'!$A$5:$A$24,0))</f>
        <v>Very low</v>
      </c>
      <c r="AB305" s="7" t="str">
        <f aca="false">INDEX('Risk Taxonomy'!$H$5:$H$24,MATCH(D305,'Risk Taxonomy'!$A$5:$A$24,0))</f>
        <v>Medium-Low</v>
      </c>
      <c r="AC305" s="35" t="str">
        <f aca="false">IF(NOT(ISNUMBER(X305)),"",IF(X305&lt;=MATCH(AB305,Config!$B$5:$B$9,0),"Within",IF(OR(X305-MATCH(AB305,Config!$B$5:$B$9,0)&gt;=2,AND('Residual Config'!$C$8="Y",ISNUMBER(SEARCH("Zero",AA305)))),"Red","Amber")))</f>
        <v>Red</v>
      </c>
      <c r="AD305" s="12" t="str">
        <f aca="false">IF(AC305="Red","Group CCO / CRO and Country CEO within 2 business days; action plan in 15 days; report to Board Risk &amp; Compliance Committee",IF(AC305="Amber","Country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06" customFormat="false" ht="15" hidden="false" customHeight="false" outlineLevel="0" collapsed="false">
      <c r="A306" s="26" t="str">
        <f aca="false">Entities!$A$20</f>
        <v>YE</v>
      </c>
      <c r="B306" s="12" t="str">
        <f aca="false">INDEX(Entities!$B$5:$B$34,MATCH(A306,Entities!$A$5:$A$34,0))</f>
        <v>Arab Bank – Yemen</v>
      </c>
      <c r="C306" s="12" t="str">
        <f aca="false">INDEX(Entities!$D$5:$D$34,MATCH(A306,Entities!$A$5:$A$34,0))</f>
        <v>Iraq and Yemen</v>
      </c>
      <c r="D306" s="12" t="s">
        <v>267</v>
      </c>
      <c r="E306" s="12" t="str">
        <f aca="false">INDEX('Risk Taxonomy'!$B$5:$B$24,MATCH(D306,'Risk Taxonomy'!$A$5:$A$24,0))</f>
        <v>Terrorist financing</v>
      </c>
      <c r="F306" s="29" t="n">
        <f aca="false">IF(NOT(ISNUMBER(G306)),"",IFERROR(IF(MATCH(SUMIFS('FC Calculation'!$N$5:$N$214,'FC Calculation'!$A$5:$A$214,A306,'FC Calculation'!$D$5:$D$214,D306),Config!$D$5:$D$9,1)=G306,SUMIFS('FC Calculation'!$N$5:$N$214,'FC Calculation'!$A$5:$A$214,A306,'FC Calculation'!$D$5:$D$214,D306),G306),G306))</f>
        <v>4.02142857142857</v>
      </c>
      <c r="G306" s="34" t="n">
        <f aca="false">IF(COUNTIFS('FC Calculation'!$A$5:$A$214,A306,'FC Calculation'!$D$5:$D$214,D306,'FC Calculation'!$T$5:$T$214,"&gt;0")=0,"",SUMIFS('FC Calculation'!$T$5:$T$214,'FC Calculation'!$A$5:$A$214,A306,'FC Calculation'!$D$5:$D$214,D306))</f>
        <v>4</v>
      </c>
      <c r="H306" s="7" t="str">
        <f aca="false">IF(G306="N/A","N/A",IF(G306="","No data",INDEX(Config!$B$5:$B$9,G306)))</f>
        <v>Medium-High</v>
      </c>
      <c r="I306" s="31" t="n">
        <f aca="false">IF(NOT(ISNUMBER($G306)),"",SUMPRODUCT(('Control Mapping'!$C$5:$C$83=D306)*('Control Mapping'!$V$5:$V$83&gt;0)))</f>
        <v>12</v>
      </c>
      <c r="J306" s="31" t="n">
        <f aca="false">IF(NOT(ISNUMBER($G306)),"",SUMPRODUCT(('Control Mapping'!$C$5:$C$83=D306)*('Control Mapping'!$F$5:$F$83="Y")*('Control Mapping'!$V$5:$V$83&gt;0)))</f>
        <v>9</v>
      </c>
      <c r="K306" s="31" t="n">
        <f aca="false">IF(NOT(ISNUMBER($G306)),"",SUMPRODUCT(('Control Mapping'!$C$5:$C$83=D306)*('Control Mapping'!$F$5:$F$83="Y")*('Control Mapping'!$V$5:$V$83=4)))</f>
        <v>1</v>
      </c>
      <c r="L306" s="29" t="n">
        <f aca="false">IF(NOT(ISNUMBER($G306)),"",IFERROR(SUMPRODUCT(('Control Mapping'!$C$5:$C$83=D306)*'Control Mapping'!$E$5:$E$83*'Control Mapping'!$V$5:$V$83)/SUMPRODUCT(('Control Mapping'!$C$5:$C$83=D306)*'Control Mapping'!$E$5:$E$83*('Control Mapping'!$V$5:$V$83&gt;0)),""))</f>
        <v>2.47368421052632</v>
      </c>
      <c r="M306" s="34" t="n">
        <f aca="false">IF(NOT(ISNUMBER($G306)),"",IF(J306=0,4,MAX(MATCH(L306,'Residual Config'!$E$11:$E$14,1),IF(K306&gt;0,'Residual Config'!$C$7,1))))</f>
        <v>3</v>
      </c>
      <c r="N306" s="7" t="str">
        <f aca="false">IF(NOT(ISNUMBER($G306)),"",IF(J306=0,"Ineffective (no key control)",INDEX('Residual Config'!$B$11:$B$14,M306)))</f>
        <v>Partially effective</v>
      </c>
      <c r="O306" s="36" t="n">
        <f aca="false">IF(NOT(ISNUMBER($G306)),"",IF(J306=0,0,SUMPRODUCT(('Control Mapping'!$C$5:$C$83=D306)*'Control Mapping'!$E$5:$E$83*(('Control Mapping'!$V$5:$V$83=1)*'Residual Config'!$D$11+('Control Mapping'!$V$5:$V$83=2)*'Residual Config'!$D$12+('Control Mapping'!$V$5:$V$83=3)*'Residual Config'!$D$13+('Control Mapping'!$V$5:$V$83=4)*'Residual Config'!$D$14))/SUMPRODUCT(('Control Mapping'!$C$5:$C$83=D306)*'Control Mapping'!$E$5:$E$83*('Control Mapping'!$V$5:$V$83&gt;0))))</f>
        <v>0.305263157894737</v>
      </c>
      <c r="P306" s="31" t="n">
        <f aca="false">IF(NOT(ISNUMBER($G306)),"",INDEX('Residual Config'!$B$19:$E$23,6-G306,M306))</f>
        <v>4</v>
      </c>
      <c r="Q306" s="29" t="n">
        <f aca="false">IF(NOT(ISNUMBER($G306)),"",MAX(1,F306*(1-O306)))</f>
        <v>2.79383458646617</v>
      </c>
      <c r="R306" s="31" t="n">
        <f aca="false">IF(NOT(ISNUMBER($G306)),"",MAX(MATCH(Q306,Config!$D$5:$D$9,1),G306-'Residual Config'!$C$6))</f>
        <v>3</v>
      </c>
      <c r="S306" s="34" t="n">
        <f aca="false">IF(NOT(ISNUMBER($G306)),"",IF('Residual Config'!$C$5="Numeric",R306,P306))</f>
        <v>4</v>
      </c>
      <c r="T306" s="7" t="str">
        <f aca="false">IF(G306="N/A","N/A",IF(S306="","No data",INDEX(Config!$B$5:$B$9,S306)))</f>
        <v>Medium-High</v>
      </c>
      <c r="U306" s="32" t="n">
        <v>0</v>
      </c>
      <c r="V306" s="8"/>
      <c r="W306" s="33"/>
      <c r="X306" s="34" t="n">
        <f aca="false">IF(S306="","",IF(AND(W306="Y",U306&lt;&gt;0),MAX(1,MIN(5,S306+MAX(-Config!$C$27,MIN(Config!$C$27,U306)))),S306))</f>
        <v>4</v>
      </c>
      <c r="Y306" s="35" t="str">
        <f aca="false">IF(G306="N/A","N/A",IF(X306="","No data",INDEX(Config!$B$5:$B$9,X306)))</f>
        <v>Medium-High</v>
      </c>
      <c r="Z306" s="7" t="str">
        <f aca="false">IF(U306=0,"None",IF(W306="Y","Applied","Pending HO approval"))</f>
        <v>None</v>
      </c>
      <c r="AA306" s="12" t="str">
        <f aca="false">INDEX('Risk Taxonomy'!$G$5:$G$24,MATCH(D306,'Risk Taxonomy'!$A$5:$A$24,0))</f>
        <v>Zero tolerance</v>
      </c>
      <c r="AB306" s="7" t="str">
        <f aca="false">INDEX('Risk Taxonomy'!$H$5:$H$24,MATCH(D306,'Risk Taxonomy'!$A$5:$A$24,0))</f>
        <v>Low</v>
      </c>
      <c r="AC306" s="35" t="str">
        <f aca="false">IF(NOT(ISNUMBER(X306)),"",IF(X306&lt;=MATCH(AB306,Config!$B$5:$B$9,0),"Within",IF(OR(X306-MATCH(AB306,Config!$B$5:$B$9,0)&gt;=2,AND('Residual Config'!$C$8="Y",ISNUMBER(SEARCH("Zero",AA306)))),"Red","Amber")))</f>
        <v>Red</v>
      </c>
      <c r="AD306" s="12" t="str">
        <f aca="false">IF(AC306="Red","Group CCO / CRO and Country CEO within 2 business days; action plan in 15 days; report to Board Risk &amp; Compliance Committee",IF(AC306="Amber","Country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07" customFormat="false" ht="15" hidden="false" customHeight="false" outlineLevel="0" collapsed="false">
      <c r="A307" s="26" t="str">
        <f aca="false">Entities!$A$20</f>
        <v>YE</v>
      </c>
      <c r="B307" s="12" t="str">
        <f aca="false">INDEX(Entities!$B$5:$B$34,MATCH(A307,Entities!$A$5:$A$34,0))</f>
        <v>Arab Bank – Yemen</v>
      </c>
      <c r="C307" s="12" t="str">
        <f aca="false">INDEX(Entities!$D$5:$D$34,MATCH(A307,Entities!$A$5:$A$34,0))</f>
        <v>Iraq and Yemen</v>
      </c>
      <c r="D307" s="12" t="s">
        <v>270</v>
      </c>
      <c r="E307" s="12" t="str">
        <f aca="false">INDEX('Risk Taxonomy'!$B$5:$B$24,MATCH(D307,'Risk Taxonomy'!$A$5:$A$24,0))</f>
        <v>Proliferation financing</v>
      </c>
      <c r="F307" s="29" t="n">
        <f aca="false">IF(NOT(ISNUMBER(G307)),"",IFERROR(IF(MATCH(SUMIFS('FC Calculation'!$N$5:$N$214,'FC Calculation'!$A$5:$A$214,A307,'FC Calculation'!$D$5:$D$214,D307),Config!$D$5:$D$9,1)=G307,SUMIFS('FC Calculation'!$N$5:$N$214,'FC Calculation'!$A$5:$A$214,A307,'FC Calculation'!$D$5:$D$214,D307),G307),G307))</f>
        <v>3.94583333333333</v>
      </c>
      <c r="G307" s="34" t="n">
        <f aca="false">IF(COUNTIFS('FC Calculation'!$A$5:$A$214,A307,'FC Calculation'!$D$5:$D$214,D307,'FC Calculation'!$T$5:$T$214,"&gt;0")=0,"",SUMIFS('FC Calculation'!$T$5:$T$214,'FC Calculation'!$A$5:$A$214,A307,'FC Calculation'!$D$5:$D$214,D307))</f>
        <v>4</v>
      </c>
      <c r="H307" s="7" t="str">
        <f aca="false">IF(G307="N/A","N/A",IF(G307="","No data",INDEX(Config!$B$5:$B$9,G307)))</f>
        <v>Medium-High</v>
      </c>
      <c r="I307" s="31" t="n">
        <f aca="false">IF(NOT(ISNUMBER($G307)),"",SUMPRODUCT(('Control Mapping'!$C$5:$C$83=D307)*('Control Mapping'!$V$5:$V$83&gt;0)))</f>
        <v>5</v>
      </c>
      <c r="J307" s="31" t="n">
        <f aca="false">IF(NOT(ISNUMBER($G307)),"",SUMPRODUCT(('Control Mapping'!$C$5:$C$83=D307)*('Control Mapping'!$F$5:$F$83="Y")*('Control Mapping'!$V$5:$V$83&gt;0)))</f>
        <v>5</v>
      </c>
      <c r="K307" s="31" t="n">
        <f aca="false">IF(NOT(ISNUMBER($G307)),"",SUMPRODUCT(('Control Mapping'!$C$5:$C$83=D307)*('Control Mapping'!$F$5:$F$83="Y")*('Control Mapping'!$V$5:$V$83=4)))</f>
        <v>1</v>
      </c>
      <c r="L307" s="29" t="n">
        <f aca="false">IF(NOT(ISNUMBER($G307)),"",IFERROR(SUMPRODUCT(('Control Mapping'!$C$5:$C$83=D307)*'Control Mapping'!$E$5:$E$83*'Control Mapping'!$V$5:$V$83)/SUMPRODUCT(('Control Mapping'!$C$5:$C$83=D307)*'Control Mapping'!$E$5:$E$83*('Control Mapping'!$V$5:$V$83&gt;0)),""))</f>
        <v>2.8</v>
      </c>
      <c r="M307" s="34" t="n">
        <f aca="false">IF(NOT(ISNUMBER($G307)),"",IF(J307=0,4,MAX(MATCH(L307,'Residual Config'!$E$11:$E$14,1),IF(K307&gt;0,'Residual Config'!$C$7,1))))</f>
        <v>3</v>
      </c>
      <c r="N307" s="7" t="str">
        <f aca="false">IF(NOT(ISNUMBER($G307)),"",IF(J307=0,"Ineffective (no key control)",INDEX('Residual Config'!$B$11:$B$14,M307)))</f>
        <v>Partially effective</v>
      </c>
      <c r="O307" s="36" t="n">
        <f aca="false">IF(NOT(ISNUMBER($G307)),"",IF(J307=0,0,SUMPRODUCT(('Control Mapping'!$C$5:$C$83=D307)*'Control Mapping'!$E$5:$E$83*(('Control Mapping'!$V$5:$V$83=1)*'Residual Config'!$D$11+('Control Mapping'!$V$5:$V$83=2)*'Residual Config'!$D$12+('Control Mapping'!$V$5:$V$83=3)*'Residual Config'!$D$13+('Control Mapping'!$V$5:$V$83=4)*'Residual Config'!$D$14))/SUMPRODUCT(('Control Mapping'!$C$5:$C$83=D307)*'Control Mapping'!$E$5:$E$83*('Control Mapping'!$V$5:$V$83&gt;0))))</f>
        <v>0.24</v>
      </c>
      <c r="P307" s="31" t="n">
        <f aca="false">IF(NOT(ISNUMBER($G307)),"",INDEX('Residual Config'!$B$19:$E$23,6-G307,M307))</f>
        <v>4</v>
      </c>
      <c r="Q307" s="29" t="n">
        <f aca="false">IF(NOT(ISNUMBER($G307)),"",MAX(1,F307*(1-O307)))</f>
        <v>2.99883333333333</v>
      </c>
      <c r="R307" s="31" t="n">
        <f aca="false">IF(NOT(ISNUMBER($G307)),"",MAX(MATCH(Q307,Config!$D$5:$D$9,1),G307-'Residual Config'!$C$6))</f>
        <v>3</v>
      </c>
      <c r="S307" s="34" t="n">
        <f aca="false">IF(NOT(ISNUMBER($G307)),"",IF('Residual Config'!$C$5="Numeric",R307,P307))</f>
        <v>4</v>
      </c>
      <c r="T307" s="7" t="str">
        <f aca="false">IF(G307="N/A","N/A",IF(S307="","No data",INDEX(Config!$B$5:$B$9,S307)))</f>
        <v>Medium-High</v>
      </c>
      <c r="U307" s="32" t="n">
        <v>0</v>
      </c>
      <c r="V307" s="8"/>
      <c r="W307" s="33"/>
      <c r="X307" s="34" t="n">
        <f aca="false">IF(S307="","",IF(AND(W307="Y",U307&lt;&gt;0),MAX(1,MIN(5,S307+MAX(-Config!$C$27,MIN(Config!$C$27,U307)))),S307))</f>
        <v>4</v>
      </c>
      <c r="Y307" s="35" t="str">
        <f aca="false">IF(G307="N/A","N/A",IF(X307="","No data",INDEX(Config!$B$5:$B$9,X307)))</f>
        <v>Medium-High</v>
      </c>
      <c r="Z307" s="7" t="str">
        <f aca="false">IF(U307=0,"None",IF(W307="Y","Applied","Pending HO approval"))</f>
        <v>None</v>
      </c>
      <c r="AA307" s="12" t="str">
        <f aca="false">INDEX('Risk Taxonomy'!$G$5:$G$24,MATCH(D307,'Risk Taxonomy'!$A$5:$A$24,0))</f>
        <v>Zero tolerance</v>
      </c>
      <c r="AB307" s="7" t="str">
        <f aca="false">INDEX('Risk Taxonomy'!$H$5:$H$24,MATCH(D307,'Risk Taxonomy'!$A$5:$A$24,0))</f>
        <v>Low</v>
      </c>
      <c r="AC307" s="35" t="str">
        <f aca="false">IF(NOT(ISNUMBER(X307)),"",IF(X307&lt;=MATCH(AB307,Config!$B$5:$B$9,0),"Within",IF(OR(X307-MATCH(AB307,Config!$B$5:$B$9,0)&gt;=2,AND('Residual Config'!$C$8="Y",ISNUMBER(SEARCH("Zero",AA307)))),"Red","Amber")))</f>
        <v>Red</v>
      </c>
      <c r="AD307" s="12" t="str">
        <f aca="false">IF(AC307="Red","Group CCO / CRO and Country CEO within 2 business days; action plan in 15 days; report to Board Risk &amp; Compliance Committee",IF(AC307="Amber","Country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08" customFormat="false" ht="15" hidden="false" customHeight="false" outlineLevel="0" collapsed="false">
      <c r="A308" s="26" t="str">
        <f aca="false">Entities!$A$20</f>
        <v>YE</v>
      </c>
      <c r="B308" s="12" t="str">
        <f aca="false">INDEX(Entities!$B$5:$B$34,MATCH(A308,Entities!$A$5:$A$34,0))</f>
        <v>Arab Bank – Yemen</v>
      </c>
      <c r="C308" s="12" t="str">
        <f aca="false">INDEX(Entities!$D$5:$D$34,MATCH(A308,Entities!$A$5:$A$34,0))</f>
        <v>Iraq and Yemen</v>
      </c>
      <c r="D308" s="12" t="s">
        <v>272</v>
      </c>
      <c r="E308" s="12" t="str">
        <f aca="false">INDEX('Risk Taxonomy'!$B$5:$B$24,MATCH(D308,'Risk Taxonomy'!$A$5:$A$24,0))</f>
        <v>Sanctions</v>
      </c>
      <c r="F308" s="29" t="n">
        <f aca="false">IF(NOT(ISNUMBER(G308)),"",IFERROR(IF(MATCH(SUMIFS('FC Calculation'!$N$5:$N$214,'FC Calculation'!$A$5:$A$214,A308,'FC Calculation'!$D$5:$D$214,D308),Config!$D$5:$D$9,1)=G308,SUMIFS('FC Calculation'!$N$5:$N$214,'FC Calculation'!$A$5:$A$214,A308,'FC Calculation'!$D$5:$D$214,D308),G308),G308))</f>
        <v>4.00619047619048</v>
      </c>
      <c r="G308" s="34" t="n">
        <f aca="false">IF(COUNTIFS('FC Calculation'!$A$5:$A$214,A308,'FC Calculation'!$D$5:$D$214,D308,'FC Calculation'!$T$5:$T$214,"&gt;0")=0,"",SUMIFS('FC Calculation'!$T$5:$T$214,'FC Calculation'!$A$5:$A$214,A308,'FC Calculation'!$D$5:$D$214,D308))</f>
        <v>4</v>
      </c>
      <c r="H308" s="7" t="str">
        <f aca="false">IF(G308="N/A","N/A",IF(G308="","No data",INDEX(Config!$B$5:$B$9,G308)))</f>
        <v>Medium-High</v>
      </c>
      <c r="I308" s="31" t="n">
        <f aca="false">IF(NOT(ISNUMBER($G308)),"",SUMPRODUCT(('Control Mapping'!$C$5:$C$83=D308)*('Control Mapping'!$V$5:$V$83&gt;0)))</f>
        <v>8</v>
      </c>
      <c r="J308" s="31" t="n">
        <f aca="false">IF(NOT(ISNUMBER($G308)),"",SUMPRODUCT(('Control Mapping'!$C$5:$C$83=D308)*('Control Mapping'!$F$5:$F$83="Y")*('Control Mapping'!$V$5:$V$83&gt;0)))</f>
        <v>5</v>
      </c>
      <c r="K308" s="31" t="n">
        <f aca="false">IF(NOT(ISNUMBER($G308)),"",SUMPRODUCT(('Control Mapping'!$C$5:$C$83=D308)*('Control Mapping'!$F$5:$F$83="Y")*('Control Mapping'!$V$5:$V$83=4)))</f>
        <v>1</v>
      </c>
      <c r="L308" s="29" t="n">
        <f aca="false">IF(NOT(ISNUMBER($G308)),"",IFERROR(SUMPRODUCT(('Control Mapping'!$C$5:$C$83=D308)*'Control Mapping'!$E$5:$E$83*'Control Mapping'!$V$5:$V$83)/SUMPRODUCT(('Control Mapping'!$C$5:$C$83=D308)*'Control Mapping'!$E$5:$E$83*('Control Mapping'!$V$5:$V$83&gt;0)),""))</f>
        <v>2.63636363636364</v>
      </c>
      <c r="M308" s="34" t="n">
        <f aca="false">IF(NOT(ISNUMBER($G308)),"",IF(J308=0,4,MAX(MATCH(L308,'Residual Config'!$E$11:$E$14,1),IF(K308&gt;0,'Residual Config'!$C$7,1))))</f>
        <v>3</v>
      </c>
      <c r="N308" s="7" t="str">
        <f aca="false">IF(NOT(ISNUMBER($G308)),"",IF(J308=0,"Ineffective (no key control)",INDEX('Residual Config'!$B$11:$B$14,M308)))</f>
        <v>Partially effective</v>
      </c>
      <c r="O308" s="36" t="n">
        <f aca="false">IF(NOT(ISNUMBER($G308)),"",IF(J308=0,0,SUMPRODUCT(('Control Mapping'!$C$5:$C$83=D308)*'Control Mapping'!$E$5:$E$83*(('Control Mapping'!$V$5:$V$83=1)*'Residual Config'!$D$11+('Control Mapping'!$V$5:$V$83=2)*'Residual Config'!$D$12+('Control Mapping'!$V$5:$V$83=3)*'Residual Config'!$D$13+('Control Mapping'!$V$5:$V$83=4)*'Residual Config'!$D$14))/SUMPRODUCT(('Control Mapping'!$C$5:$C$83=D308)*'Control Mapping'!$E$5:$E$83*('Control Mapping'!$V$5:$V$83&gt;0))))</f>
        <v>0.272727272727273</v>
      </c>
      <c r="P308" s="31" t="n">
        <f aca="false">IF(NOT(ISNUMBER($G308)),"",INDEX('Residual Config'!$B$19:$E$23,6-G308,M308))</f>
        <v>4</v>
      </c>
      <c r="Q308" s="29" t="n">
        <f aca="false">IF(NOT(ISNUMBER($G308)),"",MAX(1,F308*(1-O308)))</f>
        <v>2.91359307359307</v>
      </c>
      <c r="R308" s="31" t="n">
        <f aca="false">IF(NOT(ISNUMBER($G308)),"",MAX(MATCH(Q308,Config!$D$5:$D$9,1),G308-'Residual Config'!$C$6))</f>
        <v>3</v>
      </c>
      <c r="S308" s="34" t="n">
        <f aca="false">IF(NOT(ISNUMBER($G308)),"",IF('Residual Config'!$C$5="Numeric",R308,P308))</f>
        <v>4</v>
      </c>
      <c r="T308" s="7" t="str">
        <f aca="false">IF(G308="N/A","N/A",IF(S308="","No data",INDEX(Config!$B$5:$B$9,S308)))</f>
        <v>Medium-High</v>
      </c>
      <c r="U308" s="32" t="n">
        <v>0</v>
      </c>
      <c r="V308" s="8"/>
      <c r="W308" s="33"/>
      <c r="X308" s="34" t="n">
        <f aca="false">IF(S308="","",IF(AND(W308="Y",U308&lt;&gt;0),MAX(1,MIN(5,S308+MAX(-Config!$C$27,MIN(Config!$C$27,U308)))),S308))</f>
        <v>4</v>
      </c>
      <c r="Y308" s="35" t="str">
        <f aca="false">IF(G308="N/A","N/A",IF(X308="","No data",INDEX(Config!$B$5:$B$9,X308)))</f>
        <v>Medium-High</v>
      </c>
      <c r="Z308" s="7" t="str">
        <f aca="false">IF(U308=0,"None",IF(W308="Y","Applied","Pending HO approval"))</f>
        <v>None</v>
      </c>
      <c r="AA308" s="12" t="str">
        <f aca="false">INDEX('Risk Taxonomy'!$G$5:$G$24,MATCH(D308,'Risk Taxonomy'!$A$5:$A$24,0))</f>
        <v>Zero tolerance</v>
      </c>
      <c r="AB308" s="7" t="str">
        <f aca="false">INDEX('Risk Taxonomy'!$H$5:$H$24,MATCH(D308,'Risk Taxonomy'!$A$5:$A$24,0))</f>
        <v>Low</v>
      </c>
      <c r="AC308" s="35" t="str">
        <f aca="false">IF(NOT(ISNUMBER(X308)),"",IF(X308&lt;=MATCH(AB308,Config!$B$5:$B$9,0),"Within",IF(OR(X308-MATCH(AB308,Config!$B$5:$B$9,0)&gt;=2,AND('Residual Config'!$C$8="Y",ISNUMBER(SEARCH("Zero",AA308)))),"Red","Amber")))</f>
        <v>Red</v>
      </c>
      <c r="AD308" s="12" t="str">
        <f aca="false">IF(AC308="Red","Group CCO / CRO and Country CEO within 2 business days; action plan in 15 days; report to Board Risk &amp; Compliance Committee",IF(AC308="Amber","Country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09" customFormat="false" ht="15" hidden="false" customHeight="false" outlineLevel="0" collapsed="false">
      <c r="A309" s="26" t="str">
        <f aca="false">Entities!$A$20</f>
        <v>YE</v>
      </c>
      <c r="B309" s="12" t="str">
        <f aca="false">INDEX(Entities!$B$5:$B$34,MATCH(A309,Entities!$A$5:$A$34,0))</f>
        <v>Arab Bank – Yemen</v>
      </c>
      <c r="C309" s="12" t="str">
        <f aca="false">INDEX(Entities!$D$5:$D$34,MATCH(A309,Entities!$A$5:$A$34,0))</f>
        <v>Iraq and Yemen</v>
      </c>
      <c r="D309" s="12" t="s">
        <v>275</v>
      </c>
      <c r="E309" s="12" t="str">
        <f aca="false">INDEX('Risk Taxonomy'!$B$5:$B$24,MATCH(D309,'Risk Taxonomy'!$A$5:$A$24,0))</f>
        <v>Bribery and corruption</v>
      </c>
      <c r="F309" s="29" t="n">
        <f aca="false">IF(NOT(ISNUMBER(G309)),"",IFERROR(IF(MATCH(SUMIFS('FC Calculation'!$N$5:$N$214,'FC Calculation'!$A$5:$A$214,A309,'FC Calculation'!$D$5:$D$214,D309),Config!$D$5:$D$9,1)=G309,SUMIFS('FC Calculation'!$N$5:$N$214,'FC Calculation'!$A$5:$A$214,A309,'FC Calculation'!$D$5:$D$214,D309),G309),G309))</f>
        <v>4.11333333333333</v>
      </c>
      <c r="G309" s="34" t="n">
        <f aca="false">IF(COUNTIFS('FC Calculation'!$A$5:$A$214,A309,'FC Calculation'!$D$5:$D$214,D309,'FC Calculation'!$T$5:$T$214,"&gt;0")=0,"",SUMIFS('FC Calculation'!$T$5:$T$214,'FC Calculation'!$A$5:$A$214,A309,'FC Calculation'!$D$5:$D$214,D309))</f>
        <v>4</v>
      </c>
      <c r="H309" s="7" t="str">
        <f aca="false">IF(G309="N/A","N/A",IF(G309="","No data",INDEX(Config!$B$5:$B$9,G309)))</f>
        <v>Medium-High</v>
      </c>
      <c r="I309" s="31" t="n">
        <f aca="false">IF(NOT(ISNUMBER($G309)),"",SUMPRODUCT(('Control Mapping'!$C$5:$C$83=D309)*('Control Mapping'!$V$5:$V$83&gt;0)))</f>
        <v>5</v>
      </c>
      <c r="J309" s="31" t="n">
        <f aca="false">IF(NOT(ISNUMBER($G309)),"",SUMPRODUCT(('Control Mapping'!$C$5:$C$83=D309)*('Control Mapping'!$F$5:$F$83="Y")*('Control Mapping'!$V$5:$V$83&gt;0)))</f>
        <v>2</v>
      </c>
      <c r="K309" s="31" t="n">
        <f aca="false">IF(NOT(ISNUMBER($G309)),"",SUMPRODUCT(('Control Mapping'!$C$5:$C$83=D309)*('Control Mapping'!$F$5:$F$83="Y")*('Control Mapping'!$V$5:$V$83=4)))</f>
        <v>1</v>
      </c>
      <c r="L309" s="29" t="n">
        <f aca="false">IF(NOT(ISNUMBER($G309)),"",IFERROR(SUMPRODUCT(('Control Mapping'!$C$5:$C$83=D309)*'Control Mapping'!$E$5:$E$83*'Control Mapping'!$V$5:$V$83)/SUMPRODUCT(('Control Mapping'!$C$5:$C$83=D309)*'Control Mapping'!$E$5:$E$83*('Control Mapping'!$V$5:$V$83&gt;0)),""))</f>
        <v>2.66666666666667</v>
      </c>
      <c r="M309" s="34" t="n">
        <f aca="false">IF(NOT(ISNUMBER($G309)),"",IF(J309=0,4,MAX(MATCH(L309,'Residual Config'!$E$11:$E$14,1),IF(K309&gt;0,'Residual Config'!$C$7,1))))</f>
        <v>3</v>
      </c>
      <c r="N309" s="7" t="str">
        <f aca="false">IF(NOT(ISNUMBER($G309)),"",IF(J309=0,"Ineffective (no key control)",INDEX('Residual Config'!$B$11:$B$14,M309)))</f>
        <v>Partially effective</v>
      </c>
      <c r="O309" s="36" t="n">
        <f aca="false">IF(NOT(ISNUMBER($G309)),"",IF(J309=0,0,SUMPRODUCT(('Control Mapping'!$C$5:$C$83=D309)*'Control Mapping'!$E$5:$E$83*(('Control Mapping'!$V$5:$V$83=1)*'Residual Config'!$D$11+('Control Mapping'!$V$5:$V$83=2)*'Residual Config'!$D$12+('Control Mapping'!$V$5:$V$83=3)*'Residual Config'!$D$13+('Control Mapping'!$V$5:$V$83=4)*'Residual Config'!$D$14))/SUMPRODUCT(('Control Mapping'!$C$5:$C$83=D309)*'Control Mapping'!$E$5:$E$83*('Control Mapping'!$V$5:$V$83&gt;0))))</f>
        <v>0.266666666666667</v>
      </c>
      <c r="P309" s="31" t="n">
        <f aca="false">IF(NOT(ISNUMBER($G309)),"",INDEX('Residual Config'!$B$19:$E$23,6-G309,M309))</f>
        <v>4</v>
      </c>
      <c r="Q309" s="29" t="n">
        <f aca="false">IF(NOT(ISNUMBER($G309)),"",MAX(1,F309*(1-O309)))</f>
        <v>3.01644444444444</v>
      </c>
      <c r="R309" s="31" t="n">
        <f aca="false">IF(NOT(ISNUMBER($G309)),"",MAX(MATCH(Q309,Config!$D$5:$D$9,1),G309-'Residual Config'!$C$6))</f>
        <v>3</v>
      </c>
      <c r="S309" s="34" t="n">
        <f aca="false">IF(NOT(ISNUMBER($G309)),"",IF('Residual Config'!$C$5="Numeric",R309,P309))</f>
        <v>4</v>
      </c>
      <c r="T309" s="7" t="str">
        <f aca="false">IF(G309="N/A","N/A",IF(S309="","No data",INDEX(Config!$B$5:$B$9,S309)))</f>
        <v>Medium-High</v>
      </c>
      <c r="U309" s="32" t="n">
        <v>0</v>
      </c>
      <c r="V309" s="8"/>
      <c r="W309" s="33"/>
      <c r="X309" s="34" t="n">
        <f aca="false">IF(S309="","",IF(AND(W309="Y",U309&lt;&gt;0),MAX(1,MIN(5,S309+MAX(-Config!$C$27,MIN(Config!$C$27,U309)))),S309))</f>
        <v>4</v>
      </c>
      <c r="Y309" s="35" t="str">
        <f aca="false">IF(G309="N/A","N/A",IF(X309="","No data",INDEX(Config!$B$5:$B$9,X309)))</f>
        <v>Medium-High</v>
      </c>
      <c r="Z309" s="7" t="str">
        <f aca="false">IF(U309=0,"None",IF(W309="Y","Applied","Pending HO approval"))</f>
        <v>None</v>
      </c>
      <c r="AA309" s="12" t="str">
        <f aca="false">INDEX('Risk Taxonomy'!$G$5:$G$24,MATCH(D309,'Risk Taxonomy'!$A$5:$A$24,0))</f>
        <v>Zero tolerance</v>
      </c>
      <c r="AB309" s="7" t="str">
        <f aca="false">INDEX('Risk Taxonomy'!$H$5:$H$24,MATCH(D309,'Risk Taxonomy'!$A$5:$A$24,0))</f>
        <v>Low</v>
      </c>
      <c r="AC309" s="35" t="str">
        <f aca="false">IF(NOT(ISNUMBER(X309)),"",IF(X309&lt;=MATCH(AB309,Config!$B$5:$B$9,0),"Within",IF(OR(X309-MATCH(AB309,Config!$B$5:$B$9,0)&gt;=2,AND('Residual Config'!$C$8="Y",ISNUMBER(SEARCH("Zero",AA309)))),"Red","Amber")))</f>
        <v>Red</v>
      </c>
      <c r="AD309" s="12" t="str">
        <f aca="false">IF(AC309="Red","Group CCO / CRO and Country CEO within 2 business days; action plan in 15 days; report to Board Risk &amp; Compliance Committee",IF(AC309="Amber","Country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10" customFormat="false" ht="15" hidden="false" customHeight="false" outlineLevel="0" collapsed="false">
      <c r="A310" s="26" t="str">
        <f aca="false">Entities!$A$20</f>
        <v>YE</v>
      </c>
      <c r="B310" s="12" t="str">
        <f aca="false">INDEX(Entities!$B$5:$B$34,MATCH(A310,Entities!$A$5:$A$34,0))</f>
        <v>Arab Bank – Yemen</v>
      </c>
      <c r="C310" s="12" t="str">
        <f aca="false">INDEX(Entities!$D$5:$D$34,MATCH(A310,Entities!$A$5:$A$34,0))</f>
        <v>Iraq and Yemen</v>
      </c>
      <c r="D310" s="12" t="s">
        <v>278</v>
      </c>
      <c r="E310" s="12" t="str">
        <f aca="false">INDEX('Risk Taxonomy'!$B$5:$B$24,MATCH(D310,'Risk Taxonomy'!$A$5:$A$24,0))</f>
        <v>Fraud</v>
      </c>
      <c r="F310" s="29" t="n">
        <f aca="false">IF(NOT(ISNUMBER(G310)),"",IFERROR(IF(MATCH(SUMIFS('FC Calculation'!$N$5:$N$214,'FC Calculation'!$A$5:$A$214,A310,'FC Calculation'!$D$5:$D$214,D310),Config!$D$5:$D$9,1)=G310,SUMIFS('FC Calculation'!$N$5:$N$214,'FC Calculation'!$A$5:$A$214,A310,'FC Calculation'!$D$5:$D$214,D310),G310),G310))</f>
        <v>4.04</v>
      </c>
      <c r="G310" s="34" t="n">
        <f aca="false">IF(COUNTIFS('FC Calculation'!$A$5:$A$214,A310,'FC Calculation'!$D$5:$D$214,D310,'FC Calculation'!$T$5:$T$214,"&gt;0")=0,"",SUMIFS('FC Calculation'!$T$5:$T$214,'FC Calculation'!$A$5:$A$214,A310,'FC Calculation'!$D$5:$D$214,D310))</f>
        <v>4</v>
      </c>
      <c r="H310" s="7" t="str">
        <f aca="false">IF(G310="N/A","N/A",IF(G310="","No data",INDEX(Config!$B$5:$B$9,G310)))</f>
        <v>Medium-High</v>
      </c>
      <c r="I310" s="31" t="n">
        <f aca="false">IF(NOT(ISNUMBER($G310)),"",SUMPRODUCT(('Control Mapping'!$C$5:$C$83=D310)*('Control Mapping'!$V$5:$V$83&gt;0)))</f>
        <v>6</v>
      </c>
      <c r="J310" s="31" t="n">
        <f aca="false">IF(NOT(ISNUMBER($G310)),"",SUMPRODUCT(('Control Mapping'!$C$5:$C$83=D310)*('Control Mapping'!$F$5:$F$83="Y")*('Control Mapping'!$V$5:$V$83&gt;0)))</f>
        <v>5</v>
      </c>
      <c r="K310" s="31" t="n">
        <f aca="false">IF(NOT(ISNUMBER($G310)),"",SUMPRODUCT(('Control Mapping'!$C$5:$C$83=D310)*('Control Mapping'!$F$5:$F$83="Y")*('Control Mapping'!$V$5:$V$83=4)))</f>
        <v>1</v>
      </c>
      <c r="L310" s="29" t="n">
        <f aca="false">IF(NOT(ISNUMBER($G310)),"",IFERROR(SUMPRODUCT(('Control Mapping'!$C$5:$C$83=D310)*'Control Mapping'!$E$5:$E$83*'Control Mapping'!$V$5:$V$83)/SUMPRODUCT(('Control Mapping'!$C$5:$C$83=D310)*'Control Mapping'!$E$5:$E$83*('Control Mapping'!$V$5:$V$83&gt;0)),""))</f>
        <v>2.8</v>
      </c>
      <c r="M310" s="34" t="n">
        <f aca="false">IF(NOT(ISNUMBER($G310)),"",IF(J310=0,4,MAX(MATCH(L310,'Residual Config'!$E$11:$E$14,1),IF(K310&gt;0,'Residual Config'!$C$7,1))))</f>
        <v>3</v>
      </c>
      <c r="N310" s="7" t="str">
        <f aca="false">IF(NOT(ISNUMBER($G310)),"",IF(J310=0,"Ineffective (no key control)",INDEX('Residual Config'!$B$11:$B$14,M310)))</f>
        <v>Partially effective</v>
      </c>
      <c r="O310" s="36" t="n">
        <f aca="false">IF(NOT(ISNUMBER($G310)),"",IF(J310=0,0,SUMPRODUCT(('Control Mapping'!$C$5:$C$83=D310)*'Control Mapping'!$E$5:$E$83*(('Control Mapping'!$V$5:$V$83=1)*'Residual Config'!$D$11+('Control Mapping'!$V$5:$V$83=2)*'Residual Config'!$D$12+('Control Mapping'!$V$5:$V$83=3)*'Residual Config'!$D$13+('Control Mapping'!$V$5:$V$83=4)*'Residual Config'!$D$14))/SUMPRODUCT(('Control Mapping'!$C$5:$C$83=D310)*'Control Mapping'!$E$5:$E$83*('Control Mapping'!$V$5:$V$83&gt;0))))</f>
        <v>0.24</v>
      </c>
      <c r="P310" s="31" t="n">
        <f aca="false">IF(NOT(ISNUMBER($G310)),"",INDEX('Residual Config'!$B$19:$E$23,6-G310,M310))</f>
        <v>4</v>
      </c>
      <c r="Q310" s="29" t="n">
        <f aca="false">IF(NOT(ISNUMBER($G310)),"",MAX(1,F310*(1-O310)))</f>
        <v>3.0704</v>
      </c>
      <c r="R310" s="31" t="n">
        <f aca="false">IF(NOT(ISNUMBER($G310)),"",MAX(MATCH(Q310,Config!$D$5:$D$9,1),G310-'Residual Config'!$C$6))</f>
        <v>3</v>
      </c>
      <c r="S310" s="34" t="n">
        <f aca="false">IF(NOT(ISNUMBER($G310)),"",IF('Residual Config'!$C$5="Numeric",R310,P310))</f>
        <v>4</v>
      </c>
      <c r="T310" s="7" t="str">
        <f aca="false">IF(G310="N/A","N/A",IF(S310="","No data",INDEX(Config!$B$5:$B$9,S310)))</f>
        <v>Medium-High</v>
      </c>
      <c r="U310" s="32" t="n">
        <v>0</v>
      </c>
      <c r="V310" s="8"/>
      <c r="W310" s="33"/>
      <c r="X310" s="34" t="n">
        <f aca="false">IF(S310="","",IF(AND(W310="Y",U310&lt;&gt;0),MAX(1,MIN(5,S310+MAX(-Config!$C$27,MIN(Config!$C$27,U310)))),S310))</f>
        <v>4</v>
      </c>
      <c r="Y310" s="35" t="str">
        <f aca="false">IF(G310="N/A","N/A",IF(X310="","No data",INDEX(Config!$B$5:$B$9,X310)))</f>
        <v>Medium-High</v>
      </c>
      <c r="Z310" s="7" t="str">
        <f aca="false">IF(U310=0,"None",IF(W310="Y","Applied","Pending HO approval"))</f>
        <v>None</v>
      </c>
      <c r="AA310" s="12" t="str">
        <f aca="false">INDEX('Risk Taxonomy'!$G$5:$G$24,MATCH(D310,'Risk Taxonomy'!$A$5:$A$24,0))</f>
        <v>Low</v>
      </c>
      <c r="AB310" s="7" t="str">
        <f aca="false">INDEX('Risk Taxonomy'!$H$5:$H$24,MATCH(D310,'Risk Taxonomy'!$A$5:$A$24,0))</f>
        <v>Medium</v>
      </c>
      <c r="AC310" s="35" t="str">
        <f aca="false">IF(NOT(ISNUMBER(X310)),"",IF(X310&lt;=MATCH(AB310,Config!$B$5:$B$9,0),"Within",IF(OR(X310-MATCH(AB310,Config!$B$5:$B$9,0)&gt;=2,AND('Residual Config'!$C$8="Y",ISNUMBER(SEARCH("Zero",AA310)))),"Red","Amber")))</f>
        <v>Amber</v>
      </c>
      <c r="AD310" s="12" t="str">
        <f aca="false">IF(AC310="Red","Group CCO / CRO and Country CEO within 2 business days; action plan in 15 days; report to Board Risk &amp; Compliance Committee",IF(AC310="Amber","Country CO, risk owner and HO Administrator within 5 business days; action plan in 30 days",""))</f>
        <v>Country CO, risk owner and HO Administrator within 5 business days; action plan in 30 days</v>
      </c>
    </row>
    <row r="311" customFormat="false" ht="15" hidden="false" customHeight="false" outlineLevel="0" collapsed="false">
      <c r="A311" s="26" t="str">
        <f aca="false">Entities!$A$20</f>
        <v>YE</v>
      </c>
      <c r="B311" s="12" t="str">
        <f aca="false">INDEX(Entities!$B$5:$B$34,MATCH(A311,Entities!$A$5:$A$34,0))</f>
        <v>Arab Bank – Yemen</v>
      </c>
      <c r="C311" s="12" t="str">
        <f aca="false">INDEX(Entities!$D$5:$D$34,MATCH(A311,Entities!$A$5:$A$34,0))</f>
        <v>Iraq and Yemen</v>
      </c>
      <c r="D311" s="12" t="s">
        <v>281</v>
      </c>
      <c r="E311" s="12" t="str">
        <f aca="false">INDEX('Risk Taxonomy'!$B$5:$B$24,MATCH(D311,'Risk Taxonomy'!$A$5:$A$24,0))</f>
        <v>Tax evasion and tax transparency</v>
      </c>
      <c r="F311" s="29" t="n">
        <f aca="false">IF(NOT(ISNUMBER(G311)),"",IFERROR(IF(MATCH(SUMIFS('FC Calculation'!$N$5:$N$214,'FC Calculation'!$A$5:$A$214,A311,'FC Calculation'!$D$5:$D$214,D311),Config!$D$5:$D$9,1)=G311,SUMIFS('FC Calculation'!$N$5:$N$214,'FC Calculation'!$A$5:$A$214,A311,'FC Calculation'!$D$5:$D$214,D311),G311),G311))</f>
        <v>4.02444444444445</v>
      </c>
      <c r="G311" s="34" t="n">
        <f aca="false">IF(COUNTIFS('FC Calculation'!$A$5:$A$214,A311,'FC Calculation'!$D$5:$D$214,D311,'FC Calculation'!$T$5:$T$214,"&gt;0")=0,"",SUMIFS('FC Calculation'!$T$5:$T$214,'FC Calculation'!$A$5:$A$214,A311,'FC Calculation'!$D$5:$D$214,D311))</f>
        <v>4</v>
      </c>
      <c r="H311" s="7" t="str">
        <f aca="false">IF(G311="N/A","N/A",IF(G311="","No data",INDEX(Config!$B$5:$B$9,G311)))</f>
        <v>Medium-High</v>
      </c>
      <c r="I311" s="31" t="n">
        <f aca="false">IF(NOT(ISNUMBER($G311)),"",SUMPRODUCT(('Control Mapping'!$C$5:$C$83=D311)*('Control Mapping'!$V$5:$V$83&gt;0)))</f>
        <v>5</v>
      </c>
      <c r="J311" s="31" t="n">
        <f aca="false">IF(NOT(ISNUMBER($G311)),"",SUMPRODUCT(('Control Mapping'!$C$5:$C$83=D311)*('Control Mapping'!$F$5:$F$83="Y")*('Control Mapping'!$V$5:$V$83&gt;0)))</f>
        <v>4</v>
      </c>
      <c r="K311" s="31" t="n">
        <f aca="false">IF(NOT(ISNUMBER($G311)),"",SUMPRODUCT(('Control Mapping'!$C$5:$C$83=D311)*('Control Mapping'!$F$5:$F$83="Y")*('Control Mapping'!$V$5:$V$83=4)))</f>
        <v>2</v>
      </c>
      <c r="L311" s="29" t="n">
        <f aca="false">IF(NOT(ISNUMBER($G311)),"",IFERROR(SUMPRODUCT(('Control Mapping'!$C$5:$C$83=D311)*'Control Mapping'!$E$5:$E$83*'Control Mapping'!$V$5:$V$83)/SUMPRODUCT(('Control Mapping'!$C$5:$C$83=D311)*'Control Mapping'!$E$5:$E$83*('Control Mapping'!$V$5:$V$83&gt;0)),""))</f>
        <v>2.66666666666667</v>
      </c>
      <c r="M311" s="34" t="n">
        <f aca="false">IF(NOT(ISNUMBER($G311)),"",IF(J311=0,4,MAX(MATCH(L311,'Residual Config'!$E$11:$E$14,1),IF(K311&gt;0,'Residual Config'!$C$7,1))))</f>
        <v>3</v>
      </c>
      <c r="N311" s="7" t="str">
        <f aca="false">IF(NOT(ISNUMBER($G311)),"",IF(J311=0,"Ineffective (no key control)",INDEX('Residual Config'!$B$11:$B$14,M311)))</f>
        <v>Partially effective</v>
      </c>
      <c r="O311" s="36" t="n">
        <f aca="false">IF(NOT(ISNUMBER($G311)),"",IF(J311=0,0,SUMPRODUCT(('Control Mapping'!$C$5:$C$83=D311)*'Control Mapping'!$E$5:$E$83*(('Control Mapping'!$V$5:$V$83=1)*'Residual Config'!$D$11+('Control Mapping'!$V$5:$V$83=2)*'Residual Config'!$D$12+('Control Mapping'!$V$5:$V$83=3)*'Residual Config'!$D$13+('Control Mapping'!$V$5:$V$83=4)*'Residual Config'!$D$14))/SUMPRODUCT(('Control Mapping'!$C$5:$C$83=D311)*'Control Mapping'!$E$5:$E$83*('Control Mapping'!$V$5:$V$83&gt;0))))</f>
        <v>0.266666666666667</v>
      </c>
      <c r="P311" s="31" t="n">
        <f aca="false">IF(NOT(ISNUMBER($G311)),"",INDEX('Residual Config'!$B$19:$E$23,6-G311,M311))</f>
        <v>4</v>
      </c>
      <c r="Q311" s="29" t="n">
        <f aca="false">IF(NOT(ISNUMBER($G311)),"",MAX(1,F311*(1-O311)))</f>
        <v>2.95125925925926</v>
      </c>
      <c r="R311" s="31" t="n">
        <f aca="false">IF(NOT(ISNUMBER($G311)),"",MAX(MATCH(Q311,Config!$D$5:$D$9,1),G311-'Residual Config'!$C$6))</f>
        <v>3</v>
      </c>
      <c r="S311" s="34" t="n">
        <f aca="false">IF(NOT(ISNUMBER($G311)),"",IF('Residual Config'!$C$5="Numeric",R311,P311))</f>
        <v>4</v>
      </c>
      <c r="T311" s="7" t="str">
        <f aca="false">IF(G311="N/A","N/A",IF(S311="","No data",INDEX(Config!$B$5:$B$9,S311)))</f>
        <v>Medium-High</v>
      </c>
      <c r="U311" s="32" t="n">
        <v>0</v>
      </c>
      <c r="V311" s="8"/>
      <c r="W311" s="33"/>
      <c r="X311" s="34" t="n">
        <f aca="false">IF(S311="","",IF(AND(W311="Y",U311&lt;&gt;0),MAX(1,MIN(5,S311+MAX(-Config!$C$27,MIN(Config!$C$27,U311)))),S311))</f>
        <v>4</v>
      </c>
      <c r="Y311" s="35" t="str">
        <f aca="false">IF(G311="N/A","N/A",IF(X311="","No data",INDEX(Config!$B$5:$B$9,X311)))</f>
        <v>Medium-High</v>
      </c>
      <c r="Z311" s="7" t="str">
        <f aca="false">IF(U311=0,"None",IF(W311="Y","Applied","Pending HO approval"))</f>
        <v>None</v>
      </c>
      <c r="AA311" s="12" t="str">
        <f aca="false">INDEX('Risk Taxonomy'!$G$5:$G$24,MATCH(D311,'Risk Taxonomy'!$A$5:$A$24,0))</f>
        <v>Zero tolerance (facilitation)</v>
      </c>
      <c r="AB311" s="7" t="str">
        <f aca="false">INDEX('Risk Taxonomy'!$H$5:$H$24,MATCH(D311,'Risk Taxonomy'!$A$5:$A$24,0))</f>
        <v>Low</v>
      </c>
      <c r="AC311" s="35" t="str">
        <f aca="false">IF(NOT(ISNUMBER(X311)),"",IF(X311&lt;=MATCH(AB311,Config!$B$5:$B$9,0),"Within",IF(OR(X311-MATCH(AB311,Config!$B$5:$B$9,0)&gt;=2,AND('Residual Config'!$C$8="Y",ISNUMBER(SEARCH("Zero",AA311)))),"Red","Amber")))</f>
        <v>Red</v>
      </c>
      <c r="AD311" s="12" t="str">
        <f aca="false">IF(AC311="Red","Group CCO / CRO and Country CEO within 2 business days; action plan in 15 days; report to Board Risk &amp; Compliance Committee",IF(AC311="Amber","Country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12" customFormat="false" ht="15" hidden="false" customHeight="false" outlineLevel="0" collapsed="false">
      <c r="A312" s="26" t="str">
        <f aca="false">Entities!$A$20</f>
        <v>YE</v>
      </c>
      <c r="B312" s="12" t="str">
        <f aca="false">INDEX(Entities!$B$5:$B$34,MATCH(A312,Entities!$A$5:$A$34,0))</f>
        <v>Arab Bank – Yemen</v>
      </c>
      <c r="C312" s="12" t="str">
        <f aca="false">INDEX(Entities!$D$5:$D$34,MATCH(A312,Entities!$A$5:$A$34,0))</f>
        <v>Iraq and Yemen</v>
      </c>
      <c r="D312" s="12" t="s">
        <v>284</v>
      </c>
      <c r="E312" s="12" t="str">
        <f aca="false">INDEX('Risk Taxonomy'!$B$5:$B$24,MATCH(D312,'Risk Taxonomy'!$A$5:$A$24,0))</f>
        <v>Regulatory compliance</v>
      </c>
      <c r="F312" s="29" t="n">
        <f aca="false">IF(NOT(ISNUMBER(G312)),"",G312)</f>
        <v>5</v>
      </c>
      <c r="G312" s="34" t="n">
        <f aca="false">IF(COUNTIFS('LxI Assessment'!$A$5:$A$394,A312,'LxI Assessment'!$D$5:$D$394,D312,'LxI Assessment'!$F$5:$F$394,"N/A")&gt;0,"N/A",IF(COUNTIFS('LxI Assessment'!$A$5:$A$394,A312,'LxI Assessment'!$D$5:$D$394,D312,'LxI Assessment'!$S$5:$S$394,"&gt;0")=0,"",SUMIFS('LxI Assessment'!$S$5:$S$394,'LxI Assessment'!$A$5:$A$394,A312,'LxI Assessment'!$D$5:$D$394,D312)))</f>
        <v>5</v>
      </c>
      <c r="H312" s="7" t="str">
        <f aca="false">IF(G312="N/A","N/A",IF(G312="","No data",INDEX(Config!$B$5:$B$9,G312)))</f>
        <v>High</v>
      </c>
      <c r="I312" s="31" t="n">
        <f aca="false">IF(NOT(ISNUMBER($G312)),"",SUMPRODUCT(('Control Mapping'!$C$5:$C$83=D312)*('Control Mapping'!$V$5:$V$83&gt;0)))</f>
        <v>4</v>
      </c>
      <c r="J312" s="31" t="n">
        <f aca="false">IF(NOT(ISNUMBER($G312)),"",SUMPRODUCT(('Control Mapping'!$C$5:$C$83=D312)*('Control Mapping'!$F$5:$F$83="Y")*('Control Mapping'!$V$5:$V$83&gt;0)))</f>
        <v>3</v>
      </c>
      <c r="K312" s="31" t="n">
        <f aca="false">IF(NOT(ISNUMBER($G312)),"",SUMPRODUCT(('Control Mapping'!$C$5:$C$83=D312)*('Control Mapping'!$F$5:$F$83="Y")*('Control Mapping'!$V$5:$V$83=4)))</f>
        <v>0</v>
      </c>
      <c r="L312" s="29" t="n">
        <f aca="false">IF(NOT(ISNUMBER($G312)),"",IFERROR(SUMPRODUCT(('Control Mapping'!$C$5:$C$83=D312)*'Control Mapping'!$E$5:$E$83*'Control Mapping'!$V$5:$V$83)/SUMPRODUCT(('Control Mapping'!$C$5:$C$83=D312)*'Control Mapping'!$E$5:$E$83*('Control Mapping'!$V$5:$V$83&gt;0)),""))</f>
        <v>2.57142857142857</v>
      </c>
      <c r="M312" s="34" t="n">
        <f aca="false">IF(NOT(ISNUMBER($G312)),"",IF(J312=0,4,MAX(MATCH(L312,'Residual Config'!$E$11:$E$14,1),IF(K312&gt;0,'Residual Config'!$C$7,1))))</f>
        <v>3</v>
      </c>
      <c r="N312" s="7" t="str">
        <f aca="false">IF(NOT(ISNUMBER($G312)),"",IF(J312=0,"Ineffective (no key control)",INDEX('Residual Config'!$B$11:$B$14,M312)))</f>
        <v>Partially effective</v>
      </c>
      <c r="O312" s="36" t="n">
        <f aca="false">IF(NOT(ISNUMBER($G312)),"",IF(J312=0,0,SUMPRODUCT(('Control Mapping'!$C$5:$C$83=D312)*'Control Mapping'!$E$5:$E$83*(('Control Mapping'!$V$5:$V$83=1)*'Residual Config'!$D$11+('Control Mapping'!$V$5:$V$83=2)*'Residual Config'!$D$12+('Control Mapping'!$V$5:$V$83=3)*'Residual Config'!$D$13+('Control Mapping'!$V$5:$V$83=4)*'Residual Config'!$D$14))/SUMPRODUCT(('Control Mapping'!$C$5:$C$83=D312)*'Control Mapping'!$E$5:$E$83*('Control Mapping'!$V$5:$V$83&gt;0))))</f>
        <v>0.285714285714286</v>
      </c>
      <c r="P312" s="31" t="n">
        <f aca="false">IF(NOT(ISNUMBER($G312)),"",INDEX('Residual Config'!$B$19:$E$23,6-G312,M312))</f>
        <v>5</v>
      </c>
      <c r="Q312" s="29" t="n">
        <f aca="false">IF(NOT(ISNUMBER($G312)),"",MAX(1,F312*(1-O312)))</f>
        <v>3.57142857142857</v>
      </c>
      <c r="R312" s="31" t="n">
        <f aca="false">IF(NOT(ISNUMBER($G312)),"",MAX(MATCH(Q312,Config!$D$5:$D$9,1),G312-'Residual Config'!$C$6))</f>
        <v>4</v>
      </c>
      <c r="S312" s="34" t="n">
        <f aca="false">IF(NOT(ISNUMBER($G312)),"",IF('Residual Config'!$C$5="Numeric",R312,P312))</f>
        <v>5</v>
      </c>
      <c r="T312" s="7" t="str">
        <f aca="false">IF(G312="N/A","N/A",IF(S312="","No data",INDEX(Config!$B$5:$B$9,S312)))</f>
        <v>High</v>
      </c>
      <c r="U312" s="32" t="n">
        <v>0</v>
      </c>
      <c r="V312" s="8"/>
      <c r="W312" s="33"/>
      <c r="X312" s="34" t="n">
        <f aca="false">IF(S312="","",IF(AND(W312="Y",U312&lt;&gt;0),MAX(1,MIN(5,S312+MAX(-Config!$C$27,MIN(Config!$C$27,U312)))),S312))</f>
        <v>5</v>
      </c>
      <c r="Y312" s="35" t="str">
        <f aca="false">IF(G312="N/A","N/A",IF(X312="","No data",INDEX(Config!$B$5:$B$9,X312)))</f>
        <v>High</v>
      </c>
      <c r="Z312" s="7" t="str">
        <f aca="false">IF(U312=0,"None",IF(W312="Y","Applied","Pending HO approval"))</f>
        <v>None</v>
      </c>
      <c r="AA312" s="12" t="str">
        <f aca="false">INDEX('Risk Taxonomy'!$G$5:$G$24,MATCH(D312,'Risk Taxonomy'!$A$5:$A$24,0))</f>
        <v>Very low</v>
      </c>
      <c r="AB312" s="7" t="str">
        <f aca="false">INDEX('Risk Taxonomy'!$H$5:$H$24,MATCH(D312,'Risk Taxonomy'!$A$5:$A$24,0))</f>
        <v>Medium-Low</v>
      </c>
      <c r="AC312" s="35" t="str">
        <f aca="false">IF(NOT(ISNUMBER(X312)),"",IF(X312&lt;=MATCH(AB312,Config!$B$5:$B$9,0),"Within",IF(OR(X312-MATCH(AB312,Config!$B$5:$B$9,0)&gt;=2,AND('Residual Config'!$C$8="Y",ISNUMBER(SEARCH("Zero",AA312)))),"Red","Amber")))</f>
        <v>Red</v>
      </c>
      <c r="AD312" s="12" t="str">
        <f aca="false">IF(AC312="Red","Group CCO / CRO and Country CEO within 2 business days; action plan in 15 days; report to Board Risk &amp; Compliance Committee",IF(AC312="Amber","Country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13" customFormat="false" ht="15" hidden="false" customHeight="false" outlineLevel="0" collapsed="false">
      <c r="A313" s="26" t="str">
        <f aca="false">Entities!$A$20</f>
        <v>YE</v>
      </c>
      <c r="B313" s="12" t="str">
        <f aca="false">INDEX(Entities!$B$5:$B$34,MATCH(A313,Entities!$A$5:$A$34,0))</f>
        <v>Arab Bank – Yemen</v>
      </c>
      <c r="C313" s="12" t="str">
        <f aca="false">INDEX(Entities!$D$5:$D$34,MATCH(A313,Entities!$A$5:$A$34,0))</f>
        <v>Iraq and Yemen</v>
      </c>
      <c r="D313" s="12" t="s">
        <v>288</v>
      </c>
      <c r="E313" s="12" t="str">
        <f aca="false">INDEX('Risk Taxonomy'!$B$5:$B$24,MATCH(D313,'Risk Taxonomy'!$A$5:$A$24,0))</f>
        <v>Conduct and consumer protection</v>
      </c>
      <c r="F313" s="29" t="n">
        <f aca="false">IF(NOT(ISNUMBER(G313)),"",G313)</f>
        <v>3</v>
      </c>
      <c r="G313" s="34" t="n">
        <f aca="false">IF(COUNTIFS('LxI Assessment'!$A$5:$A$394,A313,'LxI Assessment'!$D$5:$D$394,D313,'LxI Assessment'!$F$5:$F$394,"N/A")&gt;0,"N/A",IF(COUNTIFS('LxI Assessment'!$A$5:$A$394,A313,'LxI Assessment'!$D$5:$D$394,D313,'LxI Assessment'!$S$5:$S$394,"&gt;0")=0,"",SUMIFS('LxI Assessment'!$S$5:$S$394,'LxI Assessment'!$A$5:$A$394,A313,'LxI Assessment'!$D$5:$D$394,D313)))</f>
        <v>3</v>
      </c>
      <c r="H313" s="7" t="str">
        <f aca="false">IF(G313="N/A","N/A",IF(G313="","No data",INDEX(Config!$B$5:$B$9,G313)))</f>
        <v>Medium</v>
      </c>
      <c r="I313" s="31" t="n">
        <f aca="false">IF(NOT(ISNUMBER($G313)),"",SUMPRODUCT(('Control Mapping'!$C$5:$C$83=D313)*('Control Mapping'!$V$5:$V$83&gt;0)))</f>
        <v>2</v>
      </c>
      <c r="J313" s="31" t="n">
        <f aca="false">IF(NOT(ISNUMBER($G313)),"",SUMPRODUCT(('Control Mapping'!$C$5:$C$83=D313)*('Control Mapping'!$F$5:$F$83="Y")*('Control Mapping'!$V$5:$V$83&gt;0)))</f>
        <v>1</v>
      </c>
      <c r="K313" s="31" t="n">
        <f aca="false">IF(NOT(ISNUMBER($G313)),"",SUMPRODUCT(('Control Mapping'!$C$5:$C$83=D313)*('Control Mapping'!$F$5:$F$83="Y")*('Control Mapping'!$V$5:$V$83=4)))</f>
        <v>0</v>
      </c>
      <c r="L313" s="29" t="n">
        <f aca="false">IF(NOT(ISNUMBER($G313)),"",IFERROR(SUMPRODUCT(('Control Mapping'!$C$5:$C$83=D313)*'Control Mapping'!$E$5:$E$83*'Control Mapping'!$V$5:$V$83)/SUMPRODUCT(('Control Mapping'!$C$5:$C$83=D313)*'Control Mapping'!$E$5:$E$83*('Control Mapping'!$V$5:$V$83&gt;0)),""))</f>
        <v>1.6</v>
      </c>
      <c r="M313" s="34" t="n">
        <f aca="false">IF(NOT(ISNUMBER($G313)),"",IF(J313=0,4,MAX(MATCH(L313,'Residual Config'!$E$11:$E$14,1),IF(K313&gt;0,'Residual Config'!$C$7,1))))</f>
        <v>2</v>
      </c>
      <c r="N313" s="7" t="str">
        <f aca="false">IF(NOT(ISNUMBER($G313)),"",IF(J313=0,"Ineffective (no key control)",INDEX('Residual Config'!$B$11:$B$14,M313)))</f>
        <v>Largely effective</v>
      </c>
      <c r="O313" s="36" t="n">
        <f aca="false">IF(NOT(ISNUMBER($G313)),"",IF(J313=0,0,SUMPRODUCT(('Control Mapping'!$C$5:$C$83=D313)*'Control Mapping'!$E$5:$E$83*(('Control Mapping'!$V$5:$V$83=1)*'Residual Config'!$D$11+('Control Mapping'!$V$5:$V$83=2)*'Residual Config'!$D$12+('Control Mapping'!$V$5:$V$83=3)*'Residual Config'!$D$13+('Control Mapping'!$V$5:$V$83=4)*'Residual Config'!$D$14))/SUMPRODUCT(('Control Mapping'!$C$5:$C$83=D313)*'Control Mapping'!$E$5:$E$83*('Control Mapping'!$V$5:$V$83&gt;0))))</f>
        <v>0.48</v>
      </c>
      <c r="P313" s="31" t="n">
        <f aca="false">IF(NOT(ISNUMBER($G313)),"",INDEX('Residual Config'!$B$19:$E$23,6-G313,M313))</f>
        <v>2</v>
      </c>
      <c r="Q313" s="29" t="n">
        <f aca="false">IF(NOT(ISNUMBER($G313)),"",MAX(1,F313*(1-O313)))</f>
        <v>1.56</v>
      </c>
      <c r="R313" s="31" t="n">
        <f aca="false">IF(NOT(ISNUMBER($G313)),"",MAX(MATCH(Q313,Config!$D$5:$D$9,1),G313-'Residual Config'!$C$6))</f>
        <v>1</v>
      </c>
      <c r="S313" s="34" t="n">
        <f aca="false">IF(NOT(ISNUMBER($G313)),"",IF('Residual Config'!$C$5="Numeric",R313,P313))</f>
        <v>2</v>
      </c>
      <c r="T313" s="7" t="str">
        <f aca="false">IF(G313="N/A","N/A",IF(S313="","No data",INDEX(Config!$B$5:$B$9,S313)))</f>
        <v>Medium-Low</v>
      </c>
      <c r="U313" s="32" t="n">
        <v>0</v>
      </c>
      <c r="V313" s="8"/>
      <c r="W313" s="33"/>
      <c r="X313" s="34" t="n">
        <f aca="false">IF(S313="","",IF(AND(W313="Y",U313&lt;&gt;0),MAX(1,MIN(5,S313+MAX(-Config!$C$27,MIN(Config!$C$27,U313)))),S313))</f>
        <v>2</v>
      </c>
      <c r="Y313" s="35" t="str">
        <f aca="false">IF(G313="N/A","N/A",IF(X313="","No data",INDEX(Config!$B$5:$B$9,X313)))</f>
        <v>Medium-Low</v>
      </c>
      <c r="Z313" s="7" t="str">
        <f aca="false">IF(U313=0,"None",IF(W313="Y","Applied","Pending HO approval"))</f>
        <v>None</v>
      </c>
      <c r="AA313" s="12" t="str">
        <f aca="false">INDEX('Risk Taxonomy'!$G$5:$G$24,MATCH(D313,'Risk Taxonomy'!$A$5:$A$24,0))</f>
        <v>Low</v>
      </c>
      <c r="AB313" s="7" t="str">
        <f aca="false">INDEX('Risk Taxonomy'!$H$5:$H$24,MATCH(D313,'Risk Taxonomy'!$A$5:$A$24,0))</f>
        <v>Medium</v>
      </c>
      <c r="AC313" s="35" t="str">
        <f aca="false">IF(NOT(ISNUMBER(X313)),"",IF(X313&lt;=MATCH(AB313,Config!$B$5:$B$9,0),"Within",IF(OR(X313-MATCH(AB313,Config!$B$5:$B$9,0)&gt;=2,AND('Residual Config'!$C$8="Y",ISNUMBER(SEARCH("Zero",AA313)))),"Red","Amber")))</f>
        <v>Within</v>
      </c>
      <c r="AD313" s="12" t="str">
        <f aca="false">IF(AC313="Red","Group CCO / CRO and Country CEO within 2 business days; action plan in 15 days; report to Board Risk &amp; Compliance Committee",IF(AC313="Amber","Country CO, risk owner and HO Administrator within 5 business days; action plan in 30 days",""))</f>
        <v/>
      </c>
    </row>
    <row r="314" customFormat="false" ht="15" hidden="false" customHeight="false" outlineLevel="0" collapsed="false">
      <c r="A314" s="26" t="str">
        <f aca="false">Entities!$A$20</f>
        <v>YE</v>
      </c>
      <c r="B314" s="12" t="str">
        <f aca="false">INDEX(Entities!$B$5:$B$34,MATCH(A314,Entities!$A$5:$A$34,0))</f>
        <v>Arab Bank – Yemen</v>
      </c>
      <c r="C314" s="12" t="str">
        <f aca="false">INDEX(Entities!$D$5:$D$34,MATCH(A314,Entities!$A$5:$A$34,0))</f>
        <v>Iraq and Yemen</v>
      </c>
      <c r="D314" s="12" t="s">
        <v>290</v>
      </c>
      <c r="E314" s="12" t="str">
        <f aca="false">INDEX('Risk Taxonomy'!$B$5:$B$24,MATCH(D314,'Risk Taxonomy'!$A$5:$A$24,0))</f>
        <v>Data protection and privacy</v>
      </c>
      <c r="F314" s="29" t="n">
        <f aca="false">IF(NOT(ISNUMBER(G314)),"",G314)</f>
        <v>4</v>
      </c>
      <c r="G314" s="34" t="n">
        <f aca="false">IF(COUNTIFS('LxI Assessment'!$A$5:$A$394,A314,'LxI Assessment'!$D$5:$D$394,D314,'LxI Assessment'!$F$5:$F$394,"N/A")&gt;0,"N/A",IF(COUNTIFS('LxI Assessment'!$A$5:$A$394,A314,'LxI Assessment'!$D$5:$D$394,D314,'LxI Assessment'!$S$5:$S$394,"&gt;0")=0,"",SUMIFS('LxI Assessment'!$S$5:$S$394,'LxI Assessment'!$A$5:$A$394,A314,'LxI Assessment'!$D$5:$D$394,D314)))</f>
        <v>4</v>
      </c>
      <c r="H314" s="7" t="str">
        <f aca="false">IF(G314="N/A","N/A",IF(G314="","No data",INDEX(Config!$B$5:$B$9,G314)))</f>
        <v>Medium-High</v>
      </c>
      <c r="I314" s="31" t="n">
        <f aca="false">IF(NOT(ISNUMBER($G314)),"",SUMPRODUCT(('Control Mapping'!$C$5:$C$83=D314)*('Control Mapping'!$V$5:$V$83&gt;0)))</f>
        <v>2</v>
      </c>
      <c r="J314" s="31" t="n">
        <f aca="false">IF(NOT(ISNUMBER($G314)),"",SUMPRODUCT(('Control Mapping'!$C$5:$C$83=D314)*('Control Mapping'!$F$5:$F$83="Y")*('Control Mapping'!$V$5:$V$83&gt;0)))</f>
        <v>2</v>
      </c>
      <c r="K314" s="31" t="n">
        <f aca="false">IF(NOT(ISNUMBER($G314)),"",SUMPRODUCT(('Control Mapping'!$C$5:$C$83=D314)*('Control Mapping'!$F$5:$F$83="Y")*('Control Mapping'!$V$5:$V$83=4)))</f>
        <v>0</v>
      </c>
      <c r="L314" s="29" t="n">
        <f aca="false">IF(NOT(ISNUMBER($G314)),"",IFERROR(SUMPRODUCT(('Control Mapping'!$C$5:$C$83=D314)*'Control Mapping'!$E$5:$E$83*'Control Mapping'!$V$5:$V$83)/SUMPRODUCT(('Control Mapping'!$C$5:$C$83=D314)*'Control Mapping'!$E$5:$E$83*('Control Mapping'!$V$5:$V$83&gt;0)),""))</f>
        <v>2.5</v>
      </c>
      <c r="M314" s="34" t="n">
        <f aca="false">IF(NOT(ISNUMBER($G314)),"",IF(J314=0,4,MAX(MATCH(L314,'Residual Config'!$E$11:$E$14,1),IF(K314&gt;0,'Residual Config'!$C$7,1))))</f>
        <v>3</v>
      </c>
      <c r="N314" s="7" t="str">
        <f aca="false">IF(NOT(ISNUMBER($G314)),"",IF(J314=0,"Ineffective (no key control)",INDEX('Residual Config'!$B$11:$B$14,M314)))</f>
        <v>Partially effective</v>
      </c>
      <c r="O314" s="36" t="n">
        <f aca="false">IF(NOT(ISNUMBER($G314)),"",IF(J314=0,0,SUMPRODUCT(('Control Mapping'!$C$5:$C$83=D314)*'Control Mapping'!$E$5:$E$83*(('Control Mapping'!$V$5:$V$83=1)*'Residual Config'!$D$11+('Control Mapping'!$V$5:$V$83=2)*'Residual Config'!$D$12+('Control Mapping'!$V$5:$V$83=3)*'Residual Config'!$D$13+('Control Mapping'!$V$5:$V$83=4)*'Residual Config'!$D$14))/SUMPRODUCT(('Control Mapping'!$C$5:$C$83=D314)*'Control Mapping'!$E$5:$E$83*('Control Mapping'!$V$5:$V$83&gt;0))))</f>
        <v>0.3</v>
      </c>
      <c r="P314" s="31" t="n">
        <f aca="false">IF(NOT(ISNUMBER($G314)),"",INDEX('Residual Config'!$B$19:$E$23,6-G314,M314))</f>
        <v>4</v>
      </c>
      <c r="Q314" s="29" t="n">
        <f aca="false">IF(NOT(ISNUMBER($G314)),"",MAX(1,F314*(1-O314)))</f>
        <v>2.8</v>
      </c>
      <c r="R314" s="31" t="n">
        <f aca="false">IF(NOT(ISNUMBER($G314)),"",MAX(MATCH(Q314,Config!$D$5:$D$9,1),G314-'Residual Config'!$C$6))</f>
        <v>3</v>
      </c>
      <c r="S314" s="34" t="n">
        <f aca="false">IF(NOT(ISNUMBER($G314)),"",IF('Residual Config'!$C$5="Numeric",R314,P314))</f>
        <v>4</v>
      </c>
      <c r="T314" s="7" t="str">
        <f aca="false">IF(G314="N/A","N/A",IF(S314="","No data",INDEX(Config!$B$5:$B$9,S314)))</f>
        <v>Medium-High</v>
      </c>
      <c r="U314" s="32" t="n">
        <v>0</v>
      </c>
      <c r="V314" s="8"/>
      <c r="W314" s="33"/>
      <c r="X314" s="34" t="n">
        <f aca="false">IF(S314="","",IF(AND(W314="Y",U314&lt;&gt;0),MAX(1,MIN(5,S314+MAX(-Config!$C$27,MIN(Config!$C$27,U314)))),S314))</f>
        <v>4</v>
      </c>
      <c r="Y314" s="35" t="str">
        <f aca="false">IF(G314="N/A","N/A",IF(X314="","No data",INDEX(Config!$B$5:$B$9,X314)))</f>
        <v>Medium-High</v>
      </c>
      <c r="Z314" s="7" t="str">
        <f aca="false">IF(U314=0,"None",IF(W314="Y","Applied","Pending HO approval"))</f>
        <v>None</v>
      </c>
      <c r="AA314" s="12" t="str">
        <f aca="false">INDEX('Risk Taxonomy'!$G$5:$G$24,MATCH(D314,'Risk Taxonomy'!$A$5:$A$24,0))</f>
        <v>Very low</v>
      </c>
      <c r="AB314" s="7" t="str">
        <f aca="false">INDEX('Risk Taxonomy'!$H$5:$H$24,MATCH(D314,'Risk Taxonomy'!$A$5:$A$24,0))</f>
        <v>Medium-Low</v>
      </c>
      <c r="AC314" s="35" t="str">
        <f aca="false">IF(NOT(ISNUMBER(X314)),"",IF(X314&lt;=MATCH(AB314,Config!$B$5:$B$9,0),"Within",IF(OR(X314-MATCH(AB314,Config!$B$5:$B$9,0)&gt;=2,AND('Residual Config'!$C$8="Y",ISNUMBER(SEARCH("Zero",AA314)))),"Red","Amber")))</f>
        <v>Red</v>
      </c>
      <c r="AD314" s="12" t="str">
        <f aca="false">IF(AC314="Red","Group CCO / CRO and Country CEO within 2 business days; action plan in 15 days; report to Board Risk &amp; Compliance Committee",IF(AC314="Amber","Country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15" customFormat="false" ht="15" hidden="false" customHeight="false" outlineLevel="0" collapsed="false">
      <c r="A315" s="26" t="str">
        <f aca="false">Entities!$A$20</f>
        <v>YE</v>
      </c>
      <c r="B315" s="12" t="str">
        <f aca="false">INDEX(Entities!$B$5:$B$34,MATCH(A315,Entities!$A$5:$A$34,0))</f>
        <v>Arab Bank – Yemen</v>
      </c>
      <c r="C315" s="12" t="str">
        <f aca="false">INDEX(Entities!$D$5:$D$34,MATCH(A315,Entities!$A$5:$A$34,0))</f>
        <v>Iraq and Yemen</v>
      </c>
      <c r="D315" s="12" t="s">
        <v>293</v>
      </c>
      <c r="E315" s="12" t="str">
        <f aca="false">INDEX('Risk Taxonomy'!$B$5:$B$24,MATCH(D315,'Risk Taxonomy'!$A$5:$A$24,0))</f>
        <v>Shariah non-compliance</v>
      </c>
      <c r="F315" s="29" t="str">
        <f aca="false">IF(NOT(ISNUMBER(G315)),"",G315)</f>
        <v/>
      </c>
      <c r="G315" s="34" t="str">
        <f aca="false">IF(COUNTIFS('LxI Assessment'!$A$5:$A$394,A315,'LxI Assessment'!$D$5:$D$394,D315,'LxI Assessment'!$F$5:$F$394,"N/A")&gt;0,"N/A",IF(COUNTIFS('LxI Assessment'!$A$5:$A$394,A315,'LxI Assessment'!$D$5:$D$394,D315,'LxI Assessment'!$S$5:$S$394,"&gt;0")=0,"",SUMIFS('LxI Assessment'!$S$5:$S$394,'LxI Assessment'!$A$5:$A$394,A315,'LxI Assessment'!$D$5:$D$394,D315)))</f>
        <v>N/A</v>
      </c>
      <c r="H315" s="7" t="str">
        <f aca="false">IF(G315="N/A","N/A",IF(G315="","No data",INDEX(Config!$B$5:$B$9,G315)))</f>
        <v>N/A</v>
      </c>
      <c r="I315" s="31" t="str">
        <f aca="false">IF(NOT(ISNUMBER($G315)),"",SUMPRODUCT(('Control Mapping'!$C$5:$C$83=D315)*('Control Mapping'!$V$5:$V$83&gt;0)))</f>
        <v/>
      </c>
      <c r="J315" s="31" t="str">
        <f aca="false">IF(NOT(ISNUMBER($G315)),"",SUMPRODUCT(('Control Mapping'!$C$5:$C$83=D315)*('Control Mapping'!$F$5:$F$83="Y")*('Control Mapping'!$V$5:$V$83&gt;0)))</f>
        <v/>
      </c>
      <c r="K315" s="31" t="str">
        <f aca="false">IF(NOT(ISNUMBER($G315)),"",SUMPRODUCT(('Control Mapping'!$C$5:$C$83=D315)*('Control Mapping'!$F$5:$F$83="Y")*('Control Mapping'!$V$5:$V$83=4)))</f>
        <v/>
      </c>
      <c r="L315" s="29" t="str">
        <f aca="false">IF(NOT(ISNUMBER($G315)),"",IFERROR(SUMPRODUCT(('Control Mapping'!$C$5:$C$83=D315)*'Control Mapping'!$E$5:$E$83*'Control Mapping'!$V$5:$V$83)/SUMPRODUCT(('Control Mapping'!$C$5:$C$83=D315)*'Control Mapping'!$E$5:$E$83*('Control Mapping'!$V$5:$V$83&gt;0)),""))</f>
        <v/>
      </c>
      <c r="M315" s="34" t="str">
        <f aca="false">IF(NOT(ISNUMBER($G315)),"",IF(J315=0,4,MAX(MATCH(L315,'Residual Config'!$E$11:$E$14,1),IF(K315&gt;0,'Residual Config'!$C$7,1))))</f>
        <v/>
      </c>
      <c r="N315" s="7" t="str">
        <f aca="false">IF(NOT(ISNUMBER($G315)),"",IF(J315=0,"Ineffective (no key control)",INDEX('Residual Config'!$B$11:$B$14,M315)))</f>
        <v/>
      </c>
      <c r="O315" s="36" t="str">
        <f aca="false">IF(NOT(ISNUMBER($G315)),"",IF(J315=0,0,SUMPRODUCT(('Control Mapping'!$C$5:$C$83=D315)*'Control Mapping'!$E$5:$E$83*(('Control Mapping'!$V$5:$V$83=1)*'Residual Config'!$D$11+('Control Mapping'!$V$5:$V$83=2)*'Residual Config'!$D$12+('Control Mapping'!$V$5:$V$83=3)*'Residual Config'!$D$13+('Control Mapping'!$V$5:$V$83=4)*'Residual Config'!$D$14))/SUMPRODUCT(('Control Mapping'!$C$5:$C$83=D315)*'Control Mapping'!$E$5:$E$83*('Control Mapping'!$V$5:$V$83&gt;0))))</f>
        <v/>
      </c>
      <c r="P315" s="31" t="str">
        <f aca="false">IF(NOT(ISNUMBER($G315)),"",INDEX('Residual Config'!$B$19:$E$23,6-G315,M315))</f>
        <v/>
      </c>
      <c r="Q315" s="29" t="str">
        <f aca="false">IF(NOT(ISNUMBER($G315)),"",MAX(1,F315*(1-O315)))</f>
        <v/>
      </c>
      <c r="R315" s="31" t="str">
        <f aca="false">IF(NOT(ISNUMBER($G315)),"",MAX(MATCH(Q315,Config!$D$5:$D$9,1),G315-'Residual Config'!$C$6))</f>
        <v/>
      </c>
      <c r="S315" s="34" t="str">
        <f aca="false">IF(NOT(ISNUMBER($G315)),"",IF('Residual Config'!$C$5="Numeric",R315,P315))</f>
        <v/>
      </c>
      <c r="T315" s="7" t="str">
        <f aca="false">IF(G315="N/A","N/A",IF(S315="","No data",INDEX(Config!$B$5:$B$9,S315)))</f>
        <v>N/A</v>
      </c>
      <c r="U315" s="32" t="n">
        <v>0</v>
      </c>
      <c r="V315" s="8"/>
      <c r="W315" s="33"/>
      <c r="X315" s="34" t="str">
        <f aca="false">IF(S315="","",IF(AND(W315="Y",U315&lt;&gt;0),MAX(1,MIN(5,S315+MAX(-Config!$C$27,MIN(Config!$C$27,U315)))),S315))</f>
        <v/>
      </c>
      <c r="Y315" s="35" t="str">
        <f aca="false">IF(G315="N/A","N/A",IF(X315="","No data",INDEX(Config!$B$5:$B$9,X315)))</f>
        <v>N/A</v>
      </c>
      <c r="Z315" s="7" t="str">
        <f aca="false">IF(U315=0,"None",IF(W315="Y","Applied","Pending HO approval"))</f>
        <v>None</v>
      </c>
      <c r="AA315" s="12" t="str">
        <f aca="false">INDEX('Risk Taxonomy'!$G$5:$G$24,MATCH(D315,'Risk Taxonomy'!$A$5:$A$24,0))</f>
        <v>Very low</v>
      </c>
      <c r="AB315" s="7" t="str">
        <f aca="false">INDEX('Risk Taxonomy'!$H$5:$H$24,MATCH(D315,'Risk Taxonomy'!$A$5:$A$24,0))</f>
        <v>Medium-Low</v>
      </c>
      <c r="AC315" s="35" t="str">
        <f aca="false">IF(NOT(ISNUMBER(X315)),"",IF(X315&lt;=MATCH(AB315,Config!$B$5:$B$9,0),"Within",IF(OR(X315-MATCH(AB315,Config!$B$5:$B$9,0)&gt;=2,AND('Residual Config'!$C$8="Y",ISNUMBER(SEARCH("Zero",AA315)))),"Red","Amber")))</f>
        <v/>
      </c>
      <c r="AD315" s="12" t="str">
        <f aca="false">IF(AC315="Red","Group CCO / CRO and Country CEO within 2 business days; action plan in 15 days; report to Board Risk &amp; Compliance Committee",IF(AC315="Amber","Country CO, risk owner and HO Administrator within 5 business days; action plan in 30 days",""))</f>
        <v/>
      </c>
    </row>
    <row r="316" customFormat="false" ht="15" hidden="false" customHeight="false" outlineLevel="0" collapsed="false">
      <c r="A316" s="26" t="str">
        <f aca="false">Entities!$A$20</f>
        <v>YE</v>
      </c>
      <c r="B316" s="12" t="str">
        <f aca="false">INDEX(Entities!$B$5:$B$34,MATCH(A316,Entities!$A$5:$A$34,0))</f>
        <v>Arab Bank – Yemen</v>
      </c>
      <c r="C316" s="12" t="str">
        <f aca="false">INDEX(Entities!$D$5:$D$34,MATCH(A316,Entities!$A$5:$A$34,0))</f>
        <v>Iraq and Yemen</v>
      </c>
      <c r="D316" s="12" t="s">
        <v>297</v>
      </c>
      <c r="E316" s="12" t="str">
        <f aca="false">INDEX('Risk Taxonomy'!$B$5:$B$24,MATCH(D316,'Risk Taxonomy'!$A$5:$A$24,0))</f>
        <v>Credit risk</v>
      </c>
      <c r="F316" s="29" t="n">
        <f aca="false">IF(NOT(ISNUMBER(G316)),"",G316)</f>
        <v>5</v>
      </c>
      <c r="G316" s="34" t="n">
        <f aca="false">IF(COUNTIFS('LxI Assessment'!$A$5:$A$394,A316,'LxI Assessment'!$D$5:$D$394,D316,'LxI Assessment'!$F$5:$F$394,"N/A")&gt;0,"N/A",IF(COUNTIFS('LxI Assessment'!$A$5:$A$394,A316,'LxI Assessment'!$D$5:$D$394,D316,'LxI Assessment'!$S$5:$S$394,"&gt;0")=0,"",SUMIFS('LxI Assessment'!$S$5:$S$394,'LxI Assessment'!$A$5:$A$394,A316,'LxI Assessment'!$D$5:$D$394,D316)))</f>
        <v>5</v>
      </c>
      <c r="H316" s="7" t="str">
        <f aca="false">IF(G316="N/A","N/A",IF(G316="","No data",INDEX(Config!$B$5:$B$9,G316)))</f>
        <v>High</v>
      </c>
      <c r="I316" s="31" t="n">
        <f aca="false">IF(NOT(ISNUMBER($G316)),"",SUMPRODUCT(('Control Mapping'!$C$5:$C$83=D316)*('Control Mapping'!$V$5:$V$83&gt;0)))</f>
        <v>2</v>
      </c>
      <c r="J316" s="31" t="n">
        <f aca="false">IF(NOT(ISNUMBER($G316)),"",SUMPRODUCT(('Control Mapping'!$C$5:$C$83=D316)*('Control Mapping'!$F$5:$F$83="Y")*('Control Mapping'!$V$5:$V$83&gt;0)))</f>
        <v>1</v>
      </c>
      <c r="K316" s="31" t="n">
        <f aca="false">IF(NOT(ISNUMBER($G316)),"",SUMPRODUCT(('Control Mapping'!$C$5:$C$83=D316)*('Control Mapping'!$F$5:$F$83="Y")*('Control Mapping'!$V$5:$V$83=4)))</f>
        <v>0</v>
      </c>
      <c r="L316" s="29" t="n">
        <f aca="false">IF(NOT(ISNUMBER($G316)),"",IFERROR(SUMPRODUCT(('Control Mapping'!$C$5:$C$83=D316)*'Control Mapping'!$E$5:$E$83*'Control Mapping'!$V$5:$V$83)/SUMPRODUCT(('Control Mapping'!$C$5:$C$83=D316)*'Control Mapping'!$E$5:$E$83*('Control Mapping'!$V$5:$V$83&gt;0)),""))</f>
        <v>2.6</v>
      </c>
      <c r="M316" s="34" t="n">
        <f aca="false">IF(NOT(ISNUMBER($G316)),"",IF(J316=0,4,MAX(MATCH(L316,'Residual Config'!$E$11:$E$14,1),IF(K316&gt;0,'Residual Config'!$C$7,1))))</f>
        <v>3</v>
      </c>
      <c r="N316" s="7" t="str">
        <f aca="false">IF(NOT(ISNUMBER($G316)),"",IF(J316=0,"Ineffective (no key control)",INDEX('Residual Config'!$B$11:$B$14,M316)))</f>
        <v>Partially effective</v>
      </c>
      <c r="O316" s="36" t="n">
        <f aca="false">IF(NOT(ISNUMBER($G316)),"",IF(J316=0,0,SUMPRODUCT(('Control Mapping'!$C$5:$C$83=D316)*'Control Mapping'!$E$5:$E$83*(('Control Mapping'!$V$5:$V$83=1)*'Residual Config'!$D$11+('Control Mapping'!$V$5:$V$83=2)*'Residual Config'!$D$12+('Control Mapping'!$V$5:$V$83=3)*'Residual Config'!$D$13+('Control Mapping'!$V$5:$V$83=4)*'Residual Config'!$D$14))/SUMPRODUCT(('Control Mapping'!$C$5:$C$83=D316)*'Control Mapping'!$E$5:$E$83*('Control Mapping'!$V$5:$V$83&gt;0))))</f>
        <v>0.28</v>
      </c>
      <c r="P316" s="31" t="n">
        <f aca="false">IF(NOT(ISNUMBER($G316)),"",INDEX('Residual Config'!$B$19:$E$23,6-G316,M316))</f>
        <v>5</v>
      </c>
      <c r="Q316" s="29" t="n">
        <f aca="false">IF(NOT(ISNUMBER($G316)),"",MAX(1,F316*(1-O316)))</f>
        <v>3.6</v>
      </c>
      <c r="R316" s="31" t="n">
        <f aca="false">IF(NOT(ISNUMBER($G316)),"",MAX(MATCH(Q316,Config!$D$5:$D$9,1),G316-'Residual Config'!$C$6))</f>
        <v>4</v>
      </c>
      <c r="S316" s="34" t="n">
        <f aca="false">IF(NOT(ISNUMBER($G316)),"",IF('Residual Config'!$C$5="Numeric",R316,P316))</f>
        <v>5</v>
      </c>
      <c r="T316" s="7" t="str">
        <f aca="false">IF(G316="N/A","N/A",IF(S316="","No data",INDEX(Config!$B$5:$B$9,S316)))</f>
        <v>High</v>
      </c>
      <c r="U316" s="32" t="n">
        <v>0</v>
      </c>
      <c r="V316" s="8"/>
      <c r="W316" s="33"/>
      <c r="X316" s="34" t="n">
        <f aca="false">IF(S316="","",IF(AND(W316="Y",U316&lt;&gt;0),MAX(1,MIN(5,S316+MAX(-Config!$C$27,MIN(Config!$C$27,U316)))),S316))</f>
        <v>5</v>
      </c>
      <c r="Y316" s="35" t="str">
        <f aca="false">IF(G316="N/A","N/A",IF(X316="","No data",INDEX(Config!$B$5:$B$9,X316)))</f>
        <v>High</v>
      </c>
      <c r="Z316" s="7" t="str">
        <f aca="false">IF(U316=0,"None",IF(W316="Y","Applied","Pending HO approval"))</f>
        <v>None</v>
      </c>
      <c r="AA316" s="12" t="str">
        <f aca="false">INDEX('Risk Taxonomy'!$G$5:$G$24,MATCH(D316,'Risk Taxonomy'!$A$5:$A$24,0))</f>
        <v>Moderate</v>
      </c>
      <c r="AB316" s="7" t="str">
        <f aca="false">INDEX('Risk Taxonomy'!$H$5:$H$24,MATCH(D316,'Risk Taxonomy'!$A$5:$A$24,0))</f>
        <v>Medium-High</v>
      </c>
      <c r="AC316" s="35" t="str">
        <f aca="false">IF(NOT(ISNUMBER(X316)),"",IF(X316&lt;=MATCH(AB316,Config!$B$5:$B$9,0),"Within",IF(OR(X316-MATCH(AB316,Config!$B$5:$B$9,0)&gt;=2,AND('Residual Config'!$C$8="Y",ISNUMBER(SEARCH("Zero",AA316)))),"Red","Amber")))</f>
        <v>Amber</v>
      </c>
      <c r="AD316" s="12" t="str">
        <f aca="false">IF(AC316="Red","Group CCO / CRO and Country CEO within 2 business days; action plan in 15 days; report to Board Risk &amp; Compliance Committee",IF(AC316="Amber","Country CO, risk owner and HO Administrator within 5 business days; action plan in 30 days",""))</f>
        <v>Country CO, risk owner and HO Administrator within 5 business days; action plan in 30 days</v>
      </c>
    </row>
    <row r="317" customFormat="false" ht="15" hidden="false" customHeight="false" outlineLevel="0" collapsed="false">
      <c r="A317" s="26" t="str">
        <f aca="false">Entities!$A$20</f>
        <v>YE</v>
      </c>
      <c r="B317" s="12" t="str">
        <f aca="false">INDEX(Entities!$B$5:$B$34,MATCH(A317,Entities!$A$5:$A$34,0))</f>
        <v>Arab Bank – Yemen</v>
      </c>
      <c r="C317" s="12" t="str">
        <f aca="false">INDEX(Entities!$D$5:$D$34,MATCH(A317,Entities!$A$5:$A$34,0))</f>
        <v>Iraq and Yemen</v>
      </c>
      <c r="D317" s="12" t="s">
        <v>302</v>
      </c>
      <c r="E317" s="12" t="str">
        <f aca="false">INDEX('Risk Taxonomy'!$B$5:$B$24,MATCH(D317,'Risk Taxonomy'!$A$5:$A$24,0))</f>
        <v>Market risk</v>
      </c>
      <c r="F317" s="29" t="n">
        <f aca="false">IF(NOT(ISNUMBER(G317)),"",G317)</f>
        <v>5</v>
      </c>
      <c r="G317" s="34" t="n">
        <f aca="false">IF(COUNTIFS('LxI Assessment'!$A$5:$A$394,A317,'LxI Assessment'!$D$5:$D$394,D317,'LxI Assessment'!$F$5:$F$394,"N/A")&gt;0,"N/A",IF(COUNTIFS('LxI Assessment'!$A$5:$A$394,A317,'LxI Assessment'!$D$5:$D$394,D317,'LxI Assessment'!$S$5:$S$394,"&gt;0")=0,"",SUMIFS('LxI Assessment'!$S$5:$S$394,'LxI Assessment'!$A$5:$A$394,A317,'LxI Assessment'!$D$5:$D$394,D317)))</f>
        <v>5</v>
      </c>
      <c r="H317" s="7" t="str">
        <f aca="false">IF(G317="N/A","N/A",IF(G317="","No data",INDEX(Config!$B$5:$B$9,G317)))</f>
        <v>High</v>
      </c>
      <c r="I317" s="31" t="n">
        <f aca="false">IF(NOT(ISNUMBER($G317)),"",SUMPRODUCT(('Control Mapping'!$C$5:$C$83=D317)*('Control Mapping'!$V$5:$V$83&gt;0)))</f>
        <v>1</v>
      </c>
      <c r="J317" s="31" t="n">
        <f aca="false">IF(NOT(ISNUMBER($G317)),"",SUMPRODUCT(('Control Mapping'!$C$5:$C$83=D317)*('Control Mapping'!$F$5:$F$83="Y")*('Control Mapping'!$V$5:$V$83&gt;0)))</f>
        <v>1</v>
      </c>
      <c r="K317" s="31" t="n">
        <f aca="false">IF(NOT(ISNUMBER($G317)),"",SUMPRODUCT(('Control Mapping'!$C$5:$C$83=D317)*('Control Mapping'!$F$5:$F$83="Y")*('Control Mapping'!$V$5:$V$83=4)))</f>
        <v>0</v>
      </c>
      <c r="L317" s="29" t="n">
        <f aca="false">IF(NOT(ISNUMBER($G317)),"",IFERROR(SUMPRODUCT(('Control Mapping'!$C$5:$C$83=D317)*'Control Mapping'!$E$5:$E$83*'Control Mapping'!$V$5:$V$83)/SUMPRODUCT(('Control Mapping'!$C$5:$C$83=D317)*'Control Mapping'!$E$5:$E$83*('Control Mapping'!$V$5:$V$83&gt;0)),""))</f>
        <v>3</v>
      </c>
      <c r="M317" s="34" t="n">
        <f aca="false">IF(NOT(ISNUMBER($G317)),"",IF(J317=0,4,MAX(MATCH(L317,'Residual Config'!$E$11:$E$14,1),IF(K317&gt;0,'Residual Config'!$C$7,1))))</f>
        <v>3</v>
      </c>
      <c r="N317" s="7" t="str">
        <f aca="false">IF(NOT(ISNUMBER($G317)),"",IF(J317=0,"Ineffective (no key control)",INDEX('Residual Config'!$B$11:$B$14,M317)))</f>
        <v>Partially effective</v>
      </c>
      <c r="O317" s="36" t="n">
        <f aca="false">IF(NOT(ISNUMBER($G317)),"",IF(J317=0,0,SUMPRODUCT(('Control Mapping'!$C$5:$C$83=D317)*'Control Mapping'!$E$5:$E$83*(('Control Mapping'!$V$5:$V$83=1)*'Residual Config'!$D$11+('Control Mapping'!$V$5:$V$83=2)*'Residual Config'!$D$12+('Control Mapping'!$V$5:$V$83=3)*'Residual Config'!$D$13+('Control Mapping'!$V$5:$V$83=4)*'Residual Config'!$D$14))/SUMPRODUCT(('Control Mapping'!$C$5:$C$83=D317)*'Control Mapping'!$E$5:$E$83*('Control Mapping'!$V$5:$V$83&gt;0))))</f>
        <v>0.2</v>
      </c>
      <c r="P317" s="31" t="n">
        <f aca="false">IF(NOT(ISNUMBER($G317)),"",INDEX('Residual Config'!$B$19:$E$23,6-G317,M317))</f>
        <v>5</v>
      </c>
      <c r="Q317" s="29" t="n">
        <f aca="false">IF(NOT(ISNUMBER($G317)),"",MAX(1,F317*(1-O317)))</f>
        <v>4</v>
      </c>
      <c r="R317" s="31" t="n">
        <f aca="false">IF(NOT(ISNUMBER($G317)),"",MAX(MATCH(Q317,Config!$D$5:$D$9,1),G317-'Residual Config'!$C$6))</f>
        <v>4</v>
      </c>
      <c r="S317" s="34" t="n">
        <f aca="false">IF(NOT(ISNUMBER($G317)),"",IF('Residual Config'!$C$5="Numeric",R317,P317))</f>
        <v>5</v>
      </c>
      <c r="T317" s="7" t="str">
        <f aca="false">IF(G317="N/A","N/A",IF(S317="","No data",INDEX(Config!$B$5:$B$9,S317)))</f>
        <v>High</v>
      </c>
      <c r="U317" s="32" t="n">
        <v>0</v>
      </c>
      <c r="V317" s="8"/>
      <c r="W317" s="33"/>
      <c r="X317" s="34" t="n">
        <f aca="false">IF(S317="","",IF(AND(W317="Y",U317&lt;&gt;0),MAX(1,MIN(5,S317+MAX(-Config!$C$27,MIN(Config!$C$27,U317)))),S317))</f>
        <v>5</v>
      </c>
      <c r="Y317" s="35" t="str">
        <f aca="false">IF(G317="N/A","N/A",IF(X317="","No data",INDEX(Config!$B$5:$B$9,X317)))</f>
        <v>High</v>
      </c>
      <c r="Z317" s="7" t="str">
        <f aca="false">IF(U317=0,"None",IF(W317="Y","Applied","Pending HO approval"))</f>
        <v>None</v>
      </c>
      <c r="AA317" s="12" t="str">
        <f aca="false">INDEX('Risk Taxonomy'!$G$5:$G$24,MATCH(D317,'Risk Taxonomy'!$A$5:$A$24,0))</f>
        <v>Moderate</v>
      </c>
      <c r="AB317" s="7" t="str">
        <f aca="false">INDEX('Risk Taxonomy'!$H$5:$H$24,MATCH(D317,'Risk Taxonomy'!$A$5:$A$24,0))</f>
        <v>Medium-High</v>
      </c>
      <c r="AC317" s="35" t="str">
        <f aca="false">IF(NOT(ISNUMBER(X317)),"",IF(X317&lt;=MATCH(AB317,Config!$B$5:$B$9,0),"Within",IF(OR(X317-MATCH(AB317,Config!$B$5:$B$9,0)&gt;=2,AND('Residual Config'!$C$8="Y",ISNUMBER(SEARCH("Zero",AA317)))),"Red","Amber")))</f>
        <v>Amber</v>
      </c>
      <c r="AD317" s="12" t="str">
        <f aca="false">IF(AC317="Red","Group CCO / CRO and Country CEO within 2 business days; action plan in 15 days; report to Board Risk &amp; Compliance Committee",IF(AC317="Amber","Country CO, risk owner and HO Administrator within 5 business days; action plan in 30 days",""))</f>
        <v>Country CO, risk owner and HO Administrator within 5 business days; action plan in 30 days</v>
      </c>
    </row>
    <row r="318" customFormat="false" ht="15" hidden="false" customHeight="false" outlineLevel="0" collapsed="false">
      <c r="A318" s="26" t="str">
        <f aca="false">Entities!$A$20</f>
        <v>YE</v>
      </c>
      <c r="B318" s="12" t="str">
        <f aca="false">INDEX(Entities!$B$5:$B$34,MATCH(A318,Entities!$A$5:$A$34,0))</f>
        <v>Arab Bank – Yemen</v>
      </c>
      <c r="C318" s="12" t="str">
        <f aca="false">INDEX(Entities!$D$5:$D$34,MATCH(A318,Entities!$A$5:$A$34,0))</f>
        <v>Iraq and Yemen</v>
      </c>
      <c r="D318" s="12" t="s">
        <v>304</v>
      </c>
      <c r="E318" s="12" t="str">
        <f aca="false">INDEX('Risk Taxonomy'!$B$5:$B$24,MATCH(D318,'Risk Taxonomy'!$A$5:$A$24,0))</f>
        <v>Liquidity and funding risk</v>
      </c>
      <c r="F318" s="29" t="n">
        <f aca="false">IF(NOT(ISNUMBER(G318)),"",G318)</f>
        <v>5</v>
      </c>
      <c r="G318" s="34" t="n">
        <f aca="false">IF(COUNTIFS('LxI Assessment'!$A$5:$A$394,A318,'LxI Assessment'!$D$5:$D$394,D318,'LxI Assessment'!$F$5:$F$394,"N/A")&gt;0,"N/A",IF(COUNTIFS('LxI Assessment'!$A$5:$A$394,A318,'LxI Assessment'!$D$5:$D$394,D318,'LxI Assessment'!$S$5:$S$394,"&gt;0")=0,"",SUMIFS('LxI Assessment'!$S$5:$S$394,'LxI Assessment'!$A$5:$A$394,A318,'LxI Assessment'!$D$5:$D$394,D318)))</f>
        <v>5</v>
      </c>
      <c r="H318" s="7" t="str">
        <f aca="false">IF(G318="N/A","N/A",IF(G318="","No data",INDEX(Config!$B$5:$B$9,G318)))</f>
        <v>High</v>
      </c>
      <c r="I318" s="31" t="n">
        <f aca="false">IF(NOT(ISNUMBER($G318)),"",SUMPRODUCT(('Control Mapping'!$C$5:$C$83=D318)*('Control Mapping'!$V$5:$V$83&gt;0)))</f>
        <v>1</v>
      </c>
      <c r="J318" s="31" t="n">
        <f aca="false">IF(NOT(ISNUMBER($G318)),"",SUMPRODUCT(('Control Mapping'!$C$5:$C$83=D318)*('Control Mapping'!$F$5:$F$83="Y")*('Control Mapping'!$V$5:$V$83&gt;0)))</f>
        <v>1</v>
      </c>
      <c r="K318" s="31" t="n">
        <f aca="false">IF(NOT(ISNUMBER($G318)),"",SUMPRODUCT(('Control Mapping'!$C$5:$C$83=D318)*('Control Mapping'!$F$5:$F$83="Y")*('Control Mapping'!$V$5:$V$83=4)))</f>
        <v>0</v>
      </c>
      <c r="L318" s="29" t="n">
        <f aca="false">IF(NOT(ISNUMBER($G318)),"",IFERROR(SUMPRODUCT(('Control Mapping'!$C$5:$C$83=D318)*'Control Mapping'!$E$5:$E$83*'Control Mapping'!$V$5:$V$83)/SUMPRODUCT(('Control Mapping'!$C$5:$C$83=D318)*'Control Mapping'!$E$5:$E$83*('Control Mapping'!$V$5:$V$83&gt;0)),""))</f>
        <v>2</v>
      </c>
      <c r="M318" s="34" t="n">
        <f aca="false">IF(NOT(ISNUMBER($G318)),"",IF(J318=0,4,MAX(MATCH(L318,'Residual Config'!$E$11:$E$14,1),IF(K318&gt;0,'Residual Config'!$C$7,1))))</f>
        <v>2</v>
      </c>
      <c r="N318" s="7" t="str">
        <f aca="false">IF(NOT(ISNUMBER($G318)),"",IF(J318=0,"Ineffective (no key control)",INDEX('Residual Config'!$B$11:$B$14,M318)))</f>
        <v>Largely effective</v>
      </c>
      <c r="O318" s="36" t="n">
        <f aca="false">IF(NOT(ISNUMBER($G318)),"",IF(J318=0,0,SUMPRODUCT(('Control Mapping'!$C$5:$C$83=D318)*'Control Mapping'!$E$5:$E$83*(('Control Mapping'!$V$5:$V$83=1)*'Residual Config'!$D$11+('Control Mapping'!$V$5:$V$83=2)*'Residual Config'!$D$12+('Control Mapping'!$V$5:$V$83=3)*'Residual Config'!$D$13+('Control Mapping'!$V$5:$V$83=4)*'Residual Config'!$D$14))/SUMPRODUCT(('Control Mapping'!$C$5:$C$83=D318)*'Control Mapping'!$E$5:$E$83*('Control Mapping'!$V$5:$V$83&gt;0))))</f>
        <v>0.4</v>
      </c>
      <c r="P318" s="31" t="n">
        <f aca="false">IF(NOT(ISNUMBER($G318)),"",INDEX('Residual Config'!$B$19:$E$23,6-G318,M318))</f>
        <v>4</v>
      </c>
      <c r="Q318" s="29" t="n">
        <f aca="false">IF(NOT(ISNUMBER($G318)),"",MAX(1,F318*(1-O318)))</f>
        <v>3</v>
      </c>
      <c r="R318" s="31" t="n">
        <f aca="false">IF(NOT(ISNUMBER($G318)),"",MAX(MATCH(Q318,Config!$D$5:$D$9,1),G318-'Residual Config'!$C$6))</f>
        <v>3</v>
      </c>
      <c r="S318" s="34" t="n">
        <f aca="false">IF(NOT(ISNUMBER($G318)),"",IF('Residual Config'!$C$5="Numeric",R318,P318))</f>
        <v>4</v>
      </c>
      <c r="T318" s="7" t="str">
        <f aca="false">IF(G318="N/A","N/A",IF(S318="","No data",INDEX(Config!$B$5:$B$9,S318)))</f>
        <v>Medium-High</v>
      </c>
      <c r="U318" s="32" t="n">
        <v>0</v>
      </c>
      <c r="V318" s="8"/>
      <c r="W318" s="33"/>
      <c r="X318" s="34" t="n">
        <f aca="false">IF(S318="","",IF(AND(W318="Y",U318&lt;&gt;0),MAX(1,MIN(5,S318+MAX(-Config!$C$27,MIN(Config!$C$27,U318)))),S318))</f>
        <v>4</v>
      </c>
      <c r="Y318" s="35" t="str">
        <f aca="false">IF(G318="N/A","N/A",IF(X318="","No data",INDEX(Config!$B$5:$B$9,X318)))</f>
        <v>Medium-High</v>
      </c>
      <c r="Z318" s="7" t="str">
        <f aca="false">IF(U318=0,"None",IF(W318="Y","Applied","Pending HO approval"))</f>
        <v>None</v>
      </c>
      <c r="AA318" s="12" t="str">
        <f aca="false">INDEX('Risk Taxonomy'!$G$5:$G$24,MATCH(D318,'Risk Taxonomy'!$A$5:$A$24,0))</f>
        <v>Low</v>
      </c>
      <c r="AB318" s="7" t="str">
        <f aca="false">INDEX('Risk Taxonomy'!$H$5:$H$24,MATCH(D318,'Risk Taxonomy'!$A$5:$A$24,0))</f>
        <v>Medium</v>
      </c>
      <c r="AC318" s="35" t="str">
        <f aca="false">IF(NOT(ISNUMBER(X318)),"",IF(X318&lt;=MATCH(AB318,Config!$B$5:$B$9,0),"Within",IF(OR(X318-MATCH(AB318,Config!$B$5:$B$9,0)&gt;=2,AND('Residual Config'!$C$8="Y",ISNUMBER(SEARCH("Zero",AA318)))),"Red","Amber")))</f>
        <v>Amber</v>
      </c>
      <c r="AD318" s="12" t="str">
        <f aca="false">IF(AC318="Red","Group CCO / CRO and Country CEO within 2 business days; action plan in 15 days; report to Board Risk &amp; Compliance Committee",IF(AC318="Amber","Country CO, risk owner and HO Administrator within 5 business days; action plan in 30 days",""))</f>
        <v>Country CO, risk owner and HO Administrator within 5 business days; action plan in 30 days</v>
      </c>
    </row>
    <row r="319" customFormat="false" ht="15" hidden="false" customHeight="false" outlineLevel="0" collapsed="false">
      <c r="A319" s="26" t="str">
        <f aca="false">Entities!$A$20</f>
        <v>YE</v>
      </c>
      <c r="B319" s="12" t="str">
        <f aca="false">INDEX(Entities!$B$5:$B$34,MATCH(A319,Entities!$A$5:$A$34,0))</f>
        <v>Arab Bank – Yemen</v>
      </c>
      <c r="C319" s="12" t="str">
        <f aca="false">INDEX(Entities!$D$5:$D$34,MATCH(A319,Entities!$A$5:$A$34,0))</f>
        <v>Iraq and Yemen</v>
      </c>
      <c r="D319" s="12" t="s">
        <v>307</v>
      </c>
      <c r="E319" s="12" t="str">
        <f aca="false">INDEX('Risk Taxonomy'!$B$5:$B$24,MATCH(D319,'Risk Taxonomy'!$A$5:$A$24,0))</f>
        <v>Operational risk</v>
      </c>
      <c r="F319" s="29" t="n">
        <f aca="false">IF(NOT(ISNUMBER(G319)),"",G319)</f>
        <v>4</v>
      </c>
      <c r="G319" s="34" t="n">
        <f aca="false">IF(COUNTIFS('LxI Assessment'!$A$5:$A$394,A319,'LxI Assessment'!$D$5:$D$394,D319,'LxI Assessment'!$F$5:$F$394,"N/A")&gt;0,"N/A",IF(COUNTIFS('LxI Assessment'!$A$5:$A$394,A319,'LxI Assessment'!$D$5:$D$394,D319,'LxI Assessment'!$S$5:$S$394,"&gt;0")=0,"",SUMIFS('LxI Assessment'!$S$5:$S$394,'LxI Assessment'!$A$5:$A$394,A319,'LxI Assessment'!$D$5:$D$394,D319)))</f>
        <v>4</v>
      </c>
      <c r="H319" s="7" t="str">
        <f aca="false">IF(G319="N/A","N/A",IF(G319="","No data",INDEX(Config!$B$5:$B$9,G319)))</f>
        <v>Medium-High</v>
      </c>
      <c r="I319" s="31" t="n">
        <f aca="false">IF(NOT(ISNUMBER($G319)),"",SUMPRODUCT(('Control Mapping'!$C$5:$C$83=D319)*('Control Mapping'!$V$5:$V$83&gt;0)))</f>
        <v>3</v>
      </c>
      <c r="J319" s="31" t="n">
        <f aca="false">IF(NOT(ISNUMBER($G319)),"",SUMPRODUCT(('Control Mapping'!$C$5:$C$83=D319)*('Control Mapping'!$F$5:$F$83="Y")*('Control Mapping'!$V$5:$V$83&gt;0)))</f>
        <v>2</v>
      </c>
      <c r="K319" s="31" t="n">
        <f aca="false">IF(NOT(ISNUMBER($G319)),"",SUMPRODUCT(('Control Mapping'!$C$5:$C$83=D319)*('Control Mapping'!$F$5:$F$83="Y")*('Control Mapping'!$V$5:$V$83=4)))</f>
        <v>0</v>
      </c>
      <c r="L319" s="29" t="n">
        <f aca="false">IF(NOT(ISNUMBER($G319)),"",IFERROR(SUMPRODUCT(('Control Mapping'!$C$5:$C$83=D319)*'Control Mapping'!$E$5:$E$83*'Control Mapping'!$V$5:$V$83)/SUMPRODUCT(('Control Mapping'!$C$5:$C$83=D319)*'Control Mapping'!$E$5:$E$83*('Control Mapping'!$V$5:$V$83&gt;0)),""))</f>
        <v>2</v>
      </c>
      <c r="M319" s="34" t="n">
        <f aca="false">IF(NOT(ISNUMBER($G319)),"",IF(J319=0,4,MAX(MATCH(L319,'Residual Config'!$E$11:$E$14,1),IF(K319&gt;0,'Residual Config'!$C$7,1))))</f>
        <v>2</v>
      </c>
      <c r="N319" s="7" t="str">
        <f aca="false">IF(NOT(ISNUMBER($G319)),"",IF(J319=0,"Ineffective (no key control)",INDEX('Residual Config'!$B$11:$B$14,M319)))</f>
        <v>Largely effective</v>
      </c>
      <c r="O319" s="36" t="n">
        <f aca="false">IF(NOT(ISNUMBER($G319)),"",IF(J319=0,0,SUMPRODUCT(('Control Mapping'!$C$5:$C$83=D319)*'Control Mapping'!$E$5:$E$83*(('Control Mapping'!$V$5:$V$83=1)*'Residual Config'!$D$11+('Control Mapping'!$V$5:$V$83=2)*'Residual Config'!$D$12+('Control Mapping'!$V$5:$V$83=3)*'Residual Config'!$D$13+('Control Mapping'!$V$5:$V$83=4)*'Residual Config'!$D$14))/SUMPRODUCT(('Control Mapping'!$C$5:$C$83=D319)*'Control Mapping'!$E$5:$E$83*('Control Mapping'!$V$5:$V$83&gt;0))))</f>
        <v>0.4</v>
      </c>
      <c r="P319" s="31" t="n">
        <f aca="false">IF(NOT(ISNUMBER($G319)),"",INDEX('Residual Config'!$B$19:$E$23,6-G319,M319))</f>
        <v>3</v>
      </c>
      <c r="Q319" s="29" t="n">
        <f aca="false">IF(NOT(ISNUMBER($G319)),"",MAX(1,F319*(1-O319)))</f>
        <v>2.4</v>
      </c>
      <c r="R319" s="31" t="n">
        <f aca="false">IF(NOT(ISNUMBER($G319)),"",MAX(MATCH(Q319,Config!$D$5:$D$9,1),G319-'Residual Config'!$C$6))</f>
        <v>2</v>
      </c>
      <c r="S319" s="34" t="n">
        <f aca="false">IF(NOT(ISNUMBER($G319)),"",IF('Residual Config'!$C$5="Numeric",R319,P319))</f>
        <v>3</v>
      </c>
      <c r="T319" s="7" t="str">
        <f aca="false">IF(G319="N/A","N/A",IF(S319="","No data",INDEX(Config!$B$5:$B$9,S319)))</f>
        <v>Medium</v>
      </c>
      <c r="U319" s="32" t="n">
        <v>0</v>
      </c>
      <c r="V319" s="8"/>
      <c r="W319" s="33"/>
      <c r="X319" s="34" t="n">
        <f aca="false">IF(S319="","",IF(AND(W319="Y",U319&lt;&gt;0),MAX(1,MIN(5,S319+MAX(-Config!$C$27,MIN(Config!$C$27,U319)))),S319))</f>
        <v>3</v>
      </c>
      <c r="Y319" s="35" t="str">
        <f aca="false">IF(G319="N/A","N/A",IF(X319="","No data",INDEX(Config!$B$5:$B$9,X319)))</f>
        <v>Medium</v>
      </c>
      <c r="Z319" s="7" t="str">
        <f aca="false">IF(U319=0,"None",IF(W319="Y","Applied","Pending HO approval"))</f>
        <v>None</v>
      </c>
      <c r="AA319" s="12" t="str">
        <f aca="false">INDEX('Risk Taxonomy'!$G$5:$G$24,MATCH(D319,'Risk Taxonomy'!$A$5:$A$24,0))</f>
        <v>Low</v>
      </c>
      <c r="AB319" s="7" t="str">
        <f aca="false">INDEX('Risk Taxonomy'!$H$5:$H$24,MATCH(D319,'Risk Taxonomy'!$A$5:$A$24,0))</f>
        <v>Medium</v>
      </c>
      <c r="AC319" s="35" t="str">
        <f aca="false">IF(NOT(ISNUMBER(X319)),"",IF(X319&lt;=MATCH(AB319,Config!$B$5:$B$9,0),"Within",IF(OR(X319-MATCH(AB319,Config!$B$5:$B$9,0)&gt;=2,AND('Residual Config'!$C$8="Y",ISNUMBER(SEARCH("Zero",AA319)))),"Red","Amber")))</f>
        <v>Within</v>
      </c>
      <c r="AD319" s="12" t="str">
        <f aca="false">IF(AC319="Red","Group CCO / CRO and Country CEO within 2 business days; action plan in 15 days; report to Board Risk &amp; Compliance Committee",IF(AC319="Amber","Country CO, risk owner and HO Administrator within 5 business days; action plan in 30 days",""))</f>
        <v/>
      </c>
    </row>
    <row r="320" customFormat="false" ht="15" hidden="false" customHeight="false" outlineLevel="0" collapsed="false">
      <c r="A320" s="26" t="str">
        <f aca="false">Entities!$A$20</f>
        <v>YE</v>
      </c>
      <c r="B320" s="12" t="str">
        <f aca="false">INDEX(Entities!$B$5:$B$34,MATCH(A320,Entities!$A$5:$A$34,0))</f>
        <v>Arab Bank – Yemen</v>
      </c>
      <c r="C320" s="12" t="str">
        <f aca="false">INDEX(Entities!$D$5:$D$34,MATCH(A320,Entities!$A$5:$A$34,0))</f>
        <v>Iraq and Yemen</v>
      </c>
      <c r="D320" s="12" t="s">
        <v>310</v>
      </c>
      <c r="E320" s="12" t="str">
        <f aca="false">INDEX('Risk Taxonomy'!$B$5:$B$24,MATCH(D320,'Risk Taxonomy'!$A$5:$A$24,0))</f>
        <v>Cyber, information security and technology</v>
      </c>
      <c r="F320" s="29" t="n">
        <f aca="false">IF(NOT(ISNUMBER(G320)),"",G320)</f>
        <v>5</v>
      </c>
      <c r="G320" s="34" t="n">
        <f aca="false">IF(COUNTIFS('LxI Assessment'!$A$5:$A$394,A320,'LxI Assessment'!$D$5:$D$394,D320,'LxI Assessment'!$F$5:$F$394,"N/A")&gt;0,"N/A",IF(COUNTIFS('LxI Assessment'!$A$5:$A$394,A320,'LxI Assessment'!$D$5:$D$394,D320,'LxI Assessment'!$S$5:$S$394,"&gt;0")=0,"",SUMIFS('LxI Assessment'!$S$5:$S$394,'LxI Assessment'!$A$5:$A$394,A320,'LxI Assessment'!$D$5:$D$394,D320)))</f>
        <v>5</v>
      </c>
      <c r="H320" s="7" t="str">
        <f aca="false">IF(G320="N/A","N/A",IF(G320="","No data",INDEX(Config!$B$5:$B$9,G320)))</f>
        <v>High</v>
      </c>
      <c r="I320" s="31" t="n">
        <f aca="false">IF(NOT(ISNUMBER($G320)),"",SUMPRODUCT(('Control Mapping'!$C$5:$C$83=D320)*('Control Mapping'!$V$5:$V$83&gt;0)))</f>
        <v>4</v>
      </c>
      <c r="J320" s="31" t="n">
        <f aca="false">IF(NOT(ISNUMBER($G320)),"",SUMPRODUCT(('Control Mapping'!$C$5:$C$83=D320)*('Control Mapping'!$F$5:$F$83="Y")*('Control Mapping'!$V$5:$V$83&gt;0)))</f>
        <v>4</v>
      </c>
      <c r="K320" s="31" t="n">
        <f aca="false">IF(NOT(ISNUMBER($G320)),"",SUMPRODUCT(('Control Mapping'!$C$5:$C$83=D320)*('Control Mapping'!$F$5:$F$83="Y")*('Control Mapping'!$V$5:$V$83=4)))</f>
        <v>0</v>
      </c>
      <c r="L320" s="29" t="n">
        <f aca="false">IF(NOT(ISNUMBER($G320)),"",IFERROR(SUMPRODUCT(('Control Mapping'!$C$5:$C$83=D320)*'Control Mapping'!$E$5:$E$83*'Control Mapping'!$V$5:$V$83)/SUMPRODUCT(('Control Mapping'!$C$5:$C$83=D320)*'Control Mapping'!$E$5:$E$83*('Control Mapping'!$V$5:$V$83&gt;0)),""))</f>
        <v>2.71428571428571</v>
      </c>
      <c r="M320" s="34" t="n">
        <f aca="false">IF(NOT(ISNUMBER($G320)),"",IF(J320=0,4,MAX(MATCH(L320,'Residual Config'!$E$11:$E$14,1),IF(K320&gt;0,'Residual Config'!$C$7,1))))</f>
        <v>3</v>
      </c>
      <c r="N320" s="7" t="str">
        <f aca="false">IF(NOT(ISNUMBER($G320)),"",IF(J320=0,"Ineffective (no key control)",INDEX('Residual Config'!$B$11:$B$14,M320)))</f>
        <v>Partially effective</v>
      </c>
      <c r="O320" s="36" t="n">
        <f aca="false">IF(NOT(ISNUMBER($G320)),"",IF(J320=0,0,SUMPRODUCT(('Control Mapping'!$C$5:$C$83=D320)*'Control Mapping'!$E$5:$E$83*(('Control Mapping'!$V$5:$V$83=1)*'Residual Config'!$D$11+('Control Mapping'!$V$5:$V$83=2)*'Residual Config'!$D$12+('Control Mapping'!$V$5:$V$83=3)*'Residual Config'!$D$13+('Control Mapping'!$V$5:$V$83=4)*'Residual Config'!$D$14))/SUMPRODUCT(('Control Mapping'!$C$5:$C$83=D320)*'Control Mapping'!$E$5:$E$83*('Control Mapping'!$V$5:$V$83&gt;0))))</f>
        <v>0.257142857142857</v>
      </c>
      <c r="P320" s="31" t="n">
        <f aca="false">IF(NOT(ISNUMBER($G320)),"",INDEX('Residual Config'!$B$19:$E$23,6-G320,M320))</f>
        <v>5</v>
      </c>
      <c r="Q320" s="29" t="n">
        <f aca="false">IF(NOT(ISNUMBER($G320)),"",MAX(1,F320*(1-O320)))</f>
        <v>3.71428571428571</v>
      </c>
      <c r="R320" s="31" t="n">
        <f aca="false">IF(NOT(ISNUMBER($G320)),"",MAX(MATCH(Q320,Config!$D$5:$D$9,1),G320-'Residual Config'!$C$6))</f>
        <v>4</v>
      </c>
      <c r="S320" s="34" t="n">
        <f aca="false">IF(NOT(ISNUMBER($G320)),"",IF('Residual Config'!$C$5="Numeric",R320,P320))</f>
        <v>5</v>
      </c>
      <c r="T320" s="7" t="str">
        <f aca="false">IF(G320="N/A","N/A",IF(S320="","No data",INDEX(Config!$B$5:$B$9,S320)))</f>
        <v>High</v>
      </c>
      <c r="U320" s="32" t="n">
        <v>0</v>
      </c>
      <c r="V320" s="8"/>
      <c r="W320" s="33"/>
      <c r="X320" s="34" t="n">
        <f aca="false">IF(S320="","",IF(AND(W320="Y",U320&lt;&gt;0),MAX(1,MIN(5,S320+MAX(-Config!$C$27,MIN(Config!$C$27,U320)))),S320))</f>
        <v>5</v>
      </c>
      <c r="Y320" s="35" t="str">
        <f aca="false">IF(G320="N/A","N/A",IF(X320="","No data",INDEX(Config!$B$5:$B$9,X320)))</f>
        <v>High</v>
      </c>
      <c r="Z320" s="7" t="str">
        <f aca="false">IF(U320=0,"None",IF(W320="Y","Applied","Pending HO approval"))</f>
        <v>None</v>
      </c>
      <c r="AA320" s="12" t="str">
        <f aca="false">INDEX('Risk Taxonomy'!$G$5:$G$24,MATCH(D320,'Risk Taxonomy'!$A$5:$A$24,0))</f>
        <v>Very low</v>
      </c>
      <c r="AB320" s="7" t="str">
        <f aca="false">INDEX('Risk Taxonomy'!$H$5:$H$24,MATCH(D320,'Risk Taxonomy'!$A$5:$A$24,0))</f>
        <v>Medium-Low</v>
      </c>
      <c r="AC320" s="35" t="str">
        <f aca="false">IF(NOT(ISNUMBER(X320)),"",IF(X320&lt;=MATCH(AB320,Config!$B$5:$B$9,0),"Within",IF(OR(X320-MATCH(AB320,Config!$B$5:$B$9,0)&gt;=2,AND('Residual Config'!$C$8="Y",ISNUMBER(SEARCH("Zero",AA320)))),"Red","Amber")))</f>
        <v>Red</v>
      </c>
      <c r="AD320" s="12" t="str">
        <f aca="false">IF(AC320="Red","Group CCO / CRO and Country CEO within 2 business days; action plan in 15 days; report to Board Risk &amp; Compliance Committee",IF(AC320="Amber","Country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21" customFormat="false" ht="15" hidden="false" customHeight="false" outlineLevel="0" collapsed="false">
      <c r="A321" s="26" t="str">
        <f aca="false">Entities!$A$20</f>
        <v>YE</v>
      </c>
      <c r="B321" s="12" t="str">
        <f aca="false">INDEX(Entities!$B$5:$B$34,MATCH(A321,Entities!$A$5:$A$34,0))</f>
        <v>Arab Bank – Yemen</v>
      </c>
      <c r="C321" s="12" t="str">
        <f aca="false">INDEX(Entities!$D$5:$D$34,MATCH(A321,Entities!$A$5:$A$34,0))</f>
        <v>Iraq and Yemen</v>
      </c>
      <c r="D321" s="12" t="s">
        <v>313</v>
      </c>
      <c r="E321" s="12" t="str">
        <f aca="false">INDEX('Risk Taxonomy'!$B$5:$B$24,MATCH(D321,'Risk Taxonomy'!$A$5:$A$24,0))</f>
        <v>Third-party and outsourcing</v>
      </c>
      <c r="F321" s="29" t="n">
        <f aca="false">IF(NOT(ISNUMBER(G321)),"",G321)</f>
        <v>5</v>
      </c>
      <c r="G321" s="34" t="n">
        <f aca="false">IF(COUNTIFS('LxI Assessment'!$A$5:$A$394,A321,'LxI Assessment'!$D$5:$D$394,D321,'LxI Assessment'!$F$5:$F$394,"N/A")&gt;0,"N/A",IF(COUNTIFS('LxI Assessment'!$A$5:$A$394,A321,'LxI Assessment'!$D$5:$D$394,D321,'LxI Assessment'!$S$5:$S$394,"&gt;0")=0,"",SUMIFS('LxI Assessment'!$S$5:$S$394,'LxI Assessment'!$A$5:$A$394,A321,'LxI Assessment'!$D$5:$D$394,D321)))</f>
        <v>5</v>
      </c>
      <c r="H321" s="7" t="str">
        <f aca="false">IF(G321="N/A","N/A",IF(G321="","No data",INDEX(Config!$B$5:$B$9,G321)))</f>
        <v>High</v>
      </c>
      <c r="I321" s="31" t="n">
        <f aca="false">IF(NOT(ISNUMBER($G321)),"",SUMPRODUCT(('Control Mapping'!$C$5:$C$83=D321)*('Control Mapping'!$V$5:$V$83&gt;0)))</f>
        <v>2</v>
      </c>
      <c r="J321" s="31" t="n">
        <f aca="false">IF(NOT(ISNUMBER($G321)),"",SUMPRODUCT(('Control Mapping'!$C$5:$C$83=D321)*('Control Mapping'!$F$5:$F$83="Y")*('Control Mapping'!$V$5:$V$83&gt;0)))</f>
        <v>2</v>
      </c>
      <c r="K321" s="31" t="n">
        <f aca="false">IF(NOT(ISNUMBER($G321)),"",SUMPRODUCT(('Control Mapping'!$C$5:$C$83=D321)*('Control Mapping'!$F$5:$F$83="Y")*('Control Mapping'!$V$5:$V$83=4)))</f>
        <v>1</v>
      </c>
      <c r="L321" s="29" t="n">
        <f aca="false">IF(NOT(ISNUMBER($G321)),"",IFERROR(SUMPRODUCT(('Control Mapping'!$C$5:$C$83=D321)*'Control Mapping'!$E$5:$E$83*'Control Mapping'!$V$5:$V$83)/SUMPRODUCT(('Control Mapping'!$C$5:$C$83=D321)*'Control Mapping'!$E$5:$E$83*('Control Mapping'!$V$5:$V$83&gt;0)),""))</f>
        <v>3.25</v>
      </c>
      <c r="M321" s="34" t="n">
        <f aca="false">IF(NOT(ISNUMBER($G321)),"",IF(J321=0,4,MAX(MATCH(L321,'Residual Config'!$E$11:$E$14,1),IF(K321&gt;0,'Residual Config'!$C$7,1))))</f>
        <v>3</v>
      </c>
      <c r="N321" s="7" t="str">
        <f aca="false">IF(NOT(ISNUMBER($G321)),"",IF(J321=0,"Ineffective (no key control)",INDEX('Residual Config'!$B$11:$B$14,M321)))</f>
        <v>Partially effective</v>
      </c>
      <c r="O321" s="36" t="n">
        <f aca="false">IF(NOT(ISNUMBER($G321)),"",IF(J321=0,0,SUMPRODUCT(('Control Mapping'!$C$5:$C$83=D321)*'Control Mapping'!$E$5:$E$83*(('Control Mapping'!$V$5:$V$83=1)*'Residual Config'!$D$11+('Control Mapping'!$V$5:$V$83=2)*'Residual Config'!$D$12+('Control Mapping'!$V$5:$V$83=3)*'Residual Config'!$D$13+('Control Mapping'!$V$5:$V$83=4)*'Residual Config'!$D$14))/SUMPRODUCT(('Control Mapping'!$C$5:$C$83=D321)*'Control Mapping'!$E$5:$E$83*('Control Mapping'!$V$5:$V$83&gt;0))))</f>
        <v>0.15</v>
      </c>
      <c r="P321" s="31" t="n">
        <f aca="false">IF(NOT(ISNUMBER($G321)),"",INDEX('Residual Config'!$B$19:$E$23,6-G321,M321))</f>
        <v>5</v>
      </c>
      <c r="Q321" s="29" t="n">
        <f aca="false">IF(NOT(ISNUMBER($G321)),"",MAX(1,F321*(1-O321)))</f>
        <v>4.25</v>
      </c>
      <c r="R321" s="31" t="n">
        <f aca="false">IF(NOT(ISNUMBER($G321)),"",MAX(MATCH(Q321,Config!$D$5:$D$9,1),G321-'Residual Config'!$C$6))</f>
        <v>5</v>
      </c>
      <c r="S321" s="34" t="n">
        <f aca="false">IF(NOT(ISNUMBER($G321)),"",IF('Residual Config'!$C$5="Numeric",R321,P321))</f>
        <v>5</v>
      </c>
      <c r="T321" s="7" t="str">
        <f aca="false">IF(G321="N/A","N/A",IF(S321="","No data",INDEX(Config!$B$5:$B$9,S321)))</f>
        <v>High</v>
      </c>
      <c r="U321" s="32" t="n">
        <v>0</v>
      </c>
      <c r="V321" s="8"/>
      <c r="W321" s="33"/>
      <c r="X321" s="34" t="n">
        <f aca="false">IF(S321="","",IF(AND(W321="Y",U321&lt;&gt;0),MAX(1,MIN(5,S321+MAX(-Config!$C$27,MIN(Config!$C$27,U321)))),S321))</f>
        <v>5</v>
      </c>
      <c r="Y321" s="35" t="str">
        <f aca="false">IF(G321="N/A","N/A",IF(X321="","No data",INDEX(Config!$B$5:$B$9,X321)))</f>
        <v>High</v>
      </c>
      <c r="Z321" s="7" t="str">
        <f aca="false">IF(U321=0,"None",IF(W321="Y","Applied","Pending HO approval"))</f>
        <v>None</v>
      </c>
      <c r="AA321" s="12" t="str">
        <f aca="false">INDEX('Risk Taxonomy'!$G$5:$G$24,MATCH(D321,'Risk Taxonomy'!$A$5:$A$24,0))</f>
        <v>Low</v>
      </c>
      <c r="AB321" s="7" t="str">
        <f aca="false">INDEX('Risk Taxonomy'!$H$5:$H$24,MATCH(D321,'Risk Taxonomy'!$A$5:$A$24,0))</f>
        <v>Medium</v>
      </c>
      <c r="AC321" s="35" t="str">
        <f aca="false">IF(NOT(ISNUMBER(X321)),"",IF(X321&lt;=MATCH(AB321,Config!$B$5:$B$9,0),"Within",IF(OR(X321-MATCH(AB321,Config!$B$5:$B$9,0)&gt;=2,AND('Residual Config'!$C$8="Y",ISNUMBER(SEARCH("Zero",AA321)))),"Red","Amber")))</f>
        <v>Red</v>
      </c>
      <c r="AD321" s="12" t="str">
        <f aca="false">IF(AC321="Red","Group CCO / CRO and Country CEO within 2 business days; action plan in 15 days; report to Board Risk &amp; Compliance Committee",IF(AC321="Amber","Country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22" customFormat="false" ht="15" hidden="false" customHeight="false" outlineLevel="0" collapsed="false">
      <c r="A322" s="26" t="str">
        <f aca="false">Entities!$A$20</f>
        <v>YE</v>
      </c>
      <c r="B322" s="12" t="str">
        <f aca="false">INDEX(Entities!$B$5:$B$34,MATCH(A322,Entities!$A$5:$A$34,0))</f>
        <v>Arab Bank – Yemen</v>
      </c>
      <c r="C322" s="12" t="str">
        <f aca="false">INDEX(Entities!$D$5:$D$34,MATCH(A322,Entities!$A$5:$A$34,0))</f>
        <v>Iraq and Yemen</v>
      </c>
      <c r="D322" s="12" t="s">
        <v>316</v>
      </c>
      <c r="E322" s="12" t="str">
        <f aca="false">INDEX('Risk Taxonomy'!$B$5:$B$24,MATCH(D322,'Risk Taxonomy'!$A$5:$A$24,0))</f>
        <v>Legal and litigation</v>
      </c>
      <c r="F322" s="29" t="n">
        <f aca="false">IF(NOT(ISNUMBER(G322)),"",G322)</f>
        <v>4</v>
      </c>
      <c r="G322" s="34" t="n">
        <f aca="false">IF(COUNTIFS('LxI Assessment'!$A$5:$A$394,A322,'LxI Assessment'!$D$5:$D$394,D322,'LxI Assessment'!$F$5:$F$394,"N/A")&gt;0,"N/A",IF(COUNTIFS('LxI Assessment'!$A$5:$A$394,A322,'LxI Assessment'!$D$5:$D$394,D322,'LxI Assessment'!$S$5:$S$394,"&gt;0")=0,"",SUMIFS('LxI Assessment'!$S$5:$S$394,'LxI Assessment'!$A$5:$A$394,A322,'LxI Assessment'!$D$5:$D$394,D322)))</f>
        <v>4</v>
      </c>
      <c r="H322" s="7" t="str">
        <f aca="false">IF(G322="N/A","N/A",IF(G322="","No data",INDEX(Config!$B$5:$B$9,G322)))</f>
        <v>Medium-High</v>
      </c>
      <c r="I322" s="31" t="n">
        <f aca="false">IF(NOT(ISNUMBER($G322)),"",SUMPRODUCT(('Control Mapping'!$C$5:$C$83=D322)*('Control Mapping'!$V$5:$V$83&gt;0)))</f>
        <v>1</v>
      </c>
      <c r="J322" s="31" t="n">
        <f aca="false">IF(NOT(ISNUMBER($G322)),"",SUMPRODUCT(('Control Mapping'!$C$5:$C$83=D322)*('Control Mapping'!$F$5:$F$83="Y")*('Control Mapping'!$V$5:$V$83&gt;0)))</f>
        <v>1</v>
      </c>
      <c r="K322" s="31" t="n">
        <f aca="false">IF(NOT(ISNUMBER($G322)),"",SUMPRODUCT(('Control Mapping'!$C$5:$C$83=D322)*('Control Mapping'!$F$5:$F$83="Y")*('Control Mapping'!$V$5:$V$83=4)))</f>
        <v>0</v>
      </c>
      <c r="L322" s="29" t="n">
        <f aca="false">IF(NOT(ISNUMBER($G322)),"",IFERROR(SUMPRODUCT(('Control Mapping'!$C$5:$C$83=D322)*'Control Mapping'!$E$5:$E$83*'Control Mapping'!$V$5:$V$83)/SUMPRODUCT(('Control Mapping'!$C$5:$C$83=D322)*'Control Mapping'!$E$5:$E$83*('Control Mapping'!$V$5:$V$83&gt;0)),""))</f>
        <v>2</v>
      </c>
      <c r="M322" s="34" t="n">
        <f aca="false">IF(NOT(ISNUMBER($G322)),"",IF(J322=0,4,MAX(MATCH(L322,'Residual Config'!$E$11:$E$14,1),IF(K322&gt;0,'Residual Config'!$C$7,1))))</f>
        <v>2</v>
      </c>
      <c r="N322" s="7" t="str">
        <f aca="false">IF(NOT(ISNUMBER($G322)),"",IF(J322=0,"Ineffective (no key control)",INDEX('Residual Config'!$B$11:$B$14,M322)))</f>
        <v>Largely effective</v>
      </c>
      <c r="O322" s="36" t="n">
        <f aca="false">IF(NOT(ISNUMBER($G322)),"",IF(J322=0,0,SUMPRODUCT(('Control Mapping'!$C$5:$C$83=D322)*'Control Mapping'!$E$5:$E$83*(('Control Mapping'!$V$5:$V$83=1)*'Residual Config'!$D$11+('Control Mapping'!$V$5:$V$83=2)*'Residual Config'!$D$12+('Control Mapping'!$V$5:$V$83=3)*'Residual Config'!$D$13+('Control Mapping'!$V$5:$V$83=4)*'Residual Config'!$D$14))/SUMPRODUCT(('Control Mapping'!$C$5:$C$83=D322)*'Control Mapping'!$E$5:$E$83*('Control Mapping'!$V$5:$V$83&gt;0))))</f>
        <v>0.4</v>
      </c>
      <c r="P322" s="31" t="n">
        <f aca="false">IF(NOT(ISNUMBER($G322)),"",INDEX('Residual Config'!$B$19:$E$23,6-G322,M322))</f>
        <v>3</v>
      </c>
      <c r="Q322" s="29" t="n">
        <f aca="false">IF(NOT(ISNUMBER($G322)),"",MAX(1,F322*(1-O322)))</f>
        <v>2.4</v>
      </c>
      <c r="R322" s="31" t="n">
        <f aca="false">IF(NOT(ISNUMBER($G322)),"",MAX(MATCH(Q322,Config!$D$5:$D$9,1),G322-'Residual Config'!$C$6))</f>
        <v>2</v>
      </c>
      <c r="S322" s="34" t="n">
        <f aca="false">IF(NOT(ISNUMBER($G322)),"",IF('Residual Config'!$C$5="Numeric",R322,P322))</f>
        <v>3</v>
      </c>
      <c r="T322" s="7" t="str">
        <f aca="false">IF(G322="N/A","N/A",IF(S322="","No data",INDEX(Config!$B$5:$B$9,S322)))</f>
        <v>Medium</v>
      </c>
      <c r="U322" s="32" t="n">
        <v>0</v>
      </c>
      <c r="V322" s="8"/>
      <c r="W322" s="33"/>
      <c r="X322" s="34" t="n">
        <f aca="false">IF(S322="","",IF(AND(W322="Y",U322&lt;&gt;0),MAX(1,MIN(5,S322+MAX(-Config!$C$27,MIN(Config!$C$27,U322)))),S322))</f>
        <v>3</v>
      </c>
      <c r="Y322" s="35" t="str">
        <f aca="false">IF(G322="N/A","N/A",IF(X322="","No data",INDEX(Config!$B$5:$B$9,X322)))</f>
        <v>Medium</v>
      </c>
      <c r="Z322" s="7" t="str">
        <f aca="false">IF(U322=0,"None",IF(W322="Y","Applied","Pending HO approval"))</f>
        <v>None</v>
      </c>
      <c r="AA322" s="12" t="str">
        <f aca="false">INDEX('Risk Taxonomy'!$G$5:$G$24,MATCH(D322,'Risk Taxonomy'!$A$5:$A$24,0))</f>
        <v>Very low</v>
      </c>
      <c r="AB322" s="7" t="str">
        <f aca="false">INDEX('Risk Taxonomy'!$H$5:$H$24,MATCH(D322,'Risk Taxonomy'!$A$5:$A$24,0))</f>
        <v>Medium-Low</v>
      </c>
      <c r="AC322" s="35" t="str">
        <f aca="false">IF(NOT(ISNUMBER(X322)),"",IF(X322&lt;=MATCH(AB322,Config!$B$5:$B$9,0),"Within",IF(OR(X322-MATCH(AB322,Config!$B$5:$B$9,0)&gt;=2,AND('Residual Config'!$C$8="Y",ISNUMBER(SEARCH("Zero",AA322)))),"Red","Amber")))</f>
        <v>Amber</v>
      </c>
      <c r="AD322" s="12" t="str">
        <f aca="false">IF(AC322="Red","Group CCO / CRO and Country CEO within 2 business days; action plan in 15 days; report to Board Risk &amp; Compliance Committee",IF(AC322="Amber","Country CO, risk owner and HO Administrator within 5 business days; action plan in 30 days",""))</f>
        <v>Country CO, risk owner and HO Administrator within 5 business days; action plan in 30 days</v>
      </c>
    </row>
    <row r="323" customFormat="false" ht="15" hidden="false" customHeight="false" outlineLevel="0" collapsed="false">
      <c r="A323" s="26" t="str">
        <f aca="false">Entities!$A$20</f>
        <v>YE</v>
      </c>
      <c r="B323" s="12" t="str">
        <f aca="false">INDEX(Entities!$B$5:$B$34,MATCH(A323,Entities!$A$5:$A$34,0))</f>
        <v>Arab Bank – Yemen</v>
      </c>
      <c r="C323" s="12" t="str">
        <f aca="false">INDEX(Entities!$D$5:$D$34,MATCH(A323,Entities!$A$5:$A$34,0))</f>
        <v>Iraq and Yemen</v>
      </c>
      <c r="D323" s="12" t="s">
        <v>319</v>
      </c>
      <c r="E323" s="12" t="str">
        <f aca="false">INDEX('Risk Taxonomy'!$B$5:$B$24,MATCH(D323,'Risk Taxonomy'!$A$5:$A$24,0))</f>
        <v>Reputational</v>
      </c>
      <c r="F323" s="29" t="n">
        <f aca="false">IF(NOT(ISNUMBER(G323)),"",G323)</f>
        <v>3</v>
      </c>
      <c r="G323" s="34" t="n">
        <f aca="false">IF(COUNTIFS('LxI Assessment'!$A$5:$A$394,A323,'LxI Assessment'!$D$5:$D$394,D323,'LxI Assessment'!$F$5:$F$394,"N/A")&gt;0,"N/A",IF(COUNTIFS('LxI Assessment'!$A$5:$A$394,A323,'LxI Assessment'!$D$5:$D$394,D323,'LxI Assessment'!$S$5:$S$394,"&gt;0")=0,"",SUMIFS('LxI Assessment'!$S$5:$S$394,'LxI Assessment'!$A$5:$A$394,A323,'LxI Assessment'!$D$5:$D$394,D323)))</f>
        <v>3</v>
      </c>
      <c r="H323" s="7" t="str">
        <f aca="false">IF(G323="N/A","N/A",IF(G323="","No data",INDEX(Config!$B$5:$B$9,G323)))</f>
        <v>Medium</v>
      </c>
      <c r="I323" s="31" t="n">
        <f aca="false">IF(NOT(ISNUMBER($G323)),"",SUMPRODUCT(('Control Mapping'!$C$5:$C$83=D323)*('Control Mapping'!$V$5:$V$83&gt;0)))</f>
        <v>2</v>
      </c>
      <c r="J323" s="31" t="n">
        <f aca="false">IF(NOT(ISNUMBER($G323)),"",SUMPRODUCT(('Control Mapping'!$C$5:$C$83=D323)*('Control Mapping'!$F$5:$F$83="Y")*('Control Mapping'!$V$5:$V$83&gt;0)))</f>
        <v>1</v>
      </c>
      <c r="K323" s="31" t="n">
        <f aca="false">IF(NOT(ISNUMBER($G323)),"",SUMPRODUCT(('Control Mapping'!$C$5:$C$83=D323)*('Control Mapping'!$F$5:$F$83="Y")*('Control Mapping'!$V$5:$V$83=4)))</f>
        <v>0</v>
      </c>
      <c r="L323" s="29" t="n">
        <f aca="false">IF(NOT(ISNUMBER($G323)),"",IFERROR(SUMPRODUCT(('Control Mapping'!$C$5:$C$83=D323)*'Control Mapping'!$E$5:$E$83*'Control Mapping'!$V$5:$V$83)/SUMPRODUCT(('Control Mapping'!$C$5:$C$83=D323)*'Control Mapping'!$E$5:$E$83*('Control Mapping'!$V$5:$V$83&gt;0)),""))</f>
        <v>1.66666666666667</v>
      </c>
      <c r="M323" s="34" t="n">
        <f aca="false">IF(NOT(ISNUMBER($G323)),"",IF(J323=0,4,MAX(MATCH(L323,'Residual Config'!$E$11:$E$14,1),IF(K323&gt;0,'Residual Config'!$C$7,1))))</f>
        <v>2</v>
      </c>
      <c r="N323" s="7" t="str">
        <f aca="false">IF(NOT(ISNUMBER($G323)),"",IF(J323=0,"Ineffective (no key control)",INDEX('Residual Config'!$B$11:$B$14,M323)))</f>
        <v>Largely effective</v>
      </c>
      <c r="O323" s="36" t="n">
        <f aca="false">IF(NOT(ISNUMBER($G323)),"",IF(J323=0,0,SUMPRODUCT(('Control Mapping'!$C$5:$C$83=D323)*'Control Mapping'!$E$5:$E$83*(('Control Mapping'!$V$5:$V$83=1)*'Residual Config'!$D$11+('Control Mapping'!$V$5:$V$83=2)*'Residual Config'!$D$12+('Control Mapping'!$V$5:$V$83=3)*'Residual Config'!$D$13+('Control Mapping'!$V$5:$V$83=4)*'Residual Config'!$D$14))/SUMPRODUCT(('Control Mapping'!$C$5:$C$83=D323)*'Control Mapping'!$E$5:$E$83*('Control Mapping'!$V$5:$V$83&gt;0))))</f>
        <v>0.466666666666667</v>
      </c>
      <c r="P323" s="31" t="n">
        <f aca="false">IF(NOT(ISNUMBER($G323)),"",INDEX('Residual Config'!$B$19:$E$23,6-G323,M323))</f>
        <v>2</v>
      </c>
      <c r="Q323" s="29" t="n">
        <f aca="false">IF(NOT(ISNUMBER($G323)),"",MAX(1,F323*(1-O323)))</f>
        <v>1.6</v>
      </c>
      <c r="R323" s="31" t="n">
        <f aca="false">IF(NOT(ISNUMBER($G323)),"",MAX(MATCH(Q323,Config!$D$5:$D$9,1),G323-'Residual Config'!$C$6))</f>
        <v>1</v>
      </c>
      <c r="S323" s="34" t="n">
        <f aca="false">IF(NOT(ISNUMBER($G323)),"",IF('Residual Config'!$C$5="Numeric",R323,P323))</f>
        <v>2</v>
      </c>
      <c r="T323" s="7" t="str">
        <f aca="false">IF(G323="N/A","N/A",IF(S323="","No data",INDEX(Config!$B$5:$B$9,S323)))</f>
        <v>Medium-Low</v>
      </c>
      <c r="U323" s="32" t="n">
        <v>0</v>
      </c>
      <c r="V323" s="8"/>
      <c r="W323" s="33"/>
      <c r="X323" s="34" t="n">
        <f aca="false">IF(S323="","",IF(AND(W323="Y",U323&lt;&gt;0),MAX(1,MIN(5,S323+MAX(-Config!$C$27,MIN(Config!$C$27,U323)))),S323))</f>
        <v>2</v>
      </c>
      <c r="Y323" s="35" t="str">
        <f aca="false">IF(G323="N/A","N/A",IF(X323="","No data",INDEX(Config!$B$5:$B$9,X323)))</f>
        <v>Medium-Low</v>
      </c>
      <c r="Z323" s="7" t="str">
        <f aca="false">IF(U323=0,"None",IF(W323="Y","Applied","Pending HO approval"))</f>
        <v>None</v>
      </c>
      <c r="AA323" s="12" t="str">
        <f aca="false">INDEX('Risk Taxonomy'!$G$5:$G$24,MATCH(D323,'Risk Taxonomy'!$A$5:$A$24,0))</f>
        <v>Low</v>
      </c>
      <c r="AB323" s="7" t="str">
        <f aca="false">INDEX('Risk Taxonomy'!$H$5:$H$24,MATCH(D323,'Risk Taxonomy'!$A$5:$A$24,0))</f>
        <v>Medium</v>
      </c>
      <c r="AC323" s="35" t="str">
        <f aca="false">IF(NOT(ISNUMBER(X323)),"",IF(X323&lt;=MATCH(AB323,Config!$B$5:$B$9,0),"Within",IF(OR(X323-MATCH(AB323,Config!$B$5:$B$9,0)&gt;=2,AND('Residual Config'!$C$8="Y",ISNUMBER(SEARCH("Zero",AA323)))),"Red","Amber")))</f>
        <v>Within</v>
      </c>
      <c r="AD323" s="12" t="str">
        <f aca="false">IF(AC323="Red","Group CCO / CRO and Country CEO within 2 business days; action plan in 15 days; report to Board Risk &amp; Compliance Committee",IF(AC323="Amber","Country CO, risk owner and HO Administrator within 5 business days; action plan in 30 days",""))</f>
        <v/>
      </c>
    </row>
    <row r="324" customFormat="false" ht="15" hidden="false" customHeight="false" outlineLevel="0" collapsed="false">
      <c r="A324" s="26" t="str">
        <f aca="false">Entities!$A$20</f>
        <v>YE</v>
      </c>
      <c r="B324" s="12" t="str">
        <f aca="false">INDEX(Entities!$B$5:$B$34,MATCH(A324,Entities!$A$5:$A$34,0))</f>
        <v>Arab Bank – Yemen</v>
      </c>
      <c r="C324" s="12" t="str">
        <f aca="false">INDEX(Entities!$D$5:$D$34,MATCH(A324,Entities!$A$5:$A$34,0))</f>
        <v>Iraq and Yemen</v>
      </c>
      <c r="D324" s="12" t="s">
        <v>322</v>
      </c>
      <c r="E324" s="12" t="str">
        <f aca="false">INDEX('Risk Taxonomy'!$B$5:$B$24,MATCH(D324,'Risk Taxonomy'!$A$5:$A$24,0))</f>
        <v>Strategic, business model and ESG</v>
      </c>
      <c r="F324" s="29" t="n">
        <f aca="false">IF(NOT(ISNUMBER(G324)),"",G324)</f>
        <v>5</v>
      </c>
      <c r="G324" s="34" t="n">
        <f aca="false">IF(COUNTIFS('LxI Assessment'!$A$5:$A$394,A324,'LxI Assessment'!$D$5:$D$394,D324,'LxI Assessment'!$F$5:$F$394,"N/A")&gt;0,"N/A",IF(COUNTIFS('LxI Assessment'!$A$5:$A$394,A324,'LxI Assessment'!$D$5:$D$394,D324,'LxI Assessment'!$S$5:$S$394,"&gt;0")=0,"",SUMIFS('LxI Assessment'!$S$5:$S$394,'LxI Assessment'!$A$5:$A$394,A324,'LxI Assessment'!$D$5:$D$394,D324)))</f>
        <v>5</v>
      </c>
      <c r="H324" s="7" t="str">
        <f aca="false">IF(G324="N/A","N/A",IF(G324="","No data",INDEX(Config!$B$5:$B$9,G324)))</f>
        <v>High</v>
      </c>
      <c r="I324" s="31" t="n">
        <f aca="false">IF(NOT(ISNUMBER($G324)),"",SUMPRODUCT(('Control Mapping'!$C$5:$C$83=D324)*('Control Mapping'!$V$5:$V$83&gt;0)))</f>
        <v>1</v>
      </c>
      <c r="J324" s="31" t="n">
        <f aca="false">IF(NOT(ISNUMBER($G324)),"",SUMPRODUCT(('Control Mapping'!$C$5:$C$83=D324)*('Control Mapping'!$F$5:$F$83="Y")*('Control Mapping'!$V$5:$V$83&gt;0)))</f>
        <v>1</v>
      </c>
      <c r="K324" s="31" t="n">
        <f aca="false">IF(NOT(ISNUMBER($G324)),"",SUMPRODUCT(('Control Mapping'!$C$5:$C$83=D324)*('Control Mapping'!$F$5:$F$83="Y")*('Control Mapping'!$V$5:$V$83=4)))</f>
        <v>0</v>
      </c>
      <c r="L324" s="29" t="n">
        <f aca="false">IF(NOT(ISNUMBER($G324)),"",IFERROR(SUMPRODUCT(('Control Mapping'!$C$5:$C$83=D324)*'Control Mapping'!$E$5:$E$83*'Control Mapping'!$V$5:$V$83)/SUMPRODUCT(('Control Mapping'!$C$5:$C$83=D324)*'Control Mapping'!$E$5:$E$83*('Control Mapping'!$V$5:$V$83&gt;0)),""))</f>
        <v>2</v>
      </c>
      <c r="M324" s="34" t="n">
        <f aca="false">IF(NOT(ISNUMBER($G324)),"",IF(J324=0,4,MAX(MATCH(L324,'Residual Config'!$E$11:$E$14,1),IF(K324&gt;0,'Residual Config'!$C$7,1))))</f>
        <v>2</v>
      </c>
      <c r="N324" s="7" t="str">
        <f aca="false">IF(NOT(ISNUMBER($G324)),"",IF(J324=0,"Ineffective (no key control)",INDEX('Residual Config'!$B$11:$B$14,M324)))</f>
        <v>Largely effective</v>
      </c>
      <c r="O324" s="36" t="n">
        <f aca="false">IF(NOT(ISNUMBER($G324)),"",IF(J324=0,0,SUMPRODUCT(('Control Mapping'!$C$5:$C$83=D324)*'Control Mapping'!$E$5:$E$83*(('Control Mapping'!$V$5:$V$83=1)*'Residual Config'!$D$11+('Control Mapping'!$V$5:$V$83=2)*'Residual Config'!$D$12+('Control Mapping'!$V$5:$V$83=3)*'Residual Config'!$D$13+('Control Mapping'!$V$5:$V$83=4)*'Residual Config'!$D$14))/SUMPRODUCT(('Control Mapping'!$C$5:$C$83=D324)*'Control Mapping'!$E$5:$E$83*('Control Mapping'!$V$5:$V$83&gt;0))))</f>
        <v>0.4</v>
      </c>
      <c r="P324" s="31" t="n">
        <f aca="false">IF(NOT(ISNUMBER($G324)),"",INDEX('Residual Config'!$B$19:$E$23,6-G324,M324))</f>
        <v>4</v>
      </c>
      <c r="Q324" s="29" t="n">
        <f aca="false">IF(NOT(ISNUMBER($G324)),"",MAX(1,F324*(1-O324)))</f>
        <v>3</v>
      </c>
      <c r="R324" s="31" t="n">
        <f aca="false">IF(NOT(ISNUMBER($G324)),"",MAX(MATCH(Q324,Config!$D$5:$D$9,1),G324-'Residual Config'!$C$6))</f>
        <v>3</v>
      </c>
      <c r="S324" s="34" t="n">
        <f aca="false">IF(NOT(ISNUMBER($G324)),"",IF('Residual Config'!$C$5="Numeric",R324,P324))</f>
        <v>4</v>
      </c>
      <c r="T324" s="7" t="str">
        <f aca="false">IF(G324="N/A","N/A",IF(S324="","No data",INDEX(Config!$B$5:$B$9,S324)))</f>
        <v>Medium-High</v>
      </c>
      <c r="U324" s="32" t="n">
        <v>0</v>
      </c>
      <c r="V324" s="8"/>
      <c r="W324" s="33"/>
      <c r="X324" s="34" t="n">
        <f aca="false">IF(S324="","",IF(AND(W324="Y",U324&lt;&gt;0),MAX(1,MIN(5,S324+MAX(-Config!$C$27,MIN(Config!$C$27,U324)))),S324))</f>
        <v>4</v>
      </c>
      <c r="Y324" s="35" t="str">
        <f aca="false">IF(G324="N/A","N/A",IF(X324="","No data",INDEX(Config!$B$5:$B$9,X324)))</f>
        <v>Medium-High</v>
      </c>
      <c r="Z324" s="7" t="str">
        <f aca="false">IF(U324=0,"None",IF(W324="Y","Applied","Pending HO approval"))</f>
        <v>None</v>
      </c>
      <c r="AA324" s="12" t="str">
        <f aca="false">INDEX('Risk Taxonomy'!$G$5:$G$24,MATCH(D324,'Risk Taxonomy'!$A$5:$A$24,0))</f>
        <v>Moderate</v>
      </c>
      <c r="AB324" s="7" t="str">
        <f aca="false">INDEX('Risk Taxonomy'!$H$5:$H$24,MATCH(D324,'Risk Taxonomy'!$A$5:$A$24,0))</f>
        <v>Medium-High</v>
      </c>
      <c r="AC324" s="35" t="str">
        <f aca="false">IF(NOT(ISNUMBER(X324)),"",IF(X324&lt;=MATCH(AB324,Config!$B$5:$B$9,0),"Within",IF(OR(X324-MATCH(AB324,Config!$B$5:$B$9,0)&gt;=2,AND('Residual Config'!$C$8="Y",ISNUMBER(SEARCH("Zero",AA324)))),"Red","Amber")))</f>
        <v>Within</v>
      </c>
      <c r="AD324" s="12" t="str">
        <f aca="false">IF(AC324="Red","Group CCO / CRO and Country CEO within 2 business days; action plan in 15 days; report to Board Risk &amp; Compliance Committee",IF(AC324="Amber","Country CO, risk owner and HO Administrator within 5 business days; action plan in 30 days",""))</f>
        <v/>
      </c>
    </row>
    <row r="325" customFormat="false" ht="15" hidden="false" customHeight="false" outlineLevel="0" collapsed="false">
      <c r="A325" s="26" t="str">
        <f aca="false">Entities!$A$21</f>
        <v>EG</v>
      </c>
      <c r="B325" s="12" t="str">
        <f aca="false">INDEX(Entities!$B$5:$B$34,MATCH(A325,Entities!$A$5:$A$34,0))</f>
        <v>Arab Bank – Egypt</v>
      </c>
      <c r="C325" s="12" t="str">
        <f aca="false">INDEX(Entities!$D$5:$D$34,MATCH(A325,Entities!$A$5:$A$34,0))</f>
        <v>North Africa</v>
      </c>
      <c r="D325" s="12" t="s">
        <v>260</v>
      </c>
      <c r="E325" s="12" t="str">
        <f aca="false">INDEX('Risk Taxonomy'!$B$5:$B$24,MATCH(D325,'Risk Taxonomy'!$A$5:$A$24,0))</f>
        <v>Money laundering</v>
      </c>
      <c r="F325" s="29" t="n">
        <f aca="false">IF(NOT(ISNUMBER(G325)),"",IFERROR(IF(MATCH(SUMIFS('FC Calculation'!$N$5:$N$214,'FC Calculation'!$A$5:$A$214,A325,'FC Calculation'!$D$5:$D$214,D325),Config!$D$5:$D$9,1)=G325,SUMIFS('FC Calculation'!$N$5:$N$214,'FC Calculation'!$A$5:$A$214,A325,'FC Calculation'!$D$5:$D$214,D325),G325),G325))</f>
        <v>2.35063492063492</v>
      </c>
      <c r="G325" s="34" t="n">
        <f aca="false">IF(COUNTIFS('FC Calculation'!$A$5:$A$214,A325,'FC Calculation'!$D$5:$D$214,D325,'FC Calculation'!$T$5:$T$214,"&gt;0")=0,"",SUMIFS('FC Calculation'!$T$5:$T$214,'FC Calculation'!$A$5:$A$214,A325,'FC Calculation'!$D$5:$D$214,D325))</f>
        <v>2</v>
      </c>
      <c r="H325" s="7" t="str">
        <f aca="false">IF(G325="N/A","N/A",IF(G325="","No data",INDEX(Config!$B$5:$B$9,G325)))</f>
        <v>Medium-Low</v>
      </c>
      <c r="I325" s="31" t="n">
        <f aca="false">IF(NOT(ISNUMBER($G325)),"",SUMPRODUCT(('Control Mapping'!$C$5:$C$83=D325)*('Control Mapping'!$W$5:$W$83&gt;0)))</f>
        <v>12</v>
      </c>
      <c r="J325" s="31" t="n">
        <f aca="false">IF(NOT(ISNUMBER($G325)),"",SUMPRODUCT(('Control Mapping'!$C$5:$C$83=D325)*('Control Mapping'!$F$5:$F$83="Y")*('Control Mapping'!$W$5:$W$83&gt;0)))</f>
        <v>9</v>
      </c>
      <c r="K325" s="31" t="n">
        <f aca="false">IF(NOT(ISNUMBER($G325)),"",SUMPRODUCT(('Control Mapping'!$C$5:$C$83=D325)*('Control Mapping'!$F$5:$F$83="Y")*('Control Mapping'!$W$5:$W$83=4)))</f>
        <v>1</v>
      </c>
      <c r="L325" s="29" t="n">
        <f aca="false">IF(NOT(ISNUMBER($G325)),"",IFERROR(SUMPRODUCT(('Control Mapping'!$C$5:$C$83=D325)*'Control Mapping'!$E$5:$E$83*'Control Mapping'!$W$5:$W$83)/SUMPRODUCT(('Control Mapping'!$C$5:$C$83=D325)*'Control Mapping'!$E$5:$E$83*('Control Mapping'!$W$5:$W$83&gt;0)),""))</f>
        <v>2.21739130434783</v>
      </c>
      <c r="M325" s="34" t="n">
        <f aca="false">IF(NOT(ISNUMBER($G325)),"",IF(J325=0,4,MAX(MATCH(L325,'Residual Config'!$E$11:$E$14,1),IF(K325&gt;0,'Residual Config'!$C$7,1))))</f>
        <v>3</v>
      </c>
      <c r="N325" s="7" t="str">
        <f aca="false">IF(NOT(ISNUMBER($G325)),"",IF(J325=0,"Ineffective (no key control)",INDEX('Residual Config'!$B$11:$B$14,M325)))</f>
        <v>Partially effective</v>
      </c>
      <c r="O325" s="36" t="n">
        <f aca="false">IF(NOT(ISNUMBER($G325)),"",IF(J325=0,0,SUMPRODUCT(('Control Mapping'!$C$5:$C$83=D325)*'Control Mapping'!$E$5:$E$83*(('Control Mapping'!$W$5:$W$83=1)*'Residual Config'!$D$11+('Control Mapping'!$W$5:$W$83=2)*'Residual Config'!$D$12+('Control Mapping'!$W$5:$W$83=3)*'Residual Config'!$D$13+('Control Mapping'!$W$5:$W$83=4)*'Residual Config'!$D$14))/SUMPRODUCT(('Control Mapping'!$C$5:$C$83=D325)*'Control Mapping'!$E$5:$E$83*('Control Mapping'!$W$5:$W$83&gt;0))))</f>
        <v>0.356521739130435</v>
      </c>
      <c r="P325" s="31" t="n">
        <f aca="false">IF(NOT(ISNUMBER($G325)),"",INDEX('Residual Config'!$B$19:$E$23,6-G325,M325))</f>
        <v>2</v>
      </c>
      <c r="Q325" s="29" t="n">
        <f aca="false">IF(NOT(ISNUMBER($G325)),"",MAX(1,F325*(1-O325)))</f>
        <v>1.51258247066943</v>
      </c>
      <c r="R325" s="31" t="n">
        <f aca="false">IF(NOT(ISNUMBER($G325)),"",MAX(MATCH(Q325,Config!$D$5:$D$9,1),G325-'Residual Config'!$C$6))</f>
        <v>1</v>
      </c>
      <c r="S325" s="34" t="n">
        <f aca="false">IF(NOT(ISNUMBER($G325)),"",IF('Residual Config'!$C$5="Numeric",R325,P325))</f>
        <v>2</v>
      </c>
      <c r="T325" s="7" t="str">
        <f aca="false">IF(G325="N/A","N/A",IF(S325="","No data",INDEX(Config!$B$5:$B$9,S325)))</f>
        <v>Medium-Low</v>
      </c>
      <c r="U325" s="32" t="n">
        <v>-1</v>
      </c>
      <c r="V325" s="8" t="s">
        <v>3995</v>
      </c>
      <c r="W325" s="33" t="s">
        <v>111</v>
      </c>
      <c r="X325" s="34" t="n">
        <f aca="false">IF(S325="","",IF(AND(W325="Y",U325&lt;&gt;0),MAX(1,MIN(5,S325+MAX(-Config!$C$27,MIN(Config!$C$27,U325)))),S325))</f>
        <v>1</v>
      </c>
      <c r="Y325" s="35" t="str">
        <f aca="false">IF(G325="N/A","N/A",IF(X325="","No data",INDEX(Config!$B$5:$B$9,X325)))</f>
        <v>Low</v>
      </c>
      <c r="Z325" s="7" t="str">
        <f aca="false">IF(U325=0,"None",IF(W325="Y","Applied","Pending HO approval"))</f>
        <v>Applied</v>
      </c>
      <c r="AA325" s="12" t="str">
        <f aca="false">INDEX('Risk Taxonomy'!$G$5:$G$24,MATCH(D325,'Risk Taxonomy'!$A$5:$A$24,0))</f>
        <v>Very low</v>
      </c>
      <c r="AB325" s="7" t="str">
        <f aca="false">INDEX('Risk Taxonomy'!$H$5:$H$24,MATCH(D325,'Risk Taxonomy'!$A$5:$A$24,0))</f>
        <v>Medium-Low</v>
      </c>
      <c r="AC325" s="35" t="str">
        <f aca="false">IF(NOT(ISNUMBER(X325)),"",IF(X325&lt;=MATCH(AB325,Config!$B$5:$B$9,0),"Within",IF(OR(X325-MATCH(AB325,Config!$B$5:$B$9,0)&gt;=2,AND('Residual Config'!$C$8="Y",ISNUMBER(SEARCH("Zero",AA325)))),"Red","Amber")))</f>
        <v>Within</v>
      </c>
      <c r="AD325" s="12" t="str">
        <f aca="false">IF(AC325="Red","Group CCO / CRO and Country CEO within 2 business days; action plan in 15 days; report to Board Risk &amp; Compliance Committee",IF(AC325="Amber","Country CO, risk owner and HO Administrator within 5 business days; action plan in 30 days",""))</f>
        <v/>
      </c>
    </row>
    <row r="326" customFormat="false" ht="15" hidden="false" customHeight="false" outlineLevel="0" collapsed="false">
      <c r="A326" s="26" t="str">
        <f aca="false">Entities!$A$21</f>
        <v>EG</v>
      </c>
      <c r="B326" s="12" t="str">
        <f aca="false">INDEX(Entities!$B$5:$B$34,MATCH(A326,Entities!$A$5:$A$34,0))</f>
        <v>Arab Bank – Egypt</v>
      </c>
      <c r="C326" s="12" t="str">
        <f aca="false">INDEX(Entities!$D$5:$D$34,MATCH(A326,Entities!$A$5:$A$34,0))</f>
        <v>North Africa</v>
      </c>
      <c r="D326" s="12" t="s">
        <v>267</v>
      </c>
      <c r="E326" s="12" t="str">
        <f aca="false">INDEX('Risk Taxonomy'!$B$5:$B$24,MATCH(D326,'Risk Taxonomy'!$A$5:$A$24,0))</f>
        <v>Terrorist financing</v>
      </c>
      <c r="F326" s="29" t="n">
        <f aca="false">IF(NOT(ISNUMBER(G326)),"",IFERROR(IF(MATCH(SUMIFS('FC Calculation'!$N$5:$N$214,'FC Calculation'!$A$5:$A$214,A326,'FC Calculation'!$D$5:$D$214,D326),Config!$D$5:$D$9,1)=G326,SUMIFS('FC Calculation'!$N$5:$N$214,'FC Calculation'!$A$5:$A$214,A326,'FC Calculation'!$D$5:$D$214,D326),G326),G326))</f>
        <v>2.38571428571429</v>
      </c>
      <c r="G326" s="34" t="n">
        <f aca="false">IF(COUNTIFS('FC Calculation'!$A$5:$A$214,A326,'FC Calculation'!$D$5:$D$214,D326,'FC Calculation'!$T$5:$T$214,"&gt;0")=0,"",SUMIFS('FC Calculation'!$T$5:$T$214,'FC Calculation'!$A$5:$A$214,A326,'FC Calculation'!$D$5:$D$214,D326))</f>
        <v>2</v>
      </c>
      <c r="H326" s="7" t="str">
        <f aca="false">IF(G326="N/A","N/A",IF(G326="","No data",INDEX(Config!$B$5:$B$9,G326)))</f>
        <v>Medium-Low</v>
      </c>
      <c r="I326" s="31" t="n">
        <f aca="false">IF(NOT(ISNUMBER($G326)),"",SUMPRODUCT(('Control Mapping'!$C$5:$C$83=D326)*('Control Mapping'!$W$5:$W$83&gt;0)))</f>
        <v>12</v>
      </c>
      <c r="J326" s="31" t="n">
        <f aca="false">IF(NOT(ISNUMBER($G326)),"",SUMPRODUCT(('Control Mapping'!$C$5:$C$83=D326)*('Control Mapping'!$F$5:$F$83="Y")*('Control Mapping'!$W$5:$W$83&gt;0)))</f>
        <v>9</v>
      </c>
      <c r="K326" s="31" t="n">
        <f aca="false">IF(NOT(ISNUMBER($G326)),"",SUMPRODUCT(('Control Mapping'!$C$5:$C$83=D326)*('Control Mapping'!$F$5:$F$83="Y")*('Control Mapping'!$W$5:$W$83=4)))</f>
        <v>1</v>
      </c>
      <c r="L326" s="29" t="n">
        <f aca="false">IF(NOT(ISNUMBER($G326)),"",IFERROR(SUMPRODUCT(('Control Mapping'!$C$5:$C$83=D326)*'Control Mapping'!$E$5:$E$83*'Control Mapping'!$W$5:$W$83)/SUMPRODUCT(('Control Mapping'!$C$5:$C$83=D326)*'Control Mapping'!$E$5:$E$83*('Control Mapping'!$W$5:$W$83&gt;0)),""))</f>
        <v>2</v>
      </c>
      <c r="M326" s="34" t="n">
        <f aca="false">IF(NOT(ISNUMBER($G326)),"",IF(J326=0,4,MAX(MATCH(L326,'Residual Config'!$E$11:$E$14,1),IF(K326&gt;0,'Residual Config'!$C$7,1))))</f>
        <v>3</v>
      </c>
      <c r="N326" s="7" t="str">
        <f aca="false">IF(NOT(ISNUMBER($G326)),"",IF(J326=0,"Ineffective (no key control)",INDEX('Residual Config'!$B$11:$B$14,M326)))</f>
        <v>Partially effective</v>
      </c>
      <c r="O326" s="36" t="n">
        <f aca="false">IF(NOT(ISNUMBER($G326)),"",IF(J326=0,0,SUMPRODUCT(('Control Mapping'!$C$5:$C$83=D326)*'Control Mapping'!$E$5:$E$83*(('Control Mapping'!$W$5:$W$83=1)*'Residual Config'!$D$11+('Control Mapping'!$W$5:$W$83=2)*'Residual Config'!$D$12+('Control Mapping'!$W$5:$W$83=3)*'Residual Config'!$D$13+('Control Mapping'!$W$5:$W$83=4)*'Residual Config'!$D$14))/SUMPRODUCT(('Control Mapping'!$C$5:$C$83=D326)*'Control Mapping'!$E$5:$E$83*('Control Mapping'!$W$5:$W$83&gt;0))))</f>
        <v>0.4</v>
      </c>
      <c r="P326" s="31" t="n">
        <f aca="false">IF(NOT(ISNUMBER($G326)),"",INDEX('Residual Config'!$B$19:$E$23,6-G326,M326))</f>
        <v>2</v>
      </c>
      <c r="Q326" s="29" t="n">
        <f aca="false">IF(NOT(ISNUMBER($G326)),"",MAX(1,F326*(1-O326)))</f>
        <v>1.43142857142857</v>
      </c>
      <c r="R326" s="31" t="n">
        <f aca="false">IF(NOT(ISNUMBER($G326)),"",MAX(MATCH(Q326,Config!$D$5:$D$9,1),G326-'Residual Config'!$C$6))</f>
        <v>1</v>
      </c>
      <c r="S326" s="34" t="n">
        <f aca="false">IF(NOT(ISNUMBER($G326)),"",IF('Residual Config'!$C$5="Numeric",R326,P326))</f>
        <v>2</v>
      </c>
      <c r="T326" s="7" t="str">
        <f aca="false">IF(G326="N/A","N/A",IF(S326="","No data",INDEX(Config!$B$5:$B$9,S326)))</f>
        <v>Medium-Low</v>
      </c>
      <c r="U326" s="32" t="n">
        <v>0</v>
      </c>
      <c r="V326" s="8"/>
      <c r="W326" s="33"/>
      <c r="X326" s="34" t="n">
        <f aca="false">IF(S326="","",IF(AND(W326="Y",U326&lt;&gt;0),MAX(1,MIN(5,S326+MAX(-Config!$C$27,MIN(Config!$C$27,U326)))),S326))</f>
        <v>2</v>
      </c>
      <c r="Y326" s="35" t="str">
        <f aca="false">IF(G326="N/A","N/A",IF(X326="","No data",INDEX(Config!$B$5:$B$9,X326)))</f>
        <v>Medium-Low</v>
      </c>
      <c r="Z326" s="7" t="str">
        <f aca="false">IF(U326=0,"None",IF(W326="Y","Applied","Pending HO approval"))</f>
        <v>None</v>
      </c>
      <c r="AA326" s="12" t="str">
        <f aca="false">INDEX('Risk Taxonomy'!$G$5:$G$24,MATCH(D326,'Risk Taxonomy'!$A$5:$A$24,0))</f>
        <v>Zero tolerance</v>
      </c>
      <c r="AB326" s="7" t="str">
        <f aca="false">INDEX('Risk Taxonomy'!$H$5:$H$24,MATCH(D326,'Risk Taxonomy'!$A$5:$A$24,0))</f>
        <v>Low</v>
      </c>
      <c r="AC326" s="35" t="str">
        <f aca="false">IF(NOT(ISNUMBER(X326)),"",IF(X326&lt;=MATCH(AB326,Config!$B$5:$B$9,0),"Within",IF(OR(X326-MATCH(AB326,Config!$B$5:$B$9,0)&gt;=2,AND('Residual Config'!$C$8="Y",ISNUMBER(SEARCH("Zero",AA326)))),"Red","Amber")))</f>
        <v>Amber</v>
      </c>
      <c r="AD326" s="12" t="str">
        <f aca="false">IF(AC326="Red","Group CCO / CRO and Country CEO within 2 business days; action plan in 15 days; report to Board Risk &amp; Compliance Committee",IF(AC326="Amber","Country CO, risk owner and HO Administrator within 5 business days; action plan in 30 days",""))</f>
        <v>Country CO, risk owner and HO Administrator within 5 business days; action plan in 30 days</v>
      </c>
    </row>
    <row r="327" customFormat="false" ht="15" hidden="false" customHeight="false" outlineLevel="0" collapsed="false">
      <c r="A327" s="26" t="str">
        <f aca="false">Entities!$A$21</f>
        <v>EG</v>
      </c>
      <c r="B327" s="12" t="str">
        <f aca="false">INDEX(Entities!$B$5:$B$34,MATCH(A327,Entities!$A$5:$A$34,0))</f>
        <v>Arab Bank – Egypt</v>
      </c>
      <c r="C327" s="12" t="str">
        <f aca="false">INDEX(Entities!$D$5:$D$34,MATCH(A327,Entities!$A$5:$A$34,0))</f>
        <v>North Africa</v>
      </c>
      <c r="D327" s="12" t="s">
        <v>270</v>
      </c>
      <c r="E327" s="12" t="str">
        <f aca="false">INDEX('Risk Taxonomy'!$B$5:$B$24,MATCH(D327,'Risk Taxonomy'!$A$5:$A$24,0))</f>
        <v>Proliferation financing</v>
      </c>
      <c r="F327" s="29" t="n">
        <f aca="false">IF(NOT(ISNUMBER(G327)),"",IFERROR(IF(MATCH(SUMIFS('FC Calculation'!$N$5:$N$214,'FC Calculation'!$A$5:$A$214,A327,'FC Calculation'!$D$5:$D$214,D327),Config!$D$5:$D$9,1)=G327,SUMIFS('FC Calculation'!$N$5:$N$214,'FC Calculation'!$A$5:$A$214,A327,'FC Calculation'!$D$5:$D$214,D327),G327),G327))</f>
        <v>2.44583333333333</v>
      </c>
      <c r="G327" s="34" t="n">
        <f aca="false">IF(COUNTIFS('FC Calculation'!$A$5:$A$214,A327,'FC Calculation'!$D$5:$D$214,D327,'FC Calculation'!$T$5:$T$214,"&gt;0")=0,"",SUMIFS('FC Calculation'!$T$5:$T$214,'FC Calculation'!$A$5:$A$214,A327,'FC Calculation'!$D$5:$D$214,D327))</f>
        <v>2</v>
      </c>
      <c r="H327" s="7" t="str">
        <f aca="false">IF(G327="N/A","N/A",IF(G327="","No data",INDEX(Config!$B$5:$B$9,G327)))</f>
        <v>Medium-Low</v>
      </c>
      <c r="I327" s="31" t="n">
        <f aca="false">IF(NOT(ISNUMBER($G327)),"",SUMPRODUCT(('Control Mapping'!$C$5:$C$83=D327)*('Control Mapping'!$W$5:$W$83&gt;0)))</f>
        <v>5</v>
      </c>
      <c r="J327" s="31" t="n">
        <f aca="false">IF(NOT(ISNUMBER($G327)),"",SUMPRODUCT(('Control Mapping'!$C$5:$C$83=D327)*('Control Mapping'!$F$5:$F$83="Y")*('Control Mapping'!$W$5:$W$83&gt;0)))</f>
        <v>5</v>
      </c>
      <c r="K327" s="31" t="n">
        <f aca="false">IF(NOT(ISNUMBER($G327)),"",SUMPRODUCT(('Control Mapping'!$C$5:$C$83=D327)*('Control Mapping'!$F$5:$F$83="Y")*('Control Mapping'!$W$5:$W$83=4)))</f>
        <v>0</v>
      </c>
      <c r="L327" s="29" t="n">
        <f aca="false">IF(NOT(ISNUMBER($G327)),"",IFERROR(SUMPRODUCT(('Control Mapping'!$C$5:$C$83=D327)*'Control Mapping'!$E$5:$E$83*'Control Mapping'!$W$5:$W$83)/SUMPRODUCT(('Control Mapping'!$C$5:$C$83=D327)*'Control Mapping'!$E$5:$E$83*('Control Mapping'!$W$5:$W$83&gt;0)),""))</f>
        <v>1.7</v>
      </c>
      <c r="M327" s="34" t="n">
        <f aca="false">IF(NOT(ISNUMBER($G327)),"",IF(J327=0,4,MAX(MATCH(L327,'Residual Config'!$E$11:$E$14,1),IF(K327&gt;0,'Residual Config'!$C$7,1))))</f>
        <v>2</v>
      </c>
      <c r="N327" s="7" t="str">
        <f aca="false">IF(NOT(ISNUMBER($G327)),"",IF(J327=0,"Ineffective (no key control)",INDEX('Residual Config'!$B$11:$B$14,M327)))</f>
        <v>Largely effective</v>
      </c>
      <c r="O327" s="36" t="n">
        <f aca="false">IF(NOT(ISNUMBER($G327)),"",IF(J327=0,0,SUMPRODUCT(('Control Mapping'!$C$5:$C$83=D327)*'Control Mapping'!$E$5:$E$83*(('Control Mapping'!$W$5:$W$83=1)*'Residual Config'!$D$11+('Control Mapping'!$W$5:$W$83=2)*'Residual Config'!$D$12+('Control Mapping'!$W$5:$W$83=3)*'Residual Config'!$D$13+('Control Mapping'!$W$5:$W$83=4)*'Residual Config'!$D$14))/SUMPRODUCT(('Control Mapping'!$C$5:$C$83=D327)*'Control Mapping'!$E$5:$E$83*('Control Mapping'!$W$5:$W$83&gt;0))))</f>
        <v>0.46</v>
      </c>
      <c r="P327" s="31" t="n">
        <f aca="false">IF(NOT(ISNUMBER($G327)),"",INDEX('Residual Config'!$B$19:$E$23,6-G327,M327))</f>
        <v>1</v>
      </c>
      <c r="Q327" s="29" t="n">
        <f aca="false">IF(NOT(ISNUMBER($G327)),"",MAX(1,F327*(1-O327)))</f>
        <v>1.32075</v>
      </c>
      <c r="R327" s="31" t="n">
        <f aca="false">IF(NOT(ISNUMBER($G327)),"",MAX(MATCH(Q327,Config!$D$5:$D$9,1),G327-'Residual Config'!$C$6))</f>
        <v>1</v>
      </c>
      <c r="S327" s="34" t="n">
        <f aca="false">IF(NOT(ISNUMBER($G327)),"",IF('Residual Config'!$C$5="Numeric",R327,P327))</f>
        <v>1</v>
      </c>
      <c r="T327" s="7" t="str">
        <f aca="false">IF(G327="N/A","N/A",IF(S327="","No data",INDEX(Config!$B$5:$B$9,S327)))</f>
        <v>Low</v>
      </c>
      <c r="U327" s="32" t="n">
        <v>0</v>
      </c>
      <c r="V327" s="8"/>
      <c r="W327" s="33"/>
      <c r="X327" s="34" t="n">
        <f aca="false">IF(S327="","",IF(AND(W327="Y",U327&lt;&gt;0),MAX(1,MIN(5,S327+MAX(-Config!$C$27,MIN(Config!$C$27,U327)))),S327))</f>
        <v>1</v>
      </c>
      <c r="Y327" s="35" t="str">
        <f aca="false">IF(G327="N/A","N/A",IF(X327="","No data",INDEX(Config!$B$5:$B$9,X327)))</f>
        <v>Low</v>
      </c>
      <c r="Z327" s="7" t="str">
        <f aca="false">IF(U327=0,"None",IF(W327="Y","Applied","Pending HO approval"))</f>
        <v>None</v>
      </c>
      <c r="AA327" s="12" t="str">
        <f aca="false">INDEX('Risk Taxonomy'!$G$5:$G$24,MATCH(D327,'Risk Taxonomy'!$A$5:$A$24,0))</f>
        <v>Zero tolerance</v>
      </c>
      <c r="AB327" s="7" t="str">
        <f aca="false">INDEX('Risk Taxonomy'!$H$5:$H$24,MATCH(D327,'Risk Taxonomy'!$A$5:$A$24,0))</f>
        <v>Low</v>
      </c>
      <c r="AC327" s="35" t="str">
        <f aca="false">IF(NOT(ISNUMBER(X327)),"",IF(X327&lt;=MATCH(AB327,Config!$B$5:$B$9,0),"Within",IF(OR(X327-MATCH(AB327,Config!$B$5:$B$9,0)&gt;=2,AND('Residual Config'!$C$8="Y",ISNUMBER(SEARCH("Zero",AA327)))),"Red","Amber")))</f>
        <v>Within</v>
      </c>
      <c r="AD327" s="12" t="str">
        <f aca="false">IF(AC327="Red","Group CCO / CRO and Country CEO within 2 business days; action plan in 15 days; report to Board Risk &amp; Compliance Committee",IF(AC327="Amber","Country CO, risk owner and HO Administrator within 5 business days; action plan in 30 days",""))</f>
        <v/>
      </c>
    </row>
    <row r="328" customFormat="false" ht="15" hidden="false" customHeight="false" outlineLevel="0" collapsed="false">
      <c r="A328" s="26" t="str">
        <f aca="false">Entities!$A$21</f>
        <v>EG</v>
      </c>
      <c r="B328" s="12" t="str">
        <f aca="false">INDEX(Entities!$B$5:$B$34,MATCH(A328,Entities!$A$5:$A$34,0))</f>
        <v>Arab Bank – Egypt</v>
      </c>
      <c r="C328" s="12" t="str">
        <f aca="false">INDEX(Entities!$D$5:$D$34,MATCH(A328,Entities!$A$5:$A$34,0))</f>
        <v>North Africa</v>
      </c>
      <c r="D328" s="12" t="s">
        <v>272</v>
      </c>
      <c r="E328" s="12" t="str">
        <f aca="false">INDEX('Risk Taxonomy'!$B$5:$B$24,MATCH(D328,'Risk Taxonomy'!$A$5:$A$24,0))</f>
        <v>Sanctions</v>
      </c>
      <c r="F328" s="29" t="n">
        <f aca="false">IF(NOT(ISNUMBER(G328)),"",IFERROR(IF(MATCH(SUMIFS('FC Calculation'!$N$5:$N$214,'FC Calculation'!$A$5:$A$214,A328,'FC Calculation'!$D$5:$D$214,D328),Config!$D$5:$D$9,1)=G328,SUMIFS('FC Calculation'!$N$5:$N$214,'FC Calculation'!$A$5:$A$214,A328,'FC Calculation'!$D$5:$D$214,D328),G328),G328))</f>
        <v>2.49690476190476</v>
      </c>
      <c r="G328" s="34" t="n">
        <f aca="false">IF(COUNTIFS('FC Calculation'!$A$5:$A$214,A328,'FC Calculation'!$D$5:$D$214,D328,'FC Calculation'!$T$5:$T$214,"&gt;0")=0,"",SUMIFS('FC Calculation'!$T$5:$T$214,'FC Calculation'!$A$5:$A$214,A328,'FC Calculation'!$D$5:$D$214,D328))</f>
        <v>2</v>
      </c>
      <c r="H328" s="7" t="str">
        <f aca="false">IF(G328="N/A","N/A",IF(G328="","No data",INDEX(Config!$B$5:$B$9,G328)))</f>
        <v>Medium-Low</v>
      </c>
      <c r="I328" s="31" t="n">
        <f aca="false">IF(NOT(ISNUMBER($G328)),"",SUMPRODUCT(('Control Mapping'!$C$5:$C$83=D328)*('Control Mapping'!$W$5:$W$83&gt;0)))</f>
        <v>8</v>
      </c>
      <c r="J328" s="31" t="n">
        <f aca="false">IF(NOT(ISNUMBER($G328)),"",SUMPRODUCT(('Control Mapping'!$C$5:$C$83=D328)*('Control Mapping'!$F$5:$F$83="Y")*('Control Mapping'!$W$5:$W$83&gt;0)))</f>
        <v>5</v>
      </c>
      <c r="K328" s="31" t="n">
        <f aca="false">IF(NOT(ISNUMBER($G328)),"",SUMPRODUCT(('Control Mapping'!$C$5:$C$83=D328)*('Control Mapping'!$F$5:$F$83="Y")*('Control Mapping'!$W$5:$W$83=4)))</f>
        <v>0</v>
      </c>
      <c r="L328" s="29" t="n">
        <f aca="false">IF(NOT(ISNUMBER($G328)),"",IFERROR(SUMPRODUCT(('Control Mapping'!$C$5:$C$83=D328)*'Control Mapping'!$E$5:$E$83*'Control Mapping'!$W$5:$W$83)/SUMPRODUCT(('Control Mapping'!$C$5:$C$83=D328)*'Control Mapping'!$E$5:$E$83*('Control Mapping'!$W$5:$W$83&gt;0)),""))</f>
        <v>2</v>
      </c>
      <c r="M328" s="34" t="n">
        <f aca="false">IF(NOT(ISNUMBER($G328)),"",IF(J328=0,4,MAX(MATCH(L328,'Residual Config'!$E$11:$E$14,1),IF(K328&gt;0,'Residual Config'!$C$7,1))))</f>
        <v>2</v>
      </c>
      <c r="N328" s="7" t="str">
        <f aca="false">IF(NOT(ISNUMBER($G328)),"",IF(J328=0,"Ineffective (no key control)",INDEX('Residual Config'!$B$11:$B$14,M328)))</f>
        <v>Largely effective</v>
      </c>
      <c r="O328" s="36" t="n">
        <f aca="false">IF(NOT(ISNUMBER($G328)),"",IF(J328=0,0,SUMPRODUCT(('Control Mapping'!$C$5:$C$83=D328)*'Control Mapping'!$E$5:$E$83*(('Control Mapping'!$W$5:$W$83=1)*'Residual Config'!$D$11+('Control Mapping'!$W$5:$W$83=2)*'Residual Config'!$D$12+('Control Mapping'!$W$5:$W$83=3)*'Residual Config'!$D$13+('Control Mapping'!$W$5:$W$83=4)*'Residual Config'!$D$14))/SUMPRODUCT(('Control Mapping'!$C$5:$C$83=D328)*'Control Mapping'!$E$5:$E$83*('Control Mapping'!$W$5:$W$83&gt;0))))</f>
        <v>0.4</v>
      </c>
      <c r="P328" s="31" t="n">
        <f aca="false">IF(NOT(ISNUMBER($G328)),"",INDEX('Residual Config'!$B$19:$E$23,6-G328,M328))</f>
        <v>1</v>
      </c>
      <c r="Q328" s="29" t="n">
        <f aca="false">IF(NOT(ISNUMBER($G328)),"",MAX(1,F328*(1-O328)))</f>
        <v>1.49814285714286</v>
      </c>
      <c r="R328" s="31" t="n">
        <f aca="false">IF(NOT(ISNUMBER($G328)),"",MAX(MATCH(Q328,Config!$D$5:$D$9,1),G328-'Residual Config'!$C$6))</f>
        <v>1</v>
      </c>
      <c r="S328" s="34" t="n">
        <f aca="false">IF(NOT(ISNUMBER($G328)),"",IF('Residual Config'!$C$5="Numeric",R328,P328))</f>
        <v>1</v>
      </c>
      <c r="T328" s="7" t="str">
        <f aca="false">IF(G328="N/A","N/A",IF(S328="","No data",INDEX(Config!$B$5:$B$9,S328)))</f>
        <v>Low</v>
      </c>
      <c r="U328" s="32" t="n">
        <v>0</v>
      </c>
      <c r="V328" s="8"/>
      <c r="W328" s="33"/>
      <c r="X328" s="34" t="n">
        <f aca="false">IF(S328="","",IF(AND(W328="Y",U328&lt;&gt;0),MAX(1,MIN(5,S328+MAX(-Config!$C$27,MIN(Config!$C$27,U328)))),S328))</f>
        <v>1</v>
      </c>
      <c r="Y328" s="35" t="str">
        <f aca="false">IF(G328="N/A","N/A",IF(X328="","No data",INDEX(Config!$B$5:$B$9,X328)))</f>
        <v>Low</v>
      </c>
      <c r="Z328" s="7" t="str">
        <f aca="false">IF(U328=0,"None",IF(W328="Y","Applied","Pending HO approval"))</f>
        <v>None</v>
      </c>
      <c r="AA328" s="12" t="str">
        <f aca="false">INDEX('Risk Taxonomy'!$G$5:$G$24,MATCH(D328,'Risk Taxonomy'!$A$5:$A$24,0))</f>
        <v>Zero tolerance</v>
      </c>
      <c r="AB328" s="7" t="str">
        <f aca="false">INDEX('Risk Taxonomy'!$H$5:$H$24,MATCH(D328,'Risk Taxonomy'!$A$5:$A$24,0))</f>
        <v>Low</v>
      </c>
      <c r="AC328" s="35" t="str">
        <f aca="false">IF(NOT(ISNUMBER(X328)),"",IF(X328&lt;=MATCH(AB328,Config!$B$5:$B$9,0),"Within",IF(OR(X328-MATCH(AB328,Config!$B$5:$B$9,0)&gt;=2,AND('Residual Config'!$C$8="Y",ISNUMBER(SEARCH("Zero",AA328)))),"Red","Amber")))</f>
        <v>Within</v>
      </c>
      <c r="AD328" s="12" t="str">
        <f aca="false">IF(AC328="Red","Group CCO / CRO and Country CEO within 2 business days; action plan in 15 days; report to Board Risk &amp; Compliance Committee",IF(AC328="Amber","Country CO, risk owner and HO Administrator within 5 business days; action plan in 30 days",""))</f>
        <v/>
      </c>
    </row>
    <row r="329" customFormat="false" ht="15" hidden="false" customHeight="false" outlineLevel="0" collapsed="false">
      <c r="A329" s="26" t="str">
        <f aca="false">Entities!$A$21</f>
        <v>EG</v>
      </c>
      <c r="B329" s="12" t="str">
        <f aca="false">INDEX(Entities!$B$5:$B$34,MATCH(A329,Entities!$A$5:$A$34,0))</f>
        <v>Arab Bank – Egypt</v>
      </c>
      <c r="C329" s="12" t="str">
        <f aca="false">INDEX(Entities!$D$5:$D$34,MATCH(A329,Entities!$A$5:$A$34,0))</f>
        <v>North Africa</v>
      </c>
      <c r="D329" s="12" t="s">
        <v>275</v>
      </c>
      <c r="E329" s="12" t="str">
        <f aca="false">INDEX('Risk Taxonomy'!$B$5:$B$24,MATCH(D329,'Risk Taxonomy'!$A$5:$A$24,0))</f>
        <v>Bribery and corruption</v>
      </c>
      <c r="F329" s="29" t="n">
        <f aca="false">IF(NOT(ISNUMBER(G329)),"",IFERROR(IF(MATCH(SUMIFS('FC Calculation'!$N$5:$N$214,'FC Calculation'!$A$5:$A$214,A329,'FC Calculation'!$D$5:$D$214,D329),Config!$D$5:$D$9,1)=G329,SUMIFS('FC Calculation'!$N$5:$N$214,'FC Calculation'!$A$5:$A$214,A329,'FC Calculation'!$D$5:$D$214,D329),G329),G329))</f>
        <v>2.42</v>
      </c>
      <c r="G329" s="34" t="n">
        <f aca="false">IF(COUNTIFS('FC Calculation'!$A$5:$A$214,A329,'FC Calculation'!$D$5:$D$214,D329,'FC Calculation'!$T$5:$T$214,"&gt;0")=0,"",SUMIFS('FC Calculation'!$T$5:$T$214,'FC Calculation'!$A$5:$A$214,A329,'FC Calculation'!$D$5:$D$214,D329))</f>
        <v>2</v>
      </c>
      <c r="H329" s="7" t="str">
        <f aca="false">IF(G329="N/A","N/A",IF(G329="","No data",INDEX(Config!$B$5:$B$9,G329)))</f>
        <v>Medium-Low</v>
      </c>
      <c r="I329" s="31" t="n">
        <f aca="false">IF(NOT(ISNUMBER($G329)),"",SUMPRODUCT(('Control Mapping'!$C$5:$C$83=D329)*('Control Mapping'!$W$5:$W$83&gt;0)))</f>
        <v>5</v>
      </c>
      <c r="J329" s="31" t="n">
        <f aca="false">IF(NOT(ISNUMBER($G329)),"",SUMPRODUCT(('Control Mapping'!$C$5:$C$83=D329)*('Control Mapping'!$F$5:$F$83="Y")*('Control Mapping'!$W$5:$W$83&gt;0)))</f>
        <v>2</v>
      </c>
      <c r="K329" s="31" t="n">
        <f aca="false">IF(NOT(ISNUMBER($G329)),"",SUMPRODUCT(('Control Mapping'!$C$5:$C$83=D329)*('Control Mapping'!$F$5:$F$83="Y")*('Control Mapping'!$W$5:$W$83=4)))</f>
        <v>0</v>
      </c>
      <c r="L329" s="29" t="n">
        <f aca="false">IF(NOT(ISNUMBER($G329)),"",IFERROR(SUMPRODUCT(('Control Mapping'!$C$5:$C$83=D329)*'Control Mapping'!$E$5:$E$83*'Control Mapping'!$W$5:$W$83)/SUMPRODUCT(('Control Mapping'!$C$5:$C$83=D329)*'Control Mapping'!$E$5:$E$83*('Control Mapping'!$W$5:$W$83&gt;0)),""))</f>
        <v>1.55555555555556</v>
      </c>
      <c r="M329" s="34" t="n">
        <f aca="false">IF(NOT(ISNUMBER($G329)),"",IF(J329=0,4,MAX(MATCH(L329,'Residual Config'!$E$11:$E$14,1),IF(K329&gt;0,'Residual Config'!$C$7,1))))</f>
        <v>2</v>
      </c>
      <c r="N329" s="7" t="str">
        <f aca="false">IF(NOT(ISNUMBER($G329)),"",IF(J329=0,"Ineffective (no key control)",INDEX('Residual Config'!$B$11:$B$14,M329)))</f>
        <v>Largely effective</v>
      </c>
      <c r="O329" s="36" t="n">
        <f aca="false">IF(NOT(ISNUMBER($G329)),"",IF(J329=0,0,SUMPRODUCT(('Control Mapping'!$C$5:$C$83=D329)*'Control Mapping'!$E$5:$E$83*(('Control Mapping'!$W$5:$W$83=1)*'Residual Config'!$D$11+('Control Mapping'!$W$5:$W$83=2)*'Residual Config'!$D$12+('Control Mapping'!$W$5:$W$83=3)*'Residual Config'!$D$13+('Control Mapping'!$W$5:$W$83=4)*'Residual Config'!$D$14))/SUMPRODUCT(('Control Mapping'!$C$5:$C$83=D329)*'Control Mapping'!$E$5:$E$83*('Control Mapping'!$W$5:$W$83&gt;0))))</f>
        <v>0.488888888888889</v>
      </c>
      <c r="P329" s="31" t="n">
        <f aca="false">IF(NOT(ISNUMBER($G329)),"",INDEX('Residual Config'!$B$19:$E$23,6-G329,M329))</f>
        <v>1</v>
      </c>
      <c r="Q329" s="29" t="n">
        <f aca="false">IF(NOT(ISNUMBER($G329)),"",MAX(1,F329*(1-O329)))</f>
        <v>1.23688888888889</v>
      </c>
      <c r="R329" s="31" t="n">
        <f aca="false">IF(NOT(ISNUMBER($G329)),"",MAX(MATCH(Q329,Config!$D$5:$D$9,1),G329-'Residual Config'!$C$6))</f>
        <v>1</v>
      </c>
      <c r="S329" s="34" t="n">
        <f aca="false">IF(NOT(ISNUMBER($G329)),"",IF('Residual Config'!$C$5="Numeric",R329,P329))</f>
        <v>1</v>
      </c>
      <c r="T329" s="7" t="str">
        <f aca="false">IF(G329="N/A","N/A",IF(S329="","No data",INDEX(Config!$B$5:$B$9,S329)))</f>
        <v>Low</v>
      </c>
      <c r="U329" s="32" t="n">
        <v>0</v>
      </c>
      <c r="V329" s="8"/>
      <c r="W329" s="33"/>
      <c r="X329" s="34" t="n">
        <f aca="false">IF(S329="","",IF(AND(W329="Y",U329&lt;&gt;0),MAX(1,MIN(5,S329+MAX(-Config!$C$27,MIN(Config!$C$27,U329)))),S329))</f>
        <v>1</v>
      </c>
      <c r="Y329" s="35" t="str">
        <f aca="false">IF(G329="N/A","N/A",IF(X329="","No data",INDEX(Config!$B$5:$B$9,X329)))</f>
        <v>Low</v>
      </c>
      <c r="Z329" s="7" t="str">
        <f aca="false">IF(U329=0,"None",IF(W329="Y","Applied","Pending HO approval"))</f>
        <v>None</v>
      </c>
      <c r="AA329" s="12" t="str">
        <f aca="false">INDEX('Risk Taxonomy'!$G$5:$G$24,MATCH(D329,'Risk Taxonomy'!$A$5:$A$24,0))</f>
        <v>Zero tolerance</v>
      </c>
      <c r="AB329" s="7" t="str">
        <f aca="false">INDEX('Risk Taxonomy'!$H$5:$H$24,MATCH(D329,'Risk Taxonomy'!$A$5:$A$24,0))</f>
        <v>Low</v>
      </c>
      <c r="AC329" s="35" t="str">
        <f aca="false">IF(NOT(ISNUMBER(X329)),"",IF(X329&lt;=MATCH(AB329,Config!$B$5:$B$9,0),"Within",IF(OR(X329-MATCH(AB329,Config!$B$5:$B$9,0)&gt;=2,AND('Residual Config'!$C$8="Y",ISNUMBER(SEARCH("Zero",AA329)))),"Red","Amber")))</f>
        <v>Within</v>
      </c>
      <c r="AD329" s="12" t="str">
        <f aca="false">IF(AC329="Red","Group CCO / CRO and Country CEO within 2 business days; action plan in 15 days; report to Board Risk &amp; Compliance Committee",IF(AC329="Amber","Country CO, risk owner and HO Administrator within 5 business days; action plan in 30 days",""))</f>
        <v/>
      </c>
    </row>
    <row r="330" customFormat="false" ht="15" hidden="false" customHeight="false" outlineLevel="0" collapsed="false">
      <c r="A330" s="26" t="str">
        <f aca="false">Entities!$A$21</f>
        <v>EG</v>
      </c>
      <c r="B330" s="12" t="str">
        <f aca="false">INDEX(Entities!$B$5:$B$34,MATCH(A330,Entities!$A$5:$A$34,0))</f>
        <v>Arab Bank – Egypt</v>
      </c>
      <c r="C330" s="12" t="str">
        <f aca="false">INDEX(Entities!$D$5:$D$34,MATCH(A330,Entities!$A$5:$A$34,0))</f>
        <v>North Africa</v>
      </c>
      <c r="D330" s="12" t="s">
        <v>278</v>
      </c>
      <c r="E330" s="12" t="str">
        <f aca="false">INDEX('Risk Taxonomy'!$B$5:$B$24,MATCH(D330,'Risk Taxonomy'!$A$5:$A$24,0))</f>
        <v>Fraud</v>
      </c>
      <c r="F330" s="29" t="n">
        <f aca="false">IF(NOT(ISNUMBER(G330)),"",IFERROR(IF(MATCH(SUMIFS('FC Calculation'!$N$5:$N$214,'FC Calculation'!$A$5:$A$214,A330,'FC Calculation'!$D$5:$D$214,D330),Config!$D$5:$D$9,1)=G330,SUMIFS('FC Calculation'!$N$5:$N$214,'FC Calculation'!$A$5:$A$214,A330,'FC Calculation'!$D$5:$D$214,D330),G330),G330))</f>
        <v>2.725</v>
      </c>
      <c r="G330" s="34" t="n">
        <f aca="false">IF(COUNTIFS('FC Calculation'!$A$5:$A$214,A330,'FC Calculation'!$D$5:$D$214,D330,'FC Calculation'!$T$5:$T$214,"&gt;0")=0,"",SUMIFS('FC Calculation'!$T$5:$T$214,'FC Calculation'!$A$5:$A$214,A330,'FC Calculation'!$D$5:$D$214,D330))</f>
        <v>3</v>
      </c>
      <c r="H330" s="7" t="str">
        <f aca="false">IF(G330="N/A","N/A",IF(G330="","No data",INDEX(Config!$B$5:$B$9,G330)))</f>
        <v>Medium</v>
      </c>
      <c r="I330" s="31" t="n">
        <f aca="false">IF(NOT(ISNUMBER($G330)),"",SUMPRODUCT(('Control Mapping'!$C$5:$C$83=D330)*('Control Mapping'!$W$5:$W$83&gt;0)))</f>
        <v>6</v>
      </c>
      <c r="J330" s="31" t="n">
        <f aca="false">IF(NOT(ISNUMBER($G330)),"",SUMPRODUCT(('Control Mapping'!$C$5:$C$83=D330)*('Control Mapping'!$F$5:$F$83="Y")*('Control Mapping'!$W$5:$W$83&gt;0)))</f>
        <v>5</v>
      </c>
      <c r="K330" s="31" t="n">
        <f aca="false">IF(NOT(ISNUMBER($G330)),"",SUMPRODUCT(('Control Mapping'!$C$5:$C$83=D330)*('Control Mapping'!$F$5:$F$83="Y")*('Control Mapping'!$W$5:$W$83=4)))</f>
        <v>1</v>
      </c>
      <c r="L330" s="29" t="n">
        <f aca="false">IF(NOT(ISNUMBER($G330)),"",IFERROR(SUMPRODUCT(('Control Mapping'!$C$5:$C$83=D330)*'Control Mapping'!$E$5:$E$83*'Control Mapping'!$W$5:$W$83)/SUMPRODUCT(('Control Mapping'!$C$5:$C$83=D330)*'Control Mapping'!$E$5:$E$83*('Control Mapping'!$W$5:$W$83&gt;0)),""))</f>
        <v>2.6</v>
      </c>
      <c r="M330" s="34" t="n">
        <f aca="false">IF(NOT(ISNUMBER($G330)),"",IF(J330=0,4,MAX(MATCH(L330,'Residual Config'!$E$11:$E$14,1),IF(K330&gt;0,'Residual Config'!$C$7,1))))</f>
        <v>3</v>
      </c>
      <c r="N330" s="7" t="str">
        <f aca="false">IF(NOT(ISNUMBER($G330)),"",IF(J330=0,"Ineffective (no key control)",INDEX('Residual Config'!$B$11:$B$14,M330)))</f>
        <v>Partially effective</v>
      </c>
      <c r="O330" s="36" t="n">
        <f aca="false">IF(NOT(ISNUMBER($G330)),"",IF(J330=0,0,SUMPRODUCT(('Control Mapping'!$C$5:$C$83=D330)*'Control Mapping'!$E$5:$E$83*(('Control Mapping'!$W$5:$W$83=1)*'Residual Config'!$D$11+('Control Mapping'!$W$5:$W$83=2)*'Residual Config'!$D$12+('Control Mapping'!$W$5:$W$83=3)*'Residual Config'!$D$13+('Control Mapping'!$W$5:$W$83=4)*'Residual Config'!$D$14))/SUMPRODUCT(('Control Mapping'!$C$5:$C$83=D330)*'Control Mapping'!$E$5:$E$83*('Control Mapping'!$W$5:$W$83&gt;0))))</f>
        <v>0.28</v>
      </c>
      <c r="P330" s="31" t="n">
        <f aca="false">IF(NOT(ISNUMBER($G330)),"",INDEX('Residual Config'!$B$19:$E$23,6-G330,M330))</f>
        <v>3</v>
      </c>
      <c r="Q330" s="29" t="n">
        <f aca="false">IF(NOT(ISNUMBER($G330)),"",MAX(1,F330*(1-O330)))</f>
        <v>1.962</v>
      </c>
      <c r="R330" s="31" t="n">
        <f aca="false">IF(NOT(ISNUMBER($G330)),"",MAX(MATCH(Q330,Config!$D$5:$D$9,1),G330-'Residual Config'!$C$6))</f>
        <v>2</v>
      </c>
      <c r="S330" s="34" t="n">
        <f aca="false">IF(NOT(ISNUMBER($G330)),"",IF('Residual Config'!$C$5="Numeric",R330,P330))</f>
        <v>3</v>
      </c>
      <c r="T330" s="7" t="str">
        <f aca="false">IF(G330="N/A","N/A",IF(S330="","No data",INDEX(Config!$B$5:$B$9,S330)))</f>
        <v>Medium</v>
      </c>
      <c r="U330" s="32" t="n">
        <v>0</v>
      </c>
      <c r="V330" s="8"/>
      <c r="W330" s="33"/>
      <c r="X330" s="34" t="n">
        <f aca="false">IF(S330="","",IF(AND(W330="Y",U330&lt;&gt;0),MAX(1,MIN(5,S330+MAX(-Config!$C$27,MIN(Config!$C$27,U330)))),S330))</f>
        <v>3</v>
      </c>
      <c r="Y330" s="35" t="str">
        <f aca="false">IF(G330="N/A","N/A",IF(X330="","No data",INDEX(Config!$B$5:$B$9,X330)))</f>
        <v>Medium</v>
      </c>
      <c r="Z330" s="7" t="str">
        <f aca="false">IF(U330=0,"None",IF(W330="Y","Applied","Pending HO approval"))</f>
        <v>None</v>
      </c>
      <c r="AA330" s="12" t="str">
        <f aca="false">INDEX('Risk Taxonomy'!$G$5:$G$24,MATCH(D330,'Risk Taxonomy'!$A$5:$A$24,0))</f>
        <v>Low</v>
      </c>
      <c r="AB330" s="7" t="str">
        <f aca="false">INDEX('Risk Taxonomy'!$H$5:$H$24,MATCH(D330,'Risk Taxonomy'!$A$5:$A$24,0))</f>
        <v>Medium</v>
      </c>
      <c r="AC330" s="35" t="str">
        <f aca="false">IF(NOT(ISNUMBER(X330)),"",IF(X330&lt;=MATCH(AB330,Config!$B$5:$B$9,0),"Within",IF(OR(X330-MATCH(AB330,Config!$B$5:$B$9,0)&gt;=2,AND('Residual Config'!$C$8="Y",ISNUMBER(SEARCH("Zero",AA330)))),"Red","Amber")))</f>
        <v>Within</v>
      </c>
      <c r="AD330" s="12" t="str">
        <f aca="false">IF(AC330="Red","Group CCO / CRO and Country CEO within 2 business days; action plan in 15 days; report to Board Risk &amp; Compliance Committee",IF(AC330="Amber","Country CO, risk owner and HO Administrator within 5 business days; action plan in 30 days",""))</f>
        <v/>
      </c>
    </row>
    <row r="331" customFormat="false" ht="15" hidden="false" customHeight="false" outlineLevel="0" collapsed="false">
      <c r="A331" s="26" t="str">
        <f aca="false">Entities!$A$21</f>
        <v>EG</v>
      </c>
      <c r="B331" s="12" t="str">
        <f aca="false">INDEX(Entities!$B$5:$B$34,MATCH(A331,Entities!$A$5:$A$34,0))</f>
        <v>Arab Bank – Egypt</v>
      </c>
      <c r="C331" s="12" t="str">
        <f aca="false">INDEX(Entities!$D$5:$D$34,MATCH(A331,Entities!$A$5:$A$34,0))</f>
        <v>North Africa</v>
      </c>
      <c r="D331" s="12" t="s">
        <v>281</v>
      </c>
      <c r="E331" s="12" t="str">
        <f aca="false">INDEX('Risk Taxonomy'!$B$5:$B$24,MATCH(D331,'Risk Taxonomy'!$A$5:$A$24,0))</f>
        <v>Tax evasion and tax transparency</v>
      </c>
      <c r="F331" s="29" t="n">
        <f aca="false">IF(NOT(ISNUMBER(G331)),"",IFERROR(IF(MATCH(SUMIFS('FC Calculation'!$N$5:$N$214,'FC Calculation'!$A$5:$A$214,A331,'FC Calculation'!$D$5:$D$214,D331),Config!$D$5:$D$9,1)=G331,SUMIFS('FC Calculation'!$N$5:$N$214,'FC Calculation'!$A$5:$A$214,A331,'FC Calculation'!$D$5:$D$214,D331),G331),G331))</f>
        <v>2.16777777777778</v>
      </c>
      <c r="G331" s="34" t="n">
        <f aca="false">IF(COUNTIFS('FC Calculation'!$A$5:$A$214,A331,'FC Calculation'!$D$5:$D$214,D331,'FC Calculation'!$T$5:$T$214,"&gt;0")=0,"",SUMIFS('FC Calculation'!$T$5:$T$214,'FC Calculation'!$A$5:$A$214,A331,'FC Calculation'!$D$5:$D$214,D331))</f>
        <v>2</v>
      </c>
      <c r="H331" s="7" t="str">
        <f aca="false">IF(G331="N/A","N/A",IF(G331="","No data",INDEX(Config!$B$5:$B$9,G331)))</f>
        <v>Medium-Low</v>
      </c>
      <c r="I331" s="31" t="n">
        <f aca="false">IF(NOT(ISNUMBER($G331)),"",SUMPRODUCT(('Control Mapping'!$C$5:$C$83=D331)*('Control Mapping'!$W$5:$W$83&gt;0)))</f>
        <v>5</v>
      </c>
      <c r="J331" s="31" t="n">
        <f aca="false">IF(NOT(ISNUMBER($G331)),"",SUMPRODUCT(('Control Mapping'!$C$5:$C$83=D331)*('Control Mapping'!$F$5:$F$83="Y")*('Control Mapping'!$W$5:$W$83&gt;0)))</f>
        <v>4</v>
      </c>
      <c r="K331" s="31" t="n">
        <f aca="false">IF(NOT(ISNUMBER($G331)),"",SUMPRODUCT(('Control Mapping'!$C$5:$C$83=D331)*('Control Mapping'!$F$5:$F$83="Y")*('Control Mapping'!$W$5:$W$83=4)))</f>
        <v>0</v>
      </c>
      <c r="L331" s="29" t="n">
        <f aca="false">IF(NOT(ISNUMBER($G331)),"",IFERROR(SUMPRODUCT(('Control Mapping'!$C$5:$C$83=D331)*'Control Mapping'!$E$5:$E$83*'Control Mapping'!$W$5:$W$83)/SUMPRODUCT(('Control Mapping'!$C$5:$C$83=D331)*'Control Mapping'!$E$5:$E$83*('Control Mapping'!$W$5:$W$83&gt;0)),""))</f>
        <v>1.66666666666667</v>
      </c>
      <c r="M331" s="34" t="n">
        <f aca="false">IF(NOT(ISNUMBER($G331)),"",IF(J331=0,4,MAX(MATCH(L331,'Residual Config'!$E$11:$E$14,1),IF(K331&gt;0,'Residual Config'!$C$7,1))))</f>
        <v>2</v>
      </c>
      <c r="N331" s="7" t="str">
        <f aca="false">IF(NOT(ISNUMBER($G331)),"",IF(J331=0,"Ineffective (no key control)",INDEX('Residual Config'!$B$11:$B$14,M331)))</f>
        <v>Largely effective</v>
      </c>
      <c r="O331" s="36" t="n">
        <f aca="false">IF(NOT(ISNUMBER($G331)),"",IF(J331=0,0,SUMPRODUCT(('Control Mapping'!$C$5:$C$83=D331)*'Control Mapping'!$E$5:$E$83*(('Control Mapping'!$W$5:$W$83=1)*'Residual Config'!$D$11+('Control Mapping'!$W$5:$W$83=2)*'Residual Config'!$D$12+('Control Mapping'!$W$5:$W$83=3)*'Residual Config'!$D$13+('Control Mapping'!$W$5:$W$83=4)*'Residual Config'!$D$14))/SUMPRODUCT(('Control Mapping'!$C$5:$C$83=D331)*'Control Mapping'!$E$5:$E$83*('Control Mapping'!$W$5:$W$83&gt;0))))</f>
        <v>0.466666666666667</v>
      </c>
      <c r="P331" s="31" t="n">
        <f aca="false">IF(NOT(ISNUMBER($G331)),"",INDEX('Residual Config'!$B$19:$E$23,6-G331,M331))</f>
        <v>1</v>
      </c>
      <c r="Q331" s="29" t="n">
        <f aca="false">IF(NOT(ISNUMBER($G331)),"",MAX(1,F331*(1-O331)))</f>
        <v>1.15614814814815</v>
      </c>
      <c r="R331" s="31" t="n">
        <f aca="false">IF(NOT(ISNUMBER($G331)),"",MAX(MATCH(Q331,Config!$D$5:$D$9,1),G331-'Residual Config'!$C$6))</f>
        <v>1</v>
      </c>
      <c r="S331" s="34" t="n">
        <f aca="false">IF(NOT(ISNUMBER($G331)),"",IF('Residual Config'!$C$5="Numeric",R331,P331))</f>
        <v>1</v>
      </c>
      <c r="T331" s="7" t="str">
        <f aca="false">IF(G331="N/A","N/A",IF(S331="","No data",INDEX(Config!$B$5:$B$9,S331)))</f>
        <v>Low</v>
      </c>
      <c r="U331" s="32" t="n">
        <v>0</v>
      </c>
      <c r="V331" s="8"/>
      <c r="W331" s="33"/>
      <c r="X331" s="34" t="n">
        <f aca="false">IF(S331="","",IF(AND(W331="Y",U331&lt;&gt;0),MAX(1,MIN(5,S331+MAX(-Config!$C$27,MIN(Config!$C$27,U331)))),S331))</f>
        <v>1</v>
      </c>
      <c r="Y331" s="35" t="str">
        <f aca="false">IF(G331="N/A","N/A",IF(X331="","No data",INDEX(Config!$B$5:$B$9,X331)))</f>
        <v>Low</v>
      </c>
      <c r="Z331" s="7" t="str">
        <f aca="false">IF(U331=0,"None",IF(W331="Y","Applied","Pending HO approval"))</f>
        <v>None</v>
      </c>
      <c r="AA331" s="12" t="str">
        <f aca="false">INDEX('Risk Taxonomy'!$G$5:$G$24,MATCH(D331,'Risk Taxonomy'!$A$5:$A$24,0))</f>
        <v>Zero tolerance (facilitation)</v>
      </c>
      <c r="AB331" s="7" t="str">
        <f aca="false">INDEX('Risk Taxonomy'!$H$5:$H$24,MATCH(D331,'Risk Taxonomy'!$A$5:$A$24,0))</f>
        <v>Low</v>
      </c>
      <c r="AC331" s="35" t="str">
        <f aca="false">IF(NOT(ISNUMBER(X331)),"",IF(X331&lt;=MATCH(AB331,Config!$B$5:$B$9,0),"Within",IF(OR(X331-MATCH(AB331,Config!$B$5:$B$9,0)&gt;=2,AND('Residual Config'!$C$8="Y",ISNUMBER(SEARCH("Zero",AA331)))),"Red","Amber")))</f>
        <v>Within</v>
      </c>
      <c r="AD331" s="12" t="str">
        <f aca="false">IF(AC331="Red","Group CCO / CRO and Country CEO within 2 business days; action plan in 15 days; report to Board Risk &amp; Compliance Committee",IF(AC331="Amber","Country CO, risk owner and HO Administrator within 5 business days; action plan in 30 days",""))</f>
        <v/>
      </c>
    </row>
    <row r="332" customFormat="false" ht="15" hidden="false" customHeight="false" outlineLevel="0" collapsed="false">
      <c r="A332" s="26" t="str">
        <f aca="false">Entities!$A$21</f>
        <v>EG</v>
      </c>
      <c r="B332" s="12" t="str">
        <f aca="false">INDEX(Entities!$B$5:$B$34,MATCH(A332,Entities!$A$5:$A$34,0))</f>
        <v>Arab Bank – Egypt</v>
      </c>
      <c r="C332" s="12" t="str">
        <f aca="false">INDEX(Entities!$D$5:$D$34,MATCH(A332,Entities!$A$5:$A$34,0))</f>
        <v>North Africa</v>
      </c>
      <c r="D332" s="12" t="s">
        <v>284</v>
      </c>
      <c r="E332" s="12" t="str">
        <f aca="false">INDEX('Risk Taxonomy'!$B$5:$B$24,MATCH(D332,'Risk Taxonomy'!$A$5:$A$24,0))</f>
        <v>Regulatory compliance</v>
      </c>
      <c r="F332" s="29" t="n">
        <f aca="false">IF(NOT(ISNUMBER(G332)),"",G332)</f>
        <v>2</v>
      </c>
      <c r="G332" s="34" t="n">
        <f aca="false">IF(COUNTIFS('LxI Assessment'!$A$5:$A$394,A332,'LxI Assessment'!$D$5:$D$394,D332,'LxI Assessment'!$F$5:$F$394,"N/A")&gt;0,"N/A",IF(COUNTIFS('LxI Assessment'!$A$5:$A$394,A332,'LxI Assessment'!$D$5:$D$394,D332,'LxI Assessment'!$S$5:$S$394,"&gt;0")=0,"",SUMIFS('LxI Assessment'!$S$5:$S$394,'LxI Assessment'!$A$5:$A$394,A332,'LxI Assessment'!$D$5:$D$394,D332)))</f>
        <v>2</v>
      </c>
      <c r="H332" s="7" t="str">
        <f aca="false">IF(G332="N/A","N/A",IF(G332="","No data",INDEX(Config!$B$5:$B$9,G332)))</f>
        <v>Medium-Low</v>
      </c>
      <c r="I332" s="31" t="n">
        <f aca="false">IF(NOT(ISNUMBER($G332)),"",SUMPRODUCT(('Control Mapping'!$C$5:$C$83=D332)*('Control Mapping'!$W$5:$W$83&gt;0)))</f>
        <v>4</v>
      </c>
      <c r="J332" s="31" t="n">
        <f aca="false">IF(NOT(ISNUMBER($G332)),"",SUMPRODUCT(('Control Mapping'!$C$5:$C$83=D332)*('Control Mapping'!$F$5:$F$83="Y")*('Control Mapping'!$W$5:$W$83&gt;0)))</f>
        <v>3</v>
      </c>
      <c r="K332" s="31" t="n">
        <f aca="false">IF(NOT(ISNUMBER($G332)),"",SUMPRODUCT(('Control Mapping'!$C$5:$C$83=D332)*('Control Mapping'!$F$5:$F$83="Y")*('Control Mapping'!$W$5:$W$83=4)))</f>
        <v>0</v>
      </c>
      <c r="L332" s="29" t="n">
        <f aca="false">IF(NOT(ISNUMBER($G332)),"",IFERROR(SUMPRODUCT(('Control Mapping'!$C$5:$C$83=D332)*'Control Mapping'!$E$5:$E$83*'Control Mapping'!$W$5:$W$83)/SUMPRODUCT(('Control Mapping'!$C$5:$C$83=D332)*'Control Mapping'!$E$5:$E$83*('Control Mapping'!$W$5:$W$83&gt;0)),""))</f>
        <v>1.71428571428571</v>
      </c>
      <c r="M332" s="34" t="n">
        <f aca="false">IF(NOT(ISNUMBER($G332)),"",IF(J332=0,4,MAX(MATCH(L332,'Residual Config'!$E$11:$E$14,1),IF(K332&gt;0,'Residual Config'!$C$7,1))))</f>
        <v>2</v>
      </c>
      <c r="N332" s="7" t="str">
        <f aca="false">IF(NOT(ISNUMBER($G332)),"",IF(J332=0,"Ineffective (no key control)",INDEX('Residual Config'!$B$11:$B$14,M332)))</f>
        <v>Largely effective</v>
      </c>
      <c r="O332" s="36" t="n">
        <f aca="false">IF(NOT(ISNUMBER($G332)),"",IF(J332=0,0,SUMPRODUCT(('Control Mapping'!$C$5:$C$83=D332)*'Control Mapping'!$E$5:$E$83*(('Control Mapping'!$W$5:$W$83=1)*'Residual Config'!$D$11+('Control Mapping'!$W$5:$W$83=2)*'Residual Config'!$D$12+('Control Mapping'!$W$5:$W$83=3)*'Residual Config'!$D$13+('Control Mapping'!$W$5:$W$83=4)*'Residual Config'!$D$14))/SUMPRODUCT(('Control Mapping'!$C$5:$C$83=D332)*'Control Mapping'!$E$5:$E$83*('Control Mapping'!$W$5:$W$83&gt;0))))</f>
        <v>0.457142857142857</v>
      </c>
      <c r="P332" s="31" t="n">
        <f aca="false">IF(NOT(ISNUMBER($G332)),"",INDEX('Residual Config'!$B$19:$E$23,6-G332,M332))</f>
        <v>1</v>
      </c>
      <c r="Q332" s="29" t="n">
        <f aca="false">IF(NOT(ISNUMBER($G332)),"",MAX(1,F332*(1-O332)))</f>
        <v>1.08571428571429</v>
      </c>
      <c r="R332" s="31" t="n">
        <f aca="false">IF(NOT(ISNUMBER($G332)),"",MAX(MATCH(Q332,Config!$D$5:$D$9,1),G332-'Residual Config'!$C$6))</f>
        <v>1</v>
      </c>
      <c r="S332" s="34" t="n">
        <f aca="false">IF(NOT(ISNUMBER($G332)),"",IF('Residual Config'!$C$5="Numeric",R332,P332))</f>
        <v>1</v>
      </c>
      <c r="T332" s="7" t="str">
        <f aca="false">IF(G332="N/A","N/A",IF(S332="","No data",INDEX(Config!$B$5:$B$9,S332)))</f>
        <v>Low</v>
      </c>
      <c r="U332" s="32" t="n">
        <v>0</v>
      </c>
      <c r="V332" s="8"/>
      <c r="W332" s="33"/>
      <c r="X332" s="34" t="n">
        <f aca="false">IF(S332="","",IF(AND(W332="Y",U332&lt;&gt;0),MAX(1,MIN(5,S332+MAX(-Config!$C$27,MIN(Config!$C$27,U332)))),S332))</f>
        <v>1</v>
      </c>
      <c r="Y332" s="35" t="str">
        <f aca="false">IF(G332="N/A","N/A",IF(X332="","No data",INDEX(Config!$B$5:$B$9,X332)))</f>
        <v>Low</v>
      </c>
      <c r="Z332" s="7" t="str">
        <f aca="false">IF(U332=0,"None",IF(W332="Y","Applied","Pending HO approval"))</f>
        <v>None</v>
      </c>
      <c r="AA332" s="12" t="str">
        <f aca="false">INDEX('Risk Taxonomy'!$G$5:$G$24,MATCH(D332,'Risk Taxonomy'!$A$5:$A$24,0))</f>
        <v>Very low</v>
      </c>
      <c r="AB332" s="7" t="str">
        <f aca="false">INDEX('Risk Taxonomy'!$H$5:$H$24,MATCH(D332,'Risk Taxonomy'!$A$5:$A$24,0))</f>
        <v>Medium-Low</v>
      </c>
      <c r="AC332" s="35" t="str">
        <f aca="false">IF(NOT(ISNUMBER(X332)),"",IF(X332&lt;=MATCH(AB332,Config!$B$5:$B$9,0),"Within",IF(OR(X332-MATCH(AB332,Config!$B$5:$B$9,0)&gt;=2,AND('Residual Config'!$C$8="Y",ISNUMBER(SEARCH("Zero",AA332)))),"Red","Amber")))</f>
        <v>Within</v>
      </c>
      <c r="AD332" s="12" t="str">
        <f aca="false">IF(AC332="Red","Group CCO / CRO and Country CEO within 2 business days; action plan in 15 days; report to Board Risk &amp; Compliance Committee",IF(AC332="Amber","Country CO, risk owner and HO Administrator within 5 business days; action plan in 30 days",""))</f>
        <v/>
      </c>
    </row>
    <row r="333" customFormat="false" ht="15" hidden="false" customHeight="false" outlineLevel="0" collapsed="false">
      <c r="A333" s="26" t="str">
        <f aca="false">Entities!$A$21</f>
        <v>EG</v>
      </c>
      <c r="B333" s="12" t="str">
        <f aca="false">INDEX(Entities!$B$5:$B$34,MATCH(A333,Entities!$A$5:$A$34,0))</f>
        <v>Arab Bank – Egypt</v>
      </c>
      <c r="C333" s="12" t="str">
        <f aca="false">INDEX(Entities!$D$5:$D$34,MATCH(A333,Entities!$A$5:$A$34,0))</f>
        <v>North Africa</v>
      </c>
      <c r="D333" s="12" t="s">
        <v>288</v>
      </c>
      <c r="E333" s="12" t="str">
        <f aca="false">INDEX('Risk Taxonomy'!$B$5:$B$24,MATCH(D333,'Risk Taxonomy'!$A$5:$A$24,0))</f>
        <v>Conduct and consumer protection</v>
      </c>
      <c r="F333" s="29" t="n">
        <f aca="false">IF(NOT(ISNUMBER(G333)),"",G333)</f>
        <v>3</v>
      </c>
      <c r="G333" s="34" t="n">
        <f aca="false">IF(COUNTIFS('LxI Assessment'!$A$5:$A$394,A333,'LxI Assessment'!$D$5:$D$394,D333,'LxI Assessment'!$F$5:$F$394,"N/A")&gt;0,"N/A",IF(COUNTIFS('LxI Assessment'!$A$5:$A$394,A333,'LxI Assessment'!$D$5:$D$394,D333,'LxI Assessment'!$S$5:$S$394,"&gt;0")=0,"",SUMIFS('LxI Assessment'!$S$5:$S$394,'LxI Assessment'!$A$5:$A$394,A333,'LxI Assessment'!$D$5:$D$394,D333)))</f>
        <v>3</v>
      </c>
      <c r="H333" s="7" t="str">
        <f aca="false">IF(G333="N/A","N/A",IF(G333="","No data",INDEX(Config!$B$5:$B$9,G333)))</f>
        <v>Medium</v>
      </c>
      <c r="I333" s="31" t="n">
        <f aca="false">IF(NOT(ISNUMBER($G333)),"",SUMPRODUCT(('Control Mapping'!$C$5:$C$83=D333)*('Control Mapping'!$W$5:$W$83&gt;0)))</f>
        <v>2</v>
      </c>
      <c r="J333" s="31" t="n">
        <f aca="false">IF(NOT(ISNUMBER($G333)),"",SUMPRODUCT(('Control Mapping'!$C$5:$C$83=D333)*('Control Mapping'!$F$5:$F$83="Y")*('Control Mapping'!$W$5:$W$83&gt;0)))</f>
        <v>1</v>
      </c>
      <c r="K333" s="31" t="n">
        <f aca="false">IF(NOT(ISNUMBER($G333)),"",SUMPRODUCT(('Control Mapping'!$C$5:$C$83=D333)*('Control Mapping'!$F$5:$F$83="Y")*('Control Mapping'!$W$5:$W$83=4)))</f>
        <v>0</v>
      </c>
      <c r="L333" s="29" t="n">
        <f aca="false">IF(NOT(ISNUMBER($G333)),"",IFERROR(SUMPRODUCT(('Control Mapping'!$C$5:$C$83=D333)*'Control Mapping'!$E$5:$E$83*'Control Mapping'!$W$5:$W$83)/SUMPRODUCT(('Control Mapping'!$C$5:$C$83=D333)*'Control Mapping'!$E$5:$E$83*('Control Mapping'!$W$5:$W$83&gt;0)),""))</f>
        <v>1.4</v>
      </c>
      <c r="M333" s="34" t="n">
        <f aca="false">IF(NOT(ISNUMBER($G333)),"",IF(J333=0,4,MAX(MATCH(L333,'Residual Config'!$E$11:$E$14,1),IF(K333&gt;0,'Residual Config'!$C$7,1))))</f>
        <v>1</v>
      </c>
      <c r="N333" s="7" t="str">
        <f aca="false">IF(NOT(ISNUMBER($G333)),"",IF(J333=0,"Ineffective (no key control)",INDEX('Residual Config'!$B$11:$B$14,M333)))</f>
        <v>Effective</v>
      </c>
      <c r="O333" s="36" t="n">
        <f aca="false">IF(NOT(ISNUMBER($G333)),"",IF(J333=0,0,SUMPRODUCT(('Control Mapping'!$C$5:$C$83=D333)*'Control Mapping'!$E$5:$E$83*(('Control Mapping'!$W$5:$W$83=1)*'Residual Config'!$D$11+('Control Mapping'!$W$5:$W$83=2)*'Residual Config'!$D$12+('Control Mapping'!$W$5:$W$83=3)*'Residual Config'!$D$13+('Control Mapping'!$W$5:$W$83=4)*'Residual Config'!$D$14))/SUMPRODUCT(('Control Mapping'!$C$5:$C$83=D333)*'Control Mapping'!$E$5:$E$83*('Control Mapping'!$W$5:$W$83&gt;0))))</f>
        <v>0.52</v>
      </c>
      <c r="P333" s="31" t="n">
        <f aca="false">IF(NOT(ISNUMBER($G333)),"",INDEX('Residual Config'!$B$19:$E$23,6-G333,M333))</f>
        <v>1</v>
      </c>
      <c r="Q333" s="29" t="n">
        <f aca="false">IF(NOT(ISNUMBER($G333)),"",MAX(1,F333*(1-O333)))</f>
        <v>1.44</v>
      </c>
      <c r="R333" s="31" t="n">
        <f aca="false">IF(NOT(ISNUMBER($G333)),"",MAX(MATCH(Q333,Config!$D$5:$D$9,1),G333-'Residual Config'!$C$6))</f>
        <v>1</v>
      </c>
      <c r="S333" s="34" t="n">
        <f aca="false">IF(NOT(ISNUMBER($G333)),"",IF('Residual Config'!$C$5="Numeric",R333,P333))</f>
        <v>1</v>
      </c>
      <c r="T333" s="7" t="str">
        <f aca="false">IF(G333="N/A","N/A",IF(S333="","No data",INDEX(Config!$B$5:$B$9,S333)))</f>
        <v>Low</v>
      </c>
      <c r="U333" s="32" t="n">
        <v>0</v>
      </c>
      <c r="V333" s="8"/>
      <c r="W333" s="33"/>
      <c r="X333" s="34" t="n">
        <f aca="false">IF(S333="","",IF(AND(W333="Y",U333&lt;&gt;0),MAX(1,MIN(5,S333+MAX(-Config!$C$27,MIN(Config!$C$27,U333)))),S333))</f>
        <v>1</v>
      </c>
      <c r="Y333" s="35" t="str">
        <f aca="false">IF(G333="N/A","N/A",IF(X333="","No data",INDEX(Config!$B$5:$B$9,X333)))</f>
        <v>Low</v>
      </c>
      <c r="Z333" s="7" t="str">
        <f aca="false">IF(U333=0,"None",IF(W333="Y","Applied","Pending HO approval"))</f>
        <v>None</v>
      </c>
      <c r="AA333" s="12" t="str">
        <f aca="false">INDEX('Risk Taxonomy'!$G$5:$G$24,MATCH(D333,'Risk Taxonomy'!$A$5:$A$24,0))</f>
        <v>Low</v>
      </c>
      <c r="AB333" s="7" t="str">
        <f aca="false">INDEX('Risk Taxonomy'!$H$5:$H$24,MATCH(D333,'Risk Taxonomy'!$A$5:$A$24,0))</f>
        <v>Medium</v>
      </c>
      <c r="AC333" s="35" t="str">
        <f aca="false">IF(NOT(ISNUMBER(X333)),"",IF(X333&lt;=MATCH(AB333,Config!$B$5:$B$9,0),"Within",IF(OR(X333-MATCH(AB333,Config!$B$5:$B$9,0)&gt;=2,AND('Residual Config'!$C$8="Y",ISNUMBER(SEARCH("Zero",AA333)))),"Red","Amber")))</f>
        <v>Within</v>
      </c>
      <c r="AD333" s="12" t="str">
        <f aca="false">IF(AC333="Red","Group CCO / CRO and Country CEO within 2 business days; action plan in 15 days; report to Board Risk &amp; Compliance Committee",IF(AC333="Amber","Country CO, risk owner and HO Administrator within 5 business days; action plan in 30 days",""))</f>
        <v/>
      </c>
    </row>
    <row r="334" customFormat="false" ht="15" hidden="false" customHeight="false" outlineLevel="0" collapsed="false">
      <c r="A334" s="26" t="str">
        <f aca="false">Entities!$A$21</f>
        <v>EG</v>
      </c>
      <c r="B334" s="12" t="str">
        <f aca="false">INDEX(Entities!$B$5:$B$34,MATCH(A334,Entities!$A$5:$A$34,0))</f>
        <v>Arab Bank – Egypt</v>
      </c>
      <c r="C334" s="12" t="str">
        <f aca="false">INDEX(Entities!$D$5:$D$34,MATCH(A334,Entities!$A$5:$A$34,0))</f>
        <v>North Africa</v>
      </c>
      <c r="D334" s="12" t="s">
        <v>290</v>
      </c>
      <c r="E334" s="12" t="str">
        <f aca="false">INDEX('Risk Taxonomy'!$B$5:$B$24,MATCH(D334,'Risk Taxonomy'!$A$5:$A$24,0))</f>
        <v>Data protection and privacy</v>
      </c>
      <c r="F334" s="29" t="n">
        <f aca="false">IF(NOT(ISNUMBER(G334)),"",G334)</f>
        <v>3</v>
      </c>
      <c r="G334" s="34" t="n">
        <f aca="false">IF(COUNTIFS('LxI Assessment'!$A$5:$A$394,A334,'LxI Assessment'!$D$5:$D$394,D334,'LxI Assessment'!$F$5:$F$394,"N/A")&gt;0,"N/A",IF(COUNTIFS('LxI Assessment'!$A$5:$A$394,A334,'LxI Assessment'!$D$5:$D$394,D334,'LxI Assessment'!$S$5:$S$394,"&gt;0")=0,"",SUMIFS('LxI Assessment'!$S$5:$S$394,'LxI Assessment'!$A$5:$A$394,A334,'LxI Assessment'!$D$5:$D$394,D334)))</f>
        <v>3</v>
      </c>
      <c r="H334" s="7" t="str">
        <f aca="false">IF(G334="N/A","N/A",IF(G334="","No data",INDEX(Config!$B$5:$B$9,G334)))</f>
        <v>Medium</v>
      </c>
      <c r="I334" s="31" t="n">
        <f aca="false">IF(NOT(ISNUMBER($G334)),"",SUMPRODUCT(('Control Mapping'!$C$5:$C$83=D334)*('Control Mapping'!$W$5:$W$83&gt;0)))</f>
        <v>2</v>
      </c>
      <c r="J334" s="31" t="n">
        <f aca="false">IF(NOT(ISNUMBER($G334)),"",SUMPRODUCT(('Control Mapping'!$C$5:$C$83=D334)*('Control Mapping'!$F$5:$F$83="Y")*('Control Mapping'!$W$5:$W$83&gt;0)))</f>
        <v>2</v>
      </c>
      <c r="K334" s="31" t="n">
        <f aca="false">IF(NOT(ISNUMBER($G334)),"",SUMPRODUCT(('Control Mapping'!$C$5:$C$83=D334)*('Control Mapping'!$F$5:$F$83="Y")*('Control Mapping'!$W$5:$W$83=4)))</f>
        <v>0</v>
      </c>
      <c r="L334" s="29" t="n">
        <f aca="false">IF(NOT(ISNUMBER($G334)),"",IFERROR(SUMPRODUCT(('Control Mapping'!$C$5:$C$83=D334)*'Control Mapping'!$E$5:$E$83*'Control Mapping'!$W$5:$W$83)/SUMPRODUCT(('Control Mapping'!$C$5:$C$83=D334)*'Control Mapping'!$E$5:$E$83*('Control Mapping'!$W$5:$W$83&gt;0)),""))</f>
        <v>2</v>
      </c>
      <c r="M334" s="34" t="n">
        <f aca="false">IF(NOT(ISNUMBER($G334)),"",IF(J334=0,4,MAX(MATCH(L334,'Residual Config'!$E$11:$E$14,1),IF(K334&gt;0,'Residual Config'!$C$7,1))))</f>
        <v>2</v>
      </c>
      <c r="N334" s="7" t="str">
        <f aca="false">IF(NOT(ISNUMBER($G334)),"",IF(J334=0,"Ineffective (no key control)",INDEX('Residual Config'!$B$11:$B$14,M334)))</f>
        <v>Largely effective</v>
      </c>
      <c r="O334" s="36" t="n">
        <f aca="false">IF(NOT(ISNUMBER($G334)),"",IF(J334=0,0,SUMPRODUCT(('Control Mapping'!$C$5:$C$83=D334)*'Control Mapping'!$E$5:$E$83*(('Control Mapping'!$W$5:$W$83=1)*'Residual Config'!$D$11+('Control Mapping'!$W$5:$W$83=2)*'Residual Config'!$D$12+('Control Mapping'!$W$5:$W$83=3)*'Residual Config'!$D$13+('Control Mapping'!$W$5:$W$83=4)*'Residual Config'!$D$14))/SUMPRODUCT(('Control Mapping'!$C$5:$C$83=D334)*'Control Mapping'!$E$5:$E$83*('Control Mapping'!$W$5:$W$83&gt;0))))</f>
        <v>0.4</v>
      </c>
      <c r="P334" s="31" t="n">
        <f aca="false">IF(NOT(ISNUMBER($G334)),"",INDEX('Residual Config'!$B$19:$E$23,6-G334,M334))</f>
        <v>2</v>
      </c>
      <c r="Q334" s="29" t="n">
        <f aca="false">IF(NOT(ISNUMBER($G334)),"",MAX(1,F334*(1-O334)))</f>
        <v>1.8</v>
      </c>
      <c r="R334" s="31" t="n">
        <f aca="false">IF(NOT(ISNUMBER($G334)),"",MAX(MATCH(Q334,Config!$D$5:$D$9,1),G334-'Residual Config'!$C$6))</f>
        <v>1</v>
      </c>
      <c r="S334" s="34" t="n">
        <f aca="false">IF(NOT(ISNUMBER($G334)),"",IF('Residual Config'!$C$5="Numeric",R334,P334))</f>
        <v>2</v>
      </c>
      <c r="T334" s="7" t="str">
        <f aca="false">IF(G334="N/A","N/A",IF(S334="","No data",INDEX(Config!$B$5:$B$9,S334)))</f>
        <v>Medium-Low</v>
      </c>
      <c r="U334" s="32" t="n">
        <v>0</v>
      </c>
      <c r="V334" s="8"/>
      <c r="W334" s="33"/>
      <c r="X334" s="34" t="n">
        <f aca="false">IF(S334="","",IF(AND(W334="Y",U334&lt;&gt;0),MAX(1,MIN(5,S334+MAX(-Config!$C$27,MIN(Config!$C$27,U334)))),S334))</f>
        <v>2</v>
      </c>
      <c r="Y334" s="35" t="str">
        <f aca="false">IF(G334="N/A","N/A",IF(X334="","No data",INDEX(Config!$B$5:$B$9,X334)))</f>
        <v>Medium-Low</v>
      </c>
      <c r="Z334" s="7" t="str">
        <f aca="false">IF(U334=0,"None",IF(W334="Y","Applied","Pending HO approval"))</f>
        <v>None</v>
      </c>
      <c r="AA334" s="12" t="str">
        <f aca="false">INDEX('Risk Taxonomy'!$G$5:$G$24,MATCH(D334,'Risk Taxonomy'!$A$5:$A$24,0))</f>
        <v>Very low</v>
      </c>
      <c r="AB334" s="7" t="str">
        <f aca="false">INDEX('Risk Taxonomy'!$H$5:$H$24,MATCH(D334,'Risk Taxonomy'!$A$5:$A$24,0))</f>
        <v>Medium-Low</v>
      </c>
      <c r="AC334" s="35" t="str">
        <f aca="false">IF(NOT(ISNUMBER(X334)),"",IF(X334&lt;=MATCH(AB334,Config!$B$5:$B$9,0),"Within",IF(OR(X334-MATCH(AB334,Config!$B$5:$B$9,0)&gt;=2,AND('Residual Config'!$C$8="Y",ISNUMBER(SEARCH("Zero",AA334)))),"Red","Amber")))</f>
        <v>Within</v>
      </c>
      <c r="AD334" s="12" t="str">
        <f aca="false">IF(AC334="Red","Group CCO / CRO and Country CEO within 2 business days; action plan in 15 days; report to Board Risk &amp; Compliance Committee",IF(AC334="Amber","Country CO, risk owner and HO Administrator within 5 business days; action plan in 30 days",""))</f>
        <v/>
      </c>
    </row>
    <row r="335" customFormat="false" ht="15" hidden="false" customHeight="false" outlineLevel="0" collapsed="false">
      <c r="A335" s="26" t="str">
        <f aca="false">Entities!$A$21</f>
        <v>EG</v>
      </c>
      <c r="B335" s="12" t="str">
        <f aca="false">INDEX(Entities!$B$5:$B$34,MATCH(A335,Entities!$A$5:$A$34,0))</f>
        <v>Arab Bank – Egypt</v>
      </c>
      <c r="C335" s="12" t="str">
        <f aca="false">INDEX(Entities!$D$5:$D$34,MATCH(A335,Entities!$A$5:$A$34,0))</f>
        <v>North Africa</v>
      </c>
      <c r="D335" s="12" t="s">
        <v>293</v>
      </c>
      <c r="E335" s="12" t="str">
        <f aca="false">INDEX('Risk Taxonomy'!$B$5:$B$24,MATCH(D335,'Risk Taxonomy'!$A$5:$A$24,0))</f>
        <v>Shariah non-compliance</v>
      </c>
      <c r="F335" s="29" t="str">
        <f aca="false">IF(NOT(ISNUMBER(G335)),"",G335)</f>
        <v/>
      </c>
      <c r="G335" s="34" t="str">
        <f aca="false">IF(COUNTIFS('LxI Assessment'!$A$5:$A$394,A335,'LxI Assessment'!$D$5:$D$394,D335,'LxI Assessment'!$F$5:$F$394,"N/A")&gt;0,"N/A",IF(COUNTIFS('LxI Assessment'!$A$5:$A$394,A335,'LxI Assessment'!$D$5:$D$394,D335,'LxI Assessment'!$S$5:$S$394,"&gt;0")=0,"",SUMIFS('LxI Assessment'!$S$5:$S$394,'LxI Assessment'!$A$5:$A$394,A335,'LxI Assessment'!$D$5:$D$394,D335)))</f>
        <v>N/A</v>
      </c>
      <c r="H335" s="7" t="str">
        <f aca="false">IF(G335="N/A","N/A",IF(G335="","No data",INDEX(Config!$B$5:$B$9,G335)))</f>
        <v>N/A</v>
      </c>
      <c r="I335" s="31" t="str">
        <f aca="false">IF(NOT(ISNUMBER($G335)),"",SUMPRODUCT(('Control Mapping'!$C$5:$C$83=D335)*('Control Mapping'!$W$5:$W$83&gt;0)))</f>
        <v/>
      </c>
      <c r="J335" s="31" t="str">
        <f aca="false">IF(NOT(ISNUMBER($G335)),"",SUMPRODUCT(('Control Mapping'!$C$5:$C$83=D335)*('Control Mapping'!$F$5:$F$83="Y")*('Control Mapping'!$W$5:$W$83&gt;0)))</f>
        <v/>
      </c>
      <c r="K335" s="31" t="str">
        <f aca="false">IF(NOT(ISNUMBER($G335)),"",SUMPRODUCT(('Control Mapping'!$C$5:$C$83=D335)*('Control Mapping'!$F$5:$F$83="Y")*('Control Mapping'!$W$5:$W$83=4)))</f>
        <v/>
      </c>
      <c r="L335" s="29" t="str">
        <f aca="false">IF(NOT(ISNUMBER($G335)),"",IFERROR(SUMPRODUCT(('Control Mapping'!$C$5:$C$83=D335)*'Control Mapping'!$E$5:$E$83*'Control Mapping'!$W$5:$W$83)/SUMPRODUCT(('Control Mapping'!$C$5:$C$83=D335)*'Control Mapping'!$E$5:$E$83*('Control Mapping'!$W$5:$W$83&gt;0)),""))</f>
        <v/>
      </c>
      <c r="M335" s="34" t="str">
        <f aca="false">IF(NOT(ISNUMBER($G335)),"",IF(J335=0,4,MAX(MATCH(L335,'Residual Config'!$E$11:$E$14,1),IF(K335&gt;0,'Residual Config'!$C$7,1))))</f>
        <v/>
      </c>
      <c r="N335" s="7" t="str">
        <f aca="false">IF(NOT(ISNUMBER($G335)),"",IF(J335=0,"Ineffective (no key control)",INDEX('Residual Config'!$B$11:$B$14,M335)))</f>
        <v/>
      </c>
      <c r="O335" s="36" t="str">
        <f aca="false">IF(NOT(ISNUMBER($G335)),"",IF(J335=0,0,SUMPRODUCT(('Control Mapping'!$C$5:$C$83=D335)*'Control Mapping'!$E$5:$E$83*(('Control Mapping'!$W$5:$W$83=1)*'Residual Config'!$D$11+('Control Mapping'!$W$5:$W$83=2)*'Residual Config'!$D$12+('Control Mapping'!$W$5:$W$83=3)*'Residual Config'!$D$13+('Control Mapping'!$W$5:$W$83=4)*'Residual Config'!$D$14))/SUMPRODUCT(('Control Mapping'!$C$5:$C$83=D335)*'Control Mapping'!$E$5:$E$83*('Control Mapping'!$W$5:$W$83&gt;0))))</f>
        <v/>
      </c>
      <c r="P335" s="31" t="str">
        <f aca="false">IF(NOT(ISNUMBER($G335)),"",INDEX('Residual Config'!$B$19:$E$23,6-G335,M335))</f>
        <v/>
      </c>
      <c r="Q335" s="29" t="str">
        <f aca="false">IF(NOT(ISNUMBER($G335)),"",MAX(1,F335*(1-O335)))</f>
        <v/>
      </c>
      <c r="R335" s="31" t="str">
        <f aca="false">IF(NOT(ISNUMBER($G335)),"",MAX(MATCH(Q335,Config!$D$5:$D$9,1),G335-'Residual Config'!$C$6))</f>
        <v/>
      </c>
      <c r="S335" s="34" t="str">
        <f aca="false">IF(NOT(ISNUMBER($G335)),"",IF('Residual Config'!$C$5="Numeric",R335,P335))</f>
        <v/>
      </c>
      <c r="T335" s="7" t="str">
        <f aca="false">IF(G335="N/A","N/A",IF(S335="","No data",INDEX(Config!$B$5:$B$9,S335)))</f>
        <v>N/A</v>
      </c>
      <c r="U335" s="32" t="n">
        <v>0</v>
      </c>
      <c r="V335" s="8"/>
      <c r="W335" s="33"/>
      <c r="X335" s="34" t="str">
        <f aca="false">IF(S335="","",IF(AND(W335="Y",U335&lt;&gt;0),MAX(1,MIN(5,S335+MAX(-Config!$C$27,MIN(Config!$C$27,U335)))),S335))</f>
        <v/>
      </c>
      <c r="Y335" s="35" t="str">
        <f aca="false">IF(G335="N/A","N/A",IF(X335="","No data",INDEX(Config!$B$5:$B$9,X335)))</f>
        <v>N/A</v>
      </c>
      <c r="Z335" s="7" t="str">
        <f aca="false">IF(U335=0,"None",IF(W335="Y","Applied","Pending HO approval"))</f>
        <v>None</v>
      </c>
      <c r="AA335" s="12" t="str">
        <f aca="false">INDEX('Risk Taxonomy'!$G$5:$G$24,MATCH(D335,'Risk Taxonomy'!$A$5:$A$24,0))</f>
        <v>Very low</v>
      </c>
      <c r="AB335" s="7" t="str">
        <f aca="false">INDEX('Risk Taxonomy'!$H$5:$H$24,MATCH(D335,'Risk Taxonomy'!$A$5:$A$24,0))</f>
        <v>Medium-Low</v>
      </c>
      <c r="AC335" s="35" t="str">
        <f aca="false">IF(NOT(ISNUMBER(X335)),"",IF(X335&lt;=MATCH(AB335,Config!$B$5:$B$9,0),"Within",IF(OR(X335-MATCH(AB335,Config!$B$5:$B$9,0)&gt;=2,AND('Residual Config'!$C$8="Y",ISNUMBER(SEARCH("Zero",AA335)))),"Red","Amber")))</f>
        <v/>
      </c>
      <c r="AD335" s="12" t="str">
        <f aca="false">IF(AC335="Red","Group CCO / CRO and Country CEO within 2 business days; action plan in 15 days; report to Board Risk &amp; Compliance Committee",IF(AC335="Amber","Country CO, risk owner and HO Administrator within 5 business days; action plan in 30 days",""))</f>
        <v/>
      </c>
    </row>
    <row r="336" customFormat="false" ht="15" hidden="false" customHeight="false" outlineLevel="0" collapsed="false">
      <c r="A336" s="26" t="str">
        <f aca="false">Entities!$A$21</f>
        <v>EG</v>
      </c>
      <c r="B336" s="12" t="str">
        <f aca="false">INDEX(Entities!$B$5:$B$34,MATCH(A336,Entities!$A$5:$A$34,0))</f>
        <v>Arab Bank – Egypt</v>
      </c>
      <c r="C336" s="12" t="str">
        <f aca="false">INDEX(Entities!$D$5:$D$34,MATCH(A336,Entities!$A$5:$A$34,0))</f>
        <v>North Africa</v>
      </c>
      <c r="D336" s="12" t="s">
        <v>297</v>
      </c>
      <c r="E336" s="12" t="str">
        <f aca="false">INDEX('Risk Taxonomy'!$B$5:$B$24,MATCH(D336,'Risk Taxonomy'!$A$5:$A$24,0))</f>
        <v>Credit risk</v>
      </c>
      <c r="F336" s="29" t="n">
        <f aca="false">IF(NOT(ISNUMBER(G336)),"",G336)</f>
        <v>3</v>
      </c>
      <c r="G336" s="34" t="n">
        <f aca="false">IF(COUNTIFS('LxI Assessment'!$A$5:$A$394,A336,'LxI Assessment'!$D$5:$D$394,D336,'LxI Assessment'!$F$5:$F$394,"N/A")&gt;0,"N/A",IF(COUNTIFS('LxI Assessment'!$A$5:$A$394,A336,'LxI Assessment'!$D$5:$D$394,D336,'LxI Assessment'!$S$5:$S$394,"&gt;0")=0,"",SUMIFS('LxI Assessment'!$S$5:$S$394,'LxI Assessment'!$A$5:$A$394,A336,'LxI Assessment'!$D$5:$D$394,D336)))</f>
        <v>3</v>
      </c>
      <c r="H336" s="7" t="str">
        <f aca="false">IF(G336="N/A","N/A",IF(G336="","No data",INDEX(Config!$B$5:$B$9,G336)))</f>
        <v>Medium</v>
      </c>
      <c r="I336" s="31" t="n">
        <f aca="false">IF(NOT(ISNUMBER($G336)),"",SUMPRODUCT(('Control Mapping'!$C$5:$C$83=D336)*('Control Mapping'!$W$5:$W$83&gt;0)))</f>
        <v>2</v>
      </c>
      <c r="J336" s="31" t="n">
        <f aca="false">IF(NOT(ISNUMBER($G336)),"",SUMPRODUCT(('Control Mapping'!$C$5:$C$83=D336)*('Control Mapping'!$F$5:$F$83="Y")*('Control Mapping'!$W$5:$W$83&gt;0)))</f>
        <v>1</v>
      </c>
      <c r="K336" s="31" t="n">
        <f aca="false">IF(NOT(ISNUMBER($G336)),"",SUMPRODUCT(('Control Mapping'!$C$5:$C$83=D336)*('Control Mapping'!$F$5:$F$83="Y")*('Control Mapping'!$W$5:$W$83=4)))</f>
        <v>0</v>
      </c>
      <c r="L336" s="29" t="n">
        <f aca="false">IF(NOT(ISNUMBER($G336)),"",IFERROR(SUMPRODUCT(('Control Mapping'!$C$5:$C$83=D336)*'Control Mapping'!$E$5:$E$83*'Control Mapping'!$W$5:$W$83)/SUMPRODUCT(('Control Mapping'!$C$5:$C$83=D336)*'Control Mapping'!$E$5:$E$83*('Control Mapping'!$W$5:$W$83&gt;0)),""))</f>
        <v>1.6</v>
      </c>
      <c r="M336" s="34" t="n">
        <f aca="false">IF(NOT(ISNUMBER($G336)),"",IF(J336=0,4,MAX(MATCH(L336,'Residual Config'!$E$11:$E$14,1),IF(K336&gt;0,'Residual Config'!$C$7,1))))</f>
        <v>2</v>
      </c>
      <c r="N336" s="7" t="str">
        <f aca="false">IF(NOT(ISNUMBER($G336)),"",IF(J336=0,"Ineffective (no key control)",INDEX('Residual Config'!$B$11:$B$14,M336)))</f>
        <v>Largely effective</v>
      </c>
      <c r="O336" s="36" t="n">
        <f aca="false">IF(NOT(ISNUMBER($G336)),"",IF(J336=0,0,SUMPRODUCT(('Control Mapping'!$C$5:$C$83=D336)*'Control Mapping'!$E$5:$E$83*(('Control Mapping'!$W$5:$W$83=1)*'Residual Config'!$D$11+('Control Mapping'!$W$5:$W$83=2)*'Residual Config'!$D$12+('Control Mapping'!$W$5:$W$83=3)*'Residual Config'!$D$13+('Control Mapping'!$W$5:$W$83=4)*'Residual Config'!$D$14))/SUMPRODUCT(('Control Mapping'!$C$5:$C$83=D336)*'Control Mapping'!$E$5:$E$83*('Control Mapping'!$W$5:$W$83&gt;0))))</f>
        <v>0.48</v>
      </c>
      <c r="P336" s="31" t="n">
        <f aca="false">IF(NOT(ISNUMBER($G336)),"",INDEX('Residual Config'!$B$19:$E$23,6-G336,M336))</f>
        <v>2</v>
      </c>
      <c r="Q336" s="29" t="n">
        <f aca="false">IF(NOT(ISNUMBER($G336)),"",MAX(1,F336*(1-O336)))</f>
        <v>1.56</v>
      </c>
      <c r="R336" s="31" t="n">
        <f aca="false">IF(NOT(ISNUMBER($G336)),"",MAX(MATCH(Q336,Config!$D$5:$D$9,1),G336-'Residual Config'!$C$6))</f>
        <v>1</v>
      </c>
      <c r="S336" s="34" t="n">
        <f aca="false">IF(NOT(ISNUMBER($G336)),"",IF('Residual Config'!$C$5="Numeric",R336,P336))</f>
        <v>2</v>
      </c>
      <c r="T336" s="7" t="str">
        <f aca="false">IF(G336="N/A","N/A",IF(S336="","No data",INDEX(Config!$B$5:$B$9,S336)))</f>
        <v>Medium-Low</v>
      </c>
      <c r="U336" s="32" t="n">
        <v>0</v>
      </c>
      <c r="V336" s="8"/>
      <c r="W336" s="33"/>
      <c r="X336" s="34" t="n">
        <f aca="false">IF(S336="","",IF(AND(W336="Y",U336&lt;&gt;0),MAX(1,MIN(5,S336+MAX(-Config!$C$27,MIN(Config!$C$27,U336)))),S336))</f>
        <v>2</v>
      </c>
      <c r="Y336" s="35" t="str">
        <f aca="false">IF(G336="N/A","N/A",IF(X336="","No data",INDEX(Config!$B$5:$B$9,X336)))</f>
        <v>Medium-Low</v>
      </c>
      <c r="Z336" s="7" t="str">
        <f aca="false">IF(U336=0,"None",IF(W336="Y","Applied","Pending HO approval"))</f>
        <v>None</v>
      </c>
      <c r="AA336" s="12" t="str">
        <f aca="false">INDEX('Risk Taxonomy'!$G$5:$G$24,MATCH(D336,'Risk Taxonomy'!$A$5:$A$24,0))</f>
        <v>Moderate</v>
      </c>
      <c r="AB336" s="7" t="str">
        <f aca="false">INDEX('Risk Taxonomy'!$H$5:$H$24,MATCH(D336,'Risk Taxonomy'!$A$5:$A$24,0))</f>
        <v>Medium-High</v>
      </c>
      <c r="AC336" s="35" t="str">
        <f aca="false">IF(NOT(ISNUMBER(X336)),"",IF(X336&lt;=MATCH(AB336,Config!$B$5:$B$9,0),"Within",IF(OR(X336-MATCH(AB336,Config!$B$5:$B$9,0)&gt;=2,AND('Residual Config'!$C$8="Y",ISNUMBER(SEARCH("Zero",AA336)))),"Red","Amber")))</f>
        <v>Within</v>
      </c>
      <c r="AD336" s="12" t="str">
        <f aca="false">IF(AC336="Red","Group CCO / CRO and Country CEO within 2 business days; action plan in 15 days; report to Board Risk &amp; Compliance Committee",IF(AC336="Amber","Country CO, risk owner and HO Administrator within 5 business days; action plan in 30 days",""))</f>
        <v/>
      </c>
    </row>
    <row r="337" customFormat="false" ht="15" hidden="false" customHeight="false" outlineLevel="0" collapsed="false">
      <c r="A337" s="26" t="str">
        <f aca="false">Entities!$A$21</f>
        <v>EG</v>
      </c>
      <c r="B337" s="12" t="str">
        <f aca="false">INDEX(Entities!$B$5:$B$34,MATCH(A337,Entities!$A$5:$A$34,0))</f>
        <v>Arab Bank – Egypt</v>
      </c>
      <c r="C337" s="12" t="str">
        <f aca="false">INDEX(Entities!$D$5:$D$34,MATCH(A337,Entities!$A$5:$A$34,0))</f>
        <v>North Africa</v>
      </c>
      <c r="D337" s="12" t="s">
        <v>302</v>
      </c>
      <c r="E337" s="12" t="str">
        <f aca="false">INDEX('Risk Taxonomy'!$B$5:$B$24,MATCH(D337,'Risk Taxonomy'!$A$5:$A$24,0))</f>
        <v>Market risk</v>
      </c>
      <c r="F337" s="29" t="n">
        <f aca="false">IF(NOT(ISNUMBER(G337)),"",G337)</f>
        <v>3</v>
      </c>
      <c r="G337" s="34" t="n">
        <f aca="false">IF(COUNTIFS('LxI Assessment'!$A$5:$A$394,A337,'LxI Assessment'!$D$5:$D$394,D337,'LxI Assessment'!$F$5:$F$394,"N/A")&gt;0,"N/A",IF(COUNTIFS('LxI Assessment'!$A$5:$A$394,A337,'LxI Assessment'!$D$5:$D$394,D337,'LxI Assessment'!$S$5:$S$394,"&gt;0")=0,"",SUMIFS('LxI Assessment'!$S$5:$S$394,'LxI Assessment'!$A$5:$A$394,A337,'LxI Assessment'!$D$5:$D$394,D337)))</f>
        <v>3</v>
      </c>
      <c r="H337" s="7" t="str">
        <f aca="false">IF(G337="N/A","N/A",IF(G337="","No data",INDEX(Config!$B$5:$B$9,G337)))</f>
        <v>Medium</v>
      </c>
      <c r="I337" s="31" t="n">
        <f aca="false">IF(NOT(ISNUMBER($G337)),"",SUMPRODUCT(('Control Mapping'!$C$5:$C$83=D337)*('Control Mapping'!$W$5:$W$83&gt;0)))</f>
        <v>1</v>
      </c>
      <c r="J337" s="31" t="n">
        <f aca="false">IF(NOT(ISNUMBER($G337)),"",SUMPRODUCT(('Control Mapping'!$C$5:$C$83=D337)*('Control Mapping'!$F$5:$F$83="Y")*('Control Mapping'!$W$5:$W$83&gt;0)))</f>
        <v>1</v>
      </c>
      <c r="K337" s="31" t="n">
        <f aca="false">IF(NOT(ISNUMBER($G337)),"",SUMPRODUCT(('Control Mapping'!$C$5:$C$83=D337)*('Control Mapping'!$F$5:$F$83="Y")*('Control Mapping'!$W$5:$W$83=4)))</f>
        <v>0</v>
      </c>
      <c r="L337" s="29" t="n">
        <f aca="false">IF(NOT(ISNUMBER($G337)),"",IFERROR(SUMPRODUCT(('Control Mapping'!$C$5:$C$83=D337)*'Control Mapping'!$E$5:$E$83*'Control Mapping'!$W$5:$W$83)/SUMPRODUCT(('Control Mapping'!$C$5:$C$83=D337)*'Control Mapping'!$E$5:$E$83*('Control Mapping'!$W$5:$W$83&gt;0)),""))</f>
        <v>2</v>
      </c>
      <c r="M337" s="34" t="n">
        <f aca="false">IF(NOT(ISNUMBER($G337)),"",IF(J337=0,4,MAX(MATCH(L337,'Residual Config'!$E$11:$E$14,1),IF(K337&gt;0,'Residual Config'!$C$7,1))))</f>
        <v>2</v>
      </c>
      <c r="N337" s="7" t="str">
        <f aca="false">IF(NOT(ISNUMBER($G337)),"",IF(J337=0,"Ineffective (no key control)",INDEX('Residual Config'!$B$11:$B$14,M337)))</f>
        <v>Largely effective</v>
      </c>
      <c r="O337" s="36" t="n">
        <f aca="false">IF(NOT(ISNUMBER($G337)),"",IF(J337=0,0,SUMPRODUCT(('Control Mapping'!$C$5:$C$83=D337)*'Control Mapping'!$E$5:$E$83*(('Control Mapping'!$W$5:$W$83=1)*'Residual Config'!$D$11+('Control Mapping'!$W$5:$W$83=2)*'Residual Config'!$D$12+('Control Mapping'!$W$5:$W$83=3)*'Residual Config'!$D$13+('Control Mapping'!$W$5:$W$83=4)*'Residual Config'!$D$14))/SUMPRODUCT(('Control Mapping'!$C$5:$C$83=D337)*'Control Mapping'!$E$5:$E$83*('Control Mapping'!$W$5:$W$83&gt;0))))</f>
        <v>0.4</v>
      </c>
      <c r="P337" s="31" t="n">
        <f aca="false">IF(NOT(ISNUMBER($G337)),"",INDEX('Residual Config'!$B$19:$E$23,6-G337,M337))</f>
        <v>2</v>
      </c>
      <c r="Q337" s="29" t="n">
        <f aca="false">IF(NOT(ISNUMBER($G337)),"",MAX(1,F337*(1-O337)))</f>
        <v>1.8</v>
      </c>
      <c r="R337" s="31" t="n">
        <f aca="false">IF(NOT(ISNUMBER($G337)),"",MAX(MATCH(Q337,Config!$D$5:$D$9,1),G337-'Residual Config'!$C$6))</f>
        <v>1</v>
      </c>
      <c r="S337" s="34" t="n">
        <f aca="false">IF(NOT(ISNUMBER($G337)),"",IF('Residual Config'!$C$5="Numeric",R337,P337))</f>
        <v>2</v>
      </c>
      <c r="T337" s="7" t="str">
        <f aca="false">IF(G337="N/A","N/A",IF(S337="","No data",INDEX(Config!$B$5:$B$9,S337)))</f>
        <v>Medium-Low</v>
      </c>
      <c r="U337" s="32" t="n">
        <v>0</v>
      </c>
      <c r="V337" s="8"/>
      <c r="W337" s="33"/>
      <c r="X337" s="34" t="n">
        <f aca="false">IF(S337="","",IF(AND(W337="Y",U337&lt;&gt;0),MAX(1,MIN(5,S337+MAX(-Config!$C$27,MIN(Config!$C$27,U337)))),S337))</f>
        <v>2</v>
      </c>
      <c r="Y337" s="35" t="str">
        <f aca="false">IF(G337="N/A","N/A",IF(X337="","No data",INDEX(Config!$B$5:$B$9,X337)))</f>
        <v>Medium-Low</v>
      </c>
      <c r="Z337" s="7" t="str">
        <f aca="false">IF(U337=0,"None",IF(W337="Y","Applied","Pending HO approval"))</f>
        <v>None</v>
      </c>
      <c r="AA337" s="12" t="str">
        <f aca="false">INDEX('Risk Taxonomy'!$G$5:$G$24,MATCH(D337,'Risk Taxonomy'!$A$5:$A$24,0))</f>
        <v>Moderate</v>
      </c>
      <c r="AB337" s="7" t="str">
        <f aca="false">INDEX('Risk Taxonomy'!$H$5:$H$24,MATCH(D337,'Risk Taxonomy'!$A$5:$A$24,0))</f>
        <v>Medium-High</v>
      </c>
      <c r="AC337" s="35" t="str">
        <f aca="false">IF(NOT(ISNUMBER(X337)),"",IF(X337&lt;=MATCH(AB337,Config!$B$5:$B$9,0),"Within",IF(OR(X337-MATCH(AB337,Config!$B$5:$B$9,0)&gt;=2,AND('Residual Config'!$C$8="Y",ISNUMBER(SEARCH("Zero",AA337)))),"Red","Amber")))</f>
        <v>Within</v>
      </c>
      <c r="AD337" s="12" t="str">
        <f aca="false">IF(AC337="Red","Group CCO / CRO and Country CEO within 2 business days; action plan in 15 days; report to Board Risk &amp; Compliance Committee",IF(AC337="Amber","Country CO, risk owner and HO Administrator within 5 business days; action plan in 30 days",""))</f>
        <v/>
      </c>
    </row>
    <row r="338" customFormat="false" ht="15" hidden="false" customHeight="false" outlineLevel="0" collapsed="false">
      <c r="A338" s="26" t="str">
        <f aca="false">Entities!$A$21</f>
        <v>EG</v>
      </c>
      <c r="B338" s="12" t="str">
        <f aca="false">INDEX(Entities!$B$5:$B$34,MATCH(A338,Entities!$A$5:$A$34,0))</f>
        <v>Arab Bank – Egypt</v>
      </c>
      <c r="C338" s="12" t="str">
        <f aca="false">INDEX(Entities!$D$5:$D$34,MATCH(A338,Entities!$A$5:$A$34,0))</f>
        <v>North Africa</v>
      </c>
      <c r="D338" s="12" t="s">
        <v>304</v>
      </c>
      <c r="E338" s="12" t="str">
        <f aca="false">INDEX('Risk Taxonomy'!$B$5:$B$24,MATCH(D338,'Risk Taxonomy'!$A$5:$A$24,0))</f>
        <v>Liquidity and funding risk</v>
      </c>
      <c r="F338" s="29" t="n">
        <f aca="false">IF(NOT(ISNUMBER(G338)),"",G338)</f>
        <v>2</v>
      </c>
      <c r="G338" s="34" t="n">
        <f aca="false">IF(COUNTIFS('LxI Assessment'!$A$5:$A$394,A338,'LxI Assessment'!$D$5:$D$394,D338,'LxI Assessment'!$F$5:$F$394,"N/A")&gt;0,"N/A",IF(COUNTIFS('LxI Assessment'!$A$5:$A$394,A338,'LxI Assessment'!$D$5:$D$394,D338,'LxI Assessment'!$S$5:$S$394,"&gt;0")=0,"",SUMIFS('LxI Assessment'!$S$5:$S$394,'LxI Assessment'!$A$5:$A$394,A338,'LxI Assessment'!$D$5:$D$394,D338)))</f>
        <v>2</v>
      </c>
      <c r="H338" s="7" t="str">
        <f aca="false">IF(G338="N/A","N/A",IF(G338="","No data",INDEX(Config!$B$5:$B$9,G338)))</f>
        <v>Medium-Low</v>
      </c>
      <c r="I338" s="31" t="n">
        <f aca="false">IF(NOT(ISNUMBER($G338)),"",SUMPRODUCT(('Control Mapping'!$C$5:$C$83=D338)*('Control Mapping'!$W$5:$W$83&gt;0)))</f>
        <v>1</v>
      </c>
      <c r="J338" s="31" t="n">
        <f aca="false">IF(NOT(ISNUMBER($G338)),"",SUMPRODUCT(('Control Mapping'!$C$5:$C$83=D338)*('Control Mapping'!$F$5:$F$83="Y")*('Control Mapping'!$W$5:$W$83&gt;0)))</f>
        <v>1</v>
      </c>
      <c r="K338" s="31" t="n">
        <f aca="false">IF(NOT(ISNUMBER($G338)),"",SUMPRODUCT(('Control Mapping'!$C$5:$C$83=D338)*('Control Mapping'!$F$5:$F$83="Y")*('Control Mapping'!$W$5:$W$83=4)))</f>
        <v>0</v>
      </c>
      <c r="L338" s="29" t="n">
        <f aca="false">IF(NOT(ISNUMBER($G338)),"",IFERROR(SUMPRODUCT(('Control Mapping'!$C$5:$C$83=D338)*'Control Mapping'!$E$5:$E$83*'Control Mapping'!$W$5:$W$83)/SUMPRODUCT(('Control Mapping'!$C$5:$C$83=D338)*'Control Mapping'!$E$5:$E$83*('Control Mapping'!$W$5:$W$83&gt;0)),""))</f>
        <v>1</v>
      </c>
      <c r="M338" s="34" t="n">
        <f aca="false">IF(NOT(ISNUMBER($G338)),"",IF(J338=0,4,MAX(MATCH(L338,'Residual Config'!$E$11:$E$14,1),IF(K338&gt;0,'Residual Config'!$C$7,1))))</f>
        <v>1</v>
      </c>
      <c r="N338" s="7" t="str">
        <f aca="false">IF(NOT(ISNUMBER($G338)),"",IF(J338=0,"Ineffective (no key control)",INDEX('Residual Config'!$B$11:$B$14,M338)))</f>
        <v>Effective</v>
      </c>
      <c r="O338" s="36" t="n">
        <f aca="false">IF(NOT(ISNUMBER($G338)),"",IF(J338=0,0,SUMPRODUCT(('Control Mapping'!$C$5:$C$83=D338)*'Control Mapping'!$E$5:$E$83*(('Control Mapping'!$W$5:$W$83=1)*'Residual Config'!$D$11+('Control Mapping'!$W$5:$W$83=2)*'Residual Config'!$D$12+('Control Mapping'!$W$5:$W$83=3)*'Residual Config'!$D$13+('Control Mapping'!$W$5:$W$83=4)*'Residual Config'!$D$14))/SUMPRODUCT(('Control Mapping'!$C$5:$C$83=D338)*'Control Mapping'!$E$5:$E$83*('Control Mapping'!$W$5:$W$83&gt;0))))</f>
        <v>0.6</v>
      </c>
      <c r="P338" s="31" t="n">
        <f aca="false">IF(NOT(ISNUMBER($G338)),"",INDEX('Residual Config'!$B$19:$E$23,6-G338,M338))</f>
        <v>1</v>
      </c>
      <c r="Q338" s="29" t="n">
        <f aca="false">IF(NOT(ISNUMBER($G338)),"",MAX(1,F338*(1-O338)))</f>
        <v>1</v>
      </c>
      <c r="R338" s="31" t="n">
        <f aca="false">IF(NOT(ISNUMBER($G338)),"",MAX(MATCH(Q338,Config!$D$5:$D$9,1),G338-'Residual Config'!$C$6))</f>
        <v>1</v>
      </c>
      <c r="S338" s="34" t="n">
        <f aca="false">IF(NOT(ISNUMBER($G338)),"",IF('Residual Config'!$C$5="Numeric",R338,P338))</f>
        <v>1</v>
      </c>
      <c r="T338" s="7" t="str">
        <f aca="false">IF(G338="N/A","N/A",IF(S338="","No data",INDEX(Config!$B$5:$B$9,S338)))</f>
        <v>Low</v>
      </c>
      <c r="U338" s="32" t="n">
        <v>0</v>
      </c>
      <c r="V338" s="8"/>
      <c r="W338" s="33"/>
      <c r="X338" s="34" t="n">
        <f aca="false">IF(S338="","",IF(AND(W338="Y",U338&lt;&gt;0),MAX(1,MIN(5,S338+MAX(-Config!$C$27,MIN(Config!$C$27,U338)))),S338))</f>
        <v>1</v>
      </c>
      <c r="Y338" s="35" t="str">
        <f aca="false">IF(G338="N/A","N/A",IF(X338="","No data",INDEX(Config!$B$5:$B$9,X338)))</f>
        <v>Low</v>
      </c>
      <c r="Z338" s="7" t="str">
        <f aca="false">IF(U338=0,"None",IF(W338="Y","Applied","Pending HO approval"))</f>
        <v>None</v>
      </c>
      <c r="AA338" s="12" t="str">
        <f aca="false">INDEX('Risk Taxonomy'!$G$5:$G$24,MATCH(D338,'Risk Taxonomy'!$A$5:$A$24,0))</f>
        <v>Low</v>
      </c>
      <c r="AB338" s="7" t="str">
        <f aca="false">INDEX('Risk Taxonomy'!$H$5:$H$24,MATCH(D338,'Risk Taxonomy'!$A$5:$A$24,0))</f>
        <v>Medium</v>
      </c>
      <c r="AC338" s="35" t="str">
        <f aca="false">IF(NOT(ISNUMBER(X338)),"",IF(X338&lt;=MATCH(AB338,Config!$B$5:$B$9,0),"Within",IF(OR(X338-MATCH(AB338,Config!$B$5:$B$9,0)&gt;=2,AND('Residual Config'!$C$8="Y",ISNUMBER(SEARCH("Zero",AA338)))),"Red","Amber")))</f>
        <v>Within</v>
      </c>
      <c r="AD338" s="12" t="str">
        <f aca="false">IF(AC338="Red","Group CCO / CRO and Country CEO within 2 business days; action plan in 15 days; report to Board Risk &amp; Compliance Committee",IF(AC338="Amber","Country CO, risk owner and HO Administrator within 5 business days; action plan in 30 days",""))</f>
        <v/>
      </c>
    </row>
    <row r="339" customFormat="false" ht="15" hidden="false" customHeight="false" outlineLevel="0" collapsed="false">
      <c r="A339" s="26" t="str">
        <f aca="false">Entities!$A$21</f>
        <v>EG</v>
      </c>
      <c r="B339" s="12" t="str">
        <f aca="false">INDEX(Entities!$B$5:$B$34,MATCH(A339,Entities!$A$5:$A$34,0))</f>
        <v>Arab Bank – Egypt</v>
      </c>
      <c r="C339" s="12" t="str">
        <f aca="false">INDEX(Entities!$D$5:$D$34,MATCH(A339,Entities!$A$5:$A$34,0))</f>
        <v>North Africa</v>
      </c>
      <c r="D339" s="12" t="s">
        <v>307</v>
      </c>
      <c r="E339" s="12" t="str">
        <f aca="false">INDEX('Risk Taxonomy'!$B$5:$B$24,MATCH(D339,'Risk Taxonomy'!$A$5:$A$24,0))</f>
        <v>Operational risk</v>
      </c>
      <c r="F339" s="29" t="n">
        <f aca="false">IF(NOT(ISNUMBER(G339)),"",G339)</f>
        <v>3</v>
      </c>
      <c r="G339" s="34" t="n">
        <f aca="false">IF(COUNTIFS('LxI Assessment'!$A$5:$A$394,A339,'LxI Assessment'!$D$5:$D$394,D339,'LxI Assessment'!$F$5:$F$394,"N/A")&gt;0,"N/A",IF(COUNTIFS('LxI Assessment'!$A$5:$A$394,A339,'LxI Assessment'!$D$5:$D$394,D339,'LxI Assessment'!$S$5:$S$394,"&gt;0")=0,"",SUMIFS('LxI Assessment'!$S$5:$S$394,'LxI Assessment'!$A$5:$A$394,A339,'LxI Assessment'!$D$5:$D$394,D339)))</f>
        <v>3</v>
      </c>
      <c r="H339" s="7" t="str">
        <f aca="false">IF(G339="N/A","N/A",IF(G339="","No data",INDEX(Config!$B$5:$B$9,G339)))</f>
        <v>Medium</v>
      </c>
      <c r="I339" s="31" t="n">
        <f aca="false">IF(NOT(ISNUMBER($G339)),"",SUMPRODUCT(('Control Mapping'!$C$5:$C$83=D339)*('Control Mapping'!$W$5:$W$83&gt;0)))</f>
        <v>3</v>
      </c>
      <c r="J339" s="31" t="n">
        <f aca="false">IF(NOT(ISNUMBER($G339)),"",SUMPRODUCT(('Control Mapping'!$C$5:$C$83=D339)*('Control Mapping'!$F$5:$F$83="Y")*('Control Mapping'!$W$5:$W$83&gt;0)))</f>
        <v>2</v>
      </c>
      <c r="K339" s="31" t="n">
        <f aca="false">IF(NOT(ISNUMBER($G339)),"",SUMPRODUCT(('Control Mapping'!$C$5:$C$83=D339)*('Control Mapping'!$F$5:$F$83="Y")*('Control Mapping'!$W$5:$W$83=4)))</f>
        <v>1</v>
      </c>
      <c r="L339" s="29" t="n">
        <f aca="false">IF(NOT(ISNUMBER($G339)),"",IFERROR(SUMPRODUCT(('Control Mapping'!$C$5:$C$83=D339)*'Control Mapping'!$E$5:$E$83*'Control Mapping'!$W$5:$W$83)/SUMPRODUCT(('Control Mapping'!$C$5:$C$83=D339)*'Control Mapping'!$E$5:$E$83*('Control Mapping'!$W$5:$W$83&gt;0)),""))</f>
        <v>2.33333333333333</v>
      </c>
      <c r="M339" s="34" t="n">
        <f aca="false">IF(NOT(ISNUMBER($G339)),"",IF(J339=0,4,MAX(MATCH(L339,'Residual Config'!$E$11:$E$14,1),IF(K339&gt;0,'Residual Config'!$C$7,1))))</f>
        <v>3</v>
      </c>
      <c r="N339" s="7" t="str">
        <f aca="false">IF(NOT(ISNUMBER($G339)),"",IF(J339=0,"Ineffective (no key control)",INDEX('Residual Config'!$B$11:$B$14,M339)))</f>
        <v>Partially effective</v>
      </c>
      <c r="O339" s="36" t="n">
        <f aca="false">IF(NOT(ISNUMBER($G339)),"",IF(J339=0,0,SUMPRODUCT(('Control Mapping'!$C$5:$C$83=D339)*'Control Mapping'!$E$5:$E$83*(('Control Mapping'!$W$5:$W$83=1)*'Residual Config'!$D$11+('Control Mapping'!$W$5:$W$83=2)*'Residual Config'!$D$12+('Control Mapping'!$W$5:$W$83=3)*'Residual Config'!$D$13+('Control Mapping'!$W$5:$W$83=4)*'Residual Config'!$D$14))/SUMPRODUCT(('Control Mapping'!$C$5:$C$83=D339)*'Control Mapping'!$E$5:$E$83*('Control Mapping'!$W$5:$W$83&gt;0))))</f>
        <v>0.333333333333333</v>
      </c>
      <c r="P339" s="31" t="n">
        <f aca="false">IF(NOT(ISNUMBER($G339)),"",INDEX('Residual Config'!$B$19:$E$23,6-G339,M339))</f>
        <v>3</v>
      </c>
      <c r="Q339" s="29" t="n">
        <f aca="false">IF(NOT(ISNUMBER($G339)),"",MAX(1,F339*(1-O339)))</f>
        <v>2</v>
      </c>
      <c r="R339" s="31" t="n">
        <f aca="false">IF(NOT(ISNUMBER($G339)),"",MAX(MATCH(Q339,Config!$D$5:$D$9,1),G339-'Residual Config'!$C$6))</f>
        <v>2</v>
      </c>
      <c r="S339" s="34" t="n">
        <f aca="false">IF(NOT(ISNUMBER($G339)),"",IF('Residual Config'!$C$5="Numeric",R339,P339))</f>
        <v>3</v>
      </c>
      <c r="T339" s="7" t="str">
        <f aca="false">IF(G339="N/A","N/A",IF(S339="","No data",INDEX(Config!$B$5:$B$9,S339)))</f>
        <v>Medium</v>
      </c>
      <c r="U339" s="32" t="n">
        <v>0</v>
      </c>
      <c r="V339" s="8"/>
      <c r="W339" s="33"/>
      <c r="X339" s="34" t="n">
        <f aca="false">IF(S339="","",IF(AND(W339="Y",U339&lt;&gt;0),MAX(1,MIN(5,S339+MAX(-Config!$C$27,MIN(Config!$C$27,U339)))),S339))</f>
        <v>3</v>
      </c>
      <c r="Y339" s="35" t="str">
        <f aca="false">IF(G339="N/A","N/A",IF(X339="","No data",INDEX(Config!$B$5:$B$9,X339)))</f>
        <v>Medium</v>
      </c>
      <c r="Z339" s="7" t="str">
        <f aca="false">IF(U339=0,"None",IF(W339="Y","Applied","Pending HO approval"))</f>
        <v>None</v>
      </c>
      <c r="AA339" s="12" t="str">
        <f aca="false">INDEX('Risk Taxonomy'!$G$5:$G$24,MATCH(D339,'Risk Taxonomy'!$A$5:$A$24,0))</f>
        <v>Low</v>
      </c>
      <c r="AB339" s="7" t="str">
        <f aca="false">INDEX('Risk Taxonomy'!$H$5:$H$24,MATCH(D339,'Risk Taxonomy'!$A$5:$A$24,0))</f>
        <v>Medium</v>
      </c>
      <c r="AC339" s="35" t="str">
        <f aca="false">IF(NOT(ISNUMBER(X339)),"",IF(X339&lt;=MATCH(AB339,Config!$B$5:$B$9,0),"Within",IF(OR(X339-MATCH(AB339,Config!$B$5:$B$9,0)&gt;=2,AND('Residual Config'!$C$8="Y",ISNUMBER(SEARCH("Zero",AA339)))),"Red","Amber")))</f>
        <v>Within</v>
      </c>
      <c r="AD339" s="12" t="str">
        <f aca="false">IF(AC339="Red","Group CCO / CRO and Country CEO within 2 business days; action plan in 15 days; report to Board Risk &amp; Compliance Committee",IF(AC339="Amber","Country CO, risk owner and HO Administrator within 5 business days; action plan in 30 days",""))</f>
        <v/>
      </c>
    </row>
    <row r="340" customFormat="false" ht="15" hidden="false" customHeight="false" outlineLevel="0" collapsed="false">
      <c r="A340" s="26" t="str">
        <f aca="false">Entities!$A$21</f>
        <v>EG</v>
      </c>
      <c r="B340" s="12" t="str">
        <f aca="false">INDEX(Entities!$B$5:$B$34,MATCH(A340,Entities!$A$5:$A$34,0))</f>
        <v>Arab Bank – Egypt</v>
      </c>
      <c r="C340" s="12" t="str">
        <f aca="false">INDEX(Entities!$D$5:$D$34,MATCH(A340,Entities!$A$5:$A$34,0))</f>
        <v>North Africa</v>
      </c>
      <c r="D340" s="12" t="s">
        <v>310</v>
      </c>
      <c r="E340" s="12" t="str">
        <f aca="false">INDEX('Risk Taxonomy'!$B$5:$B$24,MATCH(D340,'Risk Taxonomy'!$A$5:$A$24,0))</f>
        <v>Cyber, information security and technology</v>
      </c>
      <c r="F340" s="29" t="n">
        <f aca="false">IF(NOT(ISNUMBER(G340)),"",G340)</f>
        <v>3</v>
      </c>
      <c r="G340" s="34" t="n">
        <f aca="false">IF(COUNTIFS('LxI Assessment'!$A$5:$A$394,A340,'LxI Assessment'!$D$5:$D$394,D340,'LxI Assessment'!$F$5:$F$394,"N/A")&gt;0,"N/A",IF(COUNTIFS('LxI Assessment'!$A$5:$A$394,A340,'LxI Assessment'!$D$5:$D$394,D340,'LxI Assessment'!$S$5:$S$394,"&gt;0")=0,"",SUMIFS('LxI Assessment'!$S$5:$S$394,'LxI Assessment'!$A$5:$A$394,A340,'LxI Assessment'!$D$5:$D$394,D340)))</f>
        <v>3</v>
      </c>
      <c r="H340" s="7" t="str">
        <f aca="false">IF(G340="N/A","N/A",IF(G340="","No data",INDEX(Config!$B$5:$B$9,G340)))</f>
        <v>Medium</v>
      </c>
      <c r="I340" s="31" t="n">
        <f aca="false">IF(NOT(ISNUMBER($G340)),"",SUMPRODUCT(('Control Mapping'!$C$5:$C$83=D340)*('Control Mapping'!$W$5:$W$83&gt;0)))</f>
        <v>4</v>
      </c>
      <c r="J340" s="31" t="n">
        <f aca="false">IF(NOT(ISNUMBER($G340)),"",SUMPRODUCT(('Control Mapping'!$C$5:$C$83=D340)*('Control Mapping'!$F$5:$F$83="Y")*('Control Mapping'!$W$5:$W$83&gt;0)))</f>
        <v>4</v>
      </c>
      <c r="K340" s="31" t="n">
        <f aca="false">IF(NOT(ISNUMBER($G340)),"",SUMPRODUCT(('Control Mapping'!$C$5:$C$83=D340)*('Control Mapping'!$F$5:$F$83="Y")*('Control Mapping'!$W$5:$W$83=4)))</f>
        <v>0</v>
      </c>
      <c r="L340" s="29" t="n">
        <f aca="false">IF(NOT(ISNUMBER($G340)),"",IFERROR(SUMPRODUCT(('Control Mapping'!$C$5:$C$83=D340)*'Control Mapping'!$E$5:$E$83*'Control Mapping'!$W$5:$W$83)/SUMPRODUCT(('Control Mapping'!$C$5:$C$83=D340)*'Control Mapping'!$E$5:$E$83*('Control Mapping'!$W$5:$W$83&gt;0)),""))</f>
        <v>1.57142857142857</v>
      </c>
      <c r="M340" s="34" t="n">
        <f aca="false">IF(NOT(ISNUMBER($G340)),"",IF(J340=0,4,MAX(MATCH(L340,'Residual Config'!$E$11:$E$14,1),IF(K340&gt;0,'Residual Config'!$C$7,1))))</f>
        <v>2</v>
      </c>
      <c r="N340" s="7" t="str">
        <f aca="false">IF(NOT(ISNUMBER($G340)),"",IF(J340=0,"Ineffective (no key control)",INDEX('Residual Config'!$B$11:$B$14,M340)))</f>
        <v>Largely effective</v>
      </c>
      <c r="O340" s="36" t="n">
        <f aca="false">IF(NOT(ISNUMBER($G340)),"",IF(J340=0,0,SUMPRODUCT(('Control Mapping'!$C$5:$C$83=D340)*'Control Mapping'!$E$5:$E$83*(('Control Mapping'!$W$5:$W$83=1)*'Residual Config'!$D$11+('Control Mapping'!$W$5:$W$83=2)*'Residual Config'!$D$12+('Control Mapping'!$W$5:$W$83=3)*'Residual Config'!$D$13+('Control Mapping'!$W$5:$W$83=4)*'Residual Config'!$D$14))/SUMPRODUCT(('Control Mapping'!$C$5:$C$83=D340)*'Control Mapping'!$E$5:$E$83*('Control Mapping'!$W$5:$W$83&gt;0))))</f>
        <v>0.485714285714286</v>
      </c>
      <c r="P340" s="31" t="n">
        <f aca="false">IF(NOT(ISNUMBER($G340)),"",INDEX('Residual Config'!$B$19:$E$23,6-G340,M340))</f>
        <v>2</v>
      </c>
      <c r="Q340" s="29" t="n">
        <f aca="false">IF(NOT(ISNUMBER($G340)),"",MAX(1,F340*(1-O340)))</f>
        <v>1.54285714285714</v>
      </c>
      <c r="R340" s="31" t="n">
        <f aca="false">IF(NOT(ISNUMBER($G340)),"",MAX(MATCH(Q340,Config!$D$5:$D$9,1),G340-'Residual Config'!$C$6))</f>
        <v>1</v>
      </c>
      <c r="S340" s="34" t="n">
        <f aca="false">IF(NOT(ISNUMBER($G340)),"",IF('Residual Config'!$C$5="Numeric",R340,P340))</f>
        <v>2</v>
      </c>
      <c r="T340" s="7" t="str">
        <f aca="false">IF(G340="N/A","N/A",IF(S340="","No data",INDEX(Config!$B$5:$B$9,S340)))</f>
        <v>Medium-Low</v>
      </c>
      <c r="U340" s="32" t="n">
        <v>0</v>
      </c>
      <c r="V340" s="8"/>
      <c r="W340" s="33"/>
      <c r="X340" s="34" t="n">
        <f aca="false">IF(S340="","",IF(AND(W340="Y",U340&lt;&gt;0),MAX(1,MIN(5,S340+MAX(-Config!$C$27,MIN(Config!$C$27,U340)))),S340))</f>
        <v>2</v>
      </c>
      <c r="Y340" s="35" t="str">
        <f aca="false">IF(G340="N/A","N/A",IF(X340="","No data",INDEX(Config!$B$5:$B$9,X340)))</f>
        <v>Medium-Low</v>
      </c>
      <c r="Z340" s="7" t="str">
        <f aca="false">IF(U340=0,"None",IF(W340="Y","Applied","Pending HO approval"))</f>
        <v>None</v>
      </c>
      <c r="AA340" s="12" t="str">
        <f aca="false">INDEX('Risk Taxonomy'!$G$5:$G$24,MATCH(D340,'Risk Taxonomy'!$A$5:$A$24,0))</f>
        <v>Very low</v>
      </c>
      <c r="AB340" s="7" t="str">
        <f aca="false">INDEX('Risk Taxonomy'!$H$5:$H$24,MATCH(D340,'Risk Taxonomy'!$A$5:$A$24,0))</f>
        <v>Medium-Low</v>
      </c>
      <c r="AC340" s="35" t="str">
        <f aca="false">IF(NOT(ISNUMBER(X340)),"",IF(X340&lt;=MATCH(AB340,Config!$B$5:$B$9,0),"Within",IF(OR(X340-MATCH(AB340,Config!$B$5:$B$9,0)&gt;=2,AND('Residual Config'!$C$8="Y",ISNUMBER(SEARCH("Zero",AA340)))),"Red","Amber")))</f>
        <v>Within</v>
      </c>
      <c r="AD340" s="12" t="str">
        <f aca="false">IF(AC340="Red","Group CCO / CRO and Country CEO within 2 business days; action plan in 15 days; report to Board Risk &amp; Compliance Committee",IF(AC340="Amber","Country CO, risk owner and HO Administrator within 5 business days; action plan in 30 days",""))</f>
        <v/>
      </c>
    </row>
    <row r="341" customFormat="false" ht="15" hidden="false" customHeight="false" outlineLevel="0" collapsed="false">
      <c r="A341" s="26" t="str">
        <f aca="false">Entities!$A$21</f>
        <v>EG</v>
      </c>
      <c r="B341" s="12" t="str">
        <f aca="false">INDEX(Entities!$B$5:$B$34,MATCH(A341,Entities!$A$5:$A$34,0))</f>
        <v>Arab Bank – Egypt</v>
      </c>
      <c r="C341" s="12" t="str">
        <f aca="false">INDEX(Entities!$D$5:$D$34,MATCH(A341,Entities!$A$5:$A$34,0))</f>
        <v>North Africa</v>
      </c>
      <c r="D341" s="12" t="s">
        <v>313</v>
      </c>
      <c r="E341" s="12" t="str">
        <f aca="false">INDEX('Risk Taxonomy'!$B$5:$B$24,MATCH(D341,'Risk Taxonomy'!$A$5:$A$24,0))</f>
        <v>Third-party and outsourcing</v>
      </c>
      <c r="F341" s="29" t="n">
        <f aca="false">IF(NOT(ISNUMBER(G341)),"",G341)</f>
        <v>2</v>
      </c>
      <c r="G341" s="34" t="n">
        <f aca="false">IF(COUNTIFS('LxI Assessment'!$A$5:$A$394,A341,'LxI Assessment'!$D$5:$D$394,D341,'LxI Assessment'!$F$5:$F$394,"N/A")&gt;0,"N/A",IF(COUNTIFS('LxI Assessment'!$A$5:$A$394,A341,'LxI Assessment'!$D$5:$D$394,D341,'LxI Assessment'!$S$5:$S$394,"&gt;0")=0,"",SUMIFS('LxI Assessment'!$S$5:$S$394,'LxI Assessment'!$A$5:$A$394,A341,'LxI Assessment'!$D$5:$D$394,D341)))</f>
        <v>2</v>
      </c>
      <c r="H341" s="7" t="str">
        <f aca="false">IF(G341="N/A","N/A",IF(G341="","No data",INDEX(Config!$B$5:$B$9,G341)))</f>
        <v>Medium-Low</v>
      </c>
      <c r="I341" s="31" t="n">
        <f aca="false">IF(NOT(ISNUMBER($G341)),"",SUMPRODUCT(('Control Mapping'!$C$5:$C$83=D341)*('Control Mapping'!$W$5:$W$83&gt;0)))</f>
        <v>2</v>
      </c>
      <c r="J341" s="31" t="n">
        <f aca="false">IF(NOT(ISNUMBER($G341)),"",SUMPRODUCT(('Control Mapping'!$C$5:$C$83=D341)*('Control Mapping'!$F$5:$F$83="Y")*('Control Mapping'!$W$5:$W$83&gt;0)))</f>
        <v>2</v>
      </c>
      <c r="K341" s="31" t="n">
        <f aca="false">IF(NOT(ISNUMBER($G341)),"",SUMPRODUCT(('Control Mapping'!$C$5:$C$83=D341)*('Control Mapping'!$F$5:$F$83="Y")*('Control Mapping'!$W$5:$W$83=4)))</f>
        <v>0</v>
      </c>
      <c r="L341" s="29" t="n">
        <f aca="false">IF(NOT(ISNUMBER($G341)),"",IFERROR(SUMPRODUCT(('Control Mapping'!$C$5:$C$83=D341)*'Control Mapping'!$E$5:$E$83*'Control Mapping'!$W$5:$W$83)/SUMPRODUCT(('Control Mapping'!$C$5:$C$83=D341)*'Control Mapping'!$E$5:$E$83*('Control Mapping'!$W$5:$W$83&gt;0)),""))</f>
        <v>1</v>
      </c>
      <c r="M341" s="34" t="n">
        <f aca="false">IF(NOT(ISNUMBER($G341)),"",IF(J341=0,4,MAX(MATCH(L341,'Residual Config'!$E$11:$E$14,1),IF(K341&gt;0,'Residual Config'!$C$7,1))))</f>
        <v>1</v>
      </c>
      <c r="N341" s="7" t="str">
        <f aca="false">IF(NOT(ISNUMBER($G341)),"",IF(J341=0,"Ineffective (no key control)",INDEX('Residual Config'!$B$11:$B$14,M341)))</f>
        <v>Effective</v>
      </c>
      <c r="O341" s="36" t="n">
        <f aca="false">IF(NOT(ISNUMBER($G341)),"",IF(J341=0,0,SUMPRODUCT(('Control Mapping'!$C$5:$C$83=D341)*'Control Mapping'!$E$5:$E$83*(('Control Mapping'!$W$5:$W$83=1)*'Residual Config'!$D$11+('Control Mapping'!$W$5:$W$83=2)*'Residual Config'!$D$12+('Control Mapping'!$W$5:$W$83=3)*'Residual Config'!$D$13+('Control Mapping'!$W$5:$W$83=4)*'Residual Config'!$D$14))/SUMPRODUCT(('Control Mapping'!$C$5:$C$83=D341)*'Control Mapping'!$E$5:$E$83*('Control Mapping'!$W$5:$W$83&gt;0))))</f>
        <v>0.6</v>
      </c>
      <c r="P341" s="31" t="n">
        <f aca="false">IF(NOT(ISNUMBER($G341)),"",INDEX('Residual Config'!$B$19:$E$23,6-G341,M341))</f>
        <v>1</v>
      </c>
      <c r="Q341" s="29" t="n">
        <f aca="false">IF(NOT(ISNUMBER($G341)),"",MAX(1,F341*(1-O341)))</f>
        <v>1</v>
      </c>
      <c r="R341" s="31" t="n">
        <f aca="false">IF(NOT(ISNUMBER($G341)),"",MAX(MATCH(Q341,Config!$D$5:$D$9,1),G341-'Residual Config'!$C$6))</f>
        <v>1</v>
      </c>
      <c r="S341" s="34" t="n">
        <f aca="false">IF(NOT(ISNUMBER($G341)),"",IF('Residual Config'!$C$5="Numeric",R341,P341))</f>
        <v>1</v>
      </c>
      <c r="T341" s="7" t="str">
        <f aca="false">IF(G341="N/A","N/A",IF(S341="","No data",INDEX(Config!$B$5:$B$9,S341)))</f>
        <v>Low</v>
      </c>
      <c r="U341" s="32" t="n">
        <v>0</v>
      </c>
      <c r="V341" s="8"/>
      <c r="W341" s="33"/>
      <c r="X341" s="34" t="n">
        <f aca="false">IF(S341="","",IF(AND(W341="Y",U341&lt;&gt;0),MAX(1,MIN(5,S341+MAX(-Config!$C$27,MIN(Config!$C$27,U341)))),S341))</f>
        <v>1</v>
      </c>
      <c r="Y341" s="35" t="str">
        <f aca="false">IF(G341="N/A","N/A",IF(X341="","No data",INDEX(Config!$B$5:$B$9,X341)))</f>
        <v>Low</v>
      </c>
      <c r="Z341" s="7" t="str">
        <f aca="false">IF(U341=0,"None",IF(W341="Y","Applied","Pending HO approval"))</f>
        <v>None</v>
      </c>
      <c r="AA341" s="12" t="str">
        <f aca="false">INDEX('Risk Taxonomy'!$G$5:$G$24,MATCH(D341,'Risk Taxonomy'!$A$5:$A$24,0))</f>
        <v>Low</v>
      </c>
      <c r="AB341" s="7" t="str">
        <f aca="false">INDEX('Risk Taxonomy'!$H$5:$H$24,MATCH(D341,'Risk Taxonomy'!$A$5:$A$24,0))</f>
        <v>Medium</v>
      </c>
      <c r="AC341" s="35" t="str">
        <f aca="false">IF(NOT(ISNUMBER(X341)),"",IF(X341&lt;=MATCH(AB341,Config!$B$5:$B$9,0),"Within",IF(OR(X341-MATCH(AB341,Config!$B$5:$B$9,0)&gt;=2,AND('Residual Config'!$C$8="Y",ISNUMBER(SEARCH("Zero",AA341)))),"Red","Amber")))</f>
        <v>Within</v>
      </c>
      <c r="AD341" s="12" t="str">
        <f aca="false">IF(AC341="Red","Group CCO / CRO and Country CEO within 2 business days; action plan in 15 days; report to Board Risk &amp; Compliance Committee",IF(AC341="Amber","Country CO, risk owner and HO Administrator within 5 business days; action plan in 30 days",""))</f>
        <v/>
      </c>
    </row>
    <row r="342" customFormat="false" ht="15" hidden="false" customHeight="false" outlineLevel="0" collapsed="false">
      <c r="A342" s="26" t="str">
        <f aca="false">Entities!$A$21</f>
        <v>EG</v>
      </c>
      <c r="B342" s="12" t="str">
        <f aca="false">INDEX(Entities!$B$5:$B$34,MATCH(A342,Entities!$A$5:$A$34,0))</f>
        <v>Arab Bank – Egypt</v>
      </c>
      <c r="C342" s="12" t="str">
        <f aca="false">INDEX(Entities!$D$5:$D$34,MATCH(A342,Entities!$A$5:$A$34,0))</f>
        <v>North Africa</v>
      </c>
      <c r="D342" s="12" t="s">
        <v>316</v>
      </c>
      <c r="E342" s="12" t="str">
        <f aca="false">INDEX('Risk Taxonomy'!$B$5:$B$24,MATCH(D342,'Risk Taxonomy'!$A$5:$A$24,0))</f>
        <v>Legal and litigation</v>
      </c>
      <c r="F342" s="29" t="n">
        <f aca="false">IF(NOT(ISNUMBER(G342)),"",G342)</f>
        <v>2</v>
      </c>
      <c r="G342" s="34" t="n">
        <f aca="false">IF(COUNTIFS('LxI Assessment'!$A$5:$A$394,A342,'LxI Assessment'!$D$5:$D$394,D342,'LxI Assessment'!$F$5:$F$394,"N/A")&gt;0,"N/A",IF(COUNTIFS('LxI Assessment'!$A$5:$A$394,A342,'LxI Assessment'!$D$5:$D$394,D342,'LxI Assessment'!$S$5:$S$394,"&gt;0")=0,"",SUMIFS('LxI Assessment'!$S$5:$S$394,'LxI Assessment'!$A$5:$A$394,A342,'LxI Assessment'!$D$5:$D$394,D342)))</f>
        <v>2</v>
      </c>
      <c r="H342" s="7" t="str">
        <f aca="false">IF(G342="N/A","N/A",IF(G342="","No data",INDEX(Config!$B$5:$B$9,G342)))</f>
        <v>Medium-Low</v>
      </c>
      <c r="I342" s="31" t="n">
        <f aca="false">IF(NOT(ISNUMBER($G342)),"",SUMPRODUCT(('Control Mapping'!$C$5:$C$83=D342)*('Control Mapping'!$W$5:$W$83&gt;0)))</f>
        <v>1</v>
      </c>
      <c r="J342" s="31" t="n">
        <f aca="false">IF(NOT(ISNUMBER($G342)),"",SUMPRODUCT(('Control Mapping'!$C$5:$C$83=D342)*('Control Mapping'!$F$5:$F$83="Y")*('Control Mapping'!$W$5:$W$83&gt;0)))</f>
        <v>1</v>
      </c>
      <c r="K342" s="31" t="n">
        <f aca="false">IF(NOT(ISNUMBER($G342)),"",SUMPRODUCT(('Control Mapping'!$C$5:$C$83=D342)*('Control Mapping'!$F$5:$F$83="Y")*('Control Mapping'!$W$5:$W$83=4)))</f>
        <v>0</v>
      </c>
      <c r="L342" s="29" t="n">
        <f aca="false">IF(NOT(ISNUMBER($G342)),"",IFERROR(SUMPRODUCT(('Control Mapping'!$C$5:$C$83=D342)*'Control Mapping'!$E$5:$E$83*'Control Mapping'!$W$5:$W$83)/SUMPRODUCT(('Control Mapping'!$C$5:$C$83=D342)*'Control Mapping'!$E$5:$E$83*('Control Mapping'!$W$5:$W$83&gt;0)),""))</f>
        <v>2</v>
      </c>
      <c r="M342" s="34" t="n">
        <f aca="false">IF(NOT(ISNUMBER($G342)),"",IF(J342=0,4,MAX(MATCH(L342,'Residual Config'!$E$11:$E$14,1),IF(K342&gt;0,'Residual Config'!$C$7,1))))</f>
        <v>2</v>
      </c>
      <c r="N342" s="7" t="str">
        <f aca="false">IF(NOT(ISNUMBER($G342)),"",IF(J342=0,"Ineffective (no key control)",INDEX('Residual Config'!$B$11:$B$14,M342)))</f>
        <v>Largely effective</v>
      </c>
      <c r="O342" s="36" t="n">
        <f aca="false">IF(NOT(ISNUMBER($G342)),"",IF(J342=0,0,SUMPRODUCT(('Control Mapping'!$C$5:$C$83=D342)*'Control Mapping'!$E$5:$E$83*(('Control Mapping'!$W$5:$W$83=1)*'Residual Config'!$D$11+('Control Mapping'!$W$5:$W$83=2)*'Residual Config'!$D$12+('Control Mapping'!$W$5:$W$83=3)*'Residual Config'!$D$13+('Control Mapping'!$W$5:$W$83=4)*'Residual Config'!$D$14))/SUMPRODUCT(('Control Mapping'!$C$5:$C$83=D342)*'Control Mapping'!$E$5:$E$83*('Control Mapping'!$W$5:$W$83&gt;0))))</f>
        <v>0.4</v>
      </c>
      <c r="P342" s="31" t="n">
        <f aca="false">IF(NOT(ISNUMBER($G342)),"",INDEX('Residual Config'!$B$19:$E$23,6-G342,M342))</f>
        <v>1</v>
      </c>
      <c r="Q342" s="29" t="n">
        <f aca="false">IF(NOT(ISNUMBER($G342)),"",MAX(1,F342*(1-O342)))</f>
        <v>1.2</v>
      </c>
      <c r="R342" s="31" t="n">
        <f aca="false">IF(NOT(ISNUMBER($G342)),"",MAX(MATCH(Q342,Config!$D$5:$D$9,1),G342-'Residual Config'!$C$6))</f>
        <v>1</v>
      </c>
      <c r="S342" s="34" t="n">
        <f aca="false">IF(NOT(ISNUMBER($G342)),"",IF('Residual Config'!$C$5="Numeric",R342,P342))</f>
        <v>1</v>
      </c>
      <c r="T342" s="7" t="str">
        <f aca="false">IF(G342="N/A","N/A",IF(S342="","No data",INDEX(Config!$B$5:$B$9,S342)))</f>
        <v>Low</v>
      </c>
      <c r="U342" s="32" t="n">
        <v>0</v>
      </c>
      <c r="V342" s="8"/>
      <c r="W342" s="33"/>
      <c r="X342" s="34" t="n">
        <f aca="false">IF(S342="","",IF(AND(W342="Y",U342&lt;&gt;0),MAX(1,MIN(5,S342+MAX(-Config!$C$27,MIN(Config!$C$27,U342)))),S342))</f>
        <v>1</v>
      </c>
      <c r="Y342" s="35" t="str">
        <f aca="false">IF(G342="N/A","N/A",IF(X342="","No data",INDEX(Config!$B$5:$B$9,X342)))</f>
        <v>Low</v>
      </c>
      <c r="Z342" s="7" t="str">
        <f aca="false">IF(U342=0,"None",IF(W342="Y","Applied","Pending HO approval"))</f>
        <v>None</v>
      </c>
      <c r="AA342" s="12" t="str">
        <f aca="false">INDEX('Risk Taxonomy'!$G$5:$G$24,MATCH(D342,'Risk Taxonomy'!$A$5:$A$24,0))</f>
        <v>Very low</v>
      </c>
      <c r="AB342" s="7" t="str">
        <f aca="false">INDEX('Risk Taxonomy'!$H$5:$H$24,MATCH(D342,'Risk Taxonomy'!$A$5:$A$24,0))</f>
        <v>Medium-Low</v>
      </c>
      <c r="AC342" s="35" t="str">
        <f aca="false">IF(NOT(ISNUMBER(X342)),"",IF(X342&lt;=MATCH(AB342,Config!$B$5:$B$9,0),"Within",IF(OR(X342-MATCH(AB342,Config!$B$5:$B$9,0)&gt;=2,AND('Residual Config'!$C$8="Y",ISNUMBER(SEARCH("Zero",AA342)))),"Red","Amber")))</f>
        <v>Within</v>
      </c>
      <c r="AD342" s="12" t="str">
        <f aca="false">IF(AC342="Red","Group CCO / CRO and Country CEO within 2 business days; action plan in 15 days; report to Board Risk &amp; Compliance Committee",IF(AC342="Amber","Country CO, risk owner and HO Administrator within 5 business days; action plan in 30 days",""))</f>
        <v/>
      </c>
    </row>
    <row r="343" customFormat="false" ht="15" hidden="false" customHeight="false" outlineLevel="0" collapsed="false">
      <c r="A343" s="26" t="str">
        <f aca="false">Entities!$A$21</f>
        <v>EG</v>
      </c>
      <c r="B343" s="12" t="str">
        <f aca="false">INDEX(Entities!$B$5:$B$34,MATCH(A343,Entities!$A$5:$A$34,0))</f>
        <v>Arab Bank – Egypt</v>
      </c>
      <c r="C343" s="12" t="str">
        <f aca="false">INDEX(Entities!$D$5:$D$34,MATCH(A343,Entities!$A$5:$A$34,0))</f>
        <v>North Africa</v>
      </c>
      <c r="D343" s="12" t="s">
        <v>319</v>
      </c>
      <c r="E343" s="12" t="str">
        <f aca="false">INDEX('Risk Taxonomy'!$B$5:$B$24,MATCH(D343,'Risk Taxonomy'!$A$5:$A$24,0))</f>
        <v>Reputational</v>
      </c>
      <c r="F343" s="29" t="n">
        <f aca="false">IF(NOT(ISNUMBER(G343)),"",G343)</f>
        <v>3</v>
      </c>
      <c r="G343" s="34" t="n">
        <f aca="false">IF(COUNTIFS('LxI Assessment'!$A$5:$A$394,A343,'LxI Assessment'!$D$5:$D$394,D343,'LxI Assessment'!$F$5:$F$394,"N/A")&gt;0,"N/A",IF(COUNTIFS('LxI Assessment'!$A$5:$A$394,A343,'LxI Assessment'!$D$5:$D$394,D343,'LxI Assessment'!$S$5:$S$394,"&gt;0")=0,"",SUMIFS('LxI Assessment'!$S$5:$S$394,'LxI Assessment'!$A$5:$A$394,A343,'LxI Assessment'!$D$5:$D$394,D343)))</f>
        <v>3</v>
      </c>
      <c r="H343" s="7" t="str">
        <f aca="false">IF(G343="N/A","N/A",IF(G343="","No data",INDEX(Config!$B$5:$B$9,G343)))</f>
        <v>Medium</v>
      </c>
      <c r="I343" s="31" t="n">
        <f aca="false">IF(NOT(ISNUMBER($G343)),"",SUMPRODUCT(('Control Mapping'!$C$5:$C$83=D343)*('Control Mapping'!$W$5:$W$83&gt;0)))</f>
        <v>2</v>
      </c>
      <c r="J343" s="31" t="n">
        <f aca="false">IF(NOT(ISNUMBER($G343)),"",SUMPRODUCT(('Control Mapping'!$C$5:$C$83=D343)*('Control Mapping'!$F$5:$F$83="Y")*('Control Mapping'!$W$5:$W$83&gt;0)))</f>
        <v>1</v>
      </c>
      <c r="K343" s="31" t="n">
        <f aca="false">IF(NOT(ISNUMBER($G343)),"",SUMPRODUCT(('Control Mapping'!$C$5:$C$83=D343)*('Control Mapping'!$F$5:$F$83="Y")*('Control Mapping'!$W$5:$W$83=4)))</f>
        <v>0</v>
      </c>
      <c r="L343" s="29" t="n">
        <f aca="false">IF(NOT(ISNUMBER($G343)),"",IFERROR(SUMPRODUCT(('Control Mapping'!$C$5:$C$83=D343)*'Control Mapping'!$E$5:$E$83*'Control Mapping'!$W$5:$W$83)/SUMPRODUCT(('Control Mapping'!$C$5:$C$83=D343)*'Control Mapping'!$E$5:$E$83*('Control Mapping'!$W$5:$W$83&gt;0)),""))</f>
        <v>1.33333333333333</v>
      </c>
      <c r="M343" s="34" t="n">
        <f aca="false">IF(NOT(ISNUMBER($G343)),"",IF(J343=0,4,MAX(MATCH(L343,'Residual Config'!$E$11:$E$14,1),IF(K343&gt;0,'Residual Config'!$C$7,1))))</f>
        <v>1</v>
      </c>
      <c r="N343" s="7" t="str">
        <f aca="false">IF(NOT(ISNUMBER($G343)),"",IF(J343=0,"Ineffective (no key control)",INDEX('Residual Config'!$B$11:$B$14,M343)))</f>
        <v>Effective</v>
      </c>
      <c r="O343" s="36" t="n">
        <f aca="false">IF(NOT(ISNUMBER($G343)),"",IF(J343=0,0,SUMPRODUCT(('Control Mapping'!$C$5:$C$83=D343)*'Control Mapping'!$E$5:$E$83*(('Control Mapping'!$W$5:$W$83=1)*'Residual Config'!$D$11+('Control Mapping'!$W$5:$W$83=2)*'Residual Config'!$D$12+('Control Mapping'!$W$5:$W$83=3)*'Residual Config'!$D$13+('Control Mapping'!$W$5:$W$83=4)*'Residual Config'!$D$14))/SUMPRODUCT(('Control Mapping'!$C$5:$C$83=D343)*'Control Mapping'!$E$5:$E$83*('Control Mapping'!$W$5:$W$83&gt;0))))</f>
        <v>0.533333333333333</v>
      </c>
      <c r="P343" s="31" t="n">
        <f aca="false">IF(NOT(ISNUMBER($G343)),"",INDEX('Residual Config'!$B$19:$E$23,6-G343,M343))</f>
        <v>1</v>
      </c>
      <c r="Q343" s="29" t="n">
        <f aca="false">IF(NOT(ISNUMBER($G343)),"",MAX(1,F343*(1-O343)))</f>
        <v>1.4</v>
      </c>
      <c r="R343" s="31" t="n">
        <f aca="false">IF(NOT(ISNUMBER($G343)),"",MAX(MATCH(Q343,Config!$D$5:$D$9,1),G343-'Residual Config'!$C$6))</f>
        <v>1</v>
      </c>
      <c r="S343" s="34" t="n">
        <f aca="false">IF(NOT(ISNUMBER($G343)),"",IF('Residual Config'!$C$5="Numeric",R343,P343))</f>
        <v>1</v>
      </c>
      <c r="T343" s="7" t="str">
        <f aca="false">IF(G343="N/A","N/A",IF(S343="","No data",INDEX(Config!$B$5:$B$9,S343)))</f>
        <v>Low</v>
      </c>
      <c r="U343" s="32" t="n">
        <v>0</v>
      </c>
      <c r="V343" s="8"/>
      <c r="W343" s="33"/>
      <c r="X343" s="34" t="n">
        <f aca="false">IF(S343="","",IF(AND(W343="Y",U343&lt;&gt;0),MAX(1,MIN(5,S343+MAX(-Config!$C$27,MIN(Config!$C$27,U343)))),S343))</f>
        <v>1</v>
      </c>
      <c r="Y343" s="35" t="str">
        <f aca="false">IF(G343="N/A","N/A",IF(X343="","No data",INDEX(Config!$B$5:$B$9,X343)))</f>
        <v>Low</v>
      </c>
      <c r="Z343" s="7" t="str">
        <f aca="false">IF(U343=0,"None",IF(W343="Y","Applied","Pending HO approval"))</f>
        <v>None</v>
      </c>
      <c r="AA343" s="12" t="str">
        <f aca="false">INDEX('Risk Taxonomy'!$G$5:$G$24,MATCH(D343,'Risk Taxonomy'!$A$5:$A$24,0))</f>
        <v>Low</v>
      </c>
      <c r="AB343" s="7" t="str">
        <f aca="false">INDEX('Risk Taxonomy'!$H$5:$H$24,MATCH(D343,'Risk Taxonomy'!$A$5:$A$24,0))</f>
        <v>Medium</v>
      </c>
      <c r="AC343" s="35" t="str">
        <f aca="false">IF(NOT(ISNUMBER(X343)),"",IF(X343&lt;=MATCH(AB343,Config!$B$5:$B$9,0),"Within",IF(OR(X343-MATCH(AB343,Config!$B$5:$B$9,0)&gt;=2,AND('Residual Config'!$C$8="Y",ISNUMBER(SEARCH("Zero",AA343)))),"Red","Amber")))</f>
        <v>Within</v>
      </c>
      <c r="AD343" s="12" t="str">
        <f aca="false">IF(AC343="Red","Group CCO / CRO and Country CEO within 2 business days; action plan in 15 days; report to Board Risk &amp; Compliance Committee",IF(AC343="Amber","Country CO, risk owner and HO Administrator within 5 business days; action plan in 30 days",""))</f>
        <v/>
      </c>
    </row>
    <row r="344" customFormat="false" ht="15" hidden="false" customHeight="false" outlineLevel="0" collapsed="false">
      <c r="A344" s="26" t="str">
        <f aca="false">Entities!$A$21</f>
        <v>EG</v>
      </c>
      <c r="B344" s="12" t="str">
        <f aca="false">INDEX(Entities!$B$5:$B$34,MATCH(A344,Entities!$A$5:$A$34,0))</f>
        <v>Arab Bank – Egypt</v>
      </c>
      <c r="C344" s="12" t="str">
        <f aca="false">INDEX(Entities!$D$5:$D$34,MATCH(A344,Entities!$A$5:$A$34,0))</f>
        <v>North Africa</v>
      </c>
      <c r="D344" s="12" t="s">
        <v>322</v>
      </c>
      <c r="E344" s="12" t="str">
        <f aca="false">INDEX('Risk Taxonomy'!$B$5:$B$24,MATCH(D344,'Risk Taxonomy'!$A$5:$A$24,0))</f>
        <v>Strategic, business model and ESG</v>
      </c>
      <c r="F344" s="29" t="n">
        <f aca="false">IF(NOT(ISNUMBER(G344)),"",G344)</f>
        <v>3</v>
      </c>
      <c r="G344" s="34" t="n">
        <f aca="false">IF(COUNTIFS('LxI Assessment'!$A$5:$A$394,A344,'LxI Assessment'!$D$5:$D$394,D344,'LxI Assessment'!$F$5:$F$394,"N/A")&gt;0,"N/A",IF(COUNTIFS('LxI Assessment'!$A$5:$A$394,A344,'LxI Assessment'!$D$5:$D$394,D344,'LxI Assessment'!$S$5:$S$394,"&gt;0")=0,"",SUMIFS('LxI Assessment'!$S$5:$S$394,'LxI Assessment'!$A$5:$A$394,A344,'LxI Assessment'!$D$5:$D$394,D344)))</f>
        <v>3</v>
      </c>
      <c r="H344" s="7" t="str">
        <f aca="false">IF(G344="N/A","N/A",IF(G344="","No data",INDEX(Config!$B$5:$B$9,G344)))</f>
        <v>Medium</v>
      </c>
      <c r="I344" s="31" t="n">
        <f aca="false">IF(NOT(ISNUMBER($G344)),"",SUMPRODUCT(('Control Mapping'!$C$5:$C$83=D344)*('Control Mapping'!$W$5:$W$83&gt;0)))</f>
        <v>1</v>
      </c>
      <c r="J344" s="31" t="n">
        <f aca="false">IF(NOT(ISNUMBER($G344)),"",SUMPRODUCT(('Control Mapping'!$C$5:$C$83=D344)*('Control Mapping'!$F$5:$F$83="Y")*('Control Mapping'!$W$5:$W$83&gt;0)))</f>
        <v>1</v>
      </c>
      <c r="K344" s="31" t="n">
        <f aca="false">IF(NOT(ISNUMBER($G344)),"",SUMPRODUCT(('Control Mapping'!$C$5:$C$83=D344)*('Control Mapping'!$F$5:$F$83="Y")*('Control Mapping'!$W$5:$W$83=4)))</f>
        <v>0</v>
      </c>
      <c r="L344" s="29" t="n">
        <f aca="false">IF(NOT(ISNUMBER($G344)),"",IFERROR(SUMPRODUCT(('Control Mapping'!$C$5:$C$83=D344)*'Control Mapping'!$E$5:$E$83*'Control Mapping'!$W$5:$W$83)/SUMPRODUCT(('Control Mapping'!$C$5:$C$83=D344)*'Control Mapping'!$E$5:$E$83*('Control Mapping'!$W$5:$W$83&gt;0)),""))</f>
        <v>2</v>
      </c>
      <c r="M344" s="34" t="n">
        <f aca="false">IF(NOT(ISNUMBER($G344)),"",IF(J344=0,4,MAX(MATCH(L344,'Residual Config'!$E$11:$E$14,1),IF(K344&gt;0,'Residual Config'!$C$7,1))))</f>
        <v>2</v>
      </c>
      <c r="N344" s="7" t="str">
        <f aca="false">IF(NOT(ISNUMBER($G344)),"",IF(J344=0,"Ineffective (no key control)",INDEX('Residual Config'!$B$11:$B$14,M344)))</f>
        <v>Largely effective</v>
      </c>
      <c r="O344" s="36" t="n">
        <f aca="false">IF(NOT(ISNUMBER($G344)),"",IF(J344=0,0,SUMPRODUCT(('Control Mapping'!$C$5:$C$83=D344)*'Control Mapping'!$E$5:$E$83*(('Control Mapping'!$W$5:$W$83=1)*'Residual Config'!$D$11+('Control Mapping'!$W$5:$W$83=2)*'Residual Config'!$D$12+('Control Mapping'!$W$5:$W$83=3)*'Residual Config'!$D$13+('Control Mapping'!$W$5:$W$83=4)*'Residual Config'!$D$14))/SUMPRODUCT(('Control Mapping'!$C$5:$C$83=D344)*'Control Mapping'!$E$5:$E$83*('Control Mapping'!$W$5:$W$83&gt;0))))</f>
        <v>0.4</v>
      </c>
      <c r="P344" s="31" t="n">
        <f aca="false">IF(NOT(ISNUMBER($G344)),"",INDEX('Residual Config'!$B$19:$E$23,6-G344,M344))</f>
        <v>2</v>
      </c>
      <c r="Q344" s="29" t="n">
        <f aca="false">IF(NOT(ISNUMBER($G344)),"",MAX(1,F344*(1-O344)))</f>
        <v>1.8</v>
      </c>
      <c r="R344" s="31" t="n">
        <f aca="false">IF(NOT(ISNUMBER($G344)),"",MAX(MATCH(Q344,Config!$D$5:$D$9,1),G344-'Residual Config'!$C$6))</f>
        <v>1</v>
      </c>
      <c r="S344" s="34" t="n">
        <f aca="false">IF(NOT(ISNUMBER($G344)),"",IF('Residual Config'!$C$5="Numeric",R344,P344))</f>
        <v>2</v>
      </c>
      <c r="T344" s="7" t="str">
        <f aca="false">IF(G344="N/A","N/A",IF(S344="","No data",INDEX(Config!$B$5:$B$9,S344)))</f>
        <v>Medium-Low</v>
      </c>
      <c r="U344" s="32" t="n">
        <v>0</v>
      </c>
      <c r="V344" s="8"/>
      <c r="W344" s="33"/>
      <c r="X344" s="34" t="n">
        <f aca="false">IF(S344="","",IF(AND(W344="Y",U344&lt;&gt;0),MAX(1,MIN(5,S344+MAX(-Config!$C$27,MIN(Config!$C$27,U344)))),S344))</f>
        <v>2</v>
      </c>
      <c r="Y344" s="35" t="str">
        <f aca="false">IF(G344="N/A","N/A",IF(X344="","No data",INDEX(Config!$B$5:$B$9,X344)))</f>
        <v>Medium-Low</v>
      </c>
      <c r="Z344" s="7" t="str">
        <f aca="false">IF(U344=0,"None",IF(W344="Y","Applied","Pending HO approval"))</f>
        <v>None</v>
      </c>
      <c r="AA344" s="12" t="str">
        <f aca="false">INDEX('Risk Taxonomy'!$G$5:$G$24,MATCH(D344,'Risk Taxonomy'!$A$5:$A$24,0))</f>
        <v>Moderate</v>
      </c>
      <c r="AB344" s="7" t="str">
        <f aca="false">INDEX('Risk Taxonomy'!$H$5:$H$24,MATCH(D344,'Risk Taxonomy'!$A$5:$A$24,0))</f>
        <v>Medium-High</v>
      </c>
      <c r="AC344" s="35" t="str">
        <f aca="false">IF(NOT(ISNUMBER(X344)),"",IF(X344&lt;=MATCH(AB344,Config!$B$5:$B$9,0),"Within",IF(OR(X344-MATCH(AB344,Config!$B$5:$B$9,0)&gt;=2,AND('Residual Config'!$C$8="Y",ISNUMBER(SEARCH("Zero",AA344)))),"Red","Amber")))</f>
        <v>Within</v>
      </c>
      <c r="AD344" s="12" t="str">
        <f aca="false">IF(AC344="Red","Group CCO / CRO and Country CEO within 2 business days; action plan in 15 days; report to Board Risk &amp; Compliance Committee",IF(AC344="Amber","Country CO, risk owner and HO Administrator within 5 business days; action plan in 30 days",""))</f>
        <v/>
      </c>
    </row>
    <row r="345" customFormat="false" ht="15" hidden="false" customHeight="false" outlineLevel="0" collapsed="false">
      <c r="A345" s="26" t="str">
        <f aca="false">Entities!$A$22</f>
        <v>DZ</v>
      </c>
      <c r="B345" s="12" t="str">
        <f aca="false">INDEX(Entities!$B$5:$B$34,MATCH(A345,Entities!$A$5:$A$34,0))</f>
        <v>Arab Bank – Algeria</v>
      </c>
      <c r="C345" s="12" t="str">
        <f aca="false">INDEX(Entities!$D$5:$D$34,MATCH(A345,Entities!$A$5:$A$34,0))</f>
        <v>North Africa</v>
      </c>
      <c r="D345" s="12" t="s">
        <v>260</v>
      </c>
      <c r="E345" s="12" t="str">
        <f aca="false">INDEX('Risk Taxonomy'!$B$5:$B$24,MATCH(D345,'Risk Taxonomy'!$A$5:$A$24,0))</f>
        <v>Money laundering</v>
      </c>
      <c r="F345" s="29" t="n">
        <f aca="false">IF(NOT(ISNUMBER(G345)),"",IFERROR(IF(MATCH(SUMIFS('FC Calculation'!$N$5:$N$214,'FC Calculation'!$A$5:$A$214,A345,'FC Calculation'!$D$5:$D$214,D345),Config!$D$5:$D$9,1)=G345,SUMIFS('FC Calculation'!$N$5:$N$214,'FC Calculation'!$A$5:$A$214,A345,'FC Calculation'!$D$5:$D$214,D345),G345),G345))</f>
        <v>3.12928571428571</v>
      </c>
      <c r="G345" s="34" t="n">
        <f aca="false">IF(COUNTIFS('FC Calculation'!$A$5:$A$214,A345,'FC Calculation'!$D$5:$D$214,D345,'FC Calculation'!$T$5:$T$214,"&gt;0")=0,"",SUMIFS('FC Calculation'!$T$5:$T$214,'FC Calculation'!$A$5:$A$214,A345,'FC Calculation'!$D$5:$D$214,D345))</f>
        <v>3</v>
      </c>
      <c r="H345" s="7" t="str">
        <f aca="false">IF(G345="N/A","N/A",IF(G345="","No data",INDEX(Config!$B$5:$B$9,G345)))</f>
        <v>Medium</v>
      </c>
      <c r="I345" s="31" t="n">
        <f aca="false">IF(NOT(ISNUMBER($G345)),"",SUMPRODUCT(('Control Mapping'!$C$5:$C$83=D345)*('Control Mapping'!$X$5:$X$83&gt;0)))</f>
        <v>12</v>
      </c>
      <c r="J345" s="31" t="n">
        <f aca="false">IF(NOT(ISNUMBER($G345)),"",SUMPRODUCT(('Control Mapping'!$C$5:$C$83=D345)*('Control Mapping'!$F$5:$F$83="Y")*('Control Mapping'!$X$5:$X$83&gt;0)))</f>
        <v>9</v>
      </c>
      <c r="K345" s="31" t="n">
        <f aca="false">IF(NOT(ISNUMBER($G345)),"",SUMPRODUCT(('Control Mapping'!$C$5:$C$83=D345)*('Control Mapping'!$F$5:$F$83="Y")*('Control Mapping'!$X$5:$X$83=4)))</f>
        <v>0</v>
      </c>
      <c r="L345" s="29" t="n">
        <f aca="false">IF(NOT(ISNUMBER($G345)),"",IFERROR(SUMPRODUCT(('Control Mapping'!$C$5:$C$83=D345)*'Control Mapping'!$E$5:$E$83*'Control Mapping'!$X$5:$X$83)/SUMPRODUCT(('Control Mapping'!$C$5:$C$83=D345)*'Control Mapping'!$E$5:$E$83*('Control Mapping'!$X$5:$X$83&gt;0)),""))</f>
        <v>1.95652173913043</v>
      </c>
      <c r="M345" s="34" t="n">
        <f aca="false">IF(NOT(ISNUMBER($G345)),"",IF(J345=0,4,MAX(MATCH(L345,'Residual Config'!$E$11:$E$14,1),IF(K345&gt;0,'Residual Config'!$C$7,1))))</f>
        <v>2</v>
      </c>
      <c r="N345" s="7" t="str">
        <f aca="false">IF(NOT(ISNUMBER($G345)),"",IF(J345=0,"Ineffective (no key control)",INDEX('Residual Config'!$B$11:$B$14,M345)))</f>
        <v>Largely effective</v>
      </c>
      <c r="O345" s="36" t="n">
        <f aca="false">IF(NOT(ISNUMBER($G345)),"",IF(J345=0,0,SUMPRODUCT(('Control Mapping'!$C$5:$C$83=D345)*'Control Mapping'!$E$5:$E$83*(('Control Mapping'!$X$5:$X$83=1)*'Residual Config'!$D$11+('Control Mapping'!$X$5:$X$83=2)*'Residual Config'!$D$12+('Control Mapping'!$X$5:$X$83=3)*'Residual Config'!$D$13+('Control Mapping'!$X$5:$X$83=4)*'Residual Config'!$D$14))/SUMPRODUCT(('Control Mapping'!$C$5:$C$83=D345)*'Control Mapping'!$E$5:$E$83*('Control Mapping'!$X$5:$X$83&gt;0))))</f>
        <v>0.408695652173913</v>
      </c>
      <c r="P345" s="31" t="n">
        <f aca="false">IF(NOT(ISNUMBER($G345)),"",INDEX('Residual Config'!$B$19:$E$23,6-G345,M345))</f>
        <v>2</v>
      </c>
      <c r="Q345" s="29" t="n">
        <f aca="false">IF(NOT(ISNUMBER($G345)),"",MAX(1,F345*(1-O345)))</f>
        <v>1.8503602484472</v>
      </c>
      <c r="R345" s="31" t="n">
        <f aca="false">IF(NOT(ISNUMBER($G345)),"",MAX(MATCH(Q345,Config!$D$5:$D$9,1),G345-'Residual Config'!$C$6))</f>
        <v>2</v>
      </c>
      <c r="S345" s="34" t="n">
        <f aca="false">IF(NOT(ISNUMBER($G345)),"",IF('Residual Config'!$C$5="Numeric",R345,P345))</f>
        <v>2</v>
      </c>
      <c r="T345" s="7" t="str">
        <f aca="false">IF(G345="N/A","N/A",IF(S345="","No data",INDEX(Config!$B$5:$B$9,S345)))</f>
        <v>Medium-Low</v>
      </c>
      <c r="U345" s="32" t="n">
        <v>0</v>
      </c>
      <c r="V345" s="8"/>
      <c r="W345" s="33"/>
      <c r="X345" s="34" t="n">
        <f aca="false">IF(S345="","",IF(AND(W345="Y",U345&lt;&gt;0),MAX(1,MIN(5,S345+MAX(-Config!$C$27,MIN(Config!$C$27,U345)))),S345))</f>
        <v>2</v>
      </c>
      <c r="Y345" s="35" t="str">
        <f aca="false">IF(G345="N/A","N/A",IF(X345="","No data",INDEX(Config!$B$5:$B$9,X345)))</f>
        <v>Medium-Low</v>
      </c>
      <c r="Z345" s="7" t="str">
        <f aca="false">IF(U345=0,"None",IF(W345="Y","Applied","Pending HO approval"))</f>
        <v>None</v>
      </c>
      <c r="AA345" s="12" t="str">
        <f aca="false">INDEX('Risk Taxonomy'!$G$5:$G$24,MATCH(D345,'Risk Taxonomy'!$A$5:$A$24,0))</f>
        <v>Very low</v>
      </c>
      <c r="AB345" s="7" t="str">
        <f aca="false">INDEX('Risk Taxonomy'!$H$5:$H$24,MATCH(D345,'Risk Taxonomy'!$A$5:$A$24,0))</f>
        <v>Medium-Low</v>
      </c>
      <c r="AC345" s="35" t="str">
        <f aca="false">IF(NOT(ISNUMBER(X345)),"",IF(X345&lt;=MATCH(AB345,Config!$B$5:$B$9,0),"Within",IF(OR(X345-MATCH(AB345,Config!$B$5:$B$9,0)&gt;=2,AND('Residual Config'!$C$8="Y",ISNUMBER(SEARCH("Zero",AA345)))),"Red","Amber")))</f>
        <v>Within</v>
      </c>
      <c r="AD345" s="12" t="str">
        <f aca="false">IF(AC345="Red","Group CCO / CRO and Country CEO within 2 business days; action plan in 15 days; report to Board Risk &amp; Compliance Committee",IF(AC345="Amber","Country CO, risk owner and HO Administrator within 5 business days; action plan in 30 days",""))</f>
        <v/>
      </c>
    </row>
    <row r="346" customFormat="false" ht="15" hidden="false" customHeight="false" outlineLevel="0" collapsed="false">
      <c r="A346" s="26" t="str">
        <f aca="false">Entities!$A$22</f>
        <v>DZ</v>
      </c>
      <c r="B346" s="12" t="str">
        <f aca="false">INDEX(Entities!$B$5:$B$34,MATCH(A346,Entities!$A$5:$A$34,0))</f>
        <v>Arab Bank – Algeria</v>
      </c>
      <c r="C346" s="12" t="str">
        <f aca="false">INDEX(Entities!$D$5:$D$34,MATCH(A346,Entities!$A$5:$A$34,0))</f>
        <v>North Africa</v>
      </c>
      <c r="D346" s="12" t="s">
        <v>267</v>
      </c>
      <c r="E346" s="12" t="str">
        <f aca="false">INDEX('Risk Taxonomy'!$B$5:$B$24,MATCH(D346,'Risk Taxonomy'!$A$5:$A$24,0))</f>
        <v>Terrorist financing</v>
      </c>
      <c r="F346" s="29" t="n">
        <f aca="false">IF(NOT(ISNUMBER(G346)),"",IFERROR(IF(MATCH(SUMIFS('FC Calculation'!$N$5:$N$214,'FC Calculation'!$A$5:$A$214,A346,'FC Calculation'!$D$5:$D$214,D346),Config!$D$5:$D$9,1)=G346,SUMIFS('FC Calculation'!$N$5:$N$214,'FC Calculation'!$A$5:$A$214,A346,'FC Calculation'!$D$5:$D$214,D346),G346),G346))</f>
        <v>3.21071428571429</v>
      </c>
      <c r="G346" s="34" t="n">
        <f aca="false">IF(COUNTIFS('FC Calculation'!$A$5:$A$214,A346,'FC Calculation'!$D$5:$D$214,D346,'FC Calculation'!$T$5:$T$214,"&gt;0")=0,"",SUMIFS('FC Calculation'!$T$5:$T$214,'FC Calculation'!$A$5:$A$214,A346,'FC Calculation'!$D$5:$D$214,D346))</f>
        <v>3</v>
      </c>
      <c r="H346" s="7" t="str">
        <f aca="false">IF(G346="N/A","N/A",IF(G346="","No data",INDEX(Config!$B$5:$B$9,G346)))</f>
        <v>Medium</v>
      </c>
      <c r="I346" s="31" t="n">
        <f aca="false">IF(NOT(ISNUMBER($G346)),"",SUMPRODUCT(('Control Mapping'!$C$5:$C$83=D346)*('Control Mapping'!$X$5:$X$83&gt;0)))</f>
        <v>12</v>
      </c>
      <c r="J346" s="31" t="n">
        <f aca="false">IF(NOT(ISNUMBER($G346)),"",SUMPRODUCT(('Control Mapping'!$C$5:$C$83=D346)*('Control Mapping'!$F$5:$F$83="Y")*('Control Mapping'!$X$5:$X$83&gt;0)))</f>
        <v>9</v>
      </c>
      <c r="K346" s="31" t="n">
        <f aca="false">IF(NOT(ISNUMBER($G346)),"",SUMPRODUCT(('Control Mapping'!$C$5:$C$83=D346)*('Control Mapping'!$F$5:$F$83="Y")*('Control Mapping'!$X$5:$X$83=4)))</f>
        <v>0</v>
      </c>
      <c r="L346" s="29" t="n">
        <f aca="false">IF(NOT(ISNUMBER($G346)),"",IFERROR(SUMPRODUCT(('Control Mapping'!$C$5:$C$83=D346)*'Control Mapping'!$E$5:$E$83*'Control Mapping'!$X$5:$X$83)/SUMPRODUCT(('Control Mapping'!$C$5:$C$83=D346)*'Control Mapping'!$E$5:$E$83*('Control Mapping'!$X$5:$X$83&gt;0)),""))</f>
        <v>1.89473684210526</v>
      </c>
      <c r="M346" s="34" t="n">
        <f aca="false">IF(NOT(ISNUMBER($G346)),"",IF(J346=0,4,MAX(MATCH(L346,'Residual Config'!$E$11:$E$14,1),IF(K346&gt;0,'Residual Config'!$C$7,1))))</f>
        <v>2</v>
      </c>
      <c r="N346" s="7" t="str">
        <f aca="false">IF(NOT(ISNUMBER($G346)),"",IF(J346=0,"Ineffective (no key control)",INDEX('Residual Config'!$B$11:$B$14,M346)))</f>
        <v>Largely effective</v>
      </c>
      <c r="O346" s="36" t="n">
        <f aca="false">IF(NOT(ISNUMBER($G346)),"",IF(J346=0,0,SUMPRODUCT(('Control Mapping'!$C$5:$C$83=D346)*'Control Mapping'!$E$5:$E$83*(('Control Mapping'!$X$5:$X$83=1)*'Residual Config'!$D$11+('Control Mapping'!$X$5:$X$83=2)*'Residual Config'!$D$12+('Control Mapping'!$X$5:$X$83=3)*'Residual Config'!$D$13+('Control Mapping'!$X$5:$X$83=4)*'Residual Config'!$D$14))/SUMPRODUCT(('Control Mapping'!$C$5:$C$83=D346)*'Control Mapping'!$E$5:$E$83*('Control Mapping'!$X$5:$X$83&gt;0))))</f>
        <v>0.421052631578947</v>
      </c>
      <c r="P346" s="31" t="n">
        <f aca="false">IF(NOT(ISNUMBER($G346)),"",INDEX('Residual Config'!$B$19:$E$23,6-G346,M346))</f>
        <v>2</v>
      </c>
      <c r="Q346" s="29" t="n">
        <f aca="false">IF(NOT(ISNUMBER($G346)),"",MAX(1,F346*(1-O346)))</f>
        <v>1.85883458646617</v>
      </c>
      <c r="R346" s="31" t="n">
        <f aca="false">IF(NOT(ISNUMBER($G346)),"",MAX(MATCH(Q346,Config!$D$5:$D$9,1),G346-'Residual Config'!$C$6))</f>
        <v>2</v>
      </c>
      <c r="S346" s="34" t="n">
        <f aca="false">IF(NOT(ISNUMBER($G346)),"",IF('Residual Config'!$C$5="Numeric",R346,P346))</f>
        <v>2</v>
      </c>
      <c r="T346" s="7" t="str">
        <f aca="false">IF(G346="N/A","N/A",IF(S346="","No data",INDEX(Config!$B$5:$B$9,S346)))</f>
        <v>Medium-Low</v>
      </c>
      <c r="U346" s="32" t="n">
        <v>0</v>
      </c>
      <c r="V346" s="8"/>
      <c r="W346" s="33"/>
      <c r="X346" s="34" t="n">
        <f aca="false">IF(S346="","",IF(AND(W346="Y",U346&lt;&gt;0),MAX(1,MIN(5,S346+MAX(-Config!$C$27,MIN(Config!$C$27,U346)))),S346))</f>
        <v>2</v>
      </c>
      <c r="Y346" s="35" t="str">
        <f aca="false">IF(G346="N/A","N/A",IF(X346="","No data",INDEX(Config!$B$5:$B$9,X346)))</f>
        <v>Medium-Low</v>
      </c>
      <c r="Z346" s="7" t="str">
        <f aca="false">IF(U346=0,"None",IF(W346="Y","Applied","Pending HO approval"))</f>
        <v>None</v>
      </c>
      <c r="AA346" s="12" t="str">
        <f aca="false">INDEX('Risk Taxonomy'!$G$5:$G$24,MATCH(D346,'Risk Taxonomy'!$A$5:$A$24,0))</f>
        <v>Zero tolerance</v>
      </c>
      <c r="AB346" s="7" t="str">
        <f aca="false">INDEX('Risk Taxonomy'!$H$5:$H$24,MATCH(D346,'Risk Taxonomy'!$A$5:$A$24,0))</f>
        <v>Low</v>
      </c>
      <c r="AC346" s="35" t="str">
        <f aca="false">IF(NOT(ISNUMBER(X346)),"",IF(X346&lt;=MATCH(AB346,Config!$B$5:$B$9,0),"Within",IF(OR(X346-MATCH(AB346,Config!$B$5:$B$9,0)&gt;=2,AND('Residual Config'!$C$8="Y",ISNUMBER(SEARCH("Zero",AA346)))),"Red","Amber")))</f>
        <v>Amber</v>
      </c>
      <c r="AD346" s="12" t="str">
        <f aca="false">IF(AC346="Red","Group CCO / CRO and Country CEO within 2 business days; action plan in 15 days; report to Board Risk &amp; Compliance Committee",IF(AC346="Amber","Country CO, risk owner and HO Administrator within 5 business days; action plan in 30 days",""))</f>
        <v>Country CO, risk owner and HO Administrator within 5 business days; action plan in 30 days</v>
      </c>
    </row>
    <row r="347" customFormat="false" ht="15" hidden="false" customHeight="false" outlineLevel="0" collapsed="false">
      <c r="A347" s="26" t="str">
        <f aca="false">Entities!$A$22</f>
        <v>DZ</v>
      </c>
      <c r="B347" s="12" t="str">
        <f aca="false">INDEX(Entities!$B$5:$B$34,MATCH(A347,Entities!$A$5:$A$34,0))</f>
        <v>Arab Bank – Algeria</v>
      </c>
      <c r="C347" s="12" t="str">
        <f aca="false">INDEX(Entities!$D$5:$D$34,MATCH(A347,Entities!$A$5:$A$34,0))</f>
        <v>North Africa</v>
      </c>
      <c r="D347" s="12" t="s">
        <v>270</v>
      </c>
      <c r="E347" s="12" t="str">
        <f aca="false">INDEX('Risk Taxonomy'!$B$5:$B$24,MATCH(D347,'Risk Taxonomy'!$A$5:$A$24,0))</f>
        <v>Proliferation financing</v>
      </c>
      <c r="F347" s="29" t="n">
        <f aca="false">IF(NOT(ISNUMBER(G347)),"",IFERROR(IF(MATCH(SUMIFS('FC Calculation'!$N$5:$N$214,'FC Calculation'!$A$5:$A$214,A347,'FC Calculation'!$D$5:$D$214,D347),Config!$D$5:$D$9,1)=G347,SUMIFS('FC Calculation'!$N$5:$N$214,'FC Calculation'!$A$5:$A$214,A347,'FC Calculation'!$D$5:$D$214,D347),G347),G347))</f>
        <v>3.07916666666667</v>
      </c>
      <c r="G347" s="34" t="n">
        <f aca="false">IF(COUNTIFS('FC Calculation'!$A$5:$A$214,A347,'FC Calculation'!$D$5:$D$214,D347,'FC Calculation'!$T$5:$T$214,"&gt;0")=0,"",SUMIFS('FC Calculation'!$T$5:$T$214,'FC Calculation'!$A$5:$A$214,A347,'FC Calculation'!$D$5:$D$214,D347))</f>
        <v>3</v>
      </c>
      <c r="H347" s="7" t="str">
        <f aca="false">IF(G347="N/A","N/A",IF(G347="","No data",INDEX(Config!$B$5:$B$9,G347)))</f>
        <v>Medium</v>
      </c>
      <c r="I347" s="31" t="n">
        <f aca="false">IF(NOT(ISNUMBER($G347)),"",SUMPRODUCT(('Control Mapping'!$C$5:$C$83=D347)*('Control Mapping'!$X$5:$X$83&gt;0)))</f>
        <v>5</v>
      </c>
      <c r="J347" s="31" t="n">
        <f aca="false">IF(NOT(ISNUMBER($G347)),"",SUMPRODUCT(('Control Mapping'!$C$5:$C$83=D347)*('Control Mapping'!$F$5:$F$83="Y")*('Control Mapping'!$X$5:$X$83&gt;0)))</f>
        <v>5</v>
      </c>
      <c r="K347" s="31" t="n">
        <f aca="false">IF(NOT(ISNUMBER($G347)),"",SUMPRODUCT(('Control Mapping'!$C$5:$C$83=D347)*('Control Mapping'!$F$5:$F$83="Y")*('Control Mapping'!$X$5:$X$83=4)))</f>
        <v>1</v>
      </c>
      <c r="L347" s="29" t="n">
        <f aca="false">IF(NOT(ISNUMBER($G347)),"",IFERROR(SUMPRODUCT(('Control Mapping'!$C$5:$C$83=D347)*'Control Mapping'!$E$5:$E$83*'Control Mapping'!$X$5:$X$83)/SUMPRODUCT(('Control Mapping'!$C$5:$C$83=D347)*'Control Mapping'!$E$5:$E$83*('Control Mapping'!$X$5:$X$83&gt;0)),""))</f>
        <v>1.9</v>
      </c>
      <c r="M347" s="34" t="n">
        <f aca="false">IF(NOT(ISNUMBER($G347)),"",IF(J347=0,4,MAX(MATCH(L347,'Residual Config'!$E$11:$E$14,1),IF(K347&gt;0,'Residual Config'!$C$7,1))))</f>
        <v>3</v>
      </c>
      <c r="N347" s="7" t="str">
        <f aca="false">IF(NOT(ISNUMBER($G347)),"",IF(J347=0,"Ineffective (no key control)",INDEX('Residual Config'!$B$11:$B$14,M347)))</f>
        <v>Partially effective</v>
      </c>
      <c r="O347" s="36" t="n">
        <f aca="false">IF(NOT(ISNUMBER($G347)),"",IF(J347=0,0,SUMPRODUCT(('Control Mapping'!$C$5:$C$83=D347)*'Control Mapping'!$E$5:$E$83*(('Control Mapping'!$X$5:$X$83=1)*'Residual Config'!$D$11+('Control Mapping'!$X$5:$X$83=2)*'Residual Config'!$D$12+('Control Mapping'!$X$5:$X$83=3)*'Residual Config'!$D$13+('Control Mapping'!$X$5:$X$83=4)*'Residual Config'!$D$14))/SUMPRODUCT(('Control Mapping'!$C$5:$C$83=D347)*'Control Mapping'!$E$5:$E$83*('Control Mapping'!$X$5:$X$83&gt;0))))</f>
        <v>0.42</v>
      </c>
      <c r="P347" s="31" t="n">
        <f aca="false">IF(NOT(ISNUMBER($G347)),"",INDEX('Residual Config'!$B$19:$E$23,6-G347,M347))</f>
        <v>3</v>
      </c>
      <c r="Q347" s="29" t="n">
        <f aca="false">IF(NOT(ISNUMBER($G347)),"",MAX(1,F347*(1-O347)))</f>
        <v>1.78591666666667</v>
      </c>
      <c r="R347" s="31" t="n">
        <f aca="false">IF(NOT(ISNUMBER($G347)),"",MAX(MATCH(Q347,Config!$D$5:$D$9,1),G347-'Residual Config'!$C$6))</f>
        <v>1</v>
      </c>
      <c r="S347" s="34" t="n">
        <f aca="false">IF(NOT(ISNUMBER($G347)),"",IF('Residual Config'!$C$5="Numeric",R347,P347))</f>
        <v>3</v>
      </c>
      <c r="T347" s="7" t="str">
        <f aca="false">IF(G347="N/A","N/A",IF(S347="","No data",INDEX(Config!$B$5:$B$9,S347)))</f>
        <v>Medium</v>
      </c>
      <c r="U347" s="32" t="n">
        <v>0</v>
      </c>
      <c r="V347" s="8"/>
      <c r="W347" s="33"/>
      <c r="X347" s="34" t="n">
        <f aca="false">IF(S347="","",IF(AND(W347="Y",U347&lt;&gt;0),MAX(1,MIN(5,S347+MAX(-Config!$C$27,MIN(Config!$C$27,U347)))),S347))</f>
        <v>3</v>
      </c>
      <c r="Y347" s="35" t="str">
        <f aca="false">IF(G347="N/A","N/A",IF(X347="","No data",INDEX(Config!$B$5:$B$9,X347)))</f>
        <v>Medium</v>
      </c>
      <c r="Z347" s="7" t="str">
        <f aca="false">IF(U347=0,"None",IF(W347="Y","Applied","Pending HO approval"))</f>
        <v>None</v>
      </c>
      <c r="AA347" s="12" t="str">
        <f aca="false">INDEX('Risk Taxonomy'!$G$5:$G$24,MATCH(D347,'Risk Taxonomy'!$A$5:$A$24,0))</f>
        <v>Zero tolerance</v>
      </c>
      <c r="AB347" s="7" t="str">
        <f aca="false">INDEX('Risk Taxonomy'!$H$5:$H$24,MATCH(D347,'Risk Taxonomy'!$A$5:$A$24,0))</f>
        <v>Low</v>
      </c>
      <c r="AC347" s="35" t="str">
        <f aca="false">IF(NOT(ISNUMBER(X347)),"",IF(X347&lt;=MATCH(AB347,Config!$B$5:$B$9,0),"Within",IF(OR(X347-MATCH(AB347,Config!$B$5:$B$9,0)&gt;=2,AND('Residual Config'!$C$8="Y",ISNUMBER(SEARCH("Zero",AA347)))),"Red","Amber")))</f>
        <v>Red</v>
      </c>
      <c r="AD347" s="12" t="str">
        <f aca="false">IF(AC347="Red","Group CCO / CRO and Country CEO within 2 business days; action plan in 15 days; report to Board Risk &amp; Compliance Committee",IF(AC347="Amber","Country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48" customFormat="false" ht="15" hidden="false" customHeight="false" outlineLevel="0" collapsed="false">
      <c r="A348" s="26" t="str">
        <f aca="false">Entities!$A$22</f>
        <v>DZ</v>
      </c>
      <c r="B348" s="12" t="str">
        <f aca="false">INDEX(Entities!$B$5:$B$34,MATCH(A348,Entities!$A$5:$A$34,0))</f>
        <v>Arab Bank – Algeria</v>
      </c>
      <c r="C348" s="12" t="str">
        <f aca="false">INDEX(Entities!$D$5:$D$34,MATCH(A348,Entities!$A$5:$A$34,0))</f>
        <v>North Africa</v>
      </c>
      <c r="D348" s="12" t="s">
        <v>272</v>
      </c>
      <c r="E348" s="12" t="str">
        <f aca="false">INDEX('Risk Taxonomy'!$B$5:$B$24,MATCH(D348,'Risk Taxonomy'!$A$5:$A$24,0))</f>
        <v>Sanctions</v>
      </c>
      <c r="F348" s="29" t="n">
        <f aca="false">IF(NOT(ISNUMBER(G348)),"",IFERROR(IF(MATCH(SUMIFS('FC Calculation'!$N$5:$N$214,'FC Calculation'!$A$5:$A$214,A348,'FC Calculation'!$D$5:$D$214,D348),Config!$D$5:$D$9,1)=G348,SUMIFS('FC Calculation'!$N$5:$N$214,'FC Calculation'!$A$5:$A$214,A348,'FC Calculation'!$D$5:$D$214,D348),G348),G348))</f>
        <v>3.15976190476191</v>
      </c>
      <c r="G348" s="34" t="n">
        <f aca="false">IF(COUNTIFS('FC Calculation'!$A$5:$A$214,A348,'FC Calculation'!$D$5:$D$214,D348,'FC Calculation'!$T$5:$T$214,"&gt;0")=0,"",SUMIFS('FC Calculation'!$T$5:$T$214,'FC Calculation'!$A$5:$A$214,A348,'FC Calculation'!$D$5:$D$214,D348))</f>
        <v>3</v>
      </c>
      <c r="H348" s="7" t="str">
        <f aca="false">IF(G348="N/A","N/A",IF(G348="","No data",INDEX(Config!$B$5:$B$9,G348)))</f>
        <v>Medium</v>
      </c>
      <c r="I348" s="31" t="n">
        <f aca="false">IF(NOT(ISNUMBER($G348)),"",SUMPRODUCT(('Control Mapping'!$C$5:$C$83=D348)*('Control Mapping'!$X$5:$X$83&gt;0)))</f>
        <v>8</v>
      </c>
      <c r="J348" s="31" t="n">
        <f aca="false">IF(NOT(ISNUMBER($G348)),"",SUMPRODUCT(('Control Mapping'!$C$5:$C$83=D348)*('Control Mapping'!$F$5:$F$83="Y")*('Control Mapping'!$X$5:$X$83&gt;0)))</f>
        <v>5</v>
      </c>
      <c r="K348" s="31" t="n">
        <f aca="false">IF(NOT(ISNUMBER($G348)),"",SUMPRODUCT(('Control Mapping'!$C$5:$C$83=D348)*('Control Mapping'!$F$5:$F$83="Y")*('Control Mapping'!$X$5:$X$83=4)))</f>
        <v>1</v>
      </c>
      <c r="L348" s="29" t="n">
        <f aca="false">IF(NOT(ISNUMBER($G348)),"",IFERROR(SUMPRODUCT(('Control Mapping'!$C$5:$C$83=D348)*'Control Mapping'!$E$5:$E$83*'Control Mapping'!$X$5:$X$83)/SUMPRODUCT(('Control Mapping'!$C$5:$C$83=D348)*'Control Mapping'!$E$5:$E$83*('Control Mapping'!$X$5:$X$83&gt;0)),""))</f>
        <v>1.63636363636364</v>
      </c>
      <c r="M348" s="34" t="n">
        <f aca="false">IF(NOT(ISNUMBER($G348)),"",IF(J348=0,4,MAX(MATCH(L348,'Residual Config'!$E$11:$E$14,1),IF(K348&gt;0,'Residual Config'!$C$7,1))))</f>
        <v>3</v>
      </c>
      <c r="N348" s="7" t="str">
        <f aca="false">IF(NOT(ISNUMBER($G348)),"",IF(J348=0,"Ineffective (no key control)",INDEX('Residual Config'!$B$11:$B$14,M348)))</f>
        <v>Partially effective</v>
      </c>
      <c r="O348" s="36" t="n">
        <f aca="false">IF(NOT(ISNUMBER($G348)),"",IF(J348=0,0,SUMPRODUCT(('Control Mapping'!$C$5:$C$83=D348)*'Control Mapping'!$E$5:$E$83*(('Control Mapping'!$X$5:$X$83=1)*'Residual Config'!$D$11+('Control Mapping'!$X$5:$X$83=2)*'Residual Config'!$D$12+('Control Mapping'!$X$5:$X$83=3)*'Residual Config'!$D$13+('Control Mapping'!$X$5:$X$83=4)*'Residual Config'!$D$14))/SUMPRODUCT(('Control Mapping'!$C$5:$C$83=D348)*'Control Mapping'!$E$5:$E$83*('Control Mapping'!$X$5:$X$83&gt;0))))</f>
        <v>0.472727272727273</v>
      </c>
      <c r="P348" s="31" t="n">
        <f aca="false">IF(NOT(ISNUMBER($G348)),"",INDEX('Residual Config'!$B$19:$E$23,6-G348,M348))</f>
        <v>3</v>
      </c>
      <c r="Q348" s="29" t="n">
        <f aca="false">IF(NOT(ISNUMBER($G348)),"",MAX(1,F348*(1-O348)))</f>
        <v>1.66605627705628</v>
      </c>
      <c r="R348" s="31" t="n">
        <f aca="false">IF(NOT(ISNUMBER($G348)),"",MAX(MATCH(Q348,Config!$D$5:$D$9,1),G348-'Residual Config'!$C$6))</f>
        <v>1</v>
      </c>
      <c r="S348" s="34" t="n">
        <f aca="false">IF(NOT(ISNUMBER($G348)),"",IF('Residual Config'!$C$5="Numeric",R348,P348))</f>
        <v>3</v>
      </c>
      <c r="T348" s="7" t="str">
        <f aca="false">IF(G348="N/A","N/A",IF(S348="","No data",INDEX(Config!$B$5:$B$9,S348)))</f>
        <v>Medium</v>
      </c>
      <c r="U348" s="32" t="n">
        <v>0</v>
      </c>
      <c r="V348" s="8"/>
      <c r="W348" s="33"/>
      <c r="X348" s="34" t="n">
        <f aca="false">IF(S348="","",IF(AND(W348="Y",U348&lt;&gt;0),MAX(1,MIN(5,S348+MAX(-Config!$C$27,MIN(Config!$C$27,U348)))),S348))</f>
        <v>3</v>
      </c>
      <c r="Y348" s="35" t="str">
        <f aca="false">IF(G348="N/A","N/A",IF(X348="","No data",INDEX(Config!$B$5:$B$9,X348)))</f>
        <v>Medium</v>
      </c>
      <c r="Z348" s="7" t="str">
        <f aca="false">IF(U348=0,"None",IF(W348="Y","Applied","Pending HO approval"))</f>
        <v>None</v>
      </c>
      <c r="AA348" s="12" t="str">
        <f aca="false">INDEX('Risk Taxonomy'!$G$5:$G$24,MATCH(D348,'Risk Taxonomy'!$A$5:$A$24,0))</f>
        <v>Zero tolerance</v>
      </c>
      <c r="AB348" s="7" t="str">
        <f aca="false">INDEX('Risk Taxonomy'!$H$5:$H$24,MATCH(D348,'Risk Taxonomy'!$A$5:$A$24,0))</f>
        <v>Low</v>
      </c>
      <c r="AC348" s="35" t="str">
        <f aca="false">IF(NOT(ISNUMBER(X348)),"",IF(X348&lt;=MATCH(AB348,Config!$B$5:$B$9,0),"Within",IF(OR(X348-MATCH(AB348,Config!$B$5:$B$9,0)&gt;=2,AND('Residual Config'!$C$8="Y",ISNUMBER(SEARCH("Zero",AA348)))),"Red","Amber")))</f>
        <v>Red</v>
      </c>
      <c r="AD348" s="12" t="str">
        <f aca="false">IF(AC348="Red","Group CCO / CRO and Country CEO within 2 business days; action plan in 15 days; report to Board Risk &amp; Compliance Committee",IF(AC348="Amber","Country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49" customFormat="false" ht="15" hidden="false" customHeight="false" outlineLevel="0" collapsed="false">
      <c r="A349" s="26" t="str">
        <f aca="false">Entities!$A$22</f>
        <v>DZ</v>
      </c>
      <c r="B349" s="12" t="str">
        <f aca="false">INDEX(Entities!$B$5:$B$34,MATCH(A349,Entities!$A$5:$A$34,0))</f>
        <v>Arab Bank – Algeria</v>
      </c>
      <c r="C349" s="12" t="str">
        <f aca="false">INDEX(Entities!$D$5:$D$34,MATCH(A349,Entities!$A$5:$A$34,0))</f>
        <v>North Africa</v>
      </c>
      <c r="D349" s="12" t="s">
        <v>275</v>
      </c>
      <c r="E349" s="12" t="str">
        <f aca="false">INDEX('Risk Taxonomy'!$B$5:$B$24,MATCH(D349,'Risk Taxonomy'!$A$5:$A$24,0))</f>
        <v>Bribery and corruption</v>
      </c>
      <c r="F349" s="29" t="n">
        <f aca="false">IF(NOT(ISNUMBER(G349)),"",IFERROR(IF(MATCH(SUMIFS('FC Calculation'!$N$5:$N$214,'FC Calculation'!$A$5:$A$214,A349,'FC Calculation'!$D$5:$D$214,D349),Config!$D$5:$D$9,1)=G349,SUMIFS('FC Calculation'!$N$5:$N$214,'FC Calculation'!$A$5:$A$214,A349,'FC Calculation'!$D$5:$D$214,D349),G349),G349))</f>
        <v>3.155</v>
      </c>
      <c r="G349" s="34" t="n">
        <f aca="false">IF(COUNTIFS('FC Calculation'!$A$5:$A$214,A349,'FC Calculation'!$D$5:$D$214,D349,'FC Calculation'!$T$5:$T$214,"&gt;0")=0,"",SUMIFS('FC Calculation'!$T$5:$T$214,'FC Calculation'!$A$5:$A$214,A349,'FC Calculation'!$D$5:$D$214,D349))</f>
        <v>3</v>
      </c>
      <c r="H349" s="7" t="str">
        <f aca="false">IF(G349="N/A","N/A",IF(G349="","No data",INDEX(Config!$B$5:$B$9,G349)))</f>
        <v>Medium</v>
      </c>
      <c r="I349" s="31" t="n">
        <f aca="false">IF(NOT(ISNUMBER($G349)),"",SUMPRODUCT(('Control Mapping'!$C$5:$C$83=D349)*('Control Mapping'!$X$5:$X$83&gt;0)))</f>
        <v>5</v>
      </c>
      <c r="J349" s="31" t="n">
        <f aca="false">IF(NOT(ISNUMBER($G349)),"",SUMPRODUCT(('Control Mapping'!$C$5:$C$83=D349)*('Control Mapping'!$F$5:$F$83="Y")*('Control Mapping'!$X$5:$X$83&gt;0)))</f>
        <v>2</v>
      </c>
      <c r="K349" s="31" t="n">
        <f aca="false">IF(NOT(ISNUMBER($G349)),"",SUMPRODUCT(('Control Mapping'!$C$5:$C$83=D349)*('Control Mapping'!$F$5:$F$83="Y")*('Control Mapping'!$X$5:$X$83=4)))</f>
        <v>0</v>
      </c>
      <c r="L349" s="29" t="n">
        <f aca="false">IF(NOT(ISNUMBER($G349)),"",IFERROR(SUMPRODUCT(('Control Mapping'!$C$5:$C$83=D349)*'Control Mapping'!$E$5:$E$83*'Control Mapping'!$X$5:$X$83)/SUMPRODUCT(('Control Mapping'!$C$5:$C$83=D349)*'Control Mapping'!$E$5:$E$83*('Control Mapping'!$X$5:$X$83&gt;0)),""))</f>
        <v>2</v>
      </c>
      <c r="M349" s="34" t="n">
        <f aca="false">IF(NOT(ISNUMBER($G349)),"",IF(J349=0,4,MAX(MATCH(L349,'Residual Config'!$E$11:$E$14,1),IF(K349&gt;0,'Residual Config'!$C$7,1))))</f>
        <v>2</v>
      </c>
      <c r="N349" s="7" t="str">
        <f aca="false">IF(NOT(ISNUMBER($G349)),"",IF(J349=0,"Ineffective (no key control)",INDEX('Residual Config'!$B$11:$B$14,M349)))</f>
        <v>Largely effective</v>
      </c>
      <c r="O349" s="36" t="n">
        <f aca="false">IF(NOT(ISNUMBER($G349)),"",IF(J349=0,0,SUMPRODUCT(('Control Mapping'!$C$5:$C$83=D349)*'Control Mapping'!$E$5:$E$83*(('Control Mapping'!$X$5:$X$83=1)*'Residual Config'!$D$11+('Control Mapping'!$X$5:$X$83=2)*'Residual Config'!$D$12+('Control Mapping'!$X$5:$X$83=3)*'Residual Config'!$D$13+('Control Mapping'!$X$5:$X$83=4)*'Residual Config'!$D$14))/SUMPRODUCT(('Control Mapping'!$C$5:$C$83=D349)*'Control Mapping'!$E$5:$E$83*('Control Mapping'!$X$5:$X$83&gt;0))))</f>
        <v>0.4</v>
      </c>
      <c r="P349" s="31" t="n">
        <f aca="false">IF(NOT(ISNUMBER($G349)),"",INDEX('Residual Config'!$B$19:$E$23,6-G349,M349))</f>
        <v>2</v>
      </c>
      <c r="Q349" s="29" t="n">
        <f aca="false">IF(NOT(ISNUMBER($G349)),"",MAX(1,F349*(1-O349)))</f>
        <v>1.893</v>
      </c>
      <c r="R349" s="31" t="n">
        <f aca="false">IF(NOT(ISNUMBER($G349)),"",MAX(MATCH(Q349,Config!$D$5:$D$9,1),G349-'Residual Config'!$C$6))</f>
        <v>2</v>
      </c>
      <c r="S349" s="34" t="n">
        <f aca="false">IF(NOT(ISNUMBER($G349)),"",IF('Residual Config'!$C$5="Numeric",R349,P349))</f>
        <v>2</v>
      </c>
      <c r="T349" s="7" t="str">
        <f aca="false">IF(G349="N/A","N/A",IF(S349="","No data",INDEX(Config!$B$5:$B$9,S349)))</f>
        <v>Medium-Low</v>
      </c>
      <c r="U349" s="32" t="n">
        <v>0</v>
      </c>
      <c r="V349" s="8"/>
      <c r="W349" s="33"/>
      <c r="X349" s="34" t="n">
        <f aca="false">IF(S349="","",IF(AND(W349="Y",U349&lt;&gt;0),MAX(1,MIN(5,S349+MAX(-Config!$C$27,MIN(Config!$C$27,U349)))),S349))</f>
        <v>2</v>
      </c>
      <c r="Y349" s="35" t="str">
        <f aca="false">IF(G349="N/A","N/A",IF(X349="","No data",INDEX(Config!$B$5:$B$9,X349)))</f>
        <v>Medium-Low</v>
      </c>
      <c r="Z349" s="7" t="str">
        <f aca="false">IF(U349=0,"None",IF(W349="Y","Applied","Pending HO approval"))</f>
        <v>None</v>
      </c>
      <c r="AA349" s="12" t="str">
        <f aca="false">INDEX('Risk Taxonomy'!$G$5:$G$24,MATCH(D349,'Risk Taxonomy'!$A$5:$A$24,0))</f>
        <v>Zero tolerance</v>
      </c>
      <c r="AB349" s="7" t="str">
        <f aca="false">INDEX('Risk Taxonomy'!$H$5:$H$24,MATCH(D349,'Risk Taxonomy'!$A$5:$A$24,0))</f>
        <v>Low</v>
      </c>
      <c r="AC349" s="35" t="str">
        <f aca="false">IF(NOT(ISNUMBER(X349)),"",IF(X349&lt;=MATCH(AB349,Config!$B$5:$B$9,0),"Within",IF(OR(X349-MATCH(AB349,Config!$B$5:$B$9,0)&gt;=2,AND('Residual Config'!$C$8="Y",ISNUMBER(SEARCH("Zero",AA349)))),"Red","Amber")))</f>
        <v>Amber</v>
      </c>
      <c r="AD349" s="12" t="str">
        <f aca="false">IF(AC349="Red","Group CCO / CRO and Country CEO within 2 business days; action plan in 15 days; report to Board Risk &amp; Compliance Committee",IF(AC349="Amber","Country CO, risk owner and HO Administrator within 5 business days; action plan in 30 days",""))</f>
        <v>Country CO, risk owner and HO Administrator within 5 business days; action plan in 30 days</v>
      </c>
    </row>
    <row r="350" customFormat="false" ht="15" hidden="false" customHeight="false" outlineLevel="0" collapsed="false">
      <c r="A350" s="26" t="str">
        <f aca="false">Entities!$A$22</f>
        <v>DZ</v>
      </c>
      <c r="B350" s="12" t="str">
        <f aca="false">INDEX(Entities!$B$5:$B$34,MATCH(A350,Entities!$A$5:$A$34,0))</f>
        <v>Arab Bank – Algeria</v>
      </c>
      <c r="C350" s="12" t="str">
        <f aca="false">INDEX(Entities!$D$5:$D$34,MATCH(A350,Entities!$A$5:$A$34,0))</f>
        <v>North Africa</v>
      </c>
      <c r="D350" s="12" t="s">
        <v>278</v>
      </c>
      <c r="E350" s="12" t="str">
        <f aca="false">INDEX('Risk Taxonomy'!$B$5:$B$24,MATCH(D350,'Risk Taxonomy'!$A$5:$A$24,0))</f>
        <v>Fraud</v>
      </c>
      <c r="F350" s="29" t="n">
        <f aca="false">IF(NOT(ISNUMBER(G350)),"",IFERROR(IF(MATCH(SUMIFS('FC Calculation'!$N$5:$N$214,'FC Calculation'!$A$5:$A$214,A350,'FC Calculation'!$D$5:$D$214,D350),Config!$D$5:$D$9,1)=G350,SUMIFS('FC Calculation'!$N$5:$N$214,'FC Calculation'!$A$5:$A$214,A350,'FC Calculation'!$D$5:$D$214,D350),G350),G350))</f>
        <v>3.28666666666667</v>
      </c>
      <c r="G350" s="34" t="n">
        <f aca="false">IF(COUNTIFS('FC Calculation'!$A$5:$A$214,A350,'FC Calculation'!$D$5:$D$214,D350,'FC Calculation'!$T$5:$T$214,"&gt;0")=0,"",SUMIFS('FC Calculation'!$T$5:$T$214,'FC Calculation'!$A$5:$A$214,A350,'FC Calculation'!$D$5:$D$214,D350))</f>
        <v>3</v>
      </c>
      <c r="H350" s="7" t="str">
        <f aca="false">IF(G350="N/A","N/A",IF(G350="","No data",INDEX(Config!$B$5:$B$9,G350)))</f>
        <v>Medium</v>
      </c>
      <c r="I350" s="31" t="n">
        <f aca="false">IF(NOT(ISNUMBER($G350)),"",SUMPRODUCT(('Control Mapping'!$C$5:$C$83=D350)*('Control Mapping'!$X$5:$X$83&gt;0)))</f>
        <v>6</v>
      </c>
      <c r="J350" s="31" t="n">
        <f aca="false">IF(NOT(ISNUMBER($G350)),"",SUMPRODUCT(('Control Mapping'!$C$5:$C$83=D350)*('Control Mapping'!$F$5:$F$83="Y")*('Control Mapping'!$X$5:$X$83&gt;0)))</f>
        <v>5</v>
      </c>
      <c r="K350" s="31" t="n">
        <f aca="false">IF(NOT(ISNUMBER($G350)),"",SUMPRODUCT(('Control Mapping'!$C$5:$C$83=D350)*('Control Mapping'!$F$5:$F$83="Y")*('Control Mapping'!$X$5:$X$83=4)))</f>
        <v>1</v>
      </c>
      <c r="L350" s="29" t="n">
        <f aca="false">IF(NOT(ISNUMBER($G350)),"",IFERROR(SUMPRODUCT(('Control Mapping'!$C$5:$C$83=D350)*'Control Mapping'!$E$5:$E$83*'Control Mapping'!$X$5:$X$83)/SUMPRODUCT(('Control Mapping'!$C$5:$C$83=D350)*'Control Mapping'!$E$5:$E$83*('Control Mapping'!$X$5:$X$83&gt;0)),""))</f>
        <v>2.1</v>
      </c>
      <c r="M350" s="34" t="n">
        <f aca="false">IF(NOT(ISNUMBER($G350)),"",IF(J350=0,4,MAX(MATCH(L350,'Residual Config'!$E$11:$E$14,1),IF(K350&gt;0,'Residual Config'!$C$7,1))))</f>
        <v>3</v>
      </c>
      <c r="N350" s="7" t="str">
        <f aca="false">IF(NOT(ISNUMBER($G350)),"",IF(J350=0,"Ineffective (no key control)",INDEX('Residual Config'!$B$11:$B$14,M350)))</f>
        <v>Partially effective</v>
      </c>
      <c r="O350" s="36" t="n">
        <f aca="false">IF(NOT(ISNUMBER($G350)),"",IF(J350=0,0,SUMPRODUCT(('Control Mapping'!$C$5:$C$83=D350)*'Control Mapping'!$E$5:$E$83*(('Control Mapping'!$X$5:$X$83=1)*'Residual Config'!$D$11+('Control Mapping'!$X$5:$X$83=2)*'Residual Config'!$D$12+('Control Mapping'!$X$5:$X$83=3)*'Residual Config'!$D$13+('Control Mapping'!$X$5:$X$83=4)*'Residual Config'!$D$14))/SUMPRODUCT(('Control Mapping'!$C$5:$C$83=D350)*'Control Mapping'!$E$5:$E$83*('Control Mapping'!$X$5:$X$83&gt;0))))</f>
        <v>0.38</v>
      </c>
      <c r="P350" s="31" t="n">
        <f aca="false">IF(NOT(ISNUMBER($G350)),"",INDEX('Residual Config'!$B$19:$E$23,6-G350,M350))</f>
        <v>3</v>
      </c>
      <c r="Q350" s="29" t="n">
        <f aca="false">IF(NOT(ISNUMBER($G350)),"",MAX(1,F350*(1-O350)))</f>
        <v>2.03773333333333</v>
      </c>
      <c r="R350" s="31" t="n">
        <f aca="false">IF(NOT(ISNUMBER($G350)),"",MAX(MATCH(Q350,Config!$D$5:$D$9,1),G350-'Residual Config'!$C$6))</f>
        <v>2</v>
      </c>
      <c r="S350" s="34" t="n">
        <f aca="false">IF(NOT(ISNUMBER($G350)),"",IF('Residual Config'!$C$5="Numeric",R350,P350))</f>
        <v>3</v>
      </c>
      <c r="T350" s="7" t="str">
        <f aca="false">IF(G350="N/A","N/A",IF(S350="","No data",INDEX(Config!$B$5:$B$9,S350)))</f>
        <v>Medium</v>
      </c>
      <c r="U350" s="32" t="n">
        <v>0</v>
      </c>
      <c r="V350" s="8"/>
      <c r="W350" s="33"/>
      <c r="X350" s="34" t="n">
        <f aca="false">IF(S350="","",IF(AND(W350="Y",U350&lt;&gt;0),MAX(1,MIN(5,S350+MAX(-Config!$C$27,MIN(Config!$C$27,U350)))),S350))</f>
        <v>3</v>
      </c>
      <c r="Y350" s="35" t="str">
        <f aca="false">IF(G350="N/A","N/A",IF(X350="","No data",INDEX(Config!$B$5:$B$9,X350)))</f>
        <v>Medium</v>
      </c>
      <c r="Z350" s="7" t="str">
        <f aca="false">IF(U350=0,"None",IF(W350="Y","Applied","Pending HO approval"))</f>
        <v>None</v>
      </c>
      <c r="AA350" s="12" t="str">
        <f aca="false">INDEX('Risk Taxonomy'!$G$5:$G$24,MATCH(D350,'Risk Taxonomy'!$A$5:$A$24,0))</f>
        <v>Low</v>
      </c>
      <c r="AB350" s="7" t="str">
        <f aca="false">INDEX('Risk Taxonomy'!$H$5:$H$24,MATCH(D350,'Risk Taxonomy'!$A$5:$A$24,0))</f>
        <v>Medium</v>
      </c>
      <c r="AC350" s="35" t="str">
        <f aca="false">IF(NOT(ISNUMBER(X350)),"",IF(X350&lt;=MATCH(AB350,Config!$B$5:$B$9,0),"Within",IF(OR(X350-MATCH(AB350,Config!$B$5:$B$9,0)&gt;=2,AND('Residual Config'!$C$8="Y",ISNUMBER(SEARCH("Zero",AA350)))),"Red","Amber")))</f>
        <v>Within</v>
      </c>
      <c r="AD350" s="12" t="str">
        <f aca="false">IF(AC350="Red","Group CCO / CRO and Country CEO within 2 business days; action plan in 15 days; report to Board Risk &amp; Compliance Committee",IF(AC350="Amber","Country CO, risk owner and HO Administrator within 5 business days; action plan in 30 days",""))</f>
        <v/>
      </c>
    </row>
    <row r="351" customFormat="false" ht="15" hidden="false" customHeight="false" outlineLevel="0" collapsed="false">
      <c r="A351" s="26" t="str">
        <f aca="false">Entities!$A$22</f>
        <v>DZ</v>
      </c>
      <c r="B351" s="12" t="str">
        <f aca="false">INDEX(Entities!$B$5:$B$34,MATCH(A351,Entities!$A$5:$A$34,0))</f>
        <v>Arab Bank – Algeria</v>
      </c>
      <c r="C351" s="12" t="str">
        <f aca="false">INDEX(Entities!$D$5:$D$34,MATCH(A351,Entities!$A$5:$A$34,0))</f>
        <v>North Africa</v>
      </c>
      <c r="D351" s="12" t="s">
        <v>281</v>
      </c>
      <c r="E351" s="12" t="str">
        <f aca="false">INDEX('Risk Taxonomy'!$B$5:$B$24,MATCH(D351,'Risk Taxonomy'!$A$5:$A$24,0))</f>
        <v>Tax evasion and tax transparency</v>
      </c>
      <c r="F351" s="29" t="n">
        <f aca="false">IF(NOT(ISNUMBER(G351)),"",IFERROR(IF(MATCH(SUMIFS('FC Calculation'!$N$5:$N$214,'FC Calculation'!$A$5:$A$214,A351,'FC Calculation'!$D$5:$D$214,D351),Config!$D$5:$D$9,1)=G351,SUMIFS('FC Calculation'!$N$5:$N$214,'FC Calculation'!$A$5:$A$214,A351,'FC Calculation'!$D$5:$D$214,D351),G351),G351))</f>
        <v>3.12111111111111</v>
      </c>
      <c r="G351" s="34" t="n">
        <f aca="false">IF(COUNTIFS('FC Calculation'!$A$5:$A$214,A351,'FC Calculation'!$D$5:$D$214,D351,'FC Calculation'!$T$5:$T$214,"&gt;0")=0,"",SUMIFS('FC Calculation'!$T$5:$T$214,'FC Calculation'!$A$5:$A$214,A351,'FC Calculation'!$D$5:$D$214,D351))</f>
        <v>3</v>
      </c>
      <c r="H351" s="7" t="str">
        <f aca="false">IF(G351="N/A","N/A",IF(G351="","No data",INDEX(Config!$B$5:$B$9,G351)))</f>
        <v>Medium</v>
      </c>
      <c r="I351" s="31" t="n">
        <f aca="false">IF(NOT(ISNUMBER($G351)),"",SUMPRODUCT(('Control Mapping'!$C$5:$C$83=D351)*('Control Mapping'!$X$5:$X$83&gt;0)))</f>
        <v>5</v>
      </c>
      <c r="J351" s="31" t="n">
        <f aca="false">IF(NOT(ISNUMBER($G351)),"",SUMPRODUCT(('Control Mapping'!$C$5:$C$83=D351)*('Control Mapping'!$F$5:$F$83="Y")*('Control Mapping'!$X$5:$X$83&gt;0)))</f>
        <v>4</v>
      </c>
      <c r="K351" s="31" t="n">
        <f aca="false">IF(NOT(ISNUMBER($G351)),"",SUMPRODUCT(('Control Mapping'!$C$5:$C$83=D351)*('Control Mapping'!$F$5:$F$83="Y")*('Control Mapping'!$X$5:$X$83=4)))</f>
        <v>0</v>
      </c>
      <c r="L351" s="29" t="n">
        <f aca="false">IF(NOT(ISNUMBER($G351)),"",IFERROR(SUMPRODUCT(('Control Mapping'!$C$5:$C$83=D351)*'Control Mapping'!$E$5:$E$83*'Control Mapping'!$X$5:$X$83)/SUMPRODUCT(('Control Mapping'!$C$5:$C$83=D351)*'Control Mapping'!$E$5:$E$83*('Control Mapping'!$X$5:$X$83&gt;0)),""))</f>
        <v>2</v>
      </c>
      <c r="M351" s="34" t="n">
        <f aca="false">IF(NOT(ISNUMBER($G351)),"",IF(J351=0,4,MAX(MATCH(L351,'Residual Config'!$E$11:$E$14,1),IF(K351&gt;0,'Residual Config'!$C$7,1))))</f>
        <v>2</v>
      </c>
      <c r="N351" s="7" t="str">
        <f aca="false">IF(NOT(ISNUMBER($G351)),"",IF(J351=0,"Ineffective (no key control)",INDEX('Residual Config'!$B$11:$B$14,M351)))</f>
        <v>Largely effective</v>
      </c>
      <c r="O351" s="36" t="n">
        <f aca="false">IF(NOT(ISNUMBER($G351)),"",IF(J351=0,0,SUMPRODUCT(('Control Mapping'!$C$5:$C$83=D351)*'Control Mapping'!$E$5:$E$83*(('Control Mapping'!$X$5:$X$83=1)*'Residual Config'!$D$11+('Control Mapping'!$X$5:$X$83=2)*'Residual Config'!$D$12+('Control Mapping'!$X$5:$X$83=3)*'Residual Config'!$D$13+('Control Mapping'!$X$5:$X$83=4)*'Residual Config'!$D$14))/SUMPRODUCT(('Control Mapping'!$C$5:$C$83=D351)*'Control Mapping'!$E$5:$E$83*('Control Mapping'!$X$5:$X$83&gt;0))))</f>
        <v>0.4</v>
      </c>
      <c r="P351" s="31" t="n">
        <f aca="false">IF(NOT(ISNUMBER($G351)),"",INDEX('Residual Config'!$B$19:$E$23,6-G351,M351))</f>
        <v>2</v>
      </c>
      <c r="Q351" s="29" t="n">
        <f aca="false">IF(NOT(ISNUMBER($G351)),"",MAX(1,F351*(1-O351)))</f>
        <v>1.87266666666667</v>
      </c>
      <c r="R351" s="31" t="n">
        <f aca="false">IF(NOT(ISNUMBER($G351)),"",MAX(MATCH(Q351,Config!$D$5:$D$9,1),G351-'Residual Config'!$C$6))</f>
        <v>2</v>
      </c>
      <c r="S351" s="34" t="n">
        <f aca="false">IF(NOT(ISNUMBER($G351)),"",IF('Residual Config'!$C$5="Numeric",R351,P351))</f>
        <v>2</v>
      </c>
      <c r="T351" s="7" t="str">
        <f aca="false">IF(G351="N/A","N/A",IF(S351="","No data",INDEX(Config!$B$5:$B$9,S351)))</f>
        <v>Medium-Low</v>
      </c>
      <c r="U351" s="32" t="n">
        <v>0</v>
      </c>
      <c r="V351" s="8"/>
      <c r="W351" s="33"/>
      <c r="X351" s="34" t="n">
        <f aca="false">IF(S351="","",IF(AND(W351="Y",U351&lt;&gt;0),MAX(1,MIN(5,S351+MAX(-Config!$C$27,MIN(Config!$C$27,U351)))),S351))</f>
        <v>2</v>
      </c>
      <c r="Y351" s="35" t="str">
        <f aca="false">IF(G351="N/A","N/A",IF(X351="","No data",INDEX(Config!$B$5:$B$9,X351)))</f>
        <v>Medium-Low</v>
      </c>
      <c r="Z351" s="7" t="str">
        <f aca="false">IF(U351=0,"None",IF(W351="Y","Applied","Pending HO approval"))</f>
        <v>None</v>
      </c>
      <c r="AA351" s="12" t="str">
        <f aca="false">INDEX('Risk Taxonomy'!$G$5:$G$24,MATCH(D351,'Risk Taxonomy'!$A$5:$A$24,0))</f>
        <v>Zero tolerance (facilitation)</v>
      </c>
      <c r="AB351" s="7" t="str">
        <f aca="false">INDEX('Risk Taxonomy'!$H$5:$H$24,MATCH(D351,'Risk Taxonomy'!$A$5:$A$24,0))</f>
        <v>Low</v>
      </c>
      <c r="AC351" s="35" t="str">
        <f aca="false">IF(NOT(ISNUMBER(X351)),"",IF(X351&lt;=MATCH(AB351,Config!$B$5:$B$9,0),"Within",IF(OR(X351-MATCH(AB351,Config!$B$5:$B$9,0)&gt;=2,AND('Residual Config'!$C$8="Y",ISNUMBER(SEARCH("Zero",AA351)))),"Red","Amber")))</f>
        <v>Amber</v>
      </c>
      <c r="AD351" s="12" t="str">
        <f aca="false">IF(AC351="Red","Group CCO / CRO and Country CEO within 2 business days; action plan in 15 days; report to Board Risk &amp; Compliance Committee",IF(AC351="Amber","Country CO, risk owner and HO Administrator within 5 business days; action plan in 30 days",""))</f>
        <v>Country CO, risk owner and HO Administrator within 5 business days; action plan in 30 days</v>
      </c>
    </row>
    <row r="352" customFormat="false" ht="15" hidden="false" customHeight="false" outlineLevel="0" collapsed="false">
      <c r="A352" s="26" t="str">
        <f aca="false">Entities!$A$22</f>
        <v>DZ</v>
      </c>
      <c r="B352" s="12" t="str">
        <f aca="false">INDEX(Entities!$B$5:$B$34,MATCH(A352,Entities!$A$5:$A$34,0))</f>
        <v>Arab Bank – Algeria</v>
      </c>
      <c r="C352" s="12" t="str">
        <f aca="false">INDEX(Entities!$D$5:$D$34,MATCH(A352,Entities!$A$5:$A$34,0))</f>
        <v>North Africa</v>
      </c>
      <c r="D352" s="12" t="s">
        <v>284</v>
      </c>
      <c r="E352" s="12" t="str">
        <f aca="false">INDEX('Risk Taxonomy'!$B$5:$B$24,MATCH(D352,'Risk Taxonomy'!$A$5:$A$24,0))</f>
        <v>Regulatory compliance</v>
      </c>
      <c r="F352" s="29" t="n">
        <f aca="false">IF(NOT(ISNUMBER(G352)),"",G352)</f>
        <v>3</v>
      </c>
      <c r="G352" s="34" t="n">
        <f aca="false">IF(COUNTIFS('LxI Assessment'!$A$5:$A$394,A352,'LxI Assessment'!$D$5:$D$394,D352,'LxI Assessment'!$F$5:$F$394,"N/A")&gt;0,"N/A",IF(COUNTIFS('LxI Assessment'!$A$5:$A$394,A352,'LxI Assessment'!$D$5:$D$394,D352,'LxI Assessment'!$S$5:$S$394,"&gt;0")=0,"",SUMIFS('LxI Assessment'!$S$5:$S$394,'LxI Assessment'!$A$5:$A$394,A352,'LxI Assessment'!$D$5:$D$394,D352)))</f>
        <v>3</v>
      </c>
      <c r="H352" s="7" t="str">
        <f aca="false">IF(G352="N/A","N/A",IF(G352="","No data",INDEX(Config!$B$5:$B$9,G352)))</f>
        <v>Medium</v>
      </c>
      <c r="I352" s="31" t="n">
        <f aca="false">IF(NOT(ISNUMBER($G352)),"",SUMPRODUCT(('Control Mapping'!$C$5:$C$83=D352)*('Control Mapping'!$X$5:$X$83&gt;0)))</f>
        <v>4</v>
      </c>
      <c r="J352" s="31" t="n">
        <f aca="false">IF(NOT(ISNUMBER($G352)),"",SUMPRODUCT(('Control Mapping'!$C$5:$C$83=D352)*('Control Mapping'!$F$5:$F$83="Y")*('Control Mapping'!$X$5:$X$83&gt;0)))</f>
        <v>3</v>
      </c>
      <c r="K352" s="31" t="n">
        <f aca="false">IF(NOT(ISNUMBER($G352)),"",SUMPRODUCT(('Control Mapping'!$C$5:$C$83=D352)*('Control Mapping'!$F$5:$F$83="Y")*('Control Mapping'!$X$5:$X$83=4)))</f>
        <v>0</v>
      </c>
      <c r="L352" s="29" t="n">
        <f aca="false">IF(NOT(ISNUMBER($G352)),"",IFERROR(SUMPRODUCT(('Control Mapping'!$C$5:$C$83=D352)*'Control Mapping'!$E$5:$E$83*'Control Mapping'!$X$5:$X$83)/SUMPRODUCT(('Control Mapping'!$C$5:$C$83=D352)*'Control Mapping'!$E$5:$E$83*('Control Mapping'!$X$5:$X$83&gt;0)),""))</f>
        <v>2.28571428571429</v>
      </c>
      <c r="M352" s="34" t="n">
        <f aca="false">IF(NOT(ISNUMBER($G352)),"",IF(J352=0,4,MAX(MATCH(L352,'Residual Config'!$E$11:$E$14,1),IF(K352&gt;0,'Residual Config'!$C$7,1))))</f>
        <v>2</v>
      </c>
      <c r="N352" s="7" t="str">
        <f aca="false">IF(NOT(ISNUMBER($G352)),"",IF(J352=0,"Ineffective (no key control)",INDEX('Residual Config'!$B$11:$B$14,M352)))</f>
        <v>Largely effective</v>
      </c>
      <c r="O352" s="36" t="n">
        <f aca="false">IF(NOT(ISNUMBER($G352)),"",IF(J352=0,0,SUMPRODUCT(('Control Mapping'!$C$5:$C$83=D352)*'Control Mapping'!$E$5:$E$83*(('Control Mapping'!$X$5:$X$83=1)*'Residual Config'!$D$11+('Control Mapping'!$X$5:$X$83=2)*'Residual Config'!$D$12+('Control Mapping'!$X$5:$X$83=3)*'Residual Config'!$D$13+('Control Mapping'!$X$5:$X$83=4)*'Residual Config'!$D$14))/SUMPRODUCT(('Control Mapping'!$C$5:$C$83=D352)*'Control Mapping'!$E$5:$E$83*('Control Mapping'!$X$5:$X$83&gt;0))))</f>
        <v>0.342857142857143</v>
      </c>
      <c r="P352" s="31" t="n">
        <f aca="false">IF(NOT(ISNUMBER($G352)),"",INDEX('Residual Config'!$B$19:$E$23,6-G352,M352))</f>
        <v>2</v>
      </c>
      <c r="Q352" s="29" t="n">
        <f aca="false">IF(NOT(ISNUMBER($G352)),"",MAX(1,F352*(1-O352)))</f>
        <v>1.97142857142857</v>
      </c>
      <c r="R352" s="31" t="n">
        <f aca="false">IF(NOT(ISNUMBER($G352)),"",MAX(MATCH(Q352,Config!$D$5:$D$9,1),G352-'Residual Config'!$C$6))</f>
        <v>2</v>
      </c>
      <c r="S352" s="34" t="n">
        <f aca="false">IF(NOT(ISNUMBER($G352)),"",IF('Residual Config'!$C$5="Numeric",R352,P352))</f>
        <v>2</v>
      </c>
      <c r="T352" s="7" t="str">
        <f aca="false">IF(G352="N/A","N/A",IF(S352="","No data",INDEX(Config!$B$5:$B$9,S352)))</f>
        <v>Medium-Low</v>
      </c>
      <c r="U352" s="32" t="n">
        <v>0</v>
      </c>
      <c r="V352" s="8"/>
      <c r="W352" s="33"/>
      <c r="X352" s="34" t="n">
        <f aca="false">IF(S352="","",IF(AND(W352="Y",U352&lt;&gt;0),MAX(1,MIN(5,S352+MAX(-Config!$C$27,MIN(Config!$C$27,U352)))),S352))</f>
        <v>2</v>
      </c>
      <c r="Y352" s="35" t="str">
        <f aca="false">IF(G352="N/A","N/A",IF(X352="","No data",INDEX(Config!$B$5:$B$9,X352)))</f>
        <v>Medium-Low</v>
      </c>
      <c r="Z352" s="7" t="str">
        <f aca="false">IF(U352=0,"None",IF(W352="Y","Applied","Pending HO approval"))</f>
        <v>None</v>
      </c>
      <c r="AA352" s="12" t="str">
        <f aca="false">INDEX('Risk Taxonomy'!$G$5:$G$24,MATCH(D352,'Risk Taxonomy'!$A$5:$A$24,0))</f>
        <v>Very low</v>
      </c>
      <c r="AB352" s="7" t="str">
        <f aca="false">INDEX('Risk Taxonomy'!$H$5:$H$24,MATCH(D352,'Risk Taxonomy'!$A$5:$A$24,0))</f>
        <v>Medium-Low</v>
      </c>
      <c r="AC352" s="35" t="str">
        <f aca="false">IF(NOT(ISNUMBER(X352)),"",IF(X352&lt;=MATCH(AB352,Config!$B$5:$B$9,0),"Within",IF(OR(X352-MATCH(AB352,Config!$B$5:$B$9,0)&gt;=2,AND('Residual Config'!$C$8="Y",ISNUMBER(SEARCH("Zero",AA352)))),"Red","Amber")))</f>
        <v>Within</v>
      </c>
      <c r="AD352" s="12" t="str">
        <f aca="false">IF(AC352="Red","Group CCO / CRO and Country CEO within 2 business days; action plan in 15 days; report to Board Risk &amp; Compliance Committee",IF(AC352="Amber","Country CO, risk owner and HO Administrator within 5 business days; action plan in 30 days",""))</f>
        <v/>
      </c>
    </row>
    <row r="353" customFormat="false" ht="15" hidden="false" customHeight="false" outlineLevel="0" collapsed="false">
      <c r="A353" s="26" t="str">
        <f aca="false">Entities!$A$22</f>
        <v>DZ</v>
      </c>
      <c r="B353" s="12" t="str">
        <f aca="false">INDEX(Entities!$B$5:$B$34,MATCH(A353,Entities!$A$5:$A$34,0))</f>
        <v>Arab Bank – Algeria</v>
      </c>
      <c r="C353" s="12" t="str">
        <f aca="false">INDEX(Entities!$D$5:$D$34,MATCH(A353,Entities!$A$5:$A$34,0))</f>
        <v>North Africa</v>
      </c>
      <c r="D353" s="12" t="s">
        <v>288</v>
      </c>
      <c r="E353" s="12" t="str">
        <f aca="false">INDEX('Risk Taxonomy'!$B$5:$B$24,MATCH(D353,'Risk Taxonomy'!$A$5:$A$24,0))</f>
        <v>Conduct and consumer protection</v>
      </c>
      <c r="F353" s="29" t="n">
        <f aca="false">IF(NOT(ISNUMBER(G353)),"",G353)</f>
        <v>3</v>
      </c>
      <c r="G353" s="34" t="n">
        <f aca="false">IF(COUNTIFS('LxI Assessment'!$A$5:$A$394,A353,'LxI Assessment'!$D$5:$D$394,D353,'LxI Assessment'!$F$5:$F$394,"N/A")&gt;0,"N/A",IF(COUNTIFS('LxI Assessment'!$A$5:$A$394,A353,'LxI Assessment'!$D$5:$D$394,D353,'LxI Assessment'!$S$5:$S$394,"&gt;0")=0,"",SUMIFS('LxI Assessment'!$S$5:$S$394,'LxI Assessment'!$A$5:$A$394,A353,'LxI Assessment'!$D$5:$D$394,D353)))</f>
        <v>3</v>
      </c>
      <c r="H353" s="7" t="str">
        <f aca="false">IF(G353="N/A","N/A",IF(G353="","No data",INDEX(Config!$B$5:$B$9,G353)))</f>
        <v>Medium</v>
      </c>
      <c r="I353" s="31" t="n">
        <f aca="false">IF(NOT(ISNUMBER($G353)),"",SUMPRODUCT(('Control Mapping'!$C$5:$C$83=D353)*('Control Mapping'!$X$5:$X$83&gt;0)))</f>
        <v>2</v>
      </c>
      <c r="J353" s="31" t="n">
        <f aca="false">IF(NOT(ISNUMBER($G353)),"",SUMPRODUCT(('Control Mapping'!$C$5:$C$83=D353)*('Control Mapping'!$F$5:$F$83="Y")*('Control Mapping'!$X$5:$X$83&gt;0)))</f>
        <v>1</v>
      </c>
      <c r="K353" s="31" t="n">
        <f aca="false">IF(NOT(ISNUMBER($G353)),"",SUMPRODUCT(('Control Mapping'!$C$5:$C$83=D353)*('Control Mapping'!$F$5:$F$83="Y")*('Control Mapping'!$X$5:$X$83=4)))</f>
        <v>0</v>
      </c>
      <c r="L353" s="29" t="n">
        <f aca="false">IF(NOT(ISNUMBER($G353)),"",IFERROR(SUMPRODUCT(('Control Mapping'!$C$5:$C$83=D353)*'Control Mapping'!$E$5:$E$83*'Control Mapping'!$X$5:$X$83)/SUMPRODUCT(('Control Mapping'!$C$5:$C$83=D353)*'Control Mapping'!$E$5:$E$83*('Control Mapping'!$X$5:$X$83&gt;0)),""))</f>
        <v>2</v>
      </c>
      <c r="M353" s="34" t="n">
        <f aca="false">IF(NOT(ISNUMBER($G353)),"",IF(J353=0,4,MAX(MATCH(L353,'Residual Config'!$E$11:$E$14,1),IF(K353&gt;0,'Residual Config'!$C$7,1))))</f>
        <v>2</v>
      </c>
      <c r="N353" s="7" t="str">
        <f aca="false">IF(NOT(ISNUMBER($G353)),"",IF(J353=0,"Ineffective (no key control)",INDEX('Residual Config'!$B$11:$B$14,M353)))</f>
        <v>Largely effective</v>
      </c>
      <c r="O353" s="36" t="n">
        <f aca="false">IF(NOT(ISNUMBER($G353)),"",IF(J353=0,0,SUMPRODUCT(('Control Mapping'!$C$5:$C$83=D353)*'Control Mapping'!$E$5:$E$83*(('Control Mapping'!$X$5:$X$83=1)*'Residual Config'!$D$11+('Control Mapping'!$X$5:$X$83=2)*'Residual Config'!$D$12+('Control Mapping'!$X$5:$X$83=3)*'Residual Config'!$D$13+('Control Mapping'!$X$5:$X$83=4)*'Residual Config'!$D$14))/SUMPRODUCT(('Control Mapping'!$C$5:$C$83=D353)*'Control Mapping'!$E$5:$E$83*('Control Mapping'!$X$5:$X$83&gt;0))))</f>
        <v>0.4</v>
      </c>
      <c r="P353" s="31" t="n">
        <f aca="false">IF(NOT(ISNUMBER($G353)),"",INDEX('Residual Config'!$B$19:$E$23,6-G353,M353))</f>
        <v>2</v>
      </c>
      <c r="Q353" s="29" t="n">
        <f aca="false">IF(NOT(ISNUMBER($G353)),"",MAX(1,F353*(1-O353)))</f>
        <v>1.8</v>
      </c>
      <c r="R353" s="31" t="n">
        <f aca="false">IF(NOT(ISNUMBER($G353)),"",MAX(MATCH(Q353,Config!$D$5:$D$9,1),G353-'Residual Config'!$C$6))</f>
        <v>1</v>
      </c>
      <c r="S353" s="34" t="n">
        <f aca="false">IF(NOT(ISNUMBER($G353)),"",IF('Residual Config'!$C$5="Numeric",R353,P353))</f>
        <v>2</v>
      </c>
      <c r="T353" s="7" t="str">
        <f aca="false">IF(G353="N/A","N/A",IF(S353="","No data",INDEX(Config!$B$5:$B$9,S353)))</f>
        <v>Medium-Low</v>
      </c>
      <c r="U353" s="32" t="n">
        <v>0</v>
      </c>
      <c r="V353" s="8"/>
      <c r="W353" s="33"/>
      <c r="X353" s="34" t="n">
        <f aca="false">IF(S353="","",IF(AND(W353="Y",U353&lt;&gt;0),MAX(1,MIN(5,S353+MAX(-Config!$C$27,MIN(Config!$C$27,U353)))),S353))</f>
        <v>2</v>
      </c>
      <c r="Y353" s="35" t="str">
        <f aca="false">IF(G353="N/A","N/A",IF(X353="","No data",INDEX(Config!$B$5:$B$9,X353)))</f>
        <v>Medium-Low</v>
      </c>
      <c r="Z353" s="7" t="str">
        <f aca="false">IF(U353=0,"None",IF(W353="Y","Applied","Pending HO approval"))</f>
        <v>None</v>
      </c>
      <c r="AA353" s="12" t="str">
        <f aca="false">INDEX('Risk Taxonomy'!$G$5:$G$24,MATCH(D353,'Risk Taxonomy'!$A$5:$A$24,0))</f>
        <v>Low</v>
      </c>
      <c r="AB353" s="7" t="str">
        <f aca="false">INDEX('Risk Taxonomy'!$H$5:$H$24,MATCH(D353,'Risk Taxonomy'!$A$5:$A$24,0))</f>
        <v>Medium</v>
      </c>
      <c r="AC353" s="35" t="str">
        <f aca="false">IF(NOT(ISNUMBER(X353)),"",IF(X353&lt;=MATCH(AB353,Config!$B$5:$B$9,0),"Within",IF(OR(X353-MATCH(AB353,Config!$B$5:$B$9,0)&gt;=2,AND('Residual Config'!$C$8="Y",ISNUMBER(SEARCH("Zero",AA353)))),"Red","Amber")))</f>
        <v>Within</v>
      </c>
      <c r="AD353" s="12" t="str">
        <f aca="false">IF(AC353="Red","Group CCO / CRO and Country CEO within 2 business days; action plan in 15 days; report to Board Risk &amp; Compliance Committee",IF(AC353="Amber","Country CO, risk owner and HO Administrator within 5 business days; action plan in 30 days",""))</f>
        <v/>
      </c>
    </row>
    <row r="354" customFormat="false" ht="15" hidden="false" customHeight="false" outlineLevel="0" collapsed="false">
      <c r="A354" s="26" t="str">
        <f aca="false">Entities!$A$22</f>
        <v>DZ</v>
      </c>
      <c r="B354" s="12" t="str">
        <f aca="false">INDEX(Entities!$B$5:$B$34,MATCH(A354,Entities!$A$5:$A$34,0))</f>
        <v>Arab Bank – Algeria</v>
      </c>
      <c r="C354" s="12" t="str">
        <f aca="false">INDEX(Entities!$D$5:$D$34,MATCH(A354,Entities!$A$5:$A$34,0))</f>
        <v>North Africa</v>
      </c>
      <c r="D354" s="12" t="s">
        <v>290</v>
      </c>
      <c r="E354" s="12" t="str">
        <f aca="false">INDEX('Risk Taxonomy'!$B$5:$B$24,MATCH(D354,'Risk Taxonomy'!$A$5:$A$24,0))</f>
        <v>Data protection and privacy</v>
      </c>
      <c r="F354" s="29" t="n">
        <f aca="false">IF(NOT(ISNUMBER(G354)),"",G354)</f>
        <v>3</v>
      </c>
      <c r="G354" s="34" t="n">
        <f aca="false">IF(COUNTIFS('LxI Assessment'!$A$5:$A$394,A354,'LxI Assessment'!$D$5:$D$394,D354,'LxI Assessment'!$F$5:$F$394,"N/A")&gt;0,"N/A",IF(COUNTIFS('LxI Assessment'!$A$5:$A$394,A354,'LxI Assessment'!$D$5:$D$394,D354,'LxI Assessment'!$S$5:$S$394,"&gt;0")=0,"",SUMIFS('LxI Assessment'!$S$5:$S$394,'LxI Assessment'!$A$5:$A$394,A354,'LxI Assessment'!$D$5:$D$394,D354)))</f>
        <v>3</v>
      </c>
      <c r="H354" s="7" t="str">
        <f aca="false">IF(G354="N/A","N/A",IF(G354="","No data",INDEX(Config!$B$5:$B$9,G354)))</f>
        <v>Medium</v>
      </c>
      <c r="I354" s="31" t="n">
        <f aca="false">IF(NOT(ISNUMBER($G354)),"",SUMPRODUCT(('Control Mapping'!$C$5:$C$83=D354)*('Control Mapping'!$X$5:$X$83&gt;0)))</f>
        <v>2</v>
      </c>
      <c r="J354" s="31" t="n">
        <f aca="false">IF(NOT(ISNUMBER($G354)),"",SUMPRODUCT(('Control Mapping'!$C$5:$C$83=D354)*('Control Mapping'!$F$5:$F$83="Y")*('Control Mapping'!$X$5:$X$83&gt;0)))</f>
        <v>2</v>
      </c>
      <c r="K354" s="31" t="n">
        <f aca="false">IF(NOT(ISNUMBER($G354)),"",SUMPRODUCT(('Control Mapping'!$C$5:$C$83=D354)*('Control Mapping'!$F$5:$F$83="Y")*('Control Mapping'!$X$5:$X$83=4)))</f>
        <v>1</v>
      </c>
      <c r="L354" s="29" t="n">
        <f aca="false">IF(NOT(ISNUMBER($G354)),"",IFERROR(SUMPRODUCT(('Control Mapping'!$C$5:$C$83=D354)*'Control Mapping'!$E$5:$E$83*'Control Mapping'!$X$5:$X$83)/SUMPRODUCT(('Control Mapping'!$C$5:$C$83=D354)*'Control Mapping'!$E$5:$E$83*('Control Mapping'!$X$5:$X$83&gt;0)),""))</f>
        <v>3</v>
      </c>
      <c r="M354" s="34" t="n">
        <f aca="false">IF(NOT(ISNUMBER($G354)),"",IF(J354=0,4,MAX(MATCH(L354,'Residual Config'!$E$11:$E$14,1),IF(K354&gt;0,'Residual Config'!$C$7,1))))</f>
        <v>3</v>
      </c>
      <c r="N354" s="7" t="str">
        <f aca="false">IF(NOT(ISNUMBER($G354)),"",IF(J354=0,"Ineffective (no key control)",INDEX('Residual Config'!$B$11:$B$14,M354)))</f>
        <v>Partially effective</v>
      </c>
      <c r="O354" s="36" t="n">
        <f aca="false">IF(NOT(ISNUMBER($G354)),"",IF(J354=0,0,SUMPRODUCT(('Control Mapping'!$C$5:$C$83=D354)*'Control Mapping'!$E$5:$E$83*(('Control Mapping'!$X$5:$X$83=1)*'Residual Config'!$D$11+('Control Mapping'!$X$5:$X$83=2)*'Residual Config'!$D$12+('Control Mapping'!$X$5:$X$83=3)*'Residual Config'!$D$13+('Control Mapping'!$X$5:$X$83=4)*'Residual Config'!$D$14))/SUMPRODUCT(('Control Mapping'!$C$5:$C$83=D354)*'Control Mapping'!$E$5:$E$83*('Control Mapping'!$X$5:$X$83&gt;0))))</f>
        <v>0.2</v>
      </c>
      <c r="P354" s="31" t="n">
        <f aca="false">IF(NOT(ISNUMBER($G354)),"",INDEX('Residual Config'!$B$19:$E$23,6-G354,M354))</f>
        <v>3</v>
      </c>
      <c r="Q354" s="29" t="n">
        <f aca="false">IF(NOT(ISNUMBER($G354)),"",MAX(1,F354*(1-O354)))</f>
        <v>2.4</v>
      </c>
      <c r="R354" s="31" t="n">
        <f aca="false">IF(NOT(ISNUMBER($G354)),"",MAX(MATCH(Q354,Config!$D$5:$D$9,1),G354-'Residual Config'!$C$6))</f>
        <v>2</v>
      </c>
      <c r="S354" s="34" t="n">
        <f aca="false">IF(NOT(ISNUMBER($G354)),"",IF('Residual Config'!$C$5="Numeric",R354,P354))</f>
        <v>3</v>
      </c>
      <c r="T354" s="7" t="str">
        <f aca="false">IF(G354="N/A","N/A",IF(S354="","No data",INDEX(Config!$B$5:$B$9,S354)))</f>
        <v>Medium</v>
      </c>
      <c r="U354" s="32" t="n">
        <v>0</v>
      </c>
      <c r="V354" s="8"/>
      <c r="W354" s="33"/>
      <c r="X354" s="34" t="n">
        <f aca="false">IF(S354="","",IF(AND(W354="Y",U354&lt;&gt;0),MAX(1,MIN(5,S354+MAX(-Config!$C$27,MIN(Config!$C$27,U354)))),S354))</f>
        <v>3</v>
      </c>
      <c r="Y354" s="35" t="str">
        <f aca="false">IF(G354="N/A","N/A",IF(X354="","No data",INDEX(Config!$B$5:$B$9,X354)))</f>
        <v>Medium</v>
      </c>
      <c r="Z354" s="7" t="str">
        <f aca="false">IF(U354=0,"None",IF(W354="Y","Applied","Pending HO approval"))</f>
        <v>None</v>
      </c>
      <c r="AA354" s="12" t="str">
        <f aca="false">INDEX('Risk Taxonomy'!$G$5:$G$24,MATCH(D354,'Risk Taxonomy'!$A$5:$A$24,0))</f>
        <v>Very low</v>
      </c>
      <c r="AB354" s="7" t="str">
        <f aca="false">INDEX('Risk Taxonomy'!$H$5:$H$24,MATCH(D354,'Risk Taxonomy'!$A$5:$A$24,0))</f>
        <v>Medium-Low</v>
      </c>
      <c r="AC354" s="35" t="str">
        <f aca="false">IF(NOT(ISNUMBER(X354)),"",IF(X354&lt;=MATCH(AB354,Config!$B$5:$B$9,0),"Within",IF(OR(X354-MATCH(AB354,Config!$B$5:$B$9,0)&gt;=2,AND('Residual Config'!$C$8="Y",ISNUMBER(SEARCH("Zero",AA354)))),"Red","Amber")))</f>
        <v>Amber</v>
      </c>
      <c r="AD354" s="12" t="str">
        <f aca="false">IF(AC354="Red","Group CCO / CRO and Country CEO within 2 business days; action plan in 15 days; report to Board Risk &amp; Compliance Committee",IF(AC354="Amber","Country CO, risk owner and HO Administrator within 5 business days; action plan in 30 days",""))</f>
        <v>Country CO, risk owner and HO Administrator within 5 business days; action plan in 30 days</v>
      </c>
    </row>
    <row r="355" customFormat="false" ht="15" hidden="false" customHeight="false" outlineLevel="0" collapsed="false">
      <c r="A355" s="26" t="str">
        <f aca="false">Entities!$A$22</f>
        <v>DZ</v>
      </c>
      <c r="B355" s="12" t="str">
        <f aca="false">INDEX(Entities!$B$5:$B$34,MATCH(A355,Entities!$A$5:$A$34,0))</f>
        <v>Arab Bank – Algeria</v>
      </c>
      <c r="C355" s="12" t="str">
        <f aca="false">INDEX(Entities!$D$5:$D$34,MATCH(A355,Entities!$A$5:$A$34,0))</f>
        <v>North Africa</v>
      </c>
      <c r="D355" s="12" t="s">
        <v>293</v>
      </c>
      <c r="E355" s="12" t="str">
        <f aca="false">INDEX('Risk Taxonomy'!$B$5:$B$24,MATCH(D355,'Risk Taxonomy'!$A$5:$A$24,0))</f>
        <v>Shariah non-compliance</v>
      </c>
      <c r="F355" s="29" t="str">
        <f aca="false">IF(NOT(ISNUMBER(G355)),"",G355)</f>
        <v/>
      </c>
      <c r="G355" s="34" t="str">
        <f aca="false">IF(COUNTIFS('LxI Assessment'!$A$5:$A$394,A355,'LxI Assessment'!$D$5:$D$394,D355,'LxI Assessment'!$F$5:$F$394,"N/A")&gt;0,"N/A",IF(COUNTIFS('LxI Assessment'!$A$5:$A$394,A355,'LxI Assessment'!$D$5:$D$394,D355,'LxI Assessment'!$S$5:$S$394,"&gt;0")=0,"",SUMIFS('LxI Assessment'!$S$5:$S$394,'LxI Assessment'!$A$5:$A$394,A355,'LxI Assessment'!$D$5:$D$394,D355)))</f>
        <v>N/A</v>
      </c>
      <c r="H355" s="7" t="str">
        <f aca="false">IF(G355="N/A","N/A",IF(G355="","No data",INDEX(Config!$B$5:$B$9,G355)))</f>
        <v>N/A</v>
      </c>
      <c r="I355" s="31" t="str">
        <f aca="false">IF(NOT(ISNUMBER($G355)),"",SUMPRODUCT(('Control Mapping'!$C$5:$C$83=D355)*('Control Mapping'!$X$5:$X$83&gt;0)))</f>
        <v/>
      </c>
      <c r="J355" s="31" t="str">
        <f aca="false">IF(NOT(ISNUMBER($G355)),"",SUMPRODUCT(('Control Mapping'!$C$5:$C$83=D355)*('Control Mapping'!$F$5:$F$83="Y")*('Control Mapping'!$X$5:$X$83&gt;0)))</f>
        <v/>
      </c>
      <c r="K355" s="31" t="str">
        <f aca="false">IF(NOT(ISNUMBER($G355)),"",SUMPRODUCT(('Control Mapping'!$C$5:$C$83=D355)*('Control Mapping'!$F$5:$F$83="Y")*('Control Mapping'!$X$5:$X$83=4)))</f>
        <v/>
      </c>
      <c r="L355" s="29" t="str">
        <f aca="false">IF(NOT(ISNUMBER($G355)),"",IFERROR(SUMPRODUCT(('Control Mapping'!$C$5:$C$83=D355)*'Control Mapping'!$E$5:$E$83*'Control Mapping'!$X$5:$X$83)/SUMPRODUCT(('Control Mapping'!$C$5:$C$83=D355)*'Control Mapping'!$E$5:$E$83*('Control Mapping'!$X$5:$X$83&gt;0)),""))</f>
        <v/>
      </c>
      <c r="M355" s="34" t="str">
        <f aca="false">IF(NOT(ISNUMBER($G355)),"",IF(J355=0,4,MAX(MATCH(L355,'Residual Config'!$E$11:$E$14,1),IF(K355&gt;0,'Residual Config'!$C$7,1))))</f>
        <v/>
      </c>
      <c r="N355" s="7" t="str">
        <f aca="false">IF(NOT(ISNUMBER($G355)),"",IF(J355=0,"Ineffective (no key control)",INDEX('Residual Config'!$B$11:$B$14,M355)))</f>
        <v/>
      </c>
      <c r="O355" s="36" t="str">
        <f aca="false">IF(NOT(ISNUMBER($G355)),"",IF(J355=0,0,SUMPRODUCT(('Control Mapping'!$C$5:$C$83=D355)*'Control Mapping'!$E$5:$E$83*(('Control Mapping'!$X$5:$X$83=1)*'Residual Config'!$D$11+('Control Mapping'!$X$5:$X$83=2)*'Residual Config'!$D$12+('Control Mapping'!$X$5:$X$83=3)*'Residual Config'!$D$13+('Control Mapping'!$X$5:$X$83=4)*'Residual Config'!$D$14))/SUMPRODUCT(('Control Mapping'!$C$5:$C$83=D355)*'Control Mapping'!$E$5:$E$83*('Control Mapping'!$X$5:$X$83&gt;0))))</f>
        <v/>
      </c>
      <c r="P355" s="31" t="str">
        <f aca="false">IF(NOT(ISNUMBER($G355)),"",INDEX('Residual Config'!$B$19:$E$23,6-G355,M355))</f>
        <v/>
      </c>
      <c r="Q355" s="29" t="str">
        <f aca="false">IF(NOT(ISNUMBER($G355)),"",MAX(1,F355*(1-O355)))</f>
        <v/>
      </c>
      <c r="R355" s="31" t="str">
        <f aca="false">IF(NOT(ISNUMBER($G355)),"",MAX(MATCH(Q355,Config!$D$5:$D$9,1),G355-'Residual Config'!$C$6))</f>
        <v/>
      </c>
      <c r="S355" s="34" t="str">
        <f aca="false">IF(NOT(ISNUMBER($G355)),"",IF('Residual Config'!$C$5="Numeric",R355,P355))</f>
        <v/>
      </c>
      <c r="T355" s="7" t="str">
        <f aca="false">IF(G355="N/A","N/A",IF(S355="","No data",INDEX(Config!$B$5:$B$9,S355)))</f>
        <v>N/A</v>
      </c>
      <c r="U355" s="32" t="n">
        <v>0</v>
      </c>
      <c r="V355" s="8"/>
      <c r="W355" s="33"/>
      <c r="X355" s="34" t="str">
        <f aca="false">IF(S355="","",IF(AND(W355="Y",U355&lt;&gt;0),MAX(1,MIN(5,S355+MAX(-Config!$C$27,MIN(Config!$C$27,U355)))),S355))</f>
        <v/>
      </c>
      <c r="Y355" s="35" t="str">
        <f aca="false">IF(G355="N/A","N/A",IF(X355="","No data",INDEX(Config!$B$5:$B$9,X355)))</f>
        <v>N/A</v>
      </c>
      <c r="Z355" s="7" t="str">
        <f aca="false">IF(U355=0,"None",IF(W355="Y","Applied","Pending HO approval"))</f>
        <v>None</v>
      </c>
      <c r="AA355" s="12" t="str">
        <f aca="false">INDEX('Risk Taxonomy'!$G$5:$G$24,MATCH(D355,'Risk Taxonomy'!$A$5:$A$24,0))</f>
        <v>Very low</v>
      </c>
      <c r="AB355" s="7" t="str">
        <f aca="false">INDEX('Risk Taxonomy'!$H$5:$H$24,MATCH(D355,'Risk Taxonomy'!$A$5:$A$24,0))</f>
        <v>Medium-Low</v>
      </c>
      <c r="AC355" s="35" t="str">
        <f aca="false">IF(NOT(ISNUMBER(X355)),"",IF(X355&lt;=MATCH(AB355,Config!$B$5:$B$9,0),"Within",IF(OR(X355-MATCH(AB355,Config!$B$5:$B$9,0)&gt;=2,AND('Residual Config'!$C$8="Y",ISNUMBER(SEARCH("Zero",AA355)))),"Red","Amber")))</f>
        <v/>
      </c>
      <c r="AD355" s="12" t="str">
        <f aca="false">IF(AC355="Red","Group CCO / CRO and Country CEO within 2 business days; action plan in 15 days; report to Board Risk &amp; Compliance Committee",IF(AC355="Amber","Country CO, risk owner and HO Administrator within 5 business days; action plan in 30 days",""))</f>
        <v/>
      </c>
    </row>
    <row r="356" customFormat="false" ht="15" hidden="false" customHeight="false" outlineLevel="0" collapsed="false">
      <c r="A356" s="26" t="str">
        <f aca="false">Entities!$A$22</f>
        <v>DZ</v>
      </c>
      <c r="B356" s="12" t="str">
        <f aca="false">INDEX(Entities!$B$5:$B$34,MATCH(A356,Entities!$A$5:$A$34,0))</f>
        <v>Arab Bank – Algeria</v>
      </c>
      <c r="C356" s="12" t="str">
        <f aca="false">INDEX(Entities!$D$5:$D$34,MATCH(A356,Entities!$A$5:$A$34,0))</f>
        <v>North Africa</v>
      </c>
      <c r="D356" s="12" t="s">
        <v>297</v>
      </c>
      <c r="E356" s="12" t="str">
        <f aca="false">INDEX('Risk Taxonomy'!$B$5:$B$24,MATCH(D356,'Risk Taxonomy'!$A$5:$A$24,0))</f>
        <v>Credit risk</v>
      </c>
      <c r="F356" s="29" t="n">
        <f aca="false">IF(NOT(ISNUMBER(G356)),"",G356)</f>
        <v>3</v>
      </c>
      <c r="G356" s="34" t="n">
        <f aca="false">IF(COUNTIFS('LxI Assessment'!$A$5:$A$394,A356,'LxI Assessment'!$D$5:$D$394,D356,'LxI Assessment'!$F$5:$F$394,"N/A")&gt;0,"N/A",IF(COUNTIFS('LxI Assessment'!$A$5:$A$394,A356,'LxI Assessment'!$D$5:$D$394,D356,'LxI Assessment'!$S$5:$S$394,"&gt;0")=0,"",SUMIFS('LxI Assessment'!$S$5:$S$394,'LxI Assessment'!$A$5:$A$394,A356,'LxI Assessment'!$D$5:$D$394,D356)))</f>
        <v>3</v>
      </c>
      <c r="H356" s="7" t="str">
        <f aca="false">IF(G356="N/A","N/A",IF(G356="","No data",INDEX(Config!$B$5:$B$9,G356)))</f>
        <v>Medium</v>
      </c>
      <c r="I356" s="31" t="n">
        <f aca="false">IF(NOT(ISNUMBER($G356)),"",SUMPRODUCT(('Control Mapping'!$C$5:$C$83=D356)*('Control Mapping'!$X$5:$X$83&gt;0)))</f>
        <v>2</v>
      </c>
      <c r="J356" s="31" t="n">
        <f aca="false">IF(NOT(ISNUMBER($G356)),"",SUMPRODUCT(('Control Mapping'!$C$5:$C$83=D356)*('Control Mapping'!$F$5:$F$83="Y")*('Control Mapping'!$X$5:$X$83&gt;0)))</f>
        <v>1</v>
      </c>
      <c r="K356" s="31" t="n">
        <f aca="false">IF(NOT(ISNUMBER($G356)),"",SUMPRODUCT(('Control Mapping'!$C$5:$C$83=D356)*('Control Mapping'!$F$5:$F$83="Y")*('Control Mapping'!$X$5:$X$83=4)))</f>
        <v>0</v>
      </c>
      <c r="L356" s="29" t="n">
        <f aca="false">IF(NOT(ISNUMBER($G356)),"",IFERROR(SUMPRODUCT(('Control Mapping'!$C$5:$C$83=D356)*'Control Mapping'!$E$5:$E$83*'Control Mapping'!$X$5:$X$83)/SUMPRODUCT(('Control Mapping'!$C$5:$C$83=D356)*'Control Mapping'!$E$5:$E$83*('Control Mapping'!$X$5:$X$83&gt;0)),""))</f>
        <v>2</v>
      </c>
      <c r="M356" s="34" t="n">
        <f aca="false">IF(NOT(ISNUMBER($G356)),"",IF(J356=0,4,MAX(MATCH(L356,'Residual Config'!$E$11:$E$14,1),IF(K356&gt;0,'Residual Config'!$C$7,1))))</f>
        <v>2</v>
      </c>
      <c r="N356" s="7" t="str">
        <f aca="false">IF(NOT(ISNUMBER($G356)),"",IF(J356=0,"Ineffective (no key control)",INDEX('Residual Config'!$B$11:$B$14,M356)))</f>
        <v>Largely effective</v>
      </c>
      <c r="O356" s="36" t="n">
        <f aca="false">IF(NOT(ISNUMBER($G356)),"",IF(J356=0,0,SUMPRODUCT(('Control Mapping'!$C$5:$C$83=D356)*'Control Mapping'!$E$5:$E$83*(('Control Mapping'!$X$5:$X$83=1)*'Residual Config'!$D$11+('Control Mapping'!$X$5:$X$83=2)*'Residual Config'!$D$12+('Control Mapping'!$X$5:$X$83=3)*'Residual Config'!$D$13+('Control Mapping'!$X$5:$X$83=4)*'Residual Config'!$D$14))/SUMPRODUCT(('Control Mapping'!$C$5:$C$83=D356)*'Control Mapping'!$E$5:$E$83*('Control Mapping'!$X$5:$X$83&gt;0))))</f>
        <v>0.4</v>
      </c>
      <c r="P356" s="31" t="n">
        <f aca="false">IF(NOT(ISNUMBER($G356)),"",INDEX('Residual Config'!$B$19:$E$23,6-G356,M356))</f>
        <v>2</v>
      </c>
      <c r="Q356" s="29" t="n">
        <f aca="false">IF(NOT(ISNUMBER($G356)),"",MAX(1,F356*(1-O356)))</f>
        <v>1.8</v>
      </c>
      <c r="R356" s="31" t="n">
        <f aca="false">IF(NOT(ISNUMBER($G356)),"",MAX(MATCH(Q356,Config!$D$5:$D$9,1),G356-'Residual Config'!$C$6))</f>
        <v>1</v>
      </c>
      <c r="S356" s="34" t="n">
        <f aca="false">IF(NOT(ISNUMBER($G356)),"",IF('Residual Config'!$C$5="Numeric",R356,P356))</f>
        <v>2</v>
      </c>
      <c r="T356" s="7" t="str">
        <f aca="false">IF(G356="N/A","N/A",IF(S356="","No data",INDEX(Config!$B$5:$B$9,S356)))</f>
        <v>Medium-Low</v>
      </c>
      <c r="U356" s="32" t="n">
        <v>0</v>
      </c>
      <c r="V356" s="8"/>
      <c r="W356" s="33"/>
      <c r="X356" s="34" t="n">
        <f aca="false">IF(S356="","",IF(AND(W356="Y",U356&lt;&gt;0),MAX(1,MIN(5,S356+MAX(-Config!$C$27,MIN(Config!$C$27,U356)))),S356))</f>
        <v>2</v>
      </c>
      <c r="Y356" s="35" t="str">
        <f aca="false">IF(G356="N/A","N/A",IF(X356="","No data",INDEX(Config!$B$5:$B$9,X356)))</f>
        <v>Medium-Low</v>
      </c>
      <c r="Z356" s="7" t="str">
        <f aca="false">IF(U356=0,"None",IF(W356="Y","Applied","Pending HO approval"))</f>
        <v>None</v>
      </c>
      <c r="AA356" s="12" t="str">
        <f aca="false">INDEX('Risk Taxonomy'!$G$5:$G$24,MATCH(D356,'Risk Taxonomy'!$A$5:$A$24,0))</f>
        <v>Moderate</v>
      </c>
      <c r="AB356" s="7" t="str">
        <f aca="false">INDEX('Risk Taxonomy'!$H$5:$H$24,MATCH(D356,'Risk Taxonomy'!$A$5:$A$24,0))</f>
        <v>Medium-High</v>
      </c>
      <c r="AC356" s="35" t="str">
        <f aca="false">IF(NOT(ISNUMBER(X356)),"",IF(X356&lt;=MATCH(AB356,Config!$B$5:$B$9,0),"Within",IF(OR(X356-MATCH(AB356,Config!$B$5:$B$9,0)&gt;=2,AND('Residual Config'!$C$8="Y",ISNUMBER(SEARCH("Zero",AA356)))),"Red","Amber")))</f>
        <v>Within</v>
      </c>
      <c r="AD356" s="12" t="str">
        <f aca="false">IF(AC356="Red","Group CCO / CRO and Country CEO within 2 business days; action plan in 15 days; report to Board Risk &amp; Compliance Committee",IF(AC356="Amber","Country CO, risk owner and HO Administrator within 5 business days; action plan in 30 days",""))</f>
        <v/>
      </c>
    </row>
    <row r="357" customFormat="false" ht="15" hidden="false" customHeight="false" outlineLevel="0" collapsed="false">
      <c r="A357" s="26" t="str">
        <f aca="false">Entities!$A$22</f>
        <v>DZ</v>
      </c>
      <c r="B357" s="12" t="str">
        <f aca="false">INDEX(Entities!$B$5:$B$34,MATCH(A357,Entities!$A$5:$A$34,0))</f>
        <v>Arab Bank – Algeria</v>
      </c>
      <c r="C357" s="12" t="str">
        <f aca="false">INDEX(Entities!$D$5:$D$34,MATCH(A357,Entities!$A$5:$A$34,0))</f>
        <v>North Africa</v>
      </c>
      <c r="D357" s="12" t="s">
        <v>302</v>
      </c>
      <c r="E357" s="12" t="str">
        <f aca="false">INDEX('Risk Taxonomy'!$B$5:$B$24,MATCH(D357,'Risk Taxonomy'!$A$5:$A$24,0))</f>
        <v>Market risk</v>
      </c>
      <c r="F357" s="29" t="n">
        <f aca="false">IF(NOT(ISNUMBER(G357)),"",G357)</f>
        <v>4</v>
      </c>
      <c r="G357" s="34" t="n">
        <f aca="false">IF(COUNTIFS('LxI Assessment'!$A$5:$A$394,A357,'LxI Assessment'!$D$5:$D$394,D357,'LxI Assessment'!$F$5:$F$394,"N/A")&gt;0,"N/A",IF(COUNTIFS('LxI Assessment'!$A$5:$A$394,A357,'LxI Assessment'!$D$5:$D$394,D357,'LxI Assessment'!$S$5:$S$394,"&gt;0")=0,"",SUMIFS('LxI Assessment'!$S$5:$S$394,'LxI Assessment'!$A$5:$A$394,A357,'LxI Assessment'!$D$5:$D$394,D357)))</f>
        <v>4</v>
      </c>
      <c r="H357" s="7" t="str">
        <f aca="false">IF(G357="N/A","N/A",IF(G357="","No data",INDEX(Config!$B$5:$B$9,G357)))</f>
        <v>Medium-High</v>
      </c>
      <c r="I357" s="31" t="n">
        <f aca="false">IF(NOT(ISNUMBER($G357)),"",SUMPRODUCT(('Control Mapping'!$C$5:$C$83=D357)*('Control Mapping'!$X$5:$X$83&gt;0)))</f>
        <v>1</v>
      </c>
      <c r="J357" s="31" t="n">
        <f aca="false">IF(NOT(ISNUMBER($G357)),"",SUMPRODUCT(('Control Mapping'!$C$5:$C$83=D357)*('Control Mapping'!$F$5:$F$83="Y")*('Control Mapping'!$X$5:$X$83&gt;0)))</f>
        <v>1</v>
      </c>
      <c r="K357" s="31" t="n">
        <f aca="false">IF(NOT(ISNUMBER($G357)),"",SUMPRODUCT(('Control Mapping'!$C$5:$C$83=D357)*('Control Mapping'!$F$5:$F$83="Y")*('Control Mapping'!$X$5:$X$83=4)))</f>
        <v>1</v>
      </c>
      <c r="L357" s="29" t="n">
        <f aca="false">IF(NOT(ISNUMBER($G357)),"",IFERROR(SUMPRODUCT(('Control Mapping'!$C$5:$C$83=D357)*'Control Mapping'!$E$5:$E$83*'Control Mapping'!$X$5:$X$83)/SUMPRODUCT(('Control Mapping'!$C$5:$C$83=D357)*'Control Mapping'!$E$5:$E$83*('Control Mapping'!$X$5:$X$83&gt;0)),""))</f>
        <v>4</v>
      </c>
      <c r="M357" s="34" t="n">
        <f aca="false">IF(NOT(ISNUMBER($G357)),"",IF(J357=0,4,MAX(MATCH(L357,'Residual Config'!$E$11:$E$14,1),IF(K357&gt;0,'Residual Config'!$C$7,1))))</f>
        <v>4</v>
      </c>
      <c r="N357" s="7" t="str">
        <f aca="false">IF(NOT(ISNUMBER($G357)),"",IF(J357=0,"Ineffective (no key control)",INDEX('Residual Config'!$B$11:$B$14,M357)))</f>
        <v>Ineffective</v>
      </c>
      <c r="O357" s="36" t="n">
        <f aca="false">IF(NOT(ISNUMBER($G357)),"",IF(J357=0,0,SUMPRODUCT(('Control Mapping'!$C$5:$C$83=D357)*'Control Mapping'!$E$5:$E$83*(('Control Mapping'!$X$5:$X$83=1)*'Residual Config'!$D$11+('Control Mapping'!$X$5:$X$83=2)*'Residual Config'!$D$12+('Control Mapping'!$X$5:$X$83=3)*'Residual Config'!$D$13+('Control Mapping'!$X$5:$X$83=4)*'Residual Config'!$D$14))/SUMPRODUCT(('Control Mapping'!$C$5:$C$83=D357)*'Control Mapping'!$E$5:$E$83*('Control Mapping'!$X$5:$X$83&gt;0))))</f>
        <v>0</v>
      </c>
      <c r="P357" s="31" t="n">
        <f aca="false">IF(NOT(ISNUMBER($G357)),"",INDEX('Residual Config'!$B$19:$E$23,6-G357,M357))</f>
        <v>4</v>
      </c>
      <c r="Q357" s="29" t="n">
        <f aca="false">IF(NOT(ISNUMBER($G357)),"",MAX(1,F357*(1-O357)))</f>
        <v>4</v>
      </c>
      <c r="R357" s="31" t="n">
        <f aca="false">IF(NOT(ISNUMBER($G357)),"",MAX(MATCH(Q357,Config!$D$5:$D$9,1),G357-'Residual Config'!$C$6))</f>
        <v>4</v>
      </c>
      <c r="S357" s="34" t="n">
        <f aca="false">IF(NOT(ISNUMBER($G357)),"",IF('Residual Config'!$C$5="Numeric",R357,P357))</f>
        <v>4</v>
      </c>
      <c r="T357" s="7" t="str">
        <f aca="false">IF(G357="N/A","N/A",IF(S357="","No data",INDEX(Config!$B$5:$B$9,S357)))</f>
        <v>Medium-High</v>
      </c>
      <c r="U357" s="32" t="n">
        <v>0</v>
      </c>
      <c r="V357" s="8"/>
      <c r="W357" s="33"/>
      <c r="X357" s="34" t="n">
        <f aca="false">IF(S357="","",IF(AND(W357="Y",U357&lt;&gt;0),MAX(1,MIN(5,S357+MAX(-Config!$C$27,MIN(Config!$C$27,U357)))),S357))</f>
        <v>4</v>
      </c>
      <c r="Y357" s="35" t="str">
        <f aca="false">IF(G357="N/A","N/A",IF(X357="","No data",INDEX(Config!$B$5:$B$9,X357)))</f>
        <v>Medium-High</v>
      </c>
      <c r="Z357" s="7" t="str">
        <f aca="false">IF(U357=0,"None",IF(W357="Y","Applied","Pending HO approval"))</f>
        <v>None</v>
      </c>
      <c r="AA357" s="12" t="str">
        <f aca="false">INDEX('Risk Taxonomy'!$G$5:$G$24,MATCH(D357,'Risk Taxonomy'!$A$5:$A$24,0))</f>
        <v>Moderate</v>
      </c>
      <c r="AB357" s="7" t="str">
        <f aca="false">INDEX('Risk Taxonomy'!$H$5:$H$24,MATCH(D357,'Risk Taxonomy'!$A$5:$A$24,0))</f>
        <v>Medium-High</v>
      </c>
      <c r="AC357" s="35" t="str">
        <f aca="false">IF(NOT(ISNUMBER(X357)),"",IF(X357&lt;=MATCH(AB357,Config!$B$5:$B$9,0),"Within",IF(OR(X357-MATCH(AB357,Config!$B$5:$B$9,0)&gt;=2,AND('Residual Config'!$C$8="Y",ISNUMBER(SEARCH("Zero",AA357)))),"Red","Amber")))</f>
        <v>Within</v>
      </c>
      <c r="AD357" s="12" t="str">
        <f aca="false">IF(AC357="Red","Group CCO / CRO and Country CEO within 2 business days; action plan in 15 days; report to Board Risk &amp; Compliance Committee",IF(AC357="Amber","Country CO, risk owner and HO Administrator within 5 business days; action plan in 30 days",""))</f>
        <v/>
      </c>
    </row>
    <row r="358" customFormat="false" ht="15" hidden="false" customHeight="false" outlineLevel="0" collapsed="false">
      <c r="A358" s="26" t="str">
        <f aca="false">Entities!$A$22</f>
        <v>DZ</v>
      </c>
      <c r="B358" s="12" t="str">
        <f aca="false">INDEX(Entities!$B$5:$B$34,MATCH(A358,Entities!$A$5:$A$34,0))</f>
        <v>Arab Bank – Algeria</v>
      </c>
      <c r="C358" s="12" t="str">
        <f aca="false">INDEX(Entities!$D$5:$D$34,MATCH(A358,Entities!$A$5:$A$34,0))</f>
        <v>North Africa</v>
      </c>
      <c r="D358" s="12" t="s">
        <v>304</v>
      </c>
      <c r="E358" s="12" t="str">
        <f aca="false">INDEX('Risk Taxonomy'!$B$5:$B$24,MATCH(D358,'Risk Taxonomy'!$A$5:$A$24,0))</f>
        <v>Liquidity and funding risk</v>
      </c>
      <c r="F358" s="29" t="n">
        <f aca="false">IF(NOT(ISNUMBER(G358)),"",G358)</f>
        <v>4</v>
      </c>
      <c r="G358" s="34" t="n">
        <f aca="false">IF(COUNTIFS('LxI Assessment'!$A$5:$A$394,A358,'LxI Assessment'!$D$5:$D$394,D358,'LxI Assessment'!$F$5:$F$394,"N/A")&gt;0,"N/A",IF(COUNTIFS('LxI Assessment'!$A$5:$A$394,A358,'LxI Assessment'!$D$5:$D$394,D358,'LxI Assessment'!$S$5:$S$394,"&gt;0")=0,"",SUMIFS('LxI Assessment'!$S$5:$S$394,'LxI Assessment'!$A$5:$A$394,A358,'LxI Assessment'!$D$5:$D$394,D358)))</f>
        <v>4</v>
      </c>
      <c r="H358" s="7" t="str">
        <f aca="false">IF(G358="N/A","N/A",IF(G358="","No data",INDEX(Config!$B$5:$B$9,G358)))</f>
        <v>Medium-High</v>
      </c>
      <c r="I358" s="31" t="n">
        <f aca="false">IF(NOT(ISNUMBER($G358)),"",SUMPRODUCT(('Control Mapping'!$C$5:$C$83=D358)*('Control Mapping'!$X$5:$X$83&gt;0)))</f>
        <v>1</v>
      </c>
      <c r="J358" s="31" t="n">
        <f aca="false">IF(NOT(ISNUMBER($G358)),"",SUMPRODUCT(('Control Mapping'!$C$5:$C$83=D358)*('Control Mapping'!$F$5:$F$83="Y")*('Control Mapping'!$X$5:$X$83&gt;0)))</f>
        <v>1</v>
      </c>
      <c r="K358" s="31" t="n">
        <f aca="false">IF(NOT(ISNUMBER($G358)),"",SUMPRODUCT(('Control Mapping'!$C$5:$C$83=D358)*('Control Mapping'!$F$5:$F$83="Y")*('Control Mapping'!$X$5:$X$83=4)))</f>
        <v>0</v>
      </c>
      <c r="L358" s="29" t="n">
        <f aca="false">IF(NOT(ISNUMBER($G358)),"",IFERROR(SUMPRODUCT(('Control Mapping'!$C$5:$C$83=D358)*'Control Mapping'!$E$5:$E$83*'Control Mapping'!$X$5:$X$83)/SUMPRODUCT(('Control Mapping'!$C$5:$C$83=D358)*'Control Mapping'!$E$5:$E$83*('Control Mapping'!$X$5:$X$83&gt;0)),""))</f>
        <v>2</v>
      </c>
      <c r="M358" s="34" t="n">
        <f aca="false">IF(NOT(ISNUMBER($G358)),"",IF(J358=0,4,MAX(MATCH(L358,'Residual Config'!$E$11:$E$14,1),IF(K358&gt;0,'Residual Config'!$C$7,1))))</f>
        <v>2</v>
      </c>
      <c r="N358" s="7" t="str">
        <f aca="false">IF(NOT(ISNUMBER($G358)),"",IF(J358=0,"Ineffective (no key control)",INDEX('Residual Config'!$B$11:$B$14,M358)))</f>
        <v>Largely effective</v>
      </c>
      <c r="O358" s="36" t="n">
        <f aca="false">IF(NOT(ISNUMBER($G358)),"",IF(J358=0,0,SUMPRODUCT(('Control Mapping'!$C$5:$C$83=D358)*'Control Mapping'!$E$5:$E$83*(('Control Mapping'!$X$5:$X$83=1)*'Residual Config'!$D$11+('Control Mapping'!$X$5:$X$83=2)*'Residual Config'!$D$12+('Control Mapping'!$X$5:$X$83=3)*'Residual Config'!$D$13+('Control Mapping'!$X$5:$X$83=4)*'Residual Config'!$D$14))/SUMPRODUCT(('Control Mapping'!$C$5:$C$83=D358)*'Control Mapping'!$E$5:$E$83*('Control Mapping'!$X$5:$X$83&gt;0))))</f>
        <v>0.4</v>
      </c>
      <c r="P358" s="31" t="n">
        <f aca="false">IF(NOT(ISNUMBER($G358)),"",INDEX('Residual Config'!$B$19:$E$23,6-G358,M358))</f>
        <v>3</v>
      </c>
      <c r="Q358" s="29" t="n">
        <f aca="false">IF(NOT(ISNUMBER($G358)),"",MAX(1,F358*(1-O358)))</f>
        <v>2.4</v>
      </c>
      <c r="R358" s="31" t="n">
        <f aca="false">IF(NOT(ISNUMBER($G358)),"",MAX(MATCH(Q358,Config!$D$5:$D$9,1),G358-'Residual Config'!$C$6))</f>
        <v>2</v>
      </c>
      <c r="S358" s="34" t="n">
        <f aca="false">IF(NOT(ISNUMBER($G358)),"",IF('Residual Config'!$C$5="Numeric",R358,P358))</f>
        <v>3</v>
      </c>
      <c r="T358" s="7" t="str">
        <f aca="false">IF(G358="N/A","N/A",IF(S358="","No data",INDEX(Config!$B$5:$B$9,S358)))</f>
        <v>Medium</v>
      </c>
      <c r="U358" s="32" t="n">
        <v>0</v>
      </c>
      <c r="V358" s="8"/>
      <c r="W358" s="33"/>
      <c r="X358" s="34" t="n">
        <f aca="false">IF(S358="","",IF(AND(W358="Y",U358&lt;&gt;0),MAX(1,MIN(5,S358+MAX(-Config!$C$27,MIN(Config!$C$27,U358)))),S358))</f>
        <v>3</v>
      </c>
      <c r="Y358" s="35" t="str">
        <f aca="false">IF(G358="N/A","N/A",IF(X358="","No data",INDEX(Config!$B$5:$B$9,X358)))</f>
        <v>Medium</v>
      </c>
      <c r="Z358" s="7" t="str">
        <f aca="false">IF(U358=0,"None",IF(W358="Y","Applied","Pending HO approval"))</f>
        <v>None</v>
      </c>
      <c r="AA358" s="12" t="str">
        <f aca="false">INDEX('Risk Taxonomy'!$G$5:$G$24,MATCH(D358,'Risk Taxonomy'!$A$5:$A$24,0))</f>
        <v>Low</v>
      </c>
      <c r="AB358" s="7" t="str">
        <f aca="false">INDEX('Risk Taxonomy'!$H$5:$H$24,MATCH(D358,'Risk Taxonomy'!$A$5:$A$24,0))</f>
        <v>Medium</v>
      </c>
      <c r="AC358" s="35" t="str">
        <f aca="false">IF(NOT(ISNUMBER(X358)),"",IF(X358&lt;=MATCH(AB358,Config!$B$5:$B$9,0),"Within",IF(OR(X358-MATCH(AB358,Config!$B$5:$B$9,0)&gt;=2,AND('Residual Config'!$C$8="Y",ISNUMBER(SEARCH("Zero",AA358)))),"Red","Amber")))</f>
        <v>Within</v>
      </c>
      <c r="AD358" s="12" t="str">
        <f aca="false">IF(AC358="Red","Group CCO / CRO and Country CEO within 2 business days; action plan in 15 days; report to Board Risk &amp; Compliance Committee",IF(AC358="Amber","Country CO, risk owner and HO Administrator within 5 business days; action plan in 30 days",""))</f>
        <v/>
      </c>
    </row>
    <row r="359" customFormat="false" ht="15" hidden="false" customHeight="false" outlineLevel="0" collapsed="false">
      <c r="A359" s="26" t="str">
        <f aca="false">Entities!$A$22</f>
        <v>DZ</v>
      </c>
      <c r="B359" s="12" t="str">
        <f aca="false">INDEX(Entities!$B$5:$B$34,MATCH(A359,Entities!$A$5:$A$34,0))</f>
        <v>Arab Bank – Algeria</v>
      </c>
      <c r="C359" s="12" t="str">
        <f aca="false">INDEX(Entities!$D$5:$D$34,MATCH(A359,Entities!$A$5:$A$34,0))</f>
        <v>North Africa</v>
      </c>
      <c r="D359" s="12" t="s">
        <v>307</v>
      </c>
      <c r="E359" s="12" t="str">
        <f aca="false">INDEX('Risk Taxonomy'!$B$5:$B$24,MATCH(D359,'Risk Taxonomy'!$A$5:$A$24,0))</f>
        <v>Operational risk</v>
      </c>
      <c r="F359" s="29" t="n">
        <f aca="false">IF(NOT(ISNUMBER(G359)),"",G359)</f>
        <v>3</v>
      </c>
      <c r="G359" s="34" t="n">
        <f aca="false">IF(COUNTIFS('LxI Assessment'!$A$5:$A$394,A359,'LxI Assessment'!$D$5:$D$394,D359,'LxI Assessment'!$F$5:$F$394,"N/A")&gt;0,"N/A",IF(COUNTIFS('LxI Assessment'!$A$5:$A$394,A359,'LxI Assessment'!$D$5:$D$394,D359,'LxI Assessment'!$S$5:$S$394,"&gt;0")=0,"",SUMIFS('LxI Assessment'!$S$5:$S$394,'LxI Assessment'!$A$5:$A$394,A359,'LxI Assessment'!$D$5:$D$394,D359)))</f>
        <v>3</v>
      </c>
      <c r="H359" s="7" t="str">
        <f aca="false">IF(G359="N/A","N/A",IF(G359="","No data",INDEX(Config!$B$5:$B$9,G359)))</f>
        <v>Medium</v>
      </c>
      <c r="I359" s="31" t="n">
        <f aca="false">IF(NOT(ISNUMBER($G359)),"",SUMPRODUCT(('Control Mapping'!$C$5:$C$83=D359)*('Control Mapping'!$X$5:$X$83&gt;0)))</f>
        <v>3</v>
      </c>
      <c r="J359" s="31" t="n">
        <f aca="false">IF(NOT(ISNUMBER($G359)),"",SUMPRODUCT(('Control Mapping'!$C$5:$C$83=D359)*('Control Mapping'!$F$5:$F$83="Y")*('Control Mapping'!$X$5:$X$83&gt;0)))</f>
        <v>2</v>
      </c>
      <c r="K359" s="31" t="n">
        <f aca="false">IF(NOT(ISNUMBER($G359)),"",SUMPRODUCT(('Control Mapping'!$C$5:$C$83=D359)*('Control Mapping'!$F$5:$F$83="Y")*('Control Mapping'!$X$5:$X$83=4)))</f>
        <v>1</v>
      </c>
      <c r="L359" s="29" t="n">
        <f aca="false">IF(NOT(ISNUMBER($G359)),"",IFERROR(SUMPRODUCT(('Control Mapping'!$C$5:$C$83=D359)*'Control Mapping'!$E$5:$E$83*'Control Mapping'!$X$5:$X$83)/SUMPRODUCT(('Control Mapping'!$C$5:$C$83=D359)*'Control Mapping'!$E$5:$E$83*('Control Mapping'!$X$5:$X$83&gt;0)),""))</f>
        <v>2.66666666666667</v>
      </c>
      <c r="M359" s="34" t="n">
        <f aca="false">IF(NOT(ISNUMBER($G359)),"",IF(J359=0,4,MAX(MATCH(L359,'Residual Config'!$E$11:$E$14,1),IF(K359&gt;0,'Residual Config'!$C$7,1))))</f>
        <v>3</v>
      </c>
      <c r="N359" s="7" t="str">
        <f aca="false">IF(NOT(ISNUMBER($G359)),"",IF(J359=0,"Ineffective (no key control)",INDEX('Residual Config'!$B$11:$B$14,M359)))</f>
        <v>Partially effective</v>
      </c>
      <c r="O359" s="36" t="n">
        <f aca="false">IF(NOT(ISNUMBER($G359)),"",IF(J359=0,0,SUMPRODUCT(('Control Mapping'!$C$5:$C$83=D359)*'Control Mapping'!$E$5:$E$83*(('Control Mapping'!$X$5:$X$83=1)*'Residual Config'!$D$11+('Control Mapping'!$X$5:$X$83=2)*'Residual Config'!$D$12+('Control Mapping'!$X$5:$X$83=3)*'Residual Config'!$D$13+('Control Mapping'!$X$5:$X$83=4)*'Residual Config'!$D$14))/SUMPRODUCT(('Control Mapping'!$C$5:$C$83=D359)*'Control Mapping'!$E$5:$E$83*('Control Mapping'!$X$5:$X$83&gt;0))))</f>
        <v>0.266666666666667</v>
      </c>
      <c r="P359" s="31" t="n">
        <f aca="false">IF(NOT(ISNUMBER($G359)),"",INDEX('Residual Config'!$B$19:$E$23,6-G359,M359))</f>
        <v>3</v>
      </c>
      <c r="Q359" s="29" t="n">
        <f aca="false">IF(NOT(ISNUMBER($G359)),"",MAX(1,F359*(1-O359)))</f>
        <v>2.2</v>
      </c>
      <c r="R359" s="31" t="n">
        <f aca="false">IF(NOT(ISNUMBER($G359)),"",MAX(MATCH(Q359,Config!$D$5:$D$9,1),G359-'Residual Config'!$C$6))</f>
        <v>2</v>
      </c>
      <c r="S359" s="34" t="n">
        <f aca="false">IF(NOT(ISNUMBER($G359)),"",IF('Residual Config'!$C$5="Numeric",R359,P359))</f>
        <v>3</v>
      </c>
      <c r="T359" s="7" t="str">
        <f aca="false">IF(G359="N/A","N/A",IF(S359="","No data",INDEX(Config!$B$5:$B$9,S359)))</f>
        <v>Medium</v>
      </c>
      <c r="U359" s="32" t="n">
        <v>0</v>
      </c>
      <c r="V359" s="8"/>
      <c r="W359" s="33"/>
      <c r="X359" s="34" t="n">
        <f aca="false">IF(S359="","",IF(AND(W359="Y",U359&lt;&gt;0),MAX(1,MIN(5,S359+MAX(-Config!$C$27,MIN(Config!$C$27,U359)))),S359))</f>
        <v>3</v>
      </c>
      <c r="Y359" s="35" t="str">
        <f aca="false">IF(G359="N/A","N/A",IF(X359="","No data",INDEX(Config!$B$5:$B$9,X359)))</f>
        <v>Medium</v>
      </c>
      <c r="Z359" s="7" t="str">
        <f aca="false">IF(U359=0,"None",IF(W359="Y","Applied","Pending HO approval"))</f>
        <v>None</v>
      </c>
      <c r="AA359" s="12" t="str">
        <f aca="false">INDEX('Risk Taxonomy'!$G$5:$G$24,MATCH(D359,'Risk Taxonomy'!$A$5:$A$24,0))</f>
        <v>Low</v>
      </c>
      <c r="AB359" s="7" t="str">
        <f aca="false">INDEX('Risk Taxonomy'!$H$5:$H$24,MATCH(D359,'Risk Taxonomy'!$A$5:$A$24,0))</f>
        <v>Medium</v>
      </c>
      <c r="AC359" s="35" t="str">
        <f aca="false">IF(NOT(ISNUMBER(X359)),"",IF(X359&lt;=MATCH(AB359,Config!$B$5:$B$9,0),"Within",IF(OR(X359-MATCH(AB359,Config!$B$5:$B$9,0)&gt;=2,AND('Residual Config'!$C$8="Y",ISNUMBER(SEARCH("Zero",AA359)))),"Red","Amber")))</f>
        <v>Within</v>
      </c>
      <c r="AD359" s="12" t="str">
        <f aca="false">IF(AC359="Red","Group CCO / CRO and Country CEO within 2 business days; action plan in 15 days; report to Board Risk &amp; Compliance Committee",IF(AC359="Amber","Country CO, risk owner and HO Administrator within 5 business days; action plan in 30 days",""))</f>
        <v/>
      </c>
    </row>
    <row r="360" customFormat="false" ht="15" hidden="false" customHeight="false" outlineLevel="0" collapsed="false">
      <c r="A360" s="26" t="str">
        <f aca="false">Entities!$A$22</f>
        <v>DZ</v>
      </c>
      <c r="B360" s="12" t="str">
        <f aca="false">INDEX(Entities!$B$5:$B$34,MATCH(A360,Entities!$A$5:$A$34,0))</f>
        <v>Arab Bank – Algeria</v>
      </c>
      <c r="C360" s="12" t="str">
        <f aca="false">INDEX(Entities!$D$5:$D$34,MATCH(A360,Entities!$A$5:$A$34,0))</f>
        <v>North Africa</v>
      </c>
      <c r="D360" s="12" t="s">
        <v>310</v>
      </c>
      <c r="E360" s="12" t="str">
        <f aca="false">INDEX('Risk Taxonomy'!$B$5:$B$24,MATCH(D360,'Risk Taxonomy'!$A$5:$A$24,0))</f>
        <v>Cyber, information security and technology</v>
      </c>
      <c r="F360" s="29" t="n">
        <f aca="false">IF(NOT(ISNUMBER(G360)),"",G360)</f>
        <v>4</v>
      </c>
      <c r="G360" s="34" t="n">
        <f aca="false">IF(COUNTIFS('LxI Assessment'!$A$5:$A$394,A360,'LxI Assessment'!$D$5:$D$394,D360,'LxI Assessment'!$F$5:$F$394,"N/A")&gt;0,"N/A",IF(COUNTIFS('LxI Assessment'!$A$5:$A$394,A360,'LxI Assessment'!$D$5:$D$394,D360,'LxI Assessment'!$S$5:$S$394,"&gt;0")=0,"",SUMIFS('LxI Assessment'!$S$5:$S$394,'LxI Assessment'!$A$5:$A$394,A360,'LxI Assessment'!$D$5:$D$394,D360)))</f>
        <v>4</v>
      </c>
      <c r="H360" s="7" t="str">
        <f aca="false">IF(G360="N/A","N/A",IF(G360="","No data",INDEX(Config!$B$5:$B$9,G360)))</f>
        <v>Medium-High</v>
      </c>
      <c r="I360" s="31" t="n">
        <f aca="false">IF(NOT(ISNUMBER($G360)),"",SUMPRODUCT(('Control Mapping'!$C$5:$C$83=D360)*('Control Mapping'!$X$5:$X$83&gt;0)))</f>
        <v>4</v>
      </c>
      <c r="J360" s="31" t="n">
        <f aca="false">IF(NOT(ISNUMBER($G360)),"",SUMPRODUCT(('Control Mapping'!$C$5:$C$83=D360)*('Control Mapping'!$F$5:$F$83="Y")*('Control Mapping'!$X$5:$X$83&gt;0)))</f>
        <v>4</v>
      </c>
      <c r="K360" s="31" t="n">
        <f aca="false">IF(NOT(ISNUMBER($G360)),"",SUMPRODUCT(('Control Mapping'!$C$5:$C$83=D360)*('Control Mapping'!$F$5:$F$83="Y")*('Control Mapping'!$X$5:$X$83=4)))</f>
        <v>0</v>
      </c>
      <c r="L360" s="29" t="n">
        <f aca="false">IF(NOT(ISNUMBER($G360)),"",IFERROR(SUMPRODUCT(('Control Mapping'!$C$5:$C$83=D360)*'Control Mapping'!$E$5:$E$83*'Control Mapping'!$X$5:$X$83)/SUMPRODUCT(('Control Mapping'!$C$5:$C$83=D360)*'Control Mapping'!$E$5:$E$83*('Control Mapping'!$X$5:$X$83&gt;0)),""))</f>
        <v>2</v>
      </c>
      <c r="M360" s="34" t="n">
        <f aca="false">IF(NOT(ISNUMBER($G360)),"",IF(J360=0,4,MAX(MATCH(L360,'Residual Config'!$E$11:$E$14,1),IF(K360&gt;0,'Residual Config'!$C$7,1))))</f>
        <v>2</v>
      </c>
      <c r="N360" s="7" t="str">
        <f aca="false">IF(NOT(ISNUMBER($G360)),"",IF(J360=0,"Ineffective (no key control)",INDEX('Residual Config'!$B$11:$B$14,M360)))</f>
        <v>Largely effective</v>
      </c>
      <c r="O360" s="36" t="n">
        <f aca="false">IF(NOT(ISNUMBER($G360)),"",IF(J360=0,0,SUMPRODUCT(('Control Mapping'!$C$5:$C$83=D360)*'Control Mapping'!$E$5:$E$83*(('Control Mapping'!$X$5:$X$83=1)*'Residual Config'!$D$11+('Control Mapping'!$X$5:$X$83=2)*'Residual Config'!$D$12+('Control Mapping'!$X$5:$X$83=3)*'Residual Config'!$D$13+('Control Mapping'!$X$5:$X$83=4)*'Residual Config'!$D$14))/SUMPRODUCT(('Control Mapping'!$C$5:$C$83=D360)*'Control Mapping'!$E$5:$E$83*('Control Mapping'!$X$5:$X$83&gt;0))))</f>
        <v>0.4</v>
      </c>
      <c r="P360" s="31" t="n">
        <f aca="false">IF(NOT(ISNUMBER($G360)),"",INDEX('Residual Config'!$B$19:$E$23,6-G360,M360))</f>
        <v>3</v>
      </c>
      <c r="Q360" s="29" t="n">
        <f aca="false">IF(NOT(ISNUMBER($G360)),"",MAX(1,F360*(1-O360)))</f>
        <v>2.4</v>
      </c>
      <c r="R360" s="31" t="n">
        <f aca="false">IF(NOT(ISNUMBER($G360)),"",MAX(MATCH(Q360,Config!$D$5:$D$9,1),G360-'Residual Config'!$C$6))</f>
        <v>2</v>
      </c>
      <c r="S360" s="34" t="n">
        <f aca="false">IF(NOT(ISNUMBER($G360)),"",IF('Residual Config'!$C$5="Numeric",R360,P360))</f>
        <v>3</v>
      </c>
      <c r="T360" s="7" t="str">
        <f aca="false">IF(G360="N/A","N/A",IF(S360="","No data",INDEX(Config!$B$5:$B$9,S360)))</f>
        <v>Medium</v>
      </c>
      <c r="U360" s="32" t="n">
        <v>0</v>
      </c>
      <c r="V360" s="8"/>
      <c r="W360" s="33"/>
      <c r="X360" s="34" t="n">
        <f aca="false">IF(S360="","",IF(AND(W360="Y",U360&lt;&gt;0),MAX(1,MIN(5,S360+MAX(-Config!$C$27,MIN(Config!$C$27,U360)))),S360))</f>
        <v>3</v>
      </c>
      <c r="Y360" s="35" t="str">
        <f aca="false">IF(G360="N/A","N/A",IF(X360="","No data",INDEX(Config!$B$5:$B$9,X360)))</f>
        <v>Medium</v>
      </c>
      <c r="Z360" s="7" t="str">
        <f aca="false">IF(U360=0,"None",IF(W360="Y","Applied","Pending HO approval"))</f>
        <v>None</v>
      </c>
      <c r="AA360" s="12" t="str">
        <f aca="false">INDEX('Risk Taxonomy'!$G$5:$G$24,MATCH(D360,'Risk Taxonomy'!$A$5:$A$24,0))</f>
        <v>Very low</v>
      </c>
      <c r="AB360" s="7" t="str">
        <f aca="false">INDEX('Risk Taxonomy'!$H$5:$H$24,MATCH(D360,'Risk Taxonomy'!$A$5:$A$24,0))</f>
        <v>Medium-Low</v>
      </c>
      <c r="AC360" s="35" t="str">
        <f aca="false">IF(NOT(ISNUMBER(X360)),"",IF(X360&lt;=MATCH(AB360,Config!$B$5:$B$9,0),"Within",IF(OR(X360-MATCH(AB360,Config!$B$5:$B$9,0)&gt;=2,AND('Residual Config'!$C$8="Y",ISNUMBER(SEARCH("Zero",AA360)))),"Red","Amber")))</f>
        <v>Amber</v>
      </c>
      <c r="AD360" s="12" t="str">
        <f aca="false">IF(AC360="Red","Group CCO / CRO and Country CEO within 2 business days; action plan in 15 days; report to Board Risk &amp; Compliance Committee",IF(AC360="Amber","Country CO, risk owner and HO Administrator within 5 business days; action plan in 30 days",""))</f>
        <v>Country CO, risk owner and HO Administrator within 5 business days; action plan in 30 days</v>
      </c>
    </row>
    <row r="361" customFormat="false" ht="15" hidden="false" customHeight="false" outlineLevel="0" collapsed="false">
      <c r="A361" s="26" t="str">
        <f aca="false">Entities!$A$22</f>
        <v>DZ</v>
      </c>
      <c r="B361" s="12" t="str">
        <f aca="false">INDEX(Entities!$B$5:$B$34,MATCH(A361,Entities!$A$5:$A$34,0))</f>
        <v>Arab Bank – Algeria</v>
      </c>
      <c r="C361" s="12" t="str">
        <f aca="false">INDEX(Entities!$D$5:$D$34,MATCH(A361,Entities!$A$5:$A$34,0))</f>
        <v>North Africa</v>
      </c>
      <c r="D361" s="12" t="s">
        <v>313</v>
      </c>
      <c r="E361" s="12" t="str">
        <f aca="false">INDEX('Risk Taxonomy'!$B$5:$B$24,MATCH(D361,'Risk Taxonomy'!$A$5:$A$24,0))</f>
        <v>Third-party and outsourcing</v>
      </c>
      <c r="F361" s="29" t="n">
        <f aca="false">IF(NOT(ISNUMBER(G361)),"",G361)</f>
        <v>3</v>
      </c>
      <c r="G361" s="34" t="n">
        <f aca="false">IF(COUNTIFS('LxI Assessment'!$A$5:$A$394,A361,'LxI Assessment'!$D$5:$D$394,D361,'LxI Assessment'!$F$5:$F$394,"N/A")&gt;0,"N/A",IF(COUNTIFS('LxI Assessment'!$A$5:$A$394,A361,'LxI Assessment'!$D$5:$D$394,D361,'LxI Assessment'!$S$5:$S$394,"&gt;0")=0,"",SUMIFS('LxI Assessment'!$S$5:$S$394,'LxI Assessment'!$A$5:$A$394,A361,'LxI Assessment'!$D$5:$D$394,D361)))</f>
        <v>3</v>
      </c>
      <c r="H361" s="7" t="str">
        <f aca="false">IF(G361="N/A","N/A",IF(G361="","No data",INDEX(Config!$B$5:$B$9,G361)))</f>
        <v>Medium</v>
      </c>
      <c r="I361" s="31" t="n">
        <f aca="false">IF(NOT(ISNUMBER($G361)),"",SUMPRODUCT(('Control Mapping'!$C$5:$C$83=D361)*('Control Mapping'!$X$5:$X$83&gt;0)))</f>
        <v>2</v>
      </c>
      <c r="J361" s="31" t="n">
        <f aca="false">IF(NOT(ISNUMBER($G361)),"",SUMPRODUCT(('Control Mapping'!$C$5:$C$83=D361)*('Control Mapping'!$F$5:$F$83="Y")*('Control Mapping'!$X$5:$X$83&gt;0)))</f>
        <v>2</v>
      </c>
      <c r="K361" s="31" t="n">
        <f aca="false">IF(NOT(ISNUMBER($G361)),"",SUMPRODUCT(('Control Mapping'!$C$5:$C$83=D361)*('Control Mapping'!$F$5:$F$83="Y")*('Control Mapping'!$X$5:$X$83=4)))</f>
        <v>1</v>
      </c>
      <c r="L361" s="29" t="n">
        <f aca="false">IF(NOT(ISNUMBER($G361)),"",IFERROR(SUMPRODUCT(('Control Mapping'!$C$5:$C$83=D361)*'Control Mapping'!$E$5:$E$83*'Control Mapping'!$X$5:$X$83)/SUMPRODUCT(('Control Mapping'!$C$5:$C$83=D361)*'Control Mapping'!$E$5:$E$83*('Control Mapping'!$X$5:$X$83&gt;0)),""))</f>
        <v>3.5</v>
      </c>
      <c r="M361" s="34" t="n">
        <f aca="false">IF(NOT(ISNUMBER($G361)),"",IF(J361=0,4,MAX(MATCH(L361,'Residual Config'!$E$11:$E$14,1),IF(K361&gt;0,'Residual Config'!$C$7,1))))</f>
        <v>4</v>
      </c>
      <c r="N361" s="7" t="str">
        <f aca="false">IF(NOT(ISNUMBER($G361)),"",IF(J361=0,"Ineffective (no key control)",INDEX('Residual Config'!$B$11:$B$14,M361)))</f>
        <v>Ineffective</v>
      </c>
      <c r="O361" s="36" t="n">
        <f aca="false">IF(NOT(ISNUMBER($G361)),"",IF(J361=0,0,SUMPRODUCT(('Control Mapping'!$C$5:$C$83=D361)*'Control Mapping'!$E$5:$E$83*(('Control Mapping'!$X$5:$X$83=1)*'Residual Config'!$D$11+('Control Mapping'!$X$5:$X$83=2)*'Residual Config'!$D$12+('Control Mapping'!$X$5:$X$83=3)*'Residual Config'!$D$13+('Control Mapping'!$X$5:$X$83=4)*'Residual Config'!$D$14))/SUMPRODUCT(('Control Mapping'!$C$5:$C$83=D361)*'Control Mapping'!$E$5:$E$83*('Control Mapping'!$X$5:$X$83&gt;0))))</f>
        <v>0.1</v>
      </c>
      <c r="P361" s="31" t="n">
        <f aca="false">IF(NOT(ISNUMBER($G361)),"",INDEX('Residual Config'!$B$19:$E$23,6-G361,M361))</f>
        <v>3</v>
      </c>
      <c r="Q361" s="29" t="n">
        <f aca="false">IF(NOT(ISNUMBER($G361)),"",MAX(1,F361*(1-O361)))</f>
        <v>2.7</v>
      </c>
      <c r="R361" s="31" t="n">
        <f aca="false">IF(NOT(ISNUMBER($G361)),"",MAX(MATCH(Q361,Config!$D$5:$D$9,1),G361-'Residual Config'!$C$6))</f>
        <v>3</v>
      </c>
      <c r="S361" s="34" t="n">
        <f aca="false">IF(NOT(ISNUMBER($G361)),"",IF('Residual Config'!$C$5="Numeric",R361,P361))</f>
        <v>3</v>
      </c>
      <c r="T361" s="7" t="str">
        <f aca="false">IF(G361="N/A","N/A",IF(S361="","No data",INDEX(Config!$B$5:$B$9,S361)))</f>
        <v>Medium</v>
      </c>
      <c r="U361" s="32" t="n">
        <v>0</v>
      </c>
      <c r="V361" s="8"/>
      <c r="W361" s="33"/>
      <c r="X361" s="34" t="n">
        <f aca="false">IF(S361="","",IF(AND(W361="Y",U361&lt;&gt;0),MAX(1,MIN(5,S361+MAX(-Config!$C$27,MIN(Config!$C$27,U361)))),S361))</f>
        <v>3</v>
      </c>
      <c r="Y361" s="35" t="str">
        <f aca="false">IF(G361="N/A","N/A",IF(X361="","No data",INDEX(Config!$B$5:$B$9,X361)))</f>
        <v>Medium</v>
      </c>
      <c r="Z361" s="7" t="str">
        <f aca="false">IF(U361=0,"None",IF(W361="Y","Applied","Pending HO approval"))</f>
        <v>None</v>
      </c>
      <c r="AA361" s="12" t="str">
        <f aca="false">INDEX('Risk Taxonomy'!$G$5:$G$24,MATCH(D361,'Risk Taxonomy'!$A$5:$A$24,0))</f>
        <v>Low</v>
      </c>
      <c r="AB361" s="7" t="str">
        <f aca="false">INDEX('Risk Taxonomy'!$H$5:$H$24,MATCH(D361,'Risk Taxonomy'!$A$5:$A$24,0))</f>
        <v>Medium</v>
      </c>
      <c r="AC361" s="35" t="str">
        <f aca="false">IF(NOT(ISNUMBER(X361)),"",IF(X361&lt;=MATCH(AB361,Config!$B$5:$B$9,0),"Within",IF(OR(X361-MATCH(AB361,Config!$B$5:$B$9,0)&gt;=2,AND('Residual Config'!$C$8="Y",ISNUMBER(SEARCH("Zero",AA361)))),"Red","Amber")))</f>
        <v>Within</v>
      </c>
      <c r="AD361" s="12" t="str">
        <f aca="false">IF(AC361="Red","Group CCO / CRO and Country CEO within 2 business days; action plan in 15 days; report to Board Risk &amp; Compliance Committee",IF(AC361="Amber","Country CO, risk owner and HO Administrator within 5 business days; action plan in 30 days",""))</f>
        <v/>
      </c>
    </row>
    <row r="362" customFormat="false" ht="15" hidden="false" customHeight="false" outlineLevel="0" collapsed="false">
      <c r="A362" s="26" t="str">
        <f aca="false">Entities!$A$22</f>
        <v>DZ</v>
      </c>
      <c r="B362" s="12" t="str">
        <f aca="false">INDEX(Entities!$B$5:$B$34,MATCH(A362,Entities!$A$5:$A$34,0))</f>
        <v>Arab Bank – Algeria</v>
      </c>
      <c r="C362" s="12" t="str">
        <f aca="false">INDEX(Entities!$D$5:$D$34,MATCH(A362,Entities!$A$5:$A$34,0))</f>
        <v>North Africa</v>
      </c>
      <c r="D362" s="12" t="s">
        <v>316</v>
      </c>
      <c r="E362" s="12" t="str">
        <f aca="false">INDEX('Risk Taxonomy'!$B$5:$B$24,MATCH(D362,'Risk Taxonomy'!$A$5:$A$24,0))</f>
        <v>Legal and litigation</v>
      </c>
      <c r="F362" s="29" t="n">
        <f aca="false">IF(NOT(ISNUMBER(G362)),"",G362)</f>
        <v>4</v>
      </c>
      <c r="G362" s="34" t="n">
        <f aca="false">IF(COUNTIFS('LxI Assessment'!$A$5:$A$394,A362,'LxI Assessment'!$D$5:$D$394,D362,'LxI Assessment'!$F$5:$F$394,"N/A")&gt;0,"N/A",IF(COUNTIFS('LxI Assessment'!$A$5:$A$394,A362,'LxI Assessment'!$D$5:$D$394,D362,'LxI Assessment'!$S$5:$S$394,"&gt;0")=0,"",SUMIFS('LxI Assessment'!$S$5:$S$394,'LxI Assessment'!$A$5:$A$394,A362,'LxI Assessment'!$D$5:$D$394,D362)))</f>
        <v>4</v>
      </c>
      <c r="H362" s="7" t="str">
        <f aca="false">IF(G362="N/A","N/A",IF(G362="","No data",INDEX(Config!$B$5:$B$9,G362)))</f>
        <v>Medium-High</v>
      </c>
      <c r="I362" s="31" t="n">
        <f aca="false">IF(NOT(ISNUMBER($G362)),"",SUMPRODUCT(('Control Mapping'!$C$5:$C$83=D362)*('Control Mapping'!$X$5:$X$83&gt;0)))</f>
        <v>1</v>
      </c>
      <c r="J362" s="31" t="n">
        <f aca="false">IF(NOT(ISNUMBER($G362)),"",SUMPRODUCT(('Control Mapping'!$C$5:$C$83=D362)*('Control Mapping'!$F$5:$F$83="Y")*('Control Mapping'!$X$5:$X$83&gt;0)))</f>
        <v>1</v>
      </c>
      <c r="K362" s="31" t="n">
        <f aca="false">IF(NOT(ISNUMBER($G362)),"",SUMPRODUCT(('Control Mapping'!$C$5:$C$83=D362)*('Control Mapping'!$F$5:$F$83="Y")*('Control Mapping'!$X$5:$X$83=4)))</f>
        <v>0</v>
      </c>
      <c r="L362" s="29" t="n">
        <f aca="false">IF(NOT(ISNUMBER($G362)),"",IFERROR(SUMPRODUCT(('Control Mapping'!$C$5:$C$83=D362)*'Control Mapping'!$E$5:$E$83*'Control Mapping'!$X$5:$X$83)/SUMPRODUCT(('Control Mapping'!$C$5:$C$83=D362)*'Control Mapping'!$E$5:$E$83*('Control Mapping'!$X$5:$X$83&gt;0)),""))</f>
        <v>1</v>
      </c>
      <c r="M362" s="34" t="n">
        <f aca="false">IF(NOT(ISNUMBER($G362)),"",IF(J362=0,4,MAX(MATCH(L362,'Residual Config'!$E$11:$E$14,1),IF(K362&gt;0,'Residual Config'!$C$7,1))))</f>
        <v>1</v>
      </c>
      <c r="N362" s="7" t="str">
        <f aca="false">IF(NOT(ISNUMBER($G362)),"",IF(J362=0,"Ineffective (no key control)",INDEX('Residual Config'!$B$11:$B$14,M362)))</f>
        <v>Effective</v>
      </c>
      <c r="O362" s="36" t="n">
        <f aca="false">IF(NOT(ISNUMBER($G362)),"",IF(J362=0,0,SUMPRODUCT(('Control Mapping'!$C$5:$C$83=D362)*'Control Mapping'!$E$5:$E$83*(('Control Mapping'!$X$5:$X$83=1)*'Residual Config'!$D$11+('Control Mapping'!$X$5:$X$83=2)*'Residual Config'!$D$12+('Control Mapping'!$X$5:$X$83=3)*'Residual Config'!$D$13+('Control Mapping'!$X$5:$X$83=4)*'Residual Config'!$D$14))/SUMPRODUCT(('Control Mapping'!$C$5:$C$83=D362)*'Control Mapping'!$E$5:$E$83*('Control Mapping'!$X$5:$X$83&gt;0))))</f>
        <v>0.6</v>
      </c>
      <c r="P362" s="31" t="n">
        <f aca="false">IF(NOT(ISNUMBER($G362)),"",INDEX('Residual Config'!$B$19:$E$23,6-G362,M362))</f>
        <v>2</v>
      </c>
      <c r="Q362" s="29" t="n">
        <f aca="false">IF(NOT(ISNUMBER($G362)),"",MAX(1,F362*(1-O362)))</f>
        <v>1.6</v>
      </c>
      <c r="R362" s="31" t="n">
        <f aca="false">IF(NOT(ISNUMBER($G362)),"",MAX(MATCH(Q362,Config!$D$5:$D$9,1),G362-'Residual Config'!$C$6))</f>
        <v>2</v>
      </c>
      <c r="S362" s="34" t="n">
        <f aca="false">IF(NOT(ISNUMBER($G362)),"",IF('Residual Config'!$C$5="Numeric",R362,P362))</f>
        <v>2</v>
      </c>
      <c r="T362" s="7" t="str">
        <f aca="false">IF(G362="N/A","N/A",IF(S362="","No data",INDEX(Config!$B$5:$B$9,S362)))</f>
        <v>Medium-Low</v>
      </c>
      <c r="U362" s="32" t="n">
        <v>0</v>
      </c>
      <c r="V362" s="8"/>
      <c r="W362" s="33"/>
      <c r="X362" s="34" t="n">
        <f aca="false">IF(S362="","",IF(AND(W362="Y",U362&lt;&gt;0),MAX(1,MIN(5,S362+MAX(-Config!$C$27,MIN(Config!$C$27,U362)))),S362))</f>
        <v>2</v>
      </c>
      <c r="Y362" s="35" t="str">
        <f aca="false">IF(G362="N/A","N/A",IF(X362="","No data",INDEX(Config!$B$5:$B$9,X362)))</f>
        <v>Medium-Low</v>
      </c>
      <c r="Z362" s="7" t="str">
        <f aca="false">IF(U362=0,"None",IF(W362="Y","Applied","Pending HO approval"))</f>
        <v>None</v>
      </c>
      <c r="AA362" s="12" t="str">
        <f aca="false">INDEX('Risk Taxonomy'!$G$5:$G$24,MATCH(D362,'Risk Taxonomy'!$A$5:$A$24,0))</f>
        <v>Very low</v>
      </c>
      <c r="AB362" s="7" t="str">
        <f aca="false">INDEX('Risk Taxonomy'!$H$5:$H$24,MATCH(D362,'Risk Taxonomy'!$A$5:$A$24,0))</f>
        <v>Medium-Low</v>
      </c>
      <c r="AC362" s="35" t="str">
        <f aca="false">IF(NOT(ISNUMBER(X362)),"",IF(X362&lt;=MATCH(AB362,Config!$B$5:$B$9,0),"Within",IF(OR(X362-MATCH(AB362,Config!$B$5:$B$9,0)&gt;=2,AND('Residual Config'!$C$8="Y",ISNUMBER(SEARCH("Zero",AA362)))),"Red","Amber")))</f>
        <v>Within</v>
      </c>
      <c r="AD362" s="12" t="str">
        <f aca="false">IF(AC362="Red","Group CCO / CRO and Country CEO within 2 business days; action plan in 15 days; report to Board Risk &amp; Compliance Committee",IF(AC362="Amber","Country CO, risk owner and HO Administrator within 5 business days; action plan in 30 days",""))</f>
        <v/>
      </c>
    </row>
    <row r="363" customFormat="false" ht="15" hidden="false" customHeight="false" outlineLevel="0" collapsed="false">
      <c r="A363" s="26" t="str">
        <f aca="false">Entities!$A$22</f>
        <v>DZ</v>
      </c>
      <c r="B363" s="12" t="str">
        <f aca="false">INDEX(Entities!$B$5:$B$34,MATCH(A363,Entities!$A$5:$A$34,0))</f>
        <v>Arab Bank – Algeria</v>
      </c>
      <c r="C363" s="12" t="str">
        <f aca="false">INDEX(Entities!$D$5:$D$34,MATCH(A363,Entities!$A$5:$A$34,0))</f>
        <v>North Africa</v>
      </c>
      <c r="D363" s="12" t="s">
        <v>319</v>
      </c>
      <c r="E363" s="12" t="str">
        <f aca="false">INDEX('Risk Taxonomy'!$B$5:$B$24,MATCH(D363,'Risk Taxonomy'!$A$5:$A$24,0))</f>
        <v>Reputational</v>
      </c>
      <c r="F363" s="29" t="n">
        <f aca="false">IF(NOT(ISNUMBER(G363)),"",G363)</f>
        <v>3</v>
      </c>
      <c r="G363" s="34" t="n">
        <f aca="false">IF(COUNTIFS('LxI Assessment'!$A$5:$A$394,A363,'LxI Assessment'!$D$5:$D$394,D363,'LxI Assessment'!$F$5:$F$394,"N/A")&gt;0,"N/A",IF(COUNTIFS('LxI Assessment'!$A$5:$A$394,A363,'LxI Assessment'!$D$5:$D$394,D363,'LxI Assessment'!$S$5:$S$394,"&gt;0")=0,"",SUMIFS('LxI Assessment'!$S$5:$S$394,'LxI Assessment'!$A$5:$A$394,A363,'LxI Assessment'!$D$5:$D$394,D363)))</f>
        <v>3</v>
      </c>
      <c r="H363" s="7" t="str">
        <f aca="false">IF(G363="N/A","N/A",IF(G363="","No data",INDEX(Config!$B$5:$B$9,G363)))</f>
        <v>Medium</v>
      </c>
      <c r="I363" s="31" t="n">
        <f aca="false">IF(NOT(ISNUMBER($G363)),"",SUMPRODUCT(('Control Mapping'!$C$5:$C$83=D363)*('Control Mapping'!$X$5:$X$83&gt;0)))</f>
        <v>2</v>
      </c>
      <c r="J363" s="31" t="n">
        <f aca="false">IF(NOT(ISNUMBER($G363)),"",SUMPRODUCT(('Control Mapping'!$C$5:$C$83=D363)*('Control Mapping'!$F$5:$F$83="Y")*('Control Mapping'!$X$5:$X$83&gt;0)))</f>
        <v>1</v>
      </c>
      <c r="K363" s="31" t="n">
        <f aca="false">IF(NOT(ISNUMBER($G363)),"",SUMPRODUCT(('Control Mapping'!$C$5:$C$83=D363)*('Control Mapping'!$F$5:$F$83="Y")*('Control Mapping'!$X$5:$X$83=4)))</f>
        <v>0</v>
      </c>
      <c r="L363" s="29" t="n">
        <f aca="false">IF(NOT(ISNUMBER($G363)),"",IFERROR(SUMPRODUCT(('Control Mapping'!$C$5:$C$83=D363)*'Control Mapping'!$E$5:$E$83*'Control Mapping'!$X$5:$X$83)/SUMPRODUCT(('Control Mapping'!$C$5:$C$83=D363)*'Control Mapping'!$E$5:$E$83*('Control Mapping'!$X$5:$X$83&gt;0)),""))</f>
        <v>2</v>
      </c>
      <c r="M363" s="34" t="n">
        <f aca="false">IF(NOT(ISNUMBER($G363)),"",IF(J363=0,4,MAX(MATCH(L363,'Residual Config'!$E$11:$E$14,1),IF(K363&gt;0,'Residual Config'!$C$7,1))))</f>
        <v>2</v>
      </c>
      <c r="N363" s="7" t="str">
        <f aca="false">IF(NOT(ISNUMBER($G363)),"",IF(J363=0,"Ineffective (no key control)",INDEX('Residual Config'!$B$11:$B$14,M363)))</f>
        <v>Largely effective</v>
      </c>
      <c r="O363" s="36" t="n">
        <f aca="false">IF(NOT(ISNUMBER($G363)),"",IF(J363=0,0,SUMPRODUCT(('Control Mapping'!$C$5:$C$83=D363)*'Control Mapping'!$E$5:$E$83*(('Control Mapping'!$X$5:$X$83=1)*'Residual Config'!$D$11+('Control Mapping'!$X$5:$X$83=2)*'Residual Config'!$D$12+('Control Mapping'!$X$5:$X$83=3)*'Residual Config'!$D$13+('Control Mapping'!$X$5:$X$83=4)*'Residual Config'!$D$14))/SUMPRODUCT(('Control Mapping'!$C$5:$C$83=D363)*'Control Mapping'!$E$5:$E$83*('Control Mapping'!$X$5:$X$83&gt;0))))</f>
        <v>0.4</v>
      </c>
      <c r="P363" s="31" t="n">
        <f aca="false">IF(NOT(ISNUMBER($G363)),"",INDEX('Residual Config'!$B$19:$E$23,6-G363,M363))</f>
        <v>2</v>
      </c>
      <c r="Q363" s="29" t="n">
        <f aca="false">IF(NOT(ISNUMBER($G363)),"",MAX(1,F363*(1-O363)))</f>
        <v>1.8</v>
      </c>
      <c r="R363" s="31" t="n">
        <f aca="false">IF(NOT(ISNUMBER($G363)),"",MAX(MATCH(Q363,Config!$D$5:$D$9,1),G363-'Residual Config'!$C$6))</f>
        <v>1</v>
      </c>
      <c r="S363" s="34" t="n">
        <f aca="false">IF(NOT(ISNUMBER($G363)),"",IF('Residual Config'!$C$5="Numeric",R363,P363))</f>
        <v>2</v>
      </c>
      <c r="T363" s="7" t="str">
        <f aca="false">IF(G363="N/A","N/A",IF(S363="","No data",INDEX(Config!$B$5:$B$9,S363)))</f>
        <v>Medium-Low</v>
      </c>
      <c r="U363" s="32" t="n">
        <v>0</v>
      </c>
      <c r="V363" s="8"/>
      <c r="W363" s="33"/>
      <c r="X363" s="34" t="n">
        <f aca="false">IF(S363="","",IF(AND(W363="Y",U363&lt;&gt;0),MAX(1,MIN(5,S363+MAX(-Config!$C$27,MIN(Config!$C$27,U363)))),S363))</f>
        <v>2</v>
      </c>
      <c r="Y363" s="35" t="str">
        <f aca="false">IF(G363="N/A","N/A",IF(X363="","No data",INDEX(Config!$B$5:$B$9,X363)))</f>
        <v>Medium-Low</v>
      </c>
      <c r="Z363" s="7" t="str">
        <f aca="false">IF(U363=0,"None",IF(W363="Y","Applied","Pending HO approval"))</f>
        <v>None</v>
      </c>
      <c r="AA363" s="12" t="str">
        <f aca="false">INDEX('Risk Taxonomy'!$G$5:$G$24,MATCH(D363,'Risk Taxonomy'!$A$5:$A$24,0))</f>
        <v>Low</v>
      </c>
      <c r="AB363" s="7" t="str">
        <f aca="false">INDEX('Risk Taxonomy'!$H$5:$H$24,MATCH(D363,'Risk Taxonomy'!$A$5:$A$24,0))</f>
        <v>Medium</v>
      </c>
      <c r="AC363" s="35" t="str">
        <f aca="false">IF(NOT(ISNUMBER(X363)),"",IF(X363&lt;=MATCH(AB363,Config!$B$5:$B$9,0),"Within",IF(OR(X363-MATCH(AB363,Config!$B$5:$B$9,0)&gt;=2,AND('Residual Config'!$C$8="Y",ISNUMBER(SEARCH("Zero",AA363)))),"Red","Amber")))</f>
        <v>Within</v>
      </c>
      <c r="AD363" s="12" t="str">
        <f aca="false">IF(AC363="Red","Group CCO / CRO and Country CEO within 2 business days; action plan in 15 days; report to Board Risk &amp; Compliance Committee",IF(AC363="Amber","Country CO, risk owner and HO Administrator within 5 business days; action plan in 30 days",""))</f>
        <v/>
      </c>
    </row>
    <row r="364" customFormat="false" ht="15" hidden="false" customHeight="false" outlineLevel="0" collapsed="false">
      <c r="A364" s="26" t="str">
        <f aca="false">Entities!$A$22</f>
        <v>DZ</v>
      </c>
      <c r="B364" s="12" t="str">
        <f aca="false">INDEX(Entities!$B$5:$B$34,MATCH(A364,Entities!$A$5:$A$34,0))</f>
        <v>Arab Bank – Algeria</v>
      </c>
      <c r="C364" s="12" t="str">
        <f aca="false">INDEX(Entities!$D$5:$D$34,MATCH(A364,Entities!$A$5:$A$34,0))</f>
        <v>North Africa</v>
      </c>
      <c r="D364" s="12" t="s">
        <v>322</v>
      </c>
      <c r="E364" s="12" t="str">
        <f aca="false">INDEX('Risk Taxonomy'!$B$5:$B$24,MATCH(D364,'Risk Taxonomy'!$A$5:$A$24,0))</f>
        <v>Strategic, business model and ESG</v>
      </c>
      <c r="F364" s="29" t="n">
        <f aca="false">IF(NOT(ISNUMBER(G364)),"",G364)</f>
        <v>3</v>
      </c>
      <c r="G364" s="34" t="n">
        <f aca="false">IF(COUNTIFS('LxI Assessment'!$A$5:$A$394,A364,'LxI Assessment'!$D$5:$D$394,D364,'LxI Assessment'!$F$5:$F$394,"N/A")&gt;0,"N/A",IF(COUNTIFS('LxI Assessment'!$A$5:$A$394,A364,'LxI Assessment'!$D$5:$D$394,D364,'LxI Assessment'!$S$5:$S$394,"&gt;0")=0,"",SUMIFS('LxI Assessment'!$S$5:$S$394,'LxI Assessment'!$A$5:$A$394,A364,'LxI Assessment'!$D$5:$D$394,D364)))</f>
        <v>3</v>
      </c>
      <c r="H364" s="7" t="str">
        <f aca="false">IF(G364="N/A","N/A",IF(G364="","No data",INDEX(Config!$B$5:$B$9,G364)))</f>
        <v>Medium</v>
      </c>
      <c r="I364" s="31" t="n">
        <f aca="false">IF(NOT(ISNUMBER($G364)),"",SUMPRODUCT(('Control Mapping'!$C$5:$C$83=D364)*('Control Mapping'!$X$5:$X$83&gt;0)))</f>
        <v>1</v>
      </c>
      <c r="J364" s="31" t="n">
        <f aca="false">IF(NOT(ISNUMBER($G364)),"",SUMPRODUCT(('Control Mapping'!$C$5:$C$83=D364)*('Control Mapping'!$F$5:$F$83="Y")*('Control Mapping'!$X$5:$X$83&gt;0)))</f>
        <v>1</v>
      </c>
      <c r="K364" s="31" t="n">
        <f aca="false">IF(NOT(ISNUMBER($G364)),"",SUMPRODUCT(('Control Mapping'!$C$5:$C$83=D364)*('Control Mapping'!$F$5:$F$83="Y")*('Control Mapping'!$X$5:$X$83=4)))</f>
        <v>0</v>
      </c>
      <c r="L364" s="29" t="n">
        <f aca="false">IF(NOT(ISNUMBER($G364)),"",IFERROR(SUMPRODUCT(('Control Mapping'!$C$5:$C$83=D364)*'Control Mapping'!$E$5:$E$83*'Control Mapping'!$X$5:$X$83)/SUMPRODUCT(('Control Mapping'!$C$5:$C$83=D364)*'Control Mapping'!$E$5:$E$83*('Control Mapping'!$X$5:$X$83&gt;0)),""))</f>
        <v>3</v>
      </c>
      <c r="M364" s="34" t="n">
        <f aca="false">IF(NOT(ISNUMBER($G364)),"",IF(J364=0,4,MAX(MATCH(L364,'Residual Config'!$E$11:$E$14,1),IF(K364&gt;0,'Residual Config'!$C$7,1))))</f>
        <v>3</v>
      </c>
      <c r="N364" s="7" t="str">
        <f aca="false">IF(NOT(ISNUMBER($G364)),"",IF(J364=0,"Ineffective (no key control)",INDEX('Residual Config'!$B$11:$B$14,M364)))</f>
        <v>Partially effective</v>
      </c>
      <c r="O364" s="36" t="n">
        <f aca="false">IF(NOT(ISNUMBER($G364)),"",IF(J364=0,0,SUMPRODUCT(('Control Mapping'!$C$5:$C$83=D364)*'Control Mapping'!$E$5:$E$83*(('Control Mapping'!$X$5:$X$83=1)*'Residual Config'!$D$11+('Control Mapping'!$X$5:$X$83=2)*'Residual Config'!$D$12+('Control Mapping'!$X$5:$X$83=3)*'Residual Config'!$D$13+('Control Mapping'!$X$5:$X$83=4)*'Residual Config'!$D$14))/SUMPRODUCT(('Control Mapping'!$C$5:$C$83=D364)*'Control Mapping'!$E$5:$E$83*('Control Mapping'!$X$5:$X$83&gt;0))))</f>
        <v>0.2</v>
      </c>
      <c r="P364" s="31" t="n">
        <f aca="false">IF(NOT(ISNUMBER($G364)),"",INDEX('Residual Config'!$B$19:$E$23,6-G364,M364))</f>
        <v>3</v>
      </c>
      <c r="Q364" s="29" t="n">
        <f aca="false">IF(NOT(ISNUMBER($G364)),"",MAX(1,F364*(1-O364)))</f>
        <v>2.4</v>
      </c>
      <c r="R364" s="31" t="n">
        <f aca="false">IF(NOT(ISNUMBER($G364)),"",MAX(MATCH(Q364,Config!$D$5:$D$9,1),G364-'Residual Config'!$C$6))</f>
        <v>2</v>
      </c>
      <c r="S364" s="34" t="n">
        <f aca="false">IF(NOT(ISNUMBER($G364)),"",IF('Residual Config'!$C$5="Numeric",R364,P364))</f>
        <v>3</v>
      </c>
      <c r="T364" s="7" t="str">
        <f aca="false">IF(G364="N/A","N/A",IF(S364="","No data",INDEX(Config!$B$5:$B$9,S364)))</f>
        <v>Medium</v>
      </c>
      <c r="U364" s="32" t="n">
        <v>0</v>
      </c>
      <c r="V364" s="8"/>
      <c r="W364" s="33"/>
      <c r="X364" s="34" t="n">
        <f aca="false">IF(S364="","",IF(AND(W364="Y",U364&lt;&gt;0),MAX(1,MIN(5,S364+MAX(-Config!$C$27,MIN(Config!$C$27,U364)))),S364))</f>
        <v>3</v>
      </c>
      <c r="Y364" s="35" t="str">
        <f aca="false">IF(G364="N/A","N/A",IF(X364="","No data",INDEX(Config!$B$5:$B$9,X364)))</f>
        <v>Medium</v>
      </c>
      <c r="Z364" s="7" t="str">
        <f aca="false">IF(U364=0,"None",IF(W364="Y","Applied","Pending HO approval"))</f>
        <v>None</v>
      </c>
      <c r="AA364" s="12" t="str">
        <f aca="false">INDEX('Risk Taxonomy'!$G$5:$G$24,MATCH(D364,'Risk Taxonomy'!$A$5:$A$24,0))</f>
        <v>Moderate</v>
      </c>
      <c r="AB364" s="7" t="str">
        <f aca="false">INDEX('Risk Taxonomy'!$H$5:$H$24,MATCH(D364,'Risk Taxonomy'!$A$5:$A$24,0))</f>
        <v>Medium-High</v>
      </c>
      <c r="AC364" s="35" t="str">
        <f aca="false">IF(NOT(ISNUMBER(X364)),"",IF(X364&lt;=MATCH(AB364,Config!$B$5:$B$9,0),"Within",IF(OR(X364-MATCH(AB364,Config!$B$5:$B$9,0)&gt;=2,AND('Residual Config'!$C$8="Y",ISNUMBER(SEARCH("Zero",AA364)))),"Red","Amber")))</f>
        <v>Within</v>
      </c>
      <c r="AD364" s="12" t="str">
        <f aca="false">IF(AC364="Red","Group CCO / CRO and Country CEO within 2 business days; action plan in 15 days; report to Board Risk &amp; Compliance Committee",IF(AC364="Amber","Country CO, risk owner and HO Administrator within 5 business days; action plan in 30 days",""))</f>
        <v/>
      </c>
    </row>
    <row r="365" customFormat="false" ht="15" hidden="false" customHeight="false" outlineLevel="0" collapsed="false">
      <c r="A365" s="26" t="str">
        <f aca="false">Entities!$A$23</f>
        <v>MA</v>
      </c>
      <c r="B365" s="12" t="str">
        <f aca="false">INDEX(Entities!$B$5:$B$34,MATCH(A365,Entities!$A$5:$A$34,0))</f>
        <v>Arab Bank – Morocco</v>
      </c>
      <c r="C365" s="12" t="str">
        <f aca="false">INDEX(Entities!$D$5:$D$34,MATCH(A365,Entities!$A$5:$A$34,0))</f>
        <v>North Africa</v>
      </c>
      <c r="D365" s="12" t="s">
        <v>260</v>
      </c>
      <c r="E365" s="12" t="str">
        <f aca="false">INDEX('Risk Taxonomy'!$B$5:$B$24,MATCH(D365,'Risk Taxonomy'!$A$5:$A$24,0))</f>
        <v>Money laundering</v>
      </c>
      <c r="F365" s="29" t="n">
        <f aca="false">IF(NOT(ISNUMBER(G365)),"",IFERROR(IF(MATCH(SUMIFS('FC Calculation'!$N$5:$N$214,'FC Calculation'!$A$5:$A$214,A365,'FC Calculation'!$D$5:$D$214,D365),Config!$D$5:$D$9,1)=G365,SUMIFS('FC Calculation'!$N$5:$N$214,'FC Calculation'!$A$5:$A$214,A365,'FC Calculation'!$D$5:$D$214,D365),G365),G365))</f>
        <v>3.05976190476191</v>
      </c>
      <c r="G365" s="34" t="n">
        <f aca="false">IF(COUNTIFS('FC Calculation'!$A$5:$A$214,A365,'FC Calculation'!$D$5:$D$214,D365,'FC Calculation'!$T$5:$T$214,"&gt;0")=0,"",SUMIFS('FC Calculation'!$T$5:$T$214,'FC Calculation'!$A$5:$A$214,A365,'FC Calculation'!$D$5:$D$214,D365))</f>
        <v>3</v>
      </c>
      <c r="H365" s="7" t="str">
        <f aca="false">IF(G365="N/A","N/A",IF(G365="","No data",INDEX(Config!$B$5:$B$9,G365)))</f>
        <v>Medium</v>
      </c>
      <c r="I365" s="31" t="n">
        <f aca="false">IF(NOT(ISNUMBER($G365)),"",SUMPRODUCT(('Control Mapping'!$C$5:$C$83=D365)*('Control Mapping'!$Y$5:$Y$83&gt;0)))</f>
        <v>12</v>
      </c>
      <c r="J365" s="31" t="n">
        <f aca="false">IF(NOT(ISNUMBER($G365)),"",SUMPRODUCT(('Control Mapping'!$C$5:$C$83=D365)*('Control Mapping'!$F$5:$F$83="Y")*('Control Mapping'!$Y$5:$Y$83&gt;0)))</f>
        <v>9</v>
      </c>
      <c r="K365" s="31" t="n">
        <f aca="false">IF(NOT(ISNUMBER($G365)),"",SUMPRODUCT(('Control Mapping'!$C$5:$C$83=D365)*('Control Mapping'!$F$5:$F$83="Y")*('Control Mapping'!$Y$5:$Y$83=4)))</f>
        <v>1</v>
      </c>
      <c r="L365" s="29" t="n">
        <f aca="false">IF(NOT(ISNUMBER($G365)),"",IFERROR(SUMPRODUCT(('Control Mapping'!$C$5:$C$83=D365)*'Control Mapping'!$E$5:$E$83*'Control Mapping'!$Y$5:$Y$83)/SUMPRODUCT(('Control Mapping'!$C$5:$C$83=D365)*'Control Mapping'!$E$5:$E$83*('Control Mapping'!$Y$5:$Y$83&gt;0)),""))</f>
        <v>2.1304347826087</v>
      </c>
      <c r="M365" s="34" t="n">
        <f aca="false">IF(NOT(ISNUMBER($G365)),"",IF(J365=0,4,MAX(MATCH(L365,'Residual Config'!$E$11:$E$14,1),IF(K365&gt;0,'Residual Config'!$C$7,1))))</f>
        <v>3</v>
      </c>
      <c r="N365" s="7" t="str">
        <f aca="false">IF(NOT(ISNUMBER($G365)),"",IF(J365=0,"Ineffective (no key control)",INDEX('Residual Config'!$B$11:$B$14,M365)))</f>
        <v>Partially effective</v>
      </c>
      <c r="O365" s="36" t="n">
        <f aca="false">IF(NOT(ISNUMBER($G365)),"",IF(J365=0,0,SUMPRODUCT(('Control Mapping'!$C$5:$C$83=D365)*'Control Mapping'!$E$5:$E$83*(('Control Mapping'!$Y$5:$Y$83=1)*'Residual Config'!$D$11+('Control Mapping'!$Y$5:$Y$83=2)*'Residual Config'!$D$12+('Control Mapping'!$Y$5:$Y$83=3)*'Residual Config'!$D$13+('Control Mapping'!$Y$5:$Y$83=4)*'Residual Config'!$D$14))/SUMPRODUCT(('Control Mapping'!$C$5:$C$83=D365)*'Control Mapping'!$E$5:$E$83*('Control Mapping'!$Y$5:$Y$83&gt;0))))</f>
        <v>0.373913043478261</v>
      </c>
      <c r="P365" s="31" t="n">
        <f aca="false">IF(NOT(ISNUMBER($G365)),"",INDEX('Residual Config'!$B$19:$E$23,6-G365,M365))</f>
        <v>3</v>
      </c>
      <c r="Q365" s="29" t="n">
        <f aca="false">IF(NOT(ISNUMBER($G365)),"",MAX(1,F365*(1-O365)))</f>
        <v>1.91567701863354</v>
      </c>
      <c r="R365" s="31" t="n">
        <f aca="false">IF(NOT(ISNUMBER($G365)),"",MAX(MATCH(Q365,Config!$D$5:$D$9,1),G365-'Residual Config'!$C$6))</f>
        <v>2</v>
      </c>
      <c r="S365" s="34" t="n">
        <f aca="false">IF(NOT(ISNUMBER($G365)),"",IF('Residual Config'!$C$5="Numeric",R365,P365))</f>
        <v>3</v>
      </c>
      <c r="T365" s="7" t="str">
        <f aca="false">IF(G365="N/A","N/A",IF(S365="","No data",INDEX(Config!$B$5:$B$9,S365)))</f>
        <v>Medium</v>
      </c>
      <c r="U365" s="32" t="n">
        <v>0</v>
      </c>
      <c r="V365" s="8"/>
      <c r="W365" s="33"/>
      <c r="X365" s="34" t="n">
        <f aca="false">IF(S365="","",IF(AND(W365="Y",U365&lt;&gt;0),MAX(1,MIN(5,S365+MAX(-Config!$C$27,MIN(Config!$C$27,U365)))),S365))</f>
        <v>3</v>
      </c>
      <c r="Y365" s="35" t="str">
        <f aca="false">IF(G365="N/A","N/A",IF(X365="","No data",INDEX(Config!$B$5:$B$9,X365)))</f>
        <v>Medium</v>
      </c>
      <c r="Z365" s="7" t="str">
        <f aca="false">IF(U365=0,"None",IF(W365="Y","Applied","Pending HO approval"))</f>
        <v>None</v>
      </c>
      <c r="AA365" s="12" t="str">
        <f aca="false">INDEX('Risk Taxonomy'!$G$5:$G$24,MATCH(D365,'Risk Taxonomy'!$A$5:$A$24,0))</f>
        <v>Very low</v>
      </c>
      <c r="AB365" s="7" t="str">
        <f aca="false">INDEX('Risk Taxonomy'!$H$5:$H$24,MATCH(D365,'Risk Taxonomy'!$A$5:$A$24,0))</f>
        <v>Medium-Low</v>
      </c>
      <c r="AC365" s="35" t="str">
        <f aca="false">IF(NOT(ISNUMBER(X365)),"",IF(X365&lt;=MATCH(AB365,Config!$B$5:$B$9,0),"Within",IF(OR(X365-MATCH(AB365,Config!$B$5:$B$9,0)&gt;=2,AND('Residual Config'!$C$8="Y",ISNUMBER(SEARCH("Zero",AA365)))),"Red","Amber")))</f>
        <v>Amber</v>
      </c>
      <c r="AD365" s="12" t="str">
        <f aca="false">IF(AC365="Red","Group CCO / CRO and Country CEO within 2 business days; action plan in 15 days; report to Board Risk &amp; Compliance Committee",IF(AC365="Amber","Country CO, risk owner and HO Administrator within 5 business days; action plan in 30 days",""))</f>
        <v>Country CO, risk owner and HO Administrator within 5 business days; action plan in 30 days</v>
      </c>
    </row>
    <row r="366" customFormat="false" ht="15" hidden="false" customHeight="false" outlineLevel="0" collapsed="false">
      <c r="A366" s="26" t="str">
        <f aca="false">Entities!$A$23</f>
        <v>MA</v>
      </c>
      <c r="B366" s="12" t="str">
        <f aca="false">INDEX(Entities!$B$5:$B$34,MATCH(A366,Entities!$A$5:$A$34,0))</f>
        <v>Arab Bank – Morocco</v>
      </c>
      <c r="C366" s="12" t="str">
        <f aca="false">INDEX(Entities!$D$5:$D$34,MATCH(A366,Entities!$A$5:$A$34,0))</f>
        <v>North Africa</v>
      </c>
      <c r="D366" s="12" t="s">
        <v>267</v>
      </c>
      <c r="E366" s="12" t="str">
        <f aca="false">INDEX('Risk Taxonomy'!$B$5:$B$24,MATCH(D366,'Risk Taxonomy'!$A$5:$A$24,0))</f>
        <v>Terrorist financing</v>
      </c>
      <c r="F366" s="29" t="n">
        <f aca="false">IF(NOT(ISNUMBER(G366)),"",IFERROR(IF(MATCH(SUMIFS('FC Calculation'!$N$5:$N$214,'FC Calculation'!$A$5:$A$214,A366,'FC Calculation'!$D$5:$D$214,D366),Config!$D$5:$D$9,1)=G366,SUMIFS('FC Calculation'!$N$5:$N$214,'FC Calculation'!$A$5:$A$214,A366,'FC Calculation'!$D$5:$D$214,D366),G366),G366))</f>
        <v>2.99404761904762</v>
      </c>
      <c r="G366" s="34" t="n">
        <f aca="false">IF(COUNTIFS('FC Calculation'!$A$5:$A$214,A366,'FC Calculation'!$D$5:$D$214,D366,'FC Calculation'!$T$5:$T$214,"&gt;0")=0,"",SUMIFS('FC Calculation'!$T$5:$T$214,'FC Calculation'!$A$5:$A$214,A366,'FC Calculation'!$D$5:$D$214,D366))</f>
        <v>3</v>
      </c>
      <c r="H366" s="7" t="str">
        <f aca="false">IF(G366="N/A","N/A",IF(G366="","No data",INDEX(Config!$B$5:$B$9,G366)))</f>
        <v>Medium</v>
      </c>
      <c r="I366" s="31" t="n">
        <f aca="false">IF(NOT(ISNUMBER($G366)),"",SUMPRODUCT(('Control Mapping'!$C$5:$C$83=D366)*('Control Mapping'!$Y$5:$Y$83&gt;0)))</f>
        <v>12</v>
      </c>
      <c r="J366" s="31" t="n">
        <f aca="false">IF(NOT(ISNUMBER($G366)),"",SUMPRODUCT(('Control Mapping'!$C$5:$C$83=D366)*('Control Mapping'!$F$5:$F$83="Y")*('Control Mapping'!$Y$5:$Y$83&gt;0)))</f>
        <v>9</v>
      </c>
      <c r="K366" s="31" t="n">
        <f aca="false">IF(NOT(ISNUMBER($G366)),"",SUMPRODUCT(('Control Mapping'!$C$5:$C$83=D366)*('Control Mapping'!$F$5:$F$83="Y")*('Control Mapping'!$Y$5:$Y$83=4)))</f>
        <v>2</v>
      </c>
      <c r="L366" s="29" t="n">
        <f aca="false">IF(NOT(ISNUMBER($G366)),"",IFERROR(SUMPRODUCT(('Control Mapping'!$C$5:$C$83=D366)*'Control Mapping'!$E$5:$E$83*'Control Mapping'!$Y$5:$Y$83)/SUMPRODUCT(('Control Mapping'!$C$5:$C$83=D366)*'Control Mapping'!$E$5:$E$83*('Control Mapping'!$Y$5:$Y$83&gt;0)),""))</f>
        <v>2.15789473684211</v>
      </c>
      <c r="M366" s="34" t="n">
        <f aca="false">IF(NOT(ISNUMBER($G366)),"",IF(J366=0,4,MAX(MATCH(L366,'Residual Config'!$E$11:$E$14,1),IF(K366&gt;0,'Residual Config'!$C$7,1))))</f>
        <v>3</v>
      </c>
      <c r="N366" s="7" t="str">
        <f aca="false">IF(NOT(ISNUMBER($G366)),"",IF(J366=0,"Ineffective (no key control)",INDEX('Residual Config'!$B$11:$B$14,M366)))</f>
        <v>Partially effective</v>
      </c>
      <c r="O366" s="36" t="n">
        <f aca="false">IF(NOT(ISNUMBER($G366)),"",IF(J366=0,0,SUMPRODUCT(('Control Mapping'!$C$5:$C$83=D366)*'Control Mapping'!$E$5:$E$83*(('Control Mapping'!$Y$5:$Y$83=1)*'Residual Config'!$D$11+('Control Mapping'!$Y$5:$Y$83=2)*'Residual Config'!$D$12+('Control Mapping'!$Y$5:$Y$83=3)*'Residual Config'!$D$13+('Control Mapping'!$Y$5:$Y$83=4)*'Residual Config'!$D$14))/SUMPRODUCT(('Control Mapping'!$C$5:$C$83=D366)*'Control Mapping'!$E$5:$E$83*('Control Mapping'!$Y$5:$Y$83&gt;0))))</f>
        <v>0.368421052631579</v>
      </c>
      <c r="P366" s="31" t="n">
        <f aca="false">IF(NOT(ISNUMBER($G366)),"",INDEX('Residual Config'!$B$19:$E$23,6-G366,M366))</f>
        <v>3</v>
      </c>
      <c r="Q366" s="29" t="n">
        <f aca="false">IF(NOT(ISNUMBER($G366)),"",MAX(1,F366*(1-O366)))</f>
        <v>1.89097744360902</v>
      </c>
      <c r="R366" s="31" t="n">
        <f aca="false">IF(NOT(ISNUMBER($G366)),"",MAX(MATCH(Q366,Config!$D$5:$D$9,1),G366-'Residual Config'!$C$6))</f>
        <v>2</v>
      </c>
      <c r="S366" s="34" t="n">
        <f aca="false">IF(NOT(ISNUMBER($G366)),"",IF('Residual Config'!$C$5="Numeric",R366,P366))</f>
        <v>3</v>
      </c>
      <c r="T366" s="7" t="str">
        <f aca="false">IF(G366="N/A","N/A",IF(S366="","No data",INDEX(Config!$B$5:$B$9,S366)))</f>
        <v>Medium</v>
      </c>
      <c r="U366" s="32" t="n">
        <v>0</v>
      </c>
      <c r="V366" s="8"/>
      <c r="W366" s="33"/>
      <c r="X366" s="34" t="n">
        <f aca="false">IF(S366="","",IF(AND(W366="Y",U366&lt;&gt;0),MAX(1,MIN(5,S366+MAX(-Config!$C$27,MIN(Config!$C$27,U366)))),S366))</f>
        <v>3</v>
      </c>
      <c r="Y366" s="35" t="str">
        <f aca="false">IF(G366="N/A","N/A",IF(X366="","No data",INDEX(Config!$B$5:$B$9,X366)))</f>
        <v>Medium</v>
      </c>
      <c r="Z366" s="7" t="str">
        <f aca="false">IF(U366=0,"None",IF(W366="Y","Applied","Pending HO approval"))</f>
        <v>None</v>
      </c>
      <c r="AA366" s="12" t="str">
        <f aca="false">INDEX('Risk Taxonomy'!$G$5:$G$24,MATCH(D366,'Risk Taxonomy'!$A$5:$A$24,0))</f>
        <v>Zero tolerance</v>
      </c>
      <c r="AB366" s="7" t="str">
        <f aca="false">INDEX('Risk Taxonomy'!$H$5:$H$24,MATCH(D366,'Risk Taxonomy'!$A$5:$A$24,0))</f>
        <v>Low</v>
      </c>
      <c r="AC366" s="35" t="str">
        <f aca="false">IF(NOT(ISNUMBER(X366)),"",IF(X366&lt;=MATCH(AB366,Config!$B$5:$B$9,0),"Within",IF(OR(X366-MATCH(AB366,Config!$B$5:$B$9,0)&gt;=2,AND('Residual Config'!$C$8="Y",ISNUMBER(SEARCH("Zero",AA366)))),"Red","Amber")))</f>
        <v>Red</v>
      </c>
      <c r="AD366" s="12" t="str">
        <f aca="false">IF(AC366="Red","Group CCO / CRO and Country CEO within 2 business days; action plan in 15 days; report to Board Risk &amp; Compliance Committee",IF(AC366="Amber","Country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67" customFormat="false" ht="15" hidden="false" customHeight="false" outlineLevel="0" collapsed="false">
      <c r="A367" s="26" t="str">
        <f aca="false">Entities!$A$23</f>
        <v>MA</v>
      </c>
      <c r="B367" s="12" t="str">
        <f aca="false">INDEX(Entities!$B$5:$B$34,MATCH(A367,Entities!$A$5:$A$34,0))</f>
        <v>Arab Bank – Morocco</v>
      </c>
      <c r="C367" s="12" t="str">
        <f aca="false">INDEX(Entities!$D$5:$D$34,MATCH(A367,Entities!$A$5:$A$34,0))</f>
        <v>North Africa</v>
      </c>
      <c r="D367" s="12" t="s">
        <v>270</v>
      </c>
      <c r="E367" s="12" t="str">
        <f aca="false">INDEX('Risk Taxonomy'!$B$5:$B$24,MATCH(D367,'Risk Taxonomy'!$A$5:$A$24,0))</f>
        <v>Proliferation financing</v>
      </c>
      <c r="F367" s="29" t="n">
        <f aca="false">IF(NOT(ISNUMBER(G367)),"",IFERROR(IF(MATCH(SUMIFS('FC Calculation'!$N$5:$N$214,'FC Calculation'!$A$5:$A$214,A367,'FC Calculation'!$D$5:$D$214,D367),Config!$D$5:$D$9,1)=G367,SUMIFS('FC Calculation'!$N$5:$N$214,'FC Calculation'!$A$5:$A$214,A367,'FC Calculation'!$D$5:$D$214,D367),G367),G367))</f>
        <v>2.9625</v>
      </c>
      <c r="G367" s="34" t="n">
        <f aca="false">IF(COUNTIFS('FC Calculation'!$A$5:$A$214,A367,'FC Calculation'!$D$5:$D$214,D367,'FC Calculation'!$T$5:$T$214,"&gt;0")=0,"",SUMIFS('FC Calculation'!$T$5:$T$214,'FC Calculation'!$A$5:$A$214,A367,'FC Calculation'!$D$5:$D$214,D367))</f>
        <v>3</v>
      </c>
      <c r="H367" s="7" t="str">
        <f aca="false">IF(G367="N/A","N/A",IF(G367="","No data",INDEX(Config!$B$5:$B$9,G367)))</f>
        <v>Medium</v>
      </c>
      <c r="I367" s="31" t="n">
        <f aca="false">IF(NOT(ISNUMBER($G367)),"",SUMPRODUCT(('Control Mapping'!$C$5:$C$83=D367)*('Control Mapping'!$Y$5:$Y$83&gt;0)))</f>
        <v>5</v>
      </c>
      <c r="J367" s="31" t="n">
        <f aca="false">IF(NOT(ISNUMBER($G367)),"",SUMPRODUCT(('Control Mapping'!$C$5:$C$83=D367)*('Control Mapping'!$F$5:$F$83="Y")*('Control Mapping'!$Y$5:$Y$83&gt;0)))</f>
        <v>5</v>
      </c>
      <c r="K367" s="31" t="n">
        <f aca="false">IF(NOT(ISNUMBER($G367)),"",SUMPRODUCT(('Control Mapping'!$C$5:$C$83=D367)*('Control Mapping'!$F$5:$F$83="Y")*('Control Mapping'!$Y$5:$Y$83=4)))</f>
        <v>1</v>
      </c>
      <c r="L367" s="29" t="n">
        <f aca="false">IF(NOT(ISNUMBER($G367)),"",IFERROR(SUMPRODUCT(('Control Mapping'!$C$5:$C$83=D367)*'Control Mapping'!$E$5:$E$83*'Control Mapping'!$Y$5:$Y$83)/SUMPRODUCT(('Control Mapping'!$C$5:$C$83=D367)*'Control Mapping'!$E$5:$E$83*('Control Mapping'!$Y$5:$Y$83&gt;0)),""))</f>
        <v>2.5</v>
      </c>
      <c r="M367" s="34" t="n">
        <f aca="false">IF(NOT(ISNUMBER($G367)),"",IF(J367=0,4,MAX(MATCH(L367,'Residual Config'!$E$11:$E$14,1),IF(K367&gt;0,'Residual Config'!$C$7,1))))</f>
        <v>3</v>
      </c>
      <c r="N367" s="7" t="str">
        <f aca="false">IF(NOT(ISNUMBER($G367)),"",IF(J367=0,"Ineffective (no key control)",INDEX('Residual Config'!$B$11:$B$14,M367)))</f>
        <v>Partially effective</v>
      </c>
      <c r="O367" s="36" t="n">
        <f aca="false">IF(NOT(ISNUMBER($G367)),"",IF(J367=0,0,SUMPRODUCT(('Control Mapping'!$C$5:$C$83=D367)*'Control Mapping'!$E$5:$E$83*(('Control Mapping'!$Y$5:$Y$83=1)*'Residual Config'!$D$11+('Control Mapping'!$Y$5:$Y$83=2)*'Residual Config'!$D$12+('Control Mapping'!$Y$5:$Y$83=3)*'Residual Config'!$D$13+('Control Mapping'!$Y$5:$Y$83=4)*'Residual Config'!$D$14))/SUMPRODUCT(('Control Mapping'!$C$5:$C$83=D367)*'Control Mapping'!$E$5:$E$83*('Control Mapping'!$Y$5:$Y$83&gt;0))))</f>
        <v>0.3</v>
      </c>
      <c r="P367" s="31" t="n">
        <f aca="false">IF(NOT(ISNUMBER($G367)),"",INDEX('Residual Config'!$B$19:$E$23,6-G367,M367))</f>
        <v>3</v>
      </c>
      <c r="Q367" s="29" t="n">
        <f aca="false">IF(NOT(ISNUMBER($G367)),"",MAX(1,F367*(1-O367)))</f>
        <v>2.07375</v>
      </c>
      <c r="R367" s="31" t="n">
        <f aca="false">IF(NOT(ISNUMBER($G367)),"",MAX(MATCH(Q367,Config!$D$5:$D$9,1),G367-'Residual Config'!$C$6))</f>
        <v>2</v>
      </c>
      <c r="S367" s="34" t="n">
        <f aca="false">IF(NOT(ISNUMBER($G367)),"",IF('Residual Config'!$C$5="Numeric",R367,P367))</f>
        <v>3</v>
      </c>
      <c r="T367" s="7" t="str">
        <f aca="false">IF(G367="N/A","N/A",IF(S367="","No data",INDEX(Config!$B$5:$B$9,S367)))</f>
        <v>Medium</v>
      </c>
      <c r="U367" s="32" t="n">
        <v>0</v>
      </c>
      <c r="V367" s="8"/>
      <c r="W367" s="33"/>
      <c r="X367" s="34" t="n">
        <f aca="false">IF(S367="","",IF(AND(W367="Y",U367&lt;&gt;0),MAX(1,MIN(5,S367+MAX(-Config!$C$27,MIN(Config!$C$27,U367)))),S367))</f>
        <v>3</v>
      </c>
      <c r="Y367" s="35" t="str">
        <f aca="false">IF(G367="N/A","N/A",IF(X367="","No data",INDEX(Config!$B$5:$B$9,X367)))</f>
        <v>Medium</v>
      </c>
      <c r="Z367" s="7" t="str">
        <f aca="false">IF(U367=0,"None",IF(W367="Y","Applied","Pending HO approval"))</f>
        <v>None</v>
      </c>
      <c r="AA367" s="12" t="str">
        <f aca="false">INDEX('Risk Taxonomy'!$G$5:$G$24,MATCH(D367,'Risk Taxonomy'!$A$5:$A$24,0))</f>
        <v>Zero tolerance</v>
      </c>
      <c r="AB367" s="7" t="str">
        <f aca="false">INDEX('Risk Taxonomy'!$H$5:$H$24,MATCH(D367,'Risk Taxonomy'!$A$5:$A$24,0))</f>
        <v>Low</v>
      </c>
      <c r="AC367" s="35" t="str">
        <f aca="false">IF(NOT(ISNUMBER(X367)),"",IF(X367&lt;=MATCH(AB367,Config!$B$5:$B$9,0),"Within",IF(OR(X367-MATCH(AB367,Config!$B$5:$B$9,0)&gt;=2,AND('Residual Config'!$C$8="Y",ISNUMBER(SEARCH("Zero",AA367)))),"Red","Amber")))</f>
        <v>Red</v>
      </c>
      <c r="AD367" s="12" t="str">
        <f aca="false">IF(AC367="Red","Group CCO / CRO and Country CEO within 2 business days; action plan in 15 days; report to Board Risk &amp; Compliance Committee",IF(AC367="Amber","Country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68" customFormat="false" ht="15" hidden="false" customHeight="false" outlineLevel="0" collapsed="false">
      <c r="A368" s="26" t="str">
        <f aca="false">Entities!$A$23</f>
        <v>MA</v>
      </c>
      <c r="B368" s="12" t="str">
        <f aca="false">INDEX(Entities!$B$5:$B$34,MATCH(A368,Entities!$A$5:$A$34,0))</f>
        <v>Arab Bank – Morocco</v>
      </c>
      <c r="C368" s="12" t="str">
        <f aca="false">INDEX(Entities!$D$5:$D$34,MATCH(A368,Entities!$A$5:$A$34,0))</f>
        <v>North Africa</v>
      </c>
      <c r="D368" s="12" t="s">
        <v>272</v>
      </c>
      <c r="E368" s="12" t="str">
        <f aca="false">INDEX('Risk Taxonomy'!$B$5:$B$24,MATCH(D368,'Risk Taxonomy'!$A$5:$A$24,0))</f>
        <v>Sanctions</v>
      </c>
      <c r="F368" s="29" t="n">
        <f aca="false">IF(NOT(ISNUMBER(G368)),"",IFERROR(IF(MATCH(SUMIFS('FC Calculation'!$N$5:$N$214,'FC Calculation'!$A$5:$A$214,A368,'FC Calculation'!$D$5:$D$214,D368),Config!$D$5:$D$9,1)=G368,SUMIFS('FC Calculation'!$N$5:$N$214,'FC Calculation'!$A$5:$A$214,A368,'FC Calculation'!$D$5:$D$214,D368),G368),G368))</f>
        <v>3.10238095238095</v>
      </c>
      <c r="G368" s="34" t="n">
        <f aca="false">IF(COUNTIFS('FC Calculation'!$A$5:$A$214,A368,'FC Calculation'!$D$5:$D$214,D368,'FC Calculation'!$T$5:$T$214,"&gt;0")=0,"",SUMIFS('FC Calculation'!$T$5:$T$214,'FC Calculation'!$A$5:$A$214,A368,'FC Calculation'!$D$5:$D$214,D368))</f>
        <v>3</v>
      </c>
      <c r="H368" s="7" t="str">
        <f aca="false">IF(G368="N/A","N/A",IF(G368="","No data",INDEX(Config!$B$5:$B$9,G368)))</f>
        <v>Medium</v>
      </c>
      <c r="I368" s="31" t="n">
        <f aca="false">IF(NOT(ISNUMBER($G368)),"",SUMPRODUCT(('Control Mapping'!$C$5:$C$83=D368)*('Control Mapping'!$Y$5:$Y$83&gt;0)))</f>
        <v>8</v>
      </c>
      <c r="J368" s="31" t="n">
        <f aca="false">IF(NOT(ISNUMBER($G368)),"",SUMPRODUCT(('Control Mapping'!$C$5:$C$83=D368)*('Control Mapping'!$F$5:$F$83="Y")*('Control Mapping'!$Y$5:$Y$83&gt;0)))</f>
        <v>5</v>
      </c>
      <c r="K368" s="31" t="n">
        <f aca="false">IF(NOT(ISNUMBER($G368)),"",SUMPRODUCT(('Control Mapping'!$C$5:$C$83=D368)*('Control Mapping'!$F$5:$F$83="Y")*('Control Mapping'!$Y$5:$Y$83=4)))</f>
        <v>1</v>
      </c>
      <c r="L368" s="29" t="n">
        <f aca="false">IF(NOT(ISNUMBER($G368)),"",IFERROR(SUMPRODUCT(('Control Mapping'!$C$5:$C$83=D368)*'Control Mapping'!$E$5:$E$83*'Control Mapping'!$Y$5:$Y$83)/SUMPRODUCT(('Control Mapping'!$C$5:$C$83=D368)*'Control Mapping'!$E$5:$E$83*('Control Mapping'!$Y$5:$Y$83&gt;0)),""))</f>
        <v>2.72727272727273</v>
      </c>
      <c r="M368" s="34" t="n">
        <f aca="false">IF(NOT(ISNUMBER($G368)),"",IF(J368=0,4,MAX(MATCH(L368,'Residual Config'!$E$11:$E$14,1),IF(K368&gt;0,'Residual Config'!$C$7,1))))</f>
        <v>3</v>
      </c>
      <c r="N368" s="7" t="str">
        <f aca="false">IF(NOT(ISNUMBER($G368)),"",IF(J368=0,"Ineffective (no key control)",INDEX('Residual Config'!$B$11:$B$14,M368)))</f>
        <v>Partially effective</v>
      </c>
      <c r="O368" s="36" t="n">
        <f aca="false">IF(NOT(ISNUMBER($G368)),"",IF(J368=0,0,SUMPRODUCT(('Control Mapping'!$C$5:$C$83=D368)*'Control Mapping'!$E$5:$E$83*(('Control Mapping'!$Y$5:$Y$83=1)*'Residual Config'!$D$11+('Control Mapping'!$Y$5:$Y$83=2)*'Residual Config'!$D$12+('Control Mapping'!$Y$5:$Y$83=3)*'Residual Config'!$D$13+('Control Mapping'!$Y$5:$Y$83=4)*'Residual Config'!$D$14))/SUMPRODUCT(('Control Mapping'!$C$5:$C$83=D368)*'Control Mapping'!$E$5:$E$83*('Control Mapping'!$Y$5:$Y$83&gt;0))))</f>
        <v>0.254545454545455</v>
      </c>
      <c r="P368" s="31" t="n">
        <f aca="false">IF(NOT(ISNUMBER($G368)),"",INDEX('Residual Config'!$B$19:$E$23,6-G368,M368))</f>
        <v>3</v>
      </c>
      <c r="Q368" s="29" t="n">
        <f aca="false">IF(NOT(ISNUMBER($G368)),"",MAX(1,F368*(1-O368)))</f>
        <v>2.31268398268398</v>
      </c>
      <c r="R368" s="31" t="n">
        <f aca="false">IF(NOT(ISNUMBER($G368)),"",MAX(MATCH(Q368,Config!$D$5:$D$9,1),G368-'Residual Config'!$C$6))</f>
        <v>2</v>
      </c>
      <c r="S368" s="34" t="n">
        <f aca="false">IF(NOT(ISNUMBER($G368)),"",IF('Residual Config'!$C$5="Numeric",R368,P368))</f>
        <v>3</v>
      </c>
      <c r="T368" s="7" t="str">
        <f aca="false">IF(G368="N/A","N/A",IF(S368="","No data",INDEX(Config!$B$5:$B$9,S368)))</f>
        <v>Medium</v>
      </c>
      <c r="U368" s="32" t="n">
        <v>0</v>
      </c>
      <c r="V368" s="8"/>
      <c r="W368" s="33"/>
      <c r="X368" s="34" t="n">
        <f aca="false">IF(S368="","",IF(AND(W368="Y",U368&lt;&gt;0),MAX(1,MIN(5,S368+MAX(-Config!$C$27,MIN(Config!$C$27,U368)))),S368))</f>
        <v>3</v>
      </c>
      <c r="Y368" s="35" t="str">
        <f aca="false">IF(G368="N/A","N/A",IF(X368="","No data",INDEX(Config!$B$5:$B$9,X368)))</f>
        <v>Medium</v>
      </c>
      <c r="Z368" s="7" t="str">
        <f aca="false">IF(U368=0,"None",IF(W368="Y","Applied","Pending HO approval"))</f>
        <v>None</v>
      </c>
      <c r="AA368" s="12" t="str">
        <f aca="false">INDEX('Risk Taxonomy'!$G$5:$G$24,MATCH(D368,'Risk Taxonomy'!$A$5:$A$24,0))</f>
        <v>Zero tolerance</v>
      </c>
      <c r="AB368" s="7" t="str">
        <f aca="false">INDEX('Risk Taxonomy'!$H$5:$H$24,MATCH(D368,'Risk Taxonomy'!$A$5:$A$24,0))</f>
        <v>Low</v>
      </c>
      <c r="AC368" s="35" t="str">
        <f aca="false">IF(NOT(ISNUMBER(X368)),"",IF(X368&lt;=MATCH(AB368,Config!$B$5:$B$9,0),"Within",IF(OR(X368-MATCH(AB368,Config!$B$5:$B$9,0)&gt;=2,AND('Residual Config'!$C$8="Y",ISNUMBER(SEARCH("Zero",AA368)))),"Red","Amber")))</f>
        <v>Red</v>
      </c>
      <c r="AD368" s="12" t="str">
        <f aca="false">IF(AC368="Red","Group CCO / CRO and Country CEO within 2 business days; action plan in 15 days; report to Board Risk &amp; Compliance Committee",IF(AC368="Amber","Country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69" customFormat="false" ht="15" hidden="false" customHeight="false" outlineLevel="0" collapsed="false">
      <c r="A369" s="26" t="str">
        <f aca="false">Entities!$A$23</f>
        <v>MA</v>
      </c>
      <c r="B369" s="12" t="str">
        <f aca="false">INDEX(Entities!$B$5:$B$34,MATCH(A369,Entities!$A$5:$A$34,0))</f>
        <v>Arab Bank – Morocco</v>
      </c>
      <c r="C369" s="12" t="str">
        <f aca="false">INDEX(Entities!$D$5:$D$34,MATCH(A369,Entities!$A$5:$A$34,0))</f>
        <v>North Africa</v>
      </c>
      <c r="D369" s="12" t="s">
        <v>275</v>
      </c>
      <c r="E369" s="12" t="str">
        <f aca="false">INDEX('Risk Taxonomy'!$B$5:$B$24,MATCH(D369,'Risk Taxonomy'!$A$5:$A$24,0))</f>
        <v>Bribery and corruption</v>
      </c>
      <c r="F369" s="29" t="n">
        <f aca="false">IF(NOT(ISNUMBER(G369)),"",IFERROR(IF(MATCH(SUMIFS('FC Calculation'!$N$5:$N$214,'FC Calculation'!$A$5:$A$214,A369,'FC Calculation'!$D$5:$D$214,D369),Config!$D$5:$D$9,1)=G369,SUMIFS('FC Calculation'!$N$5:$N$214,'FC Calculation'!$A$5:$A$214,A369,'FC Calculation'!$D$5:$D$214,D369),G369),G369))</f>
        <v>3.10833333333333</v>
      </c>
      <c r="G369" s="34" t="n">
        <f aca="false">IF(COUNTIFS('FC Calculation'!$A$5:$A$214,A369,'FC Calculation'!$D$5:$D$214,D369,'FC Calculation'!$T$5:$T$214,"&gt;0")=0,"",SUMIFS('FC Calculation'!$T$5:$T$214,'FC Calculation'!$A$5:$A$214,A369,'FC Calculation'!$D$5:$D$214,D369))</f>
        <v>3</v>
      </c>
      <c r="H369" s="7" t="str">
        <f aca="false">IF(G369="N/A","N/A",IF(G369="","No data",INDEX(Config!$B$5:$B$9,G369)))</f>
        <v>Medium</v>
      </c>
      <c r="I369" s="31" t="n">
        <f aca="false">IF(NOT(ISNUMBER($G369)),"",SUMPRODUCT(('Control Mapping'!$C$5:$C$83=D369)*('Control Mapping'!$Y$5:$Y$83&gt;0)))</f>
        <v>5</v>
      </c>
      <c r="J369" s="31" t="n">
        <f aca="false">IF(NOT(ISNUMBER($G369)),"",SUMPRODUCT(('Control Mapping'!$C$5:$C$83=D369)*('Control Mapping'!$F$5:$F$83="Y")*('Control Mapping'!$Y$5:$Y$83&gt;0)))</f>
        <v>2</v>
      </c>
      <c r="K369" s="31" t="n">
        <f aca="false">IF(NOT(ISNUMBER($G369)),"",SUMPRODUCT(('Control Mapping'!$C$5:$C$83=D369)*('Control Mapping'!$F$5:$F$83="Y")*('Control Mapping'!$Y$5:$Y$83=4)))</f>
        <v>1</v>
      </c>
      <c r="L369" s="29" t="n">
        <f aca="false">IF(NOT(ISNUMBER($G369)),"",IFERROR(SUMPRODUCT(('Control Mapping'!$C$5:$C$83=D369)*'Control Mapping'!$E$5:$E$83*'Control Mapping'!$Y$5:$Y$83)/SUMPRODUCT(('Control Mapping'!$C$5:$C$83=D369)*'Control Mapping'!$E$5:$E$83*('Control Mapping'!$Y$5:$Y$83&gt;0)),""))</f>
        <v>2.22222222222222</v>
      </c>
      <c r="M369" s="34" t="n">
        <f aca="false">IF(NOT(ISNUMBER($G369)),"",IF(J369=0,4,MAX(MATCH(L369,'Residual Config'!$E$11:$E$14,1),IF(K369&gt;0,'Residual Config'!$C$7,1))))</f>
        <v>3</v>
      </c>
      <c r="N369" s="7" t="str">
        <f aca="false">IF(NOT(ISNUMBER($G369)),"",IF(J369=0,"Ineffective (no key control)",INDEX('Residual Config'!$B$11:$B$14,M369)))</f>
        <v>Partially effective</v>
      </c>
      <c r="O369" s="36" t="n">
        <f aca="false">IF(NOT(ISNUMBER($G369)),"",IF(J369=0,0,SUMPRODUCT(('Control Mapping'!$C$5:$C$83=D369)*'Control Mapping'!$E$5:$E$83*(('Control Mapping'!$Y$5:$Y$83=1)*'Residual Config'!$D$11+('Control Mapping'!$Y$5:$Y$83=2)*'Residual Config'!$D$12+('Control Mapping'!$Y$5:$Y$83=3)*'Residual Config'!$D$13+('Control Mapping'!$Y$5:$Y$83=4)*'Residual Config'!$D$14))/SUMPRODUCT(('Control Mapping'!$C$5:$C$83=D369)*'Control Mapping'!$E$5:$E$83*('Control Mapping'!$Y$5:$Y$83&gt;0))))</f>
        <v>0.355555555555556</v>
      </c>
      <c r="P369" s="31" t="n">
        <f aca="false">IF(NOT(ISNUMBER($G369)),"",INDEX('Residual Config'!$B$19:$E$23,6-G369,M369))</f>
        <v>3</v>
      </c>
      <c r="Q369" s="29" t="n">
        <f aca="false">IF(NOT(ISNUMBER($G369)),"",MAX(1,F369*(1-O369)))</f>
        <v>2.00314814814815</v>
      </c>
      <c r="R369" s="31" t="n">
        <f aca="false">IF(NOT(ISNUMBER($G369)),"",MAX(MATCH(Q369,Config!$D$5:$D$9,1),G369-'Residual Config'!$C$6))</f>
        <v>2</v>
      </c>
      <c r="S369" s="34" t="n">
        <f aca="false">IF(NOT(ISNUMBER($G369)),"",IF('Residual Config'!$C$5="Numeric",R369,P369))</f>
        <v>3</v>
      </c>
      <c r="T369" s="7" t="str">
        <f aca="false">IF(G369="N/A","N/A",IF(S369="","No data",INDEX(Config!$B$5:$B$9,S369)))</f>
        <v>Medium</v>
      </c>
      <c r="U369" s="32" t="n">
        <v>0</v>
      </c>
      <c r="V369" s="8"/>
      <c r="W369" s="33"/>
      <c r="X369" s="34" t="n">
        <f aca="false">IF(S369="","",IF(AND(W369="Y",U369&lt;&gt;0),MAX(1,MIN(5,S369+MAX(-Config!$C$27,MIN(Config!$C$27,U369)))),S369))</f>
        <v>3</v>
      </c>
      <c r="Y369" s="35" t="str">
        <f aca="false">IF(G369="N/A","N/A",IF(X369="","No data",INDEX(Config!$B$5:$B$9,X369)))</f>
        <v>Medium</v>
      </c>
      <c r="Z369" s="7" t="str">
        <f aca="false">IF(U369=0,"None",IF(W369="Y","Applied","Pending HO approval"))</f>
        <v>None</v>
      </c>
      <c r="AA369" s="12" t="str">
        <f aca="false">INDEX('Risk Taxonomy'!$G$5:$G$24,MATCH(D369,'Risk Taxonomy'!$A$5:$A$24,0))</f>
        <v>Zero tolerance</v>
      </c>
      <c r="AB369" s="7" t="str">
        <f aca="false">INDEX('Risk Taxonomy'!$H$5:$H$24,MATCH(D369,'Risk Taxonomy'!$A$5:$A$24,0))</f>
        <v>Low</v>
      </c>
      <c r="AC369" s="35" t="str">
        <f aca="false">IF(NOT(ISNUMBER(X369)),"",IF(X369&lt;=MATCH(AB369,Config!$B$5:$B$9,0),"Within",IF(OR(X369-MATCH(AB369,Config!$B$5:$B$9,0)&gt;=2,AND('Residual Config'!$C$8="Y",ISNUMBER(SEARCH("Zero",AA369)))),"Red","Amber")))</f>
        <v>Red</v>
      </c>
      <c r="AD369" s="12" t="str">
        <f aca="false">IF(AC369="Red","Group CCO / CRO and Country CEO within 2 business days; action plan in 15 days; report to Board Risk &amp; Compliance Committee",IF(AC369="Amber","Country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70" customFormat="false" ht="15" hidden="false" customHeight="false" outlineLevel="0" collapsed="false">
      <c r="A370" s="26" t="str">
        <f aca="false">Entities!$A$23</f>
        <v>MA</v>
      </c>
      <c r="B370" s="12" t="str">
        <f aca="false">INDEX(Entities!$B$5:$B$34,MATCH(A370,Entities!$A$5:$A$34,0))</f>
        <v>Arab Bank – Morocco</v>
      </c>
      <c r="C370" s="12" t="str">
        <f aca="false">INDEX(Entities!$D$5:$D$34,MATCH(A370,Entities!$A$5:$A$34,0))</f>
        <v>North Africa</v>
      </c>
      <c r="D370" s="12" t="s">
        <v>278</v>
      </c>
      <c r="E370" s="12" t="str">
        <f aca="false">INDEX('Risk Taxonomy'!$B$5:$B$24,MATCH(D370,'Risk Taxonomy'!$A$5:$A$24,0))</f>
        <v>Fraud</v>
      </c>
      <c r="F370" s="29" t="n">
        <f aca="false">IF(NOT(ISNUMBER(G370)),"",IFERROR(IF(MATCH(SUMIFS('FC Calculation'!$N$5:$N$214,'FC Calculation'!$A$5:$A$214,A370,'FC Calculation'!$D$5:$D$214,D370),Config!$D$5:$D$9,1)=G370,SUMIFS('FC Calculation'!$N$5:$N$214,'FC Calculation'!$A$5:$A$214,A370,'FC Calculation'!$D$5:$D$214,D370),G370),G370))</f>
        <v>3.33166666666667</v>
      </c>
      <c r="G370" s="34" t="n">
        <f aca="false">IF(COUNTIFS('FC Calculation'!$A$5:$A$214,A370,'FC Calculation'!$D$5:$D$214,D370,'FC Calculation'!$T$5:$T$214,"&gt;0")=0,"",SUMIFS('FC Calculation'!$T$5:$T$214,'FC Calculation'!$A$5:$A$214,A370,'FC Calculation'!$D$5:$D$214,D370))</f>
        <v>3</v>
      </c>
      <c r="H370" s="7" t="str">
        <f aca="false">IF(G370="N/A","N/A",IF(G370="","No data",INDEX(Config!$B$5:$B$9,G370)))</f>
        <v>Medium</v>
      </c>
      <c r="I370" s="31" t="n">
        <f aca="false">IF(NOT(ISNUMBER($G370)),"",SUMPRODUCT(('Control Mapping'!$C$5:$C$83=D370)*('Control Mapping'!$Y$5:$Y$83&gt;0)))</f>
        <v>6</v>
      </c>
      <c r="J370" s="31" t="n">
        <f aca="false">IF(NOT(ISNUMBER($G370)),"",SUMPRODUCT(('Control Mapping'!$C$5:$C$83=D370)*('Control Mapping'!$F$5:$F$83="Y")*('Control Mapping'!$Y$5:$Y$83&gt;0)))</f>
        <v>5</v>
      </c>
      <c r="K370" s="31" t="n">
        <f aca="false">IF(NOT(ISNUMBER($G370)),"",SUMPRODUCT(('Control Mapping'!$C$5:$C$83=D370)*('Control Mapping'!$F$5:$F$83="Y")*('Control Mapping'!$Y$5:$Y$83=4)))</f>
        <v>0</v>
      </c>
      <c r="L370" s="29" t="n">
        <f aca="false">IF(NOT(ISNUMBER($G370)),"",IFERROR(SUMPRODUCT(('Control Mapping'!$C$5:$C$83=D370)*'Control Mapping'!$E$5:$E$83*'Control Mapping'!$Y$5:$Y$83)/SUMPRODUCT(('Control Mapping'!$C$5:$C$83=D370)*'Control Mapping'!$E$5:$E$83*('Control Mapping'!$Y$5:$Y$83&gt;0)),""))</f>
        <v>1.6</v>
      </c>
      <c r="M370" s="34" t="n">
        <f aca="false">IF(NOT(ISNUMBER($G370)),"",IF(J370=0,4,MAX(MATCH(L370,'Residual Config'!$E$11:$E$14,1),IF(K370&gt;0,'Residual Config'!$C$7,1))))</f>
        <v>2</v>
      </c>
      <c r="N370" s="7" t="str">
        <f aca="false">IF(NOT(ISNUMBER($G370)),"",IF(J370=0,"Ineffective (no key control)",INDEX('Residual Config'!$B$11:$B$14,M370)))</f>
        <v>Largely effective</v>
      </c>
      <c r="O370" s="36" t="n">
        <f aca="false">IF(NOT(ISNUMBER($G370)),"",IF(J370=0,0,SUMPRODUCT(('Control Mapping'!$C$5:$C$83=D370)*'Control Mapping'!$E$5:$E$83*(('Control Mapping'!$Y$5:$Y$83=1)*'Residual Config'!$D$11+('Control Mapping'!$Y$5:$Y$83=2)*'Residual Config'!$D$12+('Control Mapping'!$Y$5:$Y$83=3)*'Residual Config'!$D$13+('Control Mapping'!$Y$5:$Y$83=4)*'Residual Config'!$D$14))/SUMPRODUCT(('Control Mapping'!$C$5:$C$83=D370)*'Control Mapping'!$E$5:$E$83*('Control Mapping'!$Y$5:$Y$83&gt;0))))</f>
        <v>0.48</v>
      </c>
      <c r="P370" s="31" t="n">
        <f aca="false">IF(NOT(ISNUMBER($G370)),"",INDEX('Residual Config'!$B$19:$E$23,6-G370,M370))</f>
        <v>2</v>
      </c>
      <c r="Q370" s="29" t="n">
        <f aca="false">IF(NOT(ISNUMBER($G370)),"",MAX(1,F370*(1-O370)))</f>
        <v>1.73246666666667</v>
      </c>
      <c r="R370" s="31" t="n">
        <f aca="false">IF(NOT(ISNUMBER($G370)),"",MAX(MATCH(Q370,Config!$D$5:$D$9,1),G370-'Residual Config'!$C$6))</f>
        <v>1</v>
      </c>
      <c r="S370" s="34" t="n">
        <f aca="false">IF(NOT(ISNUMBER($G370)),"",IF('Residual Config'!$C$5="Numeric",R370,P370))</f>
        <v>2</v>
      </c>
      <c r="T370" s="7" t="str">
        <f aca="false">IF(G370="N/A","N/A",IF(S370="","No data",INDEX(Config!$B$5:$B$9,S370)))</f>
        <v>Medium-Low</v>
      </c>
      <c r="U370" s="32" t="n">
        <v>0</v>
      </c>
      <c r="V370" s="8"/>
      <c r="W370" s="33"/>
      <c r="X370" s="34" t="n">
        <f aca="false">IF(S370="","",IF(AND(W370="Y",U370&lt;&gt;0),MAX(1,MIN(5,S370+MAX(-Config!$C$27,MIN(Config!$C$27,U370)))),S370))</f>
        <v>2</v>
      </c>
      <c r="Y370" s="35" t="str">
        <f aca="false">IF(G370="N/A","N/A",IF(X370="","No data",INDEX(Config!$B$5:$B$9,X370)))</f>
        <v>Medium-Low</v>
      </c>
      <c r="Z370" s="7" t="str">
        <f aca="false">IF(U370=0,"None",IF(W370="Y","Applied","Pending HO approval"))</f>
        <v>None</v>
      </c>
      <c r="AA370" s="12" t="str">
        <f aca="false">INDEX('Risk Taxonomy'!$G$5:$G$24,MATCH(D370,'Risk Taxonomy'!$A$5:$A$24,0))</f>
        <v>Low</v>
      </c>
      <c r="AB370" s="7" t="str">
        <f aca="false">INDEX('Risk Taxonomy'!$H$5:$H$24,MATCH(D370,'Risk Taxonomy'!$A$5:$A$24,0))</f>
        <v>Medium</v>
      </c>
      <c r="AC370" s="35" t="str">
        <f aca="false">IF(NOT(ISNUMBER(X370)),"",IF(X370&lt;=MATCH(AB370,Config!$B$5:$B$9,0),"Within",IF(OR(X370-MATCH(AB370,Config!$B$5:$B$9,0)&gt;=2,AND('Residual Config'!$C$8="Y",ISNUMBER(SEARCH("Zero",AA370)))),"Red","Amber")))</f>
        <v>Within</v>
      </c>
      <c r="AD370" s="12" t="str">
        <f aca="false">IF(AC370="Red","Group CCO / CRO and Country CEO within 2 business days; action plan in 15 days; report to Board Risk &amp; Compliance Committee",IF(AC370="Amber","Country CO, risk owner and HO Administrator within 5 business days; action plan in 30 days",""))</f>
        <v/>
      </c>
    </row>
    <row r="371" customFormat="false" ht="15" hidden="false" customHeight="false" outlineLevel="0" collapsed="false">
      <c r="A371" s="26" t="str">
        <f aca="false">Entities!$A$23</f>
        <v>MA</v>
      </c>
      <c r="B371" s="12" t="str">
        <f aca="false">INDEX(Entities!$B$5:$B$34,MATCH(A371,Entities!$A$5:$A$34,0))</f>
        <v>Arab Bank – Morocco</v>
      </c>
      <c r="C371" s="12" t="str">
        <f aca="false">INDEX(Entities!$D$5:$D$34,MATCH(A371,Entities!$A$5:$A$34,0))</f>
        <v>North Africa</v>
      </c>
      <c r="D371" s="12" t="s">
        <v>281</v>
      </c>
      <c r="E371" s="12" t="str">
        <f aca="false">INDEX('Risk Taxonomy'!$B$5:$B$24,MATCH(D371,'Risk Taxonomy'!$A$5:$A$24,0))</f>
        <v>Tax evasion and tax transparency</v>
      </c>
      <c r="F371" s="29" t="n">
        <f aca="false">IF(NOT(ISNUMBER(G371)),"",IFERROR(IF(MATCH(SUMIFS('FC Calculation'!$N$5:$N$214,'FC Calculation'!$A$5:$A$214,A371,'FC Calculation'!$D$5:$D$214,D371),Config!$D$5:$D$9,1)=G371,SUMIFS('FC Calculation'!$N$5:$N$214,'FC Calculation'!$A$5:$A$214,A371,'FC Calculation'!$D$5:$D$214,D371),G371),G371))</f>
        <v>2.90277777777778</v>
      </c>
      <c r="G371" s="34" t="n">
        <f aca="false">IF(COUNTIFS('FC Calculation'!$A$5:$A$214,A371,'FC Calculation'!$D$5:$D$214,D371,'FC Calculation'!$T$5:$T$214,"&gt;0")=0,"",SUMIFS('FC Calculation'!$T$5:$T$214,'FC Calculation'!$A$5:$A$214,A371,'FC Calculation'!$D$5:$D$214,D371))</f>
        <v>3</v>
      </c>
      <c r="H371" s="7" t="str">
        <f aca="false">IF(G371="N/A","N/A",IF(G371="","No data",INDEX(Config!$B$5:$B$9,G371)))</f>
        <v>Medium</v>
      </c>
      <c r="I371" s="31" t="n">
        <f aca="false">IF(NOT(ISNUMBER($G371)),"",SUMPRODUCT(('Control Mapping'!$C$5:$C$83=D371)*('Control Mapping'!$Y$5:$Y$83&gt;0)))</f>
        <v>5</v>
      </c>
      <c r="J371" s="31" t="n">
        <f aca="false">IF(NOT(ISNUMBER($G371)),"",SUMPRODUCT(('Control Mapping'!$C$5:$C$83=D371)*('Control Mapping'!$F$5:$F$83="Y")*('Control Mapping'!$Y$5:$Y$83&gt;0)))</f>
        <v>4</v>
      </c>
      <c r="K371" s="31" t="n">
        <f aca="false">IF(NOT(ISNUMBER($G371)),"",SUMPRODUCT(('Control Mapping'!$C$5:$C$83=D371)*('Control Mapping'!$F$5:$F$83="Y")*('Control Mapping'!$Y$5:$Y$83=4)))</f>
        <v>0</v>
      </c>
      <c r="L371" s="29" t="n">
        <f aca="false">IF(NOT(ISNUMBER($G371)),"",IFERROR(SUMPRODUCT(('Control Mapping'!$C$5:$C$83=D371)*'Control Mapping'!$E$5:$E$83*'Control Mapping'!$Y$5:$Y$83)/SUMPRODUCT(('Control Mapping'!$C$5:$C$83=D371)*'Control Mapping'!$E$5:$E$83*('Control Mapping'!$Y$5:$Y$83&gt;0)),""))</f>
        <v>1.88888888888889</v>
      </c>
      <c r="M371" s="34" t="n">
        <f aca="false">IF(NOT(ISNUMBER($G371)),"",IF(J371=0,4,MAX(MATCH(L371,'Residual Config'!$E$11:$E$14,1),IF(K371&gt;0,'Residual Config'!$C$7,1))))</f>
        <v>2</v>
      </c>
      <c r="N371" s="7" t="str">
        <f aca="false">IF(NOT(ISNUMBER($G371)),"",IF(J371=0,"Ineffective (no key control)",INDEX('Residual Config'!$B$11:$B$14,M371)))</f>
        <v>Largely effective</v>
      </c>
      <c r="O371" s="36" t="n">
        <f aca="false">IF(NOT(ISNUMBER($G371)),"",IF(J371=0,0,SUMPRODUCT(('Control Mapping'!$C$5:$C$83=D371)*'Control Mapping'!$E$5:$E$83*(('Control Mapping'!$Y$5:$Y$83=1)*'Residual Config'!$D$11+('Control Mapping'!$Y$5:$Y$83=2)*'Residual Config'!$D$12+('Control Mapping'!$Y$5:$Y$83=3)*'Residual Config'!$D$13+('Control Mapping'!$Y$5:$Y$83=4)*'Residual Config'!$D$14))/SUMPRODUCT(('Control Mapping'!$C$5:$C$83=D371)*'Control Mapping'!$E$5:$E$83*('Control Mapping'!$Y$5:$Y$83&gt;0))))</f>
        <v>0.422222222222222</v>
      </c>
      <c r="P371" s="31" t="n">
        <f aca="false">IF(NOT(ISNUMBER($G371)),"",INDEX('Residual Config'!$B$19:$E$23,6-G371,M371))</f>
        <v>2</v>
      </c>
      <c r="Q371" s="29" t="n">
        <f aca="false">IF(NOT(ISNUMBER($G371)),"",MAX(1,F371*(1-O371)))</f>
        <v>1.67716049382716</v>
      </c>
      <c r="R371" s="31" t="n">
        <f aca="false">IF(NOT(ISNUMBER($G371)),"",MAX(MATCH(Q371,Config!$D$5:$D$9,1),G371-'Residual Config'!$C$6))</f>
        <v>1</v>
      </c>
      <c r="S371" s="34" t="n">
        <f aca="false">IF(NOT(ISNUMBER($G371)),"",IF('Residual Config'!$C$5="Numeric",R371,P371))</f>
        <v>2</v>
      </c>
      <c r="T371" s="7" t="str">
        <f aca="false">IF(G371="N/A","N/A",IF(S371="","No data",INDEX(Config!$B$5:$B$9,S371)))</f>
        <v>Medium-Low</v>
      </c>
      <c r="U371" s="32" t="n">
        <v>0</v>
      </c>
      <c r="V371" s="8"/>
      <c r="W371" s="33"/>
      <c r="X371" s="34" t="n">
        <f aca="false">IF(S371="","",IF(AND(W371="Y",U371&lt;&gt;0),MAX(1,MIN(5,S371+MAX(-Config!$C$27,MIN(Config!$C$27,U371)))),S371))</f>
        <v>2</v>
      </c>
      <c r="Y371" s="35" t="str">
        <f aca="false">IF(G371="N/A","N/A",IF(X371="","No data",INDEX(Config!$B$5:$B$9,X371)))</f>
        <v>Medium-Low</v>
      </c>
      <c r="Z371" s="7" t="str">
        <f aca="false">IF(U371=0,"None",IF(W371="Y","Applied","Pending HO approval"))</f>
        <v>None</v>
      </c>
      <c r="AA371" s="12" t="str">
        <f aca="false">INDEX('Risk Taxonomy'!$G$5:$G$24,MATCH(D371,'Risk Taxonomy'!$A$5:$A$24,0))</f>
        <v>Zero tolerance (facilitation)</v>
      </c>
      <c r="AB371" s="7" t="str">
        <f aca="false">INDEX('Risk Taxonomy'!$H$5:$H$24,MATCH(D371,'Risk Taxonomy'!$A$5:$A$24,0))</f>
        <v>Low</v>
      </c>
      <c r="AC371" s="35" t="str">
        <f aca="false">IF(NOT(ISNUMBER(X371)),"",IF(X371&lt;=MATCH(AB371,Config!$B$5:$B$9,0),"Within",IF(OR(X371-MATCH(AB371,Config!$B$5:$B$9,0)&gt;=2,AND('Residual Config'!$C$8="Y",ISNUMBER(SEARCH("Zero",AA371)))),"Red","Amber")))</f>
        <v>Amber</v>
      </c>
      <c r="AD371" s="12" t="str">
        <f aca="false">IF(AC371="Red","Group CCO / CRO and Country CEO within 2 business days; action plan in 15 days; report to Board Risk &amp; Compliance Committee",IF(AC371="Amber","Country CO, risk owner and HO Administrator within 5 business days; action plan in 30 days",""))</f>
        <v>Country CO, risk owner and HO Administrator within 5 business days; action plan in 30 days</v>
      </c>
    </row>
    <row r="372" customFormat="false" ht="15" hidden="false" customHeight="false" outlineLevel="0" collapsed="false">
      <c r="A372" s="26" t="str">
        <f aca="false">Entities!$A$23</f>
        <v>MA</v>
      </c>
      <c r="B372" s="12" t="str">
        <f aca="false">INDEX(Entities!$B$5:$B$34,MATCH(A372,Entities!$A$5:$A$34,0))</f>
        <v>Arab Bank – Morocco</v>
      </c>
      <c r="C372" s="12" t="str">
        <f aca="false">INDEX(Entities!$D$5:$D$34,MATCH(A372,Entities!$A$5:$A$34,0))</f>
        <v>North Africa</v>
      </c>
      <c r="D372" s="12" t="s">
        <v>284</v>
      </c>
      <c r="E372" s="12" t="str">
        <f aca="false">INDEX('Risk Taxonomy'!$B$5:$B$24,MATCH(D372,'Risk Taxonomy'!$A$5:$A$24,0))</f>
        <v>Regulatory compliance</v>
      </c>
      <c r="F372" s="29" t="n">
        <f aca="false">IF(NOT(ISNUMBER(G372)),"",G372)</f>
        <v>3</v>
      </c>
      <c r="G372" s="34" t="n">
        <f aca="false">IF(COUNTIFS('LxI Assessment'!$A$5:$A$394,A372,'LxI Assessment'!$D$5:$D$394,D372,'LxI Assessment'!$F$5:$F$394,"N/A")&gt;0,"N/A",IF(COUNTIFS('LxI Assessment'!$A$5:$A$394,A372,'LxI Assessment'!$D$5:$D$394,D372,'LxI Assessment'!$S$5:$S$394,"&gt;0")=0,"",SUMIFS('LxI Assessment'!$S$5:$S$394,'LxI Assessment'!$A$5:$A$394,A372,'LxI Assessment'!$D$5:$D$394,D372)))</f>
        <v>3</v>
      </c>
      <c r="H372" s="7" t="str">
        <f aca="false">IF(G372="N/A","N/A",IF(G372="","No data",INDEX(Config!$B$5:$B$9,G372)))</f>
        <v>Medium</v>
      </c>
      <c r="I372" s="31" t="n">
        <f aca="false">IF(NOT(ISNUMBER($G372)),"",SUMPRODUCT(('Control Mapping'!$C$5:$C$83=D372)*('Control Mapping'!$Y$5:$Y$83&gt;0)))</f>
        <v>4</v>
      </c>
      <c r="J372" s="31" t="n">
        <f aca="false">IF(NOT(ISNUMBER($G372)),"",SUMPRODUCT(('Control Mapping'!$C$5:$C$83=D372)*('Control Mapping'!$F$5:$F$83="Y")*('Control Mapping'!$Y$5:$Y$83&gt;0)))</f>
        <v>3</v>
      </c>
      <c r="K372" s="31" t="n">
        <f aca="false">IF(NOT(ISNUMBER($G372)),"",SUMPRODUCT(('Control Mapping'!$C$5:$C$83=D372)*('Control Mapping'!$F$5:$F$83="Y")*('Control Mapping'!$Y$5:$Y$83=4)))</f>
        <v>1</v>
      </c>
      <c r="L372" s="29" t="n">
        <f aca="false">IF(NOT(ISNUMBER($G372)),"",IFERROR(SUMPRODUCT(('Control Mapping'!$C$5:$C$83=D372)*'Control Mapping'!$E$5:$E$83*'Control Mapping'!$Y$5:$Y$83)/SUMPRODUCT(('Control Mapping'!$C$5:$C$83=D372)*'Control Mapping'!$E$5:$E$83*('Control Mapping'!$Y$5:$Y$83&gt;0)),""))</f>
        <v>2.57142857142857</v>
      </c>
      <c r="M372" s="34" t="n">
        <f aca="false">IF(NOT(ISNUMBER($G372)),"",IF(J372=0,4,MAX(MATCH(L372,'Residual Config'!$E$11:$E$14,1),IF(K372&gt;0,'Residual Config'!$C$7,1))))</f>
        <v>3</v>
      </c>
      <c r="N372" s="7" t="str">
        <f aca="false">IF(NOT(ISNUMBER($G372)),"",IF(J372=0,"Ineffective (no key control)",INDEX('Residual Config'!$B$11:$B$14,M372)))</f>
        <v>Partially effective</v>
      </c>
      <c r="O372" s="36" t="n">
        <f aca="false">IF(NOT(ISNUMBER($G372)),"",IF(J372=0,0,SUMPRODUCT(('Control Mapping'!$C$5:$C$83=D372)*'Control Mapping'!$E$5:$E$83*(('Control Mapping'!$Y$5:$Y$83=1)*'Residual Config'!$D$11+('Control Mapping'!$Y$5:$Y$83=2)*'Residual Config'!$D$12+('Control Mapping'!$Y$5:$Y$83=3)*'Residual Config'!$D$13+('Control Mapping'!$Y$5:$Y$83=4)*'Residual Config'!$D$14))/SUMPRODUCT(('Control Mapping'!$C$5:$C$83=D372)*'Control Mapping'!$E$5:$E$83*('Control Mapping'!$Y$5:$Y$83&gt;0))))</f>
        <v>0.285714285714286</v>
      </c>
      <c r="P372" s="31" t="n">
        <f aca="false">IF(NOT(ISNUMBER($G372)),"",INDEX('Residual Config'!$B$19:$E$23,6-G372,M372))</f>
        <v>3</v>
      </c>
      <c r="Q372" s="29" t="n">
        <f aca="false">IF(NOT(ISNUMBER($G372)),"",MAX(1,F372*(1-O372)))</f>
        <v>2.14285714285714</v>
      </c>
      <c r="R372" s="31" t="n">
        <f aca="false">IF(NOT(ISNUMBER($G372)),"",MAX(MATCH(Q372,Config!$D$5:$D$9,1),G372-'Residual Config'!$C$6))</f>
        <v>2</v>
      </c>
      <c r="S372" s="34" t="n">
        <f aca="false">IF(NOT(ISNUMBER($G372)),"",IF('Residual Config'!$C$5="Numeric",R372,P372))</f>
        <v>3</v>
      </c>
      <c r="T372" s="7" t="str">
        <f aca="false">IF(G372="N/A","N/A",IF(S372="","No data",INDEX(Config!$B$5:$B$9,S372)))</f>
        <v>Medium</v>
      </c>
      <c r="U372" s="32" t="n">
        <v>0</v>
      </c>
      <c r="V372" s="8"/>
      <c r="W372" s="33"/>
      <c r="X372" s="34" t="n">
        <f aca="false">IF(S372="","",IF(AND(W372="Y",U372&lt;&gt;0),MAX(1,MIN(5,S372+MAX(-Config!$C$27,MIN(Config!$C$27,U372)))),S372))</f>
        <v>3</v>
      </c>
      <c r="Y372" s="35" t="str">
        <f aca="false">IF(G372="N/A","N/A",IF(X372="","No data",INDEX(Config!$B$5:$B$9,X372)))</f>
        <v>Medium</v>
      </c>
      <c r="Z372" s="7" t="str">
        <f aca="false">IF(U372=0,"None",IF(W372="Y","Applied","Pending HO approval"))</f>
        <v>None</v>
      </c>
      <c r="AA372" s="12" t="str">
        <f aca="false">INDEX('Risk Taxonomy'!$G$5:$G$24,MATCH(D372,'Risk Taxonomy'!$A$5:$A$24,0))</f>
        <v>Very low</v>
      </c>
      <c r="AB372" s="7" t="str">
        <f aca="false">INDEX('Risk Taxonomy'!$H$5:$H$24,MATCH(D372,'Risk Taxonomy'!$A$5:$A$24,0))</f>
        <v>Medium-Low</v>
      </c>
      <c r="AC372" s="35" t="str">
        <f aca="false">IF(NOT(ISNUMBER(X372)),"",IF(X372&lt;=MATCH(AB372,Config!$B$5:$B$9,0),"Within",IF(OR(X372-MATCH(AB372,Config!$B$5:$B$9,0)&gt;=2,AND('Residual Config'!$C$8="Y",ISNUMBER(SEARCH("Zero",AA372)))),"Red","Amber")))</f>
        <v>Amber</v>
      </c>
      <c r="AD372" s="12" t="str">
        <f aca="false">IF(AC372="Red","Group CCO / CRO and Country CEO within 2 business days; action plan in 15 days; report to Board Risk &amp; Compliance Committee",IF(AC372="Amber","Country CO, risk owner and HO Administrator within 5 business days; action plan in 30 days",""))</f>
        <v>Country CO, risk owner and HO Administrator within 5 business days; action plan in 30 days</v>
      </c>
    </row>
    <row r="373" customFormat="false" ht="15" hidden="false" customHeight="false" outlineLevel="0" collapsed="false">
      <c r="A373" s="26" t="str">
        <f aca="false">Entities!$A$23</f>
        <v>MA</v>
      </c>
      <c r="B373" s="12" t="str">
        <f aca="false">INDEX(Entities!$B$5:$B$34,MATCH(A373,Entities!$A$5:$A$34,0))</f>
        <v>Arab Bank – Morocco</v>
      </c>
      <c r="C373" s="12" t="str">
        <f aca="false">INDEX(Entities!$D$5:$D$34,MATCH(A373,Entities!$A$5:$A$34,0))</f>
        <v>North Africa</v>
      </c>
      <c r="D373" s="12" t="s">
        <v>288</v>
      </c>
      <c r="E373" s="12" t="str">
        <f aca="false">INDEX('Risk Taxonomy'!$B$5:$B$24,MATCH(D373,'Risk Taxonomy'!$A$5:$A$24,0))</f>
        <v>Conduct and consumer protection</v>
      </c>
      <c r="F373" s="29" t="n">
        <f aca="false">IF(NOT(ISNUMBER(G373)),"",G373)</f>
        <v>2</v>
      </c>
      <c r="G373" s="34" t="n">
        <f aca="false">IF(COUNTIFS('LxI Assessment'!$A$5:$A$394,A373,'LxI Assessment'!$D$5:$D$394,D373,'LxI Assessment'!$F$5:$F$394,"N/A")&gt;0,"N/A",IF(COUNTIFS('LxI Assessment'!$A$5:$A$394,A373,'LxI Assessment'!$D$5:$D$394,D373,'LxI Assessment'!$S$5:$S$394,"&gt;0")=0,"",SUMIFS('LxI Assessment'!$S$5:$S$394,'LxI Assessment'!$A$5:$A$394,A373,'LxI Assessment'!$D$5:$D$394,D373)))</f>
        <v>2</v>
      </c>
      <c r="H373" s="7" t="str">
        <f aca="false">IF(G373="N/A","N/A",IF(G373="","No data",INDEX(Config!$B$5:$B$9,G373)))</f>
        <v>Medium-Low</v>
      </c>
      <c r="I373" s="31" t="n">
        <f aca="false">IF(NOT(ISNUMBER($G373)),"",SUMPRODUCT(('Control Mapping'!$C$5:$C$83=D373)*('Control Mapping'!$Y$5:$Y$83&gt;0)))</f>
        <v>2</v>
      </c>
      <c r="J373" s="31" t="n">
        <f aca="false">IF(NOT(ISNUMBER($G373)),"",SUMPRODUCT(('Control Mapping'!$C$5:$C$83=D373)*('Control Mapping'!$F$5:$F$83="Y")*('Control Mapping'!$Y$5:$Y$83&gt;0)))</f>
        <v>1</v>
      </c>
      <c r="K373" s="31" t="n">
        <f aca="false">IF(NOT(ISNUMBER($G373)),"",SUMPRODUCT(('Control Mapping'!$C$5:$C$83=D373)*('Control Mapping'!$F$5:$F$83="Y")*('Control Mapping'!$Y$5:$Y$83=4)))</f>
        <v>0</v>
      </c>
      <c r="L373" s="29" t="n">
        <f aca="false">IF(NOT(ISNUMBER($G373)),"",IFERROR(SUMPRODUCT(('Control Mapping'!$C$5:$C$83=D373)*'Control Mapping'!$E$5:$E$83*'Control Mapping'!$Y$5:$Y$83)/SUMPRODUCT(('Control Mapping'!$C$5:$C$83=D373)*'Control Mapping'!$E$5:$E$83*('Control Mapping'!$Y$5:$Y$83&gt;0)),""))</f>
        <v>2</v>
      </c>
      <c r="M373" s="34" t="n">
        <f aca="false">IF(NOT(ISNUMBER($G373)),"",IF(J373=0,4,MAX(MATCH(L373,'Residual Config'!$E$11:$E$14,1),IF(K373&gt;0,'Residual Config'!$C$7,1))))</f>
        <v>2</v>
      </c>
      <c r="N373" s="7" t="str">
        <f aca="false">IF(NOT(ISNUMBER($G373)),"",IF(J373=0,"Ineffective (no key control)",INDEX('Residual Config'!$B$11:$B$14,M373)))</f>
        <v>Largely effective</v>
      </c>
      <c r="O373" s="36" t="n">
        <f aca="false">IF(NOT(ISNUMBER($G373)),"",IF(J373=0,0,SUMPRODUCT(('Control Mapping'!$C$5:$C$83=D373)*'Control Mapping'!$E$5:$E$83*(('Control Mapping'!$Y$5:$Y$83=1)*'Residual Config'!$D$11+('Control Mapping'!$Y$5:$Y$83=2)*'Residual Config'!$D$12+('Control Mapping'!$Y$5:$Y$83=3)*'Residual Config'!$D$13+('Control Mapping'!$Y$5:$Y$83=4)*'Residual Config'!$D$14))/SUMPRODUCT(('Control Mapping'!$C$5:$C$83=D373)*'Control Mapping'!$E$5:$E$83*('Control Mapping'!$Y$5:$Y$83&gt;0))))</f>
        <v>0.4</v>
      </c>
      <c r="P373" s="31" t="n">
        <f aca="false">IF(NOT(ISNUMBER($G373)),"",INDEX('Residual Config'!$B$19:$E$23,6-G373,M373))</f>
        <v>1</v>
      </c>
      <c r="Q373" s="29" t="n">
        <f aca="false">IF(NOT(ISNUMBER($G373)),"",MAX(1,F373*(1-O373)))</f>
        <v>1.2</v>
      </c>
      <c r="R373" s="31" t="n">
        <f aca="false">IF(NOT(ISNUMBER($G373)),"",MAX(MATCH(Q373,Config!$D$5:$D$9,1),G373-'Residual Config'!$C$6))</f>
        <v>1</v>
      </c>
      <c r="S373" s="34" t="n">
        <f aca="false">IF(NOT(ISNUMBER($G373)),"",IF('Residual Config'!$C$5="Numeric",R373,P373))</f>
        <v>1</v>
      </c>
      <c r="T373" s="7" t="str">
        <f aca="false">IF(G373="N/A","N/A",IF(S373="","No data",INDEX(Config!$B$5:$B$9,S373)))</f>
        <v>Low</v>
      </c>
      <c r="U373" s="32" t="n">
        <v>0</v>
      </c>
      <c r="V373" s="8"/>
      <c r="W373" s="33"/>
      <c r="X373" s="34" t="n">
        <f aca="false">IF(S373="","",IF(AND(W373="Y",U373&lt;&gt;0),MAX(1,MIN(5,S373+MAX(-Config!$C$27,MIN(Config!$C$27,U373)))),S373))</f>
        <v>1</v>
      </c>
      <c r="Y373" s="35" t="str">
        <f aca="false">IF(G373="N/A","N/A",IF(X373="","No data",INDEX(Config!$B$5:$B$9,X373)))</f>
        <v>Low</v>
      </c>
      <c r="Z373" s="7" t="str">
        <f aca="false">IF(U373=0,"None",IF(W373="Y","Applied","Pending HO approval"))</f>
        <v>None</v>
      </c>
      <c r="AA373" s="12" t="str">
        <f aca="false">INDEX('Risk Taxonomy'!$G$5:$G$24,MATCH(D373,'Risk Taxonomy'!$A$5:$A$24,0))</f>
        <v>Low</v>
      </c>
      <c r="AB373" s="7" t="str">
        <f aca="false">INDEX('Risk Taxonomy'!$H$5:$H$24,MATCH(D373,'Risk Taxonomy'!$A$5:$A$24,0))</f>
        <v>Medium</v>
      </c>
      <c r="AC373" s="35" t="str">
        <f aca="false">IF(NOT(ISNUMBER(X373)),"",IF(X373&lt;=MATCH(AB373,Config!$B$5:$B$9,0),"Within",IF(OR(X373-MATCH(AB373,Config!$B$5:$B$9,0)&gt;=2,AND('Residual Config'!$C$8="Y",ISNUMBER(SEARCH("Zero",AA373)))),"Red","Amber")))</f>
        <v>Within</v>
      </c>
      <c r="AD373" s="12" t="str">
        <f aca="false">IF(AC373="Red","Group CCO / CRO and Country CEO within 2 business days; action plan in 15 days; report to Board Risk &amp; Compliance Committee",IF(AC373="Amber","Country CO, risk owner and HO Administrator within 5 business days; action plan in 30 days",""))</f>
        <v/>
      </c>
    </row>
    <row r="374" customFormat="false" ht="15" hidden="false" customHeight="false" outlineLevel="0" collapsed="false">
      <c r="A374" s="26" t="str">
        <f aca="false">Entities!$A$23</f>
        <v>MA</v>
      </c>
      <c r="B374" s="12" t="str">
        <f aca="false">INDEX(Entities!$B$5:$B$34,MATCH(A374,Entities!$A$5:$A$34,0))</f>
        <v>Arab Bank – Morocco</v>
      </c>
      <c r="C374" s="12" t="str">
        <f aca="false">INDEX(Entities!$D$5:$D$34,MATCH(A374,Entities!$A$5:$A$34,0))</f>
        <v>North Africa</v>
      </c>
      <c r="D374" s="12" t="s">
        <v>290</v>
      </c>
      <c r="E374" s="12" t="str">
        <f aca="false">INDEX('Risk Taxonomy'!$B$5:$B$24,MATCH(D374,'Risk Taxonomy'!$A$5:$A$24,0))</f>
        <v>Data protection and privacy</v>
      </c>
      <c r="F374" s="29" t="n">
        <f aca="false">IF(NOT(ISNUMBER(G374)),"",G374)</f>
        <v>1</v>
      </c>
      <c r="G374" s="34" t="n">
        <f aca="false">IF(COUNTIFS('LxI Assessment'!$A$5:$A$394,A374,'LxI Assessment'!$D$5:$D$394,D374,'LxI Assessment'!$F$5:$F$394,"N/A")&gt;0,"N/A",IF(COUNTIFS('LxI Assessment'!$A$5:$A$394,A374,'LxI Assessment'!$D$5:$D$394,D374,'LxI Assessment'!$S$5:$S$394,"&gt;0")=0,"",SUMIFS('LxI Assessment'!$S$5:$S$394,'LxI Assessment'!$A$5:$A$394,A374,'LxI Assessment'!$D$5:$D$394,D374)))</f>
        <v>1</v>
      </c>
      <c r="H374" s="7" t="str">
        <f aca="false">IF(G374="N/A","N/A",IF(G374="","No data",INDEX(Config!$B$5:$B$9,G374)))</f>
        <v>Low</v>
      </c>
      <c r="I374" s="31" t="n">
        <f aca="false">IF(NOT(ISNUMBER($G374)),"",SUMPRODUCT(('Control Mapping'!$C$5:$C$83=D374)*('Control Mapping'!$Y$5:$Y$83&gt;0)))</f>
        <v>2</v>
      </c>
      <c r="J374" s="31" t="n">
        <f aca="false">IF(NOT(ISNUMBER($G374)),"",SUMPRODUCT(('Control Mapping'!$C$5:$C$83=D374)*('Control Mapping'!$F$5:$F$83="Y")*('Control Mapping'!$Y$5:$Y$83&gt;0)))</f>
        <v>2</v>
      </c>
      <c r="K374" s="31" t="n">
        <f aca="false">IF(NOT(ISNUMBER($G374)),"",SUMPRODUCT(('Control Mapping'!$C$5:$C$83=D374)*('Control Mapping'!$F$5:$F$83="Y")*('Control Mapping'!$Y$5:$Y$83=4)))</f>
        <v>0</v>
      </c>
      <c r="L374" s="29" t="n">
        <f aca="false">IF(NOT(ISNUMBER($G374)),"",IFERROR(SUMPRODUCT(('Control Mapping'!$C$5:$C$83=D374)*'Control Mapping'!$E$5:$E$83*'Control Mapping'!$Y$5:$Y$83)/SUMPRODUCT(('Control Mapping'!$C$5:$C$83=D374)*'Control Mapping'!$E$5:$E$83*('Control Mapping'!$Y$5:$Y$83&gt;0)),""))</f>
        <v>1</v>
      </c>
      <c r="M374" s="34" t="n">
        <f aca="false">IF(NOT(ISNUMBER($G374)),"",IF(J374=0,4,MAX(MATCH(L374,'Residual Config'!$E$11:$E$14,1),IF(K374&gt;0,'Residual Config'!$C$7,1))))</f>
        <v>1</v>
      </c>
      <c r="N374" s="7" t="str">
        <f aca="false">IF(NOT(ISNUMBER($G374)),"",IF(J374=0,"Ineffective (no key control)",INDEX('Residual Config'!$B$11:$B$14,M374)))</f>
        <v>Effective</v>
      </c>
      <c r="O374" s="36" t="n">
        <f aca="false">IF(NOT(ISNUMBER($G374)),"",IF(J374=0,0,SUMPRODUCT(('Control Mapping'!$C$5:$C$83=D374)*'Control Mapping'!$E$5:$E$83*(('Control Mapping'!$Y$5:$Y$83=1)*'Residual Config'!$D$11+('Control Mapping'!$Y$5:$Y$83=2)*'Residual Config'!$D$12+('Control Mapping'!$Y$5:$Y$83=3)*'Residual Config'!$D$13+('Control Mapping'!$Y$5:$Y$83=4)*'Residual Config'!$D$14))/SUMPRODUCT(('Control Mapping'!$C$5:$C$83=D374)*'Control Mapping'!$E$5:$E$83*('Control Mapping'!$Y$5:$Y$83&gt;0))))</f>
        <v>0.6</v>
      </c>
      <c r="P374" s="31" t="n">
        <f aca="false">IF(NOT(ISNUMBER($G374)),"",INDEX('Residual Config'!$B$19:$E$23,6-G374,M374))</f>
        <v>1</v>
      </c>
      <c r="Q374" s="29" t="n">
        <f aca="false">IF(NOT(ISNUMBER($G374)),"",MAX(1,F374*(1-O374)))</f>
        <v>1</v>
      </c>
      <c r="R374" s="31" t="n">
        <f aca="false">IF(NOT(ISNUMBER($G374)),"",MAX(MATCH(Q374,Config!$D$5:$D$9,1),G374-'Residual Config'!$C$6))</f>
        <v>1</v>
      </c>
      <c r="S374" s="34" t="n">
        <f aca="false">IF(NOT(ISNUMBER($G374)),"",IF('Residual Config'!$C$5="Numeric",R374,P374))</f>
        <v>1</v>
      </c>
      <c r="T374" s="7" t="str">
        <f aca="false">IF(G374="N/A","N/A",IF(S374="","No data",INDEX(Config!$B$5:$B$9,S374)))</f>
        <v>Low</v>
      </c>
      <c r="U374" s="32" t="n">
        <v>0</v>
      </c>
      <c r="V374" s="8"/>
      <c r="W374" s="33"/>
      <c r="X374" s="34" t="n">
        <f aca="false">IF(S374="","",IF(AND(W374="Y",U374&lt;&gt;0),MAX(1,MIN(5,S374+MAX(-Config!$C$27,MIN(Config!$C$27,U374)))),S374))</f>
        <v>1</v>
      </c>
      <c r="Y374" s="35" t="str">
        <f aca="false">IF(G374="N/A","N/A",IF(X374="","No data",INDEX(Config!$B$5:$B$9,X374)))</f>
        <v>Low</v>
      </c>
      <c r="Z374" s="7" t="str">
        <f aca="false">IF(U374=0,"None",IF(W374="Y","Applied","Pending HO approval"))</f>
        <v>None</v>
      </c>
      <c r="AA374" s="12" t="str">
        <f aca="false">INDEX('Risk Taxonomy'!$G$5:$G$24,MATCH(D374,'Risk Taxonomy'!$A$5:$A$24,0))</f>
        <v>Very low</v>
      </c>
      <c r="AB374" s="7" t="str">
        <f aca="false">INDEX('Risk Taxonomy'!$H$5:$H$24,MATCH(D374,'Risk Taxonomy'!$A$5:$A$24,0))</f>
        <v>Medium-Low</v>
      </c>
      <c r="AC374" s="35" t="str">
        <f aca="false">IF(NOT(ISNUMBER(X374)),"",IF(X374&lt;=MATCH(AB374,Config!$B$5:$B$9,0),"Within",IF(OR(X374-MATCH(AB374,Config!$B$5:$B$9,0)&gt;=2,AND('Residual Config'!$C$8="Y",ISNUMBER(SEARCH("Zero",AA374)))),"Red","Amber")))</f>
        <v>Within</v>
      </c>
      <c r="AD374" s="12" t="str">
        <f aca="false">IF(AC374="Red","Group CCO / CRO and Country CEO within 2 business days; action plan in 15 days; report to Board Risk &amp; Compliance Committee",IF(AC374="Amber","Country CO, risk owner and HO Administrator within 5 business days; action plan in 30 days",""))</f>
        <v/>
      </c>
    </row>
    <row r="375" customFormat="false" ht="15" hidden="false" customHeight="false" outlineLevel="0" collapsed="false">
      <c r="A375" s="26" t="str">
        <f aca="false">Entities!$A$23</f>
        <v>MA</v>
      </c>
      <c r="B375" s="12" t="str">
        <f aca="false">INDEX(Entities!$B$5:$B$34,MATCH(A375,Entities!$A$5:$A$34,0))</f>
        <v>Arab Bank – Morocco</v>
      </c>
      <c r="C375" s="12" t="str">
        <f aca="false">INDEX(Entities!$D$5:$D$34,MATCH(A375,Entities!$A$5:$A$34,0))</f>
        <v>North Africa</v>
      </c>
      <c r="D375" s="12" t="s">
        <v>293</v>
      </c>
      <c r="E375" s="12" t="str">
        <f aca="false">INDEX('Risk Taxonomy'!$B$5:$B$24,MATCH(D375,'Risk Taxonomy'!$A$5:$A$24,0))</f>
        <v>Shariah non-compliance</v>
      </c>
      <c r="F375" s="29" t="str">
        <f aca="false">IF(NOT(ISNUMBER(G375)),"",G375)</f>
        <v/>
      </c>
      <c r="G375" s="34" t="str">
        <f aca="false">IF(COUNTIFS('LxI Assessment'!$A$5:$A$394,A375,'LxI Assessment'!$D$5:$D$394,D375,'LxI Assessment'!$F$5:$F$394,"N/A")&gt;0,"N/A",IF(COUNTIFS('LxI Assessment'!$A$5:$A$394,A375,'LxI Assessment'!$D$5:$D$394,D375,'LxI Assessment'!$S$5:$S$394,"&gt;0")=0,"",SUMIFS('LxI Assessment'!$S$5:$S$394,'LxI Assessment'!$A$5:$A$394,A375,'LxI Assessment'!$D$5:$D$394,D375)))</f>
        <v>N/A</v>
      </c>
      <c r="H375" s="7" t="str">
        <f aca="false">IF(G375="N/A","N/A",IF(G375="","No data",INDEX(Config!$B$5:$B$9,G375)))</f>
        <v>N/A</v>
      </c>
      <c r="I375" s="31" t="str">
        <f aca="false">IF(NOT(ISNUMBER($G375)),"",SUMPRODUCT(('Control Mapping'!$C$5:$C$83=D375)*('Control Mapping'!$Y$5:$Y$83&gt;0)))</f>
        <v/>
      </c>
      <c r="J375" s="31" t="str">
        <f aca="false">IF(NOT(ISNUMBER($G375)),"",SUMPRODUCT(('Control Mapping'!$C$5:$C$83=D375)*('Control Mapping'!$F$5:$F$83="Y")*('Control Mapping'!$Y$5:$Y$83&gt;0)))</f>
        <v/>
      </c>
      <c r="K375" s="31" t="str">
        <f aca="false">IF(NOT(ISNUMBER($G375)),"",SUMPRODUCT(('Control Mapping'!$C$5:$C$83=D375)*('Control Mapping'!$F$5:$F$83="Y")*('Control Mapping'!$Y$5:$Y$83=4)))</f>
        <v/>
      </c>
      <c r="L375" s="29" t="str">
        <f aca="false">IF(NOT(ISNUMBER($G375)),"",IFERROR(SUMPRODUCT(('Control Mapping'!$C$5:$C$83=D375)*'Control Mapping'!$E$5:$E$83*'Control Mapping'!$Y$5:$Y$83)/SUMPRODUCT(('Control Mapping'!$C$5:$C$83=D375)*'Control Mapping'!$E$5:$E$83*('Control Mapping'!$Y$5:$Y$83&gt;0)),""))</f>
        <v/>
      </c>
      <c r="M375" s="34" t="str">
        <f aca="false">IF(NOT(ISNUMBER($G375)),"",IF(J375=0,4,MAX(MATCH(L375,'Residual Config'!$E$11:$E$14,1),IF(K375&gt;0,'Residual Config'!$C$7,1))))</f>
        <v/>
      </c>
      <c r="N375" s="7" t="str">
        <f aca="false">IF(NOT(ISNUMBER($G375)),"",IF(J375=0,"Ineffective (no key control)",INDEX('Residual Config'!$B$11:$B$14,M375)))</f>
        <v/>
      </c>
      <c r="O375" s="36" t="str">
        <f aca="false">IF(NOT(ISNUMBER($G375)),"",IF(J375=0,0,SUMPRODUCT(('Control Mapping'!$C$5:$C$83=D375)*'Control Mapping'!$E$5:$E$83*(('Control Mapping'!$Y$5:$Y$83=1)*'Residual Config'!$D$11+('Control Mapping'!$Y$5:$Y$83=2)*'Residual Config'!$D$12+('Control Mapping'!$Y$5:$Y$83=3)*'Residual Config'!$D$13+('Control Mapping'!$Y$5:$Y$83=4)*'Residual Config'!$D$14))/SUMPRODUCT(('Control Mapping'!$C$5:$C$83=D375)*'Control Mapping'!$E$5:$E$83*('Control Mapping'!$Y$5:$Y$83&gt;0))))</f>
        <v/>
      </c>
      <c r="P375" s="31" t="str">
        <f aca="false">IF(NOT(ISNUMBER($G375)),"",INDEX('Residual Config'!$B$19:$E$23,6-G375,M375))</f>
        <v/>
      </c>
      <c r="Q375" s="29" t="str">
        <f aca="false">IF(NOT(ISNUMBER($G375)),"",MAX(1,F375*(1-O375)))</f>
        <v/>
      </c>
      <c r="R375" s="31" t="str">
        <f aca="false">IF(NOT(ISNUMBER($G375)),"",MAX(MATCH(Q375,Config!$D$5:$D$9,1),G375-'Residual Config'!$C$6))</f>
        <v/>
      </c>
      <c r="S375" s="34" t="str">
        <f aca="false">IF(NOT(ISNUMBER($G375)),"",IF('Residual Config'!$C$5="Numeric",R375,P375))</f>
        <v/>
      </c>
      <c r="T375" s="7" t="str">
        <f aca="false">IF(G375="N/A","N/A",IF(S375="","No data",INDEX(Config!$B$5:$B$9,S375)))</f>
        <v>N/A</v>
      </c>
      <c r="U375" s="32" t="n">
        <v>0</v>
      </c>
      <c r="V375" s="8"/>
      <c r="W375" s="33"/>
      <c r="X375" s="34" t="str">
        <f aca="false">IF(S375="","",IF(AND(W375="Y",U375&lt;&gt;0),MAX(1,MIN(5,S375+MAX(-Config!$C$27,MIN(Config!$C$27,U375)))),S375))</f>
        <v/>
      </c>
      <c r="Y375" s="35" t="str">
        <f aca="false">IF(G375="N/A","N/A",IF(X375="","No data",INDEX(Config!$B$5:$B$9,X375)))</f>
        <v>N/A</v>
      </c>
      <c r="Z375" s="7" t="str">
        <f aca="false">IF(U375=0,"None",IF(W375="Y","Applied","Pending HO approval"))</f>
        <v>None</v>
      </c>
      <c r="AA375" s="12" t="str">
        <f aca="false">INDEX('Risk Taxonomy'!$G$5:$G$24,MATCH(D375,'Risk Taxonomy'!$A$5:$A$24,0))</f>
        <v>Very low</v>
      </c>
      <c r="AB375" s="7" t="str">
        <f aca="false">INDEX('Risk Taxonomy'!$H$5:$H$24,MATCH(D375,'Risk Taxonomy'!$A$5:$A$24,0))</f>
        <v>Medium-Low</v>
      </c>
      <c r="AC375" s="35" t="str">
        <f aca="false">IF(NOT(ISNUMBER(X375)),"",IF(X375&lt;=MATCH(AB375,Config!$B$5:$B$9,0),"Within",IF(OR(X375-MATCH(AB375,Config!$B$5:$B$9,0)&gt;=2,AND('Residual Config'!$C$8="Y",ISNUMBER(SEARCH("Zero",AA375)))),"Red","Amber")))</f>
        <v/>
      </c>
      <c r="AD375" s="12" t="str">
        <f aca="false">IF(AC375="Red","Group CCO / CRO and Country CEO within 2 business days; action plan in 15 days; report to Board Risk &amp; Compliance Committee",IF(AC375="Amber","Country CO, risk owner and HO Administrator within 5 business days; action plan in 30 days",""))</f>
        <v/>
      </c>
    </row>
    <row r="376" customFormat="false" ht="15" hidden="false" customHeight="false" outlineLevel="0" collapsed="false">
      <c r="A376" s="26" t="str">
        <f aca="false">Entities!$A$23</f>
        <v>MA</v>
      </c>
      <c r="B376" s="12" t="str">
        <f aca="false">INDEX(Entities!$B$5:$B$34,MATCH(A376,Entities!$A$5:$A$34,0))</f>
        <v>Arab Bank – Morocco</v>
      </c>
      <c r="C376" s="12" t="str">
        <f aca="false">INDEX(Entities!$D$5:$D$34,MATCH(A376,Entities!$A$5:$A$34,0))</f>
        <v>North Africa</v>
      </c>
      <c r="D376" s="12" t="s">
        <v>297</v>
      </c>
      <c r="E376" s="12" t="str">
        <f aca="false">INDEX('Risk Taxonomy'!$B$5:$B$24,MATCH(D376,'Risk Taxonomy'!$A$5:$A$24,0))</f>
        <v>Credit risk</v>
      </c>
      <c r="F376" s="29" t="n">
        <f aca="false">IF(NOT(ISNUMBER(G376)),"",G376)</f>
        <v>4</v>
      </c>
      <c r="G376" s="34" t="n">
        <f aca="false">IF(COUNTIFS('LxI Assessment'!$A$5:$A$394,A376,'LxI Assessment'!$D$5:$D$394,D376,'LxI Assessment'!$F$5:$F$394,"N/A")&gt;0,"N/A",IF(COUNTIFS('LxI Assessment'!$A$5:$A$394,A376,'LxI Assessment'!$D$5:$D$394,D376,'LxI Assessment'!$S$5:$S$394,"&gt;0")=0,"",SUMIFS('LxI Assessment'!$S$5:$S$394,'LxI Assessment'!$A$5:$A$394,A376,'LxI Assessment'!$D$5:$D$394,D376)))</f>
        <v>4</v>
      </c>
      <c r="H376" s="7" t="str">
        <f aca="false">IF(G376="N/A","N/A",IF(G376="","No data",INDEX(Config!$B$5:$B$9,G376)))</f>
        <v>Medium-High</v>
      </c>
      <c r="I376" s="31" t="n">
        <f aca="false">IF(NOT(ISNUMBER($G376)),"",SUMPRODUCT(('Control Mapping'!$C$5:$C$83=D376)*('Control Mapping'!$Y$5:$Y$83&gt;0)))</f>
        <v>2</v>
      </c>
      <c r="J376" s="31" t="n">
        <f aca="false">IF(NOT(ISNUMBER($G376)),"",SUMPRODUCT(('Control Mapping'!$C$5:$C$83=D376)*('Control Mapping'!$F$5:$F$83="Y")*('Control Mapping'!$Y$5:$Y$83&gt;0)))</f>
        <v>1</v>
      </c>
      <c r="K376" s="31" t="n">
        <f aca="false">IF(NOT(ISNUMBER($G376)),"",SUMPRODUCT(('Control Mapping'!$C$5:$C$83=D376)*('Control Mapping'!$F$5:$F$83="Y")*('Control Mapping'!$Y$5:$Y$83=4)))</f>
        <v>0</v>
      </c>
      <c r="L376" s="29" t="n">
        <f aca="false">IF(NOT(ISNUMBER($G376)),"",IFERROR(SUMPRODUCT(('Control Mapping'!$C$5:$C$83=D376)*'Control Mapping'!$E$5:$E$83*'Control Mapping'!$Y$5:$Y$83)/SUMPRODUCT(('Control Mapping'!$C$5:$C$83=D376)*'Control Mapping'!$E$5:$E$83*('Control Mapping'!$Y$5:$Y$83&gt;0)),""))</f>
        <v>2</v>
      </c>
      <c r="M376" s="34" t="n">
        <f aca="false">IF(NOT(ISNUMBER($G376)),"",IF(J376=0,4,MAX(MATCH(L376,'Residual Config'!$E$11:$E$14,1),IF(K376&gt;0,'Residual Config'!$C$7,1))))</f>
        <v>2</v>
      </c>
      <c r="N376" s="7" t="str">
        <f aca="false">IF(NOT(ISNUMBER($G376)),"",IF(J376=0,"Ineffective (no key control)",INDEX('Residual Config'!$B$11:$B$14,M376)))</f>
        <v>Largely effective</v>
      </c>
      <c r="O376" s="36" t="n">
        <f aca="false">IF(NOT(ISNUMBER($G376)),"",IF(J376=0,0,SUMPRODUCT(('Control Mapping'!$C$5:$C$83=D376)*'Control Mapping'!$E$5:$E$83*(('Control Mapping'!$Y$5:$Y$83=1)*'Residual Config'!$D$11+('Control Mapping'!$Y$5:$Y$83=2)*'Residual Config'!$D$12+('Control Mapping'!$Y$5:$Y$83=3)*'Residual Config'!$D$13+('Control Mapping'!$Y$5:$Y$83=4)*'Residual Config'!$D$14))/SUMPRODUCT(('Control Mapping'!$C$5:$C$83=D376)*'Control Mapping'!$E$5:$E$83*('Control Mapping'!$Y$5:$Y$83&gt;0))))</f>
        <v>0.4</v>
      </c>
      <c r="P376" s="31" t="n">
        <f aca="false">IF(NOT(ISNUMBER($G376)),"",INDEX('Residual Config'!$B$19:$E$23,6-G376,M376))</f>
        <v>3</v>
      </c>
      <c r="Q376" s="29" t="n">
        <f aca="false">IF(NOT(ISNUMBER($G376)),"",MAX(1,F376*(1-O376)))</f>
        <v>2.4</v>
      </c>
      <c r="R376" s="31" t="n">
        <f aca="false">IF(NOT(ISNUMBER($G376)),"",MAX(MATCH(Q376,Config!$D$5:$D$9,1),G376-'Residual Config'!$C$6))</f>
        <v>2</v>
      </c>
      <c r="S376" s="34" t="n">
        <f aca="false">IF(NOT(ISNUMBER($G376)),"",IF('Residual Config'!$C$5="Numeric",R376,P376))</f>
        <v>3</v>
      </c>
      <c r="T376" s="7" t="str">
        <f aca="false">IF(G376="N/A","N/A",IF(S376="","No data",INDEX(Config!$B$5:$B$9,S376)))</f>
        <v>Medium</v>
      </c>
      <c r="U376" s="32" t="n">
        <v>0</v>
      </c>
      <c r="V376" s="8"/>
      <c r="W376" s="33"/>
      <c r="X376" s="34" t="n">
        <f aca="false">IF(S376="","",IF(AND(W376="Y",U376&lt;&gt;0),MAX(1,MIN(5,S376+MAX(-Config!$C$27,MIN(Config!$C$27,U376)))),S376))</f>
        <v>3</v>
      </c>
      <c r="Y376" s="35" t="str">
        <f aca="false">IF(G376="N/A","N/A",IF(X376="","No data",INDEX(Config!$B$5:$B$9,X376)))</f>
        <v>Medium</v>
      </c>
      <c r="Z376" s="7" t="str">
        <f aca="false">IF(U376=0,"None",IF(W376="Y","Applied","Pending HO approval"))</f>
        <v>None</v>
      </c>
      <c r="AA376" s="12" t="str">
        <f aca="false">INDEX('Risk Taxonomy'!$G$5:$G$24,MATCH(D376,'Risk Taxonomy'!$A$5:$A$24,0))</f>
        <v>Moderate</v>
      </c>
      <c r="AB376" s="7" t="str">
        <f aca="false">INDEX('Risk Taxonomy'!$H$5:$H$24,MATCH(D376,'Risk Taxonomy'!$A$5:$A$24,0))</f>
        <v>Medium-High</v>
      </c>
      <c r="AC376" s="35" t="str">
        <f aca="false">IF(NOT(ISNUMBER(X376)),"",IF(X376&lt;=MATCH(AB376,Config!$B$5:$B$9,0),"Within",IF(OR(X376-MATCH(AB376,Config!$B$5:$B$9,0)&gt;=2,AND('Residual Config'!$C$8="Y",ISNUMBER(SEARCH("Zero",AA376)))),"Red","Amber")))</f>
        <v>Within</v>
      </c>
      <c r="AD376" s="12" t="str">
        <f aca="false">IF(AC376="Red","Group CCO / CRO and Country CEO within 2 business days; action plan in 15 days; report to Board Risk &amp; Compliance Committee",IF(AC376="Amber","Country CO, risk owner and HO Administrator within 5 business days; action plan in 30 days",""))</f>
        <v/>
      </c>
    </row>
    <row r="377" customFormat="false" ht="15" hidden="false" customHeight="false" outlineLevel="0" collapsed="false">
      <c r="A377" s="26" t="str">
        <f aca="false">Entities!$A$23</f>
        <v>MA</v>
      </c>
      <c r="B377" s="12" t="str">
        <f aca="false">INDEX(Entities!$B$5:$B$34,MATCH(A377,Entities!$A$5:$A$34,0))</f>
        <v>Arab Bank – Morocco</v>
      </c>
      <c r="C377" s="12" t="str">
        <f aca="false">INDEX(Entities!$D$5:$D$34,MATCH(A377,Entities!$A$5:$A$34,0))</f>
        <v>North Africa</v>
      </c>
      <c r="D377" s="12" t="s">
        <v>302</v>
      </c>
      <c r="E377" s="12" t="str">
        <f aca="false">INDEX('Risk Taxonomy'!$B$5:$B$24,MATCH(D377,'Risk Taxonomy'!$A$5:$A$24,0))</f>
        <v>Market risk</v>
      </c>
      <c r="F377" s="29" t="n">
        <f aca="false">IF(NOT(ISNUMBER(G377)),"",G377)</f>
        <v>3</v>
      </c>
      <c r="G377" s="34" t="n">
        <f aca="false">IF(COUNTIFS('LxI Assessment'!$A$5:$A$394,A377,'LxI Assessment'!$D$5:$D$394,D377,'LxI Assessment'!$F$5:$F$394,"N/A")&gt;0,"N/A",IF(COUNTIFS('LxI Assessment'!$A$5:$A$394,A377,'LxI Assessment'!$D$5:$D$394,D377,'LxI Assessment'!$S$5:$S$394,"&gt;0")=0,"",SUMIFS('LxI Assessment'!$S$5:$S$394,'LxI Assessment'!$A$5:$A$394,A377,'LxI Assessment'!$D$5:$D$394,D377)))</f>
        <v>3</v>
      </c>
      <c r="H377" s="7" t="str">
        <f aca="false">IF(G377="N/A","N/A",IF(G377="","No data",INDEX(Config!$B$5:$B$9,G377)))</f>
        <v>Medium</v>
      </c>
      <c r="I377" s="31" t="n">
        <f aca="false">IF(NOT(ISNUMBER($G377)),"",SUMPRODUCT(('Control Mapping'!$C$5:$C$83=D377)*('Control Mapping'!$Y$5:$Y$83&gt;0)))</f>
        <v>1</v>
      </c>
      <c r="J377" s="31" t="n">
        <f aca="false">IF(NOT(ISNUMBER($G377)),"",SUMPRODUCT(('Control Mapping'!$C$5:$C$83=D377)*('Control Mapping'!$F$5:$F$83="Y")*('Control Mapping'!$Y$5:$Y$83&gt;0)))</f>
        <v>1</v>
      </c>
      <c r="K377" s="31" t="n">
        <f aca="false">IF(NOT(ISNUMBER($G377)),"",SUMPRODUCT(('Control Mapping'!$C$5:$C$83=D377)*('Control Mapping'!$F$5:$F$83="Y")*('Control Mapping'!$Y$5:$Y$83=4)))</f>
        <v>0</v>
      </c>
      <c r="L377" s="29" t="n">
        <f aca="false">IF(NOT(ISNUMBER($G377)),"",IFERROR(SUMPRODUCT(('Control Mapping'!$C$5:$C$83=D377)*'Control Mapping'!$E$5:$E$83*'Control Mapping'!$Y$5:$Y$83)/SUMPRODUCT(('Control Mapping'!$C$5:$C$83=D377)*'Control Mapping'!$E$5:$E$83*('Control Mapping'!$Y$5:$Y$83&gt;0)),""))</f>
        <v>2</v>
      </c>
      <c r="M377" s="34" t="n">
        <f aca="false">IF(NOT(ISNUMBER($G377)),"",IF(J377=0,4,MAX(MATCH(L377,'Residual Config'!$E$11:$E$14,1),IF(K377&gt;0,'Residual Config'!$C$7,1))))</f>
        <v>2</v>
      </c>
      <c r="N377" s="7" t="str">
        <f aca="false">IF(NOT(ISNUMBER($G377)),"",IF(J377=0,"Ineffective (no key control)",INDEX('Residual Config'!$B$11:$B$14,M377)))</f>
        <v>Largely effective</v>
      </c>
      <c r="O377" s="36" t="n">
        <f aca="false">IF(NOT(ISNUMBER($G377)),"",IF(J377=0,0,SUMPRODUCT(('Control Mapping'!$C$5:$C$83=D377)*'Control Mapping'!$E$5:$E$83*(('Control Mapping'!$Y$5:$Y$83=1)*'Residual Config'!$D$11+('Control Mapping'!$Y$5:$Y$83=2)*'Residual Config'!$D$12+('Control Mapping'!$Y$5:$Y$83=3)*'Residual Config'!$D$13+('Control Mapping'!$Y$5:$Y$83=4)*'Residual Config'!$D$14))/SUMPRODUCT(('Control Mapping'!$C$5:$C$83=D377)*'Control Mapping'!$E$5:$E$83*('Control Mapping'!$Y$5:$Y$83&gt;0))))</f>
        <v>0.4</v>
      </c>
      <c r="P377" s="31" t="n">
        <f aca="false">IF(NOT(ISNUMBER($G377)),"",INDEX('Residual Config'!$B$19:$E$23,6-G377,M377))</f>
        <v>2</v>
      </c>
      <c r="Q377" s="29" t="n">
        <f aca="false">IF(NOT(ISNUMBER($G377)),"",MAX(1,F377*(1-O377)))</f>
        <v>1.8</v>
      </c>
      <c r="R377" s="31" t="n">
        <f aca="false">IF(NOT(ISNUMBER($G377)),"",MAX(MATCH(Q377,Config!$D$5:$D$9,1),G377-'Residual Config'!$C$6))</f>
        <v>1</v>
      </c>
      <c r="S377" s="34" t="n">
        <f aca="false">IF(NOT(ISNUMBER($G377)),"",IF('Residual Config'!$C$5="Numeric",R377,P377))</f>
        <v>2</v>
      </c>
      <c r="T377" s="7" t="str">
        <f aca="false">IF(G377="N/A","N/A",IF(S377="","No data",INDEX(Config!$B$5:$B$9,S377)))</f>
        <v>Medium-Low</v>
      </c>
      <c r="U377" s="32" t="n">
        <v>0</v>
      </c>
      <c r="V377" s="8"/>
      <c r="W377" s="33"/>
      <c r="X377" s="34" t="n">
        <f aca="false">IF(S377="","",IF(AND(W377="Y",U377&lt;&gt;0),MAX(1,MIN(5,S377+MAX(-Config!$C$27,MIN(Config!$C$27,U377)))),S377))</f>
        <v>2</v>
      </c>
      <c r="Y377" s="35" t="str">
        <f aca="false">IF(G377="N/A","N/A",IF(X377="","No data",INDEX(Config!$B$5:$B$9,X377)))</f>
        <v>Medium-Low</v>
      </c>
      <c r="Z377" s="7" t="str">
        <f aca="false">IF(U377=0,"None",IF(W377="Y","Applied","Pending HO approval"))</f>
        <v>None</v>
      </c>
      <c r="AA377" s="12" t="str">
        <f aca="false">INDEX('Risk Taxonomy'!$G$5:$G$24,MATCH(D377,'Risk Taxonomy'!$A$5:$A$24,0))</f>
        <v>Moderate</v>
      </c>
      <c r="AB377" s="7" t="str">
        <f aca="false">INDEX('Risk Taxonomy'!$H$5:$H$24,MATCH(D377,'Risk Taxonomy'!$A$5:$A$24,0))</f>
        <v>Medium-High</v>
      </c>
      <c r="AC377" s="35" t="str">
        <f aca="false">IF(NOT(ISNUMBER(X377)),"",IF(X377&lt;=MATCH(AB377,Config!$B$5:$B$9,0),"Within",IF(OR(X377-MATCH(AB377,Config!$B$5:$B$9,0)&gt;=2,AND('Residual Config'!$C$8="Y",ISNUMBER(SEARCH("Zero",AA377)))),"Red","Amber")))</f>
        <v>Within</v>
      </c>
      <c r="AD377" s="12" t="str">
        <f aca="false">IF(AC377="Red","Group CCO / CRO and Country CEO within 2 business days; action plan in 15 days; report to Board Risk &amp; Compliance Committee",IF(AC377="Amber","Country CO, risk owner and HO Administrator within 5 business days; action plan in 30 days",""))</f>
        <v/>
      </c>
    </row>
    <row r="378" customFormat="false" ht="15" hidden="false" customHeight="false" outlineLevel="0" collapsed="false">
      <c r="A378" s="26" t="str">
        <f aca="false">Entities!$A$23</f>
        <v>MA</v>
      </c>
      <c r="B378" s="12" t="str">
        <f aca="false">INDEX(Entities!$B$5:$B$34,MATCH(A378,Entities!$A$5:$A$34,0))</f>
        <v>Arab Bank – Morocco</v>
      </c>
      <c r="C378" s="12" t="str">
        <f aca="false">INDEX(Entities!$D$5:$D$34,MATCH(A378,Entities!$A$5:$A$34,0))</f>
        <v>North Africa</v>
      </c>
      <c r="D378" s="12" t="s">
        <v>304</v>
      </c>
      <c r="E378" s="12" t="str">
        <f aca="false">INDEX('Risk Taxonomy'!$B$5:$B$24,MATCH(D378,'Risk Taxonomy'!$A$5:$A$24,0))</f>
        <v>Liquidity and funding risk</v>
      </c>
      <c r="F378" s="29" t="n">
        <f aca="false">IF(NOT(ISNUMBER(G378)),"",G378)</f>
        <v>3</v>
      </c>
      <c r="G378" s="34" t="n">
        <f aca="false">IF(COUNTIFS('LxI Assessment'!$A$5:$A$394,A378,'LxI Assessment'!$D$5:$D$394,D378,'LxI Assessment'!$F$5:$F$394,"N/A")&gt;0,"N/A",IF(COUNTIFS('LxI Assessment'!$A$5:$A$394,A378,'LxI Assessment'!$D$5:$D$394,D378,'LxI Assessment'!$S$5:$S$394,"&gt;0")=0,"",SUMIFS('LxI Assessment'!$S$5:$S$394,'LxI Assessment'!$A$5:$A$394,A378,'LxI Assessment'!$D$5:$D$394,D378)))</f>
        <v>3</v>
      </c>
      <c r="H378" s="7" t="str">
        <f aca="false">IF(G378="N/A","N/A",IF(G378="","No data",INDEX(Config!$B$5:$B$9,G378)))</f>
        <v>Medium</v>
      </c>
      <c r="I378" s="31" t="n">
        <f aca="false">IF(NOT(ISNUMBER($G378)),"",SUMPRODUCT(('Control Mapping'!$C$5:$C$83=D378)*('Control Mapping'!$Y$5:$Y$83&gt;0)))</f>
        <v>1</v>
      </c>
      <c r="J378" s="31" t="n">
        <f aca="false">IF(NOT(ISNUMBER($G378)),"",SUMPRODUCT(('Control Mapping'!$C$5:$C$83=D378)*('Control Mapping'!$F$5:$F$83="Y")*('Control Mapping'!$Y$5:$Y$83&gt;0)))</f>
        <v>1</v>
      </c>
      <c r="K378" s="31" t="n">
        <f aca="false">IF(NOT(ISNUMBER($G378)),"",SUMPRODUCT(('Control Mapping'!$C$5:$C$83=D378)*('Control Mapping'!$F$5:$F$83="Y")*('Control Mapping'!$Y$5:$Y$83=4)))</f>
        <v>0</v>
      </c>
      <c r="L378" s="29" t="n">
        <f aca="false">IF(NOT(ISNUMBER($G378)),"",IFERROR(SUMPRODUCT(('Control Mapping'!$C$5:$C$83=D378)*'Control Mapping'!$E$5:$E$83*'Control Mapping'!$Y$5:$Y$83)/SUMPRODUCT(('Control Mapping'!$C$5:$C$83=D378)*'Control Mapping'!$E$5:$E$83*('Control Mapping'!$Y$5:$Y$83&gt;0)),""))</f>
        <v>2</v>
      </c>
      <c r="M378" s="34" t="n">
        <f aca="false">IF(NOT(ISNUMBER($G378)),"",IF(J378=0,4,MAX(MATCH(L378,'Residual Config'!$E$11:$E$14,1),IF(K378&gt;0,'Residual Config'!$C$7,1))))</f>
        <v>2</v>
      </c>
      <c r="N378" s="7" t="str">
        <f aca="false">IF(NOT(ISNUMBER($G378)),"",IF(J378=0,"Ineffective (no key control)",INDEX('Residual Config'!$B$11:$B$14,M378)))</f>
        <v>Largely effective</v>
      </c>
      <c r="O378" s="36" t="n">
        <f aca="false">IF(NOT(ISNUMBER($G378)),"",IF(J378=0,0,SUMPRODUCT(('Control Mapping'!$C$5:$C$83=D378)*'Control Mapping'!$E$5:$E$83*(('Control Mapping'!$Y$5:$Y$83=1)*'Residual Config'!$D$11+('Control Mapping'!$Y$5:$Y$83=2)*'Residual Config'!$D$12+('Control Mapping'!$Y$5:$Y$83=3)*'Residual Config'!$D$13+('Control Mapping'!$Y$5:$Y$83=4)*'Residual Config'!$D$14))/SUMPRODUCT(('Control Mapping'!$C$5:$C$83=D378)*'Control Mapping'!$E$5:$E$83*('Control Mapping'!$Y$5:$Y$83&gt;0))))</f>
        <v>0.4</v>
      </c>
      <c r="P378" s="31" t="n">
        <f aca="false">IF(NOT(ISNUMBER($G378)),"",INDEX('Residual Config'!$B$19:$E$23,6-G378,M378))</f>
        <v>2</v>
      </c>
      <c r="Q378" s="29" t="n">
        <f aca="false">IF(NOT(ISNUMBER($G378)),"",MAX(1,F378*(1-O378)))</f>
        <v>1.8</v>
      </c>
      <c r="R378" s="31" t="n">
        <f aca="false">IF(NOT(ISNUMBER($G378)),"",MAX(MATCH(Q378,Config!$D$5:$D$9,1),G378-'Residual Config'!$C$6))</f>
        <v>1</v>
      </c>
      <c r="S378" s="34" t="n">
        <f aca="false">IF(NOT(ISNUMBER($G378)),"",IF('Residual Config'!$C$5="Numeric",R378,P378))</f>
        <v>2</v>
      </c>
      <c r="T378" s="7" t="str">
        <f aca="false">IF(G378="N/A","N/A",IF(S378="","No data",INDEX(Config!$B$5:$B$9,S378)))</f>
        <v>Medium-Low</v>
      </c>
      <c r="U378" s="32" t="n">
        <v>0</v>
      </c>
      <c r="V378" s="8"/>
      <c r="W378" s="33"/>
      <c r="X378" s="34" t="n">
        <f aca="false">IF(S378="","",IF(AND(W378="Y",U378&lt;&gt;0),MAX(1,MIN(5,S378+MAX(-Config!$C$27,MIN(Config!$C$27,U378)))),S378))</f>
        <v>2</v>
      </c>
      <c r="Y378" s="35" t="str">
        <f aca="false">IF(G378="N/A","N/A",IF(X378="","No data",INDEX(Config!$B$5:$B$9,X378)))</f>
        <v>Medium-Low</v>
      </c>
      <c r="Z378" s="7" t="str">
        <f aca="false">IF(U378=0,"None",IF(W378="Y","Applied","Pending HO approval"))</f>
        <v>None</v>
      </c>
      <c r="AA378" s="12" t="str">
        <f aca="false">INDEX('Risk Taxonomy'!$G$5:$G$24,MATCH(D378,'Risk Taxonomy'!$A$5:$A$24,0))</f>
        <v>Low</v>
      </c>
      <c r="AB378" s="7" t="str">
        <f aca="false">INDEX('Risk Taxonomy'!$H$5:$H$24,MATCH(D378,'Risk Taxonomy'!$A$5:$A$24,0))</f>
        <v>Medium</v>
      </c>
      <c r="AC378" s="35" t="str">
        <f aca="false">IF(NOT(ISNUMBER(X378)),"",IF(X378&lt;=MATCH(AB378,Config!$B$5:$B$9,0),"Within",IF(OR(X378-MATCH(AB378,Config!$B$5:$B$9,0)&gt;=2,AND('Residual Config'!$C$8="Y",ISNUMBER(SEARCH("Zero",AA378)))),"Red","Amber")))</f>
        <v>Within</v>
      </c>
      <c r="AD378" s="12" t="str">
        <f aca="false">IF(AC378="Red","Group CCO / CRO and Country CEO within 2 business days; action plan in 15 days; report to Board Risk &amp; Compliance Committee",IF(AC378="Amber","Country CO, risk owner and HO Administrator within 5 business days; action plan in 30 days",""))</f>
        <v/>
      </c>
    </row>
    <row r="379" customFormat="false" ht="15" hidden="false" customHeight="false" outlineLevel="0" collapsed="false">
      <c r="A379" s="26" t="str">
        <f aca="false">Entities!$A$23</f>
        <v>MA</v>
      </c>
      <c r="B379" s="12" t="str">
        <f aca="false">INDEX(Entities!$B$5:$B$34,MATCH(A379,Entities!$A$5:$A$34,0))</f>
        <v>Arab Bank – Morocco</v>
      </c>
      <c r="C379" s="12" t="str">
        <f aca="false">INDEX(Entities!$D$5:$D$34,MATCH(A379,Entities!$A$5:$A$34,0))</f>
        <v>North Africa</v>
      </c>
      <c r="D379" s="12" t="s">
        <v>307</v>
      </c>
      <c r="E379" s="12" t="str">
        <f aca="false">INDEX('Risk Taxonomy'!$B$5:$B$24,MATCH(D379,'Risk Taxonomy'!$A$5:$A$24,0))</f>
        <v>Operational risk</v>
      </c>
      <c r="F379" s="29" t="n">
        <f aca="false">IF(NOT(ISNUMBER(G379)),"",G379)</f>
        <v>3</v>
      </c>
      <c r="G379" s="34" t="n">
        <f aca="false">IF(COUNTIFS('LxI Assessment'!$A$5:$A$394,A379,'LxI Assessment'!$D$5:$D$394,D379,'LxI Assessment'!$F$5:$F$394,"N/A")&gt;0,"N/A",IF(COUNTIFS('LxI Assessment'!$A$5:$A$394,A379,'LxI Assessment'!$D$5:$D$394,D379,'LxI Assessment'!$S$5:$S$394,"&gt;0")=0,"",SUMIFS('LxI Assessment'!$S$5:$S$394,'LxI Assessment'!$A$5:$A$394,A379,'LxI Assessment'!$D$5:$D$394,D379)))</f>
        <v>3</v>
      </c>
      <c r="H379" s="7" t="str">
        <f aca="false">IF(G379="N/A","N/A",IF(G379="","No data",INDEX(Config!$B$5:$B$9,G379)))</f>
        <v>Medium</v>
      </c>
      <c r="I379" s="31" t="n">
        <f aca="false">IF(NOT(ISNUMBER($G379)),"",SUMPRODUCT(('Control Mapping'!$C$5:$C$83=D379)*('Control Mapping'!$Y$5:$Y$83&gt;0)))</f>
        <v>3</v>
      </c>
      <c r="J379" s="31" t="n">
        <f aca="false">IF(NOT(ISNUMBER($G379)),"",SUMPRODUCT(('Control Mapping'!$C$5:$C$83=D379)*('Control Mapping'!$F$5:$F$83="Y")*('Control Mapping'!$Y$5:$Y$83&gt;0)))</f>
        <v>2</v>
      </c>
      <c r="K379" s="31" t="n">
        <f aca="false">IF(NOT(ISNUMBER($G379)),"",SUMPRODUCT(('Control Mapping'!$C$5:$C$83=D379)*('Control Mapping'!$F$5:$F$83="Y")*('Control Mapping'!$Y$5:$Y$83=4)))</f>
        <v>0</v>
      </c>
      <c r="L379" s="29" t="n">
        <f aca="false">IF(NOT(ISNUMBER($G379)),"",IFERROR(SUMPRODUCT(('Control Mapping'!$C$5:$C$83=D379)*'Control Mapping'!$E$5:$E$83*'Control Mapping'!$Y$5:$Y$83)/SUMPRODUCT(('Control Mapping'!$C$5:$C$83=D379)*'Control Mapping'!$E$5:$E$83*('Control Mapping'!$Y$5:$Y$83&gt;0)),""))</f>
        <v>1.33333333333333</v>
      </c>
      <c r="M379" s="34" t="n">
        <f aca="false">IF(NOT(ISNUMBER($G379)),"",IF(J379=0,4,MAX(MATCH(L379,'Residual Config'!$E$11:$E$14,1),IF(K379&gt;0,'Residual Config'!$C$7,1))))</f>
        <v>1</v>
      </c>
      <c r="N379" s="7" t="str">
        <f aca="false">IF(NOT(ISNUMBER($G379)),"",IF(J379=0,"Ineffective (no key control)",INDEX('Residual Config'!$B$11:$B$14,M379)))</f>
        <v>Effective</v>
      </c>
      <c r="O379" s="36" t="n">
        <f aca="false">IF(NOT(ISNUMBER($G379)),"",IF(J379=0,0,SUMPRODUCT(('Control Mapping'!$C$5:$C$83=D379)*'Control Mapping'!$E$5:$E$83*(('Control Mapping'!$Y$5:$Y$83=1)*'Residual Config'!$D$11+('Control Mapping'!$Y$5:$Y$83=2)*'Residual Config'!$D$12+('Control Mapping'!$Y$5:$Y$83=3)*'Residual Config'!$D$13+('Control Mapping'!$Y$5:$Y$83=4)*'Residual Config'!$D$14))/SUMPRODUCT(('Control Mapping'!$C$5:$C$83=D379)*'Control Mapping'!$E$5:$E$83*('Control Mapping'!$Y$5:$Y$83&gt;0))))</f>
        <v>0.533333333333333</v>
      </c>
      <c r="P379" s="31" t="n">
        <f aca="false">IF(NOT(ISNUMBER($G379)),"",INDEX('Residual Config'!$B$19:$E$23,6-G379,M379))</f>
        <v>1</v>
      </c>
      <c r="Q379" s="29" t="n">
        <f aca="false">IF(NOT(ISNUMBER($G379)),"",MAX(1,F379*(1-O379)))</f>
        <v>1.4</v>
      </c>
      <c r="R379" s="31" t="n">
        <f aca="false">IF(NOT(ISNUMBER($G379)),"",MAX(MATCH(Q379,Config!$D$5:$D$9,1),G379-'Residual Config'!$C$6))</f>
        <v>1</v>
      </c>
      <c r="S379" s="34" t="n">
        <f aca="false">IF(NOT(ISNUMBER($G379)),"",IF('Residual Config'!$C$5="Numeric",R379,P379))</f>
        <v>1</v>
      </c>
      <c r="T379" s="7" t="str">
        <f aca="false">IF(G379="N/A","N/A",IF(S379="","No data",INDEX(Config!$B$5:$B$9,S379)))</f>
        <v>Low</v>
      </c>
      <c r="U379" s="32" t="n">
        <v>0</v>
      </c>
      <c r="V379" s="8"/>
      <c r="W379" s="33"/>
      <c r="X379" s="34" t="n">
        <f aca="false">IF(S379="","",IF(AND(W379="Y",U379&lt;&gt;0),MAX(1,MIN(5,S379+MAX(-Config!$C$27,MIN(Config!$C$27,U379)))),S379))</f>
        <v>1</v>
      </c>
      <c r="Y379" s="35" t="str">
        <f aca="false">IF(G379="N/A","N/A",IF(X379="","No data",INDEX(Config!$B$5:$B$9,X379)))</f>
        <v>Low</v>
      </c>
      <c r="Z379" s="7" t="str">
        <f aca="false">IF(U379=0,"None",IF(W379="Y","Applied","Pending HO approval"))</f>
        <v>None</v>
      </c>
      <c r="AA379" s="12" t="str">
        <f aca="false">INDEX('Risk Taxonomy'!$G$5:$G$24,MATCH(D379,'Risk Taxonomy'!$A$5:$A$24,0))</f>
        <v>Low</v>
      </c>
      <c r="AB379" s="7" t="str">
        <f aca="false">INDEX('Risk Taxonomy'!$H$5:$H$24,MATCH(D379,'Risk Taxonomy'!$A$5:$A$24,0))</f>
        <v>Medium</v>
      </c>
      <c r="AC379" s="35" t="str">
        <f aca="false">IF(NOT(ISNUMBER(X379)),"",IF(X379&lt;=MATCH(AB379,Config!$B$5:$B$9,0),"Within",IF(OR(X379-MATCH(AB379,Config!$B$5:$B$9,0)&gt;=2,AND('Residual Config'!$C$8="Y",ISNUMBER(SEARCH("Zero",AA379)))),"Red","Amber")))</f>
        <v>Within</v>
      </c>
      <c r="AD379" s="12" t="str">
        <f aca="false">IF(AC379="Red","Group CCO / CRO and Country CEO within 2 business days; action plan in 15 days; report to Board Risk &amp; Compliance Committee",IF(AC379="Amber","Country CO, risk owner and HO Administrator within 5 business days; action plan in 30 days",""))</f>
        <v/>
      </c>
    </row>
    <row r="380" customFormat="false" ht="15" hidden="false" customHeight="false" outlineLevel="0" collapsed="false">
      <c r="A380" s="26" t="str">
        <f aca="false">Entities!$A$23</f>
        <v>MA</v>
      </c>
      <c r="B380" s="12" t="str">
        <f aca="false">INDEX(Entities!$B$5:$B$34,MATCH(A380,Entities!$A$5:$A$34,0))</f>
        <v>Arab Bank – Morocco</v>
      </c>
      <c r="C380" s="12" t="str">
        <f aca="false">INDEX(Entities!$D$5:$D$34,MATCH(A380,Entities!$A$5:$A$34,0))</f>
        <v>North Africa</v>
      </c>
      <c r="D380" s="12" t="s">
        <v>310</v>
      </c>
      <c r="E380" s="12" t="str">
        <f aca="false">INDEX('Risk Taxonomy'!$B$5:$B$24,MATCH(D380,'Risk Taxonomy'!$A$5:$A$24,0))</f>
        <v>Cyber, information security and technology</v>
      </c>
      <c r="F380" s="29" t="n">
        <f aca="false">IF(NOT(ISNUMBER(G380)),"",G380)</f>
        <v>3</v>
      </c>
      <c r="G380" s="34" t="n">
        <f aca="false">IF(COUNTIFS('LxI Assessment'!$A$5:$A$394,A380,'LxI Assessment'!$D$5:$D$394,D380,'LxI Assessment'!$F$5:$F$394,"N/A")&gt;0,"N/A",IF(COUNTIFS('LxI Assessment'!$A$5:$A$394,A380,'LxI Assessment'!$D$5:$D$394,D380,'LxI Assessment'!$S$5:$S$394,"&gt;0")=0,"",SUMIFS('LxI Assessment'!$S$5:$S$394,'LxI Assessment'!$A$5:$A$394,A380,'LxI Assessment'!$D$5:$D$394,D380)))</f>
        <v>3</v>
      </c>
      <c r="H380" s="7" t="str">
        <f aca="false">IF(G380="N/A","N/A",IF(G380="","No data",INDEX(Config!$B$5:$B$9,G380)))</f>
        <v>Medium</v>
      </c>
      <c r="I380" s="31" t="n">
        <f aca="false">IF(NOT(ISNUMBER($G380)),"",SUMPRODUCT(('Control Mapping'!$C$5:$C$83=D380)*('Control Mapping'!$Y$5:$Y$83&gt;0)))</f>
        <v>4</v>
      </c>
      <c r="J380" s="31" t="n">
        <f aca="false">IF(NOT(ISNUMBER($G380)),"",SUMPRODUCT(('Control Mapping'!$C$5:$C$83=D380)*('Control Mapping'!$F$5:$F$83="Y")*('Control Mapping'!$Y$5:$Y$83&gt;0)))</f>
        <v>4</v>
      </c>
      <c r="K380" s="31" t="n">
        <f aca="false">IF(NOT(ISNUMBER($G380)),"",SUMPRODUCT(('Control Mapping'!$C$5:$C$83=D380)*('Control Mapping'!$F$5:$F$83="Y")*('Control Mapping'!$Y$5:$Y$83=4)))</f>
        <v>0</v>
      </c>
      <c r="L380" s="29" t="n">
        <f aca="false">IF(NOT(ISNUMBER($G380)),"",IFERROR(SUMPRODUCT(('Control Mapping'!$C$5:$C$83=D380)*'Control Mapping'!$E$5:$E$83*'Control Mapping'!$Y$5:$Y$83)/SUMPRODUCT(('Control Mapping'!$C$5:$C$83=D380)*'Control Mapping'!$E$5:$E$83*('Control Mapping'!$Y$5:$Y$83&gt;0)),""))</f>
        <v>1.85714285714286</v>
      </c>
      <c r="M380" s="34" t="n">
        <f aca="false">IF(NOT(ISNUMBER($G380)),"",IF(J380=0,4,MAX(MATCH(L380,'Residual Config'!$E$11:$E$14,1),IF(K380&gt;0,'Residual Config'!$C$7,1))))</f>
        <v>2</v>
      </c>
      <c r="N380" s="7" t="str">
        <f aca="false">IF(NOT(ISNUMBER($G380)),"",IF(J380=0,"Ineffective (no key control)",INDEX('Residual Config'!$B$11:$B$14,M380)))</f>
        <v>Largely effective</v>
      </c>
      <c r="O380" s="36" t="n">
        <f aca="false">IF(NOT(ISNUMBER($G380)),"",IF(J380=0,0,SUMPRODUCT(('Control Mapping'!$C$5:$C$83=D380)*'Control Mapping'!$E$5:$E$83*(('Control Mapping'!$Y$5:$Y$83=1)*'Residual Config'!$D$11+('Control Mapping'!$Y$5:$Y$83=2)*'Residual Config'!$D$12+('Control Mapping'!$Y$5:$Y$83=3)*'Residual Config'!$D$13+('Control Mapping'!$Y$5:$Y$83=4)*'Residual Config'!$D$14))/SUMPRODUCT(('Control Mapping'!$C$5:$C$83=D380)*'Control Mapping'!$E$5:$E$83*('Control Mapping'!$Y$5:$Y$83&gt;0))))</f>
        <v>0.428571428571429</v>
      </c>
      <c r="P380" s="31" t="n">
        <f aca="false">IF(NOT(ISNUMBER($G380)),"",INDEX('Residual Config'!$B$19:$E$23,6-G380,M380))</f>
        <v>2</v>
      </c>
      <c r="Q380" s="29" t="n">
        <f aca="false">IF(NOT(ISNUMBER($G380)),"",MAX(1,F380*(1-O380)))</f>
        <v>1.71428571428571</v>
      </c>
      <c r="R380" s="31" t="n">
        <f aca="false">IF(NOT(ISNUMBER($G380)),"",MAX(MATCH(Q380,Config!$D$5:$D$9,1),G380-'Residual Config'!$C$6))</f>
        <v>1</v>
      </c>
      <c r="S380" s="34" t="n">
        <f aca="false">IF(NOT(ISNUMBER($G380)),"",IF('Residual Config'!$C$5="Numeric",R380,P380))</f>
        <v>2</v>
      </c>
      <c r="T380" s="7" t="str">
        <f aca="false">IF(G380="N/A","N/A",IF(S380="","No data",INDEX(Config!$B$5:$B$9,S380)))</f>
        <v>Medium-Low</v>
      </c>
      <c r="U380" s="32" t="n">
        <v>0</v>
      </c>
      <c r="V380" s="8"/>
      <c r="W380" s="33"/>
      <c r="X380" s="34" t="n">
        <f aca="false">IF(S380="","",IF(AND(W380="Y",U380&lt;&gt;0),MAX(1,MIN(5,S380+MAX(-Config!$C$27,MIN(Config!$C$27,U380)))),S380))</f>
        <v>2</v>
      </c>
      <c r="Y380" s="35" t="str">
        <f aca="false">IF(G380="N/A","N/A",IF(X380="","No data",INDEX(Config!$B$5:$B$9,X380)))</f>
        <v>Medium-Low</v>
      </c>
      <c r="Z380" s="7" t="str">
        <f aca="false">IF(U380=0,"None",IF(W380="Y","Applied","Pending HO approval"))</f>
        <v>None</v>
      </c>
      <c r="AA380" s="12" t="str">
        <f aca="false">INDEX('Risk Taxonomy'!$G$5:$G$24,MATCH(D380,'Risk Taxonomy'!$A$5:$A$24,0))</f>
        <v>Very low</v>
      </c>
      <c r="AB380" s="7" t="str">
        <f aca="false">INDEX('Risk Taxonomy'!$H$5:$H$24,MATCH(D380,'Risk Taxonomy'!$A$5:$A$24,0))</f>
        <v>Medium-Low</v>
      </c>
      <c r="AC380" s="35" t="str">
        <f aca="false">IF(NOT(ISNUMBER(X380)),"",IF(X380&lt;=MATCH(AB380,Config!$B$5:$B$9,0),"Within",IF(OR(X380-MATCH(AB380,Config!$B$5:$B$9,0)&gt;=2,AND('Residual Config'!$C$8="Y",ISNUMBER(SEARCH("Zero",AA380)))),"Red","Amber")))</f>
        <v>Within</v>
      </c>
      <c r="AD380" s="12" t="str">
        <f aca="false">IF(AC380="Red","Group CCO / CRO and Country CEO within 2 business days; action plan in 15 days; report to Board Risk &amp; Compliance Committee",IF(AC380="Amber","Country CO, risk owner and HO Administrator within 5 business days; action plan in 30 days",""))</f>
        <v/>
      </c>
    </row>
    <row r="381" customFormat="false" ht="15" hidden="false" customHeight="false" outlineLevel="0" collapsed="false">
      <c r="A381" s="26" t="str">
        <f aca="false">Entities!$A$23</f>
        <v>MA</v>
      </c>
      <c r="B381" s="12" t="str">
        <f aca="false">INDEX(Entities!$B$5:$B$34,MATCH(A381,Entities!$A$5:$A$34,0))</f>
        <v>Arab Bank – Morocco</v>
      </c>
      <c r="C381" s="12" t="str">
        <f aca="false">INDEX(Entities!$D$5:$D$34,MATCH(A381,Entities!$A$5:$A$34,0))</f>
        <v>North Africa</v>
      </c>
      <c r="D381" s="12" t="s">
        <v>313</v>
      </c>
      <c r="E381" s="12" t="str">
        <f aca="false">INDEX('Risk Taxonomy'!$B$5:$B$24,MATCH(D381,'Risk Taxonomy'!$A$5:$A$24,0))</f>
        <v>Third-party and outsourcing</v>
      </c>
      <c r="F381" s="29" t="n">
        <f aca="false">IF(NOT(ISNUMBER(G381)),"",G381)</f>
        <v>3</v>
      </c>
      <c r="G381" s="34" t="n">
        <f aca="false">IF(COUNTIFS('LxI Assessment'!$A$5:$A$394,A381,'LxI Assessment'!$D$5:$D$394,D381,'LxI Assessment'!$F$5:$F$394,"N/A")&gt;0,"N/A",IF(COUNTIFS('LxI Assessment'!$A$5:$A$394,A381,'LxI Assessment'!$D$5:$D$394,D381,'LxI Assessment'!$S$5:$S$394,"&gt;0")=0,"",SUMIFS('LxI Assessment'!$S$5:$S$394,'LxI Assessment'!$A$5:$A$394,A381,'LxI Assessment'!$D$5:$D$394,D381)))</f>
        <v>3</v>
      </c>
      <c r="H381" s="7" t="str">
        <f aca="false">IF(G381="N/A","N/A",IF(G381="","No data",INDEX(Config!$B$5:$B$9,G381)))</f>
        <v>Medium</v>
      </c>
      <c r="I381" s="31" t="n">
        <f aca="false">IF(NOT(ISNUMBER($G381)),"",SUMPRODUCT(('Control Mapping'!$C$5:$C$83=D381)*('Control Mapping'!$Y$5:$Y$83&gt;0)))</f>
        <v>2</v>
      </c>
      <c r="J381" s="31" t="n">
        <f aca="false">IF(NOT(ISNUMBER($G381)),"",SUMPRODUCT(('Control Mapping'!$C$5:$C$83=D381)*('Control Mapping'!$F$5:$F$83="Y")*('Control Mapping'!$Y$5:$Y$83&gt;0)))</f>
        <v>2</v>
      </c>
      <c r="K381" s="31" t="n">
        <f aca="false">IF(NOT(ISNUMBER($G381)),"",SUMPRODUCT(('Control Mapping'!$C$5:$C$83=D381)*('Control Mapping'!$F$5:$F$83="Y")*('Control Mapping'!$Y$5:$Y$83=4)))</f>
        <v>1</v>
      </c>
      <c r="L381" s="29" t="n">
        <f aca="false">IF(NOT(ISNUMBER($G381)),"",IFERROR(SUMPRODUCT(('Control Mapping'!$C$5:$C$83=D381)*'Control Mapping'!$E$5:$E$83*'Control Mapping'!$Y$5:$Y$83)/SUMPRODUCT(('Control Mapping'!$C$5:$C$83=D381)*'Control Mapping'!$E$5:$E$83*('Control Mapping'!$Y$5:$Y$83&gt;0)),""))</f>
        <v>3.25</v>
      </c>
      <c r="M381" s="34" t="n">
        <f aca="false">IF(NOT(ISNUMBER($G381)),"",IF(J381=0,4,MAX(MATCH(L381,'Residual Config'!$E$11:$E$14,1),IF(K381&gt;0,'Residual Config'!$C$7,1))))</f>
        <v>3</v>
      </c>
      <c r="N381" s="7" t="str">
        <f aca="false">IF(NOT(ISNUMBER($G381)),"",IF(J381=0,"Ineffective (no key control)",INDEX('Residual Config'!$B$11:$B$14,M381)))</f>
        <v>Partially effective</v>
      </c>
      <c r="O381" s="36" t="n">
        <f aca="false">IF(NOT(ISNUMBER($G381)),"",IF(J381=0,0,SUMPRODUCT(('Control Mapping'!$C$5:$C$83=D381)*'Control Mapping'!$E$5:$E$83*(('Control Mapping'!$Y$5:$Y$83=1)*'Residual Config'!$D$11+('Control Mapping'!$Y$5:$Y$83=2)*'Residual Config'!$D$12+('Control Mapping'!$Y$5:$Y$83=3)*'Residual Config'!$D$13+('Control Mapping'!$Y$5:$Y$83=4)*'Residual Config'!$D$14))/SUMPRODUCT(('Control Mapping'!$C$5:$C$83=D381)*'Control Mapping'!$E$5:$E$83*('Control Mapping'!$Y$5:$Y$83&gt;0))))</f>
        <v>0.15</v>
      </c>
      <c r="P381" s="31" t="n">
        <f aca="false">IF(NOT(ISNUMBER($G381)),"",INDEX('Residual Config'!$B$19:$E$23,6-G381,M381))</f>
        <v>3</v>
      </c>
      <c r="Q381" s="29" t="n">
        <f aca="false">IF(NOT(ISNUMBER($G381)),"",MAX(1,F381*(1-O381)))</f>
        <v>2.55</v>
      </c>
      <c r="R381" s="31" t="n">
        <f aca="false">IF(NOT(ISNUMBER($G381)),"",MAX(MATCH(Q381,Config!$D$5:$D$9,1),G381-'Residual Config'!$C$6))</f>
        <v>2</v>
      </c>
      <c r="S381" s="34" t="n">
        <f aca="false">IF(NOT(ISNUMBER($G381)),"",IF('Residual Config'!$C$5="Numeric",R381,P381))</f>
        <v>3</v>
      </c>
      <c r="T381" s="7" t="str">
        <f aca="false">IF(G381="N/A","N/A",IF(S381="","No data",INDEX(Config!$B$5:$B$9,S381)))</f>
        <v>Medium</v>
      </c>
      <c r="U381" s="32" t="n">
        <v>0</v>
      </c>
      <c r="V381" s="8"/>
      <c r="W381" s="33"/>
      <c r="X381" s="34" t="n">
        <f aca="false">IF(S381="","",IF(AND(W381="Y",U381&lt;&gt;0),MAX(1,MIN(5,S381+MAX(-Config!$C$27,MIN(Config!$C$27,U381)))),S381))</f>
        <v>3</v>
      </c>
      <c r="Y381" s="35" t="str">
        <f aca="false">IF(G381="N/A","N/A",IF(X381="","No data",INDEX(Config!$B$5:$B$9,X381)))</f>
        <v>Medium</v>
      </c>
      <c r="Z381" s="7" t="str">
        <f aca="false">IF(U381=0,"None",IF(W381="Y","Applied","Pending HO approval"))</f>
        <v>None</v>
      </c>
      <c r="AA381" s="12" t="str">
        <f aca="false">INDEX('Risk Taxonomy'!$G$5:$G$24,MATCH(D381,'Risk Taxonomy'!$A$5:$A$24,0))</f>
        <v>Low</v>
      </c>
      <c r="AB381" s="7" t="str">
        <f aca="false">INDEX('Risk Taxonomy'!$H$5:$H$24,MATCH(D381,'Risk Taxonomy'!$A$5:$A$24,0))</f>
        <v>Medium</v>
      </c>
      <c r="AC381" s="35" t="str">
        <f aca="false">IF(NOT(ISNUMBER(X381)),"",IF(X381&lt;=MATCH(AB381,Config!$B$5:$B$9,0),"Within",IF(OR(X381-MATCH(AB381,Config!$B$5:$B$9,0)&gt;=2,AND('Residual Config'!$C$8="Y",ISNUMBER(SEARCH("Zero",AA381)))),"Red","Amber")))</f>
        <v>Within</v>
      </c>
      <c r="AD381" s="12" t="str">
        <f aca="false">IF(AC381="Red","Group CCO / CRO and Country CEO within 2 business days; action plan in 15 days; report to Board Risk &amp; Compliance Committee",IF(AC381="Amber","Country CO, risk owner and HO Administrator within 5 business days; action plan in 30 days",""))</f>
        <v/>
      </c>
    </row>
    <row r="382" customFormat="false" ht="15" hidden="false" customHeight="false" outlineLevel="0" collapsed="false">
      <c r="A382" s="26" t="str">
        <f aca="false">Entities!$A$23</f>
        <v>MA</v>
      </c>
      <c r="B382" s="12" t="str">
        <f aca="false">INDEX(Entities!$B$5:$B$34,MATCH(A382,Entities!$A$5:$A$34,0))</f>
        <v>Arab Bank – Morocco</v>
      </c>
      <c r="C382" s="12" t="str">
        <f aca="false">INDEX(Entities!$D$5:$D$34,MATCH(A382,Entities!$A$5:$A$34,0))</f>
        <v>North Africa</v>
      </c>
      <c r="D382" s="12" t="s">
        <v>316</v>
      </c>
      <c r="E382" s="12" t="str">
        <f aca="false">INDEX('Risk Taxonomy'!$B$5:$B$24,MATCH(D382,'Risk Taxonomy'!$A$5:$A$24,0))</f>
        <v>Legal and litigation</v>
      </c>
      <c r="F382" s="29" t="n">
        <f aca="false">IF(NOT(ISNUMBER(G382)),"",G382)</f>
        <v>3</v>
      </c>
      <c r="G382" s="34" t="n">
        <f aca="false">IF(COUNTIFS('LxI Assessment'!$A$5:$A$394,A382,'LxI Assessment'!$D$5:$D$394,D382,'LxI Assessment'!$F$5:$F$394,"N/A")&gt;0,"N/A",IF(COUNTIFS('LxI Assessment'!$A$5:$A$394,A382,'LxI Assessment'!$D$5:$D$394,D382,'LxI Assessment'!$S$5:$S$394,"&gt;0")=0,"",SUMIFS('LxI Assessment'!$S$5:$S$394,'LxI Assessment'!$A$5:$A$394,A382,'LxI Assessment'!$D$5:$D$394,D382)))</f>
        <v>3</v>
      </c>
      <c r="H382" s="7" t="str">
        <f aca="false">IF(G382="N/A","N/A",IF(G382="","No data",INDEX(Config!$B$5:$B$9,G382)))</f>
        <v>Medium</v>
      </c>
      <c r="I382" s="31" t="n">
        <f aca="false">IF(NOT(ISNUMBER($G382)),"",SUMPRODUCT(('Control Mapping'!$C$5:$C$83=D382)*('Control Mapping'!$Y$5:$Y$83&gt;0)))</f>
        <v>1</v>
      </c>
      <c r="J382" s="31" t="n">
        <f aca="false">IF(NOT(ISNUMBER($G382)),"",SUMPRODUCT(('Control Mapping'!$C$5:$C$83=D382)*('Control Mapping'!$F$5:$F$83="Y")*('Control Mapping'!$Y$5:$Y$83&gt;0)))</f>
        <v>1</v>
      </c>
      <c r="K382" s="31" t="n">
        <f aca="false">IF(NOT(ISNUMBER($G382)),"",SUMPRODUCT(('Control Mapping'!$C$5:$C$83=D382)*('Control Mapping'!$F$5:$F$83="Y")*('Control Mapping'!$Y$5:$Y$83=4)))</f>
        <v>0</v>
      </c>
      <c r="L382" s="29" t="n">
        <f aca="false">IF(NOT(ISNUMBER($G382)),"",IFERROR(SUMPRODUCT(('Control Mapping'!$C$5:$C$83=D382)*'Control Mapping'!$E$5:$E$83*'Control Mapping'!$Y$5:$Y$83)/SUMPRODUCT(('Control Mapping'!$C$5:$C$83=D382)*'Control Mapping'!$E$5:$E$83*('Control Mapping'!$Y$5:$Y$83&gt;0)),""))</f>
        <v>2</v>
      </c>
      <c r="M382" s="34" t="n">
        <f aca="false">IF(NOT(ISNUMBER($G382)),"",IF(J382=0,4,MAX(MATCH(L382,'Residual Config'!$E$11:$E$14,1),IF(K382&gt;0,'Residual Config'!$C$7,1))))</f>
        <v>2</v>
      </c>
      <c r="N382" s="7" t="str">
        <f aca="false">IF(NOT(ISNUMBER($G382)),"",IF(J382=0,"Ineffective (no key control)",INDEX('Residual Config'!$B$11:$B$14,M382)))</f>
        <v>Largely effective</v>
      </c>
      <c r="O382" s="36" t="n">
        <f aca="false">IF(NOT(ISNUMBER($G382)),"",IF(J382=0,0,SUMPRODUCT(('Control Mapping'!$C$5:$C$83=D382)*'Control Mapping'!$E$5:$E$83*(('Control Mapping'!$Y$5:$Y$83=1)*'Residual Config'!$D$11+('Control Mapping'!$Y$5:$Y$83=2)*'Residual Config'!$D$12+('Control Mapping'!$Y$5:$Y$83=3)*'Residual Config'!$D$13+('Control Mapping'!$Y$5:$Y$83=4)*'Residual Config'!$D$14))/SUMPRODUCT(('Control Mapping'!$C$5:$C$83=D382)*'Control Mapping'!$E$5:$E$83*('Control Mapping'!$Y$5:$Y$83&gt;0))))</f>
        <v>0.4</v>
      </c>
      <c r="P382" s="31" t="n">
        <f aca="false">IF(NOT(ISNUMBER($G382)),"",INDEX('Residual Config'!$B$19:$E$23,6-G382,M382))</f>
        <v>2</v>
      </c>
      <c r="Q382" s="29" t="n">
        <f aca="false">IF(NOT(ISNUMBER($G382)),"",MAX(1,F382*(1-O382)))</f>
        <v>1.8</v>
      </c>
      <c r="R382" s="31" t="n">
        <f aca="false">IF(NOT(ISNUMBER($G382)),"",MAX(MATCH(Q382,Config!$D$5:$D$9,1),G382-'Residual Config'!$C$6))</f>
        <v>1</v>
      </c>
      <c r="S382" s="34" t="n">
        <f aca="false">IF(NOT(ISNUMBER($G382)),"",IF('Residual Config'!$C$5="Numeric",R382,P382))</f>
        <v>2</v>
      </c>
      <c r="T382" s="7" t="str">
        <f aca="false">IF(G382="N/A","N/A",IF(S382="","No data",INDEX(Config!$B$5:$B$9,S382)))</f>
        <v>Medium-Low</v>
      </c>
      <c r="U382" s="32" t="n">
        <v>0</v>
      </c>
      <c r="V382" s="8"/>
      <c r="W382" s="33"/>
      <c r="X382" s="34" t="n">
        <f aca="false">IF(S382="","",IF(AND(W382="Y",U382&lt;&gt;0),MAX(1,MIN(5,S382+MAX(-Config!$C$27,MIN(Config!$C$27,U382)))),S382))</f>
        <v>2</v>
      </c>
      <c r="Y382" s="35" t="str">
        <f aca="false">IF(G382="N/A","N/A",IF(X382="","No data",INDEX(Config!$B$5:$B$9,X382)))</f>
        <v>Medium-Low</v>
      </c>
      <c r="Z382" s="7" t="str">
        <f aca="false">IF(U382=0,"None",IF(W382="Y","Applied","Pending HO approval"))</f>
        <v>None</v>
      </c>
      <c r="AA382" s="12" t="str">
        <f aca="false">INDEX('Risk Taxonomy'!$G$5:$G$24,MATCH(D382,'Risk Taxonomy'!$A$5:$A$24,0))</f>
        <v>Very low</v>
      </c>
      <c r="AB382" s="7" t="str">
        <f aca="false">INDEX('Risk Taxonomy'!$H$5:$H$24,MATCH(D382,'Risk Taxonomy'!$A$5:$A$24,0))</f>
        <v>Medium-Low</v>
      </c>
      <c r="AC382" s="35" t="str">
        <f aca="false">IF(NOT(ISNUMBER(X382)),"",IF(X382&lt;=MATCH(AB382,Config!$B$5:$B$9,0),"Within",IF(OR(X382-MATCH(AB382,Config!$B$5:$B$9,0)&gt;=2,AND('Residual Config'!$C$8="Y",ISNUMBER(SEARCH("Zero",AA382)))),"Red","Amber")))</f>
        <v>Within</v>
      </c>
      <c r="AD382" s="12" t="str">
        <f aca="false">IF(AC382="Red","Group CCO / CRO and Country CEO within 2 business days; action plan in 15 days; report to Board Risk &amp; Compliance Committee",IF(AC382="Amber","Country CO, risk owner and HO Administrator within 5 business days; action plan in 30 days",""))</f>
        <v/>
      </c>
    </row>
    <row r="383" customFormat="false" ht="15" hidden="false" customHeight="false" outlineLevel="0" collapsed="false">
      <c r="A383" s="26" t="str">
        <f aca="false">Entities!$A$23</f>
        <v>MA</v>
      </c>
      <c r="B383" s="12" t="str">
        <f aca="false">INDEX(Entities!$B$5:$B$34,MATCH(A383,Entities!$A$5:$A$34,0))</f>
        <v>Arab Bank – Morocco</v>
      </c>
      <c r="C383" s="12" t="str">
        <f aca="false">INDEX(Entities!$D$5:$D$34,MATCH(A383,Entities!$A$5:$A$34,0))</f>
        <v>North Africa</v>
      </c>
      <c r="D383" s="12" t="s">
        <v>319</v>
      </c>
      <c r="E383" s="12" t="str">
        <f aca="false">INDEX('Risk Taxonomy'!$B$5:$B$24,MATCH(D383,'Risk Taxonomy'!$A$5:$A$24,0))</f>
        <v>Reputational</v>
      </c>
      <c r="F383" s="29" t="n">
        <f aca="false">IF(NOT(ISNUMBER(G383)),"",G383)</f>
        <v>4</v>
      </c>
      <c r="G383" s="34" t="n">
        <f aca="false">IF(COUNTIFS('LxI Assessment'!$A$5:$A$394,A383,'LxI Assessment'!$D$5:$D$394,D383,'LxI Assessment'!$F$5:$F$394,"N/A")&gt;0,"N/A",IF(COUNTIFS('LxI Assessment'!$A$5:$A$394,A383,'LxI Assessment'!$D$5:$D$394,D383,'LxI Assessment'!$S$5:$S$394,"&gt;0")=0,"",SUMIFS('LxI Assessment'!$S$5:$S$394,'LxI Assessment'!$A$5:$A$394,A383,'LxI Assessment'!$D$5:$D$394,D383)))</f>
        <v>4</v>
      </c>
      <c r="H383" s="7" t="str">
        <f aca="false">IF(G383="N/A","N/A",IF(G383="","No data",INDEX(Config!$B$5:$B$9,G383)))</f>
        <v>Medium-High</v>
      </c>
      <c r="I383" s="31" t="n">
        <f aca="false">IF(NOT(ISNUMBER($G383)),"",SUMPRODUCT(('Control Mapping'!$C$5:$C$83=D383)*('Control Mapping'!$Y$5:$Y$83&gt;0)))</f>
        <v>2</v>
      </c>
      <c r="J383" s="31" t="n">
        <f aca="false">IF(NOT(ISNUMBER($G383)),"",SUMPRODUCT(('Control Mapping'!$C$5:$C$83=D383)*('Control Mapping'!$F$5:$F$83="Y")*('Control Mapping'!$Y$5:$Y$83&gt;0)))</f>
        <v>1</v>
      </c>
      <c r="K383" s="31" t="n">
        <f aca="false">IF(NOT(ISNUMBER($G383)),"",SUMPRODUCT(('Control Mapping'!$C$5:$C$83=D383)*('Control Mapping'!$F$5:$F$83="Y")*('Control Mapping'!$Y$5:$Y$83=4)))</f>
        <v>0</v>
      </c>
      <c r="L383" s="29" t="n">
        <f aca="false">IF(NOT(ISNUMBER($G383)),"",IFERROR(SUMPRODUCT(('Control Mapping'!$C$5:$C$83=D383)*'Control Mapping'!$E$5:$E$83*'Control Mapping'!$Y$5:$Y$83)/SUMPRODUCT(('Control Mapping'!$C$5:$C$83=D383)*'Control Mapping'!$E$5:$E$83*('Control Mapping'!$Y$5:$Y$83&gt;0)),""))</f>
        <v>2</v>
      </c>
      <c r="M383" s="34" t="n">
        <f aca="false">IF(NOT(ISNUMBER($G383)),"",IF(J383=0,4,MAX(MATCH(L383,'Residual Config'!$E$11:$E$14,1),IF(K383&gt;0,'Residual Config'!$C$7,1))))</f>
        <v>2</v>
      </c>
      <c r="N383" s="7" t="str">
        <f aca="false">IF(NOT(ISNUMBER($G383)),"",IF(J383=0,"Ineffective (no key control)",INDEX('Residual Config'!$B$11:$B$14,M383)))</f>
        <v>Largely effective</v>
      </c>
      <c r="O383" s="36" t="n">
        <f aca="false">IF(NOT(ISNUMBER($G383)),"",IF(J383=0,0,SUMPRODUCT(('Control Mapping'!$C$5:$C$83=D383)*'Control Mapping'!$E$5:$E$83*(('Control Mapping'!$Y$5:$Y$83=1)*'Residual Config'!$D$11+('Control Mapping'!$Y$5:$Y$83=2)*'Residual Config'!$D$12+('Control Mapping'!$Y$5:$Y$83=3)*'Residual Config'!$D$13+('Control Mapping'!$Y$5:$Y$83=4)*'Residual Config'!$D$14))/SUMPRODUCT(('Control Mapping'!$C$5:$C$83=D383)*'Control Mapping'!$E$5:$E$83*('Control Mapping'!$Y$5:$Y$83&gt;0))))</f>
        <v>0.4</v>
      </c>
      <c r="P383" s="31" t="n">
        <f aca="false">IF(NOT(ISNUMBER($G383)),"",INDEX('Residual Config'!$B$19:$E$23,6-G383,M383))</f>
        <v>3</v>
      </c>
      <c r="Q383" s="29" t="n">
        <f aca="false">IF(NOT(ISNUMBER($G383)),"",MAX(1,F383*(1-O383)))</f>
        <v>2.4</v>
      </c>
      <c r="R383" s="31" t="n">
        <f aca="false">IF(NOT(ISNUMBER($G383)),"",MAX(MATCH(Q383,Config!$D$5:$D$9,1),G383-'Residual Config'!$C$6))</f>
        <v>2</v>
      </c>
      <c r="S383" s="34" t="n">
        <f aca="false">IF(NOT(ISNUMBER($G383)),"",IF('Residual Config'!$C$5="Numeric",R383,P383))</f>
        <v>3</v>
      </c>
      <c r="T383" s="7" t="str">
        <f aca="false">IF(G383="N/A","N/A",IF(S383="","No data",INDEX(Config!$B$5:$B$9,S383)))</f>
        <v>Medium</v>
      </c>
      <c r="U383" s="32" t="n">
        <v>0</v>
      </c>
      <c r="V383" s="8"/>
      <c r="W383" s="33"/>
      <c r="X383" s="34" t="n">
        <f aca="false">IF(S383="","",IF(AND(W383="Y",U383&lt;&gt;0),MAX(1,MIN(5,S383+MAX(-Config!$C$27,MIN(Config!$C$27,U383)))),S383))</f>
        <v>3</v>
      </c>
      <c r="Y383" s="35" t="str">
        <f aca="false">IF(G383="N/A","N/A",IF(X383="","No data",INDEX(Config!$B$5:$B$9,X383)))</f>
        <v>Medium</v>
      </c>
      <c r="Z383" s="7" t="str">
        <f aca="false">IF(U383=0,"None",IF(W383="Y","Applied","Pending HO approval"))</f>
        <v>None</v>
      </c>
      <c r="AA383" s="12" t="str">
        <f aca="false">INDEX('Risk Taxonomy'!$G$5:$G$24,MATCH(D383,'Risk Taxonomy'!$A$5:$A$24,0))</f>
        <v>Low</v>
      </c>
      <c r="AB383" s="7" t="str">
        <f aca="false">INDEX('Risk Taxonomy'!$H$5:$H$24,MATCH(D383,'Risk Taxonomy'!$A$5:$A$24,0))</f>
        <v>Medium</v>
      </c>
      <c r="AC383" s="35" t="str">
        <f aca="false">IF(NOT(ISNUMBER(X383)),"",IF(X383&lt;=MATCH(AB383,Config!$B$5:$B$9,0),"Within",IF(OR(X383-MATCH(AB383,Config!$B$5:$B$9,0)&gt;=2,AND('Residual Config'!$C$8="Y",ISNUMBER(SEARCH("Zero",AA383)))),"Red","Amber")))</f>
        <v>Within</v>
      </c>
      <c r="AD383" s="12" t="str">
        <f aca="false">IF(AC383="Red","Group CCO / CRO and Country CEO within 2 business days; action plan in 15 days; report to Board Risk &amp; Compliance Committee",IF(AC383="Amber","Country CO, risk owner and HO Administrator within 5 business days; action plan in 30 days",""))</f>
        <v/>
      </c>
    </row>
    <row r="384" customFormat="false" ht="15" hidden="false" customHeight="false" outlineLevel="0" collapsed="false">
      <c r="A384" s="26" t="str">
        <f aca="false">Entities!$A$23</f>
        <v>MA</v>
      </c>
      <c r="B384" s="12" t="str">
        <f aca="false">INDEX(Entities!$B$5:$B$34,MATCH(A384,Entities!$A$5:$A$34,0))</f>
        <v>Arab Bank – Morocco</v>
      </c>
      <c r="C384" s="12" t="str">
        <f aca="false">INDEX(Entities!$D$5:$D$34,MATCH(A384,Entities!$A$5:$A$34,0))</f>
        <v>North Africa</v>
      </c>
      <c r="D384" s="12" t="s">
        <v>322</v>
      </c>
      <c r="E384" s="12" t="str">
        <f aca="false">INDEX('Risk Taxonomy'!$B$5:$B$24,MATCH(D384,'Risk Taxonomy'!$A$5:$A$24,0))</f>
        <v>Strategic, business model and ESG</v>
      </c>
      <c r="F384" s="29" t="n">
        <f aca="false">IF(NOT(ISNUMBER(G384)),"",G384)</f>
        <v>3</v>
      </c>
      <c r="G384" s="34" t="n">
        <f aca="false">IF(COUNTIFS('LxI Assessment'!$A$5:$A$394,A384,'LxI Assessment'!$D$5:$D$394,D384,'LxI Assessment'!$F$5:$F$394,"N/A")&gt;0,"N/A",IF(COUNTIFS('LxI Assessment'!$A$5:$A$394,A384,'LxI Assessment'!$D$5:$D$394,D384,'LxI Assessment'!$S$5:$S$394,"&gt;0")=0,"",SUMIFS('LxI Assessment'!$S$5:$S$394,'LxI Assessment'!$A$5:$A$394,A384,'LxI Assessment'!$D$5:$D$394,D384)))</f>
        <v>3</v>
      </c>
      <c r="H384" s="7" t="str">
        <f aca="false">IF(G384="N/A","N/A",IF(G384="","No data",INDEX(Config!$B$5:$B$9,G384)))</f>
        <v>Medium</v>
      </c>
      <c r="I384" s="31" t="n">
        <f aca="false">IF(NOT(ISNUMBER($G384)),"",SUMPRODUCT(('Control Mapping'!$C$5:$C$83=D384)*('Control Mapping'!$Y$5:$Y$83&gt;0)))</f>
        <v>1</v>
      </c>
      <c r="J384" s="31" t="n">
        <f aca="false">IF(NOT(ISNUMBER($G384)),"",SUMPRODUCT(('Control Mapping'!$C$5:$C$83=D384)*('Control Mapping'!$F$5:$F$83="Y")*('Control Mapping'!$Y$5:$Y$83&gt;0)))</f>
        <v>1</v>
      </c>
      <c r="K384" s="31" t="n">
        <f aca="false">IF(NOT(ISNUMBER($G384)),"",SUMPRODUCT(('Control Mapping'!$C$5:$C$83=D384)*('Control Mapping'!$F$5:$F$83="Y")*('Control Mapping'!$Y$5:$Y$83=4)))</f>
        <v>0</v>
      </c>
      <c r="L384" s="29" t="n">
        <f aca="false">IF(NOT(ISNUMBER($G384)),"",IFERROR(SUMPRODUCT(('Control Mapping'!$C$5:$C$83=D384)*'Control Mapping'!$E$5:$E$83*'Control Mapping'!$Y$5:$Y$83)/SUMPRODUCT(('Control Mapping'!$C$5:$C$83=D384)*'Control Mapping'!$E$5:$E$83*('Control Mapping'!$Y$5:$Y$83&gt;0)),""))</f>
        <v>2</v>
      </c>
      <c r="M384" s="34" t="n">
        <f aca="false">IF(NOT(ISNUMBER($G384)),"",IF(J384=0,4,MAX(MATCH(L384,'Residual Config'!$E$11:$E$14,1),IF(K384&gt;0,'Residual Config'!$C$7,1))))</f>
        <v>2</v>
      </c>
      <c r="N384" s="7" t="str">
        <f aca="false">IF(NOT(ISNUMBER($G384)),"",IF(J384=0,"Ineffective (no key control)",INDEX('Residual Config'!$B$11:$B$14,M384)))</f>
        <v>Largely effective</v>
      </c>
      <c r="O384" s="36" t="n">
        <f aca="false">IF(NOT(ISNUMBER($G384)),"",IF(J384=0,0,SUMPRODUCT(('Control Mapping'!$C$5:$C$83=D384)*'Control Mapping'!$E$5:$E$83*(('Control Mapping'!$Y$5:$Y$83=1)*'Residual Config'!$D$11+('Control Mapping'!$Y$5:$Y$83=2)*'Residual Config'!$D$12+('Control Mapping'!$Y$5:$Y$83=3)*'Residual Config'!$D$13+('Control Mapping'!$Y$5:$Y$83=4)*'Residual Config'!$D$14))/SUMPRODUCT(('Control Mapping'!$C$5:$C$83=D384)*'Control Mapping'!$E$5:$E$83*('Control Mapping'!$Y$5:$Y$83&gt;0))))</f>
        <v>0.4</v>
      </c>
      <c r="P384" s="31" t="n">
        <f aca="false">IF(NOT(ISNUMBER($G384)),"",INDEX('Residual Config'!$B$19:$E$23,6-G384,M384))</f>
        <v>2</v>
      </c>
      <c r="Q384" s="29" t="n">
        <f aca="false">IF(NOT(ISNUMBER($G384)),"",MAX(1,F384*(1-O384)))</f>
        <v>1.8</v>
      </c>
      <c r="R384" s="31" t="n">
        <f aca="false">IF(NOT(ISNUMBER($G384)),"",MAX(MATCH(Q384,Config!$D$5:$D$9,1),G384-'Residual Config'!$C$6))</f>
        <v>1</v>
      </c>
      <c r="S384" s="34" t="n">
        <f aca="false">IF(NOT(ISNUMBER($G384)),"",IF('Residual Config'!$C$5="Numeric",R384,P384))</f>
        <v>2</v>
      </c>
      <c r="T384" s="7" t="str">
        <f aca="false">IF(G384="N/A","N/A",IF(S384="","No data",INDEX(Config!$B$5:$B$9,S384)))</f>
        <v>Medium-Low</v>
      </c>
      <c r="U384" s="32" t="n">
        <v>0</v>
      </c>
      <c r="V384" s="8"/>
      <c r="W384" s="33"/>
      <c r="X384" s="34" t="n">
        <f aca="false">IF(S384="","",IF(AND(W384="Y",U384&lt;&gt;0),MAX(1,MIN(5,S384+MAX(-Config!$C$27,MIN(Config!$C$27,U384)))),S384))</f>
        <v>2</v>
      </c>
      <c r="Y384" s="35" t="str">
        <f aca="false">IF(G384="N/A","N/A",IF(X384="","No data",INDEX(Config!$B$5:$B$9,X384)))</f>
        <v>Medium-Low</v>
      </c>
      <c r="Z384" s="7" t="str">
        <f aca="false">IF(U384=0,"None",IF(W384="Y","Applied","Pending HO approval"))</f>
        <v>None</v>
      </c>
      <c r="AA384" s="12" t="str">
        <f aca="false">INDEX('Risk Taxonomy'!$G$5:$G$24,MATCH(D384,'Risk Taxonomy'!$A$5:$A$24,0))</f>
        <v>Moderate</v>
      </c>
      <c r="AB384" s="7" t="str">
        <f aca="false">INDEX('Risk Taxonomy'!$H$5:$H$24,MATCH(D384,'Risk Taxonomy'!$A$5:$A$24,0))</f>
        <v>Medium-High</v>
      </c>
      <c r="AC384" s="35" t="str">
        <f aca="false">IF(NOT(ISNUMBER(X384)),"",IF(X384&lt;=MATCH(AB384,Config!$B$5:$B$9,0),"Within",IF(OR(X384-MATCH(AB384,Config!$B$5:$B$9,0)&gt;=2,AND('Residual Config'!$C$8="Y",ISNUMBER(SEARCH("Zero",AA384)))),"Red","Amber")))</f>
        <v>Within</v>
      </c>
      <c r="AD384" s="12" t="str">
        <f aca="false">IF(AC384="Red","Group CCO / CRO and Country CEO within 2 business days; action plan in 15 days; report to Board Risk &amp; Compliance Committee",IF(AC384="Amber","Country CO, risk owner and HO Administrator within 5 business days; action plan in 30 days",""))</f>
        <v/>
      </c>
    </row>
    <row r="385" customFormat="false" ht="15" hidden="false" customHeight="false" outlineLevel="0" collapsed="false">
      <c r="A385" s="26" t="str">
        <f aca="false">Entities!$A$24</f>
        <v>TN</v>
      </c>
      <c r="B385" s="12" t="str">
        <f aca="false">INDEX(Entities!$B$5:$B$34,MATCH(A385,Entities!$A$5:$A$34,0))</f>
        <v>Arab Tunisian Bank</v>
      </c>
      <c r="C385" s="12" t="str">
        <f aca="false">INDEX(Entities!$D$5:$D$34,MATCH(A385,Entities!$A$5:$A$34,0))</f>
        <v>North Africa</v>
      </c>
      <c r="D385" s="12" t="s">
        <v>260</v>
      </c>
      <c r="E385" s="12" t="str">
        <f aca="false">INDEX('Risk Taxonomy'!$B$5:$B$24,MATCH(D385,'Risk Taxonomy'!$A$5:$A$24,0))</f>
        <v>Money laundering</v>
      </c>
      <c r="F385" s="29" t="n">
        <f aca="false">IF(NOT(ISNUMBER(G385)),"",IFERROR(IF(MATCH(SUMIFS('FC Calculation'!$N$5:$N$214,'FC Calculation'!$A$5:$A$214,A385,'FC Calculation'!$D$5:$D$214,D385),Config!$D$5:$D$9,1)=G385,SUMIFS('FC Calculation'!$N$5:$N$214,'FC Calculation'!$A$5:$A$214,A385,'FC Calculation'!$D$5:$D$214,D385),G385),G385))</f>
        <v>2.85730158730159</v>
      </c>
      <c r="G385" s="34" t="n">
        <f aca="false">IF(COUNTIFS('FC Calculation'!$A$5:$A$214,A385,'FC Calculation'!$D$5:$D$214,D385,'FC Calculation'!$T$5:$T$214,"&gt;0")=0,"",SUMIFS('FC Calculation'!$T$5:$T$214,'FC Calculation'!$A$5:$A$214,A385,'FC Calculation'!$D$5:$D$214,D385))</f>
        <v>3</v>
      </c>
      <c r="H385" s="7" t="str">
        <f aca="false">IF(G385="N/A","N/A",IF(G385="","No data",INDEX(Config!$B$5:$B$9,G385)))</f>
        <v>Medium</v>
      </c>
      <c r="I385" s="31" t="n">
        <f aca="false">IF(NOT(ISNUMBER($G385)),"",SUMPRODUCT(('Control Mapping'!$C$5:$C$83=D385)*('Control Mapping'!$Z$5:$Z$83&gt;0)))</f>
        <v>12</v>
      </c>
      <c r="J385" s="31" t="n">
        <f aca="false">IF(NOT(ISNUMBER($G385)),"",SUMPRODUCT(('Control Mapping'!$C$5:$C$83=D385)*('Control Mapping'!$F$5:$F$83="Y")*('Control Mapping'!$Z$5:$Z$83&gt;0)))</f>
        <v>9</v>
      </c>
      <c r="K385" s="31" t="n">
        <f aca="false">IF(NOT(ISNUMBER($G385)),"",SUMPRODUCT(('Control Mapping'!$C$5:$C$83=D385)*('Control Mapping'!$F$5:$F$83="Y")*('Control Mapping'!$Z$5:$Z$83=4)))</f>
        <v>1</v>
      </c>
      <c r="L385" s="29" t="n">
        <f aca="false">IF(NOT(ISNUMBER($G385)),"",IFERROR(SUMPRODUCT(('Control Mapping'!$C$5:$C$83=D385)*'Control Mapping'!$E$5:$E$83*'Control Mapping'!$Z$5:$Z$83)/SUMPRODUCT(('Control Mapping'!$C$5:$C$83=D385)*'Control Mapping'!$E$5:$E$83*('Control Mapping'!$Z$5:$Z$83&gt;0)),""))</f>
        <v>2.21739130434783</v>
      </c>
      <c r="M385" s="34" t="n">
        <f aca="false">IF(NOT(ISNUMBER($G385)),"",IF(J385=0,4,MAX(MATCH(L385,'Residual Config'!$E$11:$E$14,1),IF(K385&gt;0,'Residual Config'!$C$7,1))))</f>
        <v>3</v>
      </c>
      <c r="N385" s="7" t="str">
        <f aca="false">IF(NOT(ISNUMBER($G385)),"",IF(J385=0,"Ineffective (no key control)",INDEX('Residual Config'!$B$11:$B$14,M385)))</f>
        <v>Partially effective</v>
      </c>
      <c r="O385" s="36" t="n">
        <f aca="false">IF(NOT(ISNUMBER($G385)),"",IF(J385=0,0,SUMPRODUCT(('Control Mapping'!$C$5:$C$83=D385)*'Control Mapping'!$E$5:$E$83*(('Control Mapping'!$Z$5:$Z$83=1)*'Residual Config'!$D$11+('Control Mapping'!$Z$5:$Z$83=2)*'Residual Config'!$D$12+('Control Mapping'!$Z$5:$Z$83=3)*'Residual Config'!$D$13+('Control Mapping'!$Z$5:$Z$83=4)*'Residual Config'!$D$14))/SUMPRODUCT(('Control Mapping'!$C$5:$C$83=D385)*'Control Mapping'!$E$5:$E$83*('Control Mapping'!$Z$5:$Z$83&gt;0))))</f>
        <v>0.356521739130435</v>
      </c>
      <c r="P385" s="31" t="n">
        <f aca="false">IF(NOT(ISNUMBER($G385)),"",INDEX('Residual Config'!$B$19:$E$23,6-G385,M385))</f>
        <v>3</v>
      </c>
      <c r="Q385" s="29" t="n">
        <f aca="false">IF(NOT(ISNUMBER($G385)),"",MAX(1,F385*(1-O385)))</f>
        <v>1.83861145617667</v>
      </c>
      <c r="R385" s="31" t="n">
        <f aca="false">IF(NOT(ISNUMBER($G385)),"",MAX(MATCH(Q385,Config!$D$5:$D$9,1),G385-'Residual Config'!$C$6))</f>
        <v>2</v>
      </c>
      <c r="S385" s="34" t="n">
        <f aca="false">IF(NOT(ISNUMBER($G385)),"",IF('Residual Config'!$C$5="Numeric",R385,P385))</f>
        <v>3</v>
      </c>
      <c r="T385" s="7" t="str">
        <f aca="false">IF(G385="N/A","N/A",IF(S385="","No data",INDEX(Config!$B$5:$B$9,S385)))</f>
        <v>Medium</v>
      </c>
      <c r="U385" s="32" t="n">
        <v>0</v>
      </c>
      <c r="V385" s="8"/>
      <c r="W385" s="33"/>
      <c r="X385" s="34" t="n">
        <f aca="false">IF(S385="","",IF(AND(W385="Y",U385&lt;&gt;0),MAX(1,MIN(5,S385+MAX(-Config!$C$27,MIN(Config!$C$27,U385)))),S385))</f>
        <v>3</v>
      </c>
      <c r="Y385" s="35" t="str">
        <f aca="false">IF(G385="N/A","N/A",IF(X385="","No data",INDEX(Config!$B$5:$B$9,X385)))</f>
        <v>Medium</v>
      </c>
      <c r="Z385" s="7" t="str">
        <f aca="false">IF(U385=0,"None",IF(W385="Y","Applied","Pending HO approval"))</f>
        <v>None</v>
      </c>
      <c r="AA385" s="12" t="str">
        <f aca="false">INDEX('Risk Taxonomy'!$G$5:$G$24,MATCH(D385,'Risk Taxonomy'!$A$5:$A$24,0))</f>
        <v>Very low</v>
      </c>
      <c r="AB385" s="7" t="str">
        <f aca="false">INDEX('Risk Taxonomy'!$H$5:$H$24,MATCH(D385,'Risk Taxonomy'!$A$5:$A$24,0))</f>
        <v>Medium-Low</v>
      </c>
      <c r="AC385" s="35" t="str">
        <f aca="false">IF(NOT(ISNUMBER(X385)),"",IF(X385&lt;=MATCH(AB385,Config!$B$5:$B$9,0),"Within",IF(OR(X385-MATCH(AB385,Config!$B$5:$B$9,0)&gt;=2,AND('Residual Config'!$C$8="Y",ISNUMBER(SEARCH("Zero",AA385)))),"Red","Amber")))</f>
        <v>Amber</v>
      </c>
      <c r="AD385" s="12" t="str">
        <f aca="false">IF(AC385="Red","Group CCO / CRO and Country CEO within 2 business days; action plan in 15 days; report to Board Risk &amp; Compliance Committee",IF(AC385="Amber","Country CO, risk owner and HO Administrator within 5 business days; action plan in 30 days",""))</f>
        <v>Country CO, risk owner and HO Administrator within 5 business days; action plan in 30 days</v>
      </c>
    </row>
    <row r="386" customFormat="false" ht="15" hidden="false" customHeight="false" outlineLevel="0" collapsed="false">
      <c r="A386" s="26" t="str">
        <f aca="false">Entities!$A$24</f>
        <v>TN</v>
      </c>
      <c r="B386" s="12" t="str">
        <f aca="false">INDEX(Entities!$B$5:$B$34,MATCH(A386,Entities!$A$5:$A$34,0))</f>
        <v>Arab Tunisian Bank</v>
      </c>
      <c r="C386" s="12" t="str">
        <f aca="false">INDEX(Entities!$D$5:$D$34,MATCH(A386,Entities!$A$5:$A$34,0))</f>
        <v>North Africa</v>
      </c>
      <c r="D386" s="12" t="s">
        <v>267</v>
      </c>
      <c r="E386" s="12" t="str">
        <f aca="false">INDEX('Risk Taxonomy'!$B$5:$B$24,MATCH(D386,'Risk Taxonomy'!$A$5:$A$24,0))</f>
        <v>Terrorist financing</v>
      </c>
      <c r="F386" s="29" t="n">
        <f aca="false">IF(NOT(ISNUMBER(G386)),"",IFERROR(IF(MATCH(SUMIFS('FC Calculation'!$N$5:$N$214,'FC Calculation'!$A$5:$A$214,A386,'FC Calculation'!$D$5:$D$214,D386),Config!$D$5:$D$9,1)=G386,SUMIFS('FC Calculation'!$N$5:$N$214,'FC Calculation'!$A$5:$A$214,A386,'FC Calculation'!$D$5:$D$214,D386),G386),G386))</f>
        <v>3.19761904761905</v>
      </c>
      <c r="G386" s="34" t="n">
        <f aca="false">IF(COUNTIFS('FC Calculation'!$A$5:$A$214,A386,'FC Calculation'!$D$5:$D$214,D386,'FC Calculation'!$T$5:$T$214,"&gt;0")=0,"",SUMIFS('FC Calculation'!$T$5:$T$214,'FC Calculation'!$A$5:$A$214,A386,'FC Calculation'!$D$5:$D$214,D386))</f>
        <v>3</v>
      </c>
      <c r="H386" s="7" t="str">
        <f aca="false">IF(G386="N/A","N/A",IF(G386="","No data",INDEX(Config!$B$5:$B$9,G386)))</f>
        <v>Medium</v>
      </c>
      <c r="I386" s="31" t="n">
        <f aca="false">IF(NOT(ISNUMBER($G386)),"",SUMPRODUCT(('Control Mapping'!$C$5:$C$83=D386)*('Control Mapping'!$Z$5:$Z$83&gt;0)))</f>
        <v>12</v>
      </c>
      <c r="J386" s="31" t="n">
        <f aca="false">IF(NOT(ISNUMBER($G386)),"",SUMPRODUCT(('Control Mapping'!$C$5:$C$83=D386)*('Control Mapping'!$F$5:$F$83="Y")*('Control Mapping'!$Z$5:$Z$83&gt;0)))</f>
        <v>9</v>
      </c>
      <c r="K386" s="31" t="n">
        <f aca="false">IF(NOT(ISNUMBER($G386)),"",SUMPRODUCT(('Control Mapping'!$C$5:$C$83=D386)*('Control Mapping'!$F$5:$F$83="Y")*('Control Mapping'!$Z$5:$Z$83=4)))</f>
        <v>2</v>
      </c>
      <c r="L386" s="29" t="n">
        <f aca="false">IF(NOT(ISNUMBER($G386)),"",IFERROR(SUMPRODUCT(('Control Mapping'!$C$5:$C$83=D386)*'Control Mapping'!$E$5:$E$83*'Control Mapping'!$Z$5:$Z$83)/SUMPRODUCT(('Control Mapping'!$C$5:$C$83=D386)*'Control Mapping'!$E$5:$E$83*('Control Mapping'!$Z$5:$Z$83&gt;0)),""))</f>
        <v>2.36842105263158</v>
      </c>
      <c r="M386" s="34" t="n">
        <f aca="false">IF(NOT(ISNUMBER($G386)),"",IF(J386=0,4,MAX(MATCH(L386,'Residual Config'!$E$11:$E$14,1),IF(K386&gt;0,'Residual Config'!$C$7,1))))</f>
        <v>3</v>
      </c>
      <c r="N386" s="7" t="str">
        <f aca="false">IF(NOT(ISNUMBER($G386)),"",IF(J386=0,"Ineffective (no key control)",INDEX('Residual Config'!$B$11:$B$14,M386)))</f>
        <v>Partially effective</v>
      </c>
      <c r="O386" s="36" t="n">
        <f aca="false">IF(NOT(ISNUMBER($G386)),"",IF(J386=0,0,SUMPRODUCT(('Control Mapping'!$C$5:$C$83=D386)*'Control Mapping'!$E$5:$E$83*(('Control Mapping'!$Z$5:$Z$83=1)*'Residual Config'!$D$11+('Control Mapping'!$Z$5:$Z$83=2)*'Residual Config'!$D$12+('Control Mapping'!$Z$5:$Z$83=3)*'Residual Config'!$D$13+('Control Mapping'!$Z$5:$Z$83=4)*'Residual Config'!$D$14))/SUMPRODUCT(('Control Mapping'!$C$5:$C$83=D386)*'Control Mapping'!$E$5:$E$83*('Control Mapping'!$Z$5:$Z$83&gt;0))))</f>
        <v>0.326315789473684</v>
      </c>
      <c r="P386" s="31" t="n">
        <f aca="false">IF(NOT(ISNUMBER($G386)),"",INDEX('Residual Config'!$B$19:$E$23,6-G386,M386))</f>
        <v>3</v>
      </c>
      <c r="Q386" s="29" t="n">
        <f aca="false">IF(NOT(ISNUMBER($G386)),"",MAX(1,F386*(1-O386)))</f>
        <v>2.15418546365915</v>
      </c>
      <c r="R386" s="31" t="n">
        <f aca="false">IF(NOT(ISNUMBER($G386)),"",MAX(MATCH(Q386,Config!$D$5:$D$9,1),G386-'Residual Config'!$C$6))</f>
        <v>2</v>
      </c>
      <c r="S386" s="34" t="n">
        <f aca="false">IF(NOT(ISNUMBER($G386)),"",IF('Residual Config'!$C$5="Numeric",R386,P386))</f>
        <v>3</v>
      </c>
      <c r="T386" s="7" t="str">
        <f aca="false">IF(G386="N/A","N/A",IF(S386="","No data",INDEX(Config!$B$5:$B$9,S386)))</f>
        <v>Medium</v>
      </c>
      <c r="U386" s="32" t="n">
        <v>0</v>
      </c>
      <c r="V386" s="8"/>
      <c r="W386" s="33"/>
      <c r="X386" s="34" t="n">
        <f aca="false">IF(S386="","",IF(AND(W386="Y",U386&lt;&gt;0),MAX(1,MIN(5,S386+MAX(-Config!$C$27,MIN(Config!$C$27,U386)))),S386))</f>
        <v>3</v>
      </c>
      <c r="Y386" s="35" t="str">
        <f aca="false">IF(G386="N/A","N/A",IF(X386="","No data",INDEX(Config!$B$5:$B$9,X386)))</f>
        <v>Medium</v>
      </c>
      <c r="Z386" s="7" t="str">
        <f aca="false">IF(U386=0,"None",IF(W386="Y","Applied","Pending HO approval"))</f>
        <v>None</v>
      </c>
      <c r="AA386" s="12" t="str">
        <f aca="false">INDEX('Risk Taxonomy'!$G$5:$G$24,MATCH(D386,'Risk Taxonomy'!$A$5:$A$24,0))</f>
        <v>Zero tolerance</v>
      </c>
      <c r="AB386" s="7" t="str">
        <f aca="false">INDEX('Risk Taxonomy'!$H$5:$H$24,MATCH(D386,'Risk Taxonomy'!$A$5:$A$24,0))</f>
        <v>Low</v>
      </c>
      <c r="AC386" s="35" t="str">
        <f aca="false">IF(NOT(ISNUMBER(X386)),"",IF(X386&lt;=MATCH(AB386,Config!$B$5:$B$9,0),"Within",IF(OR(X386-MATCH(AB386,Config!$B$5:$B$9,0)&gt;=2,AND('Residual Config'!$C$8="Y",ISNUMBER(SEARCH("Zero",AA386)))),"Red","Amber")))</f>
        <v>Red</v>
      </c>
      <c r="AD386" s="12" t="str">
        <f aca="false">IF(AC386="Red","Group CCO / CRO and Country CEO within 2 business days; action plan in 15 days; report to Board Risk &amp; Compliance Committee",IF(AC386="Amber","Country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87" customFormat="false" ht="15" hidden="false" customHeight="false" outlineLevel="0" collapsed="false">
      <c r="A387" s="26" t="str">
        <f aca="false">Entities!$A$24</f>
        <v>TN</v>
      </c>
      <c r="B387" s="12" t="str">
        <f aca="false">INDEX(Entities!$B$5:$B$34,MATCH(A387,Entities!$A$5:$A$34,0))</f>
        <v>Arab Tunisian Bank</v>
      </c>
      <c r="C387" s="12" t="str">
        <f aca="false">INDEX(Entities!$D$5:$D$34,MATCH(A387,Entities!$A$5:$A$34,0))</f>
        <v>North Africa</v>
      </c>
      <c r="D387" s="12" t="s">
        <v>270</v>
      </c>
      <c r="E387" s="12" t="str">
        <f aca="false">INDEX('Risk Taxonomy'!$B$5:$B$24,MATCH(D387,'Risk Taxonomy'!$A$5:$A$24,0))</f>
        <v>Proliferation financing</v>
      </c>
      <c r="F387" s="29" t="n">
        <f aca="false">IF(NOT(ISNUMBER(G387)),"",IFERROR(IF(MATCH(SUMIFS('FC Calculation'!$N$5:$N$214,'FC Calculation'!$A$5:$A$214,A387,'FC Calculation'!$D$5:$D$214,D387),Config!$D$5:$D$9,1)=G387,SUMIFS('FC Calculation'!$N$5:$N$214,'FC Calculation'!$A$5:$A$214,A387,'FC Calculation'!$D$5:$D$214,D387),G387),G387))</f>
        <v>2.82916666666667</v>
      </c>
      <c r="G387" s="34" t="n">
        <f aca="false">IF(COUNTIFS('FC Calculation'!$A$5:$A$214,A387,'FC Calculation'!$D$5:$D$214,D387,'FC Calculation'!$T$5:$T$214,"&gt;0")=0,"",SUMIFS('FC Calculation'!$T$5:$T$214,'FC Calculation'!$A$5:$A$214,A387,'FC Calculation'!$D$5:$D$214,D387))</f>
        <v>3</v>
      </c>
      <c r="H387" s="7" t="str">
        <f aca="false">IF(G387="N/A","N/A",IF(G387="","No data",INDEX(Config!$B$5:$B$9,G387)))</f>
        <v>Medium</v>
      </c>
      <c r="I387" s="31" t="n">
        <f aca="false">IF(NOT(ISNUMBER($G387)),"",SUMPRODUCT(('Control Mapping'!$C$5:$C$83=D387)*('Control Mapping'!$Z$5:$Z$83&gt;0)))</f>
        <v>5</v>
      </c>
      <c r="J387" s="31" t="n">
        <f aca="false">IF(NOT(ISNUMBER($G387)),"",SUMPRODUCT(('Control Mapping'!$C$5:$C$83=D387)*('Control Mapping'!$F$5:$F$83="Y")*('Control Mapping'!$Z$5:$Z$83&gt;0)))</f>
        <v>5</v>
      </c>
      <c r="K387" s="31" t="n">
        <f aca="false">IF(NOT(ISNUMBER($G387)),"",SUMPRODUCT(('Control Mapping'!$C$5:$C$83=D387)*('Control Mapping'!$F$5:$F$83="Y")*('Control Mapping'!$Z$5:$Z$83=4)))</f>
        <v>2</v>
      </c>
      <c r="L387" s="29" t="n">
        <f aca="false">IF(NOT(ISNUMBER($G387)),"",IFERROR(SUMPRODUCT(('Control Mapping'!$C$5:$C$83=D387)*'Control Mapping'!$E$5:$E$83*'Control Mapping'!$Z$5:$Z$83)/SUMPRODUCT(('Control Mapping'!$C$5:$C$83=D387)*'Control Mapping'!$E$5:$E$83*('Control Mapping'!$Z$5:$Z$83&gt;0)),""))</f>
        <v>3</v>
      </c>
      <c r="M387" s="34" t="n">
        <f aca="false">IF(NOT(ISNUMBER($G387)),"",IF(J387=0,4,MAX(MATCH(L387,'Residual Config'!$E$11:$E$14,1),IF(K387&gt;0,'Residual Config'!$C$7,1))))</f>
        <v>3</v>
      </c>
      <c r="N387" s="7" t="str">
        <f aca="false">IF(NOT(ISNUMBER($G387)),"",IF(J387=0,"Ineffective (no key control)",INDEX('Residual Config'!$B$11:$B$14,M387)))</f>
        <v>Partially effective</v>
      </c>
      <c r="O387" s="36" t="n">
        <f aca="false">IF(NOT(ISNUMBER($G387)),"",IF(J387=0,0,SUMPRODUCT(('Control Mapping'!$C$5:$C$83=D387)*'Control Mapping'!$E$5:$E$83*(('Control Mapping'!$Z$5:$Z$83=1)*'Residual Config'!$D$11+('Control Mapping'!$Z$5:$Z$83=2)*'Residual Config'!$D$12+('Control Mapping'!$Z$5:$Z$83=3)*'Residual Config'!$D$13+('Control Mapping'!$Z$5:$Z$83=4)*'Residual Config'!$D$14))/SUMPRODUCT(('Control Mapping'!$C$5:$C$83=D387)*'Control Mapping'!$E$5:$E$83*('Control Mapping'!$Z$5:$Z$83&gt;0))))</f>
        <v>0.2</v>
      </c>
      <c r="P387" s="31" t="n">
        <f aca="false">IF(NOT(ISNUMBER($G387)),"",INDEX('Residual Config'!$B$19:$E$23,6-G387,M387))</f>
        <v>3</v>
      </c>
      <c r="Q387" s="29" t="n">
        <f aca="false">IF(NOT(ISNUMBER($G387)),"",MAX(1,F387*(1-O387)))</f>
        <v>2.26333333333333</v>
      </c>
      <c r="R387" s="31" t="n">
        <f aca="false">IF(NOT(ISNUMBER($G387)),"",MAX(MATCH(Q387,Config!$D$5:$D$9,1),G387-'Residual Config'!$C$6))</f>
        <v>2</v>
      </c>
      <c r="S387" s="34" t="n">
        <f aca="false">IF(NOT(ISNUMBER($G387)),"",IF('Residual Config'!$C$5="Numeric",R387,P387))</f>
        <v>3</v>
      </c>
      <c r="T387" s="7" t="str">
        <f aca="false">IF(G387="N/A","N/A",IF(S387="","No data",INDEX(Config!$B$5:$B$9,S387)))</f>
        <v>Medium</v>
      </c>
      <c r="U387" s="32" t="n">
        <v>0</v>
      </c>
      <c r="V387" s="8"/>
      <c r="W387" s="33"/>
      <c r="X387" s="34" t="n">
        <f aca="false">IF(S387="","",IF(AND(W387="Y",U387&lt;&gt;0),MAX(1,MIN(5,S387+MAX(-Config!$C$27,MIN(Config!$C$27,U387)))),S387))</f>
        <v>3</v>
      </c>
      <c r="Y387" s="35" t="str">
        <f aca="false">IF(G387="N/A","N/A",IF(X387="","No data",INDEX(Config!$B$5:$B$9,X387)))</f>
        <v>Medium</v>
      </c>
      <c r="Z387" s="7" t="str">
        <f aca="false">IF(U387=0,"None",IF(W387="Y","Applied","Pending HO approval"))</f>
        <v>None</v>
      </c>
      <c r="AA387" s="12" t="str">
        <f aca="false">INDEX('Risk Taxonomy'!$G$5:$G$24,MATCH(D387,'Risk Taxonomy'!$A$5:$A$24,0))</f>
        <v>Zero tolerance</v>
      </c>
      <c r="AB387" s="7" t="str">
        <f aca="false">INDEX('Risk Taxonomy'!$H$5:$H$24,MATCH(D387,'Risk Taxonomy'!$A$5:$A$24,0))</f>
        <v>Low</v>
      </c>
      <c r="AC387" s="35" t="str">
        <f aca="false">IF(NOT(ISNUMBER(X387)),"",IF(X387&lt;=MATCH(AB387,Config!$B$5:$B$9,0),"Within",IF(OR(X387-MATCH(AB387,Config!$B$5:$B$9,0)&gt;=2,AND('Residual Config'!$C$8="Y",ISNUMBER(SEARCH("Zero",AA387)))),"Red","Amber")))</f>
        <v>Red</v>
      </c>
      <c r="AD387" s="12" t="str">
        <f aca="false">IF(AC387="Red","Group CCO / CRO and Country CEO within 2 business days; action plan in 15 days; report to Board Risk &amp; Compliance Committee",IF(AC387="Amber","Country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88" customFormat="false" ht="15" hidden="false" customHeight="false" outlineLevel="0" collapsed="false">
      <c r="A388" s="26" t="str">
        <f aca="false">Entities!$A$24</f>
        <v>TN</v>
      </c>
      <c r="B388" s="12" t="str">
        <f aca="false">INDEX(Entities!$B$5:$B$34,MATCH(A388,Entities!$A$5:$A$34,0))</f>
        <v>Arab Tunisian Bank</v>
      </c>
      <c r="C388" s="12" t="str">
        <f aca="false">INDEX(Entities!$D$5:$D$34,MATCH(A388,Entities!$A$5:$A$34,0))</f>
        <v>North Africa</v>
      </c>
      <c r="D388" s="12" t="s">
        <v>272</v>
      </c>
      <c r="E388" s="12" t="str">
        <f aca="false">INDEX('Risk Taxonomy'!$B$5:$B$24,MATCH(D388,'Risk Taxonomy'!$A$5:$A$24,0))</f>
        <v>Sanctions</v>
      </c>
      <c r="F388" s="29" t="n">
        <f aca="false">IF(NOT(ISNUMBER(G388)),"",IFERROR(IF(MATCH(SUMIFS('FC Calculation'!$N$5:$N$214,'FC Calculation'!$A$5:$A$214,A388,'FC Calculation'!$D$5:$D$214,D388),Config!$D$5:$D$9,1)=G388,SUMIFS('FC Calculation'!$N$5:$N$214,'FC Calculation'!$A$5:$A$214,A388,'FC Calculation'!$D$5:$D$214,D388),G388),G388))</f>
        <v>2.89738095238095</v>
      </c>
      <c r="G388" s="34" t="n">
        <f aca="false">IF(COUNTIFS('FC Calculation'!$A$5:$A$214,A388,'FC Calculation'!$D$5:$D$214,D388,'FC Calculation'!$T$5:$T$214,"&gt;0")=0,"",SUMIFS('FC Calculation'!$T$5:$T$214,'FC Calculation'!$A$5:$A$214,A388,'FC Calculation'!$D$5:$D$214,D388))</f>
        <v>3</v>
      </c>
      <c r="H388" s="7" t="str">
        <f aca="false">IF(G388="N/A","N/A",IF(G388="","No data",INDEX(Config!$B$5:$B$9,G388)))</f>
        <v>Medium</v>
      </c>
      <c r="I388" s="31" t="n">
        <f aca="false">IF(NOT(ISNUMBER($G388)),"",SUMPRODUCT(('Control Mapping'!$C$5:$C$83=D388)*('Control Mapping'!$Z$5:$Z$83&gt;0)))</f>
        <v>8</v>
      </c>
      <c r="J388" s="31" t="n">
        <f aca="false">IF(NOT(ISNUMBER($G388)),"",SUMPRODUCT(('Control Mapping'!$C$5:$C$83=D388)*('Control Mapping'!$F$5:$F$83="Y")*('Control Mapping'!$Z$5:$Z$83&gt;0)))</f>
        <v>5</v>
      </c>
      <c r="K388" s="31" t="n">
        <f aca="false">IF(NOT(ISNUMBER($G388)),"",SUMPRODUCT(('Control Mapping'!$C$5:$C$83=D388)*('Control Mapping'!$F$5:$F$83="Y")*('Control Mapping'!$Z$5:$Z$83=4)))</f>
        <v>2</v>
      </c>
      <c r="L388" s="29" t="n">
        <f aca="false">IF(NOT(ISNUMBER($G388)),"",IFERROR(SUMPRODUCT(('Control Mapping'!$C$5:$C$83=D388)*'Control Mapping'!$E$5:$E$83*'Control Mapping'!$Z$5:$Z$83)/SUMPRODUCT(('Control Mapping'!$C$5:$C$83=D388)*'Control Mapping'!$E$5:$E$83*('Control Mapping'!$Z$5:$Z$83&gt;0)),""))</f>
        <v>2.81818181818182</v>
      </c>
      <c r="M388" s="34" t="n">
        <f aca="false">IF(NOT(ISNUMBER($G388)),"",IF(J388=0,4,MAX(MATCH(L388,'Residual Config'!$E$11:$E$14,1),IF(K388&gt;0,'Residual Config'!$C$7,1))))</f>
        <v>3</v>
      </c>
      <c r="N388" s="7" t="str">
        <f aca="false">IF(NOT(ISNUMBER($G388)),"",IF(J388=0,"Ineffective (no key control)",INDEX('Residual Config'!$B$11:$B$14,M388)))</f>
        <v>Partially effective</v>
      </c>
      <c r="O388" s="36" t="n">
        <f aca="false">IF(NOT(ISNUMBER($G388)),"",IF(J388=0,0,SUMPRODUCT(('Control Mapping'!$C$5:$C$83=D388)*'Control Mapping'!$E$5:$E$83*(('Control Mapping'!$Z$5:$Z$83=1)*'Residual Config'!$D$11+('Control Mapping'!$Z$5:$Z$83=2)*'Residual Config'!$D$12+('Control Mapping'!$Z$5:$Z$83=3)*'Residual Config'!$D$13+('Control Mapping'!$Z$5:$Z$83=4)*'Residual Config'!$D$14))/SUMPRODUCT(('Control Mapping'!$C$5:$C$83=D388)*'Control Mapping'!$E$5:$E$83*('Control Mapping'!$Z$5:$Z$83&gt;0))))</f>
        <v>0.236363636363636</v>
      </c>
      <c r="P388" s="31" t="n">
        <f aca="false">IF(NOT(ISNUMBER($G388)),"",INDEX('Residual Config'!$B$19:$E$23,6-G388,M388))</f>
        <v>3</v>
      </c>
      <c r="Q388" s="29" t="n">
        <f aca="false">IF(NOT(ISNUMBER($G388)),"",MAX(1,F388*(1-O388)))</f>
        <v>2.21254545454546</v>
      </c>
      <c r="R388" s="31" t="n">
        <f aca="false">IF(NOT(ISNUMBER($G388)),"",MAX(MATCH(Q388,Config!$D$5:$D$9,1),G388-'Residual Config'!$C$6))</f>
        <v>2</v>
      </c>
      <c r="S388" s="34" t="n">
        <f aca="false">IF(NOT(ISNUMBER($G388)),"",IF('Residual Config'!$C$5="Numeric",R388,P388))</f>
        <v>3</v>
      </c>
      <c r="T388" s="7" t="str">
        <f aca="false">IF(G388="N/A","N/A",IF(S388="","No data",INDEX(Config!$B$5:$B$9,S388)))</f>
        <v>Medium</v>
      </c>
      <c r="U388" s="32" t="n">
        <v>0</v>
      </c>
      <c r="V388" s="8"/>
      <c r="W388" s="33"/>
      <c r="X388" s="34" t="n">
        <f aca="false">IF(S388="","",IF(AND(W388="Y",U388&lt;&gt;0),MAX(1,MIN(5,S388+MAX(-Config!$C$27,MIN(Config!$C$27,U388)))),S388))</f>
        <v>3</v>
      </c>
      <c r="Y388" s="35" t="str">
        <f aca="false">IF(G388="N/A","N/A",IF(X388="","No data",INDEX(Config!$B$5:$B$9,X388)))</f>
        <v>Medium</v>
      </c>
      <c r="Z388" s="7" t="str">
        <f aca="false">IF(U388=0,"None",IF(W388="Y","Applied","Pending HO approval"))</f>
        <v>None</v>
      </c>
      <c r="AA388" s="12" t="str">
        <f aca="false">INDEX('Risk Taxonomy'!$G$5:$G$24,MATCH(D388,'Risk Taxonomy'!$A$5:$A$24,0))</f>
        <v>Zero tolerance</v>
      </c>
      <c r="AB388" s="7" t="str">
        <f aca="false">INDEX('Risk Taxonomy'!$H$5:$H$24,MATCH(D388,'Risk Taxonomy'!$A$5:$A$24,0))</f>
        <v>Low</v>
      </c>
      <c r="AC388" s="35" t="str">
        <f aca="false">IF(NOT(ISNUMBER(X388)),"",IF(X388&lt;=MATCH(AB388,Config!$B$5:$B$9,0),"Within",IF(OR(X388-MATCH(AB388,Config!$B$5:$B$9,0)&gt;=2,AND('Residual Config'!$C$8="Y",ISNUMBER(SEARCH("Zero",AA388)))),"Red","Amber")))</f>
        <v>Red</v>
      </c>
      <c r="AD388" s="12" t="str">
        <f aca="false">IF(AC388="Red","Group CCO / CRO and Country CEO within 2 business days; action plan in 15 days; report to Board Risk &amp; Compliance Committee",IF(AC388="Amber","Country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89" customFormat="false" ht="15" hidden="false" customHeight="false" outlineLevel="0" collapsed="false">
      <c r="A389" s="26" t="str">
        <f aca="false">Entities!$A$24</f>
        <v>TN</v>
      </c>
      <c r="B389" s="12" t="str">
        <f aca="false">INDEX(Entities!$B$5:$B$34,MATCH(A389,Entities!$A$5:$A$34,0))</f>
        <v>Arab Tunisian Bank</v>
      </c>
      <c r="C389" s="12" t="str">
        <f aca="false">INDEX(Entities!$D$5:$D$34,MATCH(A389,Entities!$A$5:$A$34,0))</f>
        <v>North Africa</v>
      </c>
      <c r="D389" s="12" t="s">
        <v>275</v>
      </c>
      <c r="E389" s="12" t="str">
        <f aca="false">INDEX('Risk Taxonomy'!$B$5:$B$24,MATCH(D389,'Risk Taxonomy'!$A$5:$A$24,0))</f>
        <v>Bribery and corruption</v>
      </c>
      <c r="F389" s="29" t="n">
        <f aca="false">IF(NOT(ISNUMBER(G389)),"",IFERROR(IF(MATCH(SUMIFS('FC Calculation'!$N$5:$N$214,'FC Calculation'!$A$5:$A$214,A389,'FC Calculation'!$D$5:$D$214,D389),Config!$D$5:$D$9,1)=G389,SUMIFS('FC Calculation'!$N$5:$N$214,'FC Calculation'!$A$5:$A$214,A389,'FC Calculation'!$D$5:$D$214,D389),G389),G389))</f>
        <v>3.05666666666667</v>
      </c>
      <c r="G389" s="34" t="n">
        <f aca="false">IF(COUNTIFS('FC Calculation'!$A$5:$A$214,A389,'FC Calculation'!$D$5:$D$214,D389,'FC Calculation'!$T$5:$T$214,"&gt;0")=0,"",SUMIFS('FC Calculation'!$T$5:$T$214,'FC Calculation'!$A$5:$A$214,A389,'FC Calculation'!$D$5:$D$214,D389))</f>
        <v>3</v>
      </c>
      <c r="H389" s="7" t="str">
        <f aca="false">IF(G389="N/A","N/A",IF(G389="","No data",INDEX(Config!$B$5:$B$9,G389)))</f>
        <v>Medium</v>
      </c>
      <c r="I389" s="31" t="n">
        <f aca="false">IF(NOT(ISNUMBER($G389)),"",SUMPRODUCT(('Control Mapping'!$C$5:$C$83=D389)*('Control Mapping'!$Z$5:$Z$83&gt;0)))</f>
        <v>5</v>
      </c>
      <c r="J389" s="31" t="n">
        <f aca="false">IF(NOT(ISNUMBER($G389)),"",SUMPRODUCT(('Control Mapping'!$C$5:$C$83=D389)*('Control Mapping'!$F$5:$F$83="Y")*('Control Mapping'!$Z$5:$Z$83&gt;0)))</f>
        <v>2</v>
      </c>
      <c r="K389" s="31" t="n">
        <f aca="false">IF(NOT(ISNUMBER($G389)),"",SUMPRODUCT(('Control Mapping'!$C$5:$C$83=D389)*('Control Mapping'!$F$5:$F$83="Y")*('Control Mapping'!$Z$5:$Z$83=4)))</f>
        <v>0</v>
      </c>
      <c r="L389" s="29" t="n">
        <f aca="false">IF(NOT(ISNUMBER($G389)),"",IFERROR(SUMPRODUCT(('Control Mapping'!$C$5:$C$83=D389)*'Control Mapping'!$E$5:$E$83*'Control Mapping'!$Z$5:$Z$83)/SUMPRODUCT(('Control Mapping'!$C$5:$C$83=D389)*'Control Mapping'!$E$5:$E$83*('Control Mapping'!$Z$5:$Z$83&gt;0)),""))</f>
        <v>2.22222222222222</v>
      </c>
      <c r="M389" s="34" t="n">
        <f aca="false">IF(NOT(ISNUMBER($G389)),"",IF(J389=0,4,MAX(MATCH(L389,'Residual Config'!$E$11:$E$14,1),IF(K389&gt;0,'Residual Config'!$C$7,1))))</f>
        <v>2</v>
      </c>
      <c r="N389" s="7" t="str">
        <f aca="false">IF(NOT(ISNUMBER($G389)),"",IF(J389=0,"Ineffective (no key control)",INDEX('Residual Config'!$B$11:$B$14,M389)))</f>
        <v>Largely effective</v>
      </c>
      <c r="O389" s="36" t="n">
        <f aca="false">IF(NOT(ISNUMBER($G389)),"",IF(J389=0,0,SUMPRODUCT(('Control Mapping'!$C$5:$C$83=D389)*'Control Mapping'!$E$5:$E$83*(('Control Mapping'!$Z$5:$Z$83=1)*'Residual Config'!$D$11+('Control Mapping'!$Z$5:$Z$83=2)*'Residual Config'!$D$12+('Control Mapping'!$Z$5:$Z$83=3)*'Residual Config'!$D$13+('Control Mapping'!$Z$5:$Z$83=4)*'Residual Config'!$D$14))/SUMPRODUCT(('Control Mapping'!$C$5:$C$83=D389)*'Control Mapping'!$E$5:$E$83*('Control Mapping'!$Z$5:$Z$83&gt;0))))</f>
        <v>0.355555555555556</v>
      </c>
      <c r="P389" s="31" t="n">
        <f aca="false">IF(NOT(ISNUMBER($G389)),"",INDEX('Residual Config'!$B$19:$E$23,6-G389,M389))</f>
        <v>2</v>
      </c>
      <c r="Q389" s="29" t="n">
        <f aca="false">IF(NOT(ISNUMBER($G389)),"",MAX(1,F389*(1-O389)))</f>
        <v>1.96985185185185</v>
      </c>
      <c r="R389" s="31" t="n">
        <f aca="false">IF(NOT(ISNUMBER($G389)),"",MAX(MATCH(Q389,Config!$D$5:$D$9,1),G389-'Residual Config'!$C$6))</f>
        <v>2</v>
      </c>
      <c r="S389" s="34" t="n">
        <f aca="false">IF(NOT(ISNUMBER($G389)),"",IF('Residual Config'!$C$5="Numeric",R389,P389))</f>
        <v>2</v>
      </c>
      <c r="T389" s="7" t="str">
        <f aca="false">IF(G389="N/A","N/A",IF(S389="","No data",INDEX(Config!$B$5:$B$9,S389)))</f>
        <v>Medium-Low</v>
      </c>
      <c r="U389" s="32" t="n">
        <v>0</v>
      </c>
      <c r="V389" s="8"/>
      <c r="W389" s="33"/>
      <c r="X389" s="34" t="n">
        <f aca="false">IF(S389="","",IF(AND(W389="Y",U389&lt;&gt;0),MAX(1,MIN(5,S389+MAX(-Config!$C$27,MIN(Config!$C$27,U389)))),S389))</f>
        <v>2</v>
      </c>
      <c r="Y389" s="35" t="str">
        <f aca="false">IF(G389="N/A","N/A",IF(X389="","No data",INDEX(Config!$B$5:$B$9,X389)))</f>
        <v>Medium-Low</v>
      </c>
      <c r="Z389" s="7" t="str">
        <f aca="false">IF(U389=0,"None",IF(W389="Y","Applied","Pending HO approval"))</f>
        <v>None</v>
      </c>
      <c r="AA389" s="12" t="str">
        <f aca="false">INDEX('Risk Taxonomy'!$G$5:$G$24,MATCH(D389,'Risk Taxonomy'!$A$5:$A$24,0))</f>
        <v>Zero tolerance</v>
      </c>
      <c r="AB389" s="7" t="str">
        <f aca="false">INDEX('Risk Taxonomy'!$H$5:$H$24,MATCH(D389,'Risk Taxonomy'!$A$5:$A$24,0))</f>
        <v>Low</v>
      </c>
      <c r="AC389" s="35" t="str">
        <f aca="false">IF(NOT(ISNUMBER(X389)),"",IF(X389&lt;=MATCH(AB389,Config!$B$5:$B$9,0),"Within",IF(OR(X389-MATCH(AB389,Config!$B$5:$B$9,0)&gt;=2,AND('Residual Config'!$C$8="Y",ISNUMBER(SEARCH("Zero",AA389)))),"Red","Amber")))</f>
        <v>Amber</v>
      </c>
      <c r="AD389" s="12" t="str">
        <f aca="false">IF(AC389="Red","Group CCO / CRO and Country CEO within 2 business days; action plan in 15 days; report to Board Risk &amp; Compliance Committee",IF(AC389="Amber","Country CO, risk owner and HO Administrator within 5 business days; action plan in 30 days",""))</f>
        <v>Country CO, risk owner and HO Administrator within 5 business days; action plan in 30 days</v>
      </c>
    </row>
    <row r="390" customFormat="false" ht="15" hidden="false" customHeight="false" outlineLevel="0" collapsed="false">
      <c r="A390" s="26" t="str">
        <f aca="false">Entities!$A$24</f>
        <v>TN</v>
      </c>
      <c r="B390" s="12" t="str">
        <f aca="false">INDEX(Entities!$B$5:$B$34,MATCH(A390,Entities!$A$5:$A$34,0))</f>
        <v>Arab Tunisian Bank</v>
      </c>
      <c r="C390" s="12" t="str">
        <f aca="false">INDEX(Entities!$D$5:$D$34,MATCH(A390,Entities!$A$5:$A$34,0))</f>
        <v>North Africa</v>
      </c>
      <c r="D390" s="12" t="s">
        <v>278</v>
      </c>
      <c r="E390" s="12" t="str">
        <f aca="false">INDEX('Risk Taxonomy'!$B$5:$B$24,MATCH(D390,'Risk Taxonomy'!$A$5:$A$24,0))</f>
        <v>Fraud</v>
      </c>
      <c r="F390" s="29" t="n">
        <f aca="false">IF(NOT(ISNUMBER(G390)),"",IFERROR(IF(MATCH(SUMIFS('FC Calculation'!$N$5:$N$214,'FC Calculation'!$A$5:$A$214,A390,'FC Calculation'!$D$5:$D$214,D390),Config!$D$5:$D$9,1)=G390,SUMIFS('FC Calculation'!$N$5:$N$214,'FC Calculation'!$A$5:$A$214,A390,'FC Calculation'!$D$5:$D$214,D390),G390),G390))</f>
        <v>2.82666666666667</v>
      </c>
      <c r="G390" s="34" t="n">
        <f aca="false">IF(COUNTIFS('FC Calculation'!$A$5:$A$214,A390,'FC Calculation'!$D$5:$D$214,D390,'FC Calculation'!$T$5:$T$214,"&gt;0")=0,"",SUMIFS('FC Calculation'!$T$5:$T$214,'FC Calculation'!$A$5:$A$214,A390,'FC Calculation'!$D$5:$D$214,D390))</f>
        <v>3</v>
      </c>
      <c r="H390" s="7" t="str">
        <f aca="false">IF(G390="N/A","N/A",IF(G390="","No data",INDEX(Config!$B$5:$B$9,G390)))</f>
        <v>Medium</v>
      </c>
      <c r="I390" s="31" t="n">
        <f aca="false">IF(NOT(ISNUMBER($G390)),"",SUMPRODUCT(('Control Mapping'!$C$5:$C$83=D390)*('Control Mapping'!$Z$5:$Z$83&gt;0)))</f>
        <v>6</v>
      </c>
      <c r="J390" s="31" t="n">
        <f aca="false">IF(NOT(ISNUMBER($G390)),"",SUMPRODUCT(('Control Mapping'!$C$5:$C$83=D390)*('Control Mapping'!$F$5:$F$83="Y")*('Control Mapping'!$Z$5:$Z$83&gt;0)))</f>
        <v>5</v>
      </c>
      <c r="K390" s="31" t="n">
        <f aca="false">IF(NOT(ISNUMBER($G390)),"",SUMPRODUCT(('Control Mapping'!$C$5:$C$83=D390)*('Control Mapping'!$F$5:$F$83="Y")*('Control Mapping'!$Z$5:$Z$83=4)))</f>
        <v>0</v>
      </c>
      <c r="L390" s="29" t="n">
        <f aca="false">IF(NOT(ISNUMBER($G390)),"",IFERROR(SUMPRODUCT(('Control Mapping'!$C$5:$C$83=D390)*'Control Mapping'!$E$5:$E$83*'Control Mapping'!$Z$5:$Z$83)/SUMPRODUCT(('Control Mapping'!$C$5:$C$83=D390)*'Control Mapping'!$E$5:$E$83*('Control Mapping'!$Z$5:$Z$83&gt;0)),""))</f>
        <v>1.8</v>
      </c>
      <c r="M390" s="34" t="n">
        <f aca="false">IF(NOT(ISNUMBER($G390)),"",IF(J390=0,4,MAX(MATCH(L390,'Residual Config'!$E$11:$E$14,1),IF(K390&gt;0,'Residual Config'!$C$7,1))))</f>
        <v>2</v>
      </c>
      <c r="N390" s="7" t="str">
        <f aca="false">IF(NOT(ISNUMBER($G390)),"",IF(J390=0,"Ineffective (no key control)",INDEX('Residual Config'!$B$11:$B$14,M390)))</f>
        <v>Largely effective</v>
      </c>
      <c r="O390" s="36" t="n">
        <f aca="false">IF(NOT(ISNUMBER($G390)),"",IF(J390=0,0,SUMPRODUCT(('Control Mapping'!$C$5:$C$83=D390)*'Control Mapping'!$E$5:$E$83*(('Control Mapping'!$Z$5:$Z$83=1)*'Residual Config'!$D$11+('Control Mapping'!$Z$5:$Z$83=2)*'Residual Config'!$D$12+('Control Mapping'!$Z$5:$Z$83=3)*'Residual Config'!$D$13+('Control Mapping'!$Z$5:$Z$83=4)*'Residual Config'!$D$14))/SUMPRODUCT(('Control Mapping'!$C$5:$C$83=D390)*'Control Mapping'!$E$5:$E$83*('Control Mapping'!$Z$5:$Z$83&gt;0))))</f>
        <v>0.44</v>
      </c>
      <c r="P390" s="31" t="n">
        <f aca="false">IF(NOT(ISNUMBER($G390)),"",INDEX('Residual Config'!$B$19:$E$23,6-G390,M390))</f>
        <v>2</v>
      </c>
      <c r="Q390" s="29" t="n">
        <f aca="false">IF(NOT(ISNUMBER($G390)),"",MAX(1,F390*(1-O390)))</f>
        <v>1.58293333333333</v>
      </c>
      <c r="R390" s="31" t="n">
        <f aca="false">IF(NOT(ISNUMBER($G390)),"",MAX(MATCH(Q390,Config!$D$5:$D$9,1),G390-'Residual Config'!$C$6))</f>
        <v>1</v>
      </c>
      <c r="S390" s="34" t="n">
        <f aca="false">IF(NOT(ISNUMBER($G390)),"",IF('Residual Config'!$C$5="Numeric",R390,P390))</f>
        <v>2</v>
      </c>
      <c r="T390" s="7" t="str">
        <f aca="false">IF(G390="N/A","N/A",IF(S390="","No data",INDEX(Config!$B$5:$B$9,S390)))</f>
        <v>Medium-Low</v>
      </c>
      <c r="U390" s="32" t="n">
        <v>0</v>
      </c>
      <c r="V390" s="8"/>
      <c r="W390" s="33"/>
      <c r="X390" s="34" t="n">
        <f aca="false">IF(S390="","",IF(AND(W390="Y",U390&lt;&gt;0),MAX(1,MIN(5,S390+MAX(-Config!$C$27,MIN(Config!$C$27,U390)))),S390))</f>
        <v>2</v>
      </c>
      <c r="Y390" s="35" t="str">
        <f aca="false">IF(G390="N/A","N/A",IF(X390="","No data",INDEX(Config!$B$5:$B$9,X390)))</f>
        <v>Medium-Low</v>
      </c>
      <c r="Z390" s="7" t="str">
        <f aca="false">IF(U390=0,"None",IF(W390="Y","Applied","Pending HO approval"))</f>
        <v>None</v>
      </c>
      <c r="AA390" s="12" t="str">
        <f aca="false">INDEX('Risk Taxonomy'!$G$5:$G$24,MATCH(D390,'Risk Taxonomy'!$A$5:$A$24,0))</f>
        <v>Low</v>
      </c>
      <c r="AB390" s="7" t="str">
        <f aca="false">INDEX('Risk Taxonomy'!$H$5:$H$24,MATCH(D390,'Risk Taxonomy'!$A$5:$A$24,0))</f>
        <v>Medium</v>
      </c>
      <c r="AC390" s="35" t="str">
        <f aca="false">IF(NOT(ISNUMBER(X390)),"",IF(X390&lt;=MATCH(AB390,Config!$B$5:$B$9,0),"Within",IF(OR(X390-MATCH(AB390,Config!$B$5:$B$9,0)&gt;=2,AND('Residual Config'!$C$8="Y",ISNUMBER(SEARCH("Zero",AA390)))),"Red","Amber")))</f>
        <v>Within</v>
      </c>
      <c r="AD390" s="12" t="str">
        <f aca="false">IF(AC390="Red","Group CCO / CRO and Country CEO within 2 business days; action plan in 15 days; report to Board Risk &amp; Compliance Committee",IF(AC390="Amber","Country CO, risk owner and HO Administrator within 5 business days; action plan in 30 days",""))</f>
        <v/>
      </c>
    </row>
    <row r="391" customFormat="false" ht="15" hidden="false" customHeight="false" outlineLevel="0" collapsed="false">
      <c r="A391" s="26" t="str">
        <f aca="false">Entities!$A$24</f>
        <v>TN</v>
      </c>
      <c r="B391" s="12" t="str">
        <f aca="false">INDEX(Entities!$B$5:$B$34,MATCH(A391,Entities!$A$5:$A$34,0))</f>
        <v>Arab Tunisian Bank</v>
      </c>
      <c r="C391" s="12" t="str">
        <f aca="false">INDEX(Entities!$D$5:$D$34,MATCH(A391,Entities!$A$5:$A$34,0))</f>
        <v>North Africa</v>
      </c>
      <c r="D391" s="12" t="s">
        <v>281</v>
      </c>
      <c r="E391" s="12" t="str">
        <f aca="false">INDEX('Risk Taxonomy'!$B$5:$B$24,MATCH(D391,'Risk Taxonomy'!$A$5:$A$24,0))</f>
        <v>Tax evasion and tax transparency</v>
      </c>
      <c r="F391" s="29" t="n">
        <f aca="false">IF(NOT(ISNUMBER(G391)),"",IFERROR(IF(MATCH(SUMIFS('FC Calculation'!$N$5:$N$214,'FC Calculation'!$A$5:$A$214,A391,'FC Calculation'!$D$5:$D$214,D391),Config!$D$5:$D$9,1)=G391,SUMIFS('FC Calculation'!$N$5:$N$214,'FC Calculation'!$A$5:$A$214,A391,'FC Calculation'!$D$5:$D$214,D391),G391),G391))</f>
        <v>2.64166666666667</v>
      </c>
      <c r="G391" s="34" t="n">
        <f aca="false">IF(COUNTIFS('FC Calculation'!$A$5:$A$214,A391,'FC Calculation'!$D$5:$D$214,D391,'FC Calculation'!$T$5:$T$214,"&gt;0")=0,"",SUMIFS('FC Calculation'!$T$5:$T$214,'FC Calculation'!$A$5:$A$214,A391,'FC Calculation'!$D$5:$D$214,D391))</f>
        <v>3</v>
      </c>
      <c r="H391" s="7" t="str">
        <f aca="false">IF(G391="N/A","N/A",IF(G391="","No data",INDEX(Config!$B$5:$B$9,G391)))</f>
        <v>Medium</v>
      </c>
      <c r="I391" s="31" t="n">
        <f aca="false">IF(NOT(ISNUMBER($G391)),"",SUMPRODUCT(('Control Mapping'!$C$5:$C$83=D391)*('Control Mapping'!$Z$5:$Z$83&gt;0)))</f>
        <v>5</v>
      </c>
      <c r="J391" s="31" t="n">
        <f aca="false">IF(NOT(ISNUMBER($G391)),"",SUMPRODUCT(('Control Mapping'!$C$5:$C$83=D391)*('Control Mapping'!$F$5:$F$83="Y")*('Control Mapping'!$Z$5:$Z$83&gt;0)))</f>
        <v>4</v>
      </c>
      <c r="K391" s="31" t="n">
        <f aca="false">IF(NOT(ISNUMBER($G391)),"",SUMPRODUCT(('Control Mapping'!$C$5:$C$83=D391)*('Control Mapping'!$F$5:$F$83="Y")*('Control Mapping'!$Z$5:$Z$83=4)))</f>
        <v>1</v>
      </c>
      <c r="L391" s="29" t="n">
        <f aca="false">IF(NOT(ISNUMBER($G391)),"",IFERROR(SUMPRODUCT(('Control Mapping'!$C$5:$C$83=D391)*'Control Mapping'!$E$5:$E$83*'Control Mapping'!$Z$5:$Z$83)/SUMPRODUCT(('Control Mapping'!$C$5:$C$83=D391)*'Control Mapping'!$E$5:$E$83*('Control Mapping'!$Z$5:$Z$83&gt;0)),""))</f>
        <v>1.66666666666667</v>
      </c>
      <c r="M391" s="34" t="n">
        <f aca="false">IF(NOT(ISNUMBER($G391)),"",IF(J391=0,4,MAX(MATCH(L391,'Residual Config'!$E$11:$E$14,1),IF(K391&gt;0,'Residual Config'!$C$7,1))))</f>
        <v>3</v>
      </c>
      <c r="N391" s="7" t="str">
        <f aca="false">IF(NOT(ISNUMBER($G391)),"",IF(J391=0,"Ineffective (no key control)",INDEX('Residual Config'!$B$11:$B$14,M391)))</f>
        <v>Partially effective</v>
      </c>
      <c r="O391" s="36" t="n">
        <f aca="false">IF(NOT(ISNUMBER($G391)),"",IF(J391=0,0,SUMPRODUCT(('Control Mapping'!$C$5:$C$83=D391)*'Control Mapping'!$E$5:$E$83*(('Control Mapping'!$Z$5:$Z$83=1)*'Residual Config'!$D$11+('Control Mapping'!$Z$5:$Z$83=2)*'Residual Config'!$D$12+('Control Mapping'!$Z$5:$Z$83=3)*'Residual Config'!$D$13+('Control Mapping'!$Z$5:$Z$83=4)*'Residual Config'!$D$14))/SUMPRODUCT(('Control Mapping'!$C$5:$C$83=D391)*'Control Mapping'!$E$5:$E$83*('Control Mapping'!$Z$5:$Z$83&gt;0))))</f>
        <v>0.466666666666667</v>
      </c>
      <c r="P391" s="31" t="n">
        <f aca="false">IF(NOT(ISNUMBER($G391)),"",INDEX('Residual Config'!$B$19:$E$23,6-G391,M391))</f>
        <v>3</v>
      </c>
      <c r="Q391" s="29" t="n">
        <f aca="false">IF(NOT(ISNUMBER($G391)),"",MAX(1,F391*(1-O391)))</f>
        <v>1.40888888888889</v>
      </c>
      <c r="R391" s="31" t="n">
        <f aca="false">IF(NOT(ISNUMBER($G391)),"",MAX(MATCH(Q391,Config!$D$5:$D$9,1),G391-'Residual Config'!$C$6))</f>
        <v>1</v>
      </c>
      <c r="S391" s="34" t="n">
        <f aca="false">IF(NOT(ISNUMBER($G391)),"",IF('Residual Config'!$C$5="Numeric",R391,P391))</f>
        <v>3</v>
      </c>
      <c r="T391" s="7" t="str">
        <f aca="false">IF(G391="N/A","N/A",IF(S391="","No data",INDEX(Config!$B$5:$B$9,S391)))</f>
        <v>Medium</v>
      </c>
      <c r="U391" s="32" t="n">
        <v>0</v>
      </c>
      <c r="V391" s="8"/>
      <c r="W391" s="33"/>
      <c r="X391" s="34" t="n">
        <f aca="false">IF(S391="","",IF(AND(W391="Y",U391&lt;&gt;0),MAX(1,MIN(5,S391+MAX(-Config!$C$27,MIN(Config!$C$27,U391)))),S391))</f>
        <v>3</v>
      </c>
      <c r="Y391" s="35" t="str">
        <f aca="false">IF(G391="N/A","N/A",IF(X391="","No data",INDEX(Config!$B$5:$B$9,X391)))</f>
        <v>Medium</v>
      </c>
      <c r="Z391" s="7" t="str">
        <f aca="false">IF(U391=0,"None",IF(W391="Y","Applied","Pending HO approval"))</f>
        <v>None</v>
      </c>
      <c r="AA391" s="12" t="str">
        <f aca="false">INDEX('Risk Taxonomy'!$G$5:$G$24,MATCH(D391,'Risk Taxonomy'!$A$5:$A$24,0))</f>
        <v>Zero tolerance (facilitation)</v>
      </c>
      <c r="AB391" s="7" t="str">
        <f aca="false">INDEX('Risk Taxonomy'!$H$5:$H$24,MATCH(D391,'Risk Taxonomy'!$A$5:$A$24,0))</f>
        <v>Low</v>
      </c>
      <c r="AC391" s="35" t="str">
        <f aca="false">IF(NOT(ISNUMBER(X391)),"",IF(X391&lt;=MATCH(AB391,Config!$B$5:$B$9,0),"Within",IF(OR(X391-MATCH(AB391,Config!$B$5:$B$9,0)&gt;=2,AND('Residual Config'!$C$8="Y",ISNUMBER(SEARCH("Zero",AA391)))),"Red","Amber")))</f>
        <v>Red</v>
      </c>
      <c r="AD391" s="12" t="str">
        <f aca="false">IF(AC391="Red","Group CCO / CRO and Country CEO within 2 business days; action plan in 15 days; report to Board Risk &amp; Compliance Committee",IF(AC391="Amber","Country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392" customFormat="false" ht="15" hidden="false" customHeight="false" outlineLevel="0" collapsed="false">
      <c r="A392" s="26" t="str">
        <f aca="false">Entities!$A$24</f>
        <v>TN</v>
      </c>
      <c r="B392" s="12" t="str">
        <f aca="false">INDEX(Entities!$B$5:$B$34,MATCH(A392,Entities!$A$5:$A$34,0))</f>
        <v>Arab Tunisian Bank</v>
      </c>
      <c r="C392" s="12" t="str">
        <f aca="false">INDEX(Entities!$D$5:$D$34,MATCH(A392,Entities!$A$5:$A$34,0))</f>
        <v>North Africa</v>
      </c>
      <c r="D392" s="12" t="s">
        <v>284</v>
      </c>
      <c r="E392" s="12" t="str">
        <f aca="false">INDEX('Risk Taxonomy'!$B$5:$B$24,MATCH(D392,'Risk Taxonomy'!$A$5:$A$24,0))</f>
        <v>Regulatory compliance</v>
      </c>
      <c r="F392" s="29" t="n">
        <f aca="false">IF(NOT(ISNUMBER(G392)),"",G392)</f>
        <v>4</v>
      </c>
      <c r="G392" s="34" t="n">
        <f aca="false">IF(COUNTIFS('LxI Assessment'!$A$5:$A$394,A392,'LxI Assessment'!$D$5:$D$394,D392,'LxI Assessment'!$F$5:$F$394,"N/A")&gt;0,"N/A",IF(COUNTIFS('LxI Assessment'!$A$5:$A$394,A392,'LxI Assessment'!$D$5:$D$394,D392,'LxI Assessment'!$S$5:$S$394,"&gt;0")=0,"",SUMIFS('LxI Assessment'!$S$5:$S$394,'LxI Assessment'!$A$5:$A$394,A392,'LxI Assessment'!$D$5:$D$394,D392)))</f>
        <v>4</v>
      </c>
      <c r="H392" s="7" t="str">
        <f aca="false">IF(G392="N/A","N/A",IF(G392="","No data",INDEX(Config!$B$5:$B$9,G392)))</f>
        <v>Medium-High</v>
      </c>
      <c r="I392" s="31" t="n">
        <f aca="false">IF(NOT(ISNUMBER($G392)),"",SUMPRODUCT(('Control Mapping'!$C$5:$C$83=D392)*('Control Mapping'!$Z$5:$Z$83&gt;0)))</f>
        <v>4</v>
      </c>
      <c r="J392" s="31" t="n">
        <f aca="false">IF(NOT(ISNUMBER($G392)),"",SUMPRODUCT(('Control Mapping'!$C$5:$C$83=D392)*('Control Mapping'!$F$5:$F$83="Y")*('Control Mapping'!$Z$5:$Z$83&gt;0)))</f>
        <v>3</v>
      </c>
      <c r="K392" s="31" t="n">
        <f aca="false">IF(NOT(ISNUMBER($G392)),"",SUMPRODUCT(('Control Mapping'!$C$5:$C$83=D392)*('Control Mapping'!$F$5:$F$83="Y")*('Control Mapping'!$Z$5:$Z$83=4)))</f>
        <v>0</v>
      </c>
      <c r="L392" s="29" t="n">
        <f aca="false">IF(NOT(ISNUMBER($G392)),"",IFERROR(SUMPRODUCT(('Control Mapping'!$C$5:$C$83=D392)*'Control Mapping'!$E$5:$E$83*'Control Mapping'!$Z$5:$Z$83)/SUMPRODUCT(('Control Mapping'!$C$5:$C$83=D392)*'Control Mapping'!$E$5:$E$83*('Control Mapping'!$Z$5:$Z$83&gt;0)),""))</f>
        <v>2.14285714285714</v>
      </c>
      <c r="M392" s="34" t="n">
        <f aca="false">IF(NOT(ISNUMBER($G392)),"",IF(J392=0,4,MAX(MATCH(L392,'Residual Config'!$E$11:$E$14,1),IF(K392&gt;0,'Residual Config'!$C$7,1))))</f>
        <v>2</v>
      </c>
      <c r="N392" s="7" t="str">
        <f aca="false">IF(NOT(ISNUMBER($G392)),"",IF(J392=0,"Ineffective (no key control)",INDEX('Residual Config'!$B$11:$B$14,M392)))</f>
        <v>Largely effective</v>
      </c>
      <c r="O392" s="36" t="n">
        <f aca="false">IF(NOT(ISNUMBER($G392)),"",IF(J392=0,0,SUMPRODUCT(('Control Mapping'!$C$5:$C$83=D392)*'Control Mapping'!$E$5:$E$83*(('Control Mapping'!$Z$5:$Z$83=1)*'Residual Config'!$D$11+('Control Mapping'!$Z$5:$Z$83=2)*'Residual Config'!$D$12+('Control Mapping'!$Z$5:$Z$83=3)*'Residual Config'!$D$13+('Control Mapping'!$Z$5:$Z$83=4)*'Residual Config'!$D$14))/SUMPRODUCT(('Control Mapping'!$C$5:$C$83=D392)*'Control Mapping'!$E$5:$E$83*('Control Mapping'!$Z$5:$Z$83&gt;0))))</f>
        <v>0.371428571428571</v>
      </c>
      <c r="P392" s="31" t="n">
        <f aca="false">IF(NOT(ISNUMBER($G392)),"",INDEX('Residual Config'!$B$19:$E$23,6-G392,M392))</f>
        <v>3</v>
      </c>
      <c r="Q392" s="29" t="n">
        <f aca="false">IF(NOT(ISNUMBER($G392)),"",MAX(1,F392*(1-O392)))</f>
        <v>2.51428571428571</v>
      </c>
      <c r="R392" s="31" t="n">
        <f aca="false">IF(NOT(ISNUMBER($G392)),"",MAX(MATCH(Q392,Config!$D$5:$D$9,1),G392-'Residual Config'!$C$6))</f>
        <v>2</v>
      </c>
      <c r="S392" s="34" t="n">
        <f aca="false">IF(NOT(ISNUMBER($G392)),"",IF('Residual Config'!$C$5="Numeric",R392,P392))</f>
        <v>3</v>
      </c>
      <c r="T392" s="7" t="str">
        <f aca="false">IF(G392="N/A","N/A",IF(S392="","No data",INDEX(Config!$B$5:$B$9,S392)))</f>
        <v>Medium</v>
      </c>
      <c r="U392" s="32" t="n">
        <v>0</v>
      </c>
      <c r="V392" s="8"/>
      <c r="W392" s="33"/>
      <c r="X392" s="34" t="n">
        <f aca="false">IF(S392="","",IF(AND(W392="Y",U392&lt;&gt;0),MAX(1,MIN(5,S392+MAX(-Config!$C$27,MIN(Config!$C$27,U392)))),S392))</f>
        <v>3</v>
      </c>
      <c r="Y392" s="35" t="str">
        <f aca="false">IF(G392="N/A","N/A",IF(X392="","No data",INDEX(Config!$B$5:$B$9,X392)))</f>
        <v>Medium</v>
      </c>
      <c r="Z392" s="7" t="str">
        <f aca="false">IF(U392=0,"None",IF(W392="Y","Applied","Pending HO approval"))</f>
        <v>None</v>
      </c>
      <c r="AA392" s="12" t="str">
        <f aca="false">INDEX('Risk Taxonomy'!$G$5:$G$24,MATCH(D392,'Risk Taxonomy'!$A$5:$A$24,0))</f>
        <v>Very low</v>
      </c>
      <c r="AB392" s="7" t="str">
        <f aca="false">INDEX('Risk Taxonomy'!$H$5:$H$24,MATCH(D392,'Risk Taxonomy'!$A$5:$A$24,0))</f>
        <v>Medium-Low</v>
      </c>
      <c r="AC392" s="35" t="str">
        <f aca="false">IF(NOT(ISNUMBER(X392)),"",IF(X392&lt;=MATCH(AB392,Config!$B$5:$B$9,0),"Within",IF(OR(X392-MATCH(AB392,Config!$B$5:$B$9,0)&gt;=2,AND('Residual Config'!$C$8="Y",ISNUMBER(SEARCH("Zero",AA392)))),"Red","Amber")))</f>
        <v>Amber</v>
      </c>
      <c r="AD392" s="12" t="str">
        <f aca="false">IF(AC392="Red","Group CCO / CRO and Country CEO within 2 business days; action plan in 15 days; report to Board Risk &amp; Compliance Committee",IF(AC392="Amber","Country CO, risk owner and HO Administrator within 5 business days; action plan in 30 days",""))</f>
        <v>Country CO, risk owner and HO Administrator within 5 business days; action plan in 30 days</v>
      </c>
    </row>
    <row r="393" customFormat="false" ht="15" hidden="false" customHeight="false" outlineLevel="0" collapsed="false">
      <c r="A393" s="26" t="str">
        <f aca="false">Entities!$A$24</f>
        <v>TN</v>
      </c>
      <c r="B393" s="12" t="str">
        <f aca="false">INDEX(Entities!$B$5:$B$34,MATCH(A393,Entities!$A$5:$A$34,0))</f>
        <v>Arab Tunisian Bank</v>
      </c>
      <c r="C393" s="12" t="str">
        <f aca="false">INDEX(Entities!$D$5:$D$34,MATCH(A393,Entities!$A$5:$A$34,0))</f>
        <v>North Africa</v>
      </c>
      <c r="D393" s="12" t="s">
        <v>288</v>
      </c>
      <c r="E393" s="12" t="str">
        <f aca="false">INDEX('Risk Taxonomy'!$B$5:$B$24,MATCH(D393,'Risk Taxonomy'!$A$5:$A$24,0))</f>
        <v>Conduct and consumer protection</v>
      </c>
      <c r="F393" s="29" t="n">
        <f aca="false">IF(NOT(ISNUMBER(G393)),"",G393)</f>
        <v>3</v>
      </c>
      <c r="G393" s="34" t="n">
        <f aca="false">IF(COUNTIFS('LxI Assessment'!$A$5:$A$394,A393,'LxI Assessment'!$D$5:$D$394,D393,'LxI Assessment'!$F$5:$F$394,"N/A")&gt;0,"N/A",IF(COUNTIFS('LxI Assessment'!$A$5:$A$394,A393,'LxI Assessment'!$D$5:$D$394,D393,'LxI Assessment'!$S$5:$S$394,"&gt;0")=0,"",SUMIFS('LxI Assessment'!$S$5:$S$394,'LxI Assessment'!$A$5:$A$394,A393,'LxI Assessment'!$D$5:$D$394,D393)))</f>
        <v>3</v>
      </c>
      <c r="H393" s="7" t="str">
        <f aca="false">IF(G393="N/A","N/A",IF(G393="","No data",INDEX(Config!$B$5:$B$9,G393)))</f>
        <v>Medium</v>
      </c>
      <c r="I393" s="31" t="n">
        <f aca="false">IF(NOT(ISNUMBER($G393)),"",SUMPRODUCT(('Control Mapping'!$C$5:$C$83=D393)*('Control Mapping'!$Z$5:$Z$83&gt;0)))</f>
        <v>2</v>
      </c>
      <c r="J393" s="31" t="n">
        <f aca="false">IF(NOT(ISNUMBER($G393)),"",SUMPRODUCT(('Control Mapping'!$C$5:$C$83=D393)*('Control Mapping'!$F$5:$F$83="Y")*('Control Mapping'!$Z$5:$Z$83&gt;0)))</f>
        <v>1</v>
      </c>
      <c r="K393" s="31" t="n">
        <f aca="false">IF(NOT(ISNUMBER($G393)),"",SUMPRODUCT(('Control Mapping'!$C$5:$C$83=D393)*('Control Mapping'!$F$5:$F$83="Y")*('Control Mapping'!$Z$5:$Z$83=4)))</f>
        <v>0</v>
      </c>
      <c r="L393" s="29" t="n">
        <f aca="false">IF(NOT(ISNUMBER($G393)),"",IFERROR(SUMPRODUCT(('Control Mapping'!$C$5:$C$83=D393)*'Control Mapping'!$E$5:$E$83*'Control Mapping'!$Z$5:$Z$83)/SUMPRODUCT(('Control Mapping'!$C$5:$C$83=D393)*'Control Mapping'!$E$5:$E$83*('Control Mapping'!$Z$5:$Z$83&gt;0)),""))</f>
        <v>2</v>
      </c>
      <c r="M393" s="34" t="n">
        <f aca="false">IF(NOT(ISNUMBER($G393)),"",IF(J393=0,4,MAX(MATCH(L393,'Residual Config'!$E$11:$E$14,1),IF(K393&gt;0,'Residual Config'!$C$7,1))))</f>
        <v>2</v>
      </c>
      <c r="N393" s="7" t="str">
        <f aca="false">IF(NOT(ISNUMBER($G393)),"",IF(J393=0,"Ineffective (no key control)",INDEX('Residual Config'!$B$11:$B$14,M393)))</f>
        <v>Largely effective</v>
      </c>
      <c r="O393" s="36" t="n">
        <f aca="false">IF(NOT(ISNUMBER($G393)),"",IF(J393=0,0,SUMPRODUCT(('Control Mapping'!$C$5:$C$83=D393)*'Control Mapping'!$E$5:$E$83*(('Control Mapping'!$Z$5:$Z$83=1)*'Residual Config'!$D$11+('Control Mapping'!$Z$5:$Z$83=2)*'Residual Config'!$D$12+('Control Mapping'!$Z$5:$Z$83=3)*'Residual Config'!$D$13+('Control Mapping'!$Z$5:$Z$83=4)*'Residual Config'!$D$14))/SUMPRODUCT(('Control Mapping'!$C$5:$C$83=D393)*'Control Mapping'!$E$5:$E$83*('Control Mapping'!$Z$5:$Z$83&gt;0))))</f>
        <v>0.4</v>
      </c>
      <c r="P393" s="31" t="n">
        <f aca="false">IF(NOT(ISNUMBER($G393)),"",INDEX('Residual Config'!$B$19:$E$23,6-G393,M393))</f>
        <v>2</v>
      </c>
      <c r="Q393" s="29" t="n">
        <f aca="false">IF(NOT(ISNUMBER($G393)),"",MAX(1,F393*(1-O393)))</f>
        <v>1.8</v>
      </c>
      <c r="R393" s="31" t="n">
        <f aca="false">IF(NOT(ISNUMBER($G393)),"",MAX(MATCH(Q393,Config!$D$5:$D$9,1),G393-'Residual Config'!$C$6))</f>
        <v>1</v>
      </c>
      <c r="S393" s="34" t="n">
        <f aca="false">IF(NOT(ISNUMBER($G393)),"",IF('Residual Config'!$C$5="Numeric",R393,P393))</f>
        <v>2</v>
      </c>
      <c r="T393" s="7" t="str">
        <f aca="false">IF(G393="N/A","N/A",IF(S393="","No data",INDEX(Config!$B$5:$B$9,S393)))</f>
        <v>Medium-Low</v>
      </c>
      <c r="U393" s="32" t="n">
        <v>0</v>
      </c>
      <c r="V393" s="8"/>
      <c r="W393" s="33"/>
      <c r="X393" s="34" t="n">
        <f aca="false">IF(S393="","",IF(AND(W393="Y",U393&lt;&gt;0),MAX(1,MIN(5,S393+MAX(-Config!$C$27,MIN(Config!$C$27,U393)))),S393))</f>
        <v>2</v>
      </c>
      <c r="Y393" s="35" t="str">
        <f aca="false">IF(G393="N/A","N/A",IF(X393="","No data",INDEX(Config!$B$5:$B$9,X393)))</f>
        <v>Medium-Low</v>
      </c>
      <c r="Z393" s="7" t="str">
        <f aca="false">IF(U393=0,"None",IF(W393="Y","Applied","Pending HO approval"))</f>
        <v>None</v>
      </c>
      <c r="AA393" s="12" t="str">
        <f aca="false">INDEX('Risk Taxonomy'!$G$5:$G$24,MATCH(D393,'Risk Taxonomy'!$A$5:$A$24,0))</f>
        <v>Low</v>
      </c>
      <c r="AB393" s="7" t="str">
        <f aca="false">INDEX('Risk Taxonomy'!$H$5:$H$24,MATCH(D393,'Risk Taxonomy'!$A$5:$A$24,0))</f>
        <v>Medium</v>
      </c>
      <c r="AC393" s="35" t="str">
        <f aca="false">IF(NOT(ISNUMBER(X393)),"",IF(X393&lt;=MATCH(AB393,Config!$B$5:$B$9,0),"Within",IF(OR(X393-MATCH(AB393,Config!$B$5:$B$9,0)&gt;=2,AND('Residual Config'!$C$8="Y",ISNUMBER(SEARCH("Zero",AA393)))),"Red","Amber")))</f>
        <v>Within</v>
      </c>
      <c r="AD393" s="12" t="str">
        <f aca="false">IF(AC393="Red","Group CCO / CRO and Country CEO within 2 business days; action plan in 15 days; report to Board Risk &amp; Compliance Committee",IF(AC393="Amber","Country CO, risk owner and HO Administrator within 5 business days; action plan in 30 days",""))</f>
        <v/>
      </c>
    </row>
    <row r="394" customFormat="false" ht="15" hidden="false" customHeight="false" outlineLevel="0" collapsed="false">
      <c r="A394" s="26" t="str">
        <f aca="false">Entities!$A$24</f>
        <v>TN</v>
      </c>
      <c r="B394" s="12" t="str">
        <f aca="false">INDEX(Entities!$B$5:$B$34,MATCH(A394,Entities!$A$5:$A$34,0))</f>
        <v>Arab Tunisian Bank</v>
      </c>
      <c r="C394" s="12" t="str">
        <f aca="false">INDEX(Entities!$D$5:$D$34,MATCH(A394,Entities!$A$5:$A$34,0))</f>
        <v>North Africa</v>
      </c>
      <c r="D394" s="12" t="s">
        <v>290</v>
      </c>
      <c r="E394" s="12" t="str">
        <f aca="false">INDEX('Risk Taxonomy'!$B$5:$B$24,MATCH(D394,'Risk Taxonomy'!$A$5:$A$24,0))</f>
        <v>Data protection and privacy</v>
      </c>
      <c r="F394" s="29" t="n">
        <f aca="false">IF(NOT(ISNUMBER(G394)),"",G394)</f>
        <v>2</v>
      </c>
      <c r="G394" s="34" t="n">
        <f aca="false">IF(COUNTIFS('LxI Assessment'!$A$5:$A$394,A394,'LxI Assessment'!$D$5:$D$394,D394,'LxI Assessment'!$F$5:$F$394,"N/A")&gt;0,"N/A",IF(COUNTIFS('LxI Assessment'!$A$5:$A$394,A394,'LxI Assessment'!$D$5:$D$394,D394,'LxI Assessment'!$S$5:$S$394,"&gt;0")=0,"",SUMIFS('LxI Assessment'!$S$5:$S$394,'LxI Assessment'!$A$5:$A$394,A394,'LxI Assessment'!$D$5:$D$394,D394)))</f>
        <v>2</v>
      </c>
      <c r="H394" s="7" t="str">
        <f aca="false">IF(G394="N/A","N/A",IF(G394="","No data",INDEX(Config!$B$5:$B$9,G394)))</f>
        <v>Medium-Low</v>
      </c>
      <c r="I394" s="31" t="n">
        <f aca="false">IF(NOT(ISNUMBER($G394)),"",SUMPRODUCT(('Control Mapping'!$C$5:$C$83=D394)*('Control Mapping'!$Z$5:$Z$83&gt;0)))</f>
        <v>2</v>
      </c>
      <c r="J394" s="31" t="n">
        <f aca="false">IF(NOT(ISNUMBER($G394)),"",SUMPRODUCT(('Control Mapping'!$C$5:$C$83=D394)*('Control Mapping'!$F$5:$F$83="Y")*('Control Mapping'!$Z$5:$Z$83&gt;0)))</f>
        <v>2</v>
      </c>
      <c r="K394" s="31" t="n">
        <f aca="false">IF(NOT(ISNUMBER($G394)),"",SUMPRODUCT(('Control Mapping'!$C$5:$C$83=D394)*('Control Mapping'!$F$5:$F$83="Y")*('Control Mapping'!$Z$5:$Z$83=4)))</f>
        <v>0</v>
      </c>
      <c r="L394" s="29" t="n">
        <f aca="false">IF(NOT(ISNUMBER($G394)),"",IFERROR(SUMPRODUCT(('Control Mapping'!$C$5:$C$83=D394)*'Control Mapping'!$E$5:$E$83*'Control Mapping'!$Z$5:$Z$83)/SUMPRODUCT(('Control Mapping'!$C$5:$C$83=D394)*'Control Mapping'!$E$5:$E$83*('Control Mapping'!$Z$5:$Z$83&gt;0)),""))</f>
        <v>2</v>
      </c>
      <c r="M394" s="34" t="n">
        <f aca="false">IF(NOT(ISNUMBER($G394)),"",IF(J394=0,4,MAX(MATCH(L394,'Residual Config'!$E$11:$E$14,1),IF(K394&gt;0,'Residual Config'!$C$7,1))))</f>
        <v>2</v>
      </c>
      <c r="N394" s="7" t="str">
        <f aca="false">IF(NOT(ISNUMBER($G394)),"",IF(J394=0,"Ineffective (no key control)",INDEX('Residual Config'!$B$11:$B$14,M394)))</f>
        <v>Largely effective</v>
      </c>
      <c r="O394" s="36" t="n">
        <f aca="false">IF(NOT(ISNUMBER($G394)),"",IF(J394=0,0,SUMPRODUCT(('Control Mapping'!$C$5:$C$83=D394)*'Control Mapping'!$E$5:$E$83*(('Control Mapping'!$Z$5:$Z$83=1)*'Residual Config'!$D$11+('Control Mapping'!$Z$5:$Z$83=2)*'Residual Config'!$D$12+('Control Mapping'!$Z$5:$Z$83=3)*'Residual Config'!$D$13+('Control Mapping'!$Z$5:$Z$83=4)*'Residual Config'!$D$14))/SUMPRODUCT(('Control Mapping'!$C$5:$C$83=D394)*'Control Mapping'!$E$5:$E$83*('Control Mapping'!$Z$5:$Z$83&gt;0))))</f>
        <v>0.4</v>
      </c>
      <c r="P394" s="31" t="n">
        <f aca="false">IF(NOT(ISNUMBER($G394)),"",INDEX('Residual Config'!$B$19:$E$23,6-G394,M394))</f>
        <v>1</v>
      </c>
      <c r="Q394" s="29" t="n">
        <f aca="false">IF(NOT(ISNUMBER($G394)),"",MAX(1,F394*(1-O394)))</f>
        <v>1.2</v>
      </c>
      <c r="R394" s="31" t="n">
        <f aca="false">IF(NOT(ISNUMBER($G394)),"",MAX(MATCH(Q394,Config!$D$5:$D$9,1),G394-'Residual Config'!$C$6))</f>
        <v>1</v>
      </c>
      <c r="S394" s="34" t="n">
        <f aca="false">IF(NOT(ISNUMBER($G394)),"",IF('Residual Config'!$C$5="Numeric",R394,P394))</f>
        <v>1</v>
      </c>
      <c r="T394" s="7" t="str">
        <f aca="false">IF(G394="N/A","N/A",IF(S394="","No data",INDEX(Config!$B$5:$B$9,S394)))</f>
        <v>Low</v>
      </c>
      <c r="U394" s="32" t="n">
        <v>0</v>
      </c>
      <c r="V394" s="8"/>
      <c r="W394" s="33"/>
      <c r="X394" s="34" t="n">
        <f aca="false">IF(S394="","",IF(AND(W394="Y",U394&lt;&gt;0),MAX(1,MIN(5,S394+MAX(-Config!$C$27,MIN(Config!$C$27,U394)))),S394))</f>
        <v>1</v>
      </c>
      <c r="Y394" s="35" t="str">
        <f aca="false">IF(G394="N/A","N/A",IF(X394="","No data",INDEX(Config!$B$5:$B$9,X394)))</f>
        <v>Low</v>
      </c>
      <c r="Z394" s="7" t="str">
        <f aca="false">IF(U394=0,"None",IF(W394="Y","Applied","Pending HO approval"))</f>
        <v>None</v>
      </c>
      <c r="AA394" s="12" t="str">
        <f aca="false">INDEX('Risk Taxonomy'!$G$5:$G$24,MATCH(D394,'Risk Taxonomy'!$A$5:$A$24,0))</f>
        <v>Very low</v>
      </c>
      <c r="AB394" s="7" t="str">
        <f aca="false">INDEX('Risk Taxonomy'!$H$5:$H$24,MATCH(D394,'Risk Taxonomy'!$A$5:$A$24,0))</f>
        <v>Medium-Low</v>
      </c>
      <c r="AC394" s="35" t="str">
        <f aca="false">IF(NOT(ISNUMBER(X394)),"",IF(X394&lt;=MATCH(AB394,Config!$B$5:$B$9,0),"Within",IF(OR(X394-MATCH(AB394,Config!$B$5:$B$9,0)&gt;=2,AND('Residual Config'!$C$8="Y",ISNUMBER(SEARCH("Zero",AA394)))),"Red","Amber")))</f>
        <v>Within</v>
      </c>
      <c r="AD394" s="12" t="str">
        <f aca="false">IF(AC394="Red","Group CCO / CRO and Country CEO within 2 business days; action plan in 15 days; report to Board Risk &amp; Compliance Committee",IF(AC394="Amber","Country CO, risk owner and HO Administrator within 5 business days; action plan in 30 days",""))</f>
        <v/>
      </c>
    </row>
    <row r="395" customFormat="false" ht="15" hidden="false" customHeight="false" outlineLevel="0" collapsed="false">
      <c r="A395" s="26" t="str">
        <f aca="false">Entities!$A$24</f>
        <v>TN</v>
      </c>
      <c r="B395" s="12" t="str">
        <f aca="false">INDEX(Entities!$B$5:$B$34,MATCH(A395,Entities!$A$5:$A$34,0))</f>
        <v>Arab Tunisian Bank</v>
      </c>
      <c r="C395" s="12" t="str">
        <f aca="false">INDEX(Entities!$D$5:$D$34,MATCH(A395,Entities!$A$5:$A$34,0))</f>
        <v>North Africa</v>
      </c>
      <c r="D395" s="12" t="s">
        <v>293</v>
      </c>
      <c r="E395" s="12" t="str">
        <f aca="false">INDEX('Risk Taxonomy'!$B$5:$B$24,MATCH(D395,'Risk Taxonomy'!$A$5:$A$24,0))</f>
        <v>Shariah non-compliance</v>
      </c>
      <c r="F395" s="29" t="str">
        <f aca="false">IF(NOT(ISNUMBER(G395)),"",G395)</f>
        <v/>
      </c>
      <c r="G395" s="34" t="str">
        <f aca="false">IF(COUNTIFS('LxI Assessment'!$A$5:$A$394,A395,'LxI Assessment'!$D$5:$D$394,D395,'LxI Assessment'!$F$5:$F$394,"N/A")&gt;0,"N/A",IF(COUNTIFS('LxI Assessment'!$A$5:$A$394,A395,'LxI Assessment'!$D$5:$D$394,D395,'LxI Assessment'!$S$5:$S$394,"&gt;0")=0,"",SUMIFS('LxI Assessment'!$S$5:$S$394,'LxI Assessment'!$A$5:$A$394,A395,'LxI Assessment'!$D$5:$D$394,D395)))</f>
        <v>N/A</v>
      </c>
      <c r="H395" s="7" t="str">
        <f aca="false">IF(G395="N/A","N/A",IF(G395="","No data",INDEX(Config!$B$5:$B$9,G395)))</f>
        <v>N/A</v>
      </c>
      <c r="I395" s="31" t="str">
        <f aca="false">IF(NOT(ISNUMBER($G395)),"",SUMPRODUCT(('Control Mapping'!$C$5:$C$83=D395)*('Control Mapping'!$Z$5:$Z$83&gt;0)))</f>
        <v/>
      </c>
      <c r="J395" s="31" t="str">
        <f aca="false">IF(NOT(ISNUMBER($G395)),"",SUMPRODUCT(('Control Mapping'!$C$5:$C$83=D395)*('Control Mapping'!$F$5:$F$83="Y")*('Control Mapping'!$Z$5:$Z$83&gt;0)))</f>
        <v/>
      </c>
      <c r="K395" s="31" t="str">
        <f aca="false">IF(NOT(ISNUMBER($G395)),"",SUMPRODUCT(('Control Mapping'!$C$5:$C$83=D395)*('Control Mapping'!$F$5:$F$83="Y")*('Control Mapping'!$Z$5:$Z$83=4)))</f>
        <v/>
      </c>
      <c r="L395" s="29" t="str">
        <f aca="false">IF(NOT(ISNUMBER($G395)),"",IFERROR(SUMPRODUCT(('Control Mapping'!$C$5:$C$83=D395)*'Control Mapping'!$E$5:$E$83*'Control Mapping'!$Z$5:$Z$83)/SUMPRODUCT(('Control Mapping'!$C$5:$C$83=D395)*'Control Mapping'!$E$5:$E$83*('Control Mapping'!$Z$5:$Z$83&gt;0)),""))</f>
        <v/>
      </c>
      <c r="M395" s="34" t="str">
        <f aca="false">IF(NOT(ISNUMBER($G395)),"",IF(J395=0,4,MAX(MATCH(L395,'Residual Config'!$E$11:$E$14,1),IF(K395&gt;0,'Residual Config'!$C$7,1))))</f>
        <v/>
      </c>
      <c r="N395" s="7" t="str">
        <f aca="false">IF(NOT(ISNUMBER($G395)),"",IF(J395=0,"Ineffective (no key control)",INDEX('Residual Config'!$B$11:$B$14,M395)))</f>
        <v/>
      </c>
      <c r="O395" s="36" t="str">
        <f aca="false">IF(NOT(ISNUMBER($G395)),"",IF(J395=0,0,SUMPRODUCT(('Control Mapping'!$C$5:$C$83=D395)*'Control Mapping'!$E$5:$E$83*(('Control Mapping'!$Z$5:$Z$83=1)*'Residual Config'!$D$11+('Control Mapping'!$Z$5:$Z$83=2)*'Residual Config'!$D$12+('Control Mapping'!$Z$5:$Z$83=3)*'Residual Config'!$D$13+('Control Mapping'!$Z$5:$Z$83=4)*'Residual Config'!$D$14))/SUMPRODUCT(('Control Mapping'!$C$5:$C$83=D395)*'Control Mapping'!$E$5:$E$83*('Control Mapping'!$Z$5:$Z$83&gt;0))))</f>
        <v/>
      </c>
      <c r="P395" s="31" t="str">
        <f aca="false">IF(NOT(ISNUMBER($G395)),"",INDEX('Residual Config'!$B$19:$E$23,6-G395,M395))</f>
        <v/>
      </c>
      <c r="Q395" s="29" t="str">
        <f aca="false">IF(NOT(ISNUMBER($G395)),"",MAX(1,F395*(1-O395)))</f>
        <v/>
      </c>
      <c r="R395" s="31" t="str">
        <f aca="false">IF(NOT(ISNUMBER($G395)),"",MAX(MATCH(Q395,Config!$D$5:$D$9,1),G395-'Residual Config'!$C$6))</f>
        <v/>
      </c>
      <c r="S395" s="34" t="str">
        <f aca="false">IF(NOT(ISNUMBER($G395)),"",IF('Residual Config'!$C$5="Numeric",R395,P395))</f>
        <v/>
      </c>
      <c r="T395" s="7" t="str">
        <f aca="false">IF(G395="N/A","N/A",IF(S395="","No data",INDEX(Config!$B$5:$B$9,S395)))</f>
        <v>N/A</v>
      </c>
      <c r="U395" s="32" t="n">
        <v>0</v>
      </c>
      <c r="V395" s="8"/>
      <c r="W395" s="33"/>
      <c r="X395" s="34" t="str">
        <f aca="false">IF(S395="","",IF(AND(W395="Y",U395&lt;&gt;0),MAX(1,MIN(5,S395+MAX(-Config!$C$27,MIN(Config!$C$27,U395)))),S395))</f>
        <v/>
      </c>
      <c r="Y395" s="35" t="str">
        <f aca="false">IF(G395="N/A","N/A",IF(X395="","No data",INDEX(Config!$B$5:$B$9,X395)))</f>
        <v>N/A</v>
      </c>
      <c r="Z395" s="7" t="str">
        <f aca="false">IF(U395=0,"None",IF(W395="Y","Applied","Pending HO approval"))</f>
        <v>None</v>
      </c>
      <c r="AA395" s="12" t="str">
        <f aca="false">INDEX('Risk Taxonomy'!$G$5:$G$24,MATCH(D395,'Risk Taxonomy'!$A$5:$A$24,0))</f>
        <v>Very low</v>
      </c>
      <c r="AB395" s="7" t="str">
        <f aca="false">INDEX('Risk Taxonomy'!$H$5:$H$24,MATCH(D395,'Risk Taxonomy'!$A$5:$A$24,0))</f>
        <v>Medium-Low</v>
      </c>
      <c r="AC395" s="35" t="str">
        <f aca="false">IF(NOT(ISNUMBER(X395)),"",IF(X395&lt;=MATCH(AB395,Config!$B$5:$B$9,0),"Within",IF(OR(X395-MATCH(AB395,Config!$B$5:$B$9,0)&gt;=2,AND('Residual Config'!$C$8="Y",ISNUMBER(SEARCH("Zero",AA395)))),"Red","Amber")))</f>
        <v/>
      </c>
      <c r="AD395" s="12" t="str">
        <f aca="false">IF(AC395="Red","Group CCO / CRO and Country CEO within 2 business days; action plan in 15 days; report to Board Risk &amp; Compliance Committee",IF(AC395="Amber","Country CO, risk owner and HO Administrator within 5 business days; action plan in 30 days",""))</f>
        <v/>
      </c>
    </row>
    <row r="396" customFormat="false" ht="15" hidden="false" customHeight="false" outlineLevel="0" collapsed="false">
      <c r="A396" s="26" t="str">
        <f aca="false">Entities!$A$24</f>
        <v>TN</v>
      </c>
      <c r="B396" s="12" t="str">
        <f aca="false">INDEX(Entities!$B$5:$B$34,MATCH(A396,Entities!$A$5:$A$34,0))</f>
        <v>Arab Tunisian Bank</v>
      </c>
      <c r="C396" s="12" t="str">
        <f aca="false">INDEX(Entities!$D$5:$D$34,MATCH(A396,Entities!$A$5:$A$34,0))</f>
        <v>North Africa</v>
      </c>
      <c r="D396" s="12" t="s">
        <v>297</v>
      </c>
      <c r="E396" s="12" t="str">
        <f aca="false">INDEX('Risk Taxonomy'!$B$5:$B$24,MATCH(D396,'Risk Taxonomy'!$A$5:$A$24,0))</f>
        <v>Credit risk</v>
      </c>
      <c r="F396" s="29" t="n">
        <f aca="false">IF(NOT(ISNUMBER(G396)),"",G396)</f>
        <v>4</v>
      </c>
      <c r="G396" s="34" t="n">
        <f aca="false">IF(COUNTIFS('LxI Assessment'!$A$5:$A$394,A396,'LxI Assessment'!$D$5:$D$394,D396,'LxI Assessment'!$F$5:$F$394,"N/A")&gt;0,"N/A",IF(COUNTIFS('LxI Assessment'!$A$5:$A$394,A396,'LxI Assessment'!$D$5:$D$394,D396,'LxI Assessment'!$S$5:$S$394,"&gt;0")=0,"",SUMIFS('LxI Assessment'!$S$5:$S$394,'LxI Assessment'!$A$5:$A$394,A396,'LxI Assessment'!$D$5:$D$394,D396)))</f>
        <v>4</v>
      </c>
      <c r="H396" s="7" t="str">
        <f aca="false">IF(G396="N/A","N/A",IF(G396="","No data",INDEX(Config!$B$5:$B$9,G396)))</f>
        <v>Medium-High</v>
      </c>
      <c r="I396" s="31" t="n">
        <f aca="false">IF(NOT(ISNUMBER($G396)),"",SUMPRODUCT(('Control Mapping'!$C$5:$C$83=D396)*('Control Mapping'!$Z$5:$Z$83&gt;0)))</f>
        <v>2</v>
      </c>
      <c r="J396" s="31" t="n">
        <f aca="false">IF(NOT(ISNUMBER($G396)),"",SUMPRODUCT(('Control Mapping'!$C$5:$C$83=D396)*('Control Mapping'!$F$5:$F$83="Y")*('Control Mapping'!$Z$5:$Z$83&gt;0)))</f>
        <v>1</v>
      </c>
      <c r="K396" s="31" t="n">
        <f aca="false">IF(NOT(ISNUMBER($G396)),"",SUMPRODUCT(('Control Mapping'!$C$5:$C$83=D396)*('Control Mapping'!$F$5:$F$83="Y")*('Control Mapping'!$Z$5:$Z$83=4)))</f>
        <v>0</v>
      </c>
      <c r="L396" s="29" t="n">
        <f aca="false">IF(NOT(ISNUMBER($G396)),"",IFERROR(SUMPRODUCT(('Control Mapping'!$C$5:$C$83=D396)*'Control Mapping'!$E$5:$E$83*'Control Mapping'!$Z$5:$Z$83)/SUMPRODUCT(('Control Mapping'!$C$5:$C$83=D396)*'Control Mapping'!$E$5:$E$83*('Control Mapping'!$Z$5:$Z$83&gt;0)),""))</f>
        <v>2.2</v>
      </c>
      <c r="M396" s="34" t="n">
        <f aca="false">IF(NOT(ISNUMBER($G396)),"",IF(J396=0,4,MAX(MATCH(L396,'Residual Config'!$E$11:$E$14,1),IF(K396&gt;0,'Residual Config'!$C$7,1))))</f>
        <v>2</v>
      </c>
      <c r="N396" s="7" t="str">
        <f aca="false">IF(NOT(ISNUMBER($G396)),"",IF(J396=0,"Ineffective (no key control)",INDEX('Residual Config'!$B$11:$B$14,M396)))</f>
        <v>Largely effective</v>
      </c>
      <c r="O396" s="36" t="n">
        <f aca="false">IF(NOT(ISNUMBER($G396)),"",IF(J396=0,0,SUMPRODUCT(('Control Mapping'!$C$5:$C$83=D396)*'Control Mapping'!$E$5:$E$83*(('Control Mapping'!$Z$5:$Z$83=1)*'Residual Config'!$D$11+('Control Mapping'!$Z$5:$Z$83=2)*'Residual Config'!$D$12+('Control Mapping'!$Z$5:$Z$83=3)*'Residual Config'!$D$13+('Control Mapping'!$Z$5:$Z$83=4)*'Residual Config'!$D$14))/SUMPRODUCT(('Control Mapping'!$C$5:$C$83=D396)*'Control Mapping'!$E$5:$E$83*('Control Mapping'!$Z$5:$Z$83&gt;0))))</f>
        <v>0.36</v>
      </c>
      <c r="P396" s="31" t="n">
        <f aca="false">IF(NOT(ISNUMBER($G396)),"",INDEX('Residual Config'!$B$19:$E$23,6-G396,M396))</f>
        <v>3</v>
      </c>
      <c r="Q396" s="29" t="n">
        <f aca="false">IF(NOT(ISNUMBER($G396)),"",MAX(1,F396*(1-O396)))</f>
        <v>2.56</v>
      </c>
      <c r="R396" s="31" t="n">
        <f aca="false">IF(NOT(ISNUMBER($G396)),"",MAX(MATCH(Q396,Config!$D$5:$D$9,1),G396-'Residual Config'!$C$6))</f>
        <v>2</v>
      </c>
      <c r="S396" s="34" t="n">
        <f aca="false">IF(NOT(ISNUMBER($G396)),"",IF('Residual Config'!$C$5="Numeric",R396,P396))</f>
        <v>3</v>
      </c>
      <c r="T396" s="7" t="str">
        <f aca="false">IF(G396="N/A","N/A",IF(S396="","No data",INDEX(Config!$B$5:$B$9,S396)))</f>
        <v>Medium</v>
      </c>
      <c r="U396" s="32" t="n">
        <v>0</v>
      </c>
      <c r="V396" s="8"/>
      <c r="W396" s="33"/>
      <c r="X396" s="34" t="n">
        <f aca="false">IF(S396="","",IF(AND(W396="Y",U396&lt;&gt;0),MAX(1,MIN(5,S396+MAX(-Config!$C$27,MIN(Config!$C$27,U396)))),S396))</f>
        <v>3</v>
      </c>
      <c r="Y396" s="35" t="str">
        <f aca="false">IF(G396="N/A","N/A",IF(X396="","No data",INDEX(Config!$B$5:$B$9,X396)))</f>
        <v>Medium</v>
      </c>
      <c r="Z396" s="7" t="str">
        <f aca="false">IF(U396=0,"None",IF(W396="Y","Applied","Pending HO approval"))</f>
        <v>None</v>
      </c>
      <c r="AA396" s="12" t="str">
        <f aca="false">INDEX('Risk Taxonomy'!$G$5:$G$24,MATCH(D396,'Risk Taxonomy'!$A$5:$A$24,0))</f>
        <v>Moderate</v>
      </c>
      <c r="AB396" s="7" t="str">
        <f aca="false">INDEX('Risk Taxonomy'!$H$5:$H$24,MATCH(D396,'Risk Taxonomy'!$A$5:$A$24,0))</f>
        <v>Medium-High</v>
      </c>
      <c r="AC396" s="35" t="str">
        <f aca="false">IF(NOT(ISNUMBER(X396)),"",IF(X396&lt;=MATCH(AB396,Config!$B$5:$B$9,0),"Within",IF(OR(X396-MATCH(AB396,Config!$B$5:$B$9,0)&gt;=2,AND('Residual Config'!$C$8="Y",ISNUMBER(SEARCH("Zero",AA396)))),"Red","Amber")))</f>
        <v>Within</v>
      </c>
      <c r="AD396" s="12" t="str">
        <f aca="false">IF(AC396="Red","Group CCO / CRO and Country CEO within 2 business days; action plan in 15 days; report to Board Risk &amp; Compliance Committee",IF(AC396="Amber","Country CO, risk owner and HO Administrator within 5 business days; action plan in 30 days",""))</f>
        <v/>
      </c>
    </row>
    <row r="397" customFormat="false" ht="15" hidden="false" customHeight="false" outlineLevel="0" collapsed="false">
      <c r="A397" s="26" t="str">
        <f aca="false">Entities!$A$24</f>
        <v>TN</v>
      </c>
      <c r="B397" s="12" t="str">
        <f aca="false">INDEX(Entities!$B$5:$B$34,MATCH(A397,Entities!$A$5:$A$34,0))</f>
        <v>Arab Tunisian Bank</v>
      </c>
      <c r="C397" s="12" t="str">
        <f aca="false">INDEX(Entities!$D$5:$D$34,MATCH(A397,Entities!$A$5:$A$34,0))</f>
        <v>North Africa</v>
      </c>
      <c r="D397" s="12" t="s">
        <v>302</v>
      </c>
      <c r="E397" s="12" t="str">
        <f aca="false">INDEX('Risk Taxonomy'!$B$5:$B$24,MATCH(D397,'Risk Taxonomy'!$A$5:$A$24,0))</f>
        <v>Market risk</v>
      </c>
      <c r="F397" s="29" t="n">
        <f aca="false">IF(NOT(ISNUMBER(G397)),"",G397)</f>
        <v>3</v>
      </c>
      <c r="G397" s="34" t="n">
        <f aca="false">IF(COUNTIFS('LxI Assessment'!$A$5:$A$394,A397,'LxI Assessment'!$D$5:$D$394,D397,'LxI Assessment'!$F$5:$F$394,"N/A")&gt;0,"N/A",IF(COUNTIFS('LxI Assessment'!$A$5:$A$394,A397,'LxI Assessment'!$D$5:$D$394,D397,'LxI Assessment'!$S$5:$S$394,"&gt;0")=0,"",SUMIFS('LxI Assessment'!$S$5:$S$394,'LxI Assessment'!$A$5:$A$394,A397,'LxI Assessment'!$D$5:$D$394,D397)))</f>
        <v>3</v>
      </c>
      <c r="H397" s="7" t="str">
        <f aca="false">IF(G397="N/A","N/A",IF(G397="","No data",INDEX(Config!$B$5:$B$9,G397)))</f>
        <v>Medium</v>
      </c>
      <c r="I397" s="31" t="n">
        <f aca="false">IF(NOT(ISNUMBER($G397)),"",SUMPRODUCT(('Control Mapping'!$C$5:$C$83=D397)*('Control Mapping'!$Z$5:$Z$83&gt;0)))</f>
        <v>1</v>
      </c>
      <c r="J397" s="31" t="n">
        <f aca="false">IF(NOT(ISNUMBER($G397)),"",SUMPRODUCT(('Control Mapping'!$C$5:$C$83=D397)*('Control Mapping'!$F$5:$F$83="Y")*('Control Mapping'!$Z$5:$Z$83&gt;0)))</f>
        <v>1</v>
      </c>
      <c r="K397" s="31" t="n">
        <f aca="false">IF(NOT(ISNUMBER($G397)),"",SUMPRODUCT(('Control Mapping'!$C$5:$C$83=D397)*('Control Mapping'!$F$5:$F$83="Y")*('Control Mapping'!$Z$5:$Z$83=4)))</f>
        <v>0</v>
      </c>
      <c r="L397" s="29" t="n">
        <f aca="false">IF(NOT(ISNUMBER($G397)),"",IFERROR(SUMPRODUCT(('Control Mapping'!$C$5:$C$83=D397)*'Control Mapping'!$E$5:$E$83*'Control Mapping'!$Z$5:$Z$83)/SUMPRODUCT(('Control Mapping'!$C$5:$C$83=D397)*'Control Mapping'!$E$5:$E$83*('Control Mapping'!$Z$5:$Z$83&gt;0)),""))</f>
        <v>2</v>
      </c>
      <c r="M397" s="34" t="n">
        <f aca="false">IF(NOT(ISNUMBER($G397)),"",IF(J397=0,4,MAX(MATCH(L397,'Residual Config'!$E$11:$E$14,1),IF(K397&gt;0,'Residual Config'!$C$7,1))))</f>
        <v>2</v>
      </c>
      <c r="N397" s="7" t="str">
        <f aca="false">IF(NOT(ISNUMBER($G397)),"",IF(J397=0,"Ineffective (no key control)",INDEX('Residual Config'!$B$11:$B$14,M397)))</f>
        <v>Largely effective</v>
      </c>
      <c r="O397" s="36" t="n">
        <f aca="false">IF(NOT(ISNUMBER($G397)),"",IF(J397=0,0,SUMPRODUCT(('Control Mapping'!$C$5:$C$83=D397)*'Control Mapping'!$E$5:$E$83*(('Control Mapping'!$Z$5:$Z$83=1)*'Residual Config'!$D$11+('Control Mapping'!$Z$5:$Z$83=2)*'Residual Config'!$D$12+('Control Mapping'!$Z$5:$Z$83=3)*'Residual Config'!$D$13+('Control Mapping'!$Z$5:$Z$83=4)*'Residual Config'!$D$14))/SUMPRODUCT(('Control Mapping'!$C$5:$C$83=D397)*'Control Mapping'!$E$5:$E$83*('Control Mapping'!$Z$5:$Z$83&gt;0))))</f>
        <v>0.4</v>
      </c>
      <c r="P397" s="31" t="n">
        <f aca="false">IF(NOT(ISNUMBER($G397)),"",INDEX('Residual Config'!$B$19:$E$23,6-G397,M397))</f>
        <v>2</v>
      </c>
      <c r="Q397" s="29" t="n">
        <f aca="false">IF(NOT(ISNUMBER($G397)),"",MAX(1,F397*(1-O397)))</f>
        <v>1.8</v>
      </c>
      <c r="R397" s="31" t="n">
        <f aca="false">IF(NOT(ISNUMBER($G397)),"",MAX(MATCH(Q397,Config!$D$5:$D$9,1),G397-'Residual Config'!$C$6))</f>
        <v>1</v>
      </c>
      <c r="S397" s="34" t="n">
        <f aca="false">IF(NOT(ISNUMBER($G397)),"",IF('Residual Config'!$C$5="Numeric",R397,P397))</f>
        <v>2</v>
      </c>
      <c r="T397" s="7" t="str">
        <f aca="false">IF(G397="N/A","N/A",IF(S397="","No data",INDEX(Config!$B$5:$B$9,S397)))</f>
        <v>Medium-Low</v>
      </c>
      <c r="U397" s="32" t="n">
        <v>0</v>
      </c>
      <c r="V397" s="8"/>
      <c r="W397" s="33"/>
      <c r="X397" s="34" t="n">
        <f aca="false">IF(S397="","",IF(AND(W397="Y",U397&lt;&gt;0),MAX(1,MIN(5,S397+MAX(-Config!$C$27,MIN(Config!$C$27,U397)))),S397))</f>
        <v>2</v>
      </c>
      <c r="Y397" s="35" t="str">
        <f aca="false">IF(G397="N/A","N/A",IF(X397="","No data",INDEX(Config!$B$5:$B$9,X397)))</f>
        <v>Medium-Low</v>
      </c>
      <c r="Z397" s="7" t="str">
        <f aca="false">IF(U397=0,"None",IF(W397="Y","Applied","Pending HO approval"))</f>
        <v>None</v>
      </c>
      <c r="AA397" s="12" t="str">
        <f aca="false">INDEX('Risk Taxonomy'!$G$5:$G$24,MATCH(D397,'Risk Taxonomy'!$A$5:$A$24,0))</f>
        <v>Moderate</v>
      </c>
      <c r="AB397" s="7" t="str">
        <f aca="false">INDEX('Risk Taxonomy'!$H$5:$H$24,MATCH(D397,'Risk Taxonomy'!$A$5:$A$24,0))</f>
        <v>Medium-High</v>
      </c>
      <c r="AC397" s="35" t="str">
        <f aca="false">IF(NOT(ISNUMBER(X397)),"",IF(X397&lt;=MATCH(AB397,Config!$B$5:$B$9,0),"Within",IF(OR(X397-MATCH(AB397,Config!$B$5:$B$9,0)&gt;=2,AND('Residual Config'!$C$8="Y",ISNUMBER(SEARCH("Zero",AA397)))),"Red","Amber")))</f>
        <v>Within</v>
      </c>
      <c r="AD397" s="12" t="str">
        <f aca="false">IF(AC397="Red","Group CCO / CRO and Country CEO within 2 business days; action plan in 15 days; report to Board Risk &amp; Compliance Committee",IF(AC397="Amber","Country CO, risk owner and HO Administrator within 5 business days; action plan in 30 days",""))</f>
        <v/>
      </c>
    </row>
    <row r="398" customFormat="false" ht="15" hidden="false" customHeight="false" outlineLevel="0" collapsed="false">
      <c r="A398" s="26" t="str">
        <f aca="false">Entities!$A$24</f>
        <v>TN</v>
      </c>
      <c r="B398" s="12" t="str">
        <f aca="false">INDEX(Entities!$B$5:$B$34,MATCH(A398,Entities!$A$5:$A$34,0))</f>
        <v>Arab Tunisian Bank</v>
      </c>
      <c r="C398" s="12" t="str">
        <f aca="false">INDEX(Entities!$D$5:$D$34,MATCH(A398,Entities!$A$5:$A$34,0))</f>
        <v>North Africa</v>
      </c>
      <c r="D398" s="12" t="s">
        <v>304</v>
      </c>
      <c r="E398" s="12" t="str">
        <f aca="false">INDEX('Risk Taxonomy'!$B$5:$B$24,MATCH(D398,'Risk Taxonomy'!$A$5:$A$24,0))</f>
        <v>Liquidity and funding risk</v>
      </c>
      <c r="F398" s="29" t="n">
        <f aca="false">IF(NOT(ISNUMBER(G398)),"",G398)</f>
        <v>2</v>
      </c>
      <c r="G398" s="34" t="n">
        <f aca="false">IF(COUNTIFS('LxI Assessment'!$A$5:$A$394,A398,'LxI Assessment'!$D$5:$D$394,D398,'LxI Assessment'!$F$5:$F$394,"N/A")&gt;0,"N/A",IF(COUNTIFS('LxI Assessment'!$A$5:$A$394,A398,'LxI Assessment'!$D$5:$D$394,D398,'LxI Assessment'!$S$5:$S$394,"&gt;0")=0,"",SUMIFS('LxI Assessment'!$S$5:$S$394,'LxI Assessment'!$A$5:$A$394,A398,'LxI Assessment'!$D$5:$D$394,D398)))</f>
        <v>2</v>
      </c>
      <c r="H398" s="7" t="str">
        <f aca="false">IF(G398="N/A","N/A",IF(G398="","No data",INDEX(Config!$B$5:$B$9,G398)))</f>
        <v>Medium-Low</v>
      </c>
      <c r="I398" s="31" t="n">
        <f aca="false">IF(NOT(ISNUMBER($G398)),"",SUMPRODUCT(('Control Mapping'!$C$5:$C$83=D398)*('Control Mapping'!$Z$5:$Z$83&gt;0)))</f>
        <v>1</v>
      </c>
      <c r="J398" s="31" t="n">
        <f aca="false">IF(NOT(ISNUMBER($G398)),"",SUMPRODUCT(('Control Mapping'!$C$5:$C$83=D398)*('Control Mapping'!$F$5:$F$83="Y")*('Control Mapping'!$Z$5:$Z$83&gt;0)))</f>
        <v>1</v>
      </c>
      <c r="K398" s="31" t="n">
        <f aca="false">IF(NOT(ISNUMBER($G398)),"",SUMPRODUCT(('Control Mapping'!$C$5:$C$83=D398)*('Control Mapping'!$F$5:$F$83="Y")*('Control Mapping'!$Z$5:$Z$83=4)))</f>
        <v>0</v>
      </c>
      <c r="L398" s="29" t="n">
        <f aca="false">IF(NOT(ISNUMBER($G398)),"",IFERROR(SUMPRODUCT(('Control Mapping'!$C$5:$C$83=D398)*'Control Mapping'!$E$5:$E$83*'Control Mapping'!$Z$5:$Z$83)/SUMPRODUCT(('Control Mapping'!$C$5:$C$83=D398)*'Control Mapping'!$E$5:$E$83*('Control Mapping'!$Z$5:$Z$83&gt;0)),""))</f>
        <v>2</v>
      </c>
      <c r="M398" s="34" t="n">
        <f aca="false">IF(NOT(ISNUMBER($G398)),"",IF(J398=0,4,MAX(MATCH(L398,'Residual Config'!$E$11:$E$14,1),IF(K398&gt;0,'Residual Config'!$C$7,1))))</f>
        <v>2</v>
      </c>
      <c r="N398" s="7" t="str">
        <f aca="false">IF(NOT(ISNUMBER($G398)),"",IF(J398=0,"Ineffective (no key control)",INDEX('Residual Config'!$B$11:$B$14,M398)))</f>
        <v>Largely effective</v>
      </c>
      <c r="O398" s="36" t="n">
        <f aca="false">IF(NOT(ISNUMBER($G398)),"",IF(J398=0,0,SUMPRODUCT(('Control Mapping'!$C$5:$C$83=D398)*'Control Mapping'!$E$5:$E$83*(('Control Mapping'!$Z$5:$Z$83=1)*'Residual Config'!$D$11+('Control Mapping'!$Z$5:$Z$83=2)*'Residual Config'!$D$12+('Control Mapping'!$Z$5:$Z$83=3)*'Residual Config'!$D$13+('Control Mapping'!$Z$5:$Z$83=4)*'Residual Config'!$D$14))/SUMPRODUCT(('Control Mapping'!$C$5:$C$83=D398)*'Control Mapping'!$E$5:$E$83*('Control Mapping'!$Z$5:$Z$83&gt;0))))</f>
        <v>0.4</v>
      </c>
      <c r="P398" s="31" t="n">
        <f aca="false">IF(NOT(ISNUMBER($G398)),"",INDEX('Residual Config'!$B$19:$E$23,6-G398,M398))</f>
        <v>1</v>
      </c>
      <c r="Q398" s="29" t="n">
        <f aca="false">IF(NOT(ISNUMBER($G398)),"",MAX(1,F398*(1-O398)))</f>
        <v>1.2</v>
      </c>
      <c r="R398" s="31" t="n">
        <f aca="false">IF(NOT(ISNUMBER($G398)),"",MAX(MATCH(Q398,Config!$D$5:$D$9,1),G398-'Residual Config'!$C$6))</f>
        <v>1</v>
      </c>
      <c r="S398" s="34" t="n">
        <f aca="false">IF(NOT(ISNUMBER($G398)),"",IF('Residual Config'!$C$5="Numeric",R398,P398))</f>
        <v>1</v>
      </c>
      <c r="T398" s="7" t="str">
        <f aca="false">IF(G398="N/A","N/A",IF(S398="","No data",INDEX(Config!$B$5:$B$9,S398)))</f>
        <v>Low</v>
      </c>
      <c r="U398" s="32" t="n">
        <v>0</v>
      </c>
      <c r="V398" s="8"/>
      <c r="W398" s="33"/>
      <c r="X398" s="34" t="n">
        <f aca="false">IF(S398="","",IF(AND(W398="Y",U398&lt;&gt;0),MAX(1,MIN(5,S398+MAX(-Config!$C$27,MIN(Config!$C$27,U398)))),S398))</f>
        <v>1</v>
      </c>
      <c r="Y398" s="35" t="str">
        <f aca="false">IF(G398="N/A","N/A",IF(X398="","No data",INDEX(Config!$B$5:$B$9,X398)))</f>
        <v>Low</v>
      </c>
      <c r="Z398" s="7" t="str">
        <f aca="false">IF(U398=0,"None",IF(W398="Y","Applied","Pending HO approval"))</f>
        <v>None</v>
      </c>
      <c r="AA398" s="12" t="str">
        <f aca="false">INDEX('Risk Taxonomy'!$G$5:$G$24,MATCH(D398,'Risk Taxonomy'!$A$5:$A$24,0))</f>
        <v>Low</v>
      </c>
      <c r="AB398" s="7" t="str">
        <f aca="false">INDEX('Risk Taxonomy'!$H$5:$H$24,MATCH(D398,'Risk Taxonomy'!$A$5:$A$24,0))</f>
        <v>Medium</v>
      </c>
      <c r="AC398" s="35" t="str">
        <f aca="false">IF(NOT(ISNUMBER(X398)),"",IF(X398&lt;=MATCH(AB398,Config!$B$5:$B$9,0),"Within",IF(OR(X398-MATCH(AB398,Config!$B$5:$B$9,0)&gt;=2,AND('Residual Config'!$C$8="Y",ISNUMBER(SEARCH("Zero",AA398)))),"Red","Amber")))</f>
        <v>Within</v>
      </c>
      <c r="AD398" s="12" t="str">
        <f aca="false">IF(AC398="Red","Group CCO / CRO and Country CEO within 2 business days; action plan in 15 days; report to Board Risk &amp; Compliance Committee",IF(AC398="Amber","Country CO, risk owner and HO Administrator within 5 business days; action plan in 30 days",""))</f>
        <v/>
      </c>
    </row>
    <row r="399" customFormat="false" ht="15" hidden="false" customHeight="false" outlineLevel="0" collapsed="false">
      <c r="A399" s="26" t="str">
        <f aca="false">Entities!$A$24</f>
        <v>TN</v>
      </c>
      <c r="B399" s="12" t="str">
        <f aca="false">INDEX(Entities!$B$5:$B$34,MATCH(A399,Entities!$A$5:$A$34,0))</f>
        <v>Arab Tunisian Bank</v>
      </c>
      <c r="C399" s="12" t="str">
        <f aca="false">INDEX(Entities!$D$5:$D$34,MATCH(A399,Entities!$A$5:$A$34,0))</f>
        <v>North Africa</v>
      </c>
      <c r="D399" s="12" t="s">
        <v>307</v>
      </c>
      <c r="E399" s="12" t="str">
        <f aca="false">INDEX('Risk Taxonomy'!$B$5:$B$24,MATCH(D399,'Risk Taxonomy'!$A$5:$A$24,0))</f>
        <v>Operational risk</v>
      </c>
      <c r="F399" s="29" t="n">
        <f aca="false">IF(NOT(ISNUMBER(G399)),"",G399)</f>
        <v>4</v>
      </c>
      <c r="G399" s="34" t="n">
        <f aca="false">IF(COUNTIFS('LxI Assessment'!$A$5:$A$394,A399,'LxI Assessment'!$D$5:$D$394,D399,'LxI Assessment'!$F$5:$F$394,"N/A")&gt;0,"N/A",IF(COUNTIFS('LxI Assessment'!$A$5:$A$394,A399,'LxI Assessment'!$D$5:$D$394,D399,'LxI Assessment'!$S$5:$S$394,"&gt;0")=0,"",SUMIFS('LxI Assessment'!$S$5:$S$394,'LxI Assessment'!$A$5:$A$394,A399,'LxI Assessment'!$D$5:$D$394,D399)))</f>
        <v>4</v>
      </c>
      <c r="H399" s="7" t="str">
        <f aca="false">IF(G399="N/A","N/A",IF(G399="","No data",INDEX(Config!$B$5:$B$9,G399)))</f>
        <v>Medium-High</v>
      </c>
      <c r="I399" s="31" t="n">
        <f aca="false">IF(NOT(ISNUMBER($G399)),"",SUMPRODUCT(('Control Mapping'!$C$5:$C$83=D399)*('Control Mapping'!$Z$5:$Z$83&gt;0)))</f>
        <v>3</v>
      </c>
      <c r="J399" s="31" t="n">
        <f aca="false">IF(NOT(ISNUMBER($G399)),"",SUMPRODUCT(('Control Mapping'!$C$5:$C$83=D399)*('Control Mapping'!$F$5:$F$83="Y")*('Control Mapping'!$Z$5:$Z$83&gt;0)))</f>
        <v>2</v>
      </c>
      <c r="K399" s="31" t="n">
        <f aca="false">IF(NOT(ISNUMBER($G399)),"",SUMPRODUCT(('Control Mapping'!$C$5:$C$83=D399)*('Control Mapping'!$F$5:$F$83="Y")*('Control Mapping'!$Z$5:$Z$83=4)))</f>
        <v>0</v>
      </c>
      <c r="L399" s="29" t="n">
        <f aca="false">IF(NOT(ISNUMBER($G399)),"",IFERROR(SUMPRODUCT(('Control Mapping'!$C$5:$C$83=D399)*'Control Mapping'!$E$5:$E$83*'Control Mapping'!$Z$5:$Z$83)/SUMPRODUCT(('Control Mapping'!$C$5:$C$83=D399)*'Control Mapping'!$E$5:$E$83*('Control Mapping'!$Z$5:$Z$83&gt;0)),""))</f>
        <v>1.33333333333333</v>
      </c>
      <c r="M399" s="34" t="n">
        <f aca="false">IF(NOT(ISNUMBER($G399)),"",IF(J399=0,4,MAX(MATCH(L399,'Residual Config'!$E$11:$E$14,1),IF(K399&gt;0,'Residual Config'!$C$7,1))))</f>
        <v>1</v>
      </c>
      <c r="N399" s="7" t="str">
        <f aca="false">IF(NOT(ISNUMBER($G399)),"",IF(J399=0,"Ineffective (no key control)",INDEX('Residual Config'!$B$11:$B$14,M399)))</f>
        <v>Effective</v>
      </c>
      <c r="O399" s="36" t="n">
        <f aca="false">IF(NOT(ISNUMBER($G399)),"",IF(J399=0,0,SUMPRODUCT(('Control Mapping'!$C$5:$C$83=D399)*'Control Mapping'!$E$5:$E$83*(('Control Mapping'!$Z$5:$Z$83=1)*'Residual Config'!$D$11+('Control Mapping'!$Z$5:$Z$83=2)*'Residual Config'!$D$12+('Control Mapping'!$Z$5:$Z$83=3)*'Residual Config'!$D$13+('Control Mapping'!$Z$5:$Z$83=4)*'Residual Config'!$D$14))/SUMPRODUCT(('Control Mapping'!$C$5:$C$83=D399)*'Control Mapping'!$E$5:$E$83*('Control Mapping'!$Z$5:$Z$83&gt;0))))</f>
        <v>0.533333333333333</v>
      </c>
      <c r="P399" s="31" t="n">
        <f aca="false">IF(NOT(ISNUMBER($G399)),"",INDEX('Residual Config'!$B$19:$E$23,6-G399,M399))</f>
        <v>2</v>
      </c>
      <c r="Q399" s="29" t="n">
        <f aca="false">IF(NOT(ISNUMBER($G399)),"",MAX(1,F399*(1-O399)))</f>
        <v>1.86666666666667</v>
      </c>
      <c r="R399" s="31" t="n">
        <f aca="false">IF(NOT(ISNUMBER($G399)),"",MAX(MATCH(Q399,Config!$D$5:$D$9,1),G399-'Residual Config'!$C$6))</f>
        <v>2</v>
      </c>
      <c r="S399" s="34" t="n">
        <f aca="false">IF(NOT(ISNUMBER($G399)),"",IF('Residual Config'!$C$5="Numeric",R399,P399))</f>
        <v>2</v>
      </c>
      <c r="T399" s="7" t="str">
        <f aca="false">IF(G399="N/A","N/A",IF(S399="","No data",INDEX(Config!$B$5:$B$9,S399)))</f>
        <v>Medium-Low</v>
      </c>
      <c r="U399" s="32" t="n">
        <v>0</v>
      </c>
      <c r="V399" s="8"/>
      <c r="W399" s="33"/>
      <c r="X399" s="34" t="n">
        <f aca="false">IF(S399="","",IF(AND(W399="Y",U399&lt;&gt;0),MAX(1,MIN(5,S399+MAX(-Config!$C$27,MIN(Config!$C$27,U399)))),S399))</f>
        <v>2</v>
      </c>
      <c r="Y399" s="35" t="str">
        <f aca="false">IF(G399="N/A","N/A",IF(X399="","No data",INDEX(Config!$B$5:$B$9,X399)))</f>
        <v>Medium-Low</v>
      </c>
      <c r="Z399" s="7" t="str">
        <f aca="false">IF(U399=0,"None",IF(W399="Y","Applied","Pending HO approval"))</f>
        <v>None</v>
      </c>
      <c r="AA399" s="12" t="str">
        <f aca="false">INDEX('Risk Taxonomy'!$G$5:$G$24,MATCH(D399,'Risk Taxonomy'!$A$5:$A$24,0))</f>
        <v>Low</v>
      </c>
      <c r="AB399" s="7" t="str">
        <f aca="false">INDEX('Risk Taxonomy'!$H$5:$H$24,MATCH(D399,'Risk Taxonomy'!$A$5:$A$24,0))</f>
        <v>Medium</v>
      </c>
      <c r="AC399" s="35" t="str">
        <f aca="false">IF(NOT(ISNUMBER(X399)),"",IF(X399&lt;=MATCH(AB399,Config!$B$5:$B$9,0),"Within",IF(OR(X399-MATCH(AB399,Config!$B$5:$B$9,0)&gt;=2,AND('Residual Config'!$C$8="Y",ISNUMBER(SEARCH("Zero",AA399)))),"Red","Amber")))</f>
        <v>Within</v>
      </c>
      <c r="AD399" s="12" t="str">
        <f aca="false">IF(AC399="Red","Group CCO / CRO and Country CEO within 2 business days; action plan in 15 days; report to Board Risk &amp; Compliance Committee",IF(AC399="Amber","Country CO, risk owner and HO Administrator within 5 business days; action plan in 30 days",""))</f>
        <v/>
      </c>
    </row>
    <row r="400" customFormat="false" ht="15" hidden="false" customHeight="false" outlineLevel="0" collapsed="false">
      <c r="A400" s="26" t="str">
        <f aca="false">Entities!$A$24</f>
        <v>TN</v>
      </c>
      <c r="B400" s="12" t="str">
        <f aca="false">INDEX(Entities!$B$5:$B$34,MATCH(A400,Entities!$A$5:$A$34,0))</f>
        <v>Arab Tunisian Bank</v>
      </c>
      <c r="C400" s="12" t="str">
        <f aca="false">INDEX(Entities!$D$5:$D$34,MATCH(A400,Entities!$A$5:$A$34,0))</f>
        <v>North Africa</v>
      </c>
      <c r="D400" s="12" t="s">
        <v>310</v>
      </c>
      <c r="E400" s="12" t="str">
        <f aca="false">INDEX('Risk Taxonomy'!$B$5:$B$24,MATCH(D400,'Risk Taxonomy'!$A$5:$A$24,0))</f>
        <v>Cyber, information security and technology</v>
      </c>
      <c r="F400" s="29" t="n">
        <f aca="false">IF(NOT(ISNUMBER(G400)),"",G400)</f>
        <v>3</v>
      </c>
      <c r="G400" s="34" t="n">
        <f aca="false">IF(COUNTIFS('LxI Assessment'!$A$5:$A$394,A400,'LxI Assessment'!$D$5:$D$394,D400,'LxI Assessment'!$F$5:$F$394,"N/A")&gt;0,"N/A",IF(COUNTIFS('LxI Assessment'!$A$5:$A$394,A400,'LxI Assessment'!$D$5:$D$394,D400,'LxI Assessment'!$S$5:$S$394,"&gt;0")=0,"",SUMIFS('LxI Assessment'!$S$5:$S$394,'LxI Assessment'!$A$5:$A$394,A400,'LxI Assessment'!$D$5:$D$394,D400)))</f>
        <v>3</v>
      </c>
      <c r="H400" s="7" t="str">
        <f aca="false">IF(G400="N/A","N/A",IF(G400="","No data",INDEX(Config!$B$5:$B$9,G400)))</f>
        <v>Medium</v>
      </c>
      <c r="I400" s="31" t="n">
        <f aca="false">IF(NOT(ISNUMBER($G400)),"",SUMPRODUCT(('Control Mapping'!$C$5:$C$83=D400)*('Control Mapping'!$Z$5:$Z$83&gt;0)))</f>
        <v>4</v>
      </c>
      <c r="J400" s="31" t="n">
        <f aca="false">IF(NOT(ISNUMBER($G400)),"",SUMPRODUCT(('Control Mapping'!$C$5:$C$83=D400)*('Control Mapping'!$F$5:$F$83="Y")*('Control Mapping'!$Z$5:$Z$83&gt;0)))</f>
        <v>4</v>
      </c>
      <c r="K400" s="31" t="n">
        <f aca="false">IF(NOT(ISNUMBER($G400)),"",SUMPRODUCT(('Control Mapping'!$C$5:$C$83=D400)*('Control Mapping'!$F$5:$F$83="Y")*('Control Mapping'!$Z$5:$Z$83=4)))</f>
        <v>0</v>
      </c>
      <c r="L400" s="29" t="n">
        <f aca="false">IF(NOT(ISNUMBER($G400)),"",IFERROR(SUMPRODUCT(('Control Mapping'!$C$5:$C$83=D400)*'Control Mapping'!$E$5:$E$83*'Control Mapping'!$Z$5:$Z$83)/SUMPRODUCT(('Control Mapping'!$C$5:$C$83=D400)*'Control Mapping'!$E$5:$E$83*('Control Mapping'!$Z$5:$Z$83&gt;0)),""))</f>
        <v>1.85714285714286</v>
      </c>
      <c r="M400" s="34" t="n">
        <f aca="false">IF(NOT(ISNUMBER($G400)),"",IF(J400=0,4,MAX(MATCH(L400,'Residual Config'!$E$11:$E$14,1),IF(K400&gt;0,'Residual Config'!$C$7,1))))</f>
        <v>2</v>
      </c>
      <c r="N400" s="7" t="str">
        <f aca="false">IF(NOT(ISNUMBER($G400)),"",IF(J400=0,"Ineffective (no key control)",INDEX('Residual Config'!$B$11:$B$14,M400)))</f>
        <v>Largely effective</v>
      </c>
      <c r="O400" s="36" t="n">
        <f aca="false">IF(NOT(ISNUMBER($G400)),"",IF(J400=0,0,SUMPRODUCT(('Control Mapping'!$C$5:$C$83=D400)*'Control Mapping'!$E$5:$E$83*(('Control Mapping'!$Z$5:$Z$83=1)*'Residual Config'!$D$11+('Control Mapping'!$Z$5:$Z$83=2)*'Residual Config'!$D$12+('Control Mapping'!$Z$5:$Z$83=3)*'Residual Config'!$D$13+('Control Mapping'!$Z$5:$Z$83=4)*'Residual Config'!$D$14))/SUMPRODUCT(('Control Mapping'!$C$5:$C$83=D400)*'Control Mapping'!$E$5:$E$83*('Control Mapping'!$Z$5:$Z$83&gt;0))))</f>
        <v>0.428571428571429</v>
      </c>
      <c r="P400" s="31" t="n">
        <f aca="false">IF(NOT(ISNUMBER($G400)),"",INDEX('Residual Config'!$B$19:$E$23,6-G400,M400))</f>
        <v>2</v>
      </c>
      <c r="Q400" s="29" t="n">
        <f aca="false">IF(NOT(ISNUMBER($G400)),"",MAX(1,F400*(1-O400)))</f>
        <v>1.71428571428571</v>
      </c>
      <c r="R400" s="31" t="n">
        <f aca="false">IF(NOT(ISNUMBER($G400)),"",MAX(MATCH(Q400,Config!$D$5:$D$9,1),G400-'Residual Config'!$C$6))</f>
        <v>1</v>
      </c>
      <c r="S400" s="34" t="n">
        <f aca="false">IF(NOT(ISNUMBER($G400)),"",IF('Residual Config'!$C$5="Numeric",R400,P400))</f>
        <v>2</v>
      </c>
      <c r="T400" s="7" t="str">
        <f aca="false">IF(G400="N/A","N/A",IF(S400="","No data",INDEX(Config!$B$5:$B$9,S400)))</f>
        <v>Medium-Low</v>
      </c>
      <c r="U400" s="32" t="n">
        <v>0</v>
      </c>
      <c r="V400" s="8"/>
      <c r="W400" s="33"/>
      <c r="X400" s="34" t="n">
        <f aca="false">IF(S400="","",IF(AND(W400="Y",U400&lt;&gt;0),MAX(1,MIN(5,S400+MAX(-Config!$C$27,MIN(Config!$C$27,U400)))),S400))</f>
        <v>2</v>
      </c>
      <c r="Y400" s="35" t="str">
        <f aca="false">IF(G400="N/A","N/A",IF(X400="","No data",INDEX(Config!$B$5:$B$9,X400)))</f>
        <v>Medium-Low</v>
      </c>
      <c r="Z400" s="7" t="str">
        <f aca="false">IF(U400=0,"None",IF(W400="Y","Applied","Pending HO approval"))</f>
        <v>None</v>
      </c>
      <c r="AA400" s="12" t="str">
        <f aca="false">INDEX('Risk Taxonomy'!$G$5:$G$24,MATCH(D400,'Risk Taxonomy'!$A$5:$A$24,0))</f>
        <v>Very low</v>
      </c>
      <c r="AB400" s="7" t="str">
        <f aca="false">INDEX('Risk Taxonomy'!$H$5:$H$24,MATCH(D400,'Risk Taxonomy'!$A$5:$A$24,0))</f>
        <v>Medium-Low</v>
      </c>
      <c r="AC400" s="35" t="str">
        <f aca="false">IF(NOT(ISNUMBER(X400)),"",IF(X400&lt;=MATCH(AB400,Config!$B$5:$B$9,0),"Within",IF(OR(X400-MATCH(AB400,Config!$B$5:$B$9,0)&gt;=2,AND('Residual Config'!$C$8="Y",ISNUMBER(SEARCH("Zero",AA400)))),"Red","Amber")))</f>
        <v>Within</v>
      </c>
      <c r="AD400" s="12" t="str">
        <f aca="false">IF(AC400="Red","Group CCO / CRO and Country CEO within 2 business days; action plan in 15 days; report to Board Risk &amp; Compliance Committee",IF(AC400="Amber","Country CO, risk owner and HO Administrator within 5 business days; action plan in 30 days",""))</f>
        <v/>
      </c>
    </row>
    <row r="401" customFormat="false" ht="15" hidden="false" customHeight="false" outlineLevel="0" collapsed="false">
      <c r="A401" s="26" t="str">
        <f aca="false">Entities!$A$24</f>
        <v>TN</v>
      </c>
      <c r="B401" s="12" t="str">
        <f aca="false">INDEX(Entities!$B$5:$B$34,MATCH(A401,Entities!$A$5:$A$34,0))</f>
        <v>Arab Tunisian Bank</v>
      </c>
      <c r="C401" s="12" t="str">
        <f aca="false">INDEX(Entities!$D$5:$D$34,MATCH(A401,Entities!$A$5:$A$34,0))</f>
        <v>North Africa</v>
      </c>
      <c r="D401" s="12" t="s">
        <v>313</v>
      </c>
      <c r="E401" s="12" t="str">
        <f aca="false">INDEX('Risk Taxonomy'!$B$5:$B$24,MATCH(D401,'Risk Taxonomy'!$A$5:$A$24,0))</f>
        <v>Third-party and outsourcing</v>
      </c>
      <c r="F401" s="29" t="n">
        <f aca="false">IF(NOT(ISNUMBER(G401)),"",G401)</f>
        <v>3</v>
      </c>
      <c r="G401" s="34" t="n">
        <f aca="false">IF(COUNTIFS('LxI Assessment'!$A$5:$A$394,A401,'LxI Assessment'!$D$5:$D$394,D401,'LxI Assessment'!$F$5:$F$394,"N/A")&gt;0,"N/A",IF(COUNTIFS('LxI Assessment'!$A$5:$A$394,A401,'LxI Assessment'!$D$5:$D$394,D401,'LxI Assessment'!$S$5:$S$394,"&gt;0")=0,"",SUMIFS('LxI Assessment'!$S$5:$S$394,'LxI Assessment'!$A$5:$A$394,A401,'LxI Assessment'!$D$5:$D$394,D401)))</f>
        <v>3</v>
      </c>
      <c r="H401" s="7" t="str">
        <f aca="false">IF(G401="N/A","N/A",IF(G401="","No data",INDEX(Config!$B$5:$B$9,G401)))</f>
        <v>Medium</v>
      </c>
      <c r="I401" s="31" t="n">
        <f aca="false">IF(NOT(ISNUMBER($G401)),"",SUMPRODUCT(('Control Mapping'!$C$5:$C$83=D401)*('Control Mapping'!$Z$5:$Z$83&gt;0)))</f>
        <v>2</v>
      </c>
      <c r="J401" s="31" t="n">
        <f aca="false">IF(NOT(ISNUMBER($G401)),"",SUMPRODUCT(('Control Mapping'!$C$5:$C$83=D401)*('Control Mapping'!$F$5:$F$83="Y")*('Control Mapping'!$Z$5:$Z$83&gt;0)))</f>
        <v>2</v>
      </c>
      <c r="K401" s="31" t="n">
        <f aca="false">IF(NOT(ISNUMBER($G401)),"",SUMPRODUCT(('Control Mapping'!$C$5:$C$83=D401)*('Control Mapping'!$F$5:$F$83="Y")*('Control Mapping'!$Z$5:$Z$83=4)))</f>
        <v>1</v>
      </c>
      <c r="L401" s="29" t="n">
        <f aca="false">IF(NOT(ISNUMBER($G401)),"",IFERROR(SUMPRODUCT(('Control Mapping'!$C$5:$C$83=D401)*'Control Mapping'!$E$5:$E$83*'Control Mapping'!$Z$5:$Z$83)/SUMPRODUCT(('Control Mapping'!$C$5:$C$83=D401)*'Control Mapping'!$E$5:$E$83*('Control Mapping'!$Z$5:$Z$83&gt;0)),""))</f>
        <v>3.5</v>
      </c>
      <c r="M401" s="34" t="n">
        <f aca="false">IF(NOT(ISNUMBER($G401)),"",IF(J401=0,4,MAX(MATCH(L401,'Residual Config'!$E$11:$E$14,1),IF(K401&gt;0,'Residual Config'!$C$7,1))))</f>
        <v>4</v>
      </c>
      <c r="N401" s="7" t="str">
        <f aca="false">IF(NOT(ISNUMBER($G401)),"",IF(J401=0,"Ineffective (no key control)",INDEX('Residual Config'!$B$11:$B$14,M401)))</f>
        <v>Ineffective</v>
      </c>
      <c r="O401" s="36" t="n">
        <f aca="false">IF(NOT(ISNUMBER($G401)),"",IF(J401=0,0,SUMPRODUCT(('Control Mapping'!$C$5:$C$83=D401)*'Control Mapping'!$E$5:$E$83*(('Control Mapping'!$Z$5:$Z$83=1)*'Residual Config'!$D$11+('Control Mapping'!$Z$5:$Z$83=2)*'Residual Config'!$D$12+('Control Mapping'!$Z$5:$Z$83=3)*'Residual Config'!$D$13+('Control Mapping'!$Z$5:$Z$83=4)*'Residual Config'!$D$14))/SUMPRODUCT(('Control Mapping'!$C$5:$C$83=D401)*'Control Mapping'!$E$5:$E$83*('Control Mapping'!$Z$5:$Z$83&gt;0))))</f>
        <v>0.1</v>
      </c>
      <c r="P401" s="31" t="n">
        <f aca="false">IF(NOT(ISNUMBER($G401)),"",INDEX('Residual Config'!$B$19:$E$23,6-G401,M401))</f>
        <v>3</v>
      </c>
      <c r="Q401" s="29" t="n">
        <f aca="false">IF(NOT(ISNUMBER($G401)),"",MAX(1,F401*(1-O401)))</f>
        <v>2.7</v>
      </c>
      <c r="R401" s="31" t="n">
        <f aca="false">IF(NOT(ISNUMBER($G401)),"",MAX(MATCH(Q401,Config!$D$5:$D$9,1),G401-'Residual Config'!$C$6))</f>
        <v>3</v>
      </c>
      <c r="S401" s="34" t="n">
        <f aca="false">IF(NOT(ISNUMBER($G401)),"",IF('Residual Config'!$C$5="Numeric",R401,P401))</f>
        <v>3</v>
      </c>
      <c r="T401" s="7" t="str">
        <f aca="false">IF(G401="N/A","N/A",IF(S401="","No data",INDEX(Config!$B$5:$B$9,S401)))</f>
        <v>Medium</v>
      </c>
      <c r="U401" s="32" t="n">
        <v>0</v>
      </c>
      <c r="V401" s="8"/>
      <c r="W401" s="33"/>
      <c r="X401" s="34" t="n">
        <f aca="false">IF(S401="","",IF(AND(W401="Y",U401&lt;&gt;0),MAX(1,MIN(5,S401+MAX(-Config!$C$27,MIN(Config!$C$27,U401)))),S401))</f>
        <v>3</v>
      </c>
      <c r="Y401" s="35" t="str">
        <f aca="false">IF(G401="N/A","N/A",IF(X401="","No data",INDEX(Config!$B$5:$B$9,X401)))</f>
        <v>Medium</v>
      </c>
      <c r="Z401" s="7" t="str">
        <f aca="false">IF(U401=0,"None",IF(W401="Y","Applied","Pending HO approval"))</f>
        <v>None</v>
      </c>
      <c r="AA401" s="12" t="str">
        <f aca="false">INDEX('Risk Taxonomy'!$G$5:$G$24,MATCH(D401,'Risk Taxonomy'!$A$5:$A$24,0))</f>
        <v>Low</v>
      </c>
      <c r="AB401" s="7" t="str">
        <f aca="false">INDEX('Risk Taxonomy'!$H$5:$H$24,MATCH(D401,'Risk Taxonomy'!$A$5:$A$24,0))</f>
        <v>Medium</v>
      </c>
      <c r="AC401" s="35" t="str">
        <f aca="false">IF(NOT(ISNUMBER(X401)),"",IF(X401&lt;=MATCH(AB401,Config!$B$5:$B$9,0),"Within",IF(OR(X401-MATCH(AB401,Config!$B$5:$B$9,0)&gt;=2,AND('Residual Config'!$C$8="Y",ISNUMBER(SEARCH("Zero",AA401)))),"Red","Amber")))</f>
        <v>Within</v>
      </c>
      <c r="AD401" s="12" t="str">
        <f aca="false">IF(AC401="Red","Group CCO / CRO and Country CEO within 2 business days; action plan in 15 days; report to Board Risk &amp; Compliance Committee",IF(AC401="Amber","Country CO, risk owner and HO Administrator within 5 business days; action plan in 30 days",""))</f>
        <v/>
      </c>
    </row>
    <row r="402" customFormat="false" ht="15" hidden="false" customHeight="false" outlineLevel="0" collapsed="false">
      <c r="A402" s="26" t="str">
        <f aca="false">Entities!$A$24</f>
        <v>TN</v>
      </c>
      <c r="B402" s="12" t="str">
        <f aca="false">INDEX(Entities!$B$5:$B$34,MATCH(A402,Entities!$A$5:$A$34,0))</f>
        <v>Arab Tunisian Bank</v>
      </c>
      <c r="C402" s="12" t="str">
        <f aca="false">INDEX(Entities!$D$5:$D$34,MATCH(A402,Entities!$A$5:$A$34,0))</f>
        <v>North Africa</v>
      </c>
      <c r="D402" s="12" t="s">
        <v>316</v>
      </c>
      <c r="E402" s="12" t="str">
        <f aca="false">INDEX('Risk Taxonomy'!$B$5:$B$24,MATCH(D402,'Risk Taxonomy'!$A$5:$A$24,0))</f>
        <v>Legal and litigation</v>
      </c>
      <c r="F402" s="29" t="n">
        <f aca="false">IF(NOT(ISNUMBER(G402)),"",G402)</f>
        <v>1</v>
      </c>
      <c r="G402" s="34" t="n">
        <f aca="false">IF(COUNTIFS('LxI Assessment'!$A$5:$A$394,A402,'LxI Assessment'!$D$5:$D$394,D402,'LxI Assessment'!$F$5:$F$394,"N/A")&gt;0,"N/A",IF(COUNTIFS('LxI Assessment'!$A$5:$A$394,A402,'LxI Assessment'!$D$5:$D$394,D402,'LxI Assessment'!$S$5:$S$394,"&gt;0")=0,"",SUMIFS('LxI Assessment'!$S$5:$S$394,'LxI Assessment'!$A$5:$A$394,A402,'LxI Assessment'!$D$5:$D$394,D402)))</f>
        <v>1</v>
      </c>
      <c r="H402" s="7" t="str">
        <f aca="false">IF(G402="N/A","N/A",IF(G402="","No data",INDEX(Config!$B$5:$B$9,G402)))</f>
        <v>Low</v>
      </c>
      <c r="I402" s="31" t="n">
        <f aca="false">IF(NOT(ISNUMBER($G402)),"",SUMPRODUCT(('Control Mapping'!$C$5:$C$83=D402)*('Control Mapping'!$Z$5:$Z$83&gt;0)))</f>
        <v>1</v>
      </c>
      <c r="J402" s="31" t="n">
        <f aca="false">IF(NOT(ISNUMBER($G402)),"",SUMPRODUCT(('Control Mapping'!$C$5:$C$83=D402)*('Control Mapping'!$F$5:$F$83="Y")*('Control Mapping'!$Z$5:$Z$83&gt;0)))</f>
        <v>1</v>
      </c>
      <c r="K402" s="31" t="n">
        <f aca="false">IF(NOT(ISNUMBER($G402)),"",SUMPRODUCT(('Control Mapping'!$C$5:$C$83=D402)*('Control Mapping'!$F$5:$F$83="Y")*('Control Mapping'!$Z$5:$Z$83=4)))</f>
        <v>0</v>
      </c>
      <c r="L402" s="29" t="n">
        <f aca="false">IF(NOT(ISNUMBER($G402)),"",IFERROR(SUMPRODUCT(('Control Mapping'!$C$5:$C$83=D402)*'Control Mapping'!$E$5:$E$83*'Control Mapping'!$Z$5:$Z$83)/SUMPRODUCT(('Control Mapping'!$C$5:$C$83=D402)*'Control Mapping'!$E$5:$E$83*('Control Mapping'!$Z$5:$Z$83&gt;0)),""))</f>
        <v>1</v>
      </c>
      <c r="M402" s="34" t="n">
        <f aca="false">IF(NOT(ISNUMBER($G402)),"",IF(J402=0,4,MAX(MATCH(L402,'Residual Config'!$E$11:$E$14,1),IF(K402&gt;0,'Residual Config'!$C$7,1))))</f>
        <v>1</v>
      </c>
      <c r="N402" s="7" t="str">
        <f aca="false">IF(NOT(ISNUMBER($G402)),"",IF(J402=0,"Ineffective (no key control)",INDEX('Residual Config'!$B$11:$B$14,M402)))</f>
        <v>Effective</v>
      </c>
      <c r="O402" s="36" t="n">
        <f aca="false">IF(NOT(ISNUMBER($G402)),"",IF(J402=0,0,SUMPRODUCT(('Control Mapping'!$C$5:$C$83=D402)*'Control Mapping'!$E$5:$E$83*(('Control Mapping'!$Z$5:$Z$83=1)*'Residual Config'!$D$11+('Control Mapping'!$Z$5:$Z$83=2)*'Residual Config'!$D$12+('Control Mapping'!$Z$5:$Z$83=3)*'Residual Config'!$D$13+('Control Mapping'!$Z$5:$Z$83=4)*'Residual Config'!$D$14))/SUMPRODUCT(('Control Mapping'!$C$5:$C$83=D402)*'Control Mapping'!$E$5:$E$83*('Control Mapping'!$Z$5:$Z$83&gt;0))))</f>
        <v>0.6</v>
      </c>
      <c r="P402" s="31" t="n">
        <f aca="false">IF(NOT(ISNUMBER($G402)),"",INDEX('Residual Config'!$B$19:$E$23,6-G402,M402))</f>
        <v>1</v>
      </c>
      <c r="Q402" s="29" t="n">
        <f aca="false">IF(NOT(ISNUMBER($G402)),"",MAX(1,F402*(1-O402)))</f>
        <v>1</v>
      </c>
      <c r="R402" s="31" t="n">
        <f aca="false">IF(NOT(ISNUMBER($G402)),"",MAX(MATCH(Q402,Config!$D$5:$D$9,1),G402-'Residual Config'!$C$6))</f>
        <v>1</v>
      </c>
      <c r="S402" s="34" t="n">
        <f aca="false">IF(NOT(ISNUMBER($G402)),"",IF('Residual Config'!$C$5="Numeric",R402,P402))</f>
        <v>1</v>
      </c>
      <c r="T402" s="7" t="str">
        <f aca="false">IF(G402="N/A","N/A",IF(S402="","No data",INDEX(Config!$B$5:$B$9,S402)))</f>
        <v>Low</v>
      </c>
      <c r="U402" s="32" t="n">
        <v>0</v>
      </c>
      <c r="V402" s="8"/>
      <c r="W402" s="33"/>
      <c r="X402" s="34" t="n">
        <f aca="false">IF(S402="","",IF(AND(W402="Y",U402&lt;&gt;0),MAX(1,MIN(5,S402+MAX(-Config!$C$27,MIN(Config!$C$27,U402)))),S402))</f>
        <v>1</v>
      </c>
      <c r="Y402" s="35" t="str">
        <f aca="false">IF(G402="N/A","N/A",IF(X402="","No data",INDEX(Config!$B$5:$B$9,X402)))</f>
        <v>Low</v>
      </c>
      <c r="Z402" s="7" t="str">
        <f aca="false">IF(U402=0,"None",IF(W402="Y","Applied","Pending HO approval"))</f>
        <v>None</v>
      </c>
      <c r="AA402" s="12" t="str">
        <f aca="false">INDEX('Risk Taxonomy'!$G$5:$G$24,MATCH(D402,'Risk Taxonomy'!$A$5:$A$24,0))</f>
        <v>Very low</v>
      </c>
      <c r="AB402" s="7" t="str">
        <f aca="false">INDEX('Risk Taxonomy'!$H$5:$H$24,MATCH(D402,'Risk Taxonomy'!$A$5:$A$24,0))</f>
        <v>Medium-Low</v>
      </c>
      <c r="AC402" s="35" t="str">
        <f aca="false">IF(NOT(ISNUMBER(X402)),"",IF(X402&lt;=MATCH(AB402,Config!$B$5:$B$9,0),"Within",IF(OR(X402-MATCH(AB402,Config!$B$5:$B$9,0)&gt;=2,AND('Residual Config'!$C$8="Y",ISNUMBER(SEARCH("Zero",AA402)))),"Red","Amber")))</f>
        <v>Within</v>
      </c>
      <c r="AD402" s="12" t="str">
        <f aca="false">IF(AC402="Red","Group CCO / CRO and Country CEO within 2 business days; action plan in 15 days; report to Board Risk &amp; Compliance Committee",IF(AC402="Amber","Country CO, risk owner and HO Administrator within 5 business days; action plan in 30 days",""))</f>
        <v/>
      </c>
    </row>
    <row r="403" customFormat="false" ht="15" hidden="false" customHeight="false" outlineLevel="0" collapsed="false">
      <c r="A403" s="26" t="str">
        <f aca="false">Entities!$A$24</f>
        <v>TN</v>
      </c>
      <c r="B403" s="12" t="str">
        <f aca="false">INDEX(Entities!$B$5:$B$34,MATCH(A403,Entities!$A$5:$A$34,0))</f>
        <v>Arab Tunisian Bank</v>
      </c>
      <c r="C403" s="12" t="str">
        <f aca="false">INDEX(Entities!$D$5:$D$34,MATCH(A403,Entities!$A$5:$A$34,0))</f>
        <v>North Africa</v>
      </c>
      <c r="D403" s="12" t="s">
        <v>319</v>
      </c>
      <c r="E403" s="12" t="str">
        <f aca="false">INDEX('Risk Taxonomy'!$B$5:$B$24,MATCH(D403,'Risk Taxonomy'!$A$5:$A$24,0))</f>
        <v>Reputational</v>
      </c>
      <c r="F403" s="29" t="n">
        <f aca="false">IF(NOT(ISNUMBER(G403)),"",G403)</f>
        <v>3</v>
      </c>
      <c r="G403" s="34" t="n">
        <f aca="false">IF(COUNTIFS('LxI Assessment'!$A$5:$A$394,A403,'LxI Assessment'!$D$5:$D$394,D403,'LxI Assessment'!$F$5:$F$394,"N/A")&gt;0,"N/A",IF(COUNTIFS('LxI Assessment'!$A$5:$A$394,A403,'LxI Assessment'!$D$5:$D$394,D403,'LxI Assessment'!$S$5:$S$394,"&gt;0")=0,"",SUMIFS('LxI Assessment'!$S$5:$S$394,'LxI Assessment'!$A$5:$A$394,A403,'LxI Assessment'!$D$5:$D$394,D403)))</f>
        <v>3</v>
      </c>
      <c r="H403" s="7" t="str">
        <f aca="false">IF(G403="N/A","N/A",IF(G403="","No data",INDEX(Config!$B$5:$B$9,G403)))</f>
        <v>Medium</v>
      </c>
      <c r="I403" s="31" t="n">
        <f aca="false">IF(NOT(ISNUMBER($G403)),"",SUMPRODUCT(('Control Mapping'!$C$5:$C$83=D403)*('Control Mapping'!$Z$5:$Z$83&gt;0)))</f>
        <v>2</v>
      </c>
      <c r="J403" s="31" t="n">
        <f aca="false">IF(NOT(ISNUMBER($G403)),"",SUMPRODUCT(('Control Mapping'!$C$5:$C$83=D403)*('Control Mapping'!$F$5:$F$83="Y")*('Control Mapping'!$Z$5:$Z$83&gt;0)))</f>
        <v>1</v>
      </c>
      <c r="K403" s="31" t="n">
        <f aca="false">IF(NOT(ISNUMBER($G403)),"",SUMPRODUCT(('Control Mapping'!$C$5:$C$83=D403)*('Control Mapping'!$F$5:$F$83="Y")*('Control Mapping'!$Z$5:$Z$83=4)))</f>
        <v>0</v>
      </c>
      <c r="L403" s="29" t="n">
        <f aca="false">IF(NOT(ISNUMBER($G403)),"",IFERROR(SUMPRODUCT(('Control Mapping'!$C$5:$C$83=D403)*'Control Mapping'!$E$5:$E$83*'Control Mapping'!$Z$5:$Z$83)/SUMPRODUCT(('Control Mapping'!$C$5:$C$83=D403)*'Control Mapping'!$E$5:$E$83*('Control Mapping'!$Z$5:$Z$83&gt;0)),""))</f>
        <v>2</v>
      </c>
      <c r="M403" s="34" t="n">
        <f aca="false">IF(NOT(ISNUMBER($G403)),"",IF(J403=0,4,MAX(MATCH(L403,'Residual Config'!$E$11:$E$14,1),IF(K403&gt;0,'Residual Config'!$C$7,1))))</f>
        <v>2</v>
      </c>
      <c r="N403" s="7" t="str">
        <f aca="false">IF(NOT(ISNUMBER($G403)),"",IF(J403=0,"Ineffective (no key control)",INDEX('Residual Config'!$B$11:$B$14,M403)))</f>
        <v>Largely effective</v>
      </c>
      <c r="O403" s="36" t="n">
        <f aca="false">IF(NOT(ISNUMBER($G403)),"",IF(J403=0,0,SUMPRODUCT(('Control Mapping'!$C$5:$C$83=D403)*'Control Mapping'!$E$5:$E$83*(('Control Mapping'!$Z$5:$Z$83=1)*'Residual Config'!$D$11+('Control Mapping'!$Z$5:$Z$83=2)*'Residual Config'!$D$12+('Control Mapping'!$Z$5:$Z$83=3)*'Residual Config'!$D$13+('Control Mapping'!$Z$5:$Z$83=4)*'Residual Config'!$D$14))/SUMPRODUCT(('Control Mapping'!$C$5:$C$83=D403)*'Control Mapping'!$E$5:$E$83*('Control Mapping'!$Z$5:$Z$83&gt;0))))</f>
        <v>0.4</v>
      </c>
      <c r="P403" s="31" t="n">
        <f aca="false">IF(NOT(ISNUMBER($G403)),"",INDEX('Residual Config'!$B$19:$E$23,6-G403,M403))</f>
        <v>2</v>
      </c>
      <c r="Q403" s="29" t="n">
        <f aca="false">IF(NOT(ISNUMBER($G403)),"",MAX(1,F403*(1-O403)))</f>
        <v>1.8</v>
      </c>
      <c r="R403" s="31" t="n">
        <f aca="false">IF(NOT(ISNUMBER($G403)),"",MAX(MATCH(Q403,Config!$D$5:$D$9,1),G403-'Residual Config'!$C$6))</f>
        <v>1</v>
      </c>
      <c r="S403" s="34" t="n">
        <f aca="false">IF(NOT(ISNUMBER($G403)),"",IF('Residual Config'!$C$5="Numeric",R403,P403))</f>
        <v>2</v>
      </c>
      <c r="T403" s="7" t="str">
        <f aca="false">IF(G403="N/A","N/A",IF(S403="","No data",INDEX(Config!$B$5:$B$9,S403)))</f>
        <v>Medium-Low</v>
      </c>
      <c r="U403" s="32" t="n">
        <v>0</v>
      </c>
      <c r="V403" s="8"/>
      <c r="W403" s="33"/>
      <c r="X403" s="34" t="n">
        <f aca="false">IF(S403="","",IF(AND(W403="Y",U403&lt;&gt;0),MAX(1,MIN(5,S403+MAX(-Config!$C$27,MIN(Config!$C$27,U403)))),S403))</f>
        <v>2</v>
      </c>
      <c r="Y403" s="35" t="str">
        <f aca="false">IF(G403="N/A","N/A",IF(X403="","No data",INDEX(Config!$B$5:$B$9,X403)))</f>
        <v>Medium-Low</v>
      </c>
      <c r="Z403" s="7" t="str">
        <f aca="false">IF(U403=0,"None",IF(W403="Y","Applied","Pending HO approval"))</f>
        <v>None</v>
      </c>
      <c r="AA403" s="12" t="str">
        <f aca="false">INDEX('Risk Taxonomy'!$G$5:$G$24,MATCH(D403,'Risk Taxonomy'!$A$5:$A$24,0))</f>
        <v>Low</v>
      </c>
      <c r="AB403" s="7" t="str">
        <f aca="false">INDEX('Risk Taxonomy'!$H$5:$H$24,MATCH(D403,'Risk Taxonomy'!$A$5:$A$24,0))</f>
        <v>Medium</v>
      </c>
      <c r="AC403" s="35" t="str">
        <f aca="false">IF(NOT(ISNUMBER(X403)),"",IF(X403&lt;=MATCH(AB403,Config!$B$5:$B$9,0),"Within",IF(OR(X403-MATCH(AB403,Config!$B$5:$B$9,0)&gt;=2,AND('Residual Config'!$C$8="Y",ISNUMBER(SEARCH("Zero",AA403)))),"Red","Amber")))</f>
        <v>Within</v>
      </c>
      <c r="AD403" s="12" t="str">
        <f aca="false">IF(AC403="Red","Group CCO / CRO and Country CEO within 2 business days; action plan in 15 days; report to Board Risk &amp; Compliance Committee",IF(AC403="Amber","Country CO, risk owner and HO Administrator within 5 business days; action plan in 30 days",""))</f>
        <v/>
      </c>
    </row>
    <row r="404" customFormat="false" ht="15" hidden="false" customHeight="false" outlineLevel="0" collapsed="false">
      <c r="A404" s="26" t="str">
        <f aca="false">Entities!$A$24</f>
        <v>TN</v>
      </c>
      <c r="B404" s="12" t="str">
        <f aca="false">INDEX(Entities!$B$5:$B$34,MATCH(A404,Entities!$A$5:$A$34,0))</f>
        <v>Arab Tunisian Bank</v>
      </c>
      <c r="C404" s="12" t="str">
        <f aca="false">INDEX(Entities!$D$5:$D$34,MATCH(A404,Entities!$A$5:$A$34,0))</f>
        <v>North Africa</v>
      </c>
      <c r="D404" s="12" t="s">
        <v>322</v>
      </c>
      <c r="E404" s="12" t="str">
        <f aca="false">INDEX('Risk Taxonomy'!$B$5:$B$24,MATCH(D404,'Risk Taxonomy'!$A$5:$A$24,0))</f>
        <v>Strategic, business model and ESG</v>
      </c>
      <c r="F404" s="29" t="n">
        <f aca="false">IF(NOT(ISNUMBER(G404)),"",G404)</f>
        <v>3</v>
      </c>
      <c r="G404" s="34" t="n">
        <f aca="false">IF(COUNTIFS('LxI Assessment'!$A$5:$A$394,A404,'LxI Assessment'!$D$5:$D$394,D404,'LxI Assessment'!$F$5:$F$394,"N/A")&gt;0,"N/A",IF(COUNTIFS('LxI Assessment'!$A$5:$A$394,A404,'LxI Assessment'!$D$5:$D$394,D404,'LxI Assessment'!$S$5:$S$394,"&gt;0")=0,"",SUMIFS('LxI Assessment'!$S$5:$S$394,'LxI Assessment'!$A$5:$A$394,A404,'LxI Assessment'!$D$5:$D$394,D404)))</f>
        <v>3</v>
      </c>
      <c r="H404" s="7" t="str">
        <f aca="false">IF(G404="N/A","N/A",IF(G404="","No data",INDEX(Config!$B$5:$B$9,G404)))</f>
        <v>Medium</v>
      </c>
      <c r="I404" s="31" t="n">
        <f aca="false">IF(NOT(ISNUMBER($G404)),"",SUMPRODUCT(('Control Mapping'!$C$5:$C$83=D404)*('Control Mapping'!$Z$5:$Z$83&gt;0)))</f>
        <v>1</v>
      </c>
      <c r="J404" s="31" t="n">
        <f aca="false">IF(NOT(ISNUMBER($G404)),"",SUMPRODUCT(('Control Mapping'!$C$5:$C$83=D404)*('Control Mapping'!$F$5:$F$83="Y")*('Control Mapping'!$Z$5:$Z$83&gt;0)))</f>
        <v>1</v>
      </c>
      <c r="K404" s="31" t="n">
        <f aca="false">IF(NOT(ISNUMBER($G404)),"",SUMPRODUCT(('Control Mapping'!$C$5:$C$83=D404)*('Control Mapping'!$F$5:$F$83="Y")*('Control Mapping'!$Z$5:$Z$83=4)))</f>
        <v>0</v>
      </c>
      <c r="L404" s="29" t="n">
        <f aca="false">IF(NOT(ISNUMBER($G404)),"",IFERROR(SUMPRODUCT(('Control Mapping'!$C$5:$C$83=D404)*'Control Mapping'!$E$5:$E$83*'Control Mapping'!$Z$5:$Z$83)/SUMPRODUCT(('Control Mapping'!$C$5:$C$83=D404)*'Control Mapping'!$E$5:$E$83*('Control Mapping'!$Z$5:$Z$83&gt;0)),""))</f>
        <v>2</v>
      </c>
      <c r="M404" s="34" t="n">
        <f aca="false">IF(NOT(ISNUMBER($G404)),"",IF(J404=0,4,MAX(MATCH(L404,'Residual Config'!$E$11:$E$14,1),IF(K404&gt;0,'Residual Config'!$C$7,1))))</f>
        <v>2</v>
      </c>
      <c r="N404" s="7" t="str">
        <f aca="false">IF(NOT(ISNUMBER($G404)),"",IF(J404=0,"Ineffective (no key control)",INDEX('Residual Config'!$B$11:$B$14,M404)))</f>
        <v>Largely effective</v>
      </c>
      <c r="O404" s="36" t="n">
        <f aca="false">IF(NOT(ISNUMBER($G404)),"",IF(J404=0,0,SUMPRODUCT(('Control Mapping'!$C$5:$C$83=D404)*'Control Mapping'!$E$5:$E$83*(('Control Mapping'!$Z$5:$Z$83=1)*'Residual Config'!$D$11+('Control Mapping'!$Z$5:$Z$83=2)*'Residual Config'!$D$12+('Control Mapping'!$Z$5:$Z$83=3)*'Residual Config'!$D$13+('Control Mapping'!$Z$5:$Z$83=4)*'Residual Config'!$D$14))/SUMPRODUCT(('Control Mapping'!$C$5:$C$83=D404)*'Control Mapping'!$E$5:$E$83*('Control Mapping'!$Z$5:$Z$83&gt;0))))</f>
        <v>0.4</v>
      </c>
      <c r="P404" s="31" t="n">
        <f aca="false">IF(NOT(ISNUMBER($G404)),"",INDEX('Residual Config'!$B$19:$E$23,6-G404,M404))</f>
        <v>2</v>
      </c>
      <c r="Q404" s="29" t="n">
        <f aca="false">IF(NOT(ISNUMBER($G404)),"",MAX(1,F404*(1-O404)))</f>
        <v>1.8</v>
      </c>
      <c r="R404" s="31" t="n">
        <f aca="false">IF(NOT(ISNUMBER($G404)),"",MAX(MATCH(Q404,Config!$D$5:$D$9,1),G404-'Residual Config'!$C$6))</f>
        <v>1</v>
      </c>
      <c r="S404" s="34" t="n">
        <f aca="false">IF(NOT(ISNUMBER($G404)),"",IF('Residual Config'!$C$5="Numeric",R404,P404))</f>
        <v>2</v>
      </c>
      <c r="T404" s="7" t="str">
        <f aca="false">IF(G404="N/A","N/A",IF(S404="","No data",INDEX(Config!$B$5:$B$9,S404)))</f>
        <v>Medium-Low</v>
      </c>
      <c r="U404" s="32" t="n">
        <v>0</v>
      </c>
      <c r="V404" s="8"/>
      <c r="W404" s="33"/>
      <c r="X404" s="34" t="n">
        <f aca="false">IF(S404="","",IF(AND(W404="Y",U404&lt;&gt;0),MAX(1,MIN(5,S404+MAX(-Config!$C$27,MIN(Config!$C$27,U404)))),S404))</f>
        <v>2</v>
      </c>
      <c r="Y404" s="35" t="str">
        <f aca="false">IF(G404="N/A","N/A",IF(X404="","No data",INDEX(Config!$B$5:$B$9,X404)))</f>
        <v>Medium-Low</v>
      </c>
      <c r="Z404" s="7" t="str">
        <f aca="false">IF(U404=0,"None",IF(W404="Y","Applied","Pending HO approval"))</f>
        <v>None</v>
      </c>
      <c r="AA404" s="12" t="str">
        <f aca="false">INDEX('Risk Taxonomy'!$G$5:$G$24,MATCH(D404,'Risk Taxonomy'!$A$5:$A$24,0))</f>
        <v>Moderate</v>
      </c>
      <c r="AB404" s="7" t="str">
        <f aca="false">INDEX('Risk Taxonomy'!$H$5:$H$24,MATCH(D404,'Risk Taxonomy'!$A$5:$A$24,0))</f>
        <v>Medium-High</v>
      </c>
      <c r="AC404" s="35" t="str">
        <f aca="false">IF(NOT(ISNUMBER(X404)),"",IF(X404&lt;=MATCH(AB404,Config!$B$5:$B$9,0),"Within",IF(OR(X404-MATCH(AB404,Config!$B$5:$B$9,0)&gt;=2,AND('Residual Config'!$C$8="Y",ISNUMBER(SEARCH("Zero",AA404)))),"Red","Amber")))</f>
        <v>Within</v>
      </c>
      <c r="AD404" s="12" t="str">
        <f aca="false">IF(AC404="Red","Group CCO / CRO and Country CEO within 2 business days; action plan in 15 days; report to Board Risk &amp; Compliance Committee",IF(AC404="Amber","Country CO, risk owner and HO Administrator within 5 business days; action plan in 30 days",""))</f>
        <v/>
      </c>
    </row>
    <row r="405" customFormat="false" ht="15" hidden="false" customHeight="false" outlineLevel="0" collapsed="false">
      <c r="A405" s="26" t="str">
        <f aca="false">Entities!$A$25</f>
        <v>SD</v>
      </c>
      <c r="B405" s="12" t="str">
        <f aca="false">INDEX(Entities!$B$5:$B$34,MATCH(A405,Entities!$A$5:$A$34,0))</f>
        <v>Arab Sudanese Bank</v>
      </c>
      <c r="C405" s="12" t="str">
        <f aca="false">INDEX(Entities!$D$5:$D$34,MATCH(A405,Entities!$A$5:$A$34,0))</f>
        <v>North Africa</v>
      </c>
      <c r="D405" s="12" t="s">
        <v>260</v>
      </c>
      <c r="E405" s="12" t="str">
        <f aca="false">INDEX('Risk Taxonomy'!$B$5:$B$24,MATCH(D405,'Risk Taxonomy'!$A$5:$A$24,0))</f>
        <v>Money laundering</v>
      </c>
      <c r="F405" s="29" t="n">
        <f aca="false">IF(NOT(ISNUMBER(G405)),"",IFERROR(IF(MATCH(SUMIFS('FC Calculation'!$N$5:$N$214,'FC Calculation'!$A$5:$A$214,A405,'FC Calculation'!$D$5:$D$214,D405),Config!$D$5:$D$9,1)=G405,SUMIFS('FC Calculation'!$N$5:$N$214,'FC Calculation'!$A$5:$A$214,A405,'FC Calculation'!$D$5:$D$214,D405),G405),G405))</f>
        <v>4.22714285714286</v>
      </c>
      <c r="G405" s="34" t="n">
        <f aca="false">IF(COUNTIFS('FC Calculation'!$A$5:$A$214,A405,'FC Calculation'!$D$5:$D$214,D405,'FC Calculation'!$T$5:$T$214,"&gt;0")=0,"",SUMIFS('FC Calculation'!$T$5:$T$214,'FC Calculation'!$A$5:$A$214,A405,'FC Calculation'!$D$5:$D$214,D405))</f>
        <v>5</v>
      </c>
      <c r="H405" s="7" t="str">
        <f aca="false">IF(G405="N/A","N/A",IF(G405="","No data",INDEX(Config!$B$5:$B$9,G405)))</f>
        <v>High</v>
      </c>
      <c r="I405" s="31" t="n">
        <f aca="false">IF(NOT(ISNUMBER($G405)),"",SUMPRODUCT(('Control Mapping'!$C$5:$C$83=D405)*('Control Mapping'!$AA$5:$AA$83&gt;0)))</f>
        <v>12</v>
      </c>
      <c r="J405" s="31" t="n">
        <f aca="false">IF(NOT(ISNUMBER($G405)),"",SUMPRODUCT(('Control Mapping'!$C$5:$C$83=D405)*('Control Mapping'!$F$5:$F$83="Y")*('Control Mapping'!$AA$5:$AA$83&gt;0)))</f>
        <v>9</v>
      </c>
      <c r="K405" s="31" t="n">
        <f aca="false">IF(NOT(ISNUMBER($G405)),"",SUMPRODUCT(('Control Mapping'!$C$5:$C$83=D405)*('Control Mapping'!$F$5:$F$83="Y")*('Control Mapping'!$AA$5:$AA$83=4)))</f>
        <v>1</v>
      </c>
      <c r="L405" s="29" t="n">
        <f aca="false">IF(NOT(ISNUMBER($G405)),"",IFERROR(SUMPRODUCT(('Control Mapping'!$C$5:$C$83=D405)*'Control Mapping'!$E$5:$E$83*'Control Mapping'!$AA$5:$AA$83)/SUMPRODUCT(('Control Mapping'!$C$5:$C$83=D405)*'Control Mapping'!$E$5:$E$83*('Control Mapping'!$AA$5:$AA$83&gt;0)),""))</f>
        <v>2.56521739130435</v>
      </c>
      <c r="M405" s="34" t="n">
        <f aca="false">IF(NOT(ISNUMBER($G405)),"",IF(J405=0,4,MAX(MATCH(L405,'Residual Config'!$E$11:$E$14,1),IF(K405&gt;0,'Residual Config'!$C$7,1))))</f>
        <v>3</v>
      </c>
      <c r="N405" s="7" t="str">
        <f aca="false">IF(NOT(ISNUMBER($G405)),"",IF(J405=0,"Ineffective (no key control)",INDEX('Residual Config'!$B$11:$B$14,M405)))</f>
        <v>Partially effective</v>
      </c>
      <c r="O405" s="36" t="n">
        <f aca="false">IF(NOT(ISNUMBER($G405)),"",IF(J405=0,0,SUMPRODUCT(('Control Mapping'!$C$5:$C$83=D405)*'Control Mapping'!$E$5:$E$83*(('Control Mapping'!$AA$5:$AA$83=1)*'Residual Config'!$D$11+('Control Mapping'!$AA$5:$AA$83=2)*'Residual Config'!$D$12+('Control Mapping'!$AA$5:$AA$83=3)*'Residual Config'!$D$13+('Control Mapping'!$AA$5:$AA$83=4)*'Residual Config'!$D$14))/SUMPRODUCT(('Control Mapping'!$C$5:$C$83=D405)*'Control Mapping'!$E$5:$E$83*('Control Mapping'!$AA$5:$AA$83&gt;0))))</f>
        <v>0.28695652173913</v>
      </c>
      <c r="P405" s="31" t="n">
        <f aca="false">IF(NOT(ISNUMBER($G405)),"",INDEX('Residual Config'!$B$19:$E$23,6-G405,M405))</f>
        <v>5</v>
      </c>
      <c r="Q405" s="29" t="n">
        <f aca="false">IF(NOT(ISNUMBER($G405)),"",MAX(1,F405*(1-O405)))</f>
        <v>3.01413664596273</v>
      </c>
      <c r="R405" s="31" t="n">
        <f aca="false">IF(NOT(ISNUMBER($G405)),"",MAX(MATCH(Q405,Config!$D$5:$D$9,1),G405-'Residual Config'!$C$6))</f>
        <v>3</v>
      </c>
      <c r="S405" s="34" t="n">
        <f aca="false">IF(NOT(ISNUMBER($G405)),"",IF('Residual Config'!$C$5="Numeric",R405,P405))</f>
        <v>5</v>
      </c>
      <c r="T405" s="7" t="str">
        <f aca="false">IF(G405="N/A","N/A",IF(S405="","No data",INDEX(Config!$B$5:$B$9,S405)))</f>
        <v>High</v>
      </c>
      <c r="U405" s="32" t="n">
        <v>0</v>
      </c>
      <c r="V405" s="8"/>
      <c r="W405" s="33"/>
      <c r="X405" s="34" t="n">
        <f aca="false">IF(S405="","",IF(AND(W405="Y",U405&lt;&gt;0),MAX(1,MIN(5,S405+MAX(-Config!$C$27,MIN(Config!$C$27,U405)))),S405))</f>
        <v>5</v>
      </c>
      <c r="Y405" s="35" t="str">
        <f aca="false">IF(G405="N/A","N/A",IF(X405="","No data",INDEX(Config!$B$5:$B$9,X405)))</f>
        <v>High</v>
      </c>
      <c r="Z405" s="7" t="str">
        <f aca="false">IF(U405=0,"None",IF(W405="Y","Applied","Pending HO approval"))</f>
        <v>None</v>
      </c>
      <c r="AA405" s="12" t="str">
        <f aca="false">INDEX('Risk Taxonomy'!$G$5:$G$24,MATCH(D405,'Risk Taxonomy'!$A$5:$A$24,0))</f>
        <v>Very low</v>
      </c>
      <c r="AB405" s="7" t="str">
        <f aca="false">INDEX('Risk Taxonomy'!$H$5:$H$24,MATCH(D405,'Risk Taxonomy'!$A$5:$A$24,0))</f>
        <v>Medium-Low</v>
      </c>
      <c r="AC405" s="35" t="str">
        <f aca="false">IF(NOT(ISNUMBER(X405)),"",IF(X405&lt;=MATCH(AB405,Config!$B$5:$B$9,0),"Within",IF(OR(X405-MATCH(AB405,Config!$B$5:$B$9,0)&gt;=2,AND('Residual Config'!$C$8="Y",ISNUMBER(SEARCH("Zero",AA405)))),"Red","Amber")))</f>
        <v>Red</v>
      </c>
      <c r="AD405" s="12" t="str">
        <f aca="false">IF(AC405="Red","Group CCO / CRO and Country CEO within 2 business days; action plan in 15 days; report to Board Risk &amp; Compliance Committee",IF(AC405="Amber","Country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406" customFormat="false" ht="15" hidden="false" customHeight="false" outlineLevel="0" collapsed="false">
      <c r="A406" s="26" t="str">
        <f aca="false">Entities!$A$25</f>
        <v>SD</v>
      </c>
      <c r="B406" s="12" t="str">
        <f aca="false">INDEX(Entities!$B$5:$B$34,MATCH(A406,Entities!$A$5:$A$34,0))</f>
        <v>Arab Sudanese Bank</v>
      </c>
      <c r="C406" s="12" t="str">
        <f aca="false">INDEX(Entities!$D$5:$D$34,MATCH(A406,Entities!$A$5:$A$34,0))</f>
        <v>North Africa</v>
      </c>
      <c r="D406" s="12" t="s">
        <v>267</v>
      </c>
      <c r="E406" s="12" t="str">
        <f aca="false">INDEX('Risk Taxonomy'!$B$5:$B$24,MATCH(D406,'Risk Taxonomy'!$A$5:$A$24,0))</f>
        <v>Terrorist financing</v>
      </c>
      <c r="F406" s="29" t="n">
        <f aca="false">IF(NOT(ISNUMBER(G406)),"",IFERROR(IF(MATCH(SUMIFS('FC Calculation'!$N$5:$N$214,'FC Calculation'!$A$5:$A$214,A406,'FC Calculation'!$D$5:$D$214,D406),Config!$D$5:$D$9,1)=G406,SUMIFS('FC Calculation'!$N$5:$N$214,'FC Calculation'!$A$5:$A$214,A406,'FC Calculation'!$D$5:$D$214,D406),G406),G406))</f>
        <v>4.33333333333333</v>
      </c>
      <c r="G406" s="34" t="n">
        <f aca="false">IF(COUNTIFS('FC Calculation'!$A$5:$A$214,A406,'FC Calculation'!$D$5:$D$214,D406,'FC Calculation'!$T$5:$T$214,"&gt;0")=0,"",SUMIFS('FC Calculation'!$T$5:$T$214,'FC Calculation'!$A$5:$A$214,A406,'FC Calculation'!$D$5:$D$214,D406))</f>
        <v>5</v>
      </c>
      <c r="H406" s="7" t="str">
        <f aca="false">IF(G406="N/A","N/A",IF(G406="","No data",INDEX(Config!$B$5:$B$9,G406)))</f>
        <v>High</v>
      </c>
      <c r="I406" s="31" t="n">
        <f aca="false">IF(NOT(ISNUMBER($G406)),"",SUMPRODUCT(('Control Mapping'!$C$5:$C$83=D406)*('Control Mapping'!$AA$5:$AA$83&gt;0)))</f>
        <v>12</v>
      </c>
      <c r="J406" s="31" t="n">
        <f aca="false">IF(NOT(ISNUMBER($G406)),"",SUMPRODUCT(('Control Mapping'!$C$5:$C$83=D406)*('Control Mapping'!$F$5:$F$83="Y")*('Control Mapping'!$AA$5:$AA$83&gt;0)))</f>
        <v>9</v>
      </c>
      <c r="K406" s="31" t="n">
        <f aca="false">IF(NOT(ISNUMBER($G406)),"",SUMPRODUCT(('Control Mapping'!$C$5:$C$83=D406)*('Control Mapping'!$F$5:$F$83="Y")*('Control Mapping'!$AA$5:$AA$83=4)))</f>
        <v>1</v>
      </c>
      <c r="L406" s="29" t="n">
        <f aca="false">IF(NOT(ISNUMBER($G406)),"",IFERROR(SUMPRODUCT(('Control Mapping'!$C$5:$C$83=D406)*'Control Mapping'!$E$5:$E$83*'Control Mapping'!$AA$5:$AA$83)/SUMPRODUCT(('Control Mapping'!$C$5:$C$83=D406)*'Control Mapping'!$E$5:$E$83*('Control Mapping'!$AA$5:$AA$83&gt;0)),""))</f>
        <v>2.68421052631579</v>
      </c>
      <c r="M406" s="34" t="n">
        <f aca="false">IF(NOT(ISNUMBER($G406)),"",IF(J406=0,4,MAX(MATCH(L406,'Residual Config'!$E$11:$E$14,1),IF(K406&gt;0,'Residual Config'!$C$7,1))))</f>
        <v>3</v>
      </c>
      <c r="N406" s="7" t="str">
        <f aca="false">IF(NOT(ISNUMBER($G406)),"",IF(J406=0,"Ineffective (no key control)",INDEX('Residual Config'!$B$11:$B$14,M406)))</f>
        <v>Partially effective</v>
      </c>
      <c r="O406" s="36" t="n">
        <f aca="false">IF(NOT(ISNUMBER($G406)),"",IF(J406=0,0,SUMPRODUCT(('Control Mapping'!$C$5:$C$83=D406)*'Control Mapping'!$E$5:$E$83*(('Control Mapping'!$AA$5:$AA$83=1)*'Residual Config'!$D$11+('Control Mapping'!$AA$5:$AA$83=2)*'Residual Config'!$D$12+('Control Mapping'!$AA$5:$AA$83=3)*'Residual Config'!$D$13+('Control Mapping'!$AA$5:$AA$83=4)*'Residual Config'!$D$14))/SUMPRODUCT(('Control Mapping'!$C$5:$C$83=D406)*'Control Mapping'!$E$5:$E$83*('Control Mapping'!$AA$5:$AA$83&gt;0))))</f>
        <v>0.263157894736842</v>
      </c>
      <c r="P406" s="31" t="n">
        <f aca="false">IF(NOT(ISNUMBER($G406)),"",INDEX('Residual Config'!$B$19:$E$23,6-G406,M406))</f>
        <v>5</v>
      </c>
      <c r="Q406" s="29" t="n">
        <f aca="false">IF(NOT(ISNUMBER($G406)),"",MAX(1,F406*(1-O406)))</f>
        <v>3.19298245614035</v>
      </c>
      <c r="R406" s="31" t="n">
        <f aca="false">IF(NOT(ISNUMBER($G406)),"",MAX(MATCH(Q406,Config!$D$5:$D$9,1),G406-'Residual Config'!$C$6))</f>
        <v>3</v>
      </c>
      <c r="S406" s="34" t="n">
        <f aca="false">IF(NOT(ISNUMBER($G406)),"",IF('Residual Config'!$C$5="Numeric",R406,P406))</f>
        <v>5</v>
      </c>
      <c r="T406" s="7" t="str">
        <f aca="false">IF(G406="N/A","N/A",IF(S406="","No data",INDEX(Config!$B$5:$B$9,S406)))</f>
        <v>High</v>
      </c>
      <c r="U406" s="32" t="n">
        <v>0</v>
      </c>
      <c r="V406" s="8"/>
      <c r="W406" s="33"/>
      <c r="X406" s="34" t="n">
        <f aca="false">IF(S406="","",IF(AND(W406="Y",U406&lt;&gt;0),MAX(1,MIN(5,S406+MAX(-Config!$C$27,MIN(Config!$C$27,U406)))),S406))</f>
        <v>5</v>
      </c>
      <c r="Y406" s="35" t="str">
        <f aca="false">IF(G406="N/A","N/A",IF(X406="","No data",INDEX(Config!$B$5:$B$9,X406)))</f>
        <v>High</v>
      </c>
      <c r="Z406" s="7" t="str">
        <f aca="false">IF(U406=0,"None",IF(W406="Y","Applied","Pending HO approval"))</f>
        <v>None</v>
      </c>
      <c r="AA406" s="12" t="str">
        <f aca="false">INDEX('Risk Taxonomy'!$G$5:$G$24,MATCH(D406,'Risk Taxonomy'!$A$5:$A$24,0))</f>
        <v>Zero tolerance</v>
      </c>
      <c r="AB406" s="7" t="str">
        <f aca="false">INDEX('Risk Taxonomy'!$H$5:$H$24,MATCH(D406,'Risk Taxonomy'!$A$5:$A$24,0))</f>
        <v>Low</v>
      </c>
      <c r="AC406" s="35" t="str">
        <f aca="false">IF(NOT(ISNUMBER(X406)),"",IF(X406&lt;=MATCH(AB406,Config!$B$5:$B$9,0),"Within",IF(OR(X406-MATCH(AB406,Config!$B$5:$B$9,0)&gt;=2,AND('Residual Config'!$C$8="Y",ISNUMBER(SEARCH("Zero",AA406)))),"Red","Amber")))</f>
        <v>Red</v>
      </c>
      <c r="AD406" s="12" t="str">
        <f aca="false">IF(AC406="Red","Group CCO / CRO and Country CEO within 2 business days; action plan in 15 days; report to Board Risk &amp; Compliance Committee",IF(AC406="Amber","Country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407" customFormat="false" ht="15" hidden="false" customHeight="false" outlineLevel="0" collapsed="false">
      <c r="A407" s="26" t="str">
        <f aca="false">Entities!$A$25</f>
        <v>SD</v>
      </c>
      <c r="B407" s="12" t="str">
        <f aca="false">INDEX(Entities!$B$5:$B$34,MATCH(A407,Entities!$A$5:$A$34,0))</f>
        <v>Arab Sudanese Bank</v>
      </c>
      <c r="C407" s="12" t="str">
        <f aca="false">INDEX(Entities!$D$5:$D$34,MATCH(A407,Entities!$A$5:$A$34,0))</f>
        <v>North Africa</v>
      </c>
      <c r="D407" s="12" t="s">
        <v>270</v>
      </c>
      <c r="E407" s="12" t="str">
        <f aca="false">INDEX('Risk Taxonomy'!$B$5:$B$24,MATCH(D407,'Risk Taxonomy'!$A$5:$A$24,0))</f>
        <v>Proliferation financing</v>
      </c>
      <c r="F407" s="29" t="n">
        <f aca="false">IF(NOT(ISNUMBER(G407)),"",IFERROR(IF(MATCH(SUMIFS('FC Calculation'!$N$5:$N$214,'FC Calculation'!$A$5:$A$214,A407,'FC Calculation'!$D$5:$D$214,D407),Config!$D$5:$D$9,1)=G407,SUMIFS('FC Calculation'!$N$5:$N$214,'FC Calculation'!$A$5:$A$214,A407,'FC Calculation'!$D$5:$D$214,D407),G407),G407))</f>
        <v>4.15416666666667</v>
      </c>
      <c r="G407" s="34" t="n">
        <f aca="false">IF(COUNTIFS('FC Calculation'!$A$5:$A$214,A407,'FC Calculation'!$D$5:$D$214,D407,'FC Calculation'!$T$5:$T$214,"&gt;0")=0,"",SUMIFS('FC Calculation'!$T$5:$T$214,'FC Calculation'!$A$5:$A$214,A407,'FC Calculation'!$D$5:$D$214,D407))</f>
        <v>4</v>
      </c>
      <c r="H407" s="7" t="str">
        <f aca="false">IF(G407="N/A","N/A",IF(G407="","No data",INDEX(Config!$B$5:$B$9,G407)))</f>
        <v>Medium-High</v>
      </c>
      <c r="I407" s="31" t="n">
        <f aca="false">IF(NOT(ISNUMBER($G407)),"",SUMPRODUCT(('Control Mapping'!$C$5:$C$83=D407)*('Control Mapping'!$AA$5:$AA$83&gt;0)))</f>
        <v>5</v>
      </c>
      <c r="J407" s="31" t="n">
        <f aca="false">IF(NOT(ISNUMBER($G407)),"",SUMPRODUCT(('Control Mapping'!$C$5:$C$83=D407)*('Control Mapping'!$F$5:$F$83="Y")*('Control Mapping'!$AA$5:$AA$83&gt;0)))</f>
        <v>5</v>
      </c>
      <c r="K407" s="31" t="n">
        <f aca="false">IF(NOT(ISNUMBER($G407)),"",SUMPRODUCT(('Control Mapping'!$C$5:$C$83=D407)*('Control Mapping'!$F$5:$F$83="Y")*('Control Mapping'!$AA$5:$AA$83=4)))</f>
        <v>0</v>
      </c>
      <c r="L407" s="29" t="n">
        <f aca="false">IF(NOT(ISNUMBER($G407)),"",IFERROR(SUMPRODUCT(('Control Mapping'!$C$5:$C$83=D407)*'Control Mapping'!$E$5:$E$83*'Control Mapping'!$AA$5:$AA$83)/SUMPRODUCT(('Control Mapping'!$C$5:$C$83=D407)*'Control Mapping'!$E$5:$E$83*('Control Mapping'!$AA$5:$AA$83&gt;0)),""))</f>
        <v>2.4</v>
      </c>
      <c r="M407" s="34" t="n">
        <f aca="false">IF(NOT(ISNUMBER($G407)),"",IF(J407=0,4,MAX(MATCH(L407,'Residual Config'!$E$11:$E$14,1),IF(K407&gt;0,'Residual Config'!$C$7,1))))</f>
        <v>2</v>
      </c>
      <c r="N407" s="7" t="str">
        <f aca="false">IF(NOT(ISNUMBER($G407)),"",IF(J407=0,"Ineffective (no key control)",INDEX('Residual Config'!$B$11:$B$14,M407)))</f>
        <v>Largely effective</v>
      </c>
      <c r="O407" s="36" t="n">
        <f aca="false">IF(NOT(ISNUMBER($G407)),"",IF(J407=0,0,SUMPRODUCT(('Control Mapping'!$C$5:$C$83=D407)*'Control Mapping'!$E$5:$E$83*(('Control Mapping'!$AA$5:$AA$83=1)*'Residual Config'!$D$11+('Control Mapping'!$AA$5:$AA$83=2)*'Residual Config'!$D$12+('Control Mapping'!$AA$5:$AA$83=3)*'Residual Config'!$D$13+('Control Mapping'!$AA$5:$AA$83=4)*'Residual Config'!$D$14))/SUMPRODUCT(('Control Mapping'!$C$5:$C$83=D407)*'Control Mapping'!$E$5:$E$83*('Control Mapping'!$AA$5:$AA$83&gt;0))))</f>
        <v>0.32</v>
      </c>
      <c r="P407" s="31" t="n">
        <f aca="false">IF(NOT(ISNUMBER($G407)),"",INDEX('Residual Config'!$B$19:$E$23,6-G407,M407))</f>
        <v>3</v>
      </c>
      <c r="Q407" s="29" t="n">
        <f aca="false">IF(NOT(ISNUMBER($G407)),"",MAX(1,F407*(1-O407)))</f>
        <v>2.82483333333333</v>
      </c>
      <c r="R407" s="31" t="n">
        <f aca="false">IF(NOT(ISNUMBER($G407)),"",MAX(MATCH(Q407,Config!$D$5:$D$9,1),G407-'Residual Config'!$C$6))</f>
        <v>3</v>
      </c>
      <c r="S407" s="34" t="n">
        <f aca="false">IF(NOT(ISNUMBER($G407)),"",IF('Residual Config'!$C$5="Numeric",R407,P407))</f>
        <v>3</v>
      </c>
      <c r="T407" s="7" t="str">
        <f aca="false">IF(G407="N/A","N/A",IF(S407="","No data",INDEX(Config!$B$5:$B$9,S407)))</f>
        <v>Medium</v>
      </c>
      <c r="U407" s="32" t="n">
        <v>0</v>
      </c>
      <c r="V407" s="8"/>
      <c r="W407" s="33"/>
      <c r="X407" s="34" t="n">
        <f aca="false">IF(S407="","",IF(AND(W407="Y",U407&lt;&gt;0),MAX(1,MIN(5,S407+MAX(-Config!$C$27,MIN(Config!$C$27,U407)))),S407))</f>
        <v>3</v>
      </c>
      <c r="Y407" s="35" t="str">
        <f aca="false">IF(G407="N/A","N/A",IF(X407="","No data",INDEX(Config!$B$5:$B$9,X407)))</f>
        <v>Medium</v>
      </c>
      <c r="Z407" s="7" t="str">
        <f aca="false">IF(U407=0,"None",IF(W407="Y","Applied","Pending HO approval"))</f>
        <v>None</v>
      </c>
      <c r="AA407" s="12" t="str">
        <f aca="false">INDEX('Risk Taxonomy'!$G$5:$G$24,MATCH(D407,'Risk Taxonomy'!$A$5:$A$24,0))</f>
        <v>Zero tolerance</v>
      </c>
      <c r="AB407" s="7" t="str">
        <f aca="false">INDEX('Risk Taxonomy'!$H$5:$H$24,MATCH(D407,'Risk Taxonomy'!$A$5:$A$24,0))</f>
        <v>Low</v>
      </c>
      <c r="AC407" s="35" t="str">
        <f aca="false">IF(NOT(ISNUMBER(X407)),"",IF(X407&lt;=MATCH(AB407,Config!$B$5:$B$9,0),"Within",IF(OR(X407-MATCH(AB407,Config!$B$5:$B$9,0)&gt;=2,AND('Residual Config'!$C$8="Y",ISNUMBER(SEARCH("Zero",AA407)))),"Red","Amber")))</f>
        <v>Red</v>
      </c>
      <c r="AD407" s="12" t="str">
        <f aca="false">IF(AC407="Red","Group CCO / CRO and Country CEO within 2 business days; action plan in 15 days; report to Board Risk &amp; Compliance Committee",IF(AC407="Amber","Country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408" customFormat="false" ht="15" hidden="false" customHeight="false" outlineLevel="0" collapsed="false">
      <c r="A408" s="26" t="str">
        <f aca="false">Entities!$A$25</f>
        <v>SD</v>
      </c>
      <c r="B408" s="12" t="str">
        <f aca="false">INDEX(Entities!$B$5:$B$34,MATCH(A408,Entities!$A$5:$A$34,0))</f>
        <v>Arab Sudanese Bank</v>
      </c>
      <c r="C408" s="12" t="str">
        <f aca="false">INDEX(Entities!$D$5:$D$34,MATCH(A408,Entities!$A$5:$A$34,0))</f>
        <v>North Africa</v>
      </c>
      <c r="D408" s="12" t="s">
        <v>272</v>
      </c>
      <c r="E408" s="12" t="str">
        <f aca="false">INDEX('Risk Taxonomy'!$B$5:$B$24,MATCH(D408,'Risk Taxonomy'!$A$5:$A$24,0))</f>
        <v>Sanctions</v>
      </c>
      <c r="F408" s="29" t="n">
        <f aca="false">IF(NOT(ISNUMBER(G408)),"",IFERROR(IF(MATCH(SUMIFS('FC Calculation'!$N$5:$N$214,'FC Calculation'!$A$5:$A$214,A408,'FC Calculation'!$D$5:$D$214,D408),Config!$D$5:$D$9,1)=G408,SUMIFS('FC Calculation'!$N$5:$N$214,'FC Calculation'!$A$5:$A$214,A408,'FC Calculation'!$D$5:$D$214,D408),G408),G408))</f>
        <v>4.18761904761905</v>
      </c>
      <c r="G408" s="34" t="n">
        <f aca="false">IF(COUNTIFS('FC Calculation'!$A$5:$A$214,A408,'FC Calculation'!$D$5:$D$214,D408,'FC Calculation'!$T$5:$T$214,"&gt;0")=0,"",SUMIFS('FC Calculation'!$T$5:$T$214,'FC Calculation'!$A$5:$A$214,A408,'FC Calculation'!$D$5:$D$214,D408))</f>
        <v>4</v>
      </c>
      <c r="H408" s="7" t="str">
        <f aca="false">IF(G408="N/A","N/A",IF(G408="","No data",INDEX(Config!$B$5:$B$9,G408)))</f>
        <v>Medium-High</v>
      </c>
      <c r="I408" s="31" t="n">
        <f aca="false">IF(NOT(ISNUMBER($G408)),"",SUMPRODUCT(('Control Mapping'!$C$5:$C$83=D408)*('Control Mapping'!$AA$5:$AA$83&gt;0)))</f>
        <v>8</v>
      </c>
      <c r="J408" s="31" t="n">
        <f aca="false">IF(NOT(ISNUMBER($G408)),"",SUMPRODUCT(('Control Mapping'!$C$5:$C$83=D408)*('Control Mapping'!$F$5:$F$83="Y")*('Control Mapping'!$AA$5:$AA$83&gt;0)))</f>
        <v>5</v>
      </c>
      <c r="K408" s="31" t="n">
        <f aca="false">IF(NOT(ISNUMBER($G408)),"",SUMPRODUCT(('Control Mapping'!$C$5:$C$83=D408)*('Control Mapping'!$F$5:$F$83="Y")*('Control Mapping'!$AA$5:$AA$83=4)))</f>
        <v>0</v>
      </c>
      <c r="L408" s="29" t="n">
        <f aca="false">IF(NOT(ISNUMBER($G408)),"",IFERROR(SUMPRODUCT(('Control Mapping'!$C$5:$C$83=D408)*'Control Mapping'!$E$5:$E$83*'Control Mapping'!$AA$5:$AA$83)/SUMPRODUCT(('Control Mapping'!$C$5:$C$83=D408)*'Control Mapping'!$E$5:$E$83*('Control Mapping'!$AA$5:$AA$83&gt;0)),""))</f>
        <v>2.36363636363636</v>
      </c>
      <c r="M408" s="34" t="n">
        <f aca="false">IF(NOT(ISNUMBER($G408)),"",IF(J408=0,4,MAX(MATCH(L408,'Residual Config'!$E$11:$E$14,1),IF(K408&gt;0,'Residual Config'!$C$7,1))))</f>
        <v>2</v>
      </c>
      <c r="N408" s="7" t="str">
        <f aca="false">IF(NOT(ISNUMBER($G408)),"",IF(J408=0,"Ineffective (no key control)",INDEX('Residual Config'!$B$11:$B$14,M408)))</f>
        <v>Largely effective</v>
      </c>
      <c r="O408" s="36" t="n">
        <f aca="false">IF(NOT(ISNUMBER($G408)),"",IF(J408=0,0,SUMPRODUCT(('Control Mapping'!$C$5:$C$83=D408)*'Control Mapping'!$E$5:$E$83*(('Control Mapping'!$AA$5:$AA$83=1)*'Residual Config'!$D$11+('Control Mapping'!$AA$5:$AA$83=2)*'Residual Config'!$D$12+('Control Mapping'!$AA$5:$AA$83=3)*'Residual Config'!$D$13+('Control Mapping'!$AA$5:$AA$83=4)*'Residual Config'!$D$14))/SUMPRODUCT(('Control Mapping'!$C$5:$C$83=D408)*'Control Mapping'!$E$5:$E$83*('Control Mapping'!$AA$5:$AA$83&gt;0))))</f>
        <v>0.327272727272727</v>
      </c>
      <c r="P408" s="31" t="n">
        <f aca="false">IF(NOT(ISNUMBER($G408)),"",INDEX('Residual Config'!$B$19:$E$23,6-G408,M408))</f>
        <v>3</v>
      </c>
      <c r="Q408" s="29" t="n">
        <f aca="false">IF(NOT(ISNUMBER($G408)),"",MAX(1,F408*(1-O408)))</f>
        <v>2.81712554112554</v>
      </c>
      <c r="R408" s="31" t="n">
        <f aca="false">IF(NOT(ISNUMBER($G408)),"",MAX(MATCH(Q408,Config!$D$5:$D$9,1),G408-'Residual Config'!$C$6))</f>
        <v>3</v>
      </c>
      <c r="S408" s="34" t="n">
        <f aca="false">IF(NOT(ISNUMBER($G408)),"",IF('Residual Config'!$C$5="Numeric",R408,P408))</f>
        <v>3</v>
      </c>
      <c r="T408" s="7" t="str">
        <f aca="false">IF(G408="N/A","N/A",IF(S408="","No data",INDEX(Config!$B$5:$B$9,S408)))</f>
        <v>Medium</v>
      </c>
      <c r="U408" s="32" t="n">
        <v>0</v>
      </c>
      <c r="V408" s="8"/>
      <c r="W408" s="33"/>
      <c r="X408" s="34" t="n">
        <f aca="false">IF(S408="","",IF(AND(W408="Y",U408&lt;&gt;0),MAX(1,MIN(5,S408+MAX(-Config!$C$27,MIN(Config!$C$27,U408)))),S408))</f>
        <v>3</v>
      </c>
      <c r="Y408" s="35" t="str">
        <f aca="false">IF(G408="N/A","N/A",IF(X408="","No data",INDEX(Config!$B$5:$B$9,X408)))</f>
        <v>Medium</v>
      </c>
      <c r="Z408" s="7" t="str">
        <f aca="false">IF(U408=0,"None",IF(W408="Y","Applied","Pending HO approval"))</f>
        <v>None</v>
      </c>
      <c r="AA408" s="12" t="str">
        <f aca="false">INDEX('Risk Taxonomy'!$G$5:$G$24,MATCH(D408,'Risk Taxonomy'!$A$5:$A$24,0))</f>
        <v>Zero tolerance</v>
      </c>
      <c r="AB408" s="7" t="str">
        <f aca="false">INDEX('Risk Taxonomy'!$H$5:$H$24,MATCH(D408,'Risk Taxonomy'!$A$5:$A$24,0))</f>
        <v>Low</v>
      </c>
      <c r="AC408" s="35" t="str">
        <f aca="false">IF(NOT(ISNUMBER(X408)),"",IF(X408&lt;=MATCH(AB408,Config!$B$5:$B$9,0),"Within",IF(OR(X408-MATCH(AB408,Config!$B$5:$B$9,0)&gt;=2,AND('Residual Config'!$C$8="Y",ISNUMBER(SEARCH("Zero",AA408)))),"Red","Amber")))</f>
        <v>Red</v>
      </c>
      <c r="AD408" s="12" t="str">
        <f aca="false">IF(AC408="Red","Group CCO / CRO and Country CEO within 2 business days; action plan in 15 days; report to Board Risk &amp; Compliance Committee",IF(AC408="Amber","Country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409" customFormat="false" ht="15" hidden="false" customHeight="false" outlineLevel="0" collapsed="false">
      <c r="A409" s="26" t="str">
        <f aca="false">Entities!$A$25</f>
        <v>SD</v>
      </c>
      <c r="B409" s="12" t="str">
        <f aca="false">INDEX(Entities!$B$5:$B$34,MATCH(A409,Entities!$A$5:$A$34,0))</f>
        <v>Arab Sudanese Bank</v>
      </c>
      <c r="C409" s="12" t="str">
        <f aca="false">INDEX(Entities!$D$5:$D$34,MATCH(A409,Entities!$A$5:$A$34,0))</f>
        <v>North Africa</v>
      </c>
      <c r="D409" s="12" t="s">
        <v>275</v>
      </c>
      <c r="E409" s="12" t="str">
        <f aca="false">INDEX('Risk Taxonomy'!$B$5:$B$24,MATCH(D409,'Risk Taxonomy'!$A$5:$A$24,0))</f>
        <v>Bribery and corruption</v>
      </c>
      <c r="F409" s="29" t="n">
        <f aca="false">IF(NOT(ISNUMBER(G409)),"",IFERROR(IF(MATCH(SUMIFS('FC Calculation'!$N$5:$N$214,'FC Calculation'!$A$5:$A$214,A409,'FC Calculation'!$D$5:$D$214,D409),Config!$D$5:$D$9,1)=G409,SUMIFS('FC Calculation'!$N$5:$N$214,'FC Calculation'!$A$5:$A$214,A409,'FC Calculation'!$D$5:$D$214,D409),G409),G409))</f>
        <v>4.08666666666667</v>
      </c>
      <c r="G409" s="34" t="n">
        <f aca="false">IF(COUNTIFS('FC Calculation'!$A$5:$A$214,A409,'FC Calculation'!$D$5:$D$214,D409,'FC Calculation'!$T$5:$T$214,"&gt;0")=0,"",SUMIFS('FC Calculation'!$T$5:$T$214,'FC Calculation'!$A$5:$A$214,A409,'FC Calculation'!$D$5:$D$214,D409))</f>
        <v>4</v>
      </c>
      <c r="H409" s="7" t="str">
        <f aca="false">IF(G409="N/A","N/A",IF(G409="","No data",INDEX(Config!$B$5:$B$9,G409)))</f>
        <v>Medium-High</v>
      </c>
      <c r="I409" s="31" t="n">
        <f aca="false">IF(NOT(ISNUMBER($G409)),"",SUMPRODUCT(('Control Mapping'!$C$5:$C$83=D409)*('Control Mapping'!$AA$5:$AA$83&gt;0)))</f>
        <v>5</v>
      </c>
      <c r="J409" s="31" t="n">
        <f aca="false">IF(NOT(ISNUMBER($G409)),"",SUMPRODUCT(('Control Mapping'!$C$5:$C$83=D409)*('Control Mapping'!$F$5:$F$83="Y")*('Control Mapping'!$AA$5:$AA$83&gt;0)))</f>
        <v>2</v>
      </c>
      <c r="K409" s="31" t="n">
        <f aca="false">IF(NOT(ISNUMBER($G409)),"",SUMPRODUCT(('Control Mapping'!$C$5:$C$83=D409)*('Control Mapping'!$F$5:$F$83="Y")*('Control Mapping'!$AA$5:$AA$83=4)))</f>
        <v>0</v>
      </c>
      <c r="L409" s="29" t="n">
        <f aca="false">IF(NOT(ISNUMBER($G409)),"",IFERROR(SUMPRODUCT(('Control Mapping'!$C$5:$C$83=D409)*'Control Mapping'!$E$5:$E$83*'Control Mapping'!$AA$5:$AA$83)/SUMPRODUCT(('Control Mapping'!$C$5:$C$83=D409)*'Control Mapping'!$E$5:$E$83*('Control Mapping'!$AA$5:$AA$83&gt;0)),""))</f>
        <v>2.44444444444444</v>
      </c>
      <c r="M409" s="34" t="n">
        <f aca="false">IF(NOT(ISNUMBER($G409)),"",IF(J409=0,4,MAX(MATCH(L409,'Residual Config'!$E$11:$E$14,1),IF(K409&gt;0,'Residual Config'!$C$7,1))))</f>
        <v>2</v>
      </c>
      <c r="N409" s="7" t="str">
        <f aca="false">IF(NOT(ISNUMBER($G409)),"",IF(J409=0,"Ineffective (no key control)",INDEX('Residual Config'!$B$11:$B$14,M409)))</f>
        <v>Largely effective</v>
      </c>
      <c r="O409" s="36" t="n">
        <f aca="false">IF(NOT(ISNUMBER($G409)),"",IF(J409=0,0,SUMPRODUCT(('Control Mapping'!$C$5:$C$83=D409)*'Control Mapping'!$E$5:$E$83*(('Control Mapping'!$AA$5:$AA$83=1)*'Residual Config'!$D$11+('Control Mapping'!$AA$5:$AA$83=2)*'Residual Config'!$D$12+('Control Mapping'!$AA$5:$AA$83=3)*'Residual Config'!$D$13+('Control Mapping'!$AA$5:$AA$83=4)*'Residual Config'!$D$14))/SUMPRODUCT(('Control Mapping'!$C$5:$C$83=D409)*'Control Mapping'!$E$5:$E$83*('Control Mapping'!$AA$5:$AA$83&gt;0))))</f>
        <v>0.311111111111111</v>
      </c>
      <c r="P409" s="31" t="n">
        <f aca="false">IF(NOT(ISNUMBER($G409)),"",INDEX('Residual Config'!$B$19:$E$23,6-G409,M409))</f>
        <v>3</v>
      </c>
      <c r="Q409" s="29" t="n">
        <f aca="false">IF(NOT(ISNUMBER($G409)),"",MAX(1,F409*(1-O409)))</f>
        <v>2.81525925925926</v>
      </c>
      <c r="R409" s="31" t="n">
        <f aca="false">IF(NOT(ISNUMBER($G409)),"",MAX(MATCH(Q409,Config!$D$5:$D$9,1),G409-'Residual Config'!$C$6))</f>
        <v>3</v>
      </c>
      <c r="S409" s="34" t="n">
        <f aca="false">IF(NOT(ISNUMBER($G409)),"",IF('Residual Config'!$C$5="Numeric",R409,P409))</f>
        <v>3</v>
      </c>
      <c r="T409" s="7" t="str">
        <f aca="false">IF(G409="N/A","N/A",IF(S409="","No data",INDEX(Config!$B$5:$B$9,S409)))</f>
        <v>Medium</v>
      </c>
      <c r="U409" s="32" t="n">
        <v>0</v>
      </c>
      <c r="V409" s="8"/>
      <c r="W409" s="33"/>
      <c r="X409" s="34" t="n">
        <f aca="false">IF(S409="","",IF(AND(W409="Y",U409&lt;&gt;0),MAX(1,MIN(5,S409+MAX(-Config!$C$27,MIN(Config!$C$27,U409)))),S409))</f>
        <v>3</v>
      </c>
      <c r="Y409" s="35" t="str">
        <f aca="false">IF(G409="N/A","N/A",IF(X409="","No data",INDEX(Config!$B$5:$B$9,X409)))</f>
        <v>Medium</v>
      </c>
      <c r="Z409" s="7" t="str">
        <f aca="false">IF(U409=0,"None",IF(W409="Y","Applied","Pending HO approval"))</f>
        <v>None</v>
      </c>
      <c r="AA409" s="12" t="str">
        <f aca="false">INDEX('Risk Taxonomy'!$G$5:$G$24,MATCH(D409,'Risk Taxonomy'!$A$5:$A$24,0))</f>
        <v>Zero tolerance</v>
      </c>
      <c r="AB409" s="7" t="str">
        <f aca="false">INDEX('Risk Taxonomy'!$H$5:$H$24,MATCH(D409,'Risk Taxonomy'!$A$5:$A$24,0))</f>
        <v>Low</v>
      </c>
      <c r="AC409" s="35" t="str">
        <f aca="false">IF(NOT(ISNUMBER(X409)),"",IF(X409&lt;=MATCH(AB409,Config!$B$5:$B$9,0),"Within",IF(OR(X409-MATCH(AB409,Config!$B$5:$B$9,0)&gt;=2,AND('Residual Config'!$C$8="Y",ISNUMBER(SEARCH("Zero",AA409)))),"Red","Amber")))</f>
        <v>Red</v>
      </c>
      <c r="AD409" s="12" t="str">
        <f aca="false">IF(AC409="Red","Group CCO / CRO and Country CEO within 2 business days; action plan in 15 days; report to Board Risk &amp; Compliance Committee",IF(AC409="Amber","Country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410" customFormat="false" ht="15" hidden="false" customHeight="false" outlineLevel="0" collapsed="false">
      <c r="A410" s="26" t="str">
        <f aca="false">Entities!$A$25</f>
        <v>SD</v>
      </c>
      <c r="B410" s="12" t="str">
        <f aca="false">INDEX(Entities!$B$5:$B$34,MATCH(A410,Entities!$A$5:$A$34,0))</f>
        <v>Arab Sudanese Bank</v>
      </c>
      <c r="C410" s="12" t="str">
        <f aca="false">INDEX(Entities!$D$5:$D$34,MATCH(A410,Entities!$A$5:$A$34,0))</f>
        <v>North Africa</v>
      </c>
      <c r="D410" s="12" t="s">
        <v>278</v>
      </c>
      <c r="E410" s="12" t="str">
        <f aca="false">INDEX('Risk Taxonomy'!$B$5:$B$24,MATCH(D410,'Risk Taxonomy'!$A$5:$A$24,0))</f>
        <v>Fraud</v>
      </c>
      <c r="F410" s="29" t="n">
        <f aca="false">IF(NOT(ISNUMBER(G410)),"",IFERROR(IF(MATCH(SUMIFS('FC Calculation'!$N$5:$N$214,'FC Calculation'!$A$5:$A$214,A410,'FC Calculation'!$D$5:$D$214,D410),Config!$D$5:$D$9,1)=G410,SUMIFS('FC Calculation'!$N$5:$N$214,'FC Calculation'!$A$5:$A$214,A410,'FC Calculation'!$D$5:$D$214,D410),G410),G410))</f>
        <v>4.625</v>
      </c>
      <c r="G410" s="34" t="n">
        <f aca="false">IF(COUNTIFS('FC Calculation'!$A$5:$A$214,A410,'FC Calculation'!$D$5:$D$214,D410,'FC Calculation'!$T$5:$T$214,"&gt;0")=0,"",SUMIFS('FC Calculation'!$T$5:$T$214,'FC Calculation'!$A$5:$A$214,A410,'FC Calculation'!$D$5:$D$214,D410))</f>
        <v>5</v>
      </c>
      <c r="H410" s="7" t="str">
        <f aca="false">IF(G410="N/A","N/A",IF(G410="","No data",INDEX(Config!$B$5:$B$9,G410)))</f>
        <v>High</v>
      </c>
      <c r="I410" s="31" t="n">
        <f aca="false">IF(NOT(ISNUMBER($G410)),"",SUMPRODUCT(('Control Mapping'!$C$5:$C$83=D410)*('Control Mapping'!$AA$5:$AA$83&gt;0)))</f>
        <v>6</v>
      </c>
      <c r="J410" s="31" t="n">
        <f aca="false">IF(NOT(ISNUMBER($G410)),"",SUMPRODUCT(('Control Mapping'!$C$5:$C$83=D410)*('Control Mapping'!$F$5:$F$83="Y")*('Control Mapping'!$AA$5:$AA$83&gt;0)))</f>
        <v>5</v>
      </c>
      <c r="K410" s="31" t="n">
        <f aca="false">IF(NOT(ISNUMBER($G410)),"",SUMPRODUCT(('Control Mapping'!$C$5:$C$83=D410)*('Control Mapping'!$F$5:$F$83="Y")*('Control Mapping'!$AA$5:$AA$83=4)))</f>
        <v>1</v>
      </c>
      <c r="L410" s="29" t="n">
        <f aca="false">IF(NOT(ISNUMBER($G410)),"",IFERROR(SUMPRODUCT(('Control Mapping'!$C$5:$C$83=D410)*'Control Mapping'!$E$5:$E$83*'Control Mapping'!$AA$5:$AA$83)/SUMPRODUCT(('Control Mapping'!$C$5:$C$83=D410)*'Control Mapping'!$E$5:$E$83*('Control Mapping'!$AA$5:$AA$83&gt;0)),""))</f>
        <v>2.5</v>
      </c>
      <c r="M410" s="34" t="n">
        <f aca="false">IF(NOT(ISNUMBER($G410)),"",IF(J410=0,4,MAX(MATCH(L410,'Residual Config'!$E$11:$E$14,1),IF(K410&gt;0,'Residual Config'!$C$7,1))))</f>
        <v>3</v>
      </c>
      <c r="N410" s="7" t="str">
        <f aca="false">IF(NOT(ISNUMBER($G410)),"",IF(J410=0,"Ineffective (no key control)",INDEX('Residual Config'!$B$11:$B$14,M410)))</f>
        <v>Partially effective</v>
      </c>
      <c r="O410" s="36" t="n">
        <f aca="false">IF(NOT(ISNUMBER($G410)),"",IF(J410=0,0,SUMPRODUCT(('Control Mapping'!$C$5:$C$83=D410)*'Control Mapping'!$E$5:$E$83*(('Control Mapping'!$AA$5:$AA$83=1)*'Residual Config'!$D$11+('Control Mapping'!$AA$5:$AA$83=2)*'Residual Config'!$D$12+('Control Mapping'!$AA$5:$AA$83=3)*'Residual Config'!$D$13+('Control Mapping'!$AA$5:$AA$83=4)*'Residual Config'!$D$14))/SUMPRODUCT(('Control Mapping'!$C$5:$C$83=D410)*'Control Mapping'!$E$5:$E$83*('Control Mapping'!$AA$5:$AA$83&gt;0))))</f>
        <v>0.3</v>
      </c>
      <c r="P410" s="31" t="n">
        <f aca="false">IF(NOT(ISNUMBER($G410)),"",INDEX('Residual Config'!$B$19:$E$23,6-G410,M410))</f>
        <v>5</v>
      </c>
      <c r="Q410" s="29" t="n">
        <f aca="false">IF(NOT(ISNUMBER($G410)),"",MAX(1,F410*(1-O410)))</f>
        <v>3.2375</v>
      </c>
      <c r="R410" s="31" t="n">
        <f aca="false">IF(NOT(ISNUMBER($G410)),"",MAX(MATCH(Q410,Config!$D$5:$D$9,1),G410-'Residual Config'!$C$6))</f>
        <v>3</v>
      </c>
      <c r="S410" s="34" t="n">
        <f aca="false">IF(NOT(ISNUMBER($G410)),"",IF('Residual Config'!$C$5="Numeric",R410,P410))</f>
        <v>5</v>
      </c>
      <c r="T410" s="7" t="str">
        <f aca="false">IF(G410="N/A","N/A",IF(S410="","No data",INDEX(Config!$B$5:$B$9,S410)))</f>
        <v>High</v>
      </c>
      <c r="U410" s="32" t="n">
        <v>0</v>
      </c>
      <c r="V410" s="8"/>
      <c r="W410" s="33"/>
      <c r="X410" s="34" t="n">
        <f aca="false">IF(S410="","",IF(AND(W410="Y",U410&lt;&gt;0),MAX(1,MIN(5,S410+MAX(-Config!$C$27,MIN(Config!$C$27,U410)))),S410))</f>
        <v>5</v>
      </c>
      <c r="Y410" s="35" t="str">
        <f aca="false">IF(G410="N/A","N/A",IF(X410="","No data",INDEX(Config!$B$5:$B$9,X410)))</f>
        <v>High</v>
      </c>
      <c r="Z410" s="7" t="str">
        <f aca="false">IF(U410=0,"None",IF(W410="Y","Applied","Pending HO approval"))</f>
        <v>None</v>
      </c>
      <c r="AA410" s="12" t="str">
        <f aca="false">INDEX('Risk Taxonomy'!$G$5:$G$24,MATCH(D410,'Risk Taxonomy'!$A$5:$A$24,0))</f>
        <v>Low</v>
      </c>
      <c r="AB410" s="7" t="str">
        <f aca="false">INDEX('Risk Taxonomy'!$H$5:$H$24,MATCH(D410,'Risk Taxonomy'!$A$5:$A$24,0))</f>
        <v>Medium</v>
      </c>
      <c r="AC410" s="35" t="str">
        <f aca="false">IF(NOT(ISNUMBER(X410)),"",IF(X410&lt;=MATCH(AB410,Config!$B$5:$B$9,0),"Within",IF(OR(X410-MATCH(AB410,Config!$B$5:$B$9,0)&gt;=2,AND('Residual Config'!$C$8="Y",ISNUMBER(SEARCH("Zero",AA410)))),"Red","Amber")))</f>
        <v>Red</v>
      </c>
      <c r="AD410" s="12" t="str">
        <f aca="false">IF(AC410="Red","Group CCO / CRO and Country CEO within 2 business days; action plan in 15 days; report to Board Risk &amp; Compliance Committee",IF(AC410="Amber","Country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411" customFormat="false" ht="15" hidden="false" customHeight="false" outlineLevel="0" collapsed="false">
      <c r="A411" s="26" t="str">
        <f aca="false">Entities!$A$25</f>
        <v>SD</v>
      </c>
      <c r="B411" s="12" t="str">
        <f aca="false">INDEX(Entities!$B$5:$B$34,MATCH(A411,Entities!$A$5:$A$34,0))</f>
        <v>Arab Sudanese Bank</v>
      </c>
      <c r="C411" s="12" t="str">
        <f aca="false">INDEX(Entities!$D$5:$D$34,MATCH(A411,Entities!$A$5:$A$34,0))</f>
        <v>North Africa</v>
      </c>
      <c r="D411" s="12" t="s">
        <v>281</v>
      </c>
      <c r="E411" s="12" t="str">
        <f aca="false">INDEX('Risk Taxonomy'!$B$5:$B$24,MATCH(D411,'Risk Taxonomy'!$A$5:$A$24,0))</f>
        <v>Tax evasion and tax transparency</v>
      </c>
      <c r="F411" s="29" t="n">
        <f aca="false">IF(NOT(ISNUMBER(G411)),"",IFERROR(IF(MATCH(SUMIFS('FC Calculation'!$N$5:$N$214,'FC Calculation'!$A$5:$A$214,A411,'FC Calculation'!$D$5:$D$214,D411),Config!$D$5:$D$9,1)=G411,SUMIFS('FC Calculation'!$N$5:$N$214,'FC Calculation'!$A$5:$A$214,A411,'FC Calculation'!$D$5:$D$214,D411),G411),G411))</f>
        <v>4.04666666666667</v>
      </c>
      <c r="G411" s="34" t="n">
        <f aca="false">IF(COUNTIFS('FC Calculation'!$A$5:$A$214,A411,'FC Calculation'!$D$5:$D$214,D411,'FC Calculation'!$T$5:$T$214,"&gt;0")=0,"",SUMIFS('FC Calculation'!$T$5:$T$214,'FC Calculation'!$A$5:$A$214,A411,'FC Calculation'!$D$5:$D$214,D411))</f>
        <v>4</v>
      </c>
      <c r="H411" s="7" t="str">
        <f aca="false">IF(G411="N/A","N/A",IF(G411="","No data",INDEX(Config!$B$5:$B$9,G411)))</f>
        <v>Medium-High</v>
      </c>
      <c r="I411" s="31" t="n">
        <f aca="false">IF(NOT(ISNUMBER($G411)),"",SUMPRODUCT(('Control Mapping'!$C$5:$C$83=D411)*('Control Mapping'!$AA$5:$AA$83&gt;0)))</f>
        <v>5</v>
      </c>
      <c r="J411" s="31" t="n">
        <f aca="false">IF(NOT(ISNUMBER($G411)),"",SUMPRODUCT(('Control Mapping'!$C$5:$C$83=D411)*('Control Mapping'!$F$5:$F$83="Y")*('Control Mapping'!$AA$5:$AA$83&gt;0)))</f>
        <v>4</v>
      </c>
      <c r="K411" s="31" t="n">
        <f aca="false">IF(NOT(ISNUMBER($G411)),"",SUMPRODUCT(('Control Mapping'!$C$5:$C$83=D411)*('Control Mapping'!$F$5:$F$83="Y")*('Control Mapping'!$AA$5:$AA$83=4)))</f>
        <v>0</v>
      </c>
      <c r="L411" s="29" t="n">
        <f aca="false">IF(NOT(ISNUMBER($G411)),"",IFERROR(SUMPRODUCT(('Control Mapping'!$C$5:$C$83=D411)*'Control Mapping'!$E$5:$E$83*'Control Mapping'!$AA$5:$AA$83)/SUMPRODUCT(('Control Mapping'!$C$5:$C$83=D411)*'Control Mapping'!$E$5:$E$83*('Control Mapping'!$AA$5:$AA$83&gt;0)),""))</f>
        <v>2.11111111111111</v>
      </c>
      <c r="M411" s="34" t="n">
        <f aca="false">IF(NOT(ISNUMBER($G411)),"",IF(J411=0,4,MAX(MATCH(L411,'Residual Config'!$E$11:$E$14,1),IF(K411&gt;0,'Residual Config'!$C$7,1))))</f>
        <v>2</v>
      </c>
      <c r="N411" s="7" t="str">
        <f aca="false">IF(NOT(ISNUMBER($G411)),"",IF(J411=0,"Ineffective (no key control)",INDEX('Residual Config'!$B$11:$B$14,M411)))</f>
        <v>Largely effective</v>
      </c>
      <c r="O411" s="36" t="n">
        <f aca="false">IF(NOT(ISNUMBER($G411)),"",IF(J411=0,0,SUMPRODUCT(('Control Mapping'!$C$5:$C$83=D411)*'Control Mapping'!$E$5:$E$83*(('Control Mapping'!$AA$5:$AA$83=1)*'Residual Config'!$D$11+('Control Mapping'!$AA$5:$AA$83=2)*'Residual Config'!$D$12+('Control Mapping'!$AA$5:$AA$83=3)*'Residual Config'!$D$13+('Control Mapping'!$AA$5:$AA$83=4)*'Residual Config'!$D$14))/SUMPRODUCT(('Control Mapping'!$C$5:$C$83=D411)*'Control Mapping'!$E$5:$E$83*('Control Mapping'!$AA$5:$AA$83&gt;0))))</f>
        <v>0.377777777777778</v>
      </c>
      <c r="P411" s="31" t="n">
        <f aca="false">IF(NOT(ISNUMBER($G411)),"",INDEX('Residual Config'!$B$19:$E$23,6-G411,M411))</f>
        <v>3</v>
      </c>
      <c r="Q411" s="29" t="n">
        <f aca="false">IF(NOT(ISNUMBER($G411)),"",MAX(1,F411*(1-O411)))</f>
        <v>2.51792592592593</v>
      </c>
      <c r="R411" s="31" t="n">
        <f aca="false">IF(NOT(ISNUMBER($G411)),"",MAX(MATCH(Q411,Config!$D$5:$D$9,1),G411-'Residual Config'!$C$6))</f>
        <v>2</v>
      </c>
      <c r="S411" s="34" t="n">
        <f aca="false">IF(NOT(ISNUMBER($G411)),"",IF('Residual Config'!$C$5="Numeric",R411,P411))</f>
        <v>3</v>
      </c>
      <c r="T411" s="7" t="str">
        <f aca="false">IF(G411="N/A","N/A",IF(S411="","No data",INDEX(Config!$B$5:$B$9,S411)))</f>
        <v>Medium</v>
      </c>
      <c r="U411" s="32" t="n">
        <v>0</v>
      </c>
      <c r="V411" s="8"/>
      <c r="W411" s="33"/>
      <c r="X411" s="34" t="n">
        <f aca="false">IF(S411="","",IF(AND(W411="Y",U411&lt;&gt;0),MAX(1,MIN(5,S411+MAX(-Config!$C$27,MIN(Config!$C$27,U411)))),S411))</f>
        <v>3</v>
      </c>
      <c r="Y411" s="35" t="str">
        <f aca="false">IF(G411="N/A","N/A",IF(X411="","No data",INDEX(Config!$B$5:$B$9,X411)))</f>
        <v>Medium</v>
      </c>
      <c r="Z411" s="7" t="str">
        <f aca="false">IF(U411=0,"None",IF(W411="Y","Applied","Pending HO approval"))</f>
        <v>None</v>
      </c>
      <c r="AA411" s="12" t="str">
        <f aca="false">INDEX('Risk Taxonomy'!$G$5:$G$24,MATCH(D411,'Risk Taxonomy'!$A$5:$A$24,0))</f>
        <v>Zero tolerance (facilitation)</v>
      </c>
      <c r="AB411" s="7" t="str">
        <f aca="false">INDEX('Risk Taxonomy'!$H$5:$H$24,MATCH(D411,'Risk Taxonomy'!$A$5:$A$24,0))</f>
        <v>Low</v>
      </c>
      <c r="AC411" s="35" t="str">
        <f aca="false">IF(NOT(ISNUMBER(X411)),"",IF(X411&lt;=MATCH(AB411,Config!$B$5:$B$9,0),"Within",IF(OR(X411-MATCH(AB411,Config!$B$5:$B$9,0)&gt;=2,AND('Residual Config'!$C$8="Y",ISNUMBER(SEARCH("Zero",AA411)))),"Red","Amber")))</f>
        <v>Red</v>
      </c>
      <c r="AD411" s="12" t="str">
        <f aca="false">IF(AC411="Red","Group CCO / CRO and Country CEO within 2 business days; action plan in 15 days; report to Board Risk &amp; Compliance Committee",IF(AC411="Amber","Country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412" customFormat="false" ht="15" hidden="false" customHeight="false" outlineLevel="0" collapsed="false">
      <c r="A412" s="26" t="str">
        <f aca="false">Entities!$A$25</f>
        <v>SD</v>
      </c>
      <c r="B412" s="12" t="str">
        <f aca="false">INDEX(Entities!$B$5:$B$34,MATCH(A412,Entities!$A$5:$A$34,0))</f>
        <v>Arab Sudanese Bank</v>
      </c>
      <c r="C412" s="12" t="str">
        <f aca="false">INDEX(Entities!$D$5:$D$34,MATCH(A412,Entities!$A$5:$A$34,0))</f>
        <v>North Africa</v>
      </c>
      <c r="D412" s="12" t="s">
        <v>284</v>
      </c>
      <c r="E412" s="12" t="str">
        <f aca="false">INDEX('Risk Taxonomy'!$B$5:$B$24,MATCH(D412,'Risk Taxonomy'!$A$5:$A$24,0))</f>
        <v>Regulatory compliance</v>
      </c>
      <c r="F412" s="29" t="n">
        <f aca="false">IF(NOT(ISNUMBER(G412)),"",G412)</f>
        <v>5</v>
      </c>
      <c r="G412" s="34" t="n">
        <f aca="false">IF(COUNTIFS('LxI Assessment'!$A$5:$A$394,A412,'LxI Assessment'!$D$5:$D$394,D412,'LxI Assessment'!$F$5:$F$394,"N/A")&gt;0,"N/A",IF(COUNTIFS('LxI Assessment'!$A$5:$A$394,A412,'LxI Assessment'!$D$5:$D$394,D412,'LxI Assessment'!$S$5:$S$394,"&gt;0")=0,"",SUMIFS('LxI Assessment'!$S$5:$S$394,'LxI Assessment'!$A$5:$A$394,A412,'LxI Assessment'!$D$5:$D$394,D412)))</f>
        <v>5</v>
      </c>
      <c r="H412" s="7" t="str">
        <f aca="false">IF(G412="N/A","N/A",IF(G412="","No data",INDEX(Config!$B$5:$B$9,G412)))</f>
        <v>High</v>
      </c>
      <c r="I412" s="31" t="n">
        <f aca="false">IF(NOT(ISNUMBER($G412)),"",SUMPRODUCT(('Control Mapping'!$C$5:$C$83=D412)*('Control Mapping'!$AA$5:$AA$83&gt;0)))</f>
        <v>4</v>
      </c>
      <c r="J412" s="31" t="n">
        <f aca="false">IF(NOT(ISNUMBER($G412)),"",SUMPRODUCT(('Control Mapping'!$C$5:$C$83=D412)*('Control Mapping'!$F$5:$F$83="Y")*('Control Mapping'!$AA$5:$AA$83&gt;0)))</f>
        <v>3</v>
      </c>
      <c r="K412" s="31" t="n">
        <f aca="false">IF(NOT(ISNUMBER($G412)),"",SUMPRODUCT(('Control Mapping'!$C$5:$C$83=D412)*('Control Mapping'!$F$5:$F$83="Y")*('Control Mapping'!$AA$5:$AA$83=4)))</f>
        <v>0</v>
      </c>
      <c r="L412" s="29" t="n">
        <f aca="false">IF(NOT(ISNUMBER($G412)),"",IFERROR(SUMPRODUCT(('Control Mapping'!$C$5:$C$83=D412)*'Control Mapping'!$E$5:$E$83*'Control Mapping'!$AA$5:$AA$83)/SUMPRODUCT(('Control Mapping'!$C$5:$C$83=D412)*'Control Mapping'!$E$5:$E$83*('Control Mapping'!$AA$5:$AA$83&gt;0)),""))</f>
        <v>2.28571428571429</v>
      </c>
      <c r="M412" s="34" t="n">
        <f aca="false">IF(NOT(ISNUMBER($G412)),"",IF(J412=0,4,MAX(MATCH(L412,'Residual Config'!$E$11:$E$14,1),IF(K412&gt;0,'Residual Config'!$C$7,1))))</f>
        <v>2</v>
      </c>
      <c r="N412" s="7" t="str">
        <f aca="false">IF(NOT(ISNUMBER($G412)),"",IF(J412=0,"Ineffective (no key control)",INDEX('Residual Config'!$B$11:$B$14,M412)))</f>
        <v>Largely effective</v>
      </c>
      <c r="O412" s="36" t="n">
        <f aca="false">IF(NOT(ISNUMBER($G412)),"",IF(J412=0,0,SUMPRODUCT(('Control Mapping'!$C$5:$C$83=D412)*'Control Mapping'!$E$5:$E$83*(('Control Mapping'!$AA$5:$AA$83=1)*'Residual Config'!$D$11+('Control Mapping'!$AA$5:$AA$83=2)*'Residual Config'!$D$12+('Control Mapping'!$AA$5:$AA$83=3)*'Residual Config'!$D$13+('Control Mapping'!$AA$5:$AA$83=4)*'Residual Config'!$D$14))/SUMPRODUCT(('Control Mapping'!$C$5:$C$83=D412)*'Control Mapping'!$E$5:$E$83*('Control Mapping'!$AA$5:$AA$83&gt;0))))</f>
        <v>0.342857142857143</v>
      </c>
      <c r="P412" s="31" t="n">
        <f aca="false">IF(NOT(ISNUMBER($G412)),"",INDEX('Residual Config'!$B$19:$E$23,6-G412,M412))</f>
        <v>4</v>
      </c>
      <c r="Q412" s="29" t="n">
        <f aca="false">IF(NOT(ISNUMBER($G412)),"",MAX(1,F412*(1-O412)))</f>
        <v>3.28571428571429</v>
      </c>
      <c r="R412" s="31" t="n">
        <f aca="false">IF(NOT(ISNUMBER($G412)),"",MAX(MATCH(Q412,Config!$D$5:$D$9,1),G412-'Residual Config'!$C$6))</f>
        <v>3</v>
      </c>
      <c r="S412" s="34" t="n">
        <f aca="false">IF(NOT(ISNUMBER($G412)),"",IF('Residual Config'!$C$5="Numeric",R412,P412))</f>
        <v>4</v>
      </c>
      <c r="T412" s="7" t="str">
        <f aca="false">IF(G412="N/A","N/A",IF(S412="","No data",INDEX(Config!$B$5:$B$9,S412)))</f>
        <v>Medium-High</v>
      </c>
      <c r="U412" s="32" t="n">
        <v>0</v>
      </c>
      <c r="V412" s="8"/>
      <c r="W412" s="33"/>
      <c r="X412" s="34" t="n">
        <f aca="false">IF(S412="","",IF(AND(W412="Y",U412&lt;&gt;0),MAX(1,MIN(5,S412+MAX(-Config!$C$27,MIN(Config!$C$27,U412)))),S412))</f>
        <v>4</v>
      </c>
      <c r="Y412" s="35" t="str">
        <f aca="false">IF(G412="N/A","N/A",IF(X412="","No data",INDEX(Config!$B$5:$B$9,X412)))</f>
        <v>Medium-High</v>
      </c>
      <c r="Z412" s="7" t="str">
        <f aca="false">IF(U412=0,"None",IF(W412="Y","Applied","Pending HO approval"))</f>
        <v>None</v>
      </c>
      <c r="AA412" s="12" t="str">
        <f aca="false">INDEX('Risk Taxonomy'!$G$5:$G$24,MATCH(D412,'Risk Taxonomy'!$A$5:$A$24,0))</f>
        <v>Very low</v>
      </c>
      <c r="AB412" s="7" t="str">
        <f aca="false">INDEX('Risk Taxonomy'!$H$5:$H$24,MATCH(D412,'Risk Taxonomy'!$A$5:$A$24,0))</f>
        <v>Medium-Low</v>
      </c>
      <c r="AC412" s="35" t="str">
        <f aca="false">IF(NOT(ISNUMBER(X412)),"",IF(X412&lt;=MATCH(AB412,Config!$B$5:$B$9,0),"Within",IF(OR(X412-MATCH(AB412,Config!$B$5:$B$9,0)&gt;=2,AND('Residual Config'!$C$8="Y",ISNUMBER(SEARCH("Zero",AA412)))),"Red","Amber")))</f>
        <v>Red</v>
      </c>
      <c r="AD412" s="12" t="str">
        <f aca="false">IF(AC412="Red","Group CCO / CRO and Country CEO within 2 business days; action plan in 15 days; report to Board Risk &amp; Compliance Committee",IF(AC412="Amber","Country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413" customFormat="false" ht="15" hidden="false" customHeight="false" outlineLevel="0" collapsed="false">
      <c r="A413" s="26" t="str">
        <f aca="false">Entities!$A$25</f>
        <v>SD</v>
      </c>
      <c r="B413" s="12" t="str">
        <f aca="false">INDEX(Entities!$B$5:$B$34,MATCH(A413,Entities!$A$5:$A$34,0))</f>
        <v>Arab Sudanese Bank</v>
      </c>
      <c r="C413" s="12" t="str">
        <f aca="false">INDEX(Entities!$D$5:$D$34,MATCH(A413,Entities!$A$5:$A$34,0))</f>
        <v>North Africa</v>
      </c>
      <c r="D413" s="12" t="s">
        <v>288</v>
      </c>
      <c r="E413" s="12" t="str">
        <f aca="false">INDEX('Risk Taxonomy'!$B$5:$B$24,MATCH(D413,'Risk Taxonomy'!$A$5:$A$24,0))</f>
        <v>Conduct and consumer protection</v>
      </c>
      <c r="F413" s="29" t="n">
        <f aca="false">IF(NOT(ISNUMBER(G413)),"",G413)</f>
        <v>4</v>
      </c>
      <c r="G413" s="34" t="n">
        <f aca="false">IF(COUNTIFS('LxI Assessment'!$A$5:$A$394,A413,'LxI Assessment'!$D$5:$D$394,D413,'LxI Assessment'!$F$5:$F$394,"N/A")&gt;0,"N/A",IF(COUNTIFS('LxI Assessment'!$A$5:$A$394,A413,'LxI Assessment'!$D$5:$D$394,D413,'LxI Assessment'!$S$5:$S$394,"&gt;0")=0,"",SUMIFS('LxI Assessment'!$S$5:$S$394,'LxI Assessment'!$A$5:$A$394,A413,'LxI Assessment'!$D$5:$D$394,D413)))</f>
        <v>4</v>
      </c>
      <c r="H413" s="7" t="str">
        <f aca="false">IF(G413="N/A","N/A",IF(G413="","No data",INDEX(Config!$B$5:$B$9,G413)))</f>
        <v>Medium-High</v>
      </c>
      <c r="I413" s="31" t="n">
        <f aca="false">IF(NOT(ISNUMBER($G413)),"",SUMPRODUCT(('Control Mapping'!$C$5:$C$83=D413)*('Control Mapping'!$AA$5:$AA$83&gt;0)))</f>
        <v>2</v>
      </c>
      <c r="J413" s="31" t="n">
        <f aca="false">IF(NOT(ISNUMBER($G413)),"",SUMPRODUCT(('Control Mapping'!$C$5:$C$83=D413)*('Control Mapping'!$F$5:$F$83="Y")*('Control Mapping'!$AA$5:$AA$83&gt;0)))</f>
        <v>1</v>
      </c>
      <c r="K413" s="31" t="n">
        <f aca="false">IF(NOT(ISNUMBER($G413)),"",SUMPRODUCT(('Control Mapping'!$C$5:$C$83=D413)*('Control Mapping'!$F$5:$F$83="Y")*('Control Mapping'!$AA$5:$AA$83=4)))</f>
        <v>0</v>
      </c>
      <c r="L413" s="29" t="n">
        <f aca="false">IF(NOT(ISNUMBER($G413)),"",IFERROR(SUMPRODUCT(('Control Mapping'!$C$5:$C$83=D413)*'Control Mapping'!$E$5:$E$83*'Control Mapping'!$AA$5:$AA$83)/SUMPRODUCT(('Control Mapping'!$C$5:$C$83=D413)*'Control Mapping'!$E$5:$E$83*('Control Mapping'!$AA$5:$AA$83&gt;0)),""))</f>
        <v>2.6</v>
      </c>
      <c r="M413" s="34" t="n">
        <f aca="false">IF(NOT(ISNUMBER($G413)),"",IF(J413=0,4,MAX(MATCH(L413,'Residual Config'!$E$11:$E$14,1),IF(K413&gt;0,'Residual Config'!$C$7,1))))</f>
        <v>3</v>
      </c>
      <c r="N413" s="7" t="str">
        <f aca="false">IF(NOT(ISNUMBER($G413)),"",IF(J413=0,"Ineffective (no key control)",INDEX('Residual Config'!$B$11:$B$14,M413)))</f>
        <v>Partially effective</v>
      </c>
      <c r="O413" s="36" t="n">
        <f aca="false">IF(NOT(ISNUMBER($G413)),"",IF(J413=0,0,SUMPRODUCT(('Control Mapping'!$C$5:$C$83=D413)*'Control Mapping'!$E$5:$E$83*(('Control Mapping'!$AA$5:$AA$83=1)*'Residual Config'!$D$11+('Control Mapping'!$AA$5:$AA$83=2)*'Residual Config'!$D$12+('Control Mapping'!$AA$5:$AA$83=3)*'Residual Config'!$D$13+('Control Mapping'!$AA$5:$AA$83=4)*'Residual Config'!$D$14))/SUMPRODUCT(('Control Mapping'!$C$5:$C$83=D413)*'Control Mapping'!$E$5:$E$83*('Control Mapping'!$AA$5:$AA$83&gt;0))))</f>
        <v>0.28</v>
      </c>
      <c r="P413" s="31" t="n">
        <f aca="false">IF(NOT(ISNUMBER($G413)),"",INDEX('Residual Config'!$B$19:$E$23,6-G413,M413))</f>
        <v>4</v>
      </c>
      <c r="Q413" s="29" t="n">
        <f aca="false">IF(NOT(ISNUMBER($G413)),"",MAX(1,F413*(1-O413)))</f>
        <v>2.88</v>
      </c>
      <c r="R413" s="31" t="n">
        <f aca="false">IF(NOT(ISNUMBER($G413)),"",MAX(MATCH(Q413,Config!$D$5:$D$9,1),G413-'Residual Config'!$C$6))</f>
        <v>3</v>
      </c>
      <c r="S413" s="34" t="n">
        <f aca="false">IF(NOT(ISNUMBER($G413)),"",IF('Residual Config'!$C$5="Numeric",R413,P413))</f>
        <v>4</v>
      </c>
      <c r="T413" s="7" t="str">
        <f aca="false">IF(G413="N/A","N/A",IF(S413="","No data",INDEX(Config!$B$5:$B$9,S413)))</f>
        <v>Medium-High</v>
      </c>
      <c r="U413" s="32" t="n">
        <v>0</v>
      </c>
      <c r="V413" s="8"/>
      <c r="W413" s="33"/>
      <c r="X413" s="34" t="n">
        <f aca="false">IF(S413="","",IF(AND(W413="Y",U413&lt;&gt;0),MAX(1,MIN(5,S413+MAX(-Config!$C$27,MIN(Config!$C$27,U413)))),S413))</f>
        <v>4</v>
      </c>
      <c r="Y413" s="35" t="str">
        <f aca="false">IF(G413="N/A","N/A",IF(X413="","No data",INDEX(Config!$B$5:$B$9,X413)))</f>
        <v>Medium-High</v>
      </c>
      <c r="Z413" s="7" t="str">
        <f aca="false">IF(U413=0,"None",IF(W413="Y","Applied","Pending HO approval"))</f>
        <v>None</v>
      </c>
      <c r="AA413" s="12" t="str">
        <f aca="false">INDEX('Risk Taxonomy'!$G$5:$G$24,MATCH(D413,'Risk Taxonomy'!$A$5:$A$24,0))</f>
        <v>Low</v>
      </c>
      <c r="AB413" s="7" t="str">
        <f aca="false">INDEX('Risk Taxonomy'!$H$5:$H$24,MATCH(D413,'Risk Taxonomy'!$A$5:$A$24,0))</f>
        <v>Medium</v>
      </c>
      <c r="AC413" s="35" t="str">
        <f aca="false">IF(NOT(ISNUMBER(X413)),"",IF(X413&lt;=MATCH(AB413,Config!$B$5:$B$9,0),"Within",IF(OR(X413-MATCH(AB413,Config!$B$5:$B$9,0)&gt;=2,AND('Residual Config'!$C$8="Y",ISNUMBER(SEARCH("Zero",AA413)))),"Red","Amber")))</f>
        <v>Amber</v>
      </c>
      <c r="AD413" s="12" t="str">
        <f aca="false">IF(AC413="Red","Group CCO / CRO and Country CEO within 2 business days; action plan in 15 days; report to Board Risk &amp; Compliance Committee",IF(AC413="Amber","Country CO, risk owner and HO Administrator within 5 business days; action plan in 30 days",""))</f>
        <v>Country CO, risk owner and HO Administrator within 5 business days; action plan in 30 days</v>
      </c>
    </row>
    <row r="414" customFormat="false" ht="15" hidden="false" customHeight="false" outlineLevel="0" collapsed="false">
      <c r="A414" s="26" t="str">
        <f aca="false">Entities!$A$25</f>
        <v>SD</v>
      </c>
      <c r="B414" s="12" t="str">
        <f aca="false">INDEX(Entities!$B$5:$B$34,MATCH(A414,Entities!$A$5:$A$34,0))</f>
        <v>Arab Sudanese Bank</v>
      </c>
      <c r="C414" s="12" t="str">
        <f aca="false">INDEX(Entities!$D$5:$D$34,MATCH(A414,Entities!$A$5:$A$34,0))</f>
        <v>North Africa</v>
      </c>
      <c r="D414" s="12" t="s">
        <v>290</v>
      </c>
      <c r="E414" s="12" t="str">
        <f aca="false">INDEX('Risk Taxonomy'!$B$5:$B$24,MATCH(D414,'Risk Taxonomy'!$A$5:$A$24,0))</f>
        <v>Data protection and privacy</v>
      </c>
      <c r="F414" s="29" t="n">
        <f aca="false">IF(NOT(ISNUMBER(G414)),"",G414)</f>
        <v>4</v>
      </c>
      <c r="G414" s="34" t="n">
        <f aca="false">IF(COUNTIFS('LxI Assessment'!$A$5:$A$394,A414,'LxI Assessment'!$D$5:$D$394,D414,'LxI Assessment'!$F$5:$F$394,"N/A")&gt;0,"N/A",IF(COUNTIFS('LxI Assessment'!$A$5:$A$394,A414,'LxI Assessment'!$D$5:$D$394,D414,'LxI Assessment'!$S$5:$S$394,"&gt;0")=0,"",SUMIFS('LxI Assessment'!$S$5:$S$394,'LxI Assessment'!$A$5:$A$394,A414,'LxI Assessment'!$D$5:$D$394,D414)))</f>
        <v>4</v>
      </c>
      <c r="H414" s="7" t="str">
        <f aca="false">IF(G414="N/A","N/A",IF(G414="","No data",INDEX(Config!$B$5:$B$9,G414)))</f>
        <v>Medium-High</v>
      </c>
      <c r="I414" s="31" t="n">
        <f aca="false">IF(NOT(ISNUMBER($G414)),"",SUMPRODUCT(('Control Mapping'!$C$5:$C$83=D414)*('Control Mapping'!$AA$5:$AA$83&gt;0)))</f>
        <v>2</v>
      </c>
      <c r="J414" s="31" t="n">
        <f aca="false">IF(NOT(ISNUMBER($G414)),"",SUMPRODUCT(('Control Mapping'!$C$5:$C$83=D414)*('Control Mapping'!$F$5:$F$83="Y")*('Control Mapping'!$AA$5:$AA$83&gt;0)))</f>
        <v>2</v>
      </c>
      <c r="K414" s="31" t="n">
        <f aca="false">IF(NOT(ISNUMBER($G414)),"",SUMPRODUCT(('Control Mapping'!$C$5:$C$83=D414)*('Control Mapping'!$F$5:$F$83="Y")*('Control Mapping'!$AA$5:$AA$83=4)))</f>
        <v>0</v>
      </c>
      <c r="L414" s="29" t="n">
        <f aca="false">IF(NOT(ISNUMBER($G414)),"",IFERROR(SUMPRODUCT(('Control Mapping'!$C$5:$C$83=D414)*'Control Mapping'!$E$5:$E$83*'Control Mapping'!$AA$5:$AA$83)/SUMPRODUCT(('Control Mapping'!$C$5:$C$83=D414)*'Control Mapping'!$E$5:$E$83*('Control Mapping'!$AA$5:$AA$83&gt;0)),""))</f>
        <v>3</v>
      </c>
      <c r="M414" s="34" t="n">
        <f aca="false">IF(NOT(ISNUMBER($G414)),"",IF(J414=0,4,MAX(MATCH(L414,'Residual Config'!$E$11:$E$14,1),IF(K414&gt;0,'Residual Config'!$C$7,1))))</f>
        <v>3</v>
      </c>
      <c r="N414" s="7" t="str">
        <f aca="false">IF(NOT(ISNUMBER($G414)),"",IF(J414=0,"Ineffective (no key control)",INDEX('Residual Config'!$B$11:$B$14,M414)))</f>
        <v>Partially effective</v>
      </c>
      <c r="O414" s="36" t="n">
        <f aca="false">IF(NOT(ISNUMBER($G414)),"",IF(J414=0,0,SUMPRODUCT(('Control Mapping'!$C$5:$C$83=D414)*'Control Mapping'!$E$5:$E$83*(('Control Mapping'!$AA$5:$AA$83=1)*'Residual Config'!$D$11+('Control Mapping'!$AA$5:$AA$83=2)*'Residual Config'!$D$12+('Control Mapping'!$AA$5:$AA$83=3)*'Residual Config'!$D$13+('Control Mapping'!$AA$5:$AA$83=4)*'Residual Config'!$D$14))/SUMPRODUCT(('Control Mapping'!$C$5:$C$83=D414)*'Control Mapping'!$E$5:$E$83*('Control Mapping'!$AA$5:$AA$83&gt;0))))</f>
        <v>0.2</v>
      </c>
      <c r="P414" s="31" t="n">
        <f aca="false">IF(NOT(ISNUMBER($G414)),"",INDEX('Residual Config'!$B$19:$E$23,6-G414,M414))</f>
        <v>4</v>
      </c>
      <c r="Q414" s="29" t="n">
        <f aca="false">IF(NOT(ISNUMBER($G414)),"",MAX(1,F414*(1-O414)))</f>
        <v>3.2</v>
      </c>
      <c r="R414" s="31" t="n">
        <f aca="false">IF(NOT(ISNUMBER($G414)),"",MAX(MATCH(Q414,Config!$D$5:$D$9,1),G414-'Residual Config'!$C$6))</f>
        <v>3</v>
      </c>
      <c r="S414" s="34" t="n">
        <f aca="false">IF(NOT(ISNUMBER($G414)),"",IF('Residual Config'!$C$5="Numeric",R414,P414))</f>
        <v>4</v>
      </c>
      <c r="T414" s="7" t="str">
        <f aca="false">IF(G414="N/A","N/A",IF(S414="","No data",INDEX(Config!$B$5:$B$9,S414)))</f>
        <v>Medium-High</v>
      </c>
      <c r="U414" s="32" t="n">
        <v>0</v>
      </c>
      <c r="V414" s="8"/>
      <c r="W414" s="33"/>
      <c r="X414" s="34" t="n">
        <f aca="false">IF(S414="","",IF(AND(W414="Y",U414&lt;&gt;0),MAX(1,MIN(5,S414+MAX(-Config!$C$27,MIN(Config!$C$27,U414)))),S414))</f>
        <v>4</v>
      </c>
      <c r="Y414" s="35" t="str">
        <f aca="false">IF(G414="N/A","N/A",IF(X414="","No data",INDEX(Config!$B$5:$B$9,X414)))</f>
        <v>Medium-High</v>
      </c>
      <c r="Z414" s="7" t="str">
        <f aca="false">IF(U414=0,"None",IF(W414="Y","Applied","Pending HO approval"))</f>
        <v>None</v>
      </c>
      <c r="AA414" s="12" t="str">
        <f aca="false">INDEX('Risk Taxonomy'!$G$5:$G$24,MATCH(D414,'Risk Taxonomy'!$A$5:$A$24,0))</f>
        <v>Very low</v>
      </c>
      <c r="AB414" s="7" t="str">
        <f aca="false">INDEX('Risk Taxonomy'!$H$5:$H$24,MATCH(D414,'Risk Taxonomy'!$A$5:$A$24,0))</f>
        <v>Medium-Low</v>
      </c>
      <c r="AC414" s="35" t="str">
        <f aca="false">IF(NOT(ISNUMBER(X414)),"",IF(X414&lt;=MATCH(AB414,Config!$B$5:$B$9,0),"Within",IF(OR(X414-MATCH(AB414,Config!$B$5:$B$9,0)&gt;=2,AND('Residual Config'!$C$8="Y",ISNUMBER(SEARCH("Zero",AA414)))),"Red","Amber")))</f>
        <v>Red</v>
      </c>
      <c r="AD414" s="12" t="str">
        <f aca="false">IF(AC414="Red","Group CCO / CRO and Country CEO within 2 business days; action plan in 15 days; report to Board Risk &amp; Compliance Committee",IF(AC414="Amber","Country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415" customFormat="false" ht="15" hidden="false" customHeight="false" outlineLevel="0" collapsed="false">
      <c r="A415" s="26" t="str">
        <f aca="false">Entities!$A$25</f>
        <v>SD</v>
      </c>
      <c r="B415" s="12" t="str">
        <f aca="false">INDEX(Entities!$B$5:$B$34,MATCH(A415,Entities!$A$5:$A$34,0))</f>
        <v>Arab Sudanese Bank</v>
      </c>
      <c r="C415" s="12" t="str">
        <f aca="false">INDEX(Entities!$D$5:$D$34,MATCH(A415,Entities!$A$5:$A$34,0))</f>
        <v>North Africa</v>
      </c>
      <c r="D415" s="12" t="s">
        <v>293</v>
      </c>
      <c r="E415" s="12" t="str">
        <f aca="false">INDEX('Risk Taxonomy'!$B$5:$B$24,MATCH(D415,'Risk Taxonomy'!$A$5:$A$24,0))</f>
        <v>Shariah non-compliance</v>
      </c>
      <c r="F415" s="29" t="str">
        <f aca="false">IF(NOT(ISNUMBER(G415)),"",G415)</f>
        <v/>
      </c>
      <c r="G415" s="34" t="str">
        <f aca="false">IF(COUNTIFS('LxI Assessment'!$A$5:$A$394,A415,'LxI Assessment'!$D$5:$D$394,D415,'LxI Assessment'!$F$5:$F$394,"N/A")&gt;0,"N/A",IF(COUNTIFS('LxI Assessment'!$A$5:$A$394,A415,'LxI Assessment'!$D$5:$D$394,D415,'LxI Assessment'!$S$5:$S$394,"&gt;0")=0,"",SUMIFS('LxI Assessment'!$S$5:$S$394,'LxI Assessment'!$A$5:$A$394,A415,'LxI Assessment'!$D$5:$D$394,D415)))</f>
        <v>N/A</v>
      </c>
      <c r="H415" s="7" t="str">
        <f aca="false">IF(G415="N/A","N/A",IF(G415="","No data",INDEX(Config!$B$5:$B$9,G415)))</f>
        <v>N/A</v>
      </c>
      <c r="I415" s="31" t="str">
        <f aca="false">IF(NOT(ISNUMBER($G415)),"",SUMPRODUCT(('Control Mapping'!$C$5:$C$83=D415)*('Control Mapping'!$AA$5:$AA$83&gt;0)))</f>
        <v/>
      </c>
      <c r="J415" s="31" t="str">
        <f aca="false">IF(NOT(ISNUMBER($G415)),"",SUMPRODUCT(('Control Mapping'!$C$5:$C$83=D415)*('Control Mapping'!$F$5:$F$83="Y")*('Control Mapping'!$AA$5:$AA$83&gt;0)))</f>
        <v/>
      </c>
      <c r="K415" s="31" t="str">
        <f aca="false">IF(NOT(ISNUMBER($G415)),"",SUMPRODUCT(('Control Mapping'!$C$5:$C$83=D415)*('Control Mapping'!$F$5:$F$83="Y")*('Control Mapping'!$AA$5:$AA$83=4)))</f>
        <v/>
      </c>
      <c r="L415" s="29" t="str">
        <f aca="false">IF(NOT(ISNUMBER($G415)),"",IFERROR(SUMPRODUCT(('Control Mapping'!$C$5:$C$83=D415)*'Control Mapping'!$E$5:$E$83*'Control Mapping'!$AA$5:$AA$83)/SUMPRODUCT(('Control Mapping'!$C$5:$C$83=D415)*'Control Mapping'!$E$5:$E$83*('Control Mapping'!$AA$5:$AA$83&gt;0)),""))</f>
        <v/>
      </c>
      <c r="M415" s="34" t="str">
        <f aca="false">IF(NOT(ISNUMBER($G415)),"",IF(J415=0,4,MAX(MATCH(L415,'Residual Config'!$E$11:$E$14,1),IF(K415&gt;0,'Residual Config'!$C$7,1))))</f>
        <v/>
      </c>
      <c r="N415" s="7" t="str">
        <f aca="false">IF(NOT(ISNUMBER($G415)),"",IF(J415=0,"Ineffective (no key control)",INDEX('Residual Config'!$B$11:$B$14,M415)))</f>
        <v/>
      </c>
      <c r="O415" s="36" t="str">
        <f aca="false">IF(NOT(ISNUMBER($G415)),"",IF(J415=0,0,SUMPRODUCT(('Control Mapping'!$C$5:$C$83=D415)*'Control Mapping'!$E$5:$E$83*(('Control Mapping'!$AA$5:$AA$83=1)*'Residual Config'!$D$11+('Control Mapping'!$AA$5:$AA$83=2)*'Residual Config'!$D$12+('Control Mapping'!$AA$5:$AA$83=3)*'Residual Config'!$D$13+('Control Mapping'!$AA$5:$AA$83=4)*'Residual Config'!$D$14))/SUMPRODUCT(('Control Mapping'!$C$5:$C$83=D415)*'Control Mapping'!$E$5:$E$83*('Control Mapping'!$AA$5:$AA$83&gt;0))))</f>
        <v/>
      </c>
      <c r="P415" s="31" t="str">
        <f aca="false">IF(NOT(ISNUMBER($G415)),"",INDEX('Residual Config'!$B$19:$E$23,6-G415,M415))</f>
        <v/>
      </c>
      <c r="Q415" s="29" t="str">
        <f aca="false">IF(NOT(ISNUMBER($G415)),"",MAX(1,F415*(1-O415)))</f>
        <v/>
      </c>
      <c r="R415" s="31" t="str">
        <f aca="false">IF(NOT(ISNUMBER($G415)),"",MAX(MATCH(Q415,Config!$D$5:$D$9,1),G415-'Residual Config'!$C$6))</f>
        <v/>
      </c>
      <c r="S415" s="34" t="str">
        <f aca="false">IF(NOT(ISNUMBER($G415)),"",IF('Residual Config'!$C$5="Numeric",R415,P415))</f>
        <v/>
      </c>
      <c r="T415" s="7" t="str">
        <f aca="false">IF(G415="N/A","N/A",IF(S415="","No data",INDEX(Config!$B$5:$B$9,S415)))</f>
        <v>N/A</v>
      </c>
      <c r="U415" s="32" t="n">
        <v>0</v>
      </c>
      <c r="V415" s="8"/>
      <c r="W415" s="33"/>
      <c r="X415" s="34" t="str">
        <f aca="false">IF(S415="","",IF(AND(W415="Y",U415&lt;&gt;0),MAX(1,MIN(5,S415+MAX(-Config!$C$27,MIN(Config!$C$27,U415)))),S415))</f>
        <v/>
      </c>
      <c r="Y415" s="35" t="str">
        <f aca="false">IF(G415="N/A","N/A",IF(X415="","No data",INDEX(Config!$B$5:$B$9,X415)))</f>
        <v>N/A</v>
      </c>
      <c r="Z415" s="7" t="str">
        <f aca="false">IF(U415=0,"None",IF(W415="Y","Applied","Pending HO approval"))</f>
        <v>None</v>
      </c>
      <c r="AA415" s="12" t="str">
        <f aca="false">INDEX('Risk Taxonomy'!$G$5:$G$24,MATCH(D415,'Risk Taxonomy'!$A$5:$A$24,0))</f>
        <v>Very low</v>
      </c>
      <c r="AB415" s="7" t="str">
        <f aca="false">INDEX('Risk Taxonomy'!$H$5:$H$24,MATCH(D415,'Risk Taxonomy'!$A$5:$A$24,0))</f>
        <v>Medium-Low</v>
      </c>
      <c r="AC415" s="35" t="str">
        <f aca="false">IF(NOT(ISNUMBER(X415)),"",IF(X415&lt;=MATCH(AB415,Config!$B$5:$B$9,0),"Within",IF(OR(X415-MATCH(AB415,Config!$B$5:$B$9,0)&gt;=2,AND('Residual Config'!$C$8="Y",ISNUMBER(SEARCH("Zero",AA415)))),"Red","Amber")))</f>
        <v/>
      </c>
      <c r="AD415" s="12" t="str">
        <f aca="false">IF(AC415="Red","Group CCO / CRO and Country CEO within 2 business days; action plan in 15 days; report to Board Risk &amp; Compliance Committee",IF(AC415="Amber","Country CO, risk owner and HO Administrator within 5 business days; action plan in 30 days",""))</f>
        <v/>
      </c>
    </row>
    <row r="416" customFormat="false" ht="15" hidden="false" customHeight="false" outlineLevel="0" collapsed="false">
      <c r="A416" s="26" t="str">
        <f aca="false">Entities!$A$25</f>
        <v>SD</v>
      </c>
      <c r="B416" s="12" t="str">
        <f aca="false">INDEX(Entities!$B$5:$B$34,MATCH(A416,Entities!$A$5:$A$34,0))</f>
        <v>Arab Sudanese Bank</v>
      </c>
      <c r="C416" s="12" t="str">
        <f aca="false">INDEX(Entities!$D$5:$D$34,MATCH(A416,Entities!$A$5:$A$34,0))</f>
        <v>North Africa</v>
      </c>
      <c r="D416" s="12" t="s">
        <v>297</v>
      </c>
      <c r="E416" s="12" t="str">
        <f aca="false">INDEX('Risk Taxonomy'!$B$5:$B$24,MATCH(D416,'Risk Taxonomy'!$A$5:$A$24,0))</f>
        <v>Credit risk</v>
      </c>
      <c r="F416" s="29" t="n">
        <f aca="false">IF(NOT(ISNUMBER(G416)),"",G416)</f>
        <v>5</v>
      </c>
      <c r="G416" s="34" t="n">
        <f aca="false">IF(COUNTIFS('LxI Assessment'!$A$5:$A$394,A416,'LxI Assessment'!$D$5:$D$394,D416,'LxI Assessment'!$F$5:$F$394,"N/A")&gt;0,"N/A",IF(COUNTIFS('LxI Assessment'!$A$5:$A$394,A416,'LxI Assessment'!$D$5:$D$394,D416,'LxI Assessment'!$S$5:$S$394,"&gt;0")=0,"",SUMIFS('LxI Assessment'!$S$5:$S$394,'LxI Assessment'!$A$5:$A$394,A416,'LxI Assessment'!$D$5:$D$394,D416)))</f>
        <v>5</v>
      </c>
      <c r="H416" s="7" t="str">
        <f aca="false">IF(G416="N/A","N/A",IF(G416="","No data",INDEX(Config!$B$5:$B$9,G416)))</f>
        <v>High</v>
      </c>
      <c r="I416" s="31" t="n">
        <f aca="false">IF(NOT(ISNUMBER($G416)),"",SUMPRODUCT(('Control Mapping'!$C$5:$C$83=D416)*('Control Mapping'!$AA$5:$AA$83&gt;0)))</f>
        <v>2</v>
      </c>
      <c r="J416" s="31" t="n">
        <f aca="false">IF(NOT(ISNUMBER($G416)),"",SUMPRODUCT(('Control Mapping'!$C$5:$C$83=D416)*('Control Mapping'!$F$5:$F$83="Y")*('Control Mapping'!$AA$5:$AA$83&gt;0)))</f>
        <v>1</v>
      </c>
      <c r="K416" s="31" t="n">
        <f aca="false">IF(NOT(ISNUMBER($G416)),"",SUMPRODUCT(('Control Mapping'!$C$5:$C$83=D416)*('Control Mapping'!$F$5:$F$83="Y")*('Control Mapping'!$AA$5:$AA$83=4)))</f>
        <v>1</v>
      </c>
      <c r="L416" s="29" t="n">
        <f aca="false">IF(NOT(ISNUMBER($G416)),"",IFERROR(SUMPRODUCT(('Control Mapping'!$C$5:$C$83=D416)*'Control Mapping'!$E$5:$E$83*'Control Mapping'!$AA$5:$AA$83)/SUMPRODUCT(('Control Mapping'!$C$5:$C$83=D416)*'Control Mapping'!$E$5:$E$83*('Control Mapping'!$AA$5:$AA$83&gt;0)),""))</f>
        <v>3.6</v>
      </c>
      <c r="M416" s="34" t="n">
        <f aca="false">IF(NOT(ISNUMBER($G416)),"",IF(J416=0,4,MAX(MATCH(L416,'Residual Config'!$E$11:$E$14,1),IF(K416&gt;0,'Residual Config'!$C$7,1))))</f>
        <v>4</v>
      </c>
      <c r="N416" s="7" t="str">
        <f aca="false">IF(NOT(ISNUMBER($G416)),"",IF(J416=0,"Ineffective (no key control)",INDEX('Residual Config'!$B$11:$B$14,M416)))</f>
        <v>Ineffective</v>
      </c>
      <c r="O416" s="36" t="n">
        <f aca="false">IF(NOT(ISNUMBER($G416)),"",IF(J416=0,0,SUMPRODUCT(('Control Mapping'!$C$5:$C$83=D416)*'Control Mapping'!$E$5:$E$83*(('Control Mapping'!$AA$5:$AA$83=1)*'Residual Config'!$D$11+('Control Mapping'!$AA$5:$AA$83=2)*'Residual Config'!$D$12+('Control Mapping'!$AA$5:$AA$83=3)*'Residual Config'!$D$13+('Control Mapping'!$AA$5:$AA$83=4)*'Residual Config'!$D$14))/SUMPRODUCT(('Control Mapping'!$C$5:$C$83=D416)*'Control Mapping'!$E$5:$E$83*('Control Mapping'!$AA$5:$AA$83&gt;0))))</f>
        <v>0.08</v>
      </c>
      <c r="P416" s="31" t="n">
        <f aca="false">IF(NOT(ISNUMBER($G416)),"",INDEX('Residual Config'!$B$19:$E$23,6-G416,M416))</f>
        <v>5</v>
      </c>
      <c r="Q416" s="29" t="n">
        <f aca="false">IF(NOT(ISNUMBER($G416)),"",MAX(1,F416*(1-O416)))</f>
        <v>4.6</v>
      </c>
      <c r="R416" s="31" t="n">
        <f aca="false">IF(NOT(ISNUMBER($G416)),"",MAX(MATCH(Q416,Config!$D$5:$D$9,1),G416-'Residual Config'!$C$6))</f>
        <v>5</v>
      </c>
      <c r="S416" s="34" t="n">
        <f aca="false">IF(NOT(ISNUMBER($G416)),"",IF('Residual Config'!$C$5="Numeric",R416,P416))</f>
        <v>5</v>
      </c>
      <c r="T416" s="7" t="str">
        <f aca="false">IF(G416="N/A","N/A",IF(S416="","No data",INDEX(Config!$B$5:$B$9,S416)))</f>
        <v>High</v>
      </c>
      <c r="U416" s="32" t="n">
        <v>0</v>
      </c>
      <c r="V416" s="8"/>
      <c r="W416" s="33"/>
      <c r="X416" s="34" t="n">
        <f aca="false">IF(S416="","",IF(AND(W416="Y",U416&lt;&gt;0),MAX(1,MIN(5,S416+MAX(-Config!$C$27,MIN(Config!$C$27,U416)))),S416))</f>
        <v>5</v>
      </c>
      <c r="Y416" s="35" t="str">
        <f aca="false">IF(G416="N/A","N/A",IF(X416="","No data",INDEX(Config!$B$5:$B$9,X416)))</f>
        <v>High</v>
      </c>
      <c r="Z416" s="7" t="str">
        <f aca="false">IF(U416=0,"None",IF(W416="Y","Applied","Pending HO approval"))</f>
        <v>None</v>
      </c>
      <c r="AA416" s="12" t="str">
        <f aca="false">INDEX('Risk Taxonomy'!$G$5:$G$24,MATCH(D416,'Risk Taxonomy'!$A$5:$A$24,0))</f>
        <v>Moderate</v>
      </c>
      <c r="AB416" s="7" t="str">
        <f aca="false">INDEX('Risk Taxonomy'!$H$5:$H$24,MATCH(D416,'Risk Taxonomy'!$A$5:$A$24,0))</f>
        <v>Medium-High</v>
      </c>
      <c r="AC416" s="35" t="str">
        <f aca="false">IF(NOT(ISNUMBER(X416)),"",IF(X416&lt;=MATCH(AB416,Config!$B$5:$B$9,0),"Within",IF(OR(X416-MATCH(AB416,Config!$B$5:$B$9,0)&gt;=2,AND('Residual Config'!$C$8="Y",ISNUMBER(SEARCH("Zero",AA416)))),"Red","Amber")))</f>
        <v>Amber</v>
      </c>
      <c r="AD416" s="12" t="str">
        <f aca="false">IF(AC416="Red","Group CCO / CRO and Country CEO within 2 business days; action plan in 15 days; report to Board Risk &amp; Compliance Committee",IF(AC416="Amber","Country CO, risk owner and HO Administrator within 5 business days; action plan in 30 days",""))</f>
        <v>Country CO, risk owner and HO Administrator within 5 business days; action plan in 30 days</v>
      </c>
    </row>
    <row r="417" customFormat="false" ht="15" hidden="false" customHeight="false" outlineLevel="0" collapsed="false">
      <c r="A417" s="26" t="str">
        <f aca="false">Entities!$A$25</f>
        <v>SD</v>
      </c>
      <c r="B417" s="12" t="str">
        <f aca="false">INDEX(Entities!$B$5:$B$34,MATCH(A417,Entities!$A$5:$A$34,0))</f>
        <v>Arab Sudanese Bank</v>
      </c>
      <c r="C417" s="12" t="str">
        <f aca="false">INDEX(Entities!$D$5:$D$34,MATCH(A417,Entities!$A$5:$A$34,0))</f>
        <v>North Africa</v>
      </c>
      <c r="D417" s="12" t="s">
        <v>302</v>
      </c>
      <c r="E417" s="12" t="str">
        <f aca="false">INDEX('Risk Taxonomy'!$B$5:$B$24,MATCH(D417,'Risk Taxonomy'!$A$5:$A$24,0))</f>
        <v>Market risk</v>
      </c>
      <c r="F417" s="29" t="n">
        <f aca="false">IF(NOT(ISNUMBER(G417)),"",G417)</f>
        <v>2</v>
      </c>
      <c r="G417" s="34" t="n">
        <f aca="false">IF(COUNTIFS('LxI Assessment'!$A$5:$A$394,A417,'LxI Assessment'!$D$5:$D$394,D417,'LxI Assessment'!$F$5:$F$394,"N/A")&gt;0,"N/A",IF(COUNTIFS('LxI Assessment'!$A$5:$A$394,A417,'LxI Assessment'!$D$5:$D$394,D417,'LxI Assessment'!$S$5:$S$394,"&gt;0")=0,"",SUMIFS('LxI Assessment'!$S$5:$S$394,'LxI Assessment'!$A$5:$A$394,A417,'LxI Assessment'!$D$5:$D$394,D417)))</f>
        <v>2</v>
      </c>
      <c r="H417" s="7" t="str">
        <f aca="false">IF(G417="N/A","N/A",IF(G417="","No data",INDEX(Config!$B$5:$B$9,G417)))</f>
        <v>Medium-Low</v>
      </c>
      <c r="I417" s="31" t="n">
        <f aca="false">IF(NOT(ISNUMBER($G417)),"",SUMPRODUCT(('Control Mapping'!$C$5:$C$83=D417)*('Control Mapping'!$AA$5:$AA$83&gt;0)))</f>
        <v>1</v>
      </c>
      <c r="J417" s="31" t="n">
        <f aca="false">IF(NOT(ISNUMBER($G417)),"",SUMPRODUCT(('Control Mapping'!$C$5:$C$83=D417)*('Control Mapping'!$F$5:$F$83="Y")*('Control Mapping'!$AA$5:$AA$83&gt;0)))</f>
        <v>1</v>
      </c>
      <c r="K417" s="31" t="n">
        <f aca="false">IF(NOT(ISNUMBER($G417)),"",SUMPRODUCT(('Control Mapping'!$C$5:$C$83=D417)*('Control Mapping'!$F$5:$F$83="Y")*('Control Mapping'!$AA$5:$AA$83=4)))</f>
        <v>0</v>
      </c>
      <c r="L417" s="29" t="n">
        <f aca="false">IF(NOT(ISNUMBER($G417)),"",IFERROR(SUMPRODUCT(('Control Mapping'!$C$5:$C$83=D417)*'Control Mapping'!$E$5:$E$83*'Control Mapping'!$AA$5:$AA$83)/SUMPRODUCT(('Control Mapping'!$C$5:$C$83=D417)*'Control Mapping'!$E$5:$E$83*('Control Mapping'!$AA$5:$AA$83&gt;0)),""))</f>
        <v>2</v>
      </c>
      <c r="M417" s="34" t="n">
        <f aca="false">IF(NOT(ISNUMBER($G417)),"",IF(J417=0,4,MAX(MATCH(L417,'Residual Config'!$E$11:$E$14,1),IF(K417&gt;0,'Residual Config'!$C$7,1))))</f>
        <v>2</v>
      </c>
      <c r="N417" s="7" t="str">
        <f aca="false">IF(NOT(ISNUMBER($G417)),"",IF(J417=0,"Ineffective (no key control)",INDEX('Residual Config'!$B$11:$B$14,M417)))</f>
        <v>Largely effective</v>
      </c>
      <c r="O417" s="36" t="n">
        <f aca="false">IF(NOT(ISNUMBER($G417)),"",IF(J417=0,0,SUMPRODUCT(('Control Mapping'!$C$5:$C$83=D417)*'Control Mapping'!$E$5:$E$83*(('Control Mapping'!$AA$5:$AA$83=1)*'Residual Config'!$D$11+('Control Mapping'!$AA$5:$AA$83=2)*'Residual Config'!$D$12+('Control Mapping'!$AA$5:$AA$83=3)*'Residual Config'!$D$13+('Control Mapping'!$AA$5:$AA$83=4)*'Residual Config'!$D$14))/SUMPRODUCT(('Control Mapping'!$C$5:$C$83=D417)*'Control Mapping'!$E$5:$E$83*('Control Mapping'!$AA$5:$AA$83&gt;0))))</f>
        <v>0.4</v>
      </c>
      <c r="P417" s="31" t="n">
        <f aca="false">IF(NOT(ISNUMBER($G417)),"",INDEX('Residual Config'!$B$19:$E$23,6-G417,M417))</f>
        <v>1</v>
      </c>
      <c r="Q417" s="29" t="n">
        <f aca="false">IF(NOT(ISNUMBER($G417)),"",MAX(1,F417*(1-O417)))</f>
        <v>1.2</v>
      </c>
      <c r="R417" s="31" t="n">
        <f aca="false">IF(NOT(ISNUMBER($G417)),"",MAX(MATCH(Q417,Config!$D$5:$D$9,1),G417-'Residual Config'!$C$6))</f>
        <v>1</v>
      </c>
      <c r="S417" s="34" t="n">
        <f aca="false">IF(NOT(ISNUMBER($G417)),"",IF('Residual Config'!$C$5="Numeric",R417,P417))</f>
        <v>1</v>
      </c>
      <c r="T417" s="7" t="str">
        <f aca="false">IF(G417="N/A","N/A",IF(S417="","No data",INDEX(Config!$B$5:$B$9,S417)))</f>
        <v>Low</v>
      </c>
      <c r="U417" s="32" t="n">
        <v>0</v>
      </c>
      <c r="V417" s="8"/>
      <c r="W417" s="33"/>
      <c r="X417" s="34" t="n">
        <f aca="false">IF(S417="","",IF(AND(W417="Y",U417&lt;&gt;0),MAX(1,MIN(5,S417+MAX(-Config!$C$27,MIN(Config!$C$27,U417)))),S417))</f>
        <v>1</v>
      </c>
      <c r="Y417" s="35" t="str">
        <f aca="false">IF(G417="N/A","N/A",IF(X417="","No data",INDEX(Config!$B$5:$B$9,X417)))</f>
        <v>Low</v>
      </c>
      <c r="Z417" s="7" t="str">
        <f aca="false">IF(U417=0,"None",IF(W417="Y","Applied","Pending HO approval"))</f>
        <v>None</v>
      </c>
      <c r="AA417" s="12" t="str">
        <f aca="false">INDEX('Risk Taxonomy'!$G$5:$G$24,MATCH(D417,'Risk Taxonomy'!$A$5:$A$24,0))</f>
        <v>Moderate</v>
      </c>
      <c r="AB417" s="7" t="str">
        <f aca="false">INDEX('Risk Taxonomy'!$H$5:$H$24,MATCH(D417,'Risk Taxonomy'!$A$5:$A$24,0))</f>
        <v>Medium-High</v>
      </c>
      <c r="AC417" s="35" t="str">
        <f aca="false">IF(NOT(ISNUMBER(X417)),"",IF(X417&lt;=MATCH(AB417,Config!$B$5:$B$9,0),"Within",IF(OR(X417-MATCH(AB417,Config!$B$5:$B$9,0)&gt;=2,AND('Residual Config'!$C$8="Y",ISNUMBER(SEARCH("Zero",AA417)))),"Red","Amber")))</f>
        <v>Within</v>
      </c>
      <c r="AD417" s="12" t="str">
        <f aca="false">IF(AC417="Red","Group CCO / CRO and Country CEO within 2 business days; action plan in 15 days; report to Board Risk &amp; Compliance Committee",IF(AC417="Amber","Country CO, risk owner and HO Administrator within 5 business days; action plan in 30 days",""))</f>
        <v/>
      </c>
    </row>
    <row r="418" customFormat="false" ht="15" hidden="false" customHeight="false" outlineLevel="0" collapsed="false">
      <c r="A418" s="26" t="str">
        <f aca="false">Entities!$A$25</f>
        <v>SD</v>
      </c>
      <c r="B418" s="12" t="str">
        <f aca="false">INDEX(Entities!$B$5:$B$34,MATCH(A418,Entities!$A$5:$A$34,0))</f>
        <v>Arab Sudanese Bank</v>
      </c>
      <c r="C418" s="12" t="str">
        <f aca="false">INDEX(Entities!$D$5:$D$34,MATCH(A418,Entities!$A$5:$A$34,0))</f>
        <v>North Africa</v>
      </c>
      <c r="D418" s="12" t="s">
        <v>304</v>
      </c>
      <c r="E418" s="12" t="str">
        <f aca="false">INDEX('Risk Taxonomy'!$B$5:$B$24,MATCH(D418,'Risk Taxonomy'!$A$5:$A$24,0))</f>
        <v>Liquidity and funding risk</v>
      </c>
      <c r="F418" s="29" t="n">
        <f aca="false">IF(NOT(ISNUMBER(G418)),"",G418)</f>
        <v>3</v>
      </c>
      <c r="G418" s="34" t="n">
        <f aca="false">IF(COUNTIFS('LxI Assessment'!$A$5:$A$394,A418,'LxI Assessment'!$D$5:$D$394,D418,'LxI Assessment'!$F$5:$F$394,"N/A")&gt;0,"N/A",IF(COUNTIFS('LxI Assessment'!$A$5:$A$394,A418,'LxI Assessment'!$D$5:$D$394,D418,'LxI Assessment'!$S$5:$S$394,"&gt;0")=0,"",SUMIFS('LxI Assessment'!$S$5:$S$394,'LxI Assessment'!$A$5:$A$394,A418,'LxI Assessment'!$D$5:$D$394,D418)))</f>
        <v>3</v>
      </c>
      <c r="H418" s="7" t="str">
        <f aca="false">IF(G418="N/A","N/A",IF(G418="","No data",INDEX(Config!$B$5:$B$9,G418)))</f>
        <v>Medium</v>
      </c>
      <c r="I418" s="31" t="n">
        <f aca="false">IF(NOT(ISNUMBER($G418)),"",SUMPRODUCT(('Control Mapping'!$C$5:$C$83=D418)*('Control Mapping'!$AA$5:$AA$83&gt;0)))</f>
        <v>1</v>
      </c>
      <c r="J418" s="31" t="n">
        <f aca="false">IF(NOT(ISNUMBER($G418)),"",SUMPRODUCT(('Control Mapping'!$C$5:$C$83=D418)*('Control Mapping'!$F$5:$F$83="Y")*('Control Mapping'!$AA$5:$AA$83&gt;0)))</f>
        <v>1</v>
      </c>
      <c r="K418" s="31" t="n">
        <f aca="false">IF(NOT(ISNUMBER($G418)),"",SUMPRODUCT(('Control Mapping'!$C$5:$C$83=D418)*('Control Mapping'!$F$5:$F$83="Y")*('Control Mapping'!$AA$5:$AA$83=4)))</f>
        <v>0</v>
      </c>
      <c r="L418" s="29" t="n">
        <f aca="false">IF(NOT(ISNUMBER($G418)),"",IFERROR(SUMPRODUCT(('Control Mapping'!$C$5:$C$83=D418)*'Control Mapping'!$E$5:$E$83*'Control Mapping'!$AA$5:$AA$83)/SUMPRODUCT(('Control Mapping'!$C$5:$C$83=D418)*'Control Mapping'!$E$5:$E$83*('Control Mapping'!$AA$5:$AA$83&gt;0)),""))</f>
        <v>3</v>
      </c>
      <c r="M418" s="34" t="n">
        <f aca="false">IF(NOT(ISNUMBER($G418)),"",IF(J418=0,4,MAX(MATCH(L418,'Residual Config'!$E$11:$E$14,1),IF(K418&gt;0,'Residual Config'!$C$7,1))))</f>
        <v>3</v>
      </c>
      <c r="N418" s="7" t="str">
        <f aca="false">IF(NOT(ISNUMBER($G418)),"",IF(J418=0,"Ineffective (no key control)",INDEX('Residual Config'!$B$11:$B$14,M418)))</f>
        <v>Partially effective</v>
      </c>
      <c r="O418" s="36" t="n">
        <f aca="false">IF(NOT(ISNUMBER($G418)),"",IF(J418=0,0,SUMPRODUCT(('Control Mapping'!$C$5:$C$83=D418)*'Control Mapping'!$E$5:$E$83*(('Control Mapping'!$AA$5:$AA$83=1)*'Residual Config'!$D$11+('Control Mapping'!$AA$5:$AA$83=2)*'Residual Config'!$D$12+('Control Mapping'!$AA$5:$AA$83=3)*'Residual Config'!$D$13+('Control Mapping'!$AA$5:$AA$83=4)*'Residual Config'!$D$14))/SUMPRODUCT(('Control Mapping'!$C$5:$C$83=D418)*'Control Mapping'!$E$5:$E$83*('Control Mapping'!$AA$5:$AA$83&gt;0))))</f>
        <v>0.2</v>
      </c>
      <c r="P418" s="31" t="n">
        <f aca="false">IF(NOT(ISNUMBER($G418)),"",INDEX('Residual Config'!$B$19:$E$23,6-G418,M418))</f>
        <v>3</v>
      </c>
      <c r="Q418" s="29" t="n">
        <f aca="false">IF(NOT(ISNUMBER($G418)),"",MAX(1,F418*(1-O418)))</f>
        <v>2.4</v>
      </c>
      <c r="R418" s="31" t="n">
        <f aca="false">IF(NOT(ISNUMBER($G418)),"",MAX(MATCH(Q418,Config!$D$5:$D$9,1),G418-'Residual Config'!$C$6))</f>
        <v>2</v>
      </c>
      <c r="S418" s="34" t="n">
        <f aca="false">IF(NOT(ISNUMBER($G418)),"",IF('Residual Config'!$C$5="Numeric",R418,P418))</f>
        <v>3</v>
      </c>
      <c r="T418" s="7" t="str">
        <f aca="false">IF(G418="N/A","N/A",IF(S418="","No data",INDEX(Config!$B$5:$B$9,S418)))</f>
        <v>Medium</v>
      </c>
      <c r="U418" s="32" t="n">
        <v>0</v>
      </c>
      <c r="V418" s="8"/>
      <c r="W418" s="33"/>
      <c r="X418" s="34" t="n">
        <f aca="false">IF(S418="","",IF(AND(W418="Y",U418&lt;&gt;0),MAX(1,MIN(5,S418+MAX(-Config!$C$27,MIN(Config!$C$27,U418)))),S418))</f>
        <v>3</v>
      </c>
      <c r="Y418" s="35" t="str">
        <f aca="false">IF(G418="N/A","N/A",IF(X418="","No data",INDEX(Config!$B$5:$B$9,X418)))</f>
        <v>Medium</v>
      </c>
      <c r="Z418" s="7" t="str">
        <f aca="false">IF(U418=0,"None",IF(W418="Y","Applied","Pending HO approval"))</f>
        <v>None</v>
      </c>
      <c r="AA418" s="12" t="str">
        <f aca="false">INDEX('Risk Taxonomy'!$G$5:$G$24,MATCH(D418,'Risk Taxonomy'!$A$5:$A$24,0))</f>
        <v>Low</v>
      </c>
      <c r="AB418" s="7" t="str">
        <f aca="false">INDEX('Risk Taxonomy'!$H$5:$H$24,MATCH(D418,'Risk Taxonomy'!$A$5:$A$24,0))</f>
        <v>Medium</v>
      </c>
      <c r="AC418" s="35" t="str">
        <f aca="false">IF(NOT(ISNUMBER(X418)),"",IF(X418&lt;=MATCH(AB418,Config!$B$5:$B$9,0),"Within",IF(OR(X418-MATCH(AB418,Config!$B$5:$B$9,0)&gt;=2,AND('Residual Config'!$C$8="Y",ISNUMBER(SEARCH("Zero",AA418)))),"Red","Amber")))</f>
        <v>Within</v>
      </c>
      <c r="AD418" s="12" t="str">
        <f aca="false">IF(AC418="Red","Group CCO / CRO and Country CEO within 2 business days; action plan in 15 days; report to Board Risk &amp; Compliance Committee",IF(AC418="Amber","Country CO, risk owner and HO Administrator within 5 business days; action plan in 30 days",""))</f>
        <v/>
      </c>
    </row>
    <row r="419" customFormat="false" ht="15" hidden="false" customHeight="false" outlineLevel="0" collapsed="false">
      <c r="A419" s="26" t="str">
        <f aca="false">Entities!$A$25</f>
        <v>SD</v>
      </c>
      <c r="B419" s="12" t="str">
        <f aca="false">INDEX(Entities!$B$5:$B$34,MATCH(A419,Entities!$A$5:$A$34,0))</f>
        <v>Arab Sudanese Bank</v>
      </c>
      <c r="C419" s="12" t="str">
        <f aca="false">INDEX(Entities!$D$5:$D$34,MATCH(A419,Entities!$A$5:$A$34,0))</f>
        <v>North Africa</v>
      </c>
      <c r="D419" s="12" t="s">
        <v>307</v>
      </c>
      <c r="E419" s="12" t="str">
        <f aca="false">INDEX('Risk Taxonomy'!$B$5:$B$24,MATCH(D419,'Risk Taxonomy'!$A$5:$A$24,0))</f>
        <v>Operational risk</v>
      </c>
      <c r="F419" s="29" t="n">
        <f aca="false">IF(NOT(ISNUMBER(G419)),"",G419)</f>
        <v>4</v>
      </c>
      <c r="G419" s="34" t="n">
        <f aca="false">IF(COUNTIFS('LxI Assessment'!$A$5:$A$394,A419,'LxI Assessment'!$D$5:$D$394,D419,'LxI Assessment'!$F$5:$F$394,"N/A")&gt;0,"N/A",IF(COUNTIFS('LxI Assessment'!$A$5:$A$394,A419,'LxI Assessment'!$D$5:$D$394,D419,'LxI Assessment'!$S$5:$S$394,"&gt;0")=0,"",SUMIFS('LxI Assessment'!$S$5:$S$394,'LxI Assessment'!$A$5:$A$394,A419,'LxI Assessment'!$D$5:$D$394,D419)))</f>
        <v>4</v>
      </c>
      <c r="H419" s="7" t="str">
        <f aca="false">IF(G419="N/A","N/A",IF(G419="","No data",INDEX(Config!$B$5:$B$9,G419)))</f>
        <v>Medium-High</v>
      </c>
      <c r="I419" s="31" t="n">
        <f aca="false">IF(NOT(ISNUMBER($G419)),"",SUMPRODUCT(('Control Mapping'!$C$5:$C$83=D419)*('Control Mapping'!$AA$5:$AA$83&gt;0)))</f>
        <v>3</v>
      </c>
      <c r="J419" s="31" t="n">
        <f aca="false">IF(NOT(ISNUMBER($G419)),"",SUMPRODUCT(('Control Mapping'!$C$5:$C$83=D419)*('Control Mapping'!$F$5:$F$83="Y")*('Control Mapping'!$AA$5:$AA$83&gt;0)))</f>
        <v>2</v>
      </c>
      <c r="K419" s="31" t="n">
        <f aca="false">IF(NOT(ISNUMBER($G419)),"",SUMPRODUCT(('Control Mapping'!$C$5:$C$83=D419)*('Control Mapping'!$F$5:$F$83="Y")*('Control Mapping'!$AA$5:$AA$83=4)))</f>
        <v>1</v>
      </c>
      <c r="L419" s="29" t="n">
        <f aca="false">IF(NOT(ISNUMBER($G419)),"",IFERROR(SUMPRODUCT(('Control Mapping'!$C$5:$C$83=D419)*'Control Mapping'!$E$5:$E$83*'Control Mapping'!$AA$5:$AA$83)/SUMPRODUCT(('Control Mapping'!$C$5:$C$83=D419)*'Control Mapping'!$E$5:$E$83*('Control Mapping'!$AA$5:$AA$83&gt;0)),""))</f>
        <v>3</v>
      </c>
      <c r="M419" s="34" t="n">
        <f aca="false">IF(NOT(ISNUMBER($G419)),"",IF(J419=0,4,MAX(MATCH(L419,'Residual Config'!$E$11:$E$14,1),IF(K419&gt;0,'Residual Config'!$C$7,1))))</f>
        <v>3</v>
      </c>
      <c r="N419" s="7" t="str">
        <f aca="false">IF(NOT(ISNUMBER($G419)),"",IF(J419=0,"Ineffective (no key control)",INDEX('Residual Config'!$B$11:$B$14,M419)))</f>
        <v>Partially effective</v>
      </c>
      <c r="O419" s="36" t="n">
        <f aca="false">IF(NOT(ISNUMBER($G419)),"",IF(J419=0,0,SUMPRODUCT(('Control Mapping'!$C$5:$C$83=D419)*'Control Mapping'!$E$5:$E$83*(('Control Mapping'!$AA$5:$AA$83=1)*'Residual Config'!$D$11+('Control Mapping'!$AA$5:$AA$83=2)*'Residual Config'!$D$12+('Control Mapping'!$AA$5:$AA$83=3)*'Residual Config'!$D$13+('Control Mapping'!$AA$5:$AA$83=4)*'Residual Config'!$D$14))/SUMPRODUCT(('Control Mapping'!$C$5:$C$83=D419)*'Control Mapping'!$E$5:$E$83*('Control Mapping'!$AA$5:$AA$83&gt;0))))</f>
        <v>0.2</v>
      </c>
      <c r="P419" s="31" t="n">
        <f aca="false">IF(NOT(ISNUMBER($G419)),"",INDEX('Residual Config'!$B$19:$E$23,6-G419,M419))</f>
        <v>4</v>
      </c>
      <c r="Q419" s="29" t="n">
        <f aca="false">IF(NOT(ISNUMBER($G419)),"",MAX(1,F419*(1-O419)))</f>
        <v>3.2</v>
      </c>
      <c r="R419" s="31" t="n">
        <f aca="false">IF(NOT(ISNUMBER($G419)),"",MAX(MATCH(Q419,Config!$D$5:$D$9,1),G419-'Residual Config'!$C$6))</f>
        <v>3</v>
      </c>
      <c r="S419" s="34" t="n">
        <f aca="false">IF(NOT(ISNUMBER($G419)),"",IF('Residual Config'!$C$5="Numeric",R419,P419))</f>
        <v>4</v>
      </c>
      <c r="T419" s="7" t="str">
        <f aca="false">IF(G419="N/A","N/A",IF(S419="","No data",INDEX(Config!$B$5:$B$9,S419)))</f>
        <v>Medium-High</v>
      </c>
      <c r="U419" s="32" t="n">
        <v>0</v>
      </c>
      <c r="V419" s="8"/>
      <c r="W419" s="33"/>
      <c r="X419" s="34" t="n">
        <f aca="false">IF(S419="","",IF(AND(W419="Y",U419&lt;&gt;0),MAX(1,MIN(5,S419+MAX(-Config!$C$27,MIN(Config!$C$27,U419)))),S419))</f>
        <v>4</v>
      </c>
      <c r="Y419" s="35" t="str">
        <f aca="false">IF(G419="N/A","N/A",IF(X419="","No data",INDEX(Config!$B$5:$B$9,X419)))</f>
        <v>Medium-High</v>
      </c>
      <c r="Z419" s="7" t="str">
        <f aca="false">IF(U419=0,"None",IF(W419="Y","Applied","Pending HO approval"))</f>
        <v>None</v>
      </c>
      <c r="AA419" s="12" t="str">
        <f aca="false">INDEX('Risk Taxonomy'!$G$5:$G$24,MATCH(D419,'Risk Taxonomy'!$A$5:$A$24,0))</f>
        <v>Low</v>
      </c>
      <c r="AB419" s="7" t="str">
        <f aca="false">INDEX('Risk Taxonomy'!$H$5:$H$24,MATCH(D419,'Risk Taxonomy'!$A$5:$A$24,0))</f>
        <v>Medium</v>
      </c>
      <c r="AC419" s="35" t="str">
        <f aca="false">IF(NOT(ISNUMBER(X419)),"",IF(X419&lt;=MATCH(AB419,Config!$B$5:$B$9,0),"Within",IF(OR(X419-MATCH(AB419,Config!$B$5:$B$9,0)&gt;=2,AND('Residual Config'!$C$8="Y",ISNUMBER(SEARCH("Zero",AA419)))),"Red","Amber")))</f>
        <v>Amber</v>
      </c>
      <c r="AD419" s="12" t="str">
        <f aca="false">IF(AC419="Red","Group CCO / CRO and Country CEO within 2 business days; action plan in 15 days; report to Board Risk &amp; Compliance Committee",IF(AC419="Amber","Country CO, risk owner and HO Administrator within 5 business days; action plan in 30 days",""))</f>
        <v>Country CO, risk owner and HO Administrator within 5 business days; action plan in 30 days</v>
      </c>
    </row>
    <row r="420" customFormat="false" ht="15" hidden="false" customHeight="false" outlineLevel="0" collapsed="false">
      <c r="A420" s="26" t="str">
        <f aca="false">Entities!$A$25</f>
        <v>SD</v>
      </c>
      <c r="B420" s="12" t="str">
        <f aca="false">INDEX(Entities!$B$5:$B$34,MATCH(A420,Entities!$A$5:$A$34,0))</f>
        <v>Arab Sudanese Bank</v>
      </c>
      <c r="C420" s="12" t="str">
        <f aca="false">INDEX(Entities!$D$5:$D$34,MATCH(A420,Entities!$A$5:$A$34,0))</f>
        <v>North Africa</v>
      </c>
      <c r="D420" s="12" t="s">
        <v>310</v>
      </c>
      <c r="E420" s="12" t="str">
        <f aca="false">INDEX('Risk Taxonomy'!$B$5:$B$24,MATCH(D420,'Risk Taxonomy'!$A$5:$A$24,0))</f>
        <v>Cyber, information security and technology</v>
      </c>
      <c r="F420" s="29" t="n">
        <f aca="false">IF(NOT(ISNUMBER(G420)),"",G420)</f>
        <v>5</v>
      </c>
      <c r="G420" s="34" t="n">
        <f aca="false">IF(COUNTIFS('LxI Assessment'!$A$5:$A$394,A420,'LxI Assessment'!$D$5:$D$394,D420,'LxI Assessment'!$F$5:$F$394,"N/A")&gt;0,"N/A",IF(COUNTIFS('LxI Assessment'!$A$5:$A$394,A420,'LxI Assessment'!$D$5:$D$394,D420,'LxI Assessment'!$S$5:$S$394,"&gt;0")=0,"",SUMIFS('LxI Assessment'!$S$5:$S$394,'LxI Assessment'!$A$5:$A$394,A420,'LxI Assessment'!$D$5:$D$394,D420)))</f>
        <v>5</v>
      </c>
      <c r="H420" s="7" t="str">
        <f aca="false">IF(G420="N/A","N/A",IF(G420="","No data",INDEX(Config!$B$5:$B$9,G420)))</f>
        <v>High</v>
      </c>
      <c r="I420" s="31" t="n">
        <f aca="false">IF(NOT(ISNUMBER($G420)),"",SUMPRODUCT(('Control Mapping'!$C$5:$C$83=D420)*('Control Mapping'!$AA$5:$AA$83&gt;0)))</f>
        <v>4</v>
      </c>
      <c r="J420" s="31" t="n">
        <f aca="false">IF(NOT(ISNUMBER($G420)),"",SUMPRODUCT(('Control Mapping'!$C$5:$C$83=D420)*('Control Mapping'!$F$5:$F$83="Y")*('Control Mapping'!$AA$5:$AA$83&gt;0)))</f>
        <v>4</v>
      </c>
      <c r="K420" s="31" t="n">
        <f aca="false">IF(NOT(ISNUMBER($G420)),"",SUMPRODUCT(('Control Mapping'!$C$5:$C$83=D420)*('Control Mapping'!$F$5:$F$83="Y")*('Control Mapping'!$AA$5:$AA$83=4)))</f>
        <v>0</v>
      </c>
      <c r="L420" s="29" t="n">
        <f aca="false">IF(NOT(ISNUMBER($G420)),"",IFERROR(SUMPRODUCT(('Control Mapping'!$C$5:$C$83=D420)*'Control Mapping'!$E$5:$E$83*'Control Mapping'!$AA$5:$AA$83)/SUMPRODUCT(('Control Mapping'!$C$5:$C$83=D420)*'Control Mapping'!$E$5:$E$83*('Control Mapping'!$AA$5:$AA$83&gt;0)),""))</f>
        <v>2.28571428571429</v>
      </c>
      <c r="M420" s="34" t="n">
        <f aca="false">IF(NOT(ISNUMBER($G420)),"",IF(J420=0,4,MAX(MATCH(L420,'Residual Config'!$E$11:$E$14,1),IF(K420&gt;0,'Residual Config'!$C$7,1))))</f>
        <v>2</v>
      </c>
      <c r="N420" s="7" t="str">
        <f aca="false">IF(NOT(ISNUMBER($G420)),"",IF(J420=0,"Ineffective (no key control)",INDEX('Residual Config'!$B$11:$B$14,M420)))</f>
        <v>Largely effective</v>
      </c>
      <c r="O420" s="36" t="n">
        <f aca="false">IF(NOT(ISNUMBER($G420)),"",IF(J420=0,0,SUMPRODUCT(('Control Mapping'!$C$5:$C$83=D420)*'Control Mapping'!$E$5:$E$83*(('Control Mapping'!$AA$5:$AA$83=1)*'Residual Config'!$D$11+('Control Mapping'!$AA$5:$AA$83=2)*'Residual Config'!$D$12+('Control Mapping'!$AA$5:$AA$83=3)*'Residual Config'!$D$13+('Control Mapping'!$AA$5:$AA$83=4)*'Residual Config'!$D$14))/SUMPRODUCT(('Control Mapping'!$C$5:$C$83=D420)*'Control Mapping'!$E$5:$E$83*('Control Mapping'!$AA$5:$AA$83&gt;0))))</f>
        <v>0.342857142857143</v>
      </c>
      <c r="P420" s="31" t="n">
        <f aca="false">IF(NOT(ISNUMBER($G420)),"",INDEX('Residual Config'!$B$19:$E$23,6-G420,M420))</f>
        <v>4</v>
      </c>
      <c r="Q420" s="29" t="n">
        <f aca="false">IF(NOT(ISNUMBER($G420)),"",MAX(1,F420*(1-O420)))</f>
        <v>3.28571428571429</v>
      </c>
      <c r="R420" s="31" t="n">
        <f aca="false">IF(NOT(ISNUMBER($G420)),"",MAX(MATCH(Q420,Config!$D$5:$D$9,1),G420-'Residual Config'!$C$6))</f>
        <v>3</v>
      </c>
      <c r="S420" s="34" t="n">
        <f aca="false">IF(NOT(ISNUMBER($G420)),"",IF('Residual Config'!$C$5="Numeric",R420,P420))</f>
        <v>4</v>
      </c>
      <c r="T420" s="7" t="str">
        <f aca="false">IF(G420="N/A","N/A",IF(S420="","No data",INDEX(Config!$B$5:$B$9,S420)))</f>
        <v>Medium-High</v>
      </c>
      <c r="U420" s="32" t="n">
        <v>0</v>
      </c>
      <c r="V420" s="8"/>
      <c r="W420" s="33"/>
      <c r="X420" s="34" t="n">
        <f aca="false">IF(S420="","",IF(AND(W420="Y",U420&lt;&gt;0),MAX(1,MIN(5,S420+MAX(-Config!$C$27,MIN(Config!$C$27,U420)))),S420))</f>
        <v>4</v>
      </c>
      <c r="Y420" s="35" t="str">
        <f aca="false">IF(G420="N/A","N/A",IF(X420="","No data",INDEX(Config!$B$5:$B$9,X420)))</f>
        <v>Medium-High</v>
      </c>
      <c r="Z420" s="7" t="str">
        <f aca="false">IF(U420=0,"None",IF(W420="Y","Applied","Pending HO approval"))</f>
        <v>None</v>
      </c>
      <c r="AA420" s="12" t="str">
        <f aca="false">INDEX('Risk Taxonomy'!$G$5:$G$24,MATCH(D420,'Risk Taxonomy'!$A$5:$A$24,0))</f>
        <v>Very low</v>
      </c>
      <c r="AB420" s="7" t="str">
        <f aca="false">INDEX('Risk Taxonomy'!$H$5:$H$24,MATCH(D420,'Risk Taxonomy'!$A$5:$A$24,0))</f>
        <v>Medium-Low</v>
      </c>
      <c r="AC420" s="35" t="str">
        <f aca="false">IF(NOT(ISNUMBER(X420)),"",IF(X420&lt;=MATCH(AB420,Config!$B$5:$B$9,0),"Within",IF(OR(X420-MATCH(AB420,Config!$B$5:$B$9,0)&gt;=2,AND('Residual Config'!$C$8="Y",ISNUMBER(SEARCH("Zero",AA420)))),"Red","Amber")))</f>
        <v>Red</v>
      </c>
      <c r="AD420" s="12" t="str">
        <f aca="false">IF(AC420="Red","Group CCO / CRO and Country CEO within 2 business days; action plan in 15 days; report to Board Risk &amp; Compliance Committee",IF(AC420="Amber","Country CO, risk owner and HO Administrator within 5 business days; action plan in 30 days",""))</f>
        <v>Group CCO / CRO and Country CEO within 2 business days; action plan in 15 days; report to Board Risk &amp; Compliance Committee</v>
      </c>
    </row>
    <row r="421" customFormat="false" ht="15" hidden="false" customHeight="false" outlineLevel="0" collapsed="false">
      <c r="A421" s="26" t="str">
        <f aca="false">Entities!$A$25</f>
        <v>SD</v>
      </c>
      <c r="B421" s="12" t="str">
        <f aca="false">INDEX(Entities!$B$5:$B$34,MATCH(A421,Entities!$A$5:$A$34,0))</f>
        <v>Arab Sudanese Bank</v>
      </c>
      <c r="C421" s="12" t="str">
        <f aca="false">INDEX(Entities!$D$5:$D$34,MATCH(A421,Entities!$A$5:$A$34,0))</f>
        <v>North Africa</v>
      </c>
      <c r="D421" s="12" t="s">
        <v>313</v>
      </c>
      <c r="E421" s="12" t="str">
        <f aca="false">INDEX('Risk Taxonomy'!$B$5:$B$24,MATCH(D421,'Risk Taxonomy'!$A$5:$A$24,0))</f>
        <v>Third-party and outsourcing</v>
      </c>
      <c r="F421" s="29" t="n">
        <f aca="false">IF(NOT(ISNUMBER(G421)),"",G421)</f>
        <v>4</v>
      </c>
      <c r="G421" s="34" t="n">
        <f aca="false">IF(COUNTIFS('LxI Assessment'!$A$5:$A$394,A421,'LxI Assessment'!$D$5:$D$394,D421,'LxI Assessment'!$F$5:$F$394,"N/A")&gt;0,"N/A",IF(COUNTIFS('LxI Assessment'!$A$5:$A$394,A421,'LxI Assessment'!$D$5:$D$394,D421,'LxI Assessment'!$S$5:$S$394,"&gt;0")=0,"",SUMIFS('LxI Assessment'!$S$5:$S$394,'LxI Assessment'!$A$5:$A$394,A421,'LxI Assessment'!$D$5:$D$394,D421)))</f>
        <v>4</v>
      </c>
      <c r="H421" s="7" t="str">
        <f aca="false">IF(G421="N/A","N/A",IF(G421="","No data",INDEX(Config!$B$5:$B$9,G421)))</f>
        <v>Medium-High</v>
      </c>
      <c r="I421" s="31" t="n">
        <f aca="false">IF(NOT(ISNUMBER($G421)),"",SUMPRODUCT(('Control Mapping'!$C$5:$C$83=D421)*('Control Mapping'!$AA$5:$AA$83&gt;0)))</f>
        <v>2</v>
      </c>
      <c r="J421" s="31" t="n">
        <f aca="false">IF(NOT(ISNUMBER($G421)),"",SUMPRODUCT(('Control Mapping'!$C$5:$C$83=D421)*('Control Mapping'!$F$5:$F$83="Y")*('Control Mapping'!$AA$5:$AA$83&gt;0)))</f>
        <v>2</v>
      </c>
      <c r="K421" s="31" t="n">
        <f aca="false">IF(NOT(ISNUMBER($G421)),"",SUMPRODUCT(('Control Mapping'!$C$5:$C$83=D421)*('Control Mapping'!$F$5:$F$83="Y")*('Control Mapping'!$AA$5:$AA$83=4)))</f>
        <v>0</v>
      </c>
      <c r="L421" s="29" t="n">
        <f aca="false">IF(NOT(ISNUMBER($G421)),"",IFERROR(SUMPRODUCT(('Control Mapping'!$C$5:$C$83=D421)*'Control Mapping'!$E$5:$E$83*'Control Mapping'!$AA$5:$AA$83)/SUMPRODUCT(('Control Mapping'!$C$5:$C$83=D421)*'Control Mapping'!$E$5:$E$83*('Control Mapping'!$AA$5:$AA$83&gt;0)),""))</f>
        <v>2.75</v>
      </c>
      <c r="M421" s="34" t="n">
        <f aca="false">IF(NOT(ISNUMBER($G421)),"",IF(J421=0,4,MAX(MATCH(L421,'Residual Config'!$E$11:$E$14,1),IF(K421&gt;0,'Residual Config'!$C$7,1))))</f>
        <v>3</v>
      </c>
      <c r="N421" s="7" t="str">
        <f aca="false">IF(NOT(ISNUMBER($G421)),"",IF(J421=0,"Ineffective (no key control)",INDEX('Residual Config'!$B$11:$B$14,M421)))</f>
        <v>Partially effective</v>
      </c>
      <c r="O421" s="36" t="n">
        <f aca="false">IF(NOT(ISNUMBER($G421)),"",IF(J421=0,0,SUMPRODUCT(('Control Mapping'!$C$5:$C$83=D421)*'Control Mapping'!$E$5:$E$83*(('Control Mapping'!$AA$5:$AA$83=1)*'Residual Config'!$D$11+('Control Mapping'!$AA$5:$AA$83=2)*'Residual Config'!$D$12+('Control Mapping'!$AA$5:$AA$83=3)*'Residual Config'!$D$13+('Control Mapping'!$AA$5:$AA$83=4)*'Residual Config'!$D$14))/SUMPRODUCT(('Control Mapping'!$C$5:$C$83=D421)*'Control Mapping'!$E$5:$E$83*('Control Mapping'!$AA$5:$AA$83&gt;0))))</f>
        <v>0.25</v>
      </c>
      <c r="P421" s="31" t="n">
        <f aca="false">IF(NOT(ISNUMBER($G421)),"",INDEX('Residual Config'!$B$19:$E$23,6-G421,M421))</f>
        <v>4</v>
      </c>
      <c r="Q421" s="29" t="n">
        <f aca="false">IF(NOT(ISNUMBER($G421)),"",MAX(1,F421*(1-O421)))</f>
        <v>3</v>
      </c>
      <c r="R421" s="31" t="n">
        <f aca="false">IF(NOT(ISNUMBER($G421)),"",MAX(MATCH(Q421,Config!$D$5:$D$9,1),G421-'Residual Config'!$C$6))</f>
        <v>3</v>
      </c>
      <c r="S421" s="34" t="n">
        <f aca="false">IF(NOT(ISNUMBER($G421)),"",IF('Residual Config'!$C$5="Numeric",R421,P421))</f>
        <v>4</v>
      </c>
      <c r="T421" s="7" t="str">
        <f aca="false">IF(G421="N/A","N/A",IF(S421="","No data",INDEX(Config!$B$5:$B$9,S421)))</f>
        <v>Medium-High</v>
      </c>
      <c r="U421" s="32" t="n">
        <v>0</v>
      </c>
      <c r="V421" s="8"/>
      <c r="W421" s="33"/>
      <c r="X421" s="34" t="n">
        <f aca="false">IF(S421="","",IF(AND(W421="Y",U421&lt;&gt;0),MAX(1,MIN(5,S421+MAX(-Config!$C$27,MIN(Config!$C$27,U421)))),S421))</f>
        <v>4</v>
      </c>
      <c r="Y421" s="35" t="str">
        <f aca="false">IF(G421="N/A","N/A",IF(X421="","No data",INDEX(Config!$B$5:$B$9,X421)))</f>
        <v>Medium-High</v>
      </c>
      <c r="Z421" s="7" t="str">
        <f aca="false">IF(U421=0,"None",IF(W421="Y","Applied","Pending HO approval"))</f>
        <v>None</v>
      </c>
      <c r="AA421" s="12" t="str">
        <f aca="false">INDEX('Risk Taxonomy'!$G$5:$G$24,MATCH(D421,'Risk Taxonomy'!$A$5:$A$24,0))</f>
        <v>Low</v>
      </c>
      <c r="AB421" s="7" t="str">
        <f aca="false">INDEX('Risk Taxonomy'!$H$5:$H$24,MATCH(D421,'Risk Taxonomy'!$A$5:$A$24,0))</f>
        <v>Medium</v>
      </c>
      <c r="AC421" s="35" t="str">
        <f aca="false">IF(NOT(ISNUMBER(X421)),"",IF(X421&lt;=MATCH(AB421,Config!$B$5:$B$9,0),"Within",IF(OR(X421-MATCH(AB421,Config!$B$5:$B$9,0)&gt;=2,AND('Residual Config'!$C$8="Y",ISNUMBER(SEARCH("Zero",AA421)))),"Red","Amber")))</f>
        <v>Amber</v>
      </c>
      <c r="AD421" s="12" t="str">
        <f aca="false">IF(AC421="Red","Group CCO / CRO and Country CEO within 2 business days; action plan in 15 days; report to Board Risk &amp; Compliance Committee",IF(AC421="Amber","Country CO, risk owner and HO Administrator within 5 business days; action plan in 30 days",""))</f>
        <v>Country CO, risk owner and HO Administrator within 5 business days; action plan in 30 days</v>
      </c>
    </row>
    <row r="422" customFormat="false" ht="15" hidden="false" customHeight="false" outlineLevel="0" collapsed="false">
      <c r="A422" s="26" t="str">
        <f aca="false">Entities!$A$25</f>
        <v>SD</v>
      </c>
      <c r="B422" s="12" t="str">
        <f aca="false">INDEX(Entities!$B$5:$B$34,MATCH(A422,Entities!$A$5:$A$34,0))</f>
        <v>Arab Sudanese Bank</v>
      </c>
      <c r="C422" s="12" t="str">
        <f aca="false">INDEX(Entities!$D$5:$D$34,MATCH(A422,Entities!$A$5:$A$34,0))</f>
        <v>North Africa</v>
      </c>
      <c r="D422" s="12" t="s">
        <v>316</v>
      </c>
      <c r="E422" s="12" t="str">
        <f aca="false">INDEX('Risk Taxonomy'!$B$5:$B$24,MATCH(D422,'Risk Taxonomy'!$A$5:$A$24,0))</f>
        <v>Legal and litigation</v>
      </c>
      <c r="F422" s="29" t="n">
        <f aca="false">IF(NOT(ISNUMBER(G422)),"",G422)</f>
        <v>3</v>
      </c>
      <c r="G422" s="34" t="n">
        <f aca="false">IF(COUNTIFS('LxI Assessment'!$A$5:$A$394,A422,'LxI Assessment'!$D$5:$D$394,D422,'LxI Assessment'!$F$5:$F$394,"N/A")&gt;0,"N/A",IF(COUNTIFS('LxI Assessment'!$A$5:$A$394,A422,'LxI Assessment'!$D$5:$D$394,D422,'LxI Assessment'!$S$5:$S$394,"&gt;0")=0,"",SUMIFS('LxI Assessment'!$S$5:$S$394,'LxI Assessment'!$A$5:$A$394,A422,'LxI Assessment'!$D$5:$D$394,D422)))</f>
        <v>3</v>
      </c>
      <c r="H422" s="7" t="str">
        <f aca="false">IF(G422="N/A","N/A",IF(G422="","No data",INDEX(Config!$B$5:$B$9,G422)))</f>
        <v>Medium</v>
      </c>
      <c r="I422" s="31" t="n">
        <f aca="false">IF(NOT(ISNUMBER($G422)),"",SUMPRODUCT(('Control Mapping'!$C$5:$C$83=D422)*('Control Mapping'!$AA$5:$AA$83&gt;0)))</f>
        <v>1</v>
      </c>
      <c r="J422" s="31" t="n">
        <f aca="false">IF(NOT(ISNUMBER($G422)),"",SUMPRODUCT(('Control Mapping'!$C$5:$C$83=D422)*('Control Mapping'!$F$5:$F$83="Y")*('Control Mapping'!$AA$5:$AA$83&gt;0)))</f>
        <v>1</v>
      </c>
      <c r="K422" s="31" t="n">
        <f aca="false">IF(NOT(ISNUMBER($G422)),"",SUMPRODUCT(('Control Mapping'!$C$5:$C$83=D422)*('Control Mapping'!$F$5:$F$83="Y")*('Control Mapping'!$AA$5:$AA$83=4)))</f>
        <v>0</v>
      </c>
      <c r="L422" s="29" t="n">
        <f aca="false">IF(NOT(ISNUMBER($G422)),"",IFERROR(SUMPRODUCT(('Control Mapping'!$C$5:$C$83=D422)*'Control Mapping'!$E$5:$E$83*'Control Mapping'!$AA$5:$AA$83)/SUMPRODUCT(('Control Mapping'!$C$5:$C$83=D422)*'Control Mapping'!$E$5:$E$83*('Control Mapping'!$AA$5:$AA$83&gt;0)),""))</f>
        <v>3</v>
      </c>
      <c r="M422" s="34" t="n">
        <f aca="false">IF(NOT(ISNUMBER($G422)),"",IF(J422=0,4,MAX(MATCH(L422,'Residual Config'!$E$11:$E$14,1),IF(K422&gt;0,'Residual Config'!$C$7,1))))</f>
        <v>3</v>
      </c>
      <c r="N422" s="7" t="str">
        <f aca="false">IF(NOT(ISNUMBER($G422)),"",IF(J422=0,"Ineffective (no key control)",INDEX('Residual Config'!$B$11:$B$14,M422)))</f>
        <v>Partially effective</v>
      </c>
      <c r="O422" s="36" t="n">
        <f aca="false">IF(NOT(ISNUMBER($G422)),"",IF(J422=0,0,SUMPRODUCT(('Control Mapping'!$C$5:$C$83=D422)*'Control Mapping'!$E$5:$E$83*(('Control Mapping'!$AA$5:$AA$83=1)*'Residual Config'!$D$11+('Control Mapping'!$AA$5:$AA$83=2)*'Residual Config'!$D$12+('Control Mapping'!$AA$5:$AA$83=3)*'Residual Config'!$D$13+('Control Mapping'!$AA$5:$AA$83=4)*'Residual Config'!$D$14))/SUMPRODUCT(('Control Mapping'!$C$5:$C$83=D422)*'Control Mapping'!$E$5:$E$83*('Control Mapping'!$AA$5:$AA$83&gt;0))))</f>
        <v>0.2</v>
      </c>
      <c r="P422" s="31" t="n">
        <f aca="false">IF(NOT(ISNUMBER($G422)),"",INDEX('Residual Config'!$B$19:$E$23,6-G422,M422))</f>
        <v>3</v>
      </c>
      <c r="Q422" s="29" t="n">
        <f aca="false">IF(NOT(ISNUMBER($G422)),"",MAX(1,F422*(1-O422)))</f>
        <v>2.4</v>
      </c>
      <c r="R422" s="31" t="n">
        <f aca="false">IF(NOT(ISNUMBER($G422)),"",MAX(MATCH(Q422,Config!$D$5:$D$9,1),G422-'Residual Config'!$C$6))</f>
        <v>2</v>
      </c>
      <c r="S422" s="34" t="n">
        <f aca="false">IF(NOT(ISNUMBER($G422)),"",IF('Residual Config'!$C$5="Numeric",R422,P422))</f>
        <v>3</v>
      </c>
      <c r="T422" s="7" t="str">
        <f aca="false">IF(G422="N/A","N/A",IF(S422="","No data",INDEX(Config!$B$5:$B$9,S422)))</f>
        <v>Medium</v>
      </c>
      <c r="U422" s="32" t="n">
        <v>0</v>
      </c>
      <c r="V422" s="8"/>
      <c r="W422" s="33"/>
      <c r="X422" s="34" t="n">
        <f aca="false">IF(S422="","",IF(AND(W422="Y",U422&lt;&gt;0),MAX(1,MIN(5,S422+MAX(-Config!$C$27,MIN(Config!$C$27,U422)))),S422))</f>
        <v>3</v>
      </c>
      <c r="Y422" s="35" t="str">
        <f aca="false">IF(G422="N/A","N/A",IF(X422="","No data",INDEX(Config!$B$5:$B$9,X422)))</f>
        <v>Medium</v>
      </c>
      <c r="Z422" s="7" t="str">
        <f aca="false">IF(U422=0,"None",IF(W422="Y","Applied","Pending HO approval"))</f>
        <v>None</v>
      </c>
      <c r="AA422" s="12" t="str">
        <f aca="false">INDEX('Risk Taxonomy'!$G$5:$G$24,MATCH(D422,'Risk Taxonomy'!$A$5:$A$24,0))</f>
        <v>Very low</v>
      </c>
      <c r="AB422" s="7" t="str">
        <f aca="false">INDEX('Risk Taxonomy'!$H$5:$H$24,MATCH(D422,'Risk Taxonomy'!$A$5:$A$24,0))</f>
        <v>Medium-Low</v>
      </c>
      <c r="AC422" s="35" t="str">
        <f aca="false">IF(NOT(ISNUMBER(X422)),"",IF(X422&lt;=MATCH(AB422,Config!$B$5:$B$9,0),"Within",IF(OR(X422-MATCH(AB422,Config!$B$5:$B$9,0)&gt;=2,AND('Residual Config'!$C$8="Y",ISNUMBER(SEARCH("Zero",AA422)))),"Red","Amber")))</f>
        <v>Amber</v>
      </c>
      <c r="AD422" s="12" t="str">
        <f aca="false">IF(AC422="Red","Group CCO / CRO and Country CEO within 2 business days; action plan in 15 days; report to Board Risk &amp; Compliance Committee",IF(AC422="Amber","Country CO, risk owner and HO Administrator within 5 business days; action plan in 30 days",""))</f>
        <v>Country CO, risk owner and HO Administrator within 5 business days; action plan in 30 days</v>
      </c>
    </row>
    <row r="423" customFormat="false" ht="15" hidden="false" customHeight="false" outlineLevel="0" collapsed="false">
      <c r="A423" s="26" t="str">
        <f aca="false">Entities!$A$25</f>
        <v>SD</v>
      </c>
      <c r="B423" s="12" t="str">
        <f aca="false">INDEX(Entities!$B$5:$B$34,MATCH(A423,Entities!$A$5:$A$34,0))</f>
        <v>Arab Sudanese Bank</v>
      </c>
      <c r="C423" s="12" t="str">
        <f aca="false">INDEX(Entities!$D$5:$D$34,MATCH(A423,Entities!$A$5:$A$34,0))</f>
        <v>North Africa</v>
      </c>
      <c r="D423" s="12" t="s">
        <v>319</v>
      </c>
      <c r="E423" s="12" t="str">
        <f aca="false">INDEX('Risk Taxonomy'!$B$5:$B$24,MATCH(D423,'Risk Taxonomy'!$A$5:$A$24,0))</f>
        <v>Reputational</v>
      </c>
      <c r="F423" s="29" t="n">
        <f aca="false">IF(NOT(ISNUMBER(G423)),"",G423)</f>
        <v>4</v>
      </c>
      <c r="G423" s="34" t="n">
        <f aca="false">IF(COUNTIFS('LxI Assessment'!$A$5:$A$394,A423,'LxI Assessment'!$D$5:$D$394,D423,'LxI Assessment'!$F$5:$F$394,"N/A")&gt;0,"N/A",IF(COUNTIFS('LxI Assessment'!$A$5:$A$394,A423,'LxI Assessment'!$D$5:$D$394,D423,'LxI Assessment'!$S$5:$S$394,"&gt;0")=0,"",SUMIFS('LxI Assessment'!$S$5:$S$394,'LxI Assessment'!$A$5:$A$394,A423,'LxI Assessment'!$D$5:$D$394,D423)))</f>
        <v>4</v>
      </c>
      <c r="H423" s="7" t="str">
        <f aca="false">IF(G423="N/A","N/A",IF(G423="","No data",INDEX(Config!$B$5:$B$9,G423)))</f>
        <v>Medium-High</v>
      </c>
      <c r="I423" s="31" t="n">
        <f aca="false">IF(NOT(ISNUMBER($G423)),"",SUMPRODUCT(('Control Mapping'!$C$5:$C$83=D423)*('Control Mapping'!$AA$5:$AA$83&gt;0)))</f>
        <v>2</v>
      </c>
      <c r="J423" s="31" t="n">
        <f aca="false">IF(NOT(ISNUMBER($G423)),"",SUMPRODUCT(('Control Mapping'!$C$5:$C$83=D423)*('Control Mapping'!$F$5:$F$83="Y")*('Control Mapping'!$AA$5:$AA$83&gt;0)))</f>
        <v>1</v>
      </c>
      <c r="K423" s="31" t="n">
        <f aca="false">IF(NOT(ISNUMBER($G423)),"",SUMPRODUCT(('Control Mapping'!$C$5:$C$83=D423)*('Control Mapping'!$F$5:$F$83="Y")*('Control Mapping'!$AA$5:$AA$83=4)))</f>
        <v>1</v>
      </c>
      <c r="L423" s="29" t="n">
        <f aca="false">IF(NOT(ISNUMBER($G423)),"",IFERROR(SUMPRODUCT(('Control Mapping'!$C$5:$C$83=D423)*'Control Mapping'!$E$5:$E$83*'Control Mapping'!$AA$5:$AA$83)/SUMPRODUCT(('Control Mapping'!$C$5:$C$83=D423)*'Control Mapping'!$E$5:$E$83*('Control Mapping'!$AA$5:$AA$83&gt;0)),""))</f>
        <v>3.33333333333333</v>
      </c>
      <c r="M423" s="34" t="n">
        <f aca="false">IF(NOT(ISNUMBER($G423)),"",IF(J423=0,4,MAX(MATCH(L423,'Residual Config'!$E$11:$E$14,1),IF(K423&gt;0,'Residual Config'!$C$7,1))))</f>
        <v>3</v>
      </c>
      <c r="N423" s="7" t="str">
        <f aca="false">IF(NOT(ISNUMBER($G423)),"",IF(J423=0,"Ineffective (no key control)",INDEX('Residual Config'!$B$11:$B$14,M423)))</f>
        <v>Partially effective</v>
      </c>
      <c r="O423" s="36" t="n">
        <f aca="false">IF(NOT(ISNUMBER($G423)),"",IF(J423=0,0,SUMPRODUCT(('Control Mapping'!$C$5:$C$83=D423)*'Control Mapping'!$E$5:$E$83*(('Control Mapping'!$AA$5:$AA$83=1)*'Residual Config'!$D$11+('Control Mapping'!$AA$5:$AA$83=2)*'Residual Config'!$D$12+('Control Mapping'!$AA$5:$AA$83=3)*'Residual Config'!$D$13+('Control Mapping'!$AA$5:$AA$83=4)*'Residual Config'!$D$14))/SUMPRODUCT(('Control Mapping'!$C$5:$C$83=D423)*'Control Mapping'!$E$5:$E$83*('Control Mapping'!$AA$5:$AA$83&gt;0))))</f>
        <v>0.133333333333333</v>
      </c>
      <c r="P423" s="31" t="n">
        <f aca="false">IF(NOT(ISNUMBER($G423)),"",INDEX('Residual Config'!$B$19:$E$23,6-G423,M423))</f>
        <v>4</v>
      </c>
      <c r="Q423" s="29" t="n">
        <f aca="false">IF(NOT(ISNUMBER($G423)),"",MAX(1,F423*(1-O423)))</f>
        <v>3.46666666666667</v>
      </c>
      <c r="R423" s="31" t="n">
        <f aca="false">IF(NOT(ISNUMBER($G423)),"",MAX(MATCH(Q423,Config!$D$5:$D$9,1),G423-'Residual Config'!$C$6))</f>
        <v>4</v>
      </c>
      <c r="S423" s="34" t="n">
        <f aca="false">IF(NOT(ISNUMBER($G423)),"",IF('Residual Config'!$C$5="Numeric",R423,P423))</f>
        <v>4</v>
      </c>
      <c r="T423" s="7" t="str">
        <f aca="false">IF(G423="N/A","N/A",IF(S423="","No data",INDEX(Config!$B$5:$B$9,S423)))</f>
        <v>Medium-High</v>
      </c>
      <c r="U423" s="32" t="n">
        <v>0</v>
      </c>
      <c r="V423" s="8"/>
      <c r="W423" s="33"/>
      <c r="X423" s="34" t="n">
        <f aca="false">IF(S423="","",IF(AND(W423="Y",U423&lt;&gt;0),MAX(1,MIN(5,S423+MAX(-Config!$C$27,MIN(Config!$C$27,U423)))),S423))</f>
        <v>4</v>
      </c>
      <c r="Y423" s="35" t="str">
        <f aca="false">IF(G423="N/A","N/A",IF(X423="","No data",INDEX(Config!$B$5:$B$9,X423)))</f>
        <v>Medium-High</v>
      </c>
      <c r="Z423" s="7" t="str">
        <f aca="false">IF(U423=0,"None",IF(W423="Y","Applied","Pending HO approval"))</f>
        <v>None</v>
      </c>
      <c r="AA423" s="12" t="str">
        <f aca="false">INDEX('Risk Taxonomy'!$G$5:$G$24,MATCH(D423,'Risk Taxonomy'!$A$5:$A$24,0))</f>
        <v>Low</v>
      </c>
      <c r="AB423" s="7" t="str">
        <f aca="false">INDEX('Risk Taxonomy'!$H$5:$H$24,MATCH(D423,'Risk Taxonomy'!$A$5:$A$24,0))</f>
        <v>Medium</v>
      </c>
      <c r="AC423" s="35" t="str">
        <f aca="false">IF(NOT(ISNUMBER(X423)),"",IF(X423&lt;=MATCH(AB423,Config!$B$5:$B$9,0),"Within",IF(OR(X423-MATCH(AB423,Config!$B$5:$B$9,0)&gt;=2,AND('Residual Config'!$C$8="Y",ISNUMBER(SEARCH("Zero",AA423)))),"Red","Amber")))</f>
        <v>Amber</v>
      </c>
      <c r="AD423" s="12" t="str">
        <f aca="false">IF(AC423="Red","Group CCO / CRO and Country CEO within 2 business days; action plan in 15 days; report to Board Risk &amp; Compliance Committee",IF(AC423="Amber","Country CO, risk owner and HO Administrator within 5 business days; action plan in 30 days",""))</f>
        <v>Country CO, risk owner and HO Administrator within 5 business days; action plan in 30 days</v>
      </c>
    </row>
    <row r="424" customFormat="false" ht="15" hidden="false" customHeight="false" outlineLevel="0" collapsed="false">
      <c r="A424" s="26" t="str">
        <f aca="false">Entities!$A$25</f>
        <v>SD</v>
      </c>
      <c r="B424" s="12" t="str">
        <f aca="false">INDEX(Entities!$B$5:$B$34,MATCH(A424,Entities!$A$5:$A$34,0))</f>
        <v>Arab Sudanese Bank</v>
      </c>
      <c r="C424" s="12" t="str">
        <f aca="false">INDEX(Entities!$D$5:$D$34,MATCH(A424,Entities!$A$5:$A$34,0))</f>
        <v>North Africa</v>
      </c>
      <c r="D424" s="12" t="s">
        <v>322</v>
      </c>
      <c r="E424" s="12" t="str">
        <f aca="false">INDEX('Risk Taxonomy'!$B$5:$B$24,MATCH(D424,'Risk Taxonomy'!$A$5:$A$24,0))</f>
        <v>Strategic, business model and ESG</v>
      </c>
      <c r="F424" s="29" t="n">
        <f aca="false">IF(NOT(ISNUMBER(G424)),"",G424)</f>
        <v>3</v>
      </c>
      <c r="G424" s="34" t="n">
        <f aca="false">IF(COUNTIFS('LxI Assessment'!$A$5:$A$394,A424,'LxI Assessment'!$D$5:$D$394,D424,'LxI Assessment'!$F$5:$F$394,"N/A")&gt;0,"N/A",IF(COUNTIFS('LxI Assessment'!$A$5:$A$394,A424,'LxI Assessment'!$D$5:$D$394,D424,'LxI Assessment'!$S$5:$S$394,"&gt;0")=0,"",SUMIFS('LxI Assessment'!$S$5:$S$394,'LxI Assessment'!$A$5:$A$394,A424,'LxI Assessment'!$D$5:$D$394,D424)))</f>
        <v>3</v>
      </c>
      <c r="H424" s="7" t="str">
        <f aca="false">IF(G424="N/A","N/A",IF(G424="","No data",INDEX(Config!$B$5:$B$9,G424)))</f>
        <v>Medium</v>
      </c>
      <c r="I424" s="31" t="n">
        <f aca="false">IF(NOT(ISNUMBER($G424)),"",SUMPRODUCT(('Control Mapping'!$C$5:$C$83=D424)*('Control Mapping'!$AA$5:$AA$83&gt;0)))</f>
        <v>1</v>
      </c>
      <c r="J424" s="31" t="n">
        <f aca="false">IF(NOT(ISNUMBER($G424)),"",SUMPRODUCT(('Control Mapping'!$C$5:$C$83=D424)*('Control Mapping'!$F$5:$F$83="Y")*('Control Mapping'!$AA$5:$AA$83&gt;0)))</f>
        <v>1</v>
      </c>
      <c r="K424" s="31" t="n">
        <f aca="false">IF(NOT(ISNUMBER($G424)),"",SUMPRODUCT(('Control Mapping'!$C$5:$C$83=D424)*('Control Mapping'!$F$5:$F$83="Y")*('Control Mapping'!$AA$5:$AA$83=4)))</f>
        <v>1</v>
      </c>
      <c r="L424" s="29" t="n">
        <f aca="false">IF(NOT(ISNUMBER($G424)),"",IFERROR(SUMPRODUCT(('Control Mapping'!$C$5:$C$83=D424)*'Control Mapping'!$E$5:$E$83*'Control Mapping'!$AA$5:$AA$83)/SUMPRODUCT(('Control Mapping'!$C$5:$C$83=D424)*'Control Mapping'!$E$5:$E$83*('Control Mapping'!$AA$5:$AA$83&gt;0)),""))</f>
        <v>4</v>
      </c>
      <c r="M424" s="34" t="n">
        <f aca="false">IF(NOT(ISNUMBER($G424)),"",IF(J424=0,4,MAX(MATCH(L424,'Residual Config'!$E$11:$E$14,1),IF(K424&gt;0,'Residual Config'!$C$7,1))))</f>
        <v>4</v>
      </c>
      <c r="N424" s="7" t="str">
        <f aca="false">IF(NOT(ISNUMBER($G424)),"",IF(J424=0,"Ineffective (no key control)",INDEX('Residual Config'!$B$11:$B$14,M424)))</f>
        <v>Ineffective</v>
      </c>
      <c r="O424" s="36" t="n">
        <f aca="false">IF(NOT(ISNUMBER($G424)),"",IF(J424=0,0,SUMPRODUCT(('Control Mapping'!$C$5:$C$83=D424)*'Control Mapping'!$E$5:$E$83*(('Control Mapping'!$AA$5:$AA$83=1)*'Residual Config'!$D$11+('Control Mapping'!$AA$5:$AA$83=2)*'Residual Config'!$D$12+('Control Mapping'!$AA$5:$AA$83=3)*'Residual Config'!$D$13+('Control Mapping'!$AA$5:$AA$83=4)*'Residual Config'!$D$14))/SUMPRODUCT(('Control Mapping'!$C$5:$C$83=D424)*'Control Mapping'!$E$5:$E$83*('Control Mapping'!$AA$5:$AA$83&gt;0))))</f>
        <v>0</v>
      </c>
      <c r="P424" s="31" t="n">
        <f aca="false">IF(NOT(ISNUMBER($G424)),"",INDEX('Residual Config'!$B$19:$E$23,6-G424,M424))</f>
        <v>3</v>
      </c>
      <c r="Q424" s="29" t="n">
        <f aca="false">IF(NOT(ISNUMBER($G424)),"",MAX(1,F424*(1-O424)))</f>
        <v>3</v>
      </c>
      <c r="R424" s="31" t="n">
        <f aca="false">IF(NOT(ISNUMBER($G424)),"",MAX(MATCH(Q424,Config!$D$5:$D$9,1),G424-'Residual Config'!$C$6))</f>
        <v>3</v>
      </c>
      <c r="S424" s="34" t="n">
        <f aca="false">IF(NOT(ISNUMBER($G424)),"",IF('Residual Config'!$C$5="Numeric",R424,P424))</f>
        <v>3</v>
      </c>
      <c r="T424" s="7" t="str">
        <f aca="false">IF(G424="N/A","N/A",IF(S424="","No data",INDEX(Config!$B$5:$B$9,S424)))</f>
        <v>Medium</v>
      </c>
      <c r="U424" s="32" t="n">
        <v>0</v>
      </c>
      <c r="V424" s="8"/>
      <c r="W424" s="33"/>
      <c r="X424" s="34" t="n">
        <f aca="false">IF(S424="","",IF(AND(W424="Y",U424&lt;&gt;0),MAX(1,MIN(5,S424+MAX(-Config!$C$27,MIN(Config!$C$27,U424)))),S424))</f>
        <v>3</v>
      </c>
      <c r="Y424" s="35" t="str">
        <f aca="false">IF(G424="N/A","N/A",IF(X424="","No data",INDEX(Config!$B$5:$B$9,X424)))</f>
        <v>Medium</v>
      </c>
      <c r="Z424" s="7" t="str">
        <f aca="false">IF(U424=0,"None",IF(W424="Y","Applied","Pending HO approval"))</f>
        <v>None</v>
      </c>
      <c r="AA424" s="12" t="str">
        <f aca="false">INDEX('Risk Taxonomy'!$G$5:$G$24,MATCH(D424,'Risk Taxonomy'!$A$5:$A$24,0))</f>
        <v>Moderate</v>
      </c>
      <c r="AB424" s="7" t="str">
        <f aca="false">INDEX('Risk Taxonomy'!$H$5:$H$24,MATCH(D424,'Risk Taxonomy'!$A$5:$A$24,0))</f>
        <v>Medium-High</v>
      </c>
      <c r="AC424" s="35" t="str">
        <f aca="false">IF(NOT(ISNUMBER(X424)),"",IF(X424&lt;=MATCH(AB424,Config!$B$5:$B$9,0),"Within",IF(OR(X424-MATCH(AB424,Config!$B$5:$B$9,0)&gt;=2,AND('Residual Config'!$C$8="Y",ISNUMBER(SEARCH("Zero",AA424)))),"Red","Amber")))</f>
        <v>Within</v>
      </c>
      <c r="AD424" s="12" t="str">
        <f aca="false">IF(AC424="Red","Group CCO / CRO and Country CEO within 2 business days; action plan in 15 days; report to Board Risk &amp; Compliance Committee",IF(AC424="Amber","Country CO, risk owner and HO Administrator within 5 business days; action plan in 30 days",""))</f>
        <v/>
      </c>
    </row>
    <row r="425" customFormat="false" ht="15" hidden="false" customHeight="false" outlineLevel="0" collapsed="false">
      <c r="A425" s="26" t="str">
        <f aca="false">Entities!$A$26</f>
        <v>GB</v>
      </c>
      <c r="B425" s="12" t="str">
        <f aca="false">INDEX(Entities!$B$5:$B$34,MATCH(A425,Entities!$A$5:$A$34,0))</f>
        <v>Europe Arab Bank – United Kingdom</v>
      </c>
      <c r="C425" s="12" t="str">
        <f aca="false">INDEX(Entities!$D$5:$D$34,MATCH(A425,Entities!$A$5:$A$34,0))</f>
        <v>Europe</v>
      </c>
      <c r="D425" s="12" t="s">
        <v>260</v>
      </c>
      <c r="E425" s="12" t="str">
        <f aca="false">INDEX('Risk Taxonomy'!$B$5:$B$24,MATCH(D425,'Risk Taxonomy'!$A$5:$A$24,0))</f>
        <v>Money laundering</v>
      </c>
      <c r="F425" s="29" t="n">
        <f aca="false">IF(NOT(ISNUMBER(G425)),"",IFERROR(IF(MATCH(SUMIFS('FC Calculation'!$N$5:$N$214,'FC Calculation'!$A$5:$A$214,A425,'FC Calculation'!$D$5:$D$214,D425),Config!$D$5:$D$9,1)=G425,SUMIFS('FC Calculation'!$N$5:$N$214,'FC Calculation'!$A$5:$A$214,A425,'FC Calculation'!$D$5:$D$214,D425),G425),G425))</f>
        <v>2.11539682539683</v>
      </c>
      <c r="G425" s="34" t="n">
        <f aca="false">IF(COUNTIFS('FC Calculation'!$A$5:$A$214,A425,'FC Calculation'!$D$5:$D$214,D425,'FC Calculation'!$T$5:$T$214,"&gt;0")=0,"",SUMIFS('FC Calculation'!$T$5:$T$214,'FC Calculation'!$A$5:$A$214,A425,'FC Calculation'!$D$5:$D$214,D425))</f>
        <v>2</v>
      </c>
      <c r="H425" s="7" t="str">
        <f aca="false">IF(G425="N/A","N/A",IF(G425="","No data",INDEX(Config!$B$5:$B$9,G425)))</f>
        <v>Medium-Low</v>
      </c>
      <c r="I425" s="31" t="n">
        <f aca="false">IF(NOT(ISNUMBER($G425)),"",SUMPRODUCT(('Control Mapping'!$C$5:$C$83=D425)*('Control Mapping'!$AB$5:$AB$83&gt;0)))</f>
        <v>12</v>
      </c>
      <c r="J425" s="31" t="n">
        <f aca="false">IF(NOT(ISNUMBER($G425)),"",SUMPRODUCT(('Control Mapping'!$C$5:$C$83=D425)*('Control Mapping'!$F$5:$F$83="Y")*('Control Mapping'!$AB$5:$AB$83&gt;0)))</f>
        <v>9</v>
      </c>
      <c r="K425" s="31" t="n">
        <f aca="false">IF(NOT(ISNUMBER($G425)),"",SUMPRODUCT(('Control Mapping'!$C$5:$C$83=D425)*('Control Mapping'!$F$5:$F$83="Y")*('Control Mapping'!$AB$5:$AB$83=4)))</f>
        <v>0</v>
      </c>
      <c r="L425" s="29" t="n">
        <f aca="false">IF(NOT(ISNUMBER($G425)),"",IFERROR(SUMPRODUCT(('Control Mapping'!$C$5:$C$83=D425)*'Control Mapping'!$E$5:$E$83*'Control Mapping'!$AB$5:$AB$83)/SUMPRODUCT(('Control Mapping'!$C$5:$C$83=D425)*'Control Mapping'!$E$5:$E$83*('Control Mapping'!$AB$5:$AB$83&gt;0)),""))</f>
        <v>1.65217391304348</v>
      </c>
      <c r="M425" s="34" t="n">
        <f aca="false">IF(NOT(ISNUMBER($G425)),"",IF(J425=0,4,MAX(MATCH(L425,'Residual Config'!$E$11:$E$14,1),IF(K425&gt;0,'Residual Config'!$C$7,1))))</f>
        <v>2</v>
      </c>
      <c r="N425" s="7" t="str">
        <f aca="false">IF(NOT(ISNUMBER($G425)),"",IF(J425=0,"Ineffective (no key control)",INDEX('Residual Config'!$B$11:$B$14,M425)))</f>
        <v>Largely effective</v>
      </c>
      <c r="O425" s="36" t="n">
        <f aca="false">IF(NOT(ISNUMBER($G425)),"",IF(J425=0,0,SUMPRODUCT(('Control Mapping'!$C$5:$C$83=D425)*'Control Mapping'!$E$5:$E$83*(('Control Mapping'!$AB$5:$AB$83=1)*'Residual Config'!$D$11+('Control Mapping'!$AB$5:$AB$83=2)*'Residual Config'!$D$12+('Control Mapping'!$AB$5:$AB$83=3)*'Residual Config'!$D$13+('Control Mapping'!$AB$5:$AB$83=4)*'Residual Config'!$D$14))/SUMPRODUCT(('Control Mapping'!$C$5:$C$83=D425)*'Control Mapping'!$E$5:$E$83*('Control Mapping'!$AB$5:$AB$83&gt;0))))</f>
        <v>0.469565217391304</v>
      </c>
      <c r="P425" s="31" t="n">
        <f aca="false">IF(NOT(ISNUMBER($G425)),"",INDEX('Residual Config'!$B$19:$E$23,6-G425,M425))</f>
        <v>1</v>
      </c>
      <c r="Q425" s="29" t="n">
        <f aca="false">IF(NOT(ISNUMBER($G425)),"",MAX(1,F425*(1-O425)))</f>
        <v>1.12208005521049</v>
      </c>
      <c r="R425" s="31" t="n">
        <f aca="false">IF(NOT(ISNUMBER($G425)),"",MAX(MATCH(Q425,Config!$D$5:$D$9,1),G425-'Residual Config'!$C$6))</f>
        <v>1</v>
      </c>
      <c r="S425" s="34" t="n">
        <f aca="false">IF(NOT(ISNUMBER($G425)),"",IF('Residual Config'!$C$5="Numeric",R425,P425))</f>
        <v>1</v>
      </c>
      <c r="T425" s="7" t="str">
        <f aca="false">IF(G425="N/A","N/A",IF(S425="","No data",INDEX(Config!$B$5:$B$9,S425)))</f>
        <v>Low</v>
      </c>
      <c r="U425" s="32" t="n">
        <v>0</v>
      </c>
      <c r="V425" s="8"/>
      <c r="W425" s="33"/>
      <c r="X425" s="34" t="n">
        <f aca="false">IF(S425="","",IF(AND(W425="Y",U425&lt;&gt;0),MAX(1,MIN(5,S425+MAX(-Config!$C$27,MIN(Config!$C$27,U425)))),S425))</f>
        <v>1</v>
      </c>
      <c r="Y425" s="35" t="str">
        <f aca="false">IF(G425="N/A","N/A",IF(X425="","No data",INDEX(Config!$B$5:$B$9,X425)))</f>
        <v>Low</v>
      </c>
      <c r="Z425" s="7" t="str">
        <f aca="false">IF(U425=0,"None",IF(W425="Y","Applied","Pending HO approval"))</f>
        <v>None</v>
      </c>
      <c r="AA425" s="12" t="str">
        <f aca="false">INDEX('Risk Taxonomy'!$G$5:$G$24,MATCH(D425,'Risk Taxonomy'!$A$5:$A$24,0))</f>
        <v>Very low</v>
      </c>
      <c r="AB425" s="7" t="str">
        <f aca="false">INDEX('Risk Taxonomy'!$H$5:$H$24,MATCH(D425,'Risk Taxonomy'!$A$5:$A$24,0))</f>
        <v>Medium-Low</v>
      </c>
      <c r="AC425" s="35" t="str">
        <f aca="false">IF(NOT(ISNUMBER(X425)),"",IF(X425&lt;=MATCH(AB425,Config!$B$5:$B$9,0),"Within",IF(OR(X425-MATCH(AB425,Config!$B$5:$B$9,0)&gt;=2,AND('Residual Config'!$C$8="Y",ISNUMBER(SEARCH("Zero",AA425)))),"Red","Amber")))</f>
        <v>Within</v>
      </c>
      <c r="AD425" s="12" t="str">
        <f aca="false">IF(AC425="Red","Group CCO / CRO and Country CEO within 2 business days; action plan in 15 days; report to Board Risk &amp; Compliance Committee",IF(AC425="Amber","Country CO, risk owner and HO Administrator within 5 business days; action plan in 30 days",""))</f>
        <v/>
      </c>
    </row>
    <row r="426" customFormat="false" ht="15" hidden="false" customHeight="false" outlineLevel="0" collapsed="false">
      <c r="A426" s="26" t="str">
        <f aca="false">Entities!$A$26</f>
        <v>GB</v>
      </c>
      <c r="B426" s="12" t="str">
        <f aca="false">INDEX(Entities!$B$5:$B$34,MATCH(A426,Entities!$A$5:$A$34,0))</f>
        <v>Europe Arab Bank – United Kingdom</v>
      </c>
      <c r="C426" s="12" t="str">
        <f aca="false">INDEX(Entities!$D$5:$D$34,MATCH(A426,Entities!$A$5:$A$34,0))</f>
        <v>Europe</v>
      </c>
      <c r="D426" s="12" t="s">
        <v>267</v>
      </c>
      <c r="E426" s="12" t="str">
        <f aca="false">INDEX('Risk Taxonomy'!$B$5:$B$24,MATCH(D426,'Risk Taxonomy'!$A$5:$A$24,0))</f>
        <v>Terrorist financing</v>
      </c>
      <c r="F426" s="29" t="n">
        <f aca="false">IF(NOT(ISNUMBER(G426)),"",IFERROR(IF(MATCH(SUMIFS('FC Calculation'!$N$5:$N$214,'FC Calculation'!$A$5:$A$214,A426,'FC Calculation'!$D$5:$D$214,D426),Config!$D$5:$D$9,1)=G426,SUMIFS('FC Calculation'!$N$5:$N$214,'FC Calculation'!$A$5:$A$214,A426,'FC Calculation'!$D$5:$D$214,D426),G426),G426))</f>
        <v>2.13333333333333</v>
      </c>
      <c r="G426" s="34" t="n">
        <f aca="false">IF(COUNTIFS('FC Calculation'!$A$5:$A$214,A426,'FC Calculation'!$D$5:$D$214,D426,'FC Calculation'!$T$5:$T$214,"&gt;0")=0,"",SUMIFS('FC Calculation'!$T$5:$T$214,'FC Calculation'!$A$5:$A$214,A426,'FC Calculation'!$D$5:$D$214,D426))</f>
        <v>2</v>
      </c>
      <c r="H426" s="7" t="str">
        <f aca="false">IF(G426="N/A","N/A",IF(G426="","No data",INDEX(Config!$B$5:$B$9,G426)))</f>
        <v>Medium-Low</v>
      </c>
      <c r="I426" s="31" t="n">
        <f aca="false">IF(NOT(ISNUMBER($G426)),"",SUMPRODUCT(('Control Mapping'!$C$5:$C$83=D426)*('Control Mapping'!$AB$5:$AB$83&gt;0)))</f>
        <v>12</v>
      </c>
      <c r="J426" s="31" t="n">
        <f aca="false">IF(NOT(ISNUMBER($G426)),"",SUMPRODUCT(('Control Mapping'!$C$5:$C$83=D426)*('Control Mapping'!$F$5:$F$83="Y")*('Control Mapping'!$AB$5:$AB$83&gt;0)))</f>
        <v>9</v>
      </c>
      <c r="K426" s="31" t="n">
        <f aca="false">IF(NOT(ISNUMBER($G426)),"",SUMPRODUCT(('Control Mapping'!$C$5:$C$83=D426)*('Control Mapping'!$F$5:$F$83="Y")*('Control Mapping'!$AB$5:$AB$83=4)))</f>
        <v>0</v>
      </c>
      <c r="L426" s="29" t="n">
        <f aca="false">IF(NOT(ISNUMBER($G426)),"",IFERROR(SUMPRODUCT(('Control Mapping'!$C$5:$C$83=D426)*'Control Mapping'!$E$5:$E$83*'Control Mapping'!$AB$5:$AB$83)/SUMPRODUCT(('Control Mapping'!$C$5:$C$83=D426)*'Control Mapping'!$E$5:$E$83*('Control Mapping'!$AB$5:$AB$83&gt;0)),""))</f>
        <v>1.68421052631579</v>
      </c>
      <c r="M426" s="34" t="n">
        <f aca="false">IF(NOT(ISNUMBER($G426)),"",IF(J426=0,4,MAX(MATCH(L426,'Residual Config'!$E$11:$E$14,1),IF(K426&gt;0,'Residual Config'!$C$7,1))))</f>
        <v>2</v>
      </c>
      <c r="N426" s="7" t="str">
        <f aca="false">IF(NOT(ISNUMBER($G426)),"",IF(J426=0,"Ineffective (no key control)",INDEX('Residual Config'!$B$11:$B$14,M426)))</f>
        <v>Largely effective</v>
      </c>
      <c r="O426" s="36" t="n">
        <f aca="false">IF(NOT(ISNUMBER($G426)),"",IF(J426=0,0,SUMPRODUCT(('Control Mapping'!$C$5:$C$83=D426)*'Control Mapping'!$E$5:$E$83*(('Control Mapping'!$AB$5:$AB$83=1)*'Residual Config'!$D$11+('Control Mapping'!$AB$5:$AB$83=2)*'Residual Config'!$D$12+('Control Mapping'!$AB$5:$AB$83=3)*'Residual Config'!$D$13+('Control Mapping'!$AB$5:$AB$83=4)*'Residual Config'!$D$14))/SUMPRODUCT(('Control Mapping'!$C$5:$C$83=D426)*'Control Mapping'!$E$5:$E$83*('Control Mapping'!$AB$5:$AB$83&gt;0))))</f>
        <v>0.463157894736842</v>
      </c>
      <c r="P426" s="31" t="n">
        <f aca="false">IF(NOT(ISNUMBER($G426)),"",INDEX('Residual Config'!$B$19:$E$23,6-G426,M426))</f>
        <v>1</v>
      </c>
      <c r="Q426" s="29" t="n">
        <f aca="false">IF(NOT(ISNUMBER($G426)),"",MAX(1,F426*(1-O426)))</f>
        <v>1.14526315789474</v>
      </c>
      <c r="R426" s="31" t="n">
        <f aca="false">IF(NOT(ISNUMBER($G426)),"",MAX(MATCH(Q426,Config!$D$5:$D$9,1),G426-'Residual Config'!$C$6))</f>
        <v>1</v>
      </c>
      <c r="S426" s="34" t="n">
        <f aca="false">IF(NOT(ISNUMBER($G426)),"",IF('Residual Config'!$C$5="Numeric",R426,P426))</f>
        <v>1</v>
      </c>
      <c r="T426" s="7" t="str">
        <f aca="false">IF(G426="N/A","N/A",IF(S426="","No data",INDEX(Config!$B$5:$B$9,S426)))</f>
        <v>Low</v>
      </c>
      <c r="U426" s="32" t="n">
        <v>0</v>
      </c>
      <c r="V426" s="8"/>
      <c r="W426" s="33"/>
      <c r="X426" s="34" t="n">
        <f aca="false">IF(S426="","",IF(AND(W426="Y",U426&lt;&gt;0),MAX(1,MIN(5,S426+MAX(-Config!$C$27,MIN(Config!$C$27,U426)))),S426))</f>
        <v>1</v>
      </c>
      <c r="Y426" s="35" t="str">
        <f aca="false">IF(G426="N/A","N/A",IF(X426="","No data",INDEX(Config!$B$5:$B$9,X426)))</f>
        <v>Low</v>
      </c>
      <c r="Z426" s="7" t="str">
        <f aca="false">IF(U426=0,"None",IF(W426="Y","Applied","Pending HO approval"))</f>
        <v>None</v>
      </c>
      <c r="AA426" s="12" t="str">
        <f aca="false">INDEX('Risk Taxonomy'!$G$5:$G$24,MATCH(D426,'Risk Taxonomy'!$A$5:$A$24,0))</f>
        <v>Zero tolerance</v>
      </c>
      <c r="AB426" s="7" t="str">
        <f aca="false">INDEX('Risk Taxonomy'!$H$5:$H$24,MATCH(D426,'Risk Taxonomy'!$A$5:$A$24,0))</f>
        <v>Low</v>
      </c>
      <c r="AC426" s="35" t="str">
        <f aca="false">IF(NOT(ISNUMBER(X426)),"",IF(X426&lt;=MATCH(AB426,Config!$B$5:$B$9,0),"Within",IF(OR(X426-MATCH(AB426,Config!$B$5:$B$9,0)&gt;=2,AND('Residual Config'!$C$8="Y",ISNUMBER(SEARCH("Zero",AA426)))),"Red","Amber")))</f>
        <v>Within</v>
      </c>
      <c r="AD426" s="12" t="str">
        <f aca="false">IF(AC426="Red","Group CCO / CRO and Country CEO within 2 business days; action plan in 15 days; report to Board Risk &amp; Compliance Committee",IF(AC426="Amber","Country CO, risk owner and HO Administrator within 5 business days; action plan in 30 days",""))</f>
        <v/>
      </c>
    </row>
    <row r="427" customFormat="false" ht="15" hidden="false" customHeight="false" outlineLevel="0" collapsed="false">
      <c r="A427" s="26" t="str">
        <f aca="false">Entities!$A$26</f>
        <v>GB</v>
      </c>
      <c r="B427" s="12" t="str">
        <f aca="false">INDEX(Entities!$B$5:$B$34,MATCH(A427,Entities!$A$5:$A$34,0))</f>
        <v>Europe Arab Bank – United Kingdom</v>
      </c>
      <c r="C427" s="12" t="str">
        <f aca="false">INDEX(Entities!$D$5:$D$34,MATCH(A427,Entities!$A$5:$A$34,0))</f>
        <v>Europe</v>
      </c>
      <c r="D427" s="12" t="s">
        <v>270</v>
      </c>
      <c r="E427" s="12" t="str">
        <f aca="false">INDEX('Risk Taxonomy'!$B$5:$B$24,MATCH(D427,'Risk Taxonomy'!$A$5:$A$24,0))</f>
        <v>Proliferation financing</v>
      </c>
      <c r="F427" s="29" t="n">
        <f aca="false">IF(NOT(ISNUMBER(G427)),"",IFERROR(IF(MATCH(SUMIFS('FC Calculation'!$N$5:$N$214,'FC Calculation'!$A$5:$A$214,A427,'FC Calculation'!$D$5:$D$214,D427),Config!$D$5:$D$9,1)=G427,SUMIFS('FC Calculation'!$N$5:$N$214,'FC Calculation'!$A$5:$A$214,A427,'FC Calculation'!$D$5:$D$214,D427),G427),G427))</f>
        <v>2.05833333333333</v>
      </c>
      <c r="G427" s="34" t="n">
        <f aca="false">IF(COUNTIFS('FC Calculation'!$A$5:$A$214,A427,'FC Calculation'!$D$5:$D$214,D427,'FC Calculation'!$T$5:$T$214,"&gt;0")=0,"",SUMIFS('FC Calculation'!$T$5:$T$214,'FC Calculation'!$A$5:$A$214,A427,'FC Calculation'!$D$5:$D$214,D427))</f>
        <v>2</v>
      </c>
      <c r="H427" s="7" t="str">
        <f aca="false">IF(G427="N/A","N/A",IF(G427="","No data",INDEX(Config!$B$5:$B$9,G427)))</f>
        <v>Medium-Low</v>
      </c>
      <c r="I427" s="31" t="n">
        <f aca="false">IF(NOT(ISNUMBER($G427)),"",SUMPRODUCT(('Control Mapping'!$C$5:$C$83=D427)*('Control Mapping'!$AB$5:$AB$83&gt;0)))</f>
        <v>5</v>
      </c>
      <c r="J427" s="31" t="n">
        <f aca="false">IF(NOT(ISNUMBER($G427)),"",SUMPRODUCT(('Control Mapping'!$C$5:$C$83=D427)*('Control Mapping'!$F$5:$F$83="Y")*('Control Mapping'!$AB$5:$AB$83&gt;0)))</f>
        <v>5</v>
      </c>
      <c r="K427" s="31" t="n">
        <f aca="false">IF(NOT(ISNUMBER($G427)),"",SUMPRODUCT(('Control Mapping'!$C$5:$C$83=D427)*('Control Mapping'!$F$5:$F$83="Y")*('Control Mapping'!$AB$5:$AB$83=4)))</f>
        <v>0</v>
      </c>
      <c r="L427" s="29" t="n">
        <f aca="false">IF(NOT(ISNUMBER($G427)),"",IFERROR(SUMPRODUCT(('Control Mapping'!$C$5:$C$83=D427)*'Control Mapping'!$E$5:$E$83*'Control Mapping'!$AB$5:$AB$83)/SUMPRODUCT(('Control Mapping'!$C$5:$C$83=D427)*'Control Mapping'!$E$5:$E$83*('Control Mapping'!$AB$5:$AB$83&gt;0)),""))</f>
        <v>1.5</v>
      </c>
      <c r="M427" s="34" t="n">
        <f aca="false">IF(NOT(ISNUMBER($G427)),"",IF(J427=0,4,MAX(MATCH(L427,'Residual Config'!$E$11:$E$14,1),IF(K427&gt;0,'Residual Config'!$C$7,1))))</f>
        <v>2</v>
      </c>
      <c r="N427" s="7" t="str">
        <f aca="false">IF(NOT(ISNUMBER($G427)),"",IF(J427=0,"Ineffective (no key control)",INDEX('Residual Config'!$B$11:$B$14,M427)))</f>
        <v>Largely effective</v>
      </c>
      <c r="O427" s="36" t="n">
        <f aca="false">IF(NOT(ISNUMBER($G427)),"",IF(J427=0,0,SUMPRODUCT(('Control Mapping'!$C$5:$C$83=D427)*'Control Mapping'!$E$5:$E$83*(('Control Mapping'!$AB$5:$AB$83=1)*'Residual Config'!$D$11+('Control Mapping'!$AB$5:$AB$83=2)*'Residual Config'!$D$12+('Control Mapping'!$AB$5:$AB$83=3)*'Residual Config'!$D$13+('Control Mapping'!$AB$5:$AB$83=4)*'Residual Config'!$D$14))/SUMPRODUCT(('Control Mapping'!$C$5:$C$83=D427)*'Control Mapping'!$E$5:$E$83*('Control Mapping'!$AB$5:$AB$83&gt;0))))</f>
        <v>0.5</v>
      </c>
      <c r="P427" s="31" t="n">
        <f aca="false">IF(NOT(ISNUMBER($G427)),"",INDEX('Residual Config'!$B$19:$E$23,6-G427,M427))</f>
        <v>1</v>
      </c>
      <c r="Q427" s="29" t="n">
        <f aca="false">IF(NOT(ISNUMBER($G427)),"",MAX(1,F427*(1-O427)))</f>
        <v>1.02916666666667</v>
      </c>
      <c r="R427" s="31" t="n">
        <f aca="false">IF(NOT(ISNUMBER($G427)),"",MAX(MATCH(Q427,Config!$D$5:$D$9,1),G427-'Residual Config'!$C$6))</f>
        <v>1</v>
      </c>
      <c r="S427" s="34" t="n">
        <f aca="false">IF(NOT(ISNUMBER($G427)),"",IF('Residual Config'!$C$5="Numeric",R427,P427))</f>
        <v>1</v>
      </c>
      <c r="T427" s="7" t="str">
        <f aca="false">IF(G427="N/A","N/A",IF(S427="","No data",INDEX(Config!$B$5:$B$9,S427)))</f>
        <v>Low</v>
      </c>
      <c r="U427" s="32" t="n">
        <v>0</v>
      </c>
      <c r="V427" s="8"/>
      <c r="W427" s="33"/>
      <c r="X427" s="34" t="n">
        <f aca="false">IF(S427="","",IF(AND(W427="Y",U427&lt;&gt;0),MAX(1,MIN(5,S427+MAX(-Config!$C$27,MIN(Config!$C$27,U427)))),S427))</f>
        <v>1</v>
      </c>
      <c r="Y427" s="35" t="str">
        <f aca="false">IF(G427="N/A","N/A",IF(X427="","No data",INDEX(Config!$B$5:$B$9,X427)))</f>
        <v>Low</v>
      </c>
      <c r="Z427" s="7" t="str">
        <f aca="false">IF(U427=0,"None",IF(W427="Y","Applied","Pending HO approval"))</f>
        <v>None</v>
      </c>
      <c r="AA427" s="12" t="str">
        <f aca="false">INDEX('Risk Taxonomy'!$G$5:$G$24,MATCH(D427,'Risk Taxonomy'!$A$5:$A$24,0))</f>
        <v>Zero tolerance</v>
      </c>
      <c r="AB427" s="7" t="str">
        <f aca="false">INDEX('Risk Taxonomy'!$H$5:$H$24,MATCH(D427,'Risk Taxonomy'!$A$5:$A$24,0))</f>
        <v>Low</v>
      </c>
      <c r="AC427" s="35" t="str">
        <f aca="false">IF(NOT(ISNUMBER(X427)),"",IF(X427&lt;=MATCH(AB427,Config!$B$5:$B$9,0),"Within",IF(OR(X427-MATCH(AB427,Config!$B$5:$B$9,0)&gt;=2,AND('Residual Config'!$C$8="Y",ISNUMBER(SEARCH("Zero",AA427)))),"Red","Amber")))</f>
        <v>Within</v>
      </c>
      <c r="AD427" s="12" t="str">
        <f aca="false">IF(AC427="Red","Group CCO / CRO and Country CEO within 2 business days; action plan in 15 days; report to Board Risk &amp; Compliance Committee",IF(AC427="Amber","Country CO, risk owner and HO Administrator within 5 business days; action plan in 30 days",""))</f>
        <v/>
      </c>
    </row>
    <row r="428" customFormat="false" ht="15" hidden="false" customHeight="false" outlineLevel="0" collapsed="false">
      <c r="A428" s="26" t="str">
        <f aca="false">Entities!$A$26</f>
        <v>GB</v>
      </c>
      <c r="B428" s="12" t="str">
        <f aca="false">INDEX(Entities!$B$5:$B$34,MATCH(A428,Entities!$A$5:$A$34,0))</f>
        <v>Europe Arab Bank – United Kingdom</v>
      </c>
      <c r="C428" s="12" t="str">
        <f aca="false">INDEX(Entities!$D$5:$D$34,MATCH(A428,Entities!$A$5:$A$34,0))</f>
        <v>Europe</v>
      </c>
      <c r="D428" s="12" t="s">
        <v>272</v>
      </c>
      <c r="E428" s="12" t="str">
        <f aca="false">INDEX('Risk Taxonomy'!$B$5:$B$24,MATCH(D428,'Risk Taxonomy'!$A$5:$A$24,0))</f>
        <v>Sanctions</v>
      </c>
      <c r="F428" s="29" t="n">
        <f aca="false">IF(NOT(ISNUMBER(G428)),"",IFERROR(IF(MATCH(SUMIFS('FC Calculation'!$N$5:$N$214,'FC Calculation'!$A$5:$A$214,A428,'FC Calculation'!$D$5:$D$214,D428),Config!$D$5:$D$9,1)=G428,SUMIFS('FC Calculation'!$N$5:$N$214,'FC Calculation'!$A$5:$A$214,A428,'FC Calculation'!$D$5:$D$214,D428),G428),G428))</f>
        <v>1.86214285714286</v>
      </c>
      <c r="G428" s="34" t="n">
        <f aca="false">IF(COUNTIFS('FC Calculation'!$A$5:$A$214,A428,'FC Calculation'!$D$5:$D$214,D428,'FC Calculation'!$T$5:$T$214,"&gt;0")=0,"",SUMIFS('FC Calculation'!$T$5:$T$214,'FC Calculation'!$A$5:$A$214,A428,'FC Calculation'!$D$5:$D$214,D428))</f>
        <v>2</v>
      </c>
      <c r="H428" s="7" t="str">
        <f aca="false">IF(G428="N/A","N/A",IF(G428="","No data",INDEX(Config!$B$5:$B$9,G428)))</f>
        <v>Medium-Low</v>
      </c>
      <c r="I428" s="31" t="n">
        <f aca="false">IF(NOT(ISNUMBER($G428)),"",SUMPRODUCT(('Control Mapping'!$C$5:$C$83=D428)*('Control Mapping'!$AB$5:$AB$83&gt;0)))</f>
        <v>8</v>
      </c>
      <c r="J428" s="31" t="n">
        <f aca="false">IF(NOT(ISNUMBER($G428)),"",SUMPRODUCT(('Control Mapping'!$C$5:$C$83=D428)*('Control Mapping'!$F$5:$F$83="Y")*('Control Mapping'!$AB$5:$AB$83&gt;0)))</f>
        <v>5</v>
      </c>
      <c r="K428" s="31" t="n">
        <f aca="false">IF(NOT(ISNUMBER($G428)),"",SUMPRODUCT(('Control Mapping'!$C$5:$C$83=D428)*('Control Mapping'!$F$5:$F$83="Y")*('Control Mapping'!$AB$5:$AB$83=4)))</f>
        <v>0</v>
      </c>
      <c r="L428" s="29" t="n">
        <f aca="false">IF(NOT(ISNUMBER($G428)),"",IFERROR(SUMPRODUCT(('Control Mapping'!$C$5:$C$83=D428)*'Control Mapping'!$E$5:$E$83*'Control Mapping'!$AB$5:$AB$83)/SUMPRODUCT(('Control Mapping'!$C$5:$C$83=D428)*'Control Mapping'!$E$5:$E$83*('Control Mapping'!$AB$5:$AB$83&gt;0)),""))</f>
        <v>1.72727272727273</v>
      </c>
      <c r="M428" s="34" t="n">
        <f aca="false">IF(NOT(ISNUMBER($G428)),"",IF(J428=0,4,MAX(MATCH(L428,'Residual Config'!$E$11:$E$14,1),IF(K428&gt;0,'Residual Config'!$C$7,1))))</f>
        <v>2</v>
      </c>
      <c r="N428" s="7" t="str">
        <f aca="false">IF(NOT(ISNUMBER($G428)),"",IF(J428=0,"Ineffective (no key control)",INDEX('Residual Config'!$B$11:$B$14,M428)))</f>
        <v>Largely effective</v>
      </c>
      <c r="O428" s="36" t="n">
        <f aca="false">IF(NOT(ISNUMBER($G428)),"",IF(J428=0,0,SUMPRODUCT(('Control Mapping'!$C$5:$C$83=D428)*'Control Mapping'!$E$5:$E$83*(('Control Mapping'!$AB$5:$AB$83=1)*'Residual Config'!$D$11+('Control Mapping'!$AB$5:$AB$83=2)*'Residual Config'!$D$12+('Control Mapping'!$AB$5:$AB$83=3)*'Residual Config'!$D$13+('Control Mapping'!$AB$5:$AB$83=4)*'Residual Config'!$D$14))/SUMPRODUCT(('Control Mapping'!$C$5:$C$83=D428)*'Control Mapping'!$E$5:$E$83*('Control Mapping'!$AB$5:$AB$83&gt;0))))</f>
        <v>0.454545454545455</v>
      </c>
      <c r="P428" s="31" t="n">
        <f aca="false">IF(NOT(ISNUMBER($G428)),"",INDEX('Residual Config'!$B$19:$E$23,6-G428,M428))</f>
        <v>1</v>
      </c>
      <c r="Q428" s="29" t="n">
        <f aca="false">IF(NOT(ISNUMBER($G428)),"",MAX(1,F428*(1-O428)))</f>
        <v>1.01571428571429</v>
      </c>
      <c r="R428" s="31" t="n">
        <f aca="false">IF(NOT(ISNUMBER($G428)),"",MAX(MATCH(Q428,Config!$D$5:$D$9,1),G428-'Residual Config'!$C$6))</f>
        <v>1</v>
      </c>
      <c r="S428" s="34" t="n">
        <f aca="false">IF(NOT(ISNUMBER($G428)),"",IF('Residual Config'!$C$5="Numeric",R428,P428))</f>
        <v>1</v>
      </c>
      <c r="T428" s="7" t="str">
        <f aca="false">IF(G428="N/A","N/A",IF(S428="","No data",INDEX(Config!$B$5:$B$9,S428)))</f>
        <v>Low</v>
      </c>
      <c r="U428" s="32" t="n">
        <v>0</v>
      </c>
      <c r="V428" s="8"/>
      <c r="W428" s="33"/>
      <c r="X428" s="34" t="n">
        <f aca="false">IF(S428="","",IF(AND(W428="Y",U428&lt;&gt;0),MAX(1,MIN(5,S428+MAX(-Config!$C$27,MIN(Config!$C$27,U428)))),S428))</f>
        <v>1</v>
      </c>
      <c r="Y428" s="35" t="str">
        <f aca="false">IF(G428="N/A","N/A",IF(X428="","No data",INDEX(Config!$B$5:$B$9,X428)))</f>
        <v>Low</v>
      </c>
      <c r="Z428" s="7" t="str">
        <f aca="false">IF(U428=0,"None",IF(W428="Y","Applied","Pending HO approval"))</f>
        <v>None</v>
      </c>
      <c r="AA428" s="12" t="str">
        <f aca="false">INDEX('Risk Taxonomy'!$G$5:$G$24,MATCH(D428,'Risk Taxonomy'!$A$5:$A$24,0))</f>
        <v>Zero tolerance</v>
      </c>
      <c r="AB428" s="7" t="str">
        <f aca="false">INDEX('Risk Taxonomy'!$H$5:$H$24,MATCH(D428,'Risk Taxonomy'!$A$5:$A$24,0))</f>
        <v>Low</v>
      </c>
      <c r="AC428" s="35" t="str">
        <f aca="false">IF(NOT(ISNUMBER(X428)),"",IF(X428&lt;=MATCH(AB428,Config!$B$5:$B$9,0),"Within",IF(OR(X428-MATCH(AB428,Config!$B$5:$B$9,0)&gt;=2,AND('Residual Config'!$C$8="Y",ISNUMBER(SEARCH("Zero",AA428)))),"Red","Amber")))</f>
        <v>Within</v>
      </c>
      <c r="AD428" s="12" t="str">
        <f aca="false">IF(AC428="Red","Group CCO / CRO and Country CEO within 2 business days; action plan in 15 days; report to Board Risk &amp; Compliance Committee",IF(AC428="Amber","Country CO, risk owner and HO Administrator within 5 business days; action plan in 30 days",""))</f>
        <v/>
      </c>
    </row>
    <row r="429" customFormat="false" ht="15" hidden="false" customHeight="false" outlineLevel="0" collapsed="false">
      <c r="A429" s="26" t="str">
        <f aca="false">Entities!$A$26</f>
        <v>GB</v>
      </c>
      <c r="B429" s="12" t="str">
        <f aca="false">INDEX(Entities!$B$5:$B$34,MATCH(A429,Entities!$A$5:$A$34,0))</f>
        <v>Europe Arab Bank – United Kingdom</v>
      </c>
      <c r="C429" s="12" t="str">
        <f aca="false">INDEX(Entities!$D$5:$D$34,MATCH(A429,Entities!$A$5:$A$34,0))</f>
        <v>Europe</v>
      </c>
      <c r="D429" s="12" t="s">
        <v>275</v>
      </c>
      <c r="E429" s="12" t="str">
        <f aca="false">INDEX('Risk Taxonomy'!$B$5:$B$24,MATCH(D429,'Risk Taxonomy'!$A$5:$A$24,0))</f>
        <v>Bribery and corruption</v>
      </c>
      <c r="F429" s="29" t="n">
        <f aca="false">IF(NOT(ISNUMBER(G429)),"",IFERROR(IF(MATCH(SUMIFS('FC Calculation'!$N$5:$N$214,'FC Calculation'!$A$5:$A$214,A429,'FC Calculation'!$D$5:$D$214,D429),Config!$D$5:$D$9,1)=G429,SUMIFS('FC Calculation'!$N$5:$N$214,'FC Calculation'!$A$5:$A$214,A429,'FC Calculation'!$D$5:$D$214,D429),G429),G429))</f>
        <v>2.11</v>
      </c>
      <c r="G429" s="34" t="n">
        <f aca="false">IF(COUNTIFS('FC Calculation'!$A$5:$A$214,A429,'FC Calculation'!$D$5:$D$214,D429,'FC Calculation'!$T$5:$T$214,"&gt;0")=0,"",SUMIFS('FC Calculation'!$T$5:$T$214,'FC Calculation'!$A$5:$A$214,A429,'FC Calculation'!$D$5:$D$214,D429))</f>
        <v>2</v>
      </c>
      <c r="H429" s="7" t="str">
        <f aca="false">IF(G429="N/A","N/A",IF(G429="","No data",INDEX(Config!$B$5:$B$9,G429)))</f>
        <v>Medium-Low</v>
      </c>
      <c r="I429" s="31" t="n">
        <f aca="false">IF(NOT(ISNUMBER($G429)),"",SUMPRODUCT(('Control Mapping'!$C$5:$C$83=D429)*('Control Mapping'!$AB$5:$AB$83&gt;0)))</f>
        <v>5</v>
      </c>
      <c r="J429" s="31" t="n">
        <f aca="false">IF(NOT(ISNUMBER($G429)),"",SUMPRODUCT(('Control Mapping'!$C$5:$C$83=D429)*('Control Mapping'!$F$5:$F$83="Y")*('Control Mapping'!$AB$5:$AB$83&gt;0)))</f>
        <v>2</v>
      </c>
      <c r="K429" s="31" t="n">
        <f aca="false">IF(NOT(ISNUMBER($G429)),"",SUMPRODUCT(('Control Mapping'!$C$5:$C$83=D429)*('Control Mapping'!$F$5:$F$83="Y")*('Control Mapping'!$AB$5:$AB$83=4)))</f>
        <v>0</v>
      </c>
      <c r="L429" s="29" t="n">
        <f aca="false">IF(NOT(ISNUMBER($G429)),"",IFERROR(SUMPRODUCT(('Control Mapping'!$C$5:$C$83=D429)*'Control Mapping'!$E$5:$E$83*'Control Mapping'!$AB$5:$AB$83)/SUMPRODUCT(('Control Mapping'!$C$5:$C$83=D429)*'Control Mapping'!$E$5:$E$83*('Control Mapping'!$AB$5:$AB$83&gt;0)),""))</f>
        <v>1.66666666666667</v>
      </c>
      <c r="M429" s="34" t="n">
        <f aca="false">IF(NOT(ISNUMBER($G429)),"",IF(J429=0,4,MAX(MATCH(L429,'Residual Config'!$E$11:$E$14,1),IF(K429&gt;0,'Residual Config'!$C$7,1))))</f>
        <v>2</v>
      </c>
      <c r="N429" s="7" t="str">
        <f aca="false">IF(NOT(ISNUMBER($G429)),"",IF(J429=0,"Ineffective (no key control)",INDEX('Residual Config'!$B$11:$B$14,M429)))</f>
        <v>Largely effective</v>
      </c>
      <c r="O429" s="36" t="n">
        <f aca="false">IF(NOT(ISNUMBER($G429)),"",IF(J429=0,0,SUMPRODUCT(('Control Mapping'!$C$5:$C$83=D429)*'Control Mapping'!$E$5:$E$83*(('Control Mapping'!$AB$5:$AB$83=1)*'Residual Config'!$D$11+('Control Mapping'!$AB$5:$AB$83=2)*'Residual Config'!$D$12+('Control Mapping'!$AB$5:$AB$83=3)*'Residual Config'!$D$13+('Control Mapping'!$AB$5:$AB$83=4)*'Residual Config'!$D$14))/SUMPRODUCT(('Control Mapping'!$C$5:$C$83=D429)*'Control Mapping'!$E$5:$E$83*('Control Mapping'!$AB$5:$AB$83&gt;0))))</f>
        <v>0.466666666666667</v>
      </c>
      <c r="P429" s="31" t="n">
        <f aca="false">IF(NOT(ISNUMBER($G429)),"",INDEX('Residual Config'!$B$19:$E$23,6-G429,M429))</f>
        <v>1</v>
      </c>
      <c r="Q429" s="29" t="n">
        <f aca="false">IF(NOT(ISNUMBER($G429)),"",MAX(1,F429*(1-O429)))</f>
        <v>1.12533333333333</v>
      </c>
      <c r="R429" s="31" t="n">
        <f aca="false">IF(NOT(ISNUMBER($G429)),"",MAX(MATCH(Q429,Config!$D$5:$D$9,1),G429-'Residual Config'!$C$6))</f>
        <v>1</v>
      </c>
      <c r="S429" s="34" t="n">
        <f aca="false">IF(NOT(ISNUMBER($G429)),"",IF('Residual Config'!$C$5="Numeric",R429,P429))</f>
        <v>1</v>
      </c>
      <c r="T429" s="7" t="str">
        <f aca="false">IF(G429="N/A","N/A",IF(S429="","No data",INDEX(Config!$B$5:$B$9,S429)))</f>
        <v>Low</v>
      </c>
      <c r="U429" s="32" t="n">
        <v>0</v>
      </c>
      <c r="V429" s="8"/>
      <c r="W429" s="33"/>
      <c r="X429" s="34" t="n">
        <f aca="false">IF(S429="","",IF(AND(W429="Y",U429&lt;&gt;0),MAX(1,MIN(5,S429+MAX(-Config!$C$27,MIN(Config!$C$27,U429)))),S429))</f>
        <v>1</v>
      </c>
      <c r="Y429" s="35" t="str">
        <f aca="false">IF(G429="N/A","N/A",IF(X429="","No data",INDEX(Config!$B$5:$B$9,X429)))</f>
        <v>Low</v>
      </c>
      <c r="Z429" s="7" t="str">
        <f aca="false">IF(U429=0,"None",IF(W429="Y","Applied","Pending HO approval"))</f>
        <v>None</v>
      </c>
      <c r="AA429" s="12" t="str">
        <f aca="false">INDEX('Risk Taxonomy'!$G$5:$G$24,MATCH(D429,'Risk Taxonomy'!$A$5:$A$24,0))</f>
        <v>Zero tolerance</v>
      </c>
      <c r="AB429" s="7" t="str">
        <f aca="false">INDEX('Risk Taxonomy'!$H$5:$H$24,MATCH(D429,'Risk Taxonomy'!$A$5:$A$24,0))</f>
        <v>Low</v>
      </c>
      <c r="AC429" s="35" t="str">
        <f aca="false">IF(NOT(ISNUMBER(X429)),"",IF(X429&lt;=MATCH(AB429,Config!$B$5:$B$9,0),"Within",IF(OR(X429-MATCH(AB429,Config!$B$5:$B$9,0)&gt;=2,AND('Residual Config'!$C$8="Y",ISNUMBER(SEARCH("Zero",AA429)))),"Red","Amber")))</f>
        <v>Within</v>
      </c>
      <c r="AD429" s="12" t="str">
        <f aca="false">IF(AC429="Red","Group CCO / CRO and Country CEO within 2 business days; action plan in 15 days; report to Board Risk &amp; Compliance Committee",IF(AC429="Amber","Country CO, risk owner and HO Administrator within 5 business days; action plan in 30 days",""))</f>
        <v/>
      </c>
    </row>
    <row r="430" customFormat="false" ht="15" hidden="false" customHeight="false" outlineLevel="0" collapsed="false">
      <c r="A430" s="26" t="str">
        <f aca="false">Entities!$A$26</f>
        <v>GB</v>
      </c>
      <c r="B430" s="12" t="str">
        <f aca="false">INDEX(Entities!$B$5:$B$34,MATCH(A430,Entities!$A$5:$A$34,0))</f>
        <v>Europe Arab Bank – United Kingdom</v>
      </c>
      <c r="C430" s="12" t="str">
        <f aca="false">INDEX(Entities!$D$5:$D$34,MATCH(A430,Entities!$A$5:$A$34,0))</f>
        <v>Europe</v>
      </c>
      <c r="D430" s="12" t="s">
        <v>278</v>
      </c>
      <c r="E430" s="12" t="str">
        <f aca="false">INDEX('Risk Taxonomy'!$B$5:$B$24,MATCH(D430,'Risk Taxonomy'!$A$5:$A$24,0))</f>
        <v>Fraud</v>
      </c>
      <c r="F430" s="29" t="n">
        <f aca="false">IF(NOT(ISNUMBER(G430)),"",IFERROR(IF(MATCH(SUMIFS('FC Calculation'!$N$5:$N$214,'FC Calculation'!$A$5:$A$214,A430,'FC Calculation'!$D$5:$D$214,D430),Config!$D$5:$D$9,1)=G430,SUMIFS('FC Calculation'!$N$5:$N$214,'FC Calculation'!$A$5:$A$214,A430,'FC Calculation'!$D$5:$D$214,D430),G430),G430))</f>
        <v>2.06166666666667</v>
      </c>
      <c r="G430" s="34" t="n">
        <f aca="false">IF(COUNTIFS('FC Calculation'!$A$5:$A$214,A430,'FC Calculation'!$D$5:$D$214,D430,'FC Calculation'!$T$5:$T$214,"&gt;0")=0,"",SUMIFS('FC Calculation'!$T$5:$T$214,'FC Calculation'!$A$5:$A$214,A430,'FC Calculation'!$D$5:$D$214,D430))</f>
        <v>2</v>
      </c>
      <c r="H430" s="7" t="str">
        <f aca="false">IF(G430="N/A","N/A",IF(G430="","No data",INDEX(Config!$B$5:$B$9,G430)))</f>
        <v>Medium-Low</v>
      </c>
      <c r="I430" s="31" t="n">
        <f aca="false">IF(NOT(ISNUMBER($G430)),"",SUMPRODUCT(('Control Mapping'!$C$5:$C$83=D430)*('Control Mapping'!$AB$5:$AB$83&gt;0)))</f>
        <v>6</v>
      </c>
      <c r="J430" s="31" t="n">
        <f aca="false">IF(NOT(ISNUMBER($G430)),"",SUMPRODUCT(('Control Mapping'!$C$5:$C$83=D430)*('Control Mapping'!$F$5:$F$83="Y")*('Control Mapping'!$AB$5:$AB$83&gt;0)))</f>
        <v>5</v>
      </c>
      <c r="K430" s="31" t="n">
        <f aca="false">IF(NOT(ISNUMBER($G430)),"",SUMPRODUCT(('Control Mapping'!$C$5:$C$83=D430)*('Control Mapping'!$F$5:$F$83="Y")*('Control Mapping'!$AB$5:$AB$83=4)))</f>
        <v>0</v>
      </c>
      <c r="L430" s="29" t="n">
        <f aca="false">IF(NOT(ISNUMBER($G430)),"",IFERROR(SUMPRODUCT(('Control Mapping'!$C$5:$C$83=D430)*'Control Mapping'!$E$5:$E$83*'Control Mapping'!$AB$5:$AB$83)/SUMPRODUCT(('Control Mapping'!$C$5:$C$83=D430)*'Control Mapping'!$E$5:$E$83*('Control Mapping'!$AB$5:$AB$83&gt;0)),""))</f>
        <v>1.2</v>
      </c>
      <c r="M430" s="34" t="n">
        <f aca="false">IF(NOT(ISNUMBER($G430)),"",IF(J430=0,4,MAX(MATCH(L430,'Residual Config'!$E$11:$E$14,1),IF(K430&gt;0,'Residual Config'!$C$7,1))))</f>
        <v>1</v>
      </c>
      <c r="N430" s="7" t="str">
        <f aca="false">IF(NOT(ISNUMBER($G430)),"",IF(J430=0,"Ineffective (no key control)",INDEX('Residual Config'!$B$11:$B$14,M430)))</f>
        <v>Effective</v>
      </c>
      <c r="O430" s="36" t="n">
        <f aca="false">IF(NOT(ISNUMBER($G430)),"",IF(J430=0,0,SUMPRODUCT(('Control Mapping'!$C$5:$C$83=D430)*'Control Mapping'!$E$5:$E$83*(('Control Mapping'!$AB$5:$AB$83=1)*'Residual Config'!$D$11+('Control Mapping'!$AB$5:$AB$83=2)*'Residual Config'!$D$12+('Control Mapping'!$AB$5:$AB$83=3)*'Residual Config'!$D$13+('Control Mapping'!$AB$5:$AB$83=4)*'Residual Config'!$D$14))/SUMPRODUCT(('Control Mapping'!$C$5:$C$83=D430)*'Control Mapping'!$E$5:$E$83*('Control Mapping'!$AB$5:$AB$83&gt;0))))</f>
        <v>0.56</v>
      </c>
      <c r="P430" s="31" t="n">
        <f aca="false">IF(NOT(ISNUMBER($G430)),"",INDEX('Residual Config'!$B$19:$E$23,6-G430,M430))</f>
        <v>1</v>
      </c>
      <c r="Q430" s="29" t="n">
        <f aca="false">IF(NOT(ISNUMBER($G430)),"",MAX(1,F430*(1-O430)))</f>
        <v>1</v>
      </c>
      <c r="R430" s="31" t="n">
        <f aca="false">IF(NOT(ISNUMBER($G430)),"",MAX(MATCH(Q430,Config!$D$5:$D$9,1),G430-'Residual Config'!$C$6))</f>
        <v>1</v>
      </c>
      <c r="S430" s="34" t="n">
        <f aca="false">IF(NOT(ISNUMBER($G430)),"",IF('Residual Config'!$C$5="Numeric",R430,P430))</f>
        <v>1</v>
      </c>
      <c r="T430" s="7" t="str">
        <f aca="false">IF(G430="N/A","N/A",IF(S430="","No data",INDEX(Config!$B$5:$B$9,S430)))</f>
        <v>Low</v>
      </c>
      <c r="U430" s="32" t="n">
        <v>0</v>
      </c>
      <c r="V430" s="8"/>
      <c r="W430" s="33"/>
      <c r="X430" s="34" t="n">
        <f aca="false">IF(S430="","",IF(AND(W430="Y",U430&lt;&gt;0),MAX(1,MIN(5,S430+MAX(-Config!$C$27,MIN(Config!$C$27,U430)))),S430))</f>
        <v>1</v>
      </c>
      <c r="Y430" s="35" t="str">
        <f aca="false">IF(G430="N/A","N/A",IF(X430="","No data",INDEX(Config!$B$5:$B$9,X430)))</f>
        <v>Low</v>
      </c>
      <c r="Z430" s="7" t="str">
        <f aca="false">IF(U430=0,"None",IF(W430="Y","Applied","Pending HO approval"))</f>
        <v>None</v>
      </c>
      <c r="AA430" s="12" t="str">
        <f aca="false">INDEX('Risk Taxonomy'!$G$5:$G$24,MATCH(D430,'Risk Taxonomy'!$A$5:$A$24,0))</f>
        <v>Low</v>
      </c>
      <c r="AB430" s="7" t="str">
        <f aca="false">INDEX('Risk Taxonomy'!$H$5:$H$24,MATCH(D430,'Risk Taxonomy'!$A$5:$A$24,0))</f>
        <v>Medium</v>
      </c>
      <c r="AC430" s="35" t="str">
        <f aca="false">IF(NOT(ISNUMBER(X430)),"",IF(X430&lt;=MATCH(AB430,Config!$B$5:$B$9,0),"Within",IF(OR(X430-MATCH(AB430,Config!$B$5:$B$9,0)&gt;=2,AND('Residual Config'!$C$8="Y",ISNUMBER(SEARCH("Zero",AA430)))),"Red","Amber")))</f>
        <v>Within</v>
      </c>
      <c r="AD430" s="12" t="str">
        <f aca="false">IF(AC430="Red","Group CCO / CRO and Country CEO within 2 business days; action plan in 15 days; report to Board Risk &amp; Compliance Committee",IF(AC430="Amber","Country CO, risk owner and HO Administrator within 5 business days; action plan in 30 days",""))</f>
        <v/>
      </c>
    </row>
    <row r="431" customFormat="false" ht="15" hidden="false" customHeight="false" outlineLevel="0" collapsed="false">
      <c r="A431" s="26" t="str">
        <f aca="false">Entities!$A$26</f>
        <v>GB</v>
      </c>
      <c r="B431" s="12" t="str">
        <f aca="false">INDEX(Entities!$B$5:$B$34,MATCH(A431,Entities!$A$5:$A$34,0))</f>
        <v>Europe Arab Bank – United Kingdom</v>
      </c>
      <c r="C431" s="12" t="str">
        <f aca="false">INDEX(Entities!$D$5:$D$34,MATCH(A431,Entities!$A$5:$A$34,0))</f>
        <v>Europe</v>
      </c>
      <c r="D431" s="12" t="s">
        <v>281</v>
      </c>
      <c r="E431" s="12" t="str">
        <f aca="false">INDEX('Risk Taxonomy'!$B$5:$B$24,MATCH(D431,'Risk Taxonomy'!$A$5:$A$24,0))</f>
        <v>Tax evasion and tax transparency</v>
      </c>
      <c r="F431" s="29" t="n">
        <f aca="false">IF(NOT(ISNUMBER(G431)),"",IFERROR(IF(MATCH(SUMIFS('FC Calculation'!$N$5:$N$214,'FC Calculation'!$A$5:$A$214,A431,'FC Calculation'!$D$5:$D$214,D431),Config!$D$5:$D$9,1)=G431,SUMIFS('FC Calculation'!$N$5:$N$214,'FC Calculation'!$A$5:$A$214,A431,'FC Calculation'!$D$5:$D$214,D431),G431),G431))</f>
        <v>1.81666666666667</v>
      </c>
      <c r="G431" s="34" t="n">
        <f aca="false">IF(COUNTIFS('FC Calculation'!$A$5:$A$214,A431,'FC Calculation'!$D$5:$D$214,D431,'FC Calculation'!$T$5:$T$214,"&gt;0")=0,"",SUMIFS('FC Calculation'!$T$5:$T$214,'FC Calculation'!$A$5:$A$214,A431,'FC Calculation'!$D$5:$D$214,D431))</f>
        <v>2</v>
      </c>
      <c r="H431" s="7" t="str">
        <f aca="false">IF(G431="N/A","N/A",IF(G431="","No data",INDEX(Config!$B$5:$B$9,G431)))</f>
        <v>Medium-Low</v>
      </c>
      <c r="I431" s="31" t="n">
        <f aca="false">IF(NOT(ISNUMBER($G431)),"",SUMPRODUCT(('Control Mapping'!$C$5:$C$83=D431)*('Control Mapping'!$AB$5:$AB$83&gt;0)))</f>
        <v>5</v>
      </c>
      <c r="J431" s="31" t="n">
        <f aca="false">IF(NOT(ISNUMBER($G431)),"",SUMPRODUCT(('Control Mapping'!$C$5:$C$83=D431)*('Control Mapping'!$F$5:$F$83="Y")*('Control Mapping'!$AB$5:$AB$83&gt;0)))</f>
        <v>4</v>
      </c>
      <c r="K431" s="31" t="n">
        <f aca="false">IF(NOT(ISNUMBER($G431)),"",SUMPRODUCT(('Control Mapping'!$C$5:$C$83=D431)*('Control Mapping'!$F$5:$F$83="Y")*('Control Mapping'!$AB$5:$AB$83=4)))</f>
        <v>0</v>
      </c>
      <c r="L431" s="29" t="n">
        <f aca="false">IF(NOT(ISNUMBER($G431)),"",IFERROR(SUMPRODUCT(('Control Mapping'!$C$5:$C$83=D431)*'Control Mapping'!$E$5:$E$83*'Control Mapping'!$AB$5:$AB$83)/SUMPRODUCT(('Control Mapping'!$C$5:$C$83=D431)*'Control Mapping'!$E$5:$E$83*('Control Mapping'!$AB$5:$AB$83&gt;0)),""))</f>
        <v>1</v>
      </c>
      <c r="M431" s="34" t="n">
        <f aca="false">IF(NOT(ISNUMBER($G431)),"",IF(J431=0,4,MAX(MATCH(L431,'Residual Config'!$E$11:$E$14,1),IF(K431&gt;0,'Residual Config'!$C$7,1))))</f>
        <v>1</v>
      </c>
      <c r="N431" s="7" t="str">
        <f aca="false">IF(NOT(ISNUMBER($G431)),"",IF(J431=0,"Ineffective (no key control)",INDEX('Residual Config'!$B$11:$B$14,M431)))</f>
        <v>Effective</v>
      </c>
      <c r="O431" s="36" t="n">
        <f aca="false">IF(NOT(ISNUMBER($G431)),"",IF(J431=0,0,SUMPRODUCT(('Control Mapping'!$C$5:$C$83=D431)*'Control Mapping'!$E$5:$E$83*(('Control Mapping'!$AB$5:$AB$83=1)*'Residual Config'!$D$11+('Control Mapping'!$AB$5:$AB$83=2)*'Residual Config'!$D$12+('Control Mapping'!$AB$5:$AB$83=3)*'Residual Config'!$D$13+('Control Mapping'!$AB$5:$AB$83=4)*'Residual Config'!$D$14))/SUMPRODUCT(('Control Mapping'!$C$5:$C$83=D431)*'Control Mapping'!$E$5:$E$83*('Control Mapping'!$AB$5:$AB$83&gt;0))))</f>
        <v>0.6</v>
      </c>
      <c r="P431" s="31" t="n">
        <f aca="false">IF(NOT(ISNUMBER($G431)),"",INDEX('Residual Config'!$B$19:$E$23,6-G431,M431))</f>
        <v>1</v>
      </c>
      <c r="Q431" s="29" t="n">
        <f aca="false">IF(NOT(ISNUMBER($G431)),"",MAX(1,F431*(1-O431)))</f>
        <v>1</v>
      </c>
      <c r="R431" s="31" t="n">
        <f aca="false">IF(NOT(ISNUMBER($G431)),"",MAX(MATCH(Q431,Config!$D$5:$D$9,1),G431-'Residual Config'!$C$6))</f>
        <v>1</v>
      </c>
      <c r="S431" s="34" t="n">
        <f aca="false">IF(NOT(ISNUMBER($G431)),"",IF('Residual Config'!$C$5="Numeric",R431,P431))</f>
        <v>1</v>
      </c>
      <c r="T431" s="7" t="str">
        <f aca="false">IF(G431="N/A","N/A",IF(S431="","No data",INDEX(Config!$B$5:$B$9,S431)))</f>
        <v>Low</v>
      </c>
      <c r="U431" s="32" t="n">
        <v>0</v>
      </c>
      <c r="V431" s="8"/>
      <c r="W431" s="33"/>
      <c r="X431" s="34" t="n">
        <f aca="false">IF(S431="","",IF(AND(W431="Y",U431&lt;&gt;0),MAX(1,MIN(5,S431+MAX(-Config!$C$27,MIN(Config!$C$27,U431)))),S431))</f>
        <v>1</v>
      </c>
      <c r="Y431" s="35" t="str">
        <f aca="false">IF(G431="N/A","N/A",IF(X431="","No data",INDEX(Config!$B$5:$B$9,X431)))</f>
        <v>Low</v>
      </c>
      <c r="Z431" s="7" t="str">
        <f aca="false">IF(U431=0,"None",IF(W431="Y","Applied","Pending HO approval"))</f>
        <v>None</v>
      </c>
      <c r="AA431" s="12" t="str">
        <f aca="false">INDEX('Risk Taxonomy'!$G$5:$G$24,MATCH(D431,'Risk Taxonomy'!$A$5:$A$24,0))</f>
        <v>Zero tolerance (facilitation)</v>
      </c>
      <c r="AB431" s="7" t="str">
        <f aca="false">INDEX('Risk Taxonomy'!$H$5:$H$24,MATCH(D431,'Risk Taxonomy'!$A$5:$A$24,0))</f>
        <v>Low</v>
      </c>
      <c r="AC431" s="35" t="str">
        <f aca="false">IF(NOT(ISNUMBER(X431)),"",IF(X431&lt;=MATCH(AB431,Config!$B$5:$B$9,0),"Within",IF(OR(X431-MATCH(AB431,Config!$B$5:$B$9,0)&gt;=2,AND('Residual Config'!$C$8="Y",ISNUMBER(SEARCH("Zero",AA431)))),"Red","Amber")))</f>
        <v>Within</v>
      </c>
      <c r="AD431" s="12" t="str">
        <f aca="false">IF(AC431="Red","Group CCO / CRO and Country CEO within 2 business days; action plan in 15 days; report to Board Risk &amp; Compliance Committee",IF(AC431="Amber","Country CO, risk owner and HO Administrator within 5 business days; action plan in 30 days",""))</f>
        <v/>
      </c>
    </row>
    <row r="432" customFormat="false" ht="15" hidden="false" customHeight="false" outlineLevel="0" collapsed="false">
      <c r="A432" s="26" t="str">
        <f aca="false">Entities!$A$26</f>
        <v>GB</v>
      </c>
      <c r="B432" s="12" t="str">
        <f aca="false">INDEX(Entities!$B$5:$B$34,MATCH(A432,Entities!$A$5:$A$34,0))</f>
        <v>Europe Arab Bank – United Kingdom</v>
      </c>
      <c r="C432" s="12" t="str">
        <f aca="false">INDEX(Entities!$D$5:$D$34,MATCH(A432,Entities!$A$5:$A$34,0))</f>
        <v>Europe</v>
      </c>
      <c r="D432" s="12" t="s">
        <v>284</v>
      </c>
      <c r="E432" s="12" t="str">
        <f aca="false">INDEX('Risk Taxonomy'!$B$5:$B$24,MATCH(D432,'Risk Taxonomy'!$A$5:$A$24,0))</f>
        <v>Regulatory compliance</v>
      </c>
      <c r="F432" s="29" t="n">
        <f aca="false">IF(NOT(ISNUMBER(G432)),"",G432)</f>
        <v>1</v>
      </c>
      <c r="G432" s="34" t="n">
        <f aca="false">IF(COUNTIFS('LxI Assessment'!$A$5:$A$394,A432,'LxI Assessment'!$D$5:$D$394,D432,'LxI Assessment'!$F$5:$F$394,"N/A")&gt;0,"N/A",IF(COUNTIFS('LxI Assessment'!$A$5:$A$394,A432,'LxI Assessment'!$D$5:$D$394,D432,'LxI Assessment'!$S$5:$S$394,"&gt;0")=0,"",SUMIFS('LxI Assessment'!$S$5:$S$394,'LxI Assessment'!$A$5:$A$394,A432,'LxI Assessment'!$D$5:$D$394,D432)))</f>
        <v>1</v>
      </c>
      <c r="H432" s="7" t="str">
        <f aca="false">IF(G432="N/A","N/A",IF(G432="","No data",INDEX(Config!$B$5:$B$9,G432)))</f>
        <v>Low</v>
      </c>
      <c r="I432" s="31" t="n">
        <f aca="false">IF(NOT(ISNUMBER($G432)),"",SUMPRODUCT(('Control Mapping'!$C$5:$C$83=D432)*('Control Mapping'!$AB$5:$AB$83&gt;0)))</f>
        <v>4</v>
      </c>
      <c r="J432" s="31" t="n">
        <f aca="false">IF(NOT(ISNUMBER($G432)),"",SUMPRODUCT(('Control Mapping'!$C$5:$C$83=D432)*('Control Mapping'!$F$5:$F$83="Y")*('Control Mapping'!$AB$5:$AB$83&gt;0)))</f>
        <v>3</v>
      </c>
      <c r="K432" s="31" t="n">
        <f aca="false">IF(NOT(ISNUMBER($G432)),"",SUMPRODUCT(('Control Mapping'!$C$5:$C$83=D432)*('Control Mapping'!$F$5:$F$83="Y")*('Control Mapping'!$AB$5:$AB$83=4)))</f>
        <v>1</v>
      </c>
      <c r="L432" s="29" t="n">
        <f aca="false">IF(NOT(ISNUMBER($G432)),"",IFERROR(SUMPRODUCT(('Control Mapping'!$C$5:$C$83=D432)*'Control Mapping'!$E$5:$E$83*'Control Mapping'!$AB$5:$AB$83)/SUMPRODUCT(('Control Mapping'!$C$5:$C$83=D432)*'Control Mapping'!$E$5:$E$83*('Control Mapping'!$AB$5:$AB$83&gt;0)),""))</f>
        <v>2.42857142857143</v>
      </c>
      <c r="M432" s="34" t="n">
        <f aca="false">IF(NOT(ISNUMBER($G432)),"",IF(J432=0,4,MAX(MATCH(L432,'Residual Config'!$E$11:$E$14,1),IF(K432&gt;0,'Residual Config'!$C$7,1))))</f>
        <v>3</v>
      </c>
      <c r="N432" s="7" t="str">
        <f aca="false">IF(NOT(ISNUMBER($G432)),"",IF(J432=0,"Ineffective (no key control)",INDEX('Residual Config'!$B$11:$B$14,M432)))</f>
        <v>Partially effective</v>
      </c>
      <c r="O432" s="36" t="n">
        <f aca="false">IF(NOT(ISNUMBER($G432)),"",IF(J432=0,0,SUMPRODUCT(('Control Mapping'!$C$5:$C$83=D432)*'Control Mapping'!$E$5:$E$83*(('Control Mapping'!$AB$5:$AB$83=1)*'Residual Config'!$D$11+('Control Mapping'!$AB$5:$AB$83=2)*'Residual Config'!$D$12+('Control Mapping'!$AB$5:$AB$83=3)*'Residual Config'!$D$13+('Control Mapping'!$AB$5:$AB$83=4)*'Residual Config'!$D$14))/SUMPRODUCT(('Control Mapping'!$C$5:$C$83=D432)*'Control Mapping'!$E$5:$E$83*('Control Mapping'!$AB$5:$AB$83&gt;0))))</f>
        <v>0.314285714285714</v>
      </c>
      <c r="P432" s="31" t="n">
        <f aca="false">IF(NOT(ISNUMBER($G432)),"",INDEX('Residual Config'!$B$19:$E$23,6-G432,M432))</f>
        <v>1</v>
      </c>
      <c r="Q432" s="29" t="n">
        <f aca="false">IF(NOT(ISNUMBER($G432)),"",MAX(1,F432*(1-O432)))</f>
        <v>1</v>
      </c>
      <c r="R432" s="31" t="n">
        <f aca="false">IF(NOT(ISNUMBER($G432)),"",MAX(MATCH(Q432,Config!$D$5:$D$9,1),G432-'Residual Config'!$C$6))</f>
        <v>1</v>
      </c>
      <c r="S432" s="34" t="n">
        <f aca="false">IF(NOT(ISNUMBER($G432)),"",IF('Residual Config'!$C$5="Numeric",R432,P432))</f>
        <v>1</v>
      </c>
      <c r="T432" s="7" t="str">
        <f aca="false">IF(G432="N/A","N/A",IF(S432="","No data",INDEX(Config!$B$5:$B$9,S432)))</f>
        <v>Low</v>
      </c>
      <c r="U432" s="32" t="n">
        <v>0</v>
      </c>
      <c r="V432" s="8"/>
      <c r="W432" s="33"/>
      <c r="X432" s="34" t="n">
        <f aca="false">IF(S432="","",IF(AND(W432="Y",U432&lt;&gt;0),MAX(1,MIN(5,S432+MAX(-Config!$C$27,MIN(Config!$C$27,U432)))),S432))</f>
        <v>1</v>
      </c>
      <c r="Y432" s="35" t="str">
        <f aca="false">IF(G432="N/A","N/A",IF(X432="","No data",INDEX(Config!$B$5:$B$9,X432)))</f>
        <v>Low</v>
      </c>
      <c r="Z432" s="7" t="str">
        <f aca="false">IF(U432=0,"None",IF(W432="Y","Applied","Pending HO approval"))</f>
        <v>None</v>
      </c>
      <c r="AA432" s="12" t="str">
        <f aca="false">INDEX('Risk Taxonomy'!$G$5:$G$24,MATCH(D432,'Risk Taxonomy'!$A$5:$A$24,0))</f>
        <v>Very low</v>
      </c>
      <c r="AB432" s="7" t="str">
        <f aca="false">INDEX('Risk Taxonomy'!$H$5:$H$24,MATCH(D432,'Risk Taxonomy'!$A$5:$A$24,0))</f>
        <v>Medium-Low</v>
      </c>
      <c r="AC432" s="35" t="str">
        <f aca="false">IF(NOT(ISNUMBER(X432)),"",IF(X432&lt;=MATCH(AB432,Config!$B$5:$B$9,0),"Within",IF(OR(X432-MATCH(AB432,Config!$B$5:$B$9,0)&gt;=2,AND('Residual Config'!$C$8="Y",ISNUMBER(SEARCH("Zero",AA432)))),"Red","Amber")))</f>
        <v>Within</v>
      </c>
      <c r="AD432" s="12" t="str">
        <f aca="false">IF(AC432="Red","Group CCO / CRO and Country CEO within 2 business days; action plan in 15 days; report to Board Risk &amp; Compliance Committee",IF(AC432="Amber","Country CO, risk owner and HO Administrator within 5 business days; action plan in 30 days",""))</f>
        <v/>
      </c>
    </row>
    <row r="433" customFormat="false" ht="15" hidden="false" customHeight="false" outlineLevel="0" collapsed="false">
      <c r="A433" s="26" t="str">
        <f aca="false">Entities!$A$26</f>
        <v>GB</v>
      </c>
      <c r="B433" s="12" t="str">
        <f aca="false">INDEX(Entities!$B$5:$B$34,MATCH(A433,Entities!$A$5:$A$34,0))</f>
        <v>Europe Arab Bank – United Kingdom</v>
      </c>
      <c r="C433" s="12" t="str">
        <f aca="false">INDEX(Entities!$D$5:$D$34,MATCH(A433,Entities!$A$5:$A$34,0))</f>
        <v>Europe</v>
      </c>
      <c r="D433" s="12" t="s">
        <v>288</v>
      </c>
      <c r="E433" s="12" t="str">
        <f aca="false">INDEX('Risk Taxonomy'!$B$5:$B$24,MATCH(D433,'Risk Taxonomy'!$A$5:$A$24,0))</f>
        <v>Conduct and consumer protection</v>
      </c>
      <c r="F433" s="29" t="n">
        <f aca="false">IF(NOT(ISNUMBER(G433)),"",G433)</f>
        <v>2</v>
      </c>
      <c r="G433" s="34" t="n">
        <f aca="false">IF(COUNTIFS('LxI Assessment'!$A$5:$A$394,A433,'LxI Assessment'!$D$5:$D$394,D433,'LxI Assessment'!$F$5:$F$394,"N/A")&gt;0,"N/A",IF(COUNTIFS('LxI Assessment'!$A$5:$A$394,A433,'LxI Assessment'!$D$5:$D$394,D433,'LxI Assessment'!$S$5:$S$394,"&gt;0")=0,"",SUMIFS('LxI Assessment'!$S$5:$S$394,'LxI Assessment'!$A$5:$A$394,A433,'LxI Assessment'!$D$5:$D$394,D433)))</f>
        <v>2</v>
      </c>
      <c r="H433" s="7" t="str">
        <f aca="false">IF(G433="N/A","N/A",IF(G433="","No data",INDEX(Config!$B$5:$B$9,G433)))</f>
        <v>Medium-Low</v>
      </c>
      <c r="I433" s="31" t="n">
        <f aca="false">IF(NOT(ISNUMBER($G433)),"",SUMPRODUCT(('Control Mapping'!$C$5:$C$83=D433)*('Control Mapping'!$AB$5:$AB$83&gt;0)))</f>
        <v>2</v>
      </c>
      <c r="J433" s="31" t="n">
        <f aca="false">IF(NOT(ISNUMBER($G433)),"",SUMPRODUCT(('Control Mapping'!$C$5:$C$83=D433)*('Control Mapping'!$F$5:$F$83="Y")*('Control Mapping'!$AB$5:$AB$83&gt;0)))</f>
        <v>1</v>
      </c>
      <c r="K433" s="31" t="n">
        <f aca="false">IF(NOT(ISNUMBER($G433)),"",SUMPRODUCT(('Control Mapping'!$C$5:$C$83=D433)*('Control Mapping'!$F$5:$F$83="Y")*('Control Mapping'!$AB$5:$AB$83=4)))</f>
        <v>0</v>
      </c>
      <c r="L433" s="29" t="n">
        <f aca="false">IF(NOT(ISNUMBER($G433)),"",IFERROR(SUMPRODUCT(('Control Mapping'!$C$5:$C$83=D433)*'Control Mapping'!$E$5:$E$83*'Control Mapping'!$AB$5:$AB$83)/SUMPRODUCT(('Control Mapping'!$C$5:$C$83=D433)*'Control Mapping'!$E$5:$E$83*('Control Mapping'!$AB$5:$AB$83&gt;0)),""))</f>
        <v>1.4</v>
      </c>
      <c r="M433" s="34" t="n">
        <f aca="false">IF(NOT(ISNUMBER($G433)),"",IF(J433=0,4,MAX(MATCH(L433,'Residual Config'!$E$11:$E$14,1),IF(K433&gt;0,'Residual Config'!$C$7,1))))</f>
        <v>1</v>
      </c>
      <c r="N433" s="7" t="str">
        <f aca="false">IF(NOT(ISNUMBER($G433)),"",IF(J433=0,"Ineffective (no key control)",INDEX('Residual Config'!$B$11:$B$14,M433)))</f>
        <v>Effective</v>
      </c>
      <c r="O433" s="36" t="n">
        <f aca="false">IF(NOT(ISNUMBER($G433)),"",IF(J433=0,0,SUMPRODUCT(('Control Mapping'!$C$5:$C$83=D433)*'Control Mapping'!$E$5:$E$83*(('Control Mapping'!$AB$5:$AB$83=1)*'Residual Config'!$D$11+('Control Mapping'!$AB$5:$AB$83=2)*'Residual Config'!$D$12+('Control Mapping'!$AB$5:$AB$83=3)*'Residual Config'!$D$13+('Control Mapping'!$AB$5:$AB$83=4)*'Residual Config'!$D$14))/SUMPRODUCT(('Control Mapping'!$C$5:$C$83=D433)*'Control Mapping'!$E$5:$E$83*('Control Mapping'!$AB$5:$AB$83&gt;0))))</f>
        <v>0.52</v>
      </c>
      <c r="P433" s="31" t="n">
        <f aca="false">IF(NOT(ISNUMBER($G433)),"",INDEX('Residual Config'!$B$19:$E$23,6-G433,M433))</f>
        <v>1</v>
      </c>
      <c r="Q433" s="29" t="n">
        <f aca="false">IF(NOT(ISNUMBER($G433)),"",MAX(1,F433*(1-O433)))</f>
        <v>1</v>
      </c>
      <c r="R433" s="31" t="n">
        <f aca="false">IF(NOT(ISNUMBER($G433)),"",MAX(MATCH(Q433,Config!$D$5:$D$9,1),G433-'Residual Config'!$C$6))</f>
        <v>1</v>
      </c>
      <c r="S433" s="34" t="n">
        <f aca="false">IF(NOT(ISNUMBER($G433)),"",IF('Residual Config'!$C$5="Numeric",R433,P433))</f>
        <v>1</v>
      </c>
      <c r="T433" s="7" t="str">
        <f aca="false">IF(G433="N/A","N/A",IF(S433="","No data",INDEX(Config!$B$5:$B$9,S433)))</f>
        <v>Low</v>
      </c>
      <c r="U433" s="32" t="n">
        <v>0</v>
      </c>
      <c r="V433" s="8"/>
      <c r="W433" s="33"/>
      <c r="X433" s="34" t="n">
        <f aca="false">IF(S433="","",IF(AND(W433="Y",U433&lt;&gt;0),MAX(1,MIN(5,S433+MAX(-Config!$C$27,MIN(Config!$C$27,U433)))),S433))</f>
        <v>1</v>
      </c>
      <c r="Y433" s="35" t="str">
        <f aca="false">IF(G433="N/A","N/A",IF(X433="","No data",INDEX(Config!$B$5:$B$9,X433)))</f>
        <v>Low</v>
      </c>
      <c r="Z433" s="7" t="str">
        <f aca="false">IF(U433=0,"None",IF(W433="Y","Applied","Pending HO approval"))</f>
        <v>None</v>
      </c>
      <c r="AA433" s="12" t="str">
        <f aca="false">INDEX('Risk Taxonomy'!$G$5:$G$24,MATCH(D433,'Risk Taxonomy'!$A$5:$A$24,0))</f>
        <v>Low</v>
      </c>
      <c r="AB433" s="7" t="str">
        <f aca="false">INDEX('Risk Taxonomy'!$H$5:$H$24,MATCH(D433,'Risk Taxonomy'!$A$5:$A$24,0))</f>
        <v>Medium</v>
      </c>
      <c r="AC433" s="35" t="str">
        <f aca="false">IF(NOT(ISNUMBER(X433)),"",IF(X433&lt;=MATCH(AB433,Config!$B$5:$B$9,0),"Within",IF(OR(X433-MATCH(AB433,Config!$B$5:$B$9,0)&gt;=2,AND('Residual Config'!$C$8="Y",ISNUMBER(SEARCH("Zero",AA433)))),"Red","Amber")))</f>
        <v>Within</v>
      </c>
      <c r="AD433" s="12" t="str">
        <f aca="false">IF(AC433="Red","Group CCO / CRO and Country CEO within 2 business days; action plan in 15 days; report to Board Risk &amp; Compliance Committee",IF(AC433="Amber","Country CO, risk owner and HO Administrator within 5 business days; action plan in 30 days",""))</f>
        <v/>
      </c>
    </row>
    <row r="434" customFormat="false" ht="15" hidden="false" customHeight="false" outlineLevel="0" collapsed="false">
      <c r="A434" s="26" t="str">
        <f aca="false">Entities!$A$26</f>
        <v>GB</v>
      </c>
      <c r="B434" s="12" t="str">
        <f aca="false">INDEX(Entities!$B$5:$B$34,MATCH(A434,Entities!$A$5:$A$34,0))</f>
        <v>Europe Arab Bank – United Kingdom</v>
      </c>
      <c r="C434" s="12" t="str">
        <f aca="false">INDEX(Entities!$D$5:$D$34,MATCH(A434,Entities!$A$5:$A$34,0))</f>
        <v>Europe</v>
      </c>
      <c r="D434" s="12" t="s">
        <v>290</v>
      </c>
      <c r="E434" s="12" t="str">
        <f aca="false">INDEX('Risk Taxonomy'!$B$5:$B$24,MATCH(D434,'Risk Taxonomy'!$A$5:$A$24,0))</f>
        <v>Data protection and privacy</v>
      </c>
      <c r="F434" s="29" t="n">
        <f aca="false">IF(NOT(ISNUMBER(G434)),"",G434)</f>
        <v>1</v>
      </c>
      <c r="G434" s="34" t="n">
        <f aca="false">IF(COUNTIFS('LxI Assessment'!$A$5:$A$394,A434,'LxI Assessment'!$D$5:$D$394,D434,'LxI Assessment'!$F$5:$F$394,"N/A")&gt;0,"N/A",IF(COUNTIFS('LxI Assessment'!$A$5:$A$394,A434,'LxI Assessment'!$D$5:$D$394,D434,'LxI Assessment'!$S$5:$S$394,"&gt;0")=0,"",SUMIFS('LxI Assessment'!$S$5:$S$394,'LxI Assessment'!$A$5:$A$394,A434,'LxI Assessment'!$D$5:$D$394,D434)))</f>
        <v>1</v>
      </c>
      <c r="H434" s="7" t="str">
        <f aca="false">IF(G434="N/A","N/A",IF(G434="","No data",INDEX(Config!$B$5:$B$9,G434)))</f>
        <v>Low</v>
      </c>
      <c r="I434" s="31" t="n">
        <f aca="false">IF(NOT(ISNUMBER($G434)),"",SUMPRODUCT(('Control Mapping'!$C$5:$C$83=D434)*('Control Mapping'!$AB$5:$AB$83&gt;0)))</f>
        <v>2</v>
      </c>
      <c r="J434" s="31" t="n">
        <f aca="false">IF(NOT(ISNUMBER($G434)),"",SUMPRODUCT(('Control Mapping'!$C$5:$C$83=D434)*('Control Mapping'!$F$5:$F$83="Y")*('Control Mapping'!$AB$5:$AB$83&gt;0)))</f>
        <v>2</v>
      </c>
      <c r="K434" s="31" t="n">
        <f aca="false">IF(NOT(ISNUMBER($G434)),"",SUMPRODUCT(('Control Mapping'!$C$5:$C$83=D434)*('Control Mapping'!$F$5:$F$83="Y")*('Control Mapping'!$AB$5:$AB$83=4)))</f>
        <v>1</v>
      </c>
      <c r="L434" s="29" t="n">
        <f aca="false">IF(NOT(ISNUMBER($G434)),"",IFERROR(SUMPRODUCT(('Control Mapping'!$C$5:$C$83=D434)*'Control Mapping'!$E$5:$E$83*'Control Mapping'!$AB$5:$AB$83)/SUMPRODUCT(('Control Mapping'!$C$5:$C$83=D434)*'Control Mapping'!$E$5:$E$83*('Control Mapping'!$AB$5:$AB$83&gt;0)),""))</f>
        <v>3</v>
      </c>
      <c r="M434" s="34" t="n">
        <f aca="false">IF(NOT(ISNUMBER($G434)),"",IF(J434=0,4,MAX(MATCH(L434,'Residual Config'!$E$11:$E$14,1),IF(K434&gt;0,'Residual Config'!$C$7,1))))</f>
        <v>3</v>
      </c>
      <c r="N434" s="7" t="str">
        <f aca="false">IF(NOT(ISNUMBER($G434)),"",IF(J434=0,"Ineffective (no key control)",INDEX('Residual Config'!$B$11:$B$14,M434)))</f>
        <v>Partially effective</v>
      </c>
      <c r="O434" s="36" t="n">
        <f aca="false">IF(NOT(ISNUMBER($G434)),"",IF(J434=0,0,SUMPRODUCT(('Control Mapping'!$C$5:$C$83=D434)*'Control Mapping'!$E$5:$E$83*(('Control Mapping'!$AB$5:$AB$83=1)*'Residual Config'!$D$11+('Control Mapping'!$AB$5:$AB$83=2)*'Residual Config'!$D$12+('Control Mapping'!$AB$5:$AB$83=3)*'Residual Config'!$D$13+('Control Mapping'!$AB$5:$AB$83=4)*'Residual Config'!$D$14))/SUMPRODUCT(('Control Mapping'!$C$5:$C$83=D434)*'Control Mapping'!$E$5:$E$83*('Control Mapping'!$AB$5:$AB$83&gt;0))))</f>
        <v>0.2</v>
      </c>
      <c r="P434" s="31" t="n">
        <f aca="false">IF(NOT(ISNUMBER($G434)),"",INDEX('Residual Config'!$B$19:$E$23,6-G434,M434))</f>
        <v>1</v>
      </c>
      <c r="Q434" s="29" t="n">
        <f aca="false">IF(NOT(ISNUMBER($G434)),"",MAX(1,F434*(1-O434)))</f>
        <v>1</v>
      </c>
      <c r="R434" s="31" t="n">
        <f aca="false">IF(NOT(ISNUMBER($G434)),"",MAX(MATCH(Q434,Config!$D$5:$D$9,1),G434-'Residual Config'!$C$6))</f>
        <v>1</v>
      </c>
      <c r="S434" s="34" t="n">
        <f aca="false">IF(NOT(ISNUMBER($G434)),"",IF('Residual Config'!$C$5="Numeric",R434,P434))</f>
        <v>1</v>
      </c>
      <c r="T434" s="7" t="str">
        <f aca="false">IF(G434="N/A","N/A",IF(S434="","No data",INDEX(Config!$B$5:$B$9,S434)))</f>
        <v>Low</v>
      </c>
      <c r="U434" s="32" t="n">
        <v>0</v>
      </c>
      <c r="V434" s="8"/>
      <c r="W434" s="33"/>
      <c r="X434" s="34" t="n">
        <f aca="false">IF(S434="","",IF(AND(W434="Y",U434&lt;&gt;0),MAX(1,MIN(5,S434+MAX(-Config!$C$27,MIN(Config!$C$27,U434)))),S434))</f>
        <v>1</v>
      </c>
      <c r="Y434" s="35" t="str">
        <f aca="false">IF(G434="N/A","N/A",IF(X434="","No data",INDEX(Config!$B$5:$B$9,X434)))</f>
        <v>Low</v>
      </c>
      <c r="Z434" s="7" t="str">
        <f aca="false">IF(U434=0,"None",IF(W434="Y","Applied","Pending HO approval"))</f>
        <v>None</v>
      </c>
      <c r="AA434" s="12" t="str">
        <f aca="false">INDEX('Risk Taxonomy'!$G$5:$G$24,MATCH(D434,'Risk Taxonomy'!$A$5:$A$24,0))</f>
        <v>Very low</v>
      </c>
      <c r="AB434" s="7" t="str">
        <f aca="false">INDEX('Risk Taxonomy'!$H$5:$H$24,MATCH(D434,'Risk Taxonomy'!$A$5:$A$24,0))</f>
        <v>Medium-Low</v>
      </c>
      <c r="AC434" s="35" t="str">
        <f aca="false">IF(NOT(ISNUMBER(X434)),"",IF(X434&lt;=MATCH(AB434,Config!$B$5:$B$9,0),"Within",IF(OR(X434-MATCH(AB434,Config!$B$5:$B$9,0)&gt;=2,AND('Residual Config'!$C$8="Y",ISNUMBER(SEARCH("Zero",AA434)))),"Red","Amber")))</f>
        <v>Within</v>
      </c>
      <c r="AD434" s="12" t="str">
        <f aca="false">IF(AC434="Red","Group CCO / CRO and Country CEO within 2 business days; action plan in 15 days; report to Board Risk &amp; Compliance Committee",IF(AC434="Amber","Country CO, risk owner and HO Administrator within 5 business days; action plan in 30 days",""))</f>
        <v/>
      </c>
    </row>
    <row r="435" customFormat="false" ht="15" hidden="false" customHeight="false" outlineLevel="0" collapsed="false">
      <c r="A435" s="26" t="str">
        <f aca="false">Entities!$A$26</f>
        <v>GB</v>
      </c>
      <c r="B435" s="12" t="str">
        <f aca="false">INDEX(Entities!$B$5:$B$34,MATCH(A435,Entities!$A$5:$A$34,0))</f>
        <v>Europe Arab Bank – United Kingdom</v>
      </c>
      <c r="C435" s="12" t="str">
        <f aca="false">INDEX(Entities!$D$5:$D$34,MATCH(A435,Entities!$A$5:$A$34,0))</f>
        <v>Europe</v>
      </c>
      <c r="D435" s="12" t="s">
        <v>293</v>
      </c>
      <c r="E435" s="12" t="str">
        <f aca="false">INDEX('Risk Taxonomy'!$B$5:$B$24,MATCH(D435,'Risk Taxonomy'!$A$5:$A$24,0))</f>
        <v>Shariah non-compliance</v>
      </c>
      <c r="F435" s="29" t="str">
        <f aca="false">IF(NOT(ISNUMBER(G435)),"",G435)</f>
        <v/>
      </c>
      <c r="G435" s="34" t="str">
        <f aca="false">IF(COUNTIFS('LxI Assessment'!$A$5:$A$394,A435,'LxI Assessment'!$D$5:$D$394,D435,'LxI Assessment'!$F$5:$F$394,"N/A")&gt;0,"N/A",IF(COUNTIFS('LxI Assessment'!$A$5:$A$394,A435,'LxI Assessment'!$D$5:$D$394,D435,'LxI Assessment'!$S$5:$S$394,"&gt;0")=0,"",SUMIFS('LxI Assessment'!$S$5:$S$394,'LxI Assessment'!$A$5:$A$394,A435,'LxI Assessment'!$D$5:$D$394,D435)))</f>
        <v>N/A</v>
      </c>
      <c r="H435" s="7" t="str">
        <f aca="false">IF(G435="N/A","N/A",IF(G435="","No data",INDEX(Config!$B$5:$B$9,G435)))</f>
        <v>N/A</v>
      </c>
      <c r="I435" s="31" t="str">
        <f aca="false">IF(NOT(ISNUMBER($G435)),"",SUMPRODUCT(('Control Mapping'!$C$5:$C$83=D435)*('Control Mapping'!$AB$5:$AB$83&gt;0)))</f>
        <v/>
      </c>
      <c r="J435" s="31" t="str">
        <f aca="false">IF(NOT(ISNUMBER($G435)),"",SUMPRODUCT(('Control Mapping'!$C$5:$C$83=D435)*('Control Mapping'!$F$5:$F$83="Y")*('Control Mapping'!$AB$5:$AB$83&gt;0)))</f>
        <v/>
      </c>
      <c r="K435" s="31" t="str">
        <f aca="false">IF(NOT(ISNUMBER($G435)),"",SUMPRODUCT(('Control Mapping'!$C$5:$C$83=D435)*('Control Mapping'!$F$5:$F$83="Y")*('Control Mapping'!$AB$5:$AB$83=4)))</f>
        <v/>
      </c>
      <c r="L435" s="29" t="str">
        <f aca="false">IF(NOT(ISNUMBER($G435)),"",IFERROR(SUMPRODUCT(('Control Mapping'!$C$5:$C$83=D435)*'Control Mapping'!$E$5:$E$83*'Control Mapping'!$AB$5:$AB$83)/SUMPRODUCT(('Control Mapping'!$C$5:$C$83=D435)*'Control Mapping'!$E$5:$E$83*('Control Mapping'!$AB$5:$AB$83&gt;0)),""))</f>
        <v/>
      </c>
      <c r="M435" s="34" t="str">
        <f aca="false">IF(NOT(ISNUMBER($G435)),"",IF(J435=0,4,MAX(MATCH(L435,'Residual Config'!$E$11:$E$14,1),IF(K435&gt;0,'Residual Config'!$C$7,1))))</f>
        <v/>
      </c>
      <c r="N435" s="7" t="str">
        <f aca="false">IF(NOT(ISNUMBER($G435)),"",IF(J435=0,"Ineffective (no key control)",INDEX('Residual Config'!$B$11:$B$14,M435)))</f>
        <v/>
      </c>
      <c r="O435" s="36" t="str">
        <f aca="false">IF(NOT(ISNUMBER($G435)),"",IF(J435=0,0,SUMPRODUCT(('Control Mapping'!$C$5:$C$83=D435)*'Control Mapping'!$E$5:$E$83*(('Control Mapping'!$AB$5:$AB$83=1)*'Residual Config'!$D$11+('Control Mapping'!$AB$5:$AB$83=2)*'Residual Config'!$D$12+('Control Mapping'!$AB$5:$AB$83=3)*'Residual Config'!$D$13+('Control Mapping'!$AB$5:$AB$83=4)*'Residual Config'!$D$14))/SUMPRODUCT(('Control Mapping'!$C$5:$C$83=D435)*'Control Mapping'!$E$5:$E$83*('Control Mapping'!$AB$5:$AB$83&gt;0))))</f>
        <v/>
      </c>
      <c r="P435" s="31" t="str">
        <f aca="false">IF(NOT(ISNUMBER($G435)),"",INDEX('Residual Config'!$B$19:$E$23,6-G435,M435))</f>
        <v/>
      </c>
      <c r="Q435" s="29" t="str">
        <f aca="false">IF(NOT(ISNUMBER($G435)),"",MAX(1,F435*(1-O435)))</f>
        <v/>
      </c>
      <c r="R435" s="31" t="str">
        <f aca="false">IF(NOT(ISNUMBER($G435)),"",MAX(MATCH(Q435,Config!$D$5:$D$9,1),G435-'Residual Config'!$C$6))</f>
        <v/>
      </c>
      <c r="S435" s="34" t="str">
        <f aca="false">IF(NOT(ISNUMBER($G435)),"",IF('Residual Config'!$C$5="Numeric",R435,P435))</f>
        <v/>
      </c>
      <c r="T435" s="7" t="str">
        <f aca="false">IF(G435="N/A","N/A",IF(S435="","No data",INDEX(Config!$B$5:$B$9,S435)))</f>
        <v>N/A</v>
      </c>
      <c r="U435" s="32" t="n">
        <v>0</v>
      </c>
      <c r="V435" s="8"/>
      <c r="W435" s="33"/>
      <c r="X435" s="34" t="str">
        <f aca="false">IF(S435="","",IF(AND(W435="Y",U435&lt;&gt;0),MAX(1,MIN(5,S435+MAX(-Config!$C$27,MIN(Config!$C$27,U435)))),S435))</f>
        <v/>
      </c>
      <c r="Y435" s="35" t="str">
        <f aca="false">IF(G435="N/A","N/A",IF(X435="","No data",INDEX(Config!$B$5:$B$9,X435)))</f>
        <v>N/A</v>
      </c>
      <c r="Z435" s="7" t="str">
        <f aca="false">IF(U435=0,"None",IF(W435="Y","Applied","Pending HO approval"))</f>
        <v>None</v>
      </c>
      <c r="AA435" s="12" t="str">
        <f aca="false">INDEX('Risk Taxonomy'!$G$5:$G$24,MATCH(D435,'Risk Taxonomy'!$A$5:$A$24,0))</f>
        <v>Very low</v>
      </c>
      <c r="AB435" s="7" t="str">
        <f aca="false">INDEX('Risk Taxonomy'!$H$5:$H$24,MATCH(D435,'Risk Taxonomy'!$A$5:$A$24,0))</f>
        <v>Medium-Low</v>
      </c>
      <c r="AC435" s="35" t="str">
        <f aca="false">IF(NOT(ISNUMBER(X435)),"",IF(X435&lt;=MATCH(AB435,Config!$B$5:$B$9,0),"Within",IF(OR(X435-MATCH(AB435,Config!$B$5:$B$9,0)&gt;=2,AND('Residual Config'!$C$8="Y",ISNUMBER(SEARCH("Zero",AA435)))),"Red","Amber")))</f>
        <v/>
      </c>
      <c r="AD435" s="12" t="str">
        <f aca="false">IF(AC435="Red","Group CCO / CRO and Country CEO within 2 business days; action plan in 15 days; report to Board Risk &amp; Compliance Committee",IF(AC435="Amber","Country CO, risk owner and HO Administrator within 5 business days; action plan in 30 days",""))</f>
        <v/>
      </c>
    </row>
    <row r="436" customFormat="false" ht="15" hidden="false" customHeight="false" outlineLevel="0" collapsed="false">
      <c r="A436" s="26" t="str">
        <f aca="false">Entities!$A$26</f>
        <v>GB</v>
      </c>
      <c r="B436" s="12" t="str">
        <f aca="false">INDEX(Entities!$B$5:$B$34,MATCH(A436,Entities!$A$5:$A$34,0))</f>
        <v>Europe Arab Bank – United Kingdom</v>
      </c>
      <c r="C436" s="12" t="str">
        <f aca="false">INDEX(Entities!$D$5:$D$34,MATCH(A436,Entities!$A$5:$A$34,0))</f>
        <v>Europe</v>
      </c>
      <c r="D436" s="12" t="s">
        <v>297</v>
      </c>
      <c r="E436" s="12" t="str">
        <f aca="false">INDEX('Risk Taxonomy'!$B$5:$B$24,MATCH(D436,'Risk Taxonomy'!$A$5:$A$24,0))</f>
        <v>Credit risk</v>
      </c>
      <c r="F436" s="29" t="n">
        <f aca="false">IF(NOT(ISNUMBER(G436)),"",G436)</f>
        <v>2</v>
      </c>
      <c r="G436" s="34" t="n">
        <f aca="false">IF(COUNTIFS('LxI Assessment'!$A$5:$A$394,A436,'LxI Assessment'!$D$5:$D$394,D436,'LxI Assessment'!$F$5:$F$394,"N/A")&gt;0,"N/A",IF(COUNTIFS('LxI Assessment'!$A$5:$A$394,A436,'LxI Assessment'!$D$5:$D$394,D436,'LxI Assessment'!$S$5:$S$394,"&gt;0")=0,"",SUMIFS('LxI Assessment'!$S$5:$S$394,'LxI Assessment'!$A$5:$A$394,A436,'LxI Assessment'!$D$5:$D$394,D436)))</f>
        <v>2</v>
      </c>
      <c r="H436" s="7" t="str">
        <f aca="false">IF(G436="N/A","N/A",IF(G436="","No data",INDEX(Config!$B$5:$B$9,G436)))</f>
        <v>Medium-Low</v>
      </c>
      <c r="I436" s="31" t="n">
        <f aca="false">IF(NOT(ISNUMBER($G436)),"",SUMPRODUCT(('Control Mapping'!$C$5:$C$83=D436)*('Control Mapping'!$AB$5:$AB$83&gt;0)))</f>
        <v>2</v>
      </c>
      <c r="J436" s="31" t="n">
        <f aca="false">IF(NOT(ISNUMBER($G436)),"",SUMPRODUCT(('Control Mapping'!$C$5:$C$83=D436)*('Control Mapping'!$F$5:$F$83="Y")*('Control Mapping'!$AB$5:$AB$83&gt;0)))</f>
        <v>1</v>
      </c>
      <c r="K436" s="31" t="n">
        <f aca="false">IF(NOT(ISNUMBER($G436)),"",SUMPRODUCT(('Control Mapping'!$C$5:$C$83=D436)*('Control Mapping'!$F$5:$F$83="Y")*('Control Mapping'!$AB$5:$AB$83=4)))</f>
        <v>0</v>
      </c>
      <c r="L436" s="29" t="n">
        <f aca="false">IF(NOT(ISNUMBER($G436)),"",IFERROR(SUMPRODUCT(('Control Mapping'!$C$5:$C$83=D436)*'Control Mapping'!$E$5:$E$83*'Control Mapping'!$AB$5:$AB$83)/SUMPRODUCT(('Control Mapping'!$C$5:$C$83=D436)*'Control Mapping'!$E$5:$E$83*('Control Mapping'!$AB$5:$AB$83&gt;0)),""))</f>
        <v>2</v>
      </c>
      <c r="M436" s="34" t="n">
        <f aca="false">IF(NOT(ISNUMBER($G436)),"",IF(J436=0,4,MAX(MATCH(L436,'Residual Config'!$E$11:$E$14,1),IF(K436&gt;0,'Residual Config'!$C$7,1))))</f>
        <v>2</v>
      </c>
      <c r="N436" s="7" t="str">
        <f aca="false">IF(NOT(ISNUMBER($G436)),"",IF(J436=0,"Ineffective (no key control)",INDEX('Residual Config'!$B$11:$B$14,M436)))</f>
        <v>Largely effective</v>
      </c>
      <c r="O436" s="36" t="n">
        <f aca="false">IF(NOT(ISNUMBER($G436)),"",IF(J436=0,0,SUMPRODUCT(('Control Mapping'!$C$5:$C$83=D436)*'Control Mapping'!$E$5:$E$83*(('Control Mapping'!$AB$5:$AB$83=1)*'Residual Config'!$D$11+('Control Mapping'!$AB$5:$AB$83=2)*'Residual Config'!$D$12+('Control Mapping'!$AB$5:$AB$83=3)*'Residual Config'!$D$13+('Control Mapping'!$AB$5:$AB$83=4)*'Residual Config'!$D$14))/SUMPRODUCT(('Control Mapping'!$C$5:$C$83=D436)*'Control Mapping'!$E$5:$E$83*('Control Mapping'!$AB$5:$AB$83&gt;0))))</f>
        <v>0.4</v>
      </c>
      <c r="P436" s="31" t="n">
        <f aca="false">IF(NOT(ISNUMBER($G436)),"",INDEX('Residual Config'!$B$19:$E$23,6-G436,M436))</f>
        <v>1</v>
      </c>
      <c r="Q436" s="29" t="n">
        <f aca="false">IF(NOT(ISNUMBER($G436)),"",MAX(1,F436*(1-O436)))</f>
        <v>1.2</v>
      </c>
      <c r="R436" s="31" t="n">
        <f aca="false">IF(NOT(ISNUMBER($G436)),"",MAX(MATCH(Q436,Config!$D$5:$D$9,1),G436-'Residual Config'!$C$6))</f>
        <v>1</v>
      </c>
      <c r="S436" s="34" t="n">
        <f aca="false">IF(NOT(ISNUMBER($G436)),"",IF('Residual Config'!$C$5="Numeric",R436,P436))</f>
        <v>1</v>
      </c>
      <c r="T436" s="7" t="str">
        <f aca="false">IF(G436="N/A","N/A",IF(S436="","No data",INDEX(Config!$B$5:$B$9,S436)))</f>
        <v>Low</v>
      </c>
      <c r="U436" s="32" t="n">
        <v>0</v>
      </c>
      <c r="V436" s="8"/>
      <c r="W436" s="33"/>
      <c r="X436" s="34" t="n">
        <f aca="false">IF(S436="","",IF(AND(W436="Y",U436&lt;&gt;0),MAX(1,MIN(5,S436+MAX(-Config!$C$27,MIN(Config!$C$27,U436)))),S436))</f>
        <v>1</v>
      </c>
      <c r="Y436" s="35" t="str">
        <f aca="false">IF(G436="N/A","N/A",IF(X436="","No data",INDEX(Config!$B$5:$B$9,X436)))</f>
        <v>Low</v>
      </c>
      <c r="Z436" s="7" t="str">
        <f aca="false">IF(U436=0,"None",IF(W436="Y","Applied","Pending HO approval"))</f>
        <v>None</v>
      </c>
      <c r="AA436" s="12" t="str">
        <f aca="false">INDEX('Risk Taxonomy'!$G$5:$G$24,MATCH(D436,'Risk Taxonomy'!$A$5:$A$24,0))</f>
        <v>Moderate</v>
      </c>
      <c r="AB436" s="7" t="str">
        <f aca="false">INDEX('Risk Taxonomy'!$H$5:$H$24,MATCH(D436,'Risk Taxonomy'!$A$5:$A$24,0))</f>
        <v>Medium-High</v>
      </c>
      <c r="AC436" s="35" t="str">
        <f aca="false">IF(NOT(ISNUMBER(X436)),"",IF(X436&lt;=MATCH(AB436,Config!$B$5:$B$9,0),"Within",IF(OR(X436-MATCH(AB436,Config!$B$5:$B$9,0)&gt;=2,AND('Residual Config'!$C$8="Y",ISNUMBER(SEARCH("Zero",AA436)))),"Red","Amber")))</f>
        <v>Within</v>
      </c>
      <c r="AD436" s="12" t="str">
        <f aca="false">IF(AC436="Red","Group CCO / CRO and Country CEO within 2 business days; action plan in 15 days; report to Board Risk &amp; Compliance Committee",IF(AC436="Amber","Country CO, risk owner and HO Administrator within 5 business days; action plan in 30 days",""))</f>
        <v/>
      </c>
    </row>
    <row r="437" customFormat="false" ht="15" hidden="false" customHeight="false" outlineLevel="0" collapsed="false">
      <c r="A437" s="26" t="str">
        <f aca="false">Entities!$A$26</f>
        <v>GB</v>
      </c>
      <c r="B437" s="12" t="str">
        <f aca="false">INDEX(Entities!$B$5:$B$34,MATCH(A437,Entities!$A$5:$A$34,0))</f>
        <v>Europe Arab Bank – United Kingdom</v>
      </c>
      <c r="C437" s="12" t="str">
        <f aca="false">INDEX(Entities!$D$5:$D$34,MATCH(A437,Entities!$A$5:$A$34,0))</f>
        <v>Europe</v>
      </c>
      <c r="D437" s="12" t="s">
        <v>302</v>
      </c>
      <c r="E437" s="12" t="str">
        <f aca="false">INDEX('Risk Taxonomy'!$B$5:$B$24,MATCH(D437,'Risk Taxonomy'!$A$5:$A$24,0))</f>
        <v>Market risk</v>
      </c>
      <c r="F437" s="29" t="n">
        <f aca="false">IF(NOT(ISNUMBER(G437)),"",G437)</f>
        <v>1</v>
      </c>
      <c r="G437" s="34" t="n">
        <f aca="false">IF(COUNTIFS('LxI Assessment'!$A$5:$A$394,A437,'LxI Assessment'!$D$5:$D$394,D437,'LxI Assessment'!$F$5:$F$394,"N/A")&gt;0,"N/A",IF(COUNTIFS('LxI Assessment'!$A$5:$A$394,A437,'LxI Assessment'!$D$5:$D$394,D437,'LxI Assessment'!$S$5:$S$394,"&gt;0")=0,"",SUMIFS('LxI Assessment'!$S$5:$S$394,'LxI Assessment'!$A$5:$A$394,A437,'LxI Assessment'!$D$5:$D$394,D437)))</f>
        <v>1</v>
      </c>
      <c r="H437" s="7" t="str">
        <f aca="false">IF(G437="N/A","N/A",IF(G437="","No data",INDEX(Config!$B$5:$B$9,G437)))</f>
        <v>Low</v>
      </c>
      <c r="I437" s="31" t="n">
        <f aca="false">IF(NOT(ISNUMBER($G437)),"",SUMPRODUCT(('Control Mapping'!$C$5:$C$83=D437)*('Control Mapping'!$AB$5:$AB$83&gt;0)))</f>
        <v>1</v>
      </c>
      <c r="J437" s="31" t="n">
        <f aca="false">IF(NOT(ISNUMBER($G437)),"",SUMPRODUCT(('Control Mapping'!$C$5:$C$83=D437)*('Control Mapping'!$F$5:$F$83="Y")*('Control Mapping'!$AB$5:$AB$83&gt;0)))</f>
        <v>1</v>
      </c>
      <c r="K437" s="31" t="n">
        <f aca="false">IF(NOT(ISNUMBER($G437)),"",SUMPRODUCT(('Control Mapping'!$C$5:$C$83=D437)*('Control Mapping'!$F$5:$F$83="Y")*('Control Mapping'!$AB$5:$AB$83=4)))</f>
        <v>0</v>
      </c>
      <c r="L437" s="29" t="n">
        <f aca="false">IF(NOT(ISNUMBER($G437)),"",IFERROR(SUMPRODUCT(('Control Mapping'!$C$5:$C$83=D437)*'Control Mapping'!$E$5:$E$83*'Control Mapping'!$AB$5:$AB$83)/SUMPRODUCT(('Control Mapping'!$C$5:$C$83=D437)*'Control Mapping'!$E$5:$E$83*('Control Mapping'!$AB$5:$AB$83&gt;0)),""))</f>
        <v>2</v>
      </c>
      <c r="M437" s="34" t="n">
        <f aca="false">IF(NOT(ISNUMBER($G437)),"",IF(J437=0,4,MAX(MATCH(L437,'Residual Config'!$E$11:$E$14,1),IF(K437&gt;0,'Residual Config'!$C$7,1))))</f>
        <v>2</v>
      </c>
      <c r="N437" s="7" t="str">
        <f aca="false">IF(NOT(ISNUMBER($G437)),"",IF(J437=0,"Ineffective (no key control)",INDEX('Residual Config'!$B$11:$B$14,M437)))</f>
        <v>Largely effective</v>
      </c>
      <c r="O437" s="36" t="n">
        <f aca="false">IF(NOT(ISNUMBER($G437)),"",IF(J437=0,0,SUMPRODUCT(('Control Mapping'!$C$5:$C$83=D437)*'Control Mapping'!$E$5:$E$83*(('Control Mapping'!$AB$5:$AB$83=1)*'Residual Config'!$D$11+('Control Mapping'!$AB$5:$AB$83=2)*'Residual Config'!$D$12+('Control Mapping'!$AB$5:$AB$83=3)*'Residual Config'!$D$13+('Control Mapping'!$AB$5:$AB$83=4)*'Residual Config'!$D$14))/SUMPRODUCT(('Control Mapping'!$C$5:$C$83=D437)*'Control Mapping'!$E$5:$E$83*('Control Mapping'!$AB$5:$AB$83&gt;0))))</f>
        <v>0.4</v>
      </c>
      <c r="P437" s="31" t="n">
        <f aca="false">IF(NOT(ISNUMBER($G437)),"",INDEX('Residual Config'!$B$19:$E$23,6-G437,M437))</f>
        <v>1</v>
      </c>
      <c r="Q437" s="29" t="n">
        <f aca="false">IF(NOT(ISNUMBER($G437)),"",MAX(1,F437*(1-O437)))</f>
        <v>1</v>
      </c>
      <c r="R437" s="31" t="n">
        <f aca="false">IF(NOT(ISNUMBER($G437)),"",MAX(MATCH(Q437,Config!$D$5:$D$9,1),G437-'Residual Config'!$C$6))</f>
        <v>1</v>
      </c>
      <c r="S437" s="34" t="n">
        <f aca="false">IF(NOT(ISNUMBER($G437)),"",IF('Residual Config'!$C$5="Numeric",R437,P437))</f>
        <v>1</v>
      </c>
      <c r="T437" s="7" t="str">
        <f aca="false">IF(G437="N/A","N/A",IF(S437="","No data",INDEX(Config!$B$5:$B$9,S437)))</f>
        <v>Low</v>
      </c>
      <c r="U437" s="32" t="n">
        <v>0</v>
      </c>
      <c r="V437" s="8"/>
      <c r="W437" s="33"/>
      <c r="X437" s="34" t="n">
        <f aca="false">IF(S437="","",IF(AND(W437="Y",U437&lt;&gt;0),MAX(1,MIN(5,S437+MAX(-Config!$C$27,MIN(Config!$C$27,U437)))),S437))</f>
        <v>1</v>
      </c>
      <c r="Y437" s="35" t="str">
        <f aca="false">IF(G437="N/A","N/A",IF(X437="","No data",INDEX(Config!$B$5:$B$9,X437)))</f>
        <v>Low</v>
      </c>
      <c r="Z437" s="7" t="str">
        <f aca="false">IF(U437=0,"None",IF(W437="Y","Applied","Pending HO approval"))</f>
        <v>None</v>
      </c>
      <c r="AA437" s="12" t="str">
        <f aca="false">INDEX('Risk Taxonomy'!$G$5:$G$24,MATCH(D437,'Risk Taxonomy'!$A$5:$A$24,0))</f>
        <v>Moderate</v>
      </c>
      <c r="AB437" s="7" t="str">
        <f aca="false">INDEX('Risk Taxonomy'!$H$5:$H$24,MATCH(D437,'Risk Taxonomy'!$A$5:$A$24,0))</f>
        <v>Medium-High</v>
      </c>
      <c r="AC437" s="35" t="str">
        <f aca="false">IF(NOT(ISNUMBER(X437)),"",IF(X437&lt;=MATCH(AB437,Config!$B$5:$B$9,0),"Within",IF(OR(X437-MATCH(AB437,Config!$B$5:$B$9,0)&gt;=2,AND('Residual Config'!$C$8="Y",ISNUMBER(SEARCH("Zero",AA437)))),"Red","Amber")))</f>
        <v>Within</v>
      </c>
      <c r="AD437" s="12" t="str">
        <f aca="false">IF(AC437="Red","Group CCO / CRO and Country CEO within 2 business days; action plan in 15 days; report to Board Risk &amp; Compliance Committee",IF(AC437="Amber","Country CO, risk owner and HO Administrator within 5 business days; action plan in 30 days",""))</f>
        <v/>
      </c>
    </row>
    <row r="438" customFormat="false" ht="15" hidden="false" customHeight="false" outlineLevel="0" collapsed="false">
      <c r="A438" s="26" t="str">
        <f aca="false">Entities!$A$26</f>
        <v>GB</v>
      </c>
      <c r="B438" s="12" t="str">
        <f aca="false">INDEX(Entities!$B$5:$B$34,MATCH(A438,Entities!$A$5:$A$34,0))</f>
        <v>Europe Arab Bank – United Kingdom</v>
      </c>
      <c r="C438" s="12" t="str">
        <f aca="false">INDEX(Entities!$D$5:$D$34,MATCH(A438,Entities!$A$5:$A$34,0))</f>
        <v>Europe</v>
      </c>
      <c r="D438" s="12" t="s">
        <v>304</v>
      </c>
      <c r="E438" s="12" t="str">
        <f aca="false">INDEX('Risk Taxonomy'!$B$5:$B$24,MATCH(D438,'Risk Taxonomy'!$A$5:$A$24,0))</f>
        <v>Liquidity and funding risk</v>
      </c>
      <c r="F438" s="29" t="n">
        <f aca="false">IF(NOT(ISNUMBER(G438)),"",G438)</f>
        <v>2</v>
      </c>
      <c r="G438" s="34" t="n">
        <f aca="false">IF(COUNTIFS('LxI Assessment'!$A$5:$A$394,A438,'LxI Assessment'!$D$5:$D$394,D438,'LxI Assessment'!$F$5:$F$394,"N/A")&gt;0,"N/A",IF(COUNTIFS('LxI Assessment'!$A$5:$A$394,A438,'LxI Assessment'!$D$5:$D$394,D438,'LxI Assessment'!$S$5:$S$394,"&gt;0")=0,"",SUMIFS('LxI Assessment'!$S$5:$S$394,'LxI Assessment'!$A$5:$A$394,A438,'LxI Assessment'!$D$5:$D$394,D438)))</f>
        <v>2</v>
      </c>
      <c r="H438" s="7" t="str">
        <f aca="false">IF(G438="N/A","N/A",IF(G438="","No data",INDEX(Config!$B$5:$B$9,G438)))</f>
        <v>Medium-Low</v>
      </c>
      <c r="I438" s="31" t="n">
        <f aca="false">IF(NOT(ISNUMBER($G438)),"",SUMPRODUCT(('Control Mapping'!$C$5:$C$83=D438)*('Control Mapping'!$AB$5:$AB$83&gt;0)))</f>
        <v>1</v>
      </c>
      <c r="J438" s="31" t="n">
        <f aca="false">IF(NOT(ISNUMBER($G438)),"",SUMPRODUCT(('Control Mapping'!$C$5:$C$83=D438)*('Control Mapping'!$F$5:$F$83="Y")*('Control Mapping'!$AB$5:$AB$83&gt;0)))</f>
        <v>1</v>
      </c>
      <c r="K438" s="31" t="n">
        <f aca="false">IF(NOT(ISNUMBER($G438)),"",SUMPRODUCT(('Control Mapping'!$C$5:$C$83=D438)*('Control Mapping'!$F$5:$F$83="Y")*('Control Mapping'!$AB$5:$AB$83=4)))</f>
        <v>0</v>
      </c>
      <c r="L438" s="29" t="n">
        <f aca="false">IF(NOT(ISNUMBER($G438)),"",IFERROR(SUMPRODUCT(('Control Mapping'!$C$5:$C$83=D438)*'Control Mapping'!$E$5:$E$83*'Control Mapping'!$AB$5:$AB$83)/SUMPRODUCT(('Control Mapping'!$C$5:$C$83=D438)*'Control Mapping'!$E$5:$E$83*('Control Mapping'!$AB$5:$AB$83&gt;0)),""))</f>
        <v>2</v>
      </c>
      <c r="M438" s="34" t="n">
        <f aca="false">IF(NOT(ISNUMBER($G438)),"",IF(J438=0,4,MAX(MATCH(L438,'Residual Config'!$E$11:$E$14,1),IF(K438&gt;0,'Residual Config'!$C$7,1))))</f>
        <v>2</v>
      </c>
      <c r="N438" s="7" t="str">
        <f aca="false">IF(NOT(ISNUMBER($G438)),"",IF(J438=0,"Ineffective (no key control)",INDEX('Residual Config'!$B$11:$B$14,M438)))</f>
        <v>Largely effective</v>
      </c>
      <c r="O438" s="36" t="n">
        <f aca="false">IF(NOT(ISNUMBER($G438)),"",IF(J438=0,0,SUMPRODUCT(('Control Mapping'!$C$5:$C$83=D438)*'Control Mapping'!$E$5:$E$83*(('Control Mapping'!$AB$5:$AB$83=1)*'Residual Config'!$D$11+('Control Mapping'!$AB$5:$AB$83=2)*'Residual Config'!$D$12+('Control Mapping'!$AB$5:$AB$83=3)*'Residual Config'!$D$13+('Control Mapping'!$AB$5:$AB$83=4)*'Residual Config'!$D$14))/SUMPRODUCT(('Control Mapping'!$C$5:$C$83=D438)*'Control Mapping'!$E$5:$E$83*('Control Mapping'!$AB$5:$AB$83&gt;0))))</f>
        <v>0.4</v>
      </c>
      <c r="P438" s="31" t="n">
        <f aca="false">IF(NOT(ISNUMBER($G438)),"",INDEX('Residual Config'!$B$19:$E$23,6-G438,M438))</f>
        <v>1</v>
      </c>
      <c r="Q438" s="29" t="n">
        <f aca="false">IF(NOT(ISNUMBER($G438)),"",MAX(1,F438*(1-O438)))</f>
        <v>1.2</v>
      </c>
      <c r="R438" s="31" t="n">
        <f aca="false">IF(NOT(ISNUMBER($G438)),"",MAX(MATCH(Q438,Config!$D$5:$D$9,1),G438-'Residual Config'!$C$6))</f>
        <v>1</v>
      </c>
      <c r="S438" s="34" t="n">
        <f aca="false">IF(NOT(ISNUMBER($G438)),"",IF('Residual Config'!$C$5="Numeric",R438,P438))</f>
        <v>1</v>
      </c>
      <c r="T438" s="7" t="str">
        <f aca="false">IF(G438="N/A","N/A",IF(S438="","No data",INDEX(Config!$B$5:$B$9,S438)))</f>
        <v>Low</v>
      </c>
      <c r="U438" s="32" t="n">
        <v>0</v>
      </c>
      <c r="V438" s="8"/>
      <c r="W438" s="33"/>
      <c r="X438" s="34" t="n">
        <f aca="false">IF(S438="","",IF(AND(W438="Y",U438&lt;&gt;0),MAX(1,MIN(5,S438+MAX(-Config!$C$27,MIN(Config!$C$27,U438)))),S438))</f>
        <v>1</v>
      </c>
      <c r="Y438" s="35" t="str">
        <f aca="false">IF(G438="N/A","N/A",IF(X438="","No data",INDEX(Config!$B$5:$B$9,X438)))</f>
        <v>Low</v>
      </c>
      <c r="Z438" s="7" t="str">
        <f aca="false">IF(U438=0,"None",IF(W438="Y","Applied","Pending HO approval"))</f>
        <v>None</v>
      </c>
      <c r="AA438" s="12" t="str">
        <f aca="false">INDEX('Risk Taxonomy'!$G$5:$G$24,MATCH(D438,'Risk Taxonomy'!$A$5:$A$24,0))</f>
        <v>Low</v>
      </c>
      <c r="AB438" s="7" t="str">
        <f aca="false">INDEX('Risk Taxonomy'!$H$5:$H$24,MATCH(D438,'Risk Taxonomy'!$A$5:$A$24,0))</f>
        <v>Medium</v>
      </c>
      <c r="AC438" s="35" t="str">
        <f aca="false">IF(NOT(ISNUMBER(X438)),"",IF(X438&lt;=MATCH(AB438,Config!$B$5:$B$9,0),"Within",IF(OR(X438-MATCH(AB438,Config!$B$5:$B$9,0)&gt;=2,AND('Residual Config'!$C$8="Y",ISNUMBER(SEARCH("Zero",AA438)))),"Red","Amber")))</f>
        <v>Within</v>
      </c>
      <c r="AD438" s="12" t="str">
        <f aca="false">IF(AC438="Red","Group CCO / CRO and Country CEO within 2 business days; action plan in 15 days; report to Board Risk &amp; Compliance Committee",IF(AC438="Amber","Country CO, risk owner and HO Administrator within 5 business days; action plan in 30 days",""))</f>
        <v/>
      </c>
    </row>
    <row r="439" customFormat="false" ht="15" hidden="false" customHeight="false" outlineLevel="0" collapsed="false">
      <c r="A439" s="26" t="str">
        <f aca="false">Entities!$A$26</f>
        <v>GB</v>
      </c>
      <c r="B439" s="12" t="str">
        <f aca="false">INDEX(Entities!$B$5:$B$34,MATCH(A439,Entities!$A$5:$A$34,0))</f>
        <v>Europe Arab Bank – United Kingdom</v>
      </c>
      <c r="C439" s="12" t="str">
        <f aca="false">INDEX(Entities!$D$5:$D$34,MATCH(A439,Entities!$A$5:$A$34,0))</f>
        <v>Europe</v>
      </c>
      <c r="D439" s="12" t="s">
        <v>307</v>
      </c>
      <c r="E439" s="12" t="str">
        <f aca="false">INDEX('Risk Taxonomy'!$B$5:$B$24,MATCH(D439,'Risk Taxonomy'!$A$5:$A$24,0))</f>
        <v>Operational risk</v>
      </c>
      <c r="F439" s="29" t="n">
        <f aca="false">IF(NOT(ISNUMBER(G439)),"",G439)</f>
        <v>3</v>
      </c>
      <c r="G439" s="34" t="n">
        <f aca="false">IF(COUNTIFS('LxI Assessment'!$A$5:$A$394,A439,'LxI Assessment'!$D$5:$D$394,D439,'LxI Assessment'!$F$5:$F$394,"N/A")&gt;0,"N/A",IF(COUNTIFS('LxI Assessment'!$A$5:$A$394,A439,'LxI Assessment'!$D$5:$D$394,D439,'LxI Assessment'!$S$5:$S$394,"&gt;0")=0,"",SUMIFS('LxI Assessment'!$S$5:$S$394,'LxI Assessment'!$A$5:$A$394,A439,'LxI Assessment'!$D$5:$D$394,D439)))</f>
        <v>3</v>
      </c>
      <c r="H439" s="7" t="str">
        <f aca="false">IF(G439="N/A","N/A",IF(G439="","No data",INDEX(Config!$B$5:$B$9,G439)))</f>
        <v>Medium</v>
      </c>
      <c r="I439" s="31" t="n">
        <f aca="false">IF(NOT(ISNUMBER($G439)),"",SUMPRODUCT(('Control Mapping'!$C$5:$C$83=D439)*('Control Mapping'!$AB$5:$AB$83&gt;0)))</f>
        <v>3</v>
      </c>
      <c r="J439" s="31" t="n">
        <f aca="false">IF(NOT(ISNUMBER($G439)),"",SUMPRODUCT(('Control Mapping'!$C$5:$C$83=D439)*('Control Mapping'!$F$5:$F$83="Y")*('Control Mapping'!$AB$5:$AB$83&gt;0)))</f>
        <v>2</v>
      </c>
      <c r="K439" s="31" t="n">
        <f aca="false">IF(NOT(ISNUMBER($G439)),"",SUMPRODUCT(('Control Mapping'!$C$5:$C$83=D439)*('Control Mapping'!$F$5:$F$83="Y")*('Control Mapping'!$AB$5:$AB$83=4)))</f>
        <v>0</v>
      </c>
      <c r="L439" s="29" t="n">
        <f aca="false">IF(NOT(ISNUMBER($G439)),"",IFERROR(SUMPRODUCT(('Control Mapping'!$C$5:$C$83=D439)*'Control Mapping'!$E$5:$E$83*'Control Mapping'!$AB$5:$AB$83)/SUMPRODUCT(('Control Mapping'!$C$5:$C$83=D439)*'Control Mapping'!$E$5:$E$83*('Control Mapping'!$AB$5:$AB$83&gt;0)),""))</f>
        <v>1</v>
      </c>
      <c r="M439" s="34" t="n">
        <f aca="false">IF(NOT(ISNUMBER($G439)),"",IF(J439=0,4,MAX(MATCH(L439,'Residual Config'!$E$11:$E$14,1),IF(K439&gt;0,'Residual Config'!$C$7,1))))</f>
        <v>1</v>
      </c>
      <c r="N439" s="7" t="str">
        <f aca="false">IF(NOT(ISNUMBER($G439)),"",IF(J439=0,"Ineffective (no key control)",INDEX('Residual Config'!$B$11:$B$14,M439)))</f>
        <v>Effective</v>
      </c>
      <c r="O439" s="36" t="n">
        <f aca="false">IF(NOT(ISNUMBER($G439)),"",IF(J439=0,0,SUMPRODUCT(('Control Mapping'!$C$5:$C$83=D439)*'Control Mapping'!$E$5:$E$83*(('Control Mapping'!$AB$5:$AB$83=1)*'Residual Config'!$D$11+('Control Mapping'!$AB$5:$AB$83=2)*'Residual Config'!$D$12+('Control Mapping'!$AB$5:$AB$83=3)*'Residual Config'!$D$13+('Control Mapping'!$AB$5:$AB$83=4)*'Residual Config'!$D$14))/SUMPRODUCT(('Control Mapping'!$C$5:$C$83=D439)*'Control Mapping'!$E$5:$E$83*('Control Mapping'!$AB$5:$AB$83&gt;0))))</f>
        <v>0.6</v>
      </c>
      <c r="P439" s="31" t="n">
        <f aca="false">IF(NOT(ISNUMBER($G439)),"",INDEX('Residual Config'!$B$19:$E$23,6-G439,M439))</f>
        <v>1</v>
      </c>
      <c r="Q439" s="29" t="n">
        <f aca="false">IF(NOT(ISNUMBER($G439)),"",MAX(1,F439*(1-O439)))</f>
        <v>1.2</v>
      </c>
      <c r="R439" s="31" t="n">
        <f aca="false">IF(NOT(ISNUMBER($G439)),"",MAX(MATCH(Q439,Config!$D$5:$D$9,1),G439-'Residual Config'!$C$6))</f>
        <v>1</v>
      </c>
      <c r="S439" s="34" t="n">
        <f aca="false">IF(NOT(ISNUMBER($G439)),"",IF('Residual Config'!$C$5="Numeric",R439,P439))</f>
        <v>1</v>
      </c>
      <c r="T439" s="7" t="str">
        <f aca="false">IF(G439="N/A","N/A",IF(S439="","No data",INDEX(Config!$B$5:$B$9,S439)))</f>
        <v>Low</v>
      </c>
      <c r="U439" s="32" t="n">
        <v>0</v>
      </c>
      <c r="V439" s="8"/>
      <c r="W439" s="33"/>
      <c r="X439" s="34" t="n">
        <f aca="false">IF(S439="","",IF(AND(W439="Y",U439&lt;&gt;0),MAX(1,MIN(5,S439+MAX(-Config!$C$27,MIN(Config!$C$27,U439)))),S439))</f>
        <v>1</v>
      </c>
      <c r="Y439" s="35" t="str">
        <f aca="false">IF(G439="N/A","N/A",IF(X439="","No data",INDEX(Config!$B$5:$B$9,X439)))</f>
        <v>Low</v>
      </c>
      <c r="Z439" s="7" t="str">
        <f aca="false">IF(U439=0,"None",IF(W439="Y","Applied","Pending HO approval"))</f>
        <v>None</v>
      </c>
      <c r="AA439" s="12" t="str">
        <f aca="false">INDEX('Risk Taxonomy'!$G$5:$G$24,MATCH(D439,'Risk Taxonomy'!$A$5:$A$24,0))</f>
        <v>Low</v>
      </c>
      <c r="AB439" s="7" t="str">
        <f aca="false">INDEX('Risk Taxonomy'!$H$5:$H$24,MATCH(D439,'Risk Taxonomy'!$A$5:$A$24,0))</f>
        <v>Medium</v>
      </c>
      <c r="AC439" s="35" t="str">
        <f aca="false">IF(NOT(ISNUMBER(X439)),"",IF(X439&lt;=MATCH(AB439,Config!$B$5:$B$9,0),"Within",IF(OR(X439-MATCH(AB439,Config!$B$5:$B$9,0)&gt;=2,AND('Residual Config'!$C$8="Y",ISNUMBER(SEARCH("Zero",AA439)))),"Red","Amber")))</f>
        <v>Within</v>
      </c>
      <c r="AD439" s="12" t="str">
        <f aca="false">IF(AC439="Red","Group CCO / CRO and Country CEO within 2 business days; action plan in 15 days; report to Board Risk &amp; Compliance Committee",IF(AC439="Amber","Country CO, risk owner and HO Administrator within 5 business days; action plan in 30 days",""))</f>
        <v/>
      </c>
    </row>
    <row r="440" customFormat="false" ht="15" hidden="false" customHeight="false" outlineLevel="0" collapsed="false">
      <c r="A440" s="26" t="str">
        <f aca="false">Entities!$A$26</f>
        <v>GB</v>
      </c>
      <c r="B440" s="12" t="str">
        <f aca="false">INDEX(Entities!$B$5:$B$34,MATCH(A440,Entities!$A$5:$A$34,0))</f>
        <v>Europe Arab Bank – United Kingdom</v>
      </c>
      <c r="C440" s="12" t="str">
        <f aca="false">INDEX(Entities!$D$5:$D$34,MATCH(A440,Entities!$A$5:$A$34,0))</f>
        <v>Europe</v>
      </c>
      <c r="D440" s="12" t="s">
        <v>310</v>
      </c>
      <c r="E440" s="12" t="str">
        <f aca="false">INDEX('Risk Taxonomy'!$B$5:$B$24,MATCH(D440,'Risk Taxonomy'!$A$5:$A$24,0))</f>
        <v>Cyber, information security and technology</v>
      </c>
      <c r="F440" s="29" t="n">
        <f aca="false">IF(NOT(ISNUMBER(G440)),"",G440)</f>
        <v>1</v>
      </c>
      <c r="G440" s="34" t="n">
        <f aca="false">IF(COUNTIFS('LxI Assessment'!$A$5:$A$394,A440,'LxI Assessment'!$D$5:$D$394,D440,'LxI Assessment'!$F$5:$F$394,"N/A")&gt;0,"N/A",IF(COUNTIFS('LxI Assessment'!$A$5:$A$394,A440,'LxI Assessment'!$D$5:$D$394,D440,'LxI Assessment'!$S$5:$S$394,"&gt;0")=0,"",SUMIFS('LxI Assessment'!$S$5:$S$394,'LxI Assessment'!$A$5:$A$394,A440,'LxI Assessment'!$D$5:$D$394,D440)))</f>
        <v>1</v>
      </c>
      <c r="H440" s="7" t="str">
        <f aca="false">IF(G440="N/A","N/A",IF(G440="","No data",INDEX(Config!$B$5:$B$9,G440)))</f>
        <v>Low</v>
      </c>
      <c r="I440" s="31" t="n">
        <f aca="false">IF(NOT(ISNUMBER($G440)),"",SUMPRODUCT(('Control Mapping'!$C$5:$C$83=D440)*('Control Mapping'!$AB$5:$AB$83&gt;0)))</f>
        <v>4</v>
      </c>
      <c r="J440" s="31" t="n">
        <f aca="false">IF(NOT(ISNUMBER($G440)),"",SUMPRODUCT(('Control Mapping'!$C$5:$C$83=D440)*('Control Mapping'!$F$5:$F$83="Y")*('Control Mapping'!$AB$5:$AB$83&gt;0)))</f>
        <v>4</v>
      </c>
      <c r="K440" s="31" t="n">
        <f aca="false">IF(NOT(ISNUMBER($G440)),"",SUMPRODUCT(('Control Mapping'!$C$5:$C$83=D440)*('Control Mapping'!$F$5:$F$83="Y")*('Control Mapping'!$AB$5:$AB$83=4)))</f>
        <v>0</v>
      </c>
      <c r="L440" s="29" t="n">
        <f aca="false">IF(NOT(ISNUMBER($G440)),"",IFERROR(SUMPRODUCT(('Control Mapping'!$C$5:$C$83=D440)*'Control Mapping'!$E$5:$E$83*'Control Mapping'!$AB$5:$AB$83)/SUMPRODUCT(('Control Mapping'!$C$5:$C$83=D440)*'Control Mapping'!$E$5:$E$83*('Control Mapping'!$AB$5:$AB$83&gt;0)),""))</f>
        <v>1.57142857142857</v>
      </c>
      <c r="M440" s="34" t="n">
        <f aca="false">IF(NOT(ISNUMBER($G440)),"",IF(J440=0,4,MAX(MATCH(L440,'Residual Config'!$E$11:$E$14,1),IF(K440&gt;0,'Residual Config'!$C$7,1))))</f>
        <v>2</v>
      </c>
      <c r="N440" s="7" t="str">
        <f aca="false">IF(NOT(ISNUMBER($G440)),"",IF(J440=0,"Ineffective (no key control)",INDEX('Residual Config'!$B$11:$B$14,M440)))</f>
        <v>Largely effective</v>
      </c>
      <c r="O440" s="36" t="n">
        <f aca="false">IF(NOT(ISNUMBER($G440)),"",IF(J440=0,0,SUMPRODUCT(('Control Mapping'!$C$5:$C$83=D440)*'Control Mapping'!$E$5:$E$83*(('Control Mapping'!$AB$5:$AB$83=1)*'Residual Config'!$D$11+('Control Mapping'!$AB$5:$AB$83=2)*'Residual Config'!$D$12+('Control Mapping'!$AB$5:$AB$83=3)*'Residual Config'!$D$13+('Control Mapping'!$AB$5:$AB$83=4)*'Residual Config'!$D$14))/SUMPRODUCT(('Control Mapping'!$C$5:$C$83=D440)*'Control Mapping'!$E$5:$E$83*('Control Mapping'!$AB$5:$AB$83&gt;0))))</f>
        <v>0.485714285714286</v>
      </c>
      <c r="P440" s="31" t="n">
        <f aca="false">IF(NOT(ISNUMBER($G440)),"",INDEX('Residual Config'!$B$19:$E$23,6-G440,M440))</f>
        <v>1</v>
      </c>
      <c r="Q440" s="29" t="n">
        <f aca="false">IF(NOT(ISNUMBER($G440)),"",MAX(1,F440*(1-O440)))</f>
        <v>1</v>
      </c>
      <c r="R440" s="31" t="n">
        <f aca="false">IF(NOT(ISNUMBER($G440)),"",MAX(MATCH(Q440,Config!$D$5:$D$9,1),G440-'Residual Config'!$C$6))</f>
        <v>1</v>
      </c>
      <c r="S440" s="34" t="n">
        <f aca="false">IF(NOT(ISNUMBER($G440)),"",IF('Residual Config'!$C$5="Numeric",R440,P440))</f>
        <v>1</v>
      </c>
      <c r="T440" s="7" t="str">
        <f aca="false">IF(G440="N/A","N/A",IF(S440="","No data",INDEX(Config!$B$5:$B$9,S440)))</f>
        <v>Low</v>
      </c>
      <c r="U440" s="32" t="n">
        <v>0</v>
      </c>
      <c r="V440" s="8"/>
      <c r="W440" s="33"/>
      <c r="X440" s="34" t="n">
        <f aca="false">IF(S440="","",IF(AND(W440="Y",U440&lt;&gt;0),MAX(1,MIN(5,S440+MAX(-Config!$C$27,MIN(Config!$C$27,U440)))),S440))</f>
        <v>1</v>
      </c>
      <c r="Y440" s="35" t="str">
        <f aca="false">IF(G440="N/A","N/A",IF(X440="","No data",INDEX(Config!$B$5:$B$9,X440)))</f>
        <v>Low</v>
      </c>
      <c r="Z440" s="7" t="str">
        <f aca="false">IF(U440=0,"None",IF(W440="Y","Applied","Pending HO approval"))</f>
        <v>None</v>
      </c>
      <c r="AA440" s="12" t="str">
        <f aca="false">INDEX('Risk Taxonomy'!$G$5:$G$24,MATCH(D440,'Risk Taxonomy'!$A$5:$A$24,0))</f>
        <v>Very low</v>
      </c>
      <c r="AB440" s="7" t="str">
        <f aca="false">INDEX('Risk Taxonomy'!$H$5:$H$24,MATCH(D440,'Risk Taxonomy'!$A$5:$A$24,0))</f>
        <v>Medium-Low</v>
      </c>
      <c r="AC440" s="35" t="str">
        <f aca="false">IF(NOT(ISNUMBER(X440)),"",IF(X440&lt;=MATCH(AB440,Config!$B$5:$B$9,0),"Within",IF(OR(X440-MATCH(AB440,Config!$B$5:$B$9,0)&gt;=2,AND('Residual Config'!$C$8="Y",ISNUMBER(SEARCH("Zero",AA440)))),"Red","Amber")))</f>
        <v>Within</v>
      </c>
      <c r="AD440" s="12" t="str">
        <f aca="false">IF(AC440="Red","Group CCO / CRO and Country CEO within 2 business days; action plan in 15 days; report to Board Risk &amp; Compliance Committee",IF(AC440="Amber","Country CO, risk owner and HO Administrator within 5 business days; action plan in 30 days",""))</f>
        <v/>
      </c>
    </row>
    <row r="441" customFormat="false" ht="15" hidden="false" customHeight="false" outlineLevel="0" collapsed="false">
      <c r="A441" s="26" t="str">
        <f aca="false">Entities!$A$26</f>
        <v>GB</v>
      </c>
      <c r="B441" s="12" t="str">
        <f aca="false">INDEX(Entities!$B$5:$B$34,MATCH(A441,Entities!$A$5:$A$34,0))</f>
        <v>Europe Arab Bank – United Kingdom</v>
      </c>
      <c r="C441" s="12" t="str">
        <f aca="false">INDEX(Entities!$D$5:$D$34,MATCH(A441,Entities!$A$5:$A$34,0))</f>
        <v>Europe</v>
      </c>
      <c r="D441" s="12" t="s">
        <v>313</v>
      </c>
      <c r="E441" s="12" t="str">
        <f aca="false">INDEX('Risk Taxonomy'!$B$5:$B$24,MATCH(D441,'Risk Taxonomy'!$A$5:$A$24,0))</f>
        <v>Third-party and outsourcing</v>
      </c>
      <c r="F441" s="29" t="n">
        <f aca="false">IF(NOT(ISNUMBER(G441)),"",G441)</f>
        <v>2</v>
      </c>
      <c r="G441" s="34" t="n">
        <f aca="false">IF(COUNTIFS('LxI Assessment'!$A$5:$A$394,A441,'LxI Assessment'!$D$5:$D$394,D441,'LxI Assessment'!$F$5:$F$394,"N/A")&gt;0,"N/A",IF(COUNTIFS('LxI Assessment'!$A$5:$A$394,A441,'LxI Assessment'!$D$5:$D$394,D441,'LxI Assessment'!$S$5:$S$394,"&gt;0")=0,"",SUMIFS('LxI Assessment'!$S$5:$S$394,'LxI Assessment'!$A$5:$A$394,A441,'LxI Assessment'!$D$5:$D$394,D441)))</f>
        <v>2</v>
      </c>
      <c r="H441" s="7" t="str">
        <f aca="false">IF(G441="N/A","N/A",IF(G441="","No data",INDEX(Config!$B$5:$B$9,G441)))</f>
        <v>Medium-Low</v>
      </c>
      <c r="I441" s="31" t="n">
        <f aca="false">IF(NOT(ISNUMBER($G441)),"",SUMPRODUCT(('Control Mapping'!$C$5:$C$83=D441)*('Control Mapping'!$AB$5:$AB$83&gt;0)))</f>
        <v>2</v>
      </c>
      <c r="J441" s="31" t="n">
        <f aca="false">IF(NOT(ISNUMBER($G441)),"",SUMPRODUCT(('Control Mapping'!$C$5:$C$83=D441)*('Control Mapping'!$F$5:$F$83="Y")*('Control Mapping'!$AB$5:$AB$83&gt;0)))</f>
        <v>2</v>
      </c>
      <c r="K441" s="31" t="n">
        <f aca="false">IF(NOT(ISNUMBER($G441)),"",SUMPRODUCT(('Control Mapping'!$C$5:$C$83=D441)*('Control Mapping'!$F$5:$F$83="Y")*('Control Mapping'!$AB$5:$AB$83=4)))</f>
        <v>0</v>
      </c>
      <c r="L441" s="29" t="n">
        <f aca="false">IF(NOT(ISNUMBER($G441)),"",IFERROR(SUMPRODUCT(('Control Mapping'!$C$5:$C$83=D441)*'Control Mapping'!$E$5:$E$83*'Control Mapping'!$AB$5:$AB$83)/SUMPRODUCT(('Control Mapping'!$C$5:$C$83=D441)*'Control Mapping'!$E$5:$E$83*('Control Mapping'!$AB$5:$AB$83&gt;0)),""))</f>
        <v>1.75</v>
      </c>
      <c r="M441" s="34" t="n">
        <f aca="false">IF(NOT(ISNUMBER($G441)),"",IF(J441=0,4,MAX(MATCH(L441,'Residual Config'!$E$11:$E$14,1),IF(K441&gt;0,'Residual Config'!$C$7,1))))</f>
        <v>2</v>
      </c>
      <c r="N441" s="7" t="str">
        <f aca="false">IF(NOT(ISNUMBER($G441)),"",IF(J441=0,"Ineffective (no key control)",INDEX('Residual Config'!$B$11:$B$14,M441)))</f>
        <v>Largely effective</v>
      </c>
      <c r="O441" s="36" t="n">
        <f aca="false">IF(NOT(ISNUMBER($G441)),"",IF(J441=0,0,SUMPRODUCT(('Control Mapping'!$C$5:$C$83=D441)*'Control Mapping'!$E$5:$E$83*(('Control Mapping'!$AB$5:$AB$83=1)*'Residual Config'!$D$11+('Control Mapping'!$AB$5:$AB$83=2)*'Residual Config'!$D$12+('Control Mapping'!$AB$5:$AB$83=3)*'Residual Config'!$D$13+('Control Mapping'!$AB$5:$AB$83=4)*'Residual Config'!$D$14))/SUMPRODUCT(('Control Mapping'!$C$5:$C$83=D441)*'Control Mapping'!$E$5:$E$83*('Control Mapping'!$AB$5:$AB$83&gt;0))))</f>
        <v>0.45</v>
      </c>
      <c r="P441" s="31" t="n">
        <f aca="false">IF(NOT(ISNUMBER($G441)),"",INDEX('Residual Config'!$B$19:$E$23,6-G441,M441))</f>
        <v>1</v>
      </c>
      <c r="Q441" s="29" t="n">
        <f aca="false">IF(NOT(ISNUMBER($G441)),"",MAX(1,F441*(1-O441)))</f>
        <v>1.1</v>
      </c>
      <c r="R441" s="31" t="n">
        <f aca="false">IF(NOT(ISNUMBER($G441)),"",MAX(MATCH(Q441,Config!$D$5:$D$9,1),G441-'Residual Config'!$C$6))</f>
        <v>1</v>
      </c>
      <c r="S441" s="34" t="n">
        <f aca="false">IF(NOT(ISNUMBER($G441)),"",IF('Residual Config'!$C$5="Numeric",R441,P441))</f>
        <v>1</v>
      </c>
      <c r="T441" s="7" t="str">
        <f aca="false">IF(G441="N/A","N/A",IF(S441="","No data",INDEX(Config!$B$5:$B$9,S441)))</f>
        <v>Low</v>
      </c>
      <c r="U441" s="32" t="n">
        <v>0</v>
      </c>
      <c r="V441" s="8"/>
      <c r="W441" s="33"/>
      <c r="X441" s="34" t="n">
        <f aca="false">IF(S441="","",IF(AND(W441="Y",U441&lt;&gt;0),MAX(1,MIN(5,S441+MAX(-Config!$C$27,MIN(Config!$C$27,U441)))),S441))</f>
        <v>1</v>
      </c>
      <c r="Y441" s="35" t="str">
        <f aca="false">IF(G441="N/A","N/A",IF(X441="","No data",INDEX(Config!$B$5:$B$9,X441)))</f>
        <v>Low</v>
      </c>
      <c r="Z441" s="7" t="str">
        <f aca="false">IF(U441=0,"None",IF(W441="Y","Applied","Pending HO approval"))</f>
        <v>None</v>
      </c>
      <c r="AA441" s="12" t="str">
        <f aca="false">INDEX('Risk Taxonomy'!$G$5:$G$24,MATCH(D441,'Risk Taxonomy'!$A$5:$A$24,0))</f>
        <v>Low</v>
      </c>
      <c r="AB441" s="7" t="str">
        <f aca="false">INDEX('Risk Taxonomy'!$H$5:$H$24,MATCH(D441,'Risk Taxonomy'!$A$5:$A$24,0))</f>
        <v>Medium</v>
      </c>
      <c r="AC441" s="35" t="str">
        <f aca="false">IF(NOT(ISNUMBER(X441)),"",IF(X441&lt;=MATCH(AB441,Config!$B$5:$B$9,0),"Within",IF(OR(X441-MATCH(AB441,Config!$B$5:$B$9,0)&gt;=2,AND('Residual Config'!$C$8="Y",ISNUMBER(SEARCH("Zero",AA441)))),"Red","Amber")))</f>
        <v>Within</v>
      </c>
      <c r="AD441" s="12" t="str">
        <f aca="false">IF(AC441="Red","Group CCO / CRO and Country CEO within 2 business days; action plan in 15 days; report to Board Risk &amp; Compliance Committee",IF(AC441="Amber","Country CO, risk owner and HO Administrator within 5 business days; action plan in 30 days",""))</f>
        <v/>
      </c>
    </row>
    <row r="442" customFormat="false" ht="15" hidden="false" customHeight="false" outlineLevel="0" collapsed="false">
      <c r="A442" s="26" t="str">
        <f aca="false">Entities!$A$26</f>
        <v>GB</v>
      </c>
      <c r="B442" s="12" t="str">
        <f aca="false">INDEX(Entities!$B$5:$B$34,MATCH(A442,Entities!$A$5:$A$34,0))</f>
        <v>Europe Arab Bank – United Kingdom</v>
      </c>
      <c r="C442" s="12" t="str">
        <f aca="false">INDEX(Entities!$D$5:$D$34,MATCH(A442,Entities!$A$5:$A$34,0))</f>
        <v>Europe</v>
      </c>
      <c r="D442" s="12" t="s">
        <v>316</v>
      </c>
      <c r="E442" s="12" t="str">
        <f aca="false">INDEX('Risk Taxonomy'!$B$5:$B$24,MATCH(D442,'Risk Taxonomy'!$A$5:$A$24,0))</f>
        <v>Legal and litigation</v>
      </c>
      <c r="F442" s="29" t="n">
        <f aca="false">IF(NOT(ISNUMBER(G442)),"",G442)</f>
        <v>1</v>
      </c>
      <c r="G442" s="34" t="n">
        <f aca="false">IF(COUNTIFS('LxI Assessment'!$A$5:$A$394,A442,'LxI Assessment'!$D$5:$D$394,D442,'LxI Assessment'!$F$5:$F$394,"N/A")&gt;0,"N/A",IF(COUNTIFS('LxI Assessment'!$A$5:$A$394,A442,'LxI Assessment'!$D$5:$D$394,D442,'LxI Assessment'!$S$5:$S$394,"&gt;0")=0,"",SUMIFS('LxI Assessment'!$S$5:$S$394,'LxI Assessment'!$A$5:$A$394,A442,'LxI Assessment'!$D$5:$D$394,D442)))</f>
        <v>1</v>
      </c>
      <c r="H442" s="7" t="str">
        <f aca="false">IF(G442="N/A","N/A",IF(G442="","No data",INDEX(Config!$B$5:$B$9,G442)))</f>
        <v>Low</v>
      </c>
      <c r="I442" s="31" t="n">
        <f aca="false">IF(NOT(ISNUMBER($G442)),"",SUMPRODUCT(('Control Mapping'!$C$5:$C$83=D442)*('Control Mapping'!$AB$5:$AB$83&gt;0)))</f>
        <v>1</v>
      </c>
      <c r="J442" s="31" t="n">
        <f aca="false">IF(NOT(ISNUMBER($G442)),"",SUMPRODUCT(('Control Mapping'!$C$5:$C$83=D442)*('Control Mapping'!$F$5:$F$83="Y")*('Control Mapping'!$AB$5:$AB$83&gt;0)))</f>
        <v>1</v>
      </c>
      <c r="K442" s="31" t="n">
        <f aca="false">IF(NOT(ISNUMBER($G442)),"",SUMPRODUCT(('Control Mapping'!$C$5:$C$83=D442)*('Control Mapping'!$F$5:$F$83="Y")*('Control Mapping'!$AB$5:$AB$83=4)))</f>
        <v>1</v>
      </c>
      <c r="L442" s="29" t="n">
        <f aca="false">IF(NOT(ISNUMBER($G442)),"",IFERROR(SUMPRODUCT(('Control Mapping'!$C$5:$C$83=D442)*'Control Mapping'!$E$5:$E$83*'Control Mapping'!$AB$5:$AB$83)/SUMPRODUCT(('Control Mapping'!$C$5:$C$83=D442)*'Control Mapping'!$E$5:$E$83*('Control Mapping'!$AB$5:$AB$83&gt;0)),""))</f>
        <v>4</v>
      </c>
      <c r="M442" s="34" t="n">
        <f aca="false">IF(NOT(ISNUMBER($G442)),"",IF(J442=0,4,MAX(MATCH(L442,'Residual Config'!$E$11:$E$14,1),IF(K442&gt;0,'Residual Config'!$C$7,1))))</f>
        <v>4</v>
      </c>
      <c r="N442" s="7" t="str">
        <f aca="false">IF(NOT(ISNUMBER($G442)),"",IF(J442=0,"Ineffective (no key control)",INDEX('Residual Config'!$B$11:$B$14,M442)))</f>
        <v>Ineffective</v>
      </c>
      <c r="O442" s="36" t="n">
        <f aca="false">IF(NOT(ISNUMBER($G442)),"",IF(J442=0,0,SUMPRODUCT(('Control Mapping'!$C$5:$C$83=D442)*'Control Mapping'!$E$5:$E$83*(('Control Mapping'!$AB$5:$AB$83=1)*'Residual Config'!$D$11+('Control Mapping'!$AB$5:$AB$83=2)*'Residual Config'!$D$12+('Control Mapping'!$AB$5:$AB$83=3)*'Residual Config'!$D$13+('Control Mapping'!$AB$5:$AB$83=4)*'Residual Config'!$D$14))/SUMPRODUCT(('Control Mapping'!$C$5:$C$83=D442)*'Control Mapping'!$E$5:$E$83*('Control Mapping'!$AB$5:$AB$83&gt;0))))</f>
        <v>0</v>
      </c>
      <c r="P442" s="31" t="n">
        <f aca="false">IF(NOT(ISNUMBER($G442)),"",INDEX('Residual Config'!$B$19:$E$23,6-G442,M442))</f>
        <v>1</v>
      </c>
      <c r="Q442" s="29" t="n">
        <f aca="false">IF(NOT(ISNUMBER($G442)),"",MAX(1,F442*(1-O442)))</f>
        <v>1</v>
      </c>
      <c r="R442" s="31" t="n">
        <f aca="false">IF(NOT(ISNUMBER($G442)),"",MAX(MATCH(Q442,Config!$D$5:$D$9,1),G442-'Residual Config'!$C$6))</f>
        <v>1</v>
      </c>
      <c r="S442" s="34" t="n">
        <f aca="false">IF(NOT(ISNUMBER($G442)),"",IF('Residual Config'!$C$5="Numeric",R442,P442))</f>
        <v>1</v>
      </c>
      <c r="T442" s="7" t="str">
        <f aca="false">IF(G442="N/A","N/A",IF(S442="","No data",INDEX(Config!$B$5:$B$9,S442)))</f>
        <v>Low</v>
      </c>
      <c r="U442" s="32" t="n">
        <v>0</v>
      </c>
      <c r="V442" s="8"/>
      <c r="W442" s="33"/>
      <c r="X442" s="34" t="n">
        <f aca="false">IF(S442="","",IF(AND(W442="Y",U442&lt;&gt;0),MAX(1,MIN(5,S442+MAX(-Config!$C$27,MIN(Config!$C$27,U442)))),S442))</f>
        <v>1</v>
      </c>
      <c r="Y442" s="35" t="str">
        <f aca="false">IF(G442="N/A","N/A",IF(X442="","No data",INDEX(Config!$B$5:$B$9,X442)))</f>
        <v>Low</v>
      </c>
      <c r="Z442" s="7" t="str">
        <f aca="false">IF(U442=0,"None",IF(W442="Y","Applied","Pending HO approval"))</f>
        <v>None</v>
      </c>
      <c r="AA442" s="12" t="str">
        <f aca="false">INDEX('Risk Taxonomy'!$G$5:$G$24,MATCH(D442,'Risk Taxonomy'!$A$5:$A$24,0))</f>
        <v>Very low</v>
      </c>
      <c r="AB442" s="7" t="str">
        <f aca="false">INDEX('Risk Taxonomy'!$H$5:$H$24,MATCH(D442,'Risk Taxonomy'!$A$5:$A$24,0))</f>
        <v>Medium-Low</v>
      </c>
      <c r="AC442" s="35" t="str">
        <f aca="false">IF(NOT(ISNUMBER(X442)),"",IF(X442&lt;=MATCH(AB442,Config!$B$5:$B$9,0),"Within",IF(OR(X442-MATCH(AB442,Config!$B$5:$B$9,0)&gt;=2,AND('Residual Config'!$C$8="Y",ISNUMBER(SEARCH("Zero",AA442)))),"Red","Amber")))</f>
        <v>Within</v>
      </c>
      <c r="AD442" s="12" t="str">
        <f aca="false">IF(AC442="Red","Group CCO / CRO and Country CEO within 2 business days; action plan in 15 days; report to Board Risk &amp; Compliance Committee",IF(AC442="Amber","Country CO, risk owner and HO Administrator within 5 business days; action plan in 30 days",""))</f>
        <v/>
      </c>
    </row>
    <row r="443" customFormat="false" ht="15" hidden="false" customHeight="false" outlineLevel="0" collapsed="false">
      <c r="A443" s="26" t="str">
        <f aca="false">Entities!$A$26</f>
        <v>GB</v>
      </c>
      <c r="B443" s="12" t="str">
        <f aca="false">INDEX(Entities!$B$5:$B$34,MATCH(A443,Entities!$A$5:$A$34,0))</f>
        <v>Europe Arab Bank – United Kingdom</v>
      </c>
      <c r="C443" s="12" t="str">
        <f aca="false">INDEX(Entities!$D$5:$D$34,MATCH(A443,Entities!$A$5:$A$34,0))</f>
        <v>Europe</v>
      </c>
      <c r="D443" s="12" t="s">
        <v>319</v>
      </c>
      <c r="E443" s="12" t="str">
        <f aca="false">INDEX('Risk Taxonomy'!$B$5:$B$24,MATCH(D443,'Risk Taxonomy'!$A$5:$A$24,0))</f>
        <v>Reputational</v>
      </c>
      <c r="F443" s="29" t="n">
        <f aca="false">IF(NOT(ISNUMBER(G443)),"",G443)</f>
        <v>2</v>
      </c>
      <c r="G443" s="34" t="n">
        <f aca="false">IF(COUNTIFS('LxI Assessment'!$A$5:$A$394,A443,'LxI Assessment'!$D$5:$D$394,D443,'LxI Assessment'!$F$5:$F$394,"N/A")&gt;0,"N/A",IF(COUNTIFS('LxI Assessment'!$A$5:$A$394,A443,'LxI Assessment'!$D$5:$D$394,D443,'LxI Assessment'!$S$5:$S$394,"&gt;0")=0,"",SUMIFS('LxI Assessment'!$S$5:$S$394,'LxI Assessment'!$A$5:$A$394,A443,'LxI Assessment'!$D$5:$D$394,D443)))</f>
        <v>2</v>
      </c>
      <c r="H443" s="7" t="str">
        <f aca="false">IF(G443="N/A","N/A",IF(G443="","No data",INDEX(Config!$B$5:$B$9,G443)))</f>
        <v>Medium-Low</v>
      </c>
      <c r="I443" s="31" t="n">
        <f aca="false">IF(NOT(ISNUMBER($G443)),"",SUMPRODUCT(('Control Mapping'!$C$5:$C$83=D443)*('Control Mapping'!$AB$5:$AB$83&gt;0)))</f>
        <v>2</v>
      </c>
      <c r="J443" s="31" t="n">
        <f aca="false">IF(NOT(ISNUMBER($G443)),"",SUMPRODUCT(('Control Mapping'!$C$5:$C$83=D443)*('Control Mapping'!$F$5:$F$83="Y")*('Control Mapping'!$AB$5:$AB$83&gt;0)))</f>
        <v>1</v>
      </c>
      <c r="K443" s="31" t="n">
        <f aca="false">IF(NOT(ISNUMBER($G443)),"",SUMPRODUCT(('Control Mapping'!$C$5:$C$83=D443)*('Control Mapping'!$F$5:$F$83="Y")*('Control Mapping'!$AB$5:$AB$83=4)))</f>
        <v>0</v>
      </c>
      <c r="L443" s="29" t="n">
        <f aca="false">IF(NOT(ISNUMBER($G443)),"",IFERROR(SUMPRODUCT(('Control Mapping'!$C$5:$C$83=D443)*'Control Mapping'!$E$5:$E$83*'Control Mapping'!$AB$5:$AB$83)/SUMPRODUCT(('Control Mapping'!$C$5:$C$83=D443)*'Control Mapping'!$E$5:$E$83*('Control Mapping'!$AB$5:$AB$83&gt;0)),""))</f>
        <v>1.33333333333333</v>
      </c>
      <c r="M443" s="34" t="n">
        <f aca="false">IF(NOT(ISNUMBER($G443)),"",IF(J443=0,4,MAX(MATCH(L443,'Residual Config'!$E$11:$E$14,1),IF(K443&gt;0,'Residual Config'!$C$7,1))))</f>
        <v>1</v>
      </c>
      <c r="N443" s="7" t="str">
        <f aca="false">IF(NOT(ISNUMBER($G443)),"",IF(J443=0,"Ineffective (no key control)",INDEX('Residual Config'!$B$11:$B$14,M443)))</f>
        <v>Effective</v>
      </c>
      <c r="O443" s="36" t="n">
        <f aca="false">IF(NOT(ISNUMBER($G443)),"",IF(J443=0,0,SUMPRODUCT(('Control Mapping'!$C$5:$C$83=D443)*'Control Mapping'!$E$5:$E$83*(('Control Mapping'!$AB$5:$AB$83=1)*'Residual Config'!$D$11+('Control Mapping'!$AB$5:$AB$83=2)*'Residual Config'!$D$12+('Control Mapping'!$AB$5:$AB$83=3)*'Residual Config'!$D$13+('Control Mapping'!$AB$5:$AB$83=4)*'Residual Config'!$D$14))/SUMPRODUCT(('Control Mapping'!$C$5:$C$83=D443)*'Control Mapping'!$E$5:$E$83*('Control Mapping'!$AB$5:$AB$83&gt;0))))</f>
        <v>0.533333333333333</v>
      </c>
      <c r="P443" s="31" t="n">
        <f aca="false">IF(NOT(ISNUMBER($G443)),"",INDEX('Residual Config'!$B$19:$E$23,6-G443,M443))</f>
        <v>1</v>
      </c>
      <c r="Q443" s="29" t="n">
        <f aca="false">IF(NOT(ISNUMBER($G443)),"",MAX(1,F443*(1-O443)))</f>
        <v>1</v>
      </c>
      <c r="R443" s="31" t="n">
        <f aca="false">IF(NOT(ISNUMBER($G443)),"",MAX(MATCH(Q443,Config!$D$5:$D$9,1),G443-'Residual Config'!$C$6))</f>
        <v>1</v>
      </c>
      <c r="S443" s="34" t="n">
        <f aca="false">IF(NOT(ISNUMBER($G443)),"",IF('Residual Config'!$C$5="Numeric",R443,P443))</f>
        <v>1</v>
      </c>
      <c r="T443" s="7" t="str">
        <f aca="false">IF(G443="N/A","N/A",IF(S443="","No data",INDEX(Config!$B$5:$B$9,S443)))</f>
        <v>Low</v>
      </c>
      <c r="U443" s="32" t="n">
        <v>0</v>
      </c>
      <c r="V443" s="8"/>
      <c r="W443" s="33"/>
      <c r="X443" s="34" t="n">
        <f aca="false">IF(S443="","",IF(AND(W443="Y",U443&lt;&gt;0),MAX(1,MIN(5,S443+MAX(-Config!$C$27,MIN(Config!$C$27,U443)))),S443))</f>
        <v>1</v>
      </c>
      <c r="Y443" s="35" t="str">
        <f aca="false">IF(G443="N/A","N/A",IF(X443="","No data",INDEX(Config!$B$5:$B$9,X443)))</f>
        <v>Low</v>
      </c>
      <c r="Z443" s="7" t="str">
        <f aca="false">IF(U443=0,"None",IF(W443="Y","Applied","Pending HO approval"))</f>
        <v>None</v>
      </c>
      <c r="AA443" s="12" t="str">
        <f aca="false">INDEX('Risk Taxonomy'!$G$5:$G$24,MATCH(D443,'Risk Taxonomy'!$A$5:$A$24,0))</f>
        <v>Low</v>
      </c>
      <c r="AB443" s="7" t="str">
        <f aca="false">INDEX('Risk Taxonomy'!$H$5:$H$24,MATCH(D443,'Risk Taxonomy'!$A$5:$A$24,0))</f>
        <v>Medium</v>
      </c>
      <c r="AC443" s="35" t="str">
        <f aca="false">IF(NOT(ISNUMBER(X443)),"",IF(X443&lt;=MATCH(AB443,Config!$B$5:$B$9,0),"Within",IF(OR(X443-MATCH(AB443,Config!$B$5:$B$9,0)&gt;=2,AND('Residual Config'!$C$8="Y",ISNUMBER(SEARCH("Zero",AA443)))),"Red","Amber")))</f>
        <v>Within</v>
      </c>
      <c r="AD443" s="12" t="str">
        <f aca="false">IF(AC443="Red","Group CCO / CRO and Country CEO within 2 business days; action plan in 15 days; report to Board Risk &amp; Compliance Committee",IF(AC443="Amber","Country CO, risk owner and HO Administrator within 5 business days; action plan in 30 days",""))</f>
        <v/>
      </c>
    </row>
    <row r="444" customFormat="false" ht="15" hidden="false" customHeight="false" outlineLevel="0" collapsed="false">
      <c r="A444" s="26" t="str">
        <f aca="false">Entities!$A$26</f>
        <v>GB</v>
      </c>
      <c r="B444" s="12" t="str">
        <f aca="false">INDEX(Entities!$B$5:$B$34,MATCH(A444,Entities!$A$5:$A$34,0))</f>
        <v>Europe Arab Bank – United Kingdom</v>
      </c>
      <c r="C444" s="12" t="str">
        <f aca="false">INDEX(Entities!$D$5:$D$34,MATCH(A444,Entities!$A$5:$A$34,0))</f>
        <v>Europe</v>
      </c>
      <c r="D444" s="12" t="s">
        <v>322</v>
      </c>
      <c r="E444" s="12" t="str">
        <f aca="false">INDEX('Risk Taxonomy'!$B$5:$B$24,MATCH(D444,'Risk Taxonomy'!$A$5:$A$24,0))</f>
        <v>Strategic, business model and ESG</v>
      </c>
      <c r="F444" s="29" t="n">
        <f aca="false">IF(NOT(ISNUMBER(G444)),"",G444)</f>
        <v>1</v>
      </c>
      <c r="G444" s="34" t="n">
        <f aca="false">IF(COUNTIFS('LxI Assessment'!$A$5:$A$394,A444,'LxI Assessment'!$D$5:$D$394,D444,'LxI Assessment'!$F$5:$F$394,"N/A")&gt;0,"N/A",IF(COUNTIFS('LxI Assessment'!$A$5:$A$394,A444,'LxI Assessment'!$D$5:$D$394,D444,'LxI Assessment'!$S$5:$S$394,"&gt;0")=0,"",SUMIFS('LxI Assessment'!$S$5:$S$394,'LxI Assessment'!$A$5:$A$394,A444,'LxI Assessment'!$D$5:$D$394,D444)))</f>
        <v>1</v>
      </c>
      <c r="H444" s="7" t="str">
        <f aca="false">IF(G444="N/A","N/A",IF(G444="","No data",INDEX(Config!$B$5:$B$9,G444)))</f>
        <v>Low</v>
      </c>
      <c r="I444" s="31" t="n">
        <f aca="false">IF(NOT(ISNUMBER($G444)),"",SUMPRODUCT(('Control Mapping'!$C$5:$C$83=D444)*('Control Mapping'!$AB$5:$AB$83&gt;0)))</f>
        <v>1</v>
      </c>
      <c r="J444" s="31" t="n">
        <f aca="false">IF(NOT(ISNUMBER($G444)),"",SUMPRODUCT(('Control Mapping'!$C$5:$C$83=D444)*('Control Mapping'!$F$5:$F$83="Y")*('Control Mapping'!$AB$5:$AB$83&gt;0)))</f>
        <v>1</v>
      </c>
      <c r="K444" s="31" t="n">
        <f aca="false">IF(NOT(ISNUMBER($G444)),"",SUMPRODUCT(('Control Mapping'!$C$5:$C$83=D444)*('Control Mapping'!$F$5:$F$83="Y")*('Control Mapping'!$AB$5:$AB$83=4)))</f>
        <v>0</v>
      </c>
      <c r="L444" s="29" t="n">
        <f aca="false">IF(NOT(ISNUMBER($G444)),"",IFERROR(SUMPRODUCT(('Control Mapping'!$C$5:$C$83=D444)*'Control Mapping'!$E$5:$E$83*'Control Mapping'!$AB$5:$AB$83)/SUMPRODUCT(('Control Mapping'!$C$5:$C$83=D444)*'Control Mapping'!$E$5:$E$83*('Control Mapping'!$AB$5:$AB$83&gt;0)),""))</f>
        <v>1</v>
      </c>
      <c r="M444" s="34" t="n">
        <f aca="false">IF(NOT(ISNUMBER($G444)),"",IF(J444=0,4,MAX(MATCH(L444,'Residual Config'!$E$11:$E$14,1),IF(K444&gt;0,'Residual Config'!$C$7,1))))</f>
        <v>1</v>
      </c>
      <c r="N444" s="7" t="str">
        <f aca="false">IF(NOT(ISNUMBER($G444)),"",IF(J444=0,"Ineffective (no key control)",INDEX('Residual Config'!$B$11:$B$14,M444)))</f>
        <v>Effective</v>
      </c>
      <c r="O444" s="36" t="n">
        <f aca="false">IF(NOT(ISNUMBER($G444)),"",IF(J444=0,0,SUMPRODUCT(('Control Mapping'!$C$5:$C$83=D444)*'Control Mapping'!$E$5:$E$83*(('Control Mapping'!$AB$5:$AB$83=1)*'Residual Config'!$D$11+('Control Mapping'!$AB$5:$AB$83=2)*'Residual Config'!$D$12+('Control Mapping'!$AB$5:$AB$83=3)*'Residual Config'!$D$13+('Control Mapping'!$AB$5:$AB$83=4)*'Residual Config'!$D$14))/SUMPRODUCT(('Control Mapping'!$C$5:$C$83=D444)*'Control Mapping'!$E$5:$E$83*('Control Mapping'!$AB$5:$AB$83&gt;0))))</f>
        <v>0.6</v>
      </c>
      <c r="P444" s="31" t="n">
        <f aca="false">IF(NOT(ISNUMBER($G444)),"",INDEX('Residual Config'!$B$19:$E$23,6-G444,M444))</f>
        <v>1</v>
      </c>
      <c r="Q444" s="29" t="n">
        <f aca="false">IF(NOT(ISNUMBER($G444)),"",MAX(1,F444*(1-O444)))</f>
        <v>1</v>
      </c>
      <c r="R444" s="31" t="n">
        <f aca="false">IF(NOT(ISNUMBER($G444)),"",MAX(MATCH(Q444,Config!$D$5:$D$9,1),G444-'Residual Config'!$C$6))</f>
        <v>1</v>
      </c>
      <c r="S444" s="34" t="n">
        <f aca="false">IF(NOT(ISNUMBER($G444)),"",IF('Residual Config'!$C$5="Numeric",R444,P444))</f>
        <v>1</v>
      </c>
      <c r="T444" s="7" t="str">
        <f aca="false">IF(G444="N/A","N/A",IF(S444="","No data",INDEX(Config!$B$5:$B$9,S444)))</f>
        <v>Low</v>
      </c>
      <c r="U444" s="32" t="n">
        <v>0</v>
      </c>
      <c r="V444" s="8"/>
      <c r="W444" s="33"/>
      <c r="X444" s="34" t="n">
        <f aca="false">IF(S444="","",IF(AND(W444="Y",U444&lt;&gt;0),MAX(1,MIN(5,S444+MAX(-Config!$C$27,MIN(Config!$C$27,U444)))),S444))</f>
        <v>1</v>
      </c>
      <c r="Y444" s="35" t="str">
        <f aca="false">IF(G444="N/A","N/A",IF(X444="","No data",INDEX(Config!$B$5:$B$9,X444)))</f>
        <v>Low</v>
      </c>
      <c r="Z444" s="7" t="str">
        <f aca="false">IF(U444=0,"None",IF(W444="Y","Applied","Pending HO approval"))</f>
        <v>None</v>
      </c>
      <c r="AA444" s="12" t="str">
        <f aca="false">INDEX('Risk Taxonomy'!$G$5:$G$24,MATCH(D444,'Risk Taxonomy'!$A$5:$A$24,0))</f>
        <v>Moderate</v>
      </c>
      <c r="AB444" s="7" t="str">
        <f aca="false">INDEX('Risk Taxonomy'!$H$5:$H$24,MATCH(D444,'Risk Taxonomy'!$A$5:$A$24,0))</f>
        <v>Medium-High</v>
      </c>
      <c r="AC444" s="35" t="str">
        <f aca="false">IF(NOT(ISNUMBER(X444)),"",IF(X444&lt;=MATCH(AB444,Config!$B$5:$B$9,0),"Within",IF(OR(X444-MATCH(AB444,Config!$B$5:$B$9,0)&gt;=2,AND('Residual Config'!$C$8="Y",ISNUMBER(SEARCH("Zero",AA444)))),"Red","Amber")))</f>
        <v>Within</v>
      </c>
      <c r="AD444" s="12" t="str">
        <f aca="false">IF(AC444="Red","Group CCO / CRO and Country CEO within 2 business days; action plan in 15 days; report to Board Risk &amp; Compliance Committee",IF(AC444="Amber","Country CO, risk owner and HO Administrator within 5 business days; action plan in 30 days",""))</f>
        <v/>
      </c>
    </row>
    <row r="445" customFormat="false" ht="15" hidden="false" customHeight="false" outlineLevel="0" collapsed="false">
      <c r="A445" s="26" t="str">
        <f aca="false">Entities!$A$27</f>
        <v>FR</v>
      </c>
      <c r="B445" s="12" t="str">
        <f aca="false">INDEX(Entities!$B$5:$B$34,MATCH(A445,Entities!$A$5:$A$34,0))</f>
        <v>Arab Bank – France</v>
      </c>
      <c r="C445" s="12" t="str">
        <f aca="false">INDEX(Entities!$D$5:$D$34,MATCH(A445,Entities!$A$5:$A$34,0))</f>
        <v>Europe</v>
      </c>
      <c r="D445" s="12" t="s">
        <v>260</v>
      </c>
      <c r="E445" s="12" t="str">
        <f aca="false">INDEX('Risk Taxonomy'!$B$5:$B$24,MATCH(D445,'Risk Taxonomy'!$A$5:$A$24,0))</f>
        <v>Money laundering</v>
      </c>
      <c r="F445" s="29" t="n">
        <f aca="false">IF(NOT(ISNUMBER(G445)),"",IFERROR(IF(MATCH(SUMIFS('FC Calculation'!$N$5:$N$214,'FC Calculation'!$A$5:$A$214,A445,'FC Calculation'!$D$5:$D$214,D445),Config!$D$5:$D$9,1)=G445,SUMIFS('FC Calculation'!$N$5:$N$214,'FC Calculation'!$A$5:$A$214,A445,'FC Calculation'!$D$5:$D$214,D445),G445),G445))</f>
        <v>1.80579365079365</v>
      </c>
      <c r="G445" s="34" t="n">
        <f aca="false">IF(COUNTIFS('FC Calculation'!$A$5:$A$214,A445,'FC Calculation'!$D$5:$D$214,D445,'FC Calculation'!$T$5:$T$214,"&gt;0")=0,"",SUMIFS('FC Calculation'!$T$5:$T$214,'FC Calculation'!$A$5:$A$214,A445,'FC Calculation'!$D$5:$D$214,D445))</f>
        <v>1</v>
      </c>
      <c r="H445" s="7" t="str">
        <f aca="false">IF(G445="N/A","N/A",IF(G445="","No data",INDEX(Config!$B$5:$B$9,G445)))</f>
        <v>Low</v>
      </c>
      <c r="I445" s="31" t="n">
        <f aca="false">IF(NOT(ISNUMBER($G445)),"",SUMPRODUCT(('Control Mapping'!$C$5:$C$83=D445)*('Control Mapping'!$AC$5:$AC$83&gt;0)))</f>
        <v>12</v>
      </c>
      <c r="J445" s="31" t="n">
        <f aca="false">IF(NOT(ISNUMBER($G445)),"",SUMPRODUCT(('Control Mapping'!$C$5:$C$83=D445)*('Control Mapping'!$F$5:$F$83="Y")*('Control Mapping'!$AC$5:$AC$83&gt;0)))</f>
        <v>9</v>
      </c>
      <c r="K445" s="31" t="n">
        <f aca="false">IF(NOT(ISNUMBER($G445)),"",SUMPRODUCT(('Control Mapping'!$C$5:$C$83=D445)*('Control Mapping'!$F$5:$F$83="Y")*('Control Mapping'!$AC$5:$AC$83=4)))</f>
        <v>4</v>
      </c>
      <c r="L445" s="29" t="n">
        <f aca="false">IF(NOT(ISNUMBER($G445)),"",IFERROR(SUMPRODUCT(('Control Mapping'!$C$5:$C$83=D445)*'Control Mapping'!$E$5:$E$83*'Control Mapping'!$AC$5:$AC$83)/SUMPRODUCT(('Control Mapping'!$C$5:$C$83=D445)*'Control Mapping'!$E$5:$E$83*('Control Mapping'!$AC$5:$AC$83&gt;0)),""))</f>
        <v>2.47826086956522</v>
      </c>
      <c r="M445" s="34" t="n">
        <f aca="false">IF(NOT(ISNUMBER($G445)),"",IF(J445=0,4,MAX(MATCH(L445,'Residual Config'!$E$11:$E$14,1),IF(K445&gt;0,'Residual Config'!$C$7,1))))</f>
        <v>3</v>
      </c>
      <c r="N445" s="7" t="str">
        <f aca="false">IF(NOT(ISNUMBER($G445)),"",IF(J445=0,"Ineffective (no key control)",INDEX('Residual Config'!$B$11:$B$14,M445)))</f>
        <v>Partially effective</v>
      </c>
      <c r="O445" s="36" t="n">
        <f aca="false">IF(NOT(ISNUMBER($G445)),"",IF(J445=0,0,SUMPRODUCT(('Control Mapping'!$C$5:$C$83=D445)*'Control Mapping'!$E$5:$E$83*(('Control Mapping'!$AC$5:$AC$83=1)*'Residual Config'!$D$11+('Control Mapping'!$AC$5:$AC$83=2)*'Residual Config'!$D$12+('Control Mapping'!$AC$5:$AC$83=3)*'Residual Config'!$D$13+('Control Mapping'!$AC$5:$AC$83=4)*'Residual Config'!$D$14))/SUMPRODUCT(('Control Mapping'!$C$5:$C$83=D445)*'Control Mapping'!$E$5:$E$83*('Control Mapping'!$AC$5:$AC$83&gt;0))))</f>
        <v>0.304347826086957</v>
      </c>
      <c r="P445" s="31" t="n">
        <f aca="false">IF(NOT(ISNUMBER($G445)),"",INDEX('Residual Config'!$B$19:$E$23,6-G445,M445))</f>
        <v>1</v>
      </c>
      <c r="Q445" s="29" t="n">
        <f aca="false">IF(NOT(ISNUMBER($G445)),"",MAX(1,F445*(1-O445)))</f>
        <v>1.25620427881297</v>
      </c>
      <c r="R445" s="31" t="n">
        <f aca="false">IF(NOT(ISNUMBER($G445)),"",MAX(MATCH(Q445,Config!$D$5:$D$9,1),G445-'Residual Config'!$C$6))</f>
        <v>1</v>
      </c>
      <c r="S445" s="34" t="n">
        <f aca="false">IF(NOT(ISNUMBER($G445)),"",IF('Residual Config'!$C$5="Numeric",R445,P445))</f>
        <v>1</v>
      </c>
      <c r="T445" s="7" t="str">
        <f aca="false">IF(G445="N/A","N/A",IF(S445="","No data",INDEX(Config!$B$5:$B$9,S445)))</f>
        <v>Low</v>
      </c>
      <c r="U445" s="32" t="n">
        <v>0</v>
      </c>
      <c r="V445" s="8"/>
      <c r="W445" s="33"/>
      <c r="X445" s="34" t="n">
        <f aca="false">IF(S445="","",IF(AND(W445="Y",U445&lt;&gt;0),MAX(1,MIN(5,S445+MAX(-Config!$C$27,MIN(Config!$C$27,U445)))),S445))</f>
        <v>1</v>
      </c>
      <c r="Y445" s="35" t="str">
        <f aca="false">IF(G445="N/A","N/A",IF(X445="","No data",INDEX(Config!$B$5:$B$9,X445)))</f>
        <v>Low</v>
      </c>
      <c r="Z445" s="7" t="str">
        <f aca="false">IF(U445=0,"None",IF(W445="Y","Applied","Pending HO approval"))</f>
        <v>None</v>
      </c>
      <c r="AA445" s="12" t="str">
        <f aca="false">INDEX('Risk Taxonomy'!$G$5:$G$24,MATCH(D445,'Risk Taxonomy'!$A$5:$A$24,0))</f>
        <v>Very low</v>
      </c>
      <c r="AB445" s="7" t="str">
        <f aca="false">INDEX('Risk Taxonomy'!$H$5:$H$24,MATCH(D445,'Risk Taxonomy'!$A$5:$A$24,0))</f>
        <v>Medium-Low</v>
      </c>
      <c r="AC445" s="35" t="str">
        <f aca="false">IF(NOT(ISNUMBER(X445)),"",IF(X445&lt;=MATCH(AB445,Config!$B$5:$B$9,0),"Within",IF(OR(X445-MATCH(AB445,Config!$B$5:$B$9,0)&gt;=2,AND('Residual Config'!$C$8="Y",ISNUMBER(SEARCH("Zero",AA445)))),"Red","Amber")))</f>
        <v>Within</v>
      </c>
      <c r="AD445" s="12" t="str">
        <f aca="false">IF(AC445="Red","Group CCO / CRO and Country CEO within 2 business days; action plan in 15 days; report to Board Risk &amp; Compliance Committee",IF(AC445="Amber","Country CO, risk owner and HO Administrator within 5 business days; action plan in 30 days",""))</f>
        <v/>
      </c>
    </row>
    <row r="446" customFormat="false" ht="15" hidden="false" customHeight="false" outlineLevel="0" collapsed="false">
      <c r="A446" s="26" t="str">
        <f aca="false">Entities!$A$27</f>
        <v>FR</v>
      </c>
      <c r="B446" s="12" t="str">
        <f aca="false">INDEX(Entities!$B$5:$B$34,MATCH(A446,Entities!$A$5:$A$34,0))</f>
        <v>Arab Bank – France</v>
      </c>
      <c r="C446" s="12" t="str">
        <f aca="false">INDEX(Entities!$D$5:$D$34,MATCH(A446,Entities!$A$5:$A$34,0))</f>
        <v>Europe</v>
      </c>
      <c r="D446" s="12" t="s">
        <v>267</v>
      </c>
      <c r="E446" s="12" t="str">
        <f aca="false">INDEX('Risk Taxonomy'!$B$5:$B$24,MATCH(D446,'Risk Taxonomy'!$A$5:$A$24,0))</f>
        <v>Terrorist financing</v>
      </c>
      <c r="F446" s="29" t="n">
        <f aca="false">IF(NOT(ISNUMBER(G446)),"",IFERROR(IF(MATCH(SUMIFS('FC Calculation'!$N$5:$N$214,'FC Calculation'!$A$5:$A$214,A446,'FC Calculation'!$D$5:$D$214,D446),Config!$D$5:$D$9,1)=G446,SUMIFS('FC Calculation'!$N$5:$N$214,'FC Calculation'!$A$5:$A$214,A446,'FC Calculation'!$D$5:$D$214,D446),G446),G446))</f>
        <v>1.6547619047619</v>
      </c>
      <c r="G446" s="34" t="n">
        <f aca="false">IF(COUNTIFS('FC Calculation'!$A$5:$A$214,A446,'FC Calculation'!$D$5:$D$214,D446,'FC Calculation'!$T$5:$T$214,"&gt;0")=0,"",SUMIFS('FC Calculation'!$T$5:$T$214,'FC Calculation'!$A$5:$A$214,A446,'FC Calculation'!$D$5:$D$214,D446))</f>
        <v>1</v>
      </c>
      <c r="H446" s="7" t="str">
        <f aca="false">IF(G446="N/A","N/A",IF(G446="","No data",INDEX(Config!$B$5:$B$9,G446)))</f>
        <v>Low</v>
      </c>
      <c r="I446" s="31" t="n">
        <f aca="false">IF(NOT(ISNUMBER($G446)),"",SUMPRODUCT(('Control Mapping'!$C$5:$C$83=D446)*('Control Mapping'!$AC$5:$AC$83&gt;0)))</f>
        <v>12</v>
      </c>
      <c r="J446" s="31" t="n">
        <f aca="false">IF(NOT(ISNUMBER($G446)),"",SUMPRODUCT(('Control Mapping'!$C$5:$C$83=D446)*('Control Mapping'!$F$5:$F$83="Y")*('Control Mapping'!$AC$5:$AC$83&gt;0)))</f>
        <v>9</v>
      </c>
      <c r="K446" s="31" t="n">
        <f aca="false">IF(NOT(ISNUMBER($G446)),"",SUMPRODUCT(('Control Mapping'!$C$5:$C$83=D446)*('Control Mapping'!$F$5:$F$83="Y")*('Control Mapping'!$AC$5:$AC$83=4)))</f>
        <v>3</v>
      </c>
      <c r="L446" s="29" t="n">
        <f aca="false">IF(NOT(ISNUMBER($G446)),"",IFERROR(SUMPRODUCT(('Control Mapping'!$C$5:$C$83=D446)*'Control Mapping'!$E$5:$E$83*'Control Mapping'!$AC$5:$AC$83)/SUMPRODUCT(('Control Mapping'!$C$5:$C$83=D446)*'Control Mapping'!$E$5:$E$83*('Control Mapping'!$AC$5:$AC$83&gt;0)),""))</f>
        <v>2.05263157894737</v>
      </c>
      <c r="M446" s="34" t="n">
        <f aca="false">IF(NOT(ISNUMBER($G446)),"",IF(J446=0,4,MAX(MATCH(L446,'Residual Config'!$E$11:$E$14,1),IF(K446&gt;0,'Residual Config'!$C$7,1))))</f>
        <v>3</v>
      </c>
      <c r="N446" s="7" t="str">
        <f aca="false">IF(NOT(ISNUMBER($G446)),"",IF(J446=0,"Ineffective (no key control)",INDEX('Residual Config'!$B$11:$B$14,M446)))</f>
        <v>Partially effective</v>
      </c>
      <c r="O446" s="36" t="n">
        <f aca="false">IF(NOT(ISNUMBER($G446)),"",IF(J446=0,0,SUMPRODUCT(('Control Mapping'!$C$5:$C$83=D446)*'Control Mapping'!$E$5:$E$83*(('Control Mapping'!$AC$5:$AC$83=1)*'Residual Config'!$D$11+('Control Mapping'!$AC$5:$AC$83=2)*'Residual Config'!$D$12+('Control Mapping'!$AC$5:$AC$83=3)*'Residual Config'!$D$13+('Control Mapping'!$AC$5:$AC$83=4)*'Residual Config'!$D$14))/SUMPRODUCT(('Control Mapping'!$C$5:$C$83=D446)*'Control Mapping'!$E$5:$E$83*('Control Mapping'!$AC$5:$AC$83&gt;0))))</f>
        <v>0.389473684210526</v>
      </c>
      <c r="P446" s="31" t="n">
        <f aca="false">IF(NOT(ISNUMBER($G446)),"",INDEX('Residual Config'!$B$19:$E$23,6-G446,M446))</f>
        <v>1</v>
      </c>
      <c r="Q446" s="29" t="n">
        <f aca="false">IF(NOT(ISNUMBER($G446)),"",MAX(1,F446*(1-O446)))</f>
        <v>1.01027568922306</v>
      </c>
      <c r="R446" s="31" t="n">
        <f aca="false">IF(NOT(ISNUMBER($G446)),"",MAX(MATCH(Q446,Config!$D$5:$D$9,1),G446-'Residual Config'!$C$6))</f>
        <v>1</v>
      </c>
      <c r="S446" s="34" t="n">
        <f aca="false">IF(NOT(ISNUMBER($G446)),"",IF('Residual Config'!$C$5="Numeric",R446,P446))</f>
        <v>1</v>
      </c>
      <c r="T446" s="7" t="str">
        <f aca="false">IF(G446="N/A","N/A",IF(S446="","No data",INDEX(Config!$B$5:$B$9,S446)))</f>
        <v>Low</v>
      </c>
      <c r="U446" s="32" t="n">
        <v>0</v>
      </c>
      <c r="V446" s="8"/>
      <c r="W446" s="33"/>
      <c r="X446" s="34" t="n">
        <f aca="false">IF(S446="","",IF(AND(W446="Y",U446&lt;&gt;0),MAX(1,MIN(5,S446+MAX(-Config!$C$27,MIN(Config!$C$27,U446)))),S446))</f>
        <v>1</v>
      </c>
      <c r="Y446" s="35" t="str">
        <f aca="false">IF(G446="N/A","N/A",IF(X446="","No data",INDEX(Config!$B$5:$B$9,X446)))</f>
        <v>Low</v>
      </c>
      <c r="Z446" s="7" t="str">
        <f aca="false">IF(U446=0,"None",IF(W446="Y","Applied","Pending HO approval"))</f>
        <v>None</v>
      </c>
      <c r="AA446" s="12" t="str">
        <f aca="false">INDEX('Risk Taxonomy'!$G$5:$G$24,MATCH(D446,'Risk Taxonomy'!$A$5:$A$24,0))</f>
        <v>Zero tolerance</v>
      </c>
      <c r="AB446" s="7" t="str">
        <f aca="false">INDEX('Risk Taxonomy'!$H$5:$H$24,MATCH(D446,'Risk Taxonomy'!$A$5:$A$24,0))</f>
        <v>Low</v>
      </c>
      <c r="AC446" s="35" t="str">
        <f aca="false">IF(NOT(ISNUMBER(X446)),"",IF(X446&lt;=MATCH(AB446,Config!$B$5:$B$9,0),"Within",IF(OR(X446-MATCH(AB446,Config!$B$5:$B$9,0)&gt;=2,AND('Residual Config'!$C$8="Y",ISNUMBER(SEARCH("Zero",AA446)))),"Red","Amber")))</f>
        <v>Within</v>
      </c>
      <c r="AD446" s="12" t="str">
        <f aca="false">IF(AC446="Red","Group CCO / CRO and Country CEO within 2 business days; action plan in 15 days; report to Board Risk &amp; Compliance Committee",IF(AC446="Amber","Country CO, risk owner and HO Administrator within 5 business days; action plan in 30 days",""))</f>
        <v/>
      </c>
    </row>
    <row r="447" customFormat="false" ht="15" hidden="false" customHeight="false" outlineLevel="0" collapsed="false">
      <c r="A447" s="26" t="str">
        <f aca="false">Entities!$A$27</f>
        <v>FR</v>
      </c>
      <c r="B447" s="12" t="str">
        <f aca="false">INDEX(Entities!$B$5:$B$34,MATCH(A447,Entities!$A$5:$A$34,0))</f>
        <v>Arab Bank – France</v>
      </c>
      <c r="C447" s="12" t="str">
        <f aca="false">INDEX(Entities!$D$5:$D$34,MATCH(A447,Entities!$A$5:$A$34,0))</f>
        <v>Europe</v>
      </c>
      <c r="D447" s="12" t="s">
        <v>270</v>
      </c>
      <c r="E447" s="12" t="str">
        <f aca="false">INDEX('Risk Taxonomy'!$B$5:$B$24,MATCH(D447,'Risk Taxonomy'!$A$5:$A$24,0))</f>
        <v>Proliferation financing</v>
      </c>
      <c r="F447" s="29" t="n">
        <f aca="false">IF(NOT(ISNUMBER(G447)),"",IFERROR(IF(MATCH(SUMIFS('FC Calculation'!$N$5:$N$214,'FC Calculation'!$A$5:$A$214,A447,'FC Calculation'!$D$5:$D$214,D447),Config!$D$5:$D$9,1)=G447,SUMIFS('FC Calculation'!$N$5:$N$214,'FC Calculation'!$A$5:$A$214,A447,'FC Calculation'!$D$5:$D$214,D447),G447),G447))</f>
        <v>1.74583333333333</v>
      </c>
      <c r="G447" s="34" t="n">
        <f aca="false">IF(COUNTIFS('FC Calculation'!$A$5:$A$214,A447,'FC Calculation'!$D$5:$D$214,D447,'FC Calculation'!$T$5:$T$214,"&gt;0")=0,"",SUMIFS('FC Calculation'!$T$5:$T$214,'FC Calculation'!$A$5:$A$214,A447,'FC Calculation'!$D$5:$D$214,D447))</f>
        <v>1</v>
      </c>
      <c r="H447" s="7" t="str">
        <f aca="false">IF(G447="N/A","N/A",IF(G447="","No data",INDEX(Config!$B$5:$B$9,G447)))</f>
        <v>Low</v>
      </c>
      <c r="I447" s="31" t="n">
        <f aca="false">IF(NOT(ISNUMBER($G447)),"",SUMPRODUCT(('Control Mapping'!$C$5:$C$83=D447)*('Control Mapping'!$AC$5:$AC$83&gt;0)))</f>
        <v>5</v>
      </c>
      <c r="J447" s="31" t="n">
        <f aca="false">IF(NOT(ISNUMBER($G447)),"",SUMPRODUCT(('Control Mapping'!$C$5:$C$83=D447)*('Control Mapping'!$F$5:$F$83="Y")*('Control Mapping'!$AC$5:$AC$83&gt;0)))</f>
        <v>5</v>
      </c>
      <c r="K447" s="31" t="n">
        <f aca="false">IF(NOT(ISNUMBER($G447)),"",SUMPRODUCT(('Control Mapping'!$C$5:$C$83=D447)*('Control Mapping'!$F$5:$F$83="Y")*('Control Mapping'!$AC$5:$AC$83=4)))</f>
        <v>1</v>
      </c>
      <c r="L447" s="29" t="n">
        <f aca="false">IF(NOT(ISNUMBER($G447)),"",IFERROR(SUMPRODUCT(('Control Mapping'!$C$5:$C$83=D447)*'Control Mapping'!$E$5:$E$83*'Control Mapping'!$AC$5:$AC$83)/SUMPRODUCT(('Control Mapping'!$C$5:$C$83=D447)*'Control Mapping'!$E$5:$E$83*('Control Mapping'!$AC$5:$AC$83&gt;0)),""))</f>
        <v>1.8</v>
      </c>
      <c r="M447" s="34" t="n">
        <f aca="false">IF(NOT(ISNUMBER($G447)),"",IF(J447=0,4,MAX(MATCH(L447,'Residual Config'!$E$11:$E$14,1),IF(K447&gt;0,'Residual Config'!$C$7,1))))</f>
        <v>3</v>
      </c>
      <c r="N447" s="7" t="str">
        <f aca="false">IF(NOT(ISNUMBER($G447)),"",IF(J447=0,"Ineffective (no key control)",INDEX('Residual Config'!$B$11:$B$14,M447)))</f>
        <v>Partially effective</v>
      </c>
      <c r="O447" s="36" t="n">
        <f aca="false">IF(NOT(ISNUMBER($G447)),"",IF(J447=0,0,SUMPRODUCT(('Control Mapping'!$C$5:$C$83=D447)*'Control Mapping'!$E$5:$E$83*(('Control Mapping'!$AC$5:$AC$83=1)*'Residual Config'!$D$11+('Control Mapping'!$AC$5:$AC$83=2)*'Residual Config'!$D$12+('Control Mapping'!$AC$5:$AC$83=3)*'Residual Config'!$D$13+('Control Mapping'!$AC$5:$AC$83=4)*'Residual Config'!$D$14))/SUMPRODUCT(('Control Mapping'!$C$5:$C$83=D447)*'Control Mapping'!$E$5:$E$83*('Control Mapping'!$AC$5:$AC$83&gt;0))))</f>
        <v>0.44</v>
      </c>
      <c r="P447" s="31" t="n">
        <f aca="false">IF(NOT(ISNUMBER($G447)),"",INDEX('Residual Config'!$B$19:$E$23,6-G447,M447))</f>
        <v>1</v>
      </c>
      <c r="Q447" s="29" t="n">
        <f aca="false">IF(NOT(ISNUMBER($G447)),"",MAX(1,F447*(1-O447)))</f>
        <v>1</v>
      </c>
      <c r="R447" s="31" t="n">
        <f aca="false">IF(NOT(ISNUMBER($G447)),"",MAX(MATCH(Q447,Config!$D$5:$D$9,1),G447-'Residual Config'!$C$6))</f>
        <v>1</v>
      </c>
      <c r="S447" s="34" t="n">
        <f aca="false">IF(NOT(ISNUMBER($G447)),"",IF('Residual Config'!$C$5="Numeric",R447,P447))</f>
        <v>1</v>
      </c>
      <c r="T447" s="7" t="str">
        <f aca="false">IF(G447="N/A","N/A",IF(S447="","No data",INDEX(Config!$B$5:$B$9,S447)))</f>
        <v>Low</v>
      </c>
      <c r="U447" s="32" t="n">
        <v>0</v>
      </c>
      <c r="V447" s="8"/>
      <c r="W447" s="33"/>
      <c r="X447" s="34" t="n">
        <f aca="false">IF(S447="","",IF(AND(W447="Y",U447&lt;&gt;0),MAX(1,MIN(5,S447+MAX(-Config!$C$27,MIN(Config!$C$27,U447)))),S447))</f>
        <v>1</v>
      </c>
      <c r="Y447" s="35" t="str">
        <f aca="false">IF(G447="N/A","N/A",IF(X447="","No data",INDEX(Config!$B$5:$B$9,X447)))</f>
        <v>Low</v>
      </c>
      <c r="Z447" s="7" t="str">
        <f aca="false">IF(U447=0,"None",IF(W447="Y","Applied","Pending HO approval"))</f>
        <v>None</v>
      </c>
      <c r="AA447" s="12" t="str">
        <f aca="false">INDEX('Risk Taxonomy'!$G$5:$G$24,MATCH(D447,'Risk Taxonomy'!$A$5:$A$24,0))</f>
        <v>Zero tolerance</v>
      </c>
      <c r="AB447" s="7" t="str">
        <f aca="false">INDEX('Risk Taxonomy'!$H$5:$H$24,MATCH(D447,'Risk Taxonomy'!$A$5:$A$24,0))</f>
        <v>Low</v>
      </c>
      <c r="AC447" s="35" t="str">
        <f aca="false">IF(NOT(ISNUMBER(X447)),"",IF(X447&lt;=MATCH(AB447,Config!$B$5:$B$9,0),"Within",IF(OR(X447-MATCH(AB447,Config!$B$5:$B$9,0)&gt;=2,AND('Residual Config'!$C$8="Y",ISNUMBER(SEARCH("Zero",AA447)))),"Red","Amber")))</f>
        <v>Within</v>
      </c>
      <c r="AD447" s="12" t="str">
        <f aca="false">IF(AC447="Red","Group CCO / CRO and Country CEO within 2 business days; action plan in 15 days; report to Board Risk &amp; Compliance Committee",IF(AC447="Amber","Country CO, risk owner and HO Administrator within 5 business days; action plan in 30 days",""))</f>
        <v/>
      </c>
    </row>
    <row r="448" customFormat="false" ht="15" hidden="false" customHeight="false" outlineLevel="0" collapsed="false">
      <c r="A448" s="26" t="str">
        <f aca="false">Entities!$A$27</f>
        <v>FR</v>
      </c>
      <c r="B448" s="12" t="str">
        <f aca="false">INDEX(Entities!$B$5:$B$34,MATCH(A448,Entities!$A$5:$A$34,0))</f>
        <v>Arab Bank – France</v>
      </c>
      <c r="C448" s="12" t="str">
        <f aca="false">INDEX(Entities!$D$5:$D$34,MATCH(A448,Entities!$A$5:$A$34,0))</f>
        <v>Europe</v>
      </c>
      <c r="D448" s="12" t="s">
        <v>272</v>
      </c>
      <c r="E448" s="12" t="str">
        <f aca="false">INDEX('Risk Taxonomy'!$B$5:$B$24,MATCH(D448,'Risk Taxonomy'!$A$5:$A$24,0))</f>
        <v>Sanctions</v>
      </c>
      <c r="F448" s="29" t="n">
        <f aca="false">IF(NOT(ISNUMBER(G448)),"",IFERROR(IF(MATCH(SUMIFS('FC Calculation'!$N$5:$N$214,'FC Calculation'!$A$5:$A$214,A448,'FC Calculation'!$D$5:$D$214,D448),Config!$D$5:$D$9,1)=G448,SUMIFS('FC Calculation'!$N$5:$N$214,'FC Calculation'!$A$5:$A$214,A448,'FC Calculation'!$D$5:$D$214,D448),G448),G448))</f>
        <v>1.81785714285714</v>
      </c>
      <c r="G448" s="34" t="n">
        <f aca="false">IF(COUNTIFS('FC Calculation'!$A$5:$A$214,A448,'FC Calculation'!$D$5:$D$214,D448,'FC Calculation'!$T$5:$T$214,"&gt;0")=0,"",SUMIFS('FC Calculation'!$T$5:$T$214,'FC Calculation'!$A$5:$A$214,A448,'FC Calculation'!$D$5:$D$214,D448))</f>
        <v>2</v>
      </c>
      <c r="H448" s="7" t="str">
        <f aca="false">IF(G448="N/A","N/A",IF(G448="","No data",INDEX(Config!$B$5:$B$9,G448)))</f>
        <v>Medium-Low</v>
      </c>
      <c r="I448" s="31" t="n">
        <f aca="false">IF(NOT(ISNUMBER($G448)),"",SUMPRODUCT(('Control Mapping'!$C$5:$C$83=D448)*('Control Mapping'!$AC$5:$AC$83&gt;0)))</f>
        <v>8</v>
      </c>
      <c r="J448" s="31" t="n">
        <f aca="false">IF(NOT(ISNUMBER($G448)),"",SUMPRODUCT(('Control Mapping'!$C$5:$C$83=D448)*('Control Mapping'!$F$5:$F$83="Y")*('Control Mapping'!$AC$5:$AC$83&gt;0)))</f>
        <v>5</v>
      </c>
      <c r="K448" s="31" t="n">
        <f aca="false">IF(NOT(ISNUMBER($G448)),"",SUMPRODUCT(('Control Mapping'!$C$5:$C$83=D448)*('Control Mapping'!$F$5:$F$83="Y")*('Control Mapping'!$AC$5:$AC$83=4)))</f>
        <v>0</v>
      </c>
      <c r="L448" s="29" t="n">
        <f aca="false">IF(NOT(ISNUMBER($G448)),"",IFERROR(SUMPRODUCT(('Control Mapping'!$C$5:$C$83=D448)*'Control Mapping'!$E$5:$E$83*'Control Mapping'!$AC$5:$AC$83)/SUMPRODUCT(('Control Mapping'!$C$5:$C$83=D448)*'Control Mapping'!$E$5:$E$83*('Control Mapping'!$AC$5:$AC$83&gt;0)),""))</f>
        <v>1.45454545454545</v>
      </c>
      <c r="M448" s="34" t="n">
        <f aca="false">IF(NOT(ISNUMBER($G448)),"",IF(J448=0,4,MAX(MATCH(L448,'Residual Config'!$E$11:$E$14,1),IF(K448&gt;0,'Residual Config'!$C$7,1))))</f>
        <v>1</v>
      </c>
      <c r="N448" s="7" t="str">
        <f aca="false">IF(NOT(ISNUMBER($G448)),"",IF(J448=0,"Ineffective (no key control)",INDEX('Residual Config'!$B$11:$B$14,M448)))</f>
        <v>Effective</v>
      </c>
      <c r="O448" s="36" t="n">
        <f aca="false">IF(NOT(ISNUMBER($G448)),"",IF(J448=0,0,SUMPRODUCT(('Control Mapping'!$C$5:$C$83=D448)*'Control Mapping'!$E$5:$E$83*(('Control Mapping'!$AC$5:$AC$83=1)*'Residual Config'!$D$11+('Control Mapping'!$AC$5:$AC$83=2)*'Residual Config'!$D$12+('Control Mapping'!$AC$5:$AC$83=3)*'Residual Config'!$D$13+('Control Mapping'!$AC$5:$AC$83=4)*'Residual Config'!$D$14))/SUMPRODUCT(('Control Mapping'!$C$5:$C$83=D448)*'Control Mapping'!$E$5:$E$83*('Control Mapping'!$AC$5:$AC$83&gt;0))))</f>
        <v>0.509090909090909</v>
      </c>
      <c r="P448" s="31" t="n">
        <f aca="false">IF(NOT(ISNUMBER($G448)),"",INDEX('Residual Config'!$B$19:$E$23,6-G448,M448))</f>
        <v>1</v>
      </c>
      <c r="Q448" s="29" t="n">
        <f aca="false">IF(NOT(ISNUMBER($G448)),"",MAX(1,F448*(1-O448)))</f>
        <v>1</v>
      </c>
      <c r="R448" s="31" t="n">
        <f aca="false">IF(NOT(ISNUMBER($G448)),"",MAX(MATCH(Q448,Config!$D$5:$D$9,1),G448-'Residual Config'!$C$6))</f>
        <v>1</v>
      </c>
      <c r="S448" s="34" t="n">
        <f aca="false">IF(NOT(ISNUMBER($G448)),"",IF('Residual Config'!$C$5="Numeric",R448,P448))</f>
        <v>1</v>
      </c>
      <c r="T448" s="7" t="str">
        <f aca="false">IF(G448="N/A","N/A",IF(S448="","No data",INDEX(Config!$B$5:$B$9,S448)))</f>
        <v>Low</v>
      </c>
      <c r="U448" s="32" t="n">
        <v>0</v>
      </c>
      <c r="V448" s="8"/>
      <c r="W448" s="33"/>
      <c r="X448" s="34" t="n">
        <f aca="false">IF(S448="","",IF(AND(W448="Y",U448&lt;&gt;0),MAX(1,MIN(5,S448+MAX(-Config!$C$27,MIN(Config!$C$27,U448)))),S448))</f>
        <v>1</v>
      </c>
      <c r="Y448" s="35" t="str">
        <f aca="false">IF(G448="N/A","N/A",IF(X448="","No data",INDEX(Config!$B$5:$B$9,X448)))</f>
        <v>Low</v>
      </c>
      <c r="Z448" s="7" t="str">
        <f aca="false">IF(U448=0,"None",IF(W448="Y","Applied","Pending HO approval"))</f>
        <v>None</v>
      </c>
      <c r="AA448" s="12" t="str">
        <f aca="false">INDEX('Risk Taxonomy'!$G$5:$G$24,MATCH(D448,'Risk Taxonomy'!$A$5:$A$24,0))</f>
        <v>Zero tolerance</v>
      </c>
      <c r="AB448" s="7" t="str">
        <f aca="false">INDEX('Risk Taxonomy'!$H$5:$H$24,MATCH(D448,'Risk Taxonomy'!$A$5:$A$24,0))</f>
        <v>Low</v>
      </c>
      <c r="AC448" s="35" t="str">
        <f aca="false">IF(NOT(ISNUMBER(X448)),"",IF(X448&lt;=MATCH(AB448,Config!$B$5:$B$9,0),"Within",IF(OR(X448-MATCH(AB448,Config!$B$5:$B$9,0)&gt;=2,AND('Residual Config'!$C$8="Y",ISNUMBER(SEARCH("Zero",AA448)))),"Red","Amber")))</f>
        <v>Within</v>
      </c>
      <c r="AD448" s="12" t="str">
        <f aca="false">IF(AC448="Red","Group CCO / CRO and Country CEO within 2 business days; action plan in 15 days; report to Board Risk &amp; Compliance Committee",IF(AC448="Amber","Country CO, risk owner and HO Administrator within 5 business days; action plan in 30 days",""))</f>
        <v/>
      </c>
    </row>
    <row r="449" customFormat="false" ht="15" hidden="false" customHeight="false" outlineLevel="0" collapsed="false">
      <c r="A449" s="26" t="str">
        <f aca="false">Entities!$A$27</f>
        <v>FR</v>
      </c>
      <c r="B449" s="12" t="str">
        <f aca="false">INDEX(Entities!$B$5:$B$34,MATCH(A449,Entities!$A$5:$A$34,0))</f>
        <v>Arab Bank – France</v>
      </c>
      <c r="C449" s="12" t="str">
        <f aca="false">INDEX(Entities!$D$5:$D$34,MATCH(A449,Entities!$A$5:$A$34,0))</f>
        <v>Europe</v>
      </c>
      <c r="D449" s="12" t="s">
        <v>275</v>
      </c>
      <c r="E449" s="12" t="str">
        <f aca="false">INDEX('Risk Taxonomy'!$B$5:$B$24,MATCH(D449,'Risk Taxonomy'!$A$5:$A$24,0))</f>
        <v>Bribery and corruption</v>
      </c>
      <c r="F449" s="29" t="n">
        <f aca="false">IF(NOT(ISNUMBER(G449)),"",IFERROR(IF(MATCH(SUMIFS('FC Calculation'!$N$5:$N$214,'FC Calculation'!$A$5:$A$214,A449,'FC Calculation'!$D$5:$D$214,D449),Config!$D$5:$D$9,1)=G449,SUMIFS('FC Calculation'!$N$5:$N$214,'FC Calculation'!$A$5:$A$214,A449,'FC Calculation'!$D$5:$D$214,D449),G449),G449))</f>
        <v>2.06333333333333</v>
      </c>
      <c r="G449" s="34" t="n">
        <f aca="false">IF(COUNTIFS('FC Calculation'!$A$5:$A$214,A449,'FC Calculation'!$D$5:$D$214,D449,'FC Calculation'!$T$5:$T$214,"&gt;0")=0,"",SUMIFS('FC Calculation'!$T$5:$T$214,'FC Calculation'!$A$5:$A$214,A449,'FC Calculation'!$D$5:$D$214,D449))</f>
        <v>2</v>
      </c>
      <c r="H449" s="7" t="str">
        <f aca="false">IF(G449="N/A","N/A",IF(G449="","No data",INDEX(Config!$B$5:$B$9,G449)))</f>
        <v>Medium-Low</v>
      </c>
      <c r="I449" s="31" t="n">
        <f aca="false">IF(NOT(ISNUMBER($G449)),"",SUMPRODUCT(('Control Mapping'!$C$5:$C$83=D449)*('Control Mapping'!$AC$5:$AC$83&gt;0)))</f>
        <v>5</v>
      </c>
      <c r="J449" s="31" t="n">
        <f aca="false">IF(NOT(ISNUMBER($G449)),"",SUMPRODUCT(('Control Mapping'!$C$5:$C$83=D449)*('Control Mapping'!$F$5:$F$83="Y")*('Control Mapping'!$AC$5:$AC$83&gt;0)))</f>
        <v>2</v>
      </c>
      <c r="K449" s="31" t="n">
        <f aca="false">IF(NOT(ISNUMBER($G449)),"",SUMPRODUCT(('Control Mapping'!$C$5:$C$83=D449)*('Control Mapping'!$F$5:$F$83="Y")*('Control Mapping'!$AC$5:$AC$83=4)))</f>
        <v>1</v>
      </c>
      <c r="L449" s="29" t="n">
        <f aca="false">IF(NOT(ISNUMBER($G449)),"",IFERROR(SUMPRODUCT(('Control Mapping'!$C$5:$C$83=D449)*'Control Mapping'!$E$5:$E$83*'Control Mapping'!$AC$5:$AC$83)/SUMPRODUCT(('Control Mapping'!$C$5:$C$83=D449)*'Control Mapping'!$E$5:$E$83*('Control Mapping'!$AC$5:$AC$83&gt;0)),""))</f>
        <v>2.88888888888889</v>
      </c>
      <c r="M449" s="34" t="n">
        <f aca="false">IF(NOT(ISNUMBER($G449)),"",IF(J449=0,4,MAX(MATCH(L449,'Residual Config'!$E$11:$E$14,1),IF(K449&gt;0,'Residual Config'!$C$7,1))))</f>
        <v>3</v>
      </c>
      <c r="N449" s="7" t="str">
        <f aca="false">IF(NOT(ISNUMBER($G449)),"",IF(J449=0,"Ineffective (no key control)",INDEX('Residual Config'!$B$11:$B$14,M449)))</f>
        <v>Partially effective</v>
      </c>
      <c r="O449" s="36" t="n">
        <f aca="false">IF(NOT(ISNUMBER($G449)),"",IF(J449=0,0,SUMPRODUCT(('Control Mapping'!$C$5:$C$83=D449)*'Control Mapping'!$E$5:$E$83*(('Control Mapping'!$AC$5:$AC$83=1)*'Residual Config'!$D$11+('Control Mapping'!$AC$5:$AC$83=2)*'Residual Config'!$D$12+('Control Mapping'!$AC$5:$AC$83=3)*'Residual Config'!$D$13+('Control Mapping'!$AC$5:$AC$83=4)*'Residual Config'!$D$14))/SUMPRODUCT(('Control Mapping'!$C$5:$C$83=D449)*'Control Mapping'!$E$5:$E$83*('Control Mapping'!$AC$5:$AC$83&gt;0))))</f>
        <v>0.222222222222222</v>
      </c>
      <c r="P449" s="31" t="n">
        <f aca="false">IF(NOT(ISNUMBER($G449)),"",INDEX('Residual Config'!$B$19:$E$23,6-G449,M449))</f>
        <v>2</v>
      </c>
      <c r="Q449" s="29" t="n">
        <f aca="false">IF(NOT(ISNUMBER($G449)),"",MAX(1,F449*(1-O449)))</f>
        <v>1.60481481481482</v>
      </c>
      <c r="R449" s="31" t="n">
        <f aca="false">IF(NOT(ISNUMBER($G449)),"",MAX(MATCH(Q449,Config!$D$5:$D$9,1),G449-'Residual Config'!$C$6))</f>
        <v>1</v>
      </c>
      <c r="S449" s="34" t="n">
        <f aca="false">IF(NOT(ISNUMBER($G449)),"",IF('Residual Config'!$C$5="Numeric",R449,P449))</f>
        <v>2</v>
      </c>
      <c r="T449" s="7" t="str">
        <f aca="false">IF(G449="N/A","N/A",IF(S449="","No data",INDEX(Config!$B$5:$B$9,S449)))</f>
        <v>Medium-Low</v>
      </c>
      <c r="U449" s="32" t="n">
        <v>0</v>
      </c>
      <c r="V449" s="8"/>
      <c r="W449" s="33"/>
      <c r="X449" s="34" t="n">
        <f aca="false">IF(S449="","",IF(AND(W449="Y",U449&lt;&gt;0),MAX(1,MIN(5,S449+MAX(-Config!$C$27,MIN(Config!$C$27,U449)))),S449))</f>
        <v>2</v>
      </c>
      <c r="Y449" s="35" t="str">
        <f aca="false">IF(G449="N/A","N/A",IF(X449="","No data",INDEX(Config!$B$5:$B$9,X449)))</f>
        <v>Medium-Low</v>
      </c>
      <c r="Z449" s="7" t="str">
        <f aca="false">IF(U449=0,"None",IF(W449="Y","Applied","Pending HO approval"))</f>
        <v>None</v>
      </c>
      <c r="AA449" s="12" t="str">
        <f aca="false">INDEX('Risk Taxonomy'!$G$5:$G$24,MATCH(D449,'Risk Taxonomy'!$A$5:$A$24,0))</f>
        <v>Zero tolerance</v>
      </c>
      <c r="AB449" s="7" t="str">
        <f aca="false">INDEX('Risk Taxonomy'!$H$5:$H$24,MATCH(D449,'Risk Taxonomy'!$A$5:$A$24,0))</f>
        <v>Low</v>
      </c>
      <c r="AC449" s="35" t="str">
        <f aca="false">IF(NOT(ISNUMBER(X449)),"",IF(X449&lt;=MATCH(AB449,Config!$B$5:$B$9,0),"Within",IF(OR(X449-MATCH(AB449,Config!$B$5:$B$9,0)&gt;=2,AND('Residual Config'!$C$8="Y",ISNUMBER(SEARCH("Zero",AA449)))),"Red","Amber")))</f>
        <v>Amber</v>
      </c>
      <c r="AD449" s="12" t="str">
        <f aca="false">IF(AC449="Red","Group CCO / CRO and Country CEO within 2 business days; action plan in 15 days; report to Board Risk &amp; Compliance Committee",IF(AC449="Amber","Country CO, risk owner and HO Administrator within 5 business days; action plan in 30 days",""))</f>
        <v>Country CO, risk owner and HO Administrator within 5 business days; action plan in 30 days</v>
      </c>
    </row>
    <row r="450" customFormat="false" ht="15" hidden="false" customHeight="false" outlineLevel="0" collapsed="false">
      <c r="A450" s="26" t="str">
        <f aca="false">Entities!$A$27</f>
        <v>FR</v>
      </c>
      <c r="B450" s="12" t="str">
        <f aca="false">INDEX(Entities!$B$5:$B$34,MATCH(A450,Entities!$A$5:$A$34,0))</f>
        <v>Arab Bank – France</v>
      </c>
      <c r="C450" s="12" t="str">
        <f aca="false">INDEX(Entities!$D$5:$D$34,MATCH(A450,Entities!$A$5:$A$34,0))</f>
        <v>Europe</v>
      </c>
      <c r="D450" s="12" t="s">
        <v>278</v>
      </c>
      <c r="E450" s="12" t="str">
        <f aca="false">INDEX('Risk Taxonomy'!$B$5:$B$24,MATCH(D450,'Risk Taxonomy'!$A$5:$A$24,0))</f>
        <v>Fraud</v>
      </c>
      <c r="F450" s="29" t="n">
        <f aca="false">IF(NOT(ISNUMBER(G450)),"",IFERROR(IF(MATCH(SUMIFS('FC Calculation'!$N$5:$N$214,'FC Calculation'!$A$5:$A$214,A450,'FC Calculation'!$D$5:$D$214,D450),Config!$D$5:$D$9,1)=G450,SUMIFS('FC Calculation'!$N$5:$N$214,'FC Calculation'!$A$5:$A$214,A450,'FC Calculation'!$D$5:$D$214,D450),G450),G450))</f>
        <v>1.89333333333333</v>
      </c>
      <c r="G450" s="34" t="n">
        <f aca="false">IF(COUNTIFS('FC Calculation'!$A$5:$A$214,A450,'FC Calculation'!$D$5:$D$214,D450,'FC Calculation'!$T$5:$T$214,"&gt;0")=0,"",SUMIFS('FC Calculation'!$T$5:$T$214,'FC Calculation'!$A$5:$A$214,A450,'FC Calculation'!$D$5:$D$214,D450))</f>
        <v>2</v>
      </c>
      <c r="H450" s="7" t="str">
        <f aca="false">IF(G450="N/A","N/A",IF(G450="","No data",INDEX(Config!$B$5:$B$9,G450)))</f>
        <v>Medium-Low</v>
      </c>
      <c r="I450" s="31" t="n">
        <f aca="false">IF(NOT(ISNUMBER($G450)),"",SUMPRODUCT(('Control Mapping'!$C$5:$C$83=D450)*('Control Mapping'!$AC$5:$AC$83&gt;0)))</f>
        <v>6</v>
      </c>
      <c r="J450" s="31" t="n">
        <f aca="false">IF(NOT(ISNUMBER($G450)),"",SUMPRODUCT(('Control Mapping'!$C$5:$C$83=D450)*('Control Mapping'!$F$5:$F$83="Y")*('Control Mapping'!$AC$5:$AC$83&gt;0)))</f>
        <v>5</v>
      </c>
      <c r="K450" s="31" t="n">
        <f aca="false">IF(NOT(ISNUMBER($G450)),"",SUMPRODUCT(('Control Mapping'!$C$5:$C$83=D450)*('Control Mapping'!$F$5:$F$83="Y")*('Control Mapping'!$AC$5:$AC$83=4)))</f>
        <v>1</v>
      </c>
      <c r="L450" s="29" t="n">
        <f aca="false">IF(NOT(ISNUMBER($G450)),"",IFERROR(SUMPRODUCT(('Control Mapping'!$C$5:$C$83=D450)*'Control Mapping'!$E$5:$E$83*'Control Mapping'!$AC$5:$AC$83)/SUMPRODUCT(('Control Mapping'!$C$5:$C$83=D450)*'Control Mapping'!$E$5:$E$83*('Control Mapping'!$AC$5:$AC$83&gt;0)),""))</f>
        <v>1.9</v>
      </c>
      <c r="M450" s="34" t="n">
        <f aca="false">IF(NOT(ISNUMBER($G450)),"",IF(J450=0,4,MAX(MATCH(L450,'Residual Config'!$E$11:$E$14,1),IF(K450&gt;0,'Residual Config'!$C$7,1))))</f>
        <v>3</v>
      </c>
      <c r="N450" s="7" t="str">
        <f aca="false">IF(NOT(ISNUMBER($G450)),"",IF(J450=0,"Ineffective (no key control)",INDEX('Residual Config'!$B$11:$B$14,M450)))</f>
        <v>Partially effective</v>
      </c>
      <c r="O450" s="36" t="n">
        <f aca="false">IF(NOT(ISNUMBER($G450)),"",IF(J450=0,0,SUMPRODUCT(('Control Mapping'!$C$5:$C$83=D450)*'Control Mapping'!$E$5:$E$83*(('Control Mapping'!$AC$5:$AC$83=1)*'Residual Config'!$D$11+('Control Mapping'!$AC$5:$AC$83=2)*'Residual Config'!$D$12+('Control Mapping'!$AC$5:$AC$83=3)*'Residual Config'!$D$13+('Control Mapping'!$AC$5:$AC$83=4)*'Residual Config'!$D$14))/SUMPRODUCT(('Control Mapping'!$C$5:$C$83=D450)*'Control Mapping'!$E$5:$E$83*('Control Mapping'!$AC$5:$AC$83&gt;0))))</f>
        <v>0.42</v>
      </c>
      <c r="P450" s="31" t="n">
        <f aca="false">IF(NOT(ISNUMBER($G450)),"",INDEX('Residual Config'!$B$19:$E$23,6-G450,M450))</f>
        <v>2</v>
      </c>
      <c r="Q450" s="29" t="n">
        <f aca="false">IF(NOT(ISNUMBER($G450)),"",MAX(1,F450*(1-O450)))</f>
        <v>1.09813333333333</v>
      </c>
      <c r="R450" s="31" t="n">
        <f aca="false">IF(NOT(ISNUMBER($G450)),"",MAX(MATCH(Q450,Config!$D$5:$D$9,1),G450-'Residual Config'!$C$6))</f>
        <v>1</v>
      </c>
      <c r="S450" s="34" t="n">
        <f aca="false">IF(NOT(ISNUMBER($G450)),"",IF('Residual Config'!$C$5="Numeric",R450,P450))</f>
        <v>2</v>
      </c>
      <c r="T450" s="7" t="str">
        <f aca="false">IF(G450="N/A","N/A",IF(S450="","No data",INDEX(Config!$B$5:$B$9,S450)))</f>
        <v>Medium-Low</v>
      </c>
      <c r="U450" s="32" t="n">
        <v>0</v>
      </c>
      <c r="V450" s="8"/>
      <c r="W450" s="33"/>
      <c r="X450" s="34" t="n">
        <f aca="false">IF(S450="","",IF(AND(W450="Y",U450&lt;&gt;0),MAX(1,MIN(5,S450+MAX(-Config!$C$27,MIN(Config!$C$27,U450)))),S450))</f>
        <v>2</v>
      </c>
      <c r="Y450" s="35" t="str">
        <f aca="false">IF(G450="N/A","N/A",IF(X450="","No data",INDEX(Config!$B$5:$B$9,X450)))</f>
        <v>Medium-Low</v>
      </c>
      <c r="Z450" s="7" t="str">
        <f aca="false">IF(U450=0,"None",IF(W450="Y","Applied","Pending HO approval"))</f>
        <v>None</v>
      </c>
      <c r="AA450" s="12" t="str">
        <f aca="false">INDEX('Risk Taxonomy'!$G$5:$G$24,MATCH(D450,'Risk Taxonomy'!$A$5:$A$24,0))</f>
        <v>Low</v>
      </c>
      <c r="AB450" s="7" t="str">
        <f aca="false">INDEX('Risk Taxonomy'!$H$5:$H$24,MATCH(D450,'Risk Taxonomy'!$A$5:$A$24,0))</f>
        <v>Medium</v>
      </c>
      <c r="AC450" s="35" t="str">
        <f aca="false">IF(NOT(ISNUMBER(X450)),"",IF(X450&lt;=MATCH(AB450,Config!$B$5:$B$9,0),"Within",IF(OR(X450-MATCH(AB450,Config!$B$5:$B$9,0)&gt;=2,AND('Residual Config'!$C$8="Y",ISNUMBER(SEARCH("Zero",AA450)))),"Red","Amber")))</f>
        <v>Within</v>
      </c>
      <c r="AD450" s="12" t="str">
        <f aca="false">IF(AC450="Red","Group CCO / CRO and Country CEO within 2 business days; action plan in 15 days; report to Board Risk &amp; Compliance Committee",IF(AC450="Amber","Country CO, risk owner and HO Administrator within 5 business days; action plan in 30 days",""))</f>
        <v/>
      </c>
    </row>
    <row r="451" customFormat="false" ht="15" hidden="false" customHeight="false" outlineLevel="0" collapsed="false">
      <c r="A451" s="26" t="str">
        <f aca="false">Entities!$A$27</f>
        <v>FR</v>
      </c>
      <c r="B451" s="12" t="str">
        <f aca="false">INDEX(Entities!$B$5:$B$34,MATCH(A451,Entities!$A$5:$A$34,0))</f>
        <v>Arab Bank – France</v>
      </c>
      <c r="C451" s="12" t="str">
        <f aca="false">INDEX(Entities!$D$5:$D$34,MATCH(A451,Entities!$A$5:$A$34,0))</f>
        <v>Europe</v>
      </c>
      <c r="D451" s="12" t="s">
        <v>281</v>
      </c>
      <c r="E451" s="12" t="str">
        <f aca="false">INDEX('Risk Taxonomy'!$B$5:$B$24,MATCH(D451,'Risk Taxonomy'!$A$5:$A$24,0))</f>
        <v>Tax evasion and tax transparency</v>
      </c>
      <c r="F451" s="29" t="n">
        <f aca="false">IF(NOT(ISNUMBER(G451)),"",IFERROR(IF(MATCH(SUMIFS('FC Calculation'!$N$5:$N$214,'FC Calculation'!$A$5:$A$214,A451,'FC Calculation'!$D$5:$D$214,D451),Config!$D$5:$D$9,1)=G451,SUMIFS('FC Calculation'!$N$5:$N$214,'FC Calculation'!$A$5:$A$214,A451,'FC Calculation'!$D$5:$D$214,D451),G451),G451))</f>
        <v>1.97611111111111</v>
      </c>
      <c r="G451" s="34" t="n">
        <f aca="false">IF(COUNTIFS('FC Calculation'!$A$5:$A$214,A451,'FC Calculation'!$D$5:$D$214,D451,'FC Calculation'!$T$5:$T$214,"&gt;0")=0,"",SUMIFS('FC Calculation'!$T$5:$T$214,'FC Calculation'!$A$5:$A$214,A451,'FC Calculation'!$D$5:$D$214,D451))</f>
        <v>2</v>
      </c>
      <c r="H451" s="7" t="str">
        <f aca="false">IF(G451="N/A","N/A",IF(G451="","No data",INDEX(Config!$B$5:$B$9,G451)))</f>
        <v>Medium-Low</v>
      </c>
      <c r="I451" s="31" t="n">
        <f aca="false">IF(NOT(ISNUMBER($G451)),"",SUMPRODUCT(('Control Mapping'!$C$5:$C$83=D451)*('Control Mapping'!$AC$5:$AC$83&gt;0)))</f>
        <v>5</v>
      </c>
      <c r="J451" s="31" t="n">
        <f aca="false">IF(NOT(ISNUMBER($G451)),"",SUMPRODUCT(('Control Mapping'!$C$5:$C$83=D451)*('Control Mapping'!$F$5:$F$83="Y")*('Control Mapping'!$AC$5:$AC$83&gt;0)))</f>
        <v>4</v>
      </c>
      <c r="K451" s="31" t="n">
        <f aca="false">IF(NOT(ISNUMBER($G451)),"",SUMPRODUCT(('Control Mapping'!$C$5:$C$83=D451)*('Control Mapping'!$F$5:$F$83="Y")*('Control Mapping'!$AC$5:$AC$83=4)))</f>
        <v>2</v>
      </c>
      <c r="L451" s="29" t="n">
        <f aca="false">IF(NOT(ISNUMBER($G451)),"",IFERROR(SUMPRODUCT(('Control Mapping'!$C$5:$C$83=D451)*'Control Mapping'!$E$5:$E$83*'Control Mapping'!$AC$5:$AC$83)/SUMPRODUCT(('Control Mapping'!$C$5:$C$83=D451)*'Control Mapping'!$E$5:$E$83*('Control Mapping'!$AC$5:$AC$83&gt;0)),""))</f>
        <v>2</v>
      </c>
      <c r="M451" s="34" t="n">
        <f aca="false">IF(NOT(ISNUMBER($G451)),"",IF(J451=0,4,MAX(MATCH(L451,'Residual Config'!$E$11:$E$14,1),IF(K451&gt;0,'Residual Config'!$C$7,1))))</f>
        <v>3</v>
      </c>
      <c r="N451" s="7" t="str">
        <f aca="false">IF(NOT(ISNUMBER($G451)),"",IF(J451=0,"Ineffective (no key control)",INDEX('Residual Config'!$B$11:$B$14,M451)))</f>
        <v>Partially effective</v>
      </c>
      <c r="O451" s="36" t="n">
        <f aca="false">IF(NOT(ISNUMBER($G451)),"",IF(J451=0,0,SUMPRODUCT(('Control Mapping'!$C$5:$C$83=D451)*'Control Mapping'!$E$5:$E$83*(('Control Mapping'!$AC$5:$AC$83=1)*'Residual Config'!$D$11+('Control Mapping'!$AC$5:$AC$83=2)*'Residual Config'!$D$12+('Control Mapping'!$AC$5:$AC$83=3)*'Residual Config'!$D$13+('Control Mapping'!$AC$5:$AC$83=4)*'Residual Config'!$D$14))/SUMPRODUCT(('Control Mapping'!$C$5:$C$83=D451)*'Control Mapping'!$E$5:$E$83*('Control Mapping'!$AC$5:$AC$83&gt;0))))</f>
        <v>0.4</v>
      </c>
      <c r="P451" s="31" t="n">
        <f aca="false">IF(NOT(ISNUMBER($G451)),"",INDEX('Residual Config'!$B$19:$E$23,6-G451,M451))</f>
        <v>2</v>
      </c>
      <c r="Q451" s="29" t="n">
        <f aca="false">IF(NOT(ISNUMBER($G451)),"",MAX(1,F451*(1-O451)))</f>
        <v>1.18566666666667</v>
      </c>
      <c r="R451" s="31" t="n">
        <f aca="false">IF(NOT(ISNUMBER($G451)),"",MAX(MATCH(Q451,Config!$D$5:$D$9,1),G451-'Residual Config'!$C$6))</f>
        <v>1</v>
      </c>
      <c r="S451" s="34" t="n">
        <f aca="false">IF(NOT(ISNUMBER($G451)),"",IF('Residual Config'!$C$5="Numeric",R451,P451))</f>
        <v>2</v>
      </c>
      <c r="T451" s="7" t="str">
        <f aca="false">IF(G451="N/A","N/A",IF(S451="","No data",INDEX(Config!$B$5:$B$9,S451)))</f>
        <v>Medium-Low</v>
      </c>
      <c r="U451" s="32" t="n">
        <v>0</v>
      </c>
      <c r="V451" s="8"/>
      <c r="W451" s="33"/>
      <c r="X451" s="34" t="n">
        <f aca="false">IF(S451="","",IF(AND(W451="Y",U451&lt;&gt;0),MAX(1,MIN(5,S451+MAX(-Config!$C$27,MIN(Config!$C$27,U451)))),S451))</f>
        <v>2</v>
      </c>
      <c r="Y451" s="35" t="str">
        <f aca="false">IF(G451="N/A","N/A",IF(X451="","No data",INDEX(Config!$B$5:$B$9,X451)))</f>
        <v>Medium-Low</v>
      </c>
      <c r="Z451" s="7" t="str">
        <f aca="false">IF(U451=0,"None",IF(W451="Y","Applied","Pending HO approval"))</f>
        <v>None</v>
      </c>
      <c r="AA451" s="12" t="str">
        <f aca="false">INDEX('Risk Taxonomy'!$G$5:$G$24,MATCH(D451,'Risk Taxonomy'!$A$5:$A$24,0))</f>
        <v>Zero tolerance (facilitation)</v>
      </c>
      <c r="AB451" s="7" t="str">
        <f aca="false">INDEX('Risk Taxonomy'!$H$5:$H$24,MATCH(D451,'Risk Taxonomy'!$A$5:$A$24,0))</f>
        <v>Low</v>
      </c>
      <c r="AC451" s="35" t="str">
        <f aca="false">IF(NOT(ISNUMBER(X451)),"",IF(X451&lt;=MATCH(AB451,Config!$B$5:$B$9,0),"Within",IF(OR(X451-MATCH(AB451,Config!$B$5:$B$9,0)&gt;=2,AND('Residual Config'!$C$8="Y",ISNUMBER(SEARCH("Zero",AA451)))),"Red","Amber")))</f>
        <v>Amber</v>
      </c>
      <c r="AD451" s="12" t="str">
        <f aca="false">IF(AC451="Red","Group CCO / CRO and Country CEO within 2 business days; action plan in 15 days; report to Board Risk &amp; Compliance Committee",IF(AC451="Amber","Country CO, risk owner and HO Administrator within 5 business days; action plan in 30 days",""))</f>
        <v>Country CO, risk owner and HO Administrator within 5 business days; action plan in 30 days</v>
      </c>
    </row>
    <row r="452" customFormat="false" ht="15" hidden="false" customHeight="false" outlineLevel="0" collapsed="false">
      <c r="A452" s="26" t="str">
        <f aca="false">Entities!$A$27</f>
        <v>FR</v>
      </c>
      <c r="B452" s="12" t="str">
        <f aca="false">INDEX(Entities!$B$5:$B$34,MATCH(A452,Entities!$A$5:$A$34,0))</f>
        <v>Arab Bank – France</v>
      </c>
      <c r="C452" s="12" t="str">
        <f aca="false">INDEX(Entities!$D$5:$D$34,MATCH(A452,Entities!$A$5:$A$34,0))</f>
        <v>Europe</v>
      </c>
      <c r="D452" s="12" t="s">
        <v>284</v>
      </c>
      <c r="E452" s="12" t="str">
        <f aca="false">INDEX('Risk Taxonomy'!$B$5:$B$24,MATCH(D452,'Risk Taxonomy'!$A$5:$A$24,0))</f>
        <v>Regulatory compliance</v>
      </c>
      <c r="F452" s="29" t="n">
        <f aca="false">IF(NOT(ISNUMBER(G452)),"",G452)</f>
        <v>1</v>
      </c>
      <c r="G452" s="34" t="n">
        <f aca="false">IF(COUNTIFS('LxI Assessment'!$A$5:$A$394,A452,'LxI Assessment'!$D$5:$D$394,D452,'LxI Assessment'!$F$5:$F$394,"N/A")&gt;0,"N/A",IF(COUNTIFS('LxI Assessment'!$A$5:$A$394,A452,'LxI Assessment'!$D$5:$D$394,D452,'LxI Assessment'!$S$5:$S$394,"&gt;0")=0,"",SUMIFS('LxI Assessment'!$S$5:$S$394,'LxI Assessment'!$A$5:$A$394,A452,'LxI Assessment'!$D$5:$D$394,D452)))</f>
        <v>1</v>
      </c>
      <c r="H452" s="7" t="str">
        <f aca="false">IF(G452="N/A","N/A",IF(G452="","No data",INDEX(Config!$B$5:$B$9,G452)))</f>
        <v>Low</v>
      </c>
      <c r="I452" s="31" t="n">
        <f aca="false">IF(NOT(ISNUMBER($G452)),"",SUMPRODUCT(('Control Mapping'!$C$5:$C$83=D452)*('Control Mapping'!$AC$5:$AC$83&gt;0)))</f>
        <v>4</v>
      </c>
      <c r="J452" s="31" t="n">
        <f aca="false">IF(NOT(ISNUMBER($G452)),"",SUMPRODUCT(('Control Mapping'!$C$5:$C$83=D452)*('Control Mapping'!$F$5:$F$83="Y")*('Control Mapping'!$AC$5:$AC$83&gt;0)))</f>
        <v>3</v>
      </c>
      <c r="K452" s="31" t="n">
        <f aca="false">IF(NOT(ISNUMBER($G452)),"",SUMPRODUCT(('Control Mapping'!$C$5:$C$83=D452)*('Control Mapping'!$F$5:$F$83="Y")*('Control Mapping'!$AC$5:$AC$83=4)))</f>
        <v>0</v>
      </c>
      <c r="L452" s="29" t="n">
        <f aca="false">IF(NOT(ISNUMBER($G452)),"",IFERROR(SUMPRODUCT(('Control Mapping'!$C$5:$C$83=D452)*'Control Mapping'!$E$5:$E$83*'Control Mapping'!$AC$5:$AC$83)/SUMPRODUCT(('Control Mapping'!$C$5:$C$83=D452)*'Control Mapping'!$E$5:$E$83*('Control Mapping'!$AC$5:$AC$83&gt;0)),""))</f>
        <v>1</v>
      </c>
      <c r="M452" s="34" t="n">
        <f aca="false">IF(NOT(ISNUMBER($G452)),"",IF(J452=0,4,MAX(MATCH(L452,'Residual Config'!$E$11:$E$14,1),IF(K452&gt;0,'Residual Config'!$C$7,1))))</f>
        <v>1</v>
      </c>
      <c r="N452" s="7" t="str">
        <f aca="false">IF(NOT(ISNUMBER($G452)),"",IF(J452=0,"Ineffective (no key control)",INDEX('Residual Config'!$B$11:$B$14,M452)))</f>
        <v>Effective</v>
      </c>
      <c r="O452" s="36" t="n">
        <f aca="false">IF(NOT(ISNUMBER($G452)),"",IF(J452=0,0,SUMPRODUCT(('Control Mapping'!$C$5:$C$83=D452)*'Control Mapping'!$E$5:$E$83*(('Control Mapping'!$AC$5:$AC$83=1)*'Residual Config'!$D$11+('Control Mapping'!$AC$5:$AC$83=2)*'Residual Config'!$D$12+('Control Mapping'!$AC$5:$AC$83=3)*'Residual Config'!$D$13+('Control Mapping'!$AC$5:$AC$83=4)*'Residual Config'!$D$14))/SUMPRODUCT(('Control Mapping'!$C$5:$C$83=D452)*'Control Mapping'!$E$5:$E$83*('Control Mapping'!$AC$5:$AC$83&gt;0))))</f>
        <v>0.6</v>
      </c>
      <c r="P452" s="31" t="n">
        <f aca="false">IF(NOT(ISNUMBER($G452)),"",INDEX('Residual Config'!$B$19:$E$23,6-G452,M452))</f>
        <v>1</v>
      </c>
      <c r="Q452" s="29" t="n">
        <f aca="false">IF(NOT(ISNUMBER($G452)),"",MAX(1,F452*(1-O452)))</f>
        <v>1</v>
      </c>
      <c r="R452" s="31" t="n">
        <f aca="false">IF(NOT(ISNUMBER($G452)),"",MAX(MATCH(Q452,Config!$D$5:$D$9,1),G452-'Residual Config'!$C$6))</f>
        <v>1</v>
      </c>
      <c r="S452" s="34" t="n">
        <f aca="false">IF(NOT(ISNUMBER($G452)),"",IF('Residual Config'!$C$5="Numeric",R452,P452))</f>
        <v>1</v>
      </c>
      <c r="T452" s="7" t="str">
        <f aca="false">IF(G452="N/A","N/A",IF(S452="","No data",INDEX(Config!$B$5:$B$9,S452)))</f>
        <v>Low</v>
      </c>
      <c r="U452" s="32" t="n">
        <v>0</v>
      </c>
      <c r="V452" s="8"/>
      <c r="W452" s="33"/>
      <c r="X452" s="34" t="n">
        <f aca="false">IF(S452="","",IF(AND(W452="Y",U452&lt;&gt;0),MAX(1,MIN(5,S452+MAX(-Config!$C$27,MIN(Config!$C$27,U452)))),S452))</f>
        <v>1</v>
      </c>
      <c r="Y452" s="35" t="str">
        <f aca="false">IF(G452="N/A","N/A",IF(X452="","No data",INDEX(Config!$B$5:$B$9,X452)))</f>
        <v>Low</v>
      </c>
      <c r="Z452" s="7" t="str">
        <f aca="false">IF(U452=0,"None",IF(W452="Y","Applied","Pending HO approval"))</f>
        <v>None</v>
      </c>
      <c r="AA452" s="12" t="str">
        <f aca="false">INDEX('Risk Taxonomy'!$G$5:$G$24,MATCH(D452,'Risk Taxonomy'!$A$5:$A$24,0))</f>
        <v>Very low</v>
      </c>
      <c r="AB452" s="7" t="str">
        <f aca="false">INDEX('Risk Taxonomy'!$H$5:$H$24,MATCH(D452,'Risk Taxonomy'!$A$5:$A$24,0))</f>
        <v>Medium-Low</v>
      </c>
      <c r="AC452" s="35" t="str">
        <f aca="false">IF(NOT(ISNUMBER(X452)),"",IF(X452&lt;=MATCH(AB452,Config!$B$5:$B$9,0),"Within",IF(OR(X452-MATCH(AB452,Config!$B$5:$B$9,0)&gt;=2,AND('Residual Config'!$C$8="Y",ISNUMBER(SEARCH("Zero",AA452)))),"Red","Amber")))</f>
        <v>Within</v>
      </c>
      <c r="AD452" s="12" t="str">
        <f aca="false">IF(AC452="Red","Group CCO / CRO and Country CEO within 2 business days; action plan in 15 days; report to Board Risk &amp; Compliance Committee",IF(AC452="Amber","Country CO, risk owner and HO Administrator within 5 business days; action plan in 30 days",""))</f>
        <v/>
      </c>
    </row>
    <row r="453" customFormat="false" ht="15" hidden="false" customHeight="false" outlineLevel="0" collapsed="false">
      <c r="A453" s="26" t="str">
        <f aca="false">Entities!$A$27</f>
        <v>FR</v>
      </c>
      <c r="B453" s="12" t="str">
        <f aca="false">INDEX(Entities!$B$5:$B$34,MATCH(A453,Entities!$A$5:$A$34,0))</f>
        <v>Arab Bank – France</v>
      </c>
      <c r="C453" s="12" t="str">
        <f aca="false">INDEX(Entities!$D$5:$D$34,MATCH(A453,Entities!$A$5:$A$34,0))</f>
        <v>Europe</v>
      </c>
      <c r="D453" s="12" t="s">
        <v>288</v>
      </c>
      <c r="E453" s="12" t="str">
        <f aca="false">INDEX('Risk Taxonomy'!$B$5:$B$24,MATCH(D453,'Risk Taxonomy'!$A$5:$A$24,0))</f>
        <v>Conduct and consumer protection</v>
      </c>
      <c r="F453" s="29" t="n">
        <f aca="false">IF(NOT(ISNUMBER(G453)),"",G453)</f>
        <v>1</v>
      </c>
      <c r="G453" s="34" t="n">
        <f aca="false">IF(COUNTIFS('LxI Assessment'!$A$5:$A$394,A453,'LxI Assessment'!$D$5:$D$394,D453,'LxI Assessment'!$F$5:$F$394,"N/A")&gt;0,"N/A",IF(COUNTIFS('LxI Assessment'!$A$5:$A$394,A453,'LxI Assessment'!$D$5:$D$394,D453,'LxI Assessment'!$S$5:$S$394,"&gt;0")=0,"",SUMIFS('LxI Assessment'!$S$5:$S$394,'LxI Assessment'!$A$5:$A$394,A453,'LxI Assessment'!$D$5:$D$394,D453)))</f>
        <v>1</v>
      </c>
      <c r="H453" s="7" t="str">
        <f aca="false">IF(G453="N/A","N/A",IF(G453="","No data",INDEX(Config!$B$5:$B$9,G453)))</f>
        <v>Low</v>
      </c>
      <c r="I453" s="31" t="n">
        <f aca="false">IF(NOT(ISNUMBER($G453)),"",SUMPRODUCT(('Control Mapping'!$C$5:$C$83=D453)*('Control Mapping'!$AC$5:$AC$83&gt;0)))</f>
        <v>2</v>
      </c>
      <c r="J453" s="31" t="n">
        <f aca="false">IF(NOT(ISNUMBER($G453)),"",SUMPRODUCT(('Control Mapping'!$C$5:$C$83=D453)*('Control Mapping'!$F$5:$F$83="Y")*('Control Mapping'!$AC$5:$AC$83&gt;0)))</f>
        <v>1</v>
      </c>
      <c r="K453" s="31" t="n">
        <f aca="false">IF(NOT(ISNUMBER($G453)),"",SUMPRODUCT(('Control Mapping'!$C$5:$C$83=D453)*('Control Mapping'!$F$5:$F$83="Y")*('Control Mapping'!$AC$5:$AC$83=4)))</f>
        <v>0</v>
      </c>
      <c r="L453" s="29" t="n">
        <f aca="false">IF(NOT(ISNUMBER($G453)),"",IFERROR(SUMPRODUCT(('Control Mapping'!$C$5:$C$83=D453)*'Control Mapping'!$E$5:$E$83*'Control Mapping'!$AC$5:$AC$83)/SUMPRODUCT(('Control Mapping'!$C$5:$C$83=D453)*'Control Mapping'!$E$5:$E$83*('Control Mapping'!$AC$5:$AC$83&gt;0)),""))</f>
        <v>1</v>
      </c>
      <c r="M453" s="34" t="n">
        <f aca="false">IF(NOT(ISNUMBER($G453)),"",IF(J453=0,4,MAX(MATCH(L453,'Residual Config'!$E$11:$E$14,1),IF(K453&gt;0,'Residual Config'!$C$7,1))))</f>
        <v>1</v>
      </c>
      <c r="N453" s="7" t="str">
        <f aca="false">IF(NOT(ISNUMBER($G453)),"",IF(J453=0,"Ineffective (no key control)",INDEX('Residual Config'!$B$11:$B$14,M453)))</f>
        <v>Effective</v>
      </c>
      <c r="O453" s="36" t="n">
        <f aca="false">IF(NOT(ISNUMBER($G453)),"",IF(J453=0,0,SUMPRODUCT(('Control Mapping'!$C$5:$C$83=D453)*'Control Mapping'!$E$5:$E$83*(('Control Mapping'!$AC$5:$AC$83=1)*'Residual Config'!$D$11+('Control Mapping'!$AC$5:$AC$83=2)*'Residual Config'!$D$12+('Control Mapping'!$AC$5:$AC$83=3)*'Residual Config'!$D$13+('Control Mapping'!$AC$5:$AC$83=4)*'Residual Config'!$D$14))/SUMPRODUCT(('Control Mapping'!$C$5:$C$83=D453)*'Control Mapping'!$E$5:$E$83*('Control Mapping'!$AC$5:$AC$83&gt;0))))</f>
        <v>0.6</v>
      </c>
      <c r="P453" s="31" t="n">
        <f aca="false">IF(NOT(ISNUMBER($G453)),"",INDEX('Residual Config'!$B$19:$E$23,6-G453,M453))</f>
        <v>1</v>
      </c>
      <c r="Q453" s="29" t="n">
        <f aca="false">IF(NOT(ISNUMBER($G453)),"",MAX(1,F453*(1-O453)))</f>
        <v>1</v>
      </c>
      <c r="R453" s="31" t="n">
        <f aca="false">IF(NOT(ISNUMBER($G453)),"",MAX(MATCH(Q453,Config!$D$5:$D$9,1),G453-'Residual Config'!$C$6))</f>
        <v>1</v>
      </c>
      <c r="S453" s="34" t="n">
        <f aca="false">IF(NOT(ISNUMBER($G453)),"",IF('Residual Config'!$C$5="Numeric",R453,P453))</f>
        <v>1</v>
      </c>
      <c r="T453" s="7" t="str">
        <f aca="false">IF(G453="N/A","N/A",IF(S453="","No data",INDEX(Config!$B$5:$B$9,S453)))</f>
        <v>Low</v>
      </c>
      <c r="U453" s="32" t="n">
        <v>0</v>
      </c>
      <c r="V453" s="8"/>
      <c r="W453" s="33"/>
      <c r="X453" s="34" t="n">
        <f aca="false">IF(S453="","",IF(AND(W453="Y",U453&lt;&gt;0),MAX(1,MIN(5,S453+MAX(-Config!$C$27,MIN(Config!$C$27,U453)))),S453))</f>
        <v>1</v>
      </c>
      <c r="Y453" s="35" t="str">
        <f aca="false">IF(G453="N/A","N/A",IF(X453="","No data",INDEX(Config!$B$5:$B$9,X453)))</f>
        <v>Low</v>
      </c>
      <c r="Z453" s="7" t="str">
        <f aca="false">IF(U453=0,"None",IF(W453="Y","Applied","Pending HO approval"))</f>
        <v>None</v>
      </c>
      <c r="AA453" s="12" t="str">
        <f aca="false">INDEX('Risk Taxonomy'!$G$5:$G$24,MATCH(D453,'Risk Taxonomy'!$A$5:$A$24,0))</f>
        <v>Low</v>
      </c>
      <c r="AB453" s="7" t="str">
        <f aca="false">INDEX('Risk Taxonomy'!$H$5:$H$24,MATCH(D453,'Risk Taxonomy'!$A$5:$A$24,0))</f>
        <v>Medium</v>
      </c>
      <c r="AC453" s="35" t="str">
        <f aca="false">IF(NOT(ISNUMBER(X453)),"",IF(X453&lt;=MATCH(AB453,Config!$B$5:$B$9,0),"Within",IF(OR(X453-MATCH(AB453,Config!$B$5:$B$9,0)&gt;=2,AND('Residual Config'!$C$8="Y",ISNUMBER(SEARCH("Zero",AA453)))),"Red","Amber")))</f>
        <v>Within</v>
      </c>
      <c r="AD453" s="12" t="str">
        <f aca="false">IF(AC453="Red","Group CCO / CRO and Country CEO within 2 business days; action plan in 15 days; report to Board Risk &amp; Compliance Committee",IF(AC453="Amber","Country CO, risk owner and HO Administrator within 5 business days; action plan in 30 days",""))</f>
        <v/>
      </c>
    </row>
    <row r="454" customFormat="false" ht="15" hidden="false" customHeight="false" outlineLevel="0" collapsed="false">
      <c r="A454" s="26" t="str">
        <f aca="false">Entities!$A$27</f>
        <v>FR</v>
      </c>
      <c r="B454" s="12" t="str">
        <f aca="false">INDEX(Entities!$B$5:$B$34,MATCH(A454,Entities!$A$5:$A$34,0))</f>
        <v>Arab Bank – France</v>
      </c>
      <c r="C454" s="12" t="str">
        <f aca="false">INDEX(Entities!$D$5:$D$34,MATCH(A454,Entities!$A$5:$A$34,0))</f>
        <v>Europe</v>
      </c>
      <c r="D454" s="12" t="s">
        <v>290</v>
      </c>
      <c r="E454" s="12" t="str">
        <f aca="false">INDEX('Risk Taxonomy'!$B$5:$B$24,MATCH(D454,'Risk Taxonomy'!$A$5:$A$24,0))</f>
        <v>Data protection and privacy</v>
      </c>
      <c r="F454" s="29" t="n">
        <f aca="false">IF(NOT(ISNUMBER(G454)),"",G454)</f>
        <v>2</v>
      </c>
      <c r="G454" s="34" t="n">
        <f aca="false">IF(COUNTIFS('LxI Assessment'!$A$5:$A$394,A454,'LxI Assessment'!$D$5:$D$394,D454,'LxI Assessment'!$F$5:$F$394,"N/A")&gt;0,"N/A",IF(COUNTIFS('LxI Assessment'!$A$5:$A$394,A454,'LxI Assessment'!$D$5:$D$394,D454,'LxI Assessment'!$S$5:$S$394,"&gt;0")=0,"",SUMIFS('LxI Assessment'!$S$5:$S$394,'LxI Assessment'!$A$5:$A$394,A454,'LxI Assessment'!$D$5:$D$394,D454)))</f>
        <v>2</v>
      </c>
      <c r="H454" s="7" t="str">
        <f aca="false">IF(G454="N/A","N/A",IF(G454="","No data",INDEX(Config!$B$5:$B$9,G454)))</f>
        <v>Medium-Low</v>
      </c>
      <c r="I454" s="31" t="n">
        <f aca="false">IF(NOT(ISNUMBER($G454)),"",SUMPRODUCT(('Control Mapping'!$C$5:$C$83=D454)*('Control Mapping'!$AC$5:$AC$83&gt;0)))</f>
        <v>2</v>
      </c>
      <c r="J454" s="31" t="n">
        <f aca="false">IF(NOT(ISNUMBER($G454)),"",SUMPRODUCT(('Control Mapping'!$C$5:$C$83=D454)*('Control Mapping'!$F$5:$F$83="Y")*('Control Mapping'!$AC$5:$AC$83&gt;0)))</f>
        <v>2</v>
      </c>
      <c r="K454" s="31" t="n">
        <f aca="false">IF(NOT(ISNUMBER($G454)),"",SUMPRODUCT(('Control Mapping'!$C$5:$C$83=D454)*('Control Mapping'!$F$5:$F$83="Y")*('Control Mapping'!$AC$5:$AC$83=4)))</f>
        <v>1</v>
      </c>
      <c r="L454" s="29" t="n">
        <f aca="false">IF(NOT(ISNUMBER($G454)),"",IFERROR(SUMPRODUCT(('Control Mapping'!$C$5:$C$83=D454)*'Control Mapping'!$E$5:$E$83*'Control Mapping'!$AC$5:$AC$83)/SUMPRODUCT(('Control Mapping'!$C$5:$C$83=D454)*'Control Mapping'!$E$5:$E$83*('Control Mapping'!$AC$5:$AC$83&gt;0)),""))</f>
        <v>2.5</v>
      </c>
      <c r="M454" s="34" t="n">
        <f aca="false">IF(NOT(ISNUMBER($G454)),"",IF(J454=0,4,MAX(MATCH(L454,'Residual Config'!$E$11:$E$14,1),IF(K454&gt;0,'Residual Config'!$C$7,1))))</f>
        <v>3</v>
      </c>
      <c r="N454" s="7" t="str">
        <f aca="false">IF(NOT(ISNUMBER($G454)),"",IF(J454=0,"Ineffective (no key control)",INDEX('Residual Config'!$B$11:$B$14,M454)))</f>
        <v>Partially effective</v>
      </c>
      <c r="O454" s="36" t="n">
        <f aca="false">IF(NOT(ISNUMBER($G454)),"",IF(J454=0,0,SUMPRODUCT(('Control Mapping'!$C$5:$C$83=D454)*'Control Mapping'!$E$5:$E$83*(('Control Mapping'!$AC$5:$AC$83=1)*'Residual Config'!$D$11+('Control Mapping'!$AC$5:$AC$83=2)*'Residual Config'!$D$12+('Control Mapping'!$AC$5:$AC$83=3)*'Residual Config'!$D$13+('Control Mapping'!$AC$5:$AC$83=4)*'Residual Config'!$D$14))/SUMPRODUCT(('Control Mapping'!$C$5:$C$83=D454)*'Control Mapping'!$E$5:$E$83*('Control Mapping'!$AC$5:$AC$83&gt;0))))</f>
        <v>0.3</v>
      </c>
      <c r="P454" s="31" t="n">
        <f aca="false">IF(NOT(ISNUMBER($G454)),"",INDEX('Residual Config'!$B$19:$E$23,6-G454,M454))</f>
        <v>2</v>
      </c>
      <c r="Q454" s="29" t="n">
        <f aca="false">IF(NOT(ISNUMBER($G454)),"",MAX(1,F454*(1-O454)))</f>
        <v>1.4</v>
      </c>
      <c r="R454" s="31" t="n">
        <f aca="false">IF(NOT(ISNUMBER($G454)),"",MAX(MATCH(Q454,Config!$D$5:$D$9,1),G454-'Residual Config'!$C$6))</f>
        <v>1</v>
      </c>
      <c r="S454" s="34" t="n">
        <f aca="false">IF(NOT(ISNUMBER($G454)),"",IF('Residual Config'!$C$5="Numeric",R454,P454))</f>
        <v>2</v>
      </c>
      <c r="T454" s="7" t="str">
        <f aca="false">IF(G454="N/A","N/A",IF(S454="","No data",INDEX(Config!$B$5:$B$9,S454)))</f>
        <v>Medium-Low</v>
      </c>
      <c r="U454" s="32" t="n">
        <v>0</v>
      </c>
      <c r="V454" s="8"/>
      <c r="W454" s="33"/>
      <c r="X454" s="34" t="n">
        <f aca="false">IF(S454="","",IF(AND(W454="Y",U454&lt;&gt;0),MAX(1,MIN(5,S454+MAX(-Config!$C$27,MIN(Config!$C$27,U454)))),S454))</f>
        <v>2</v>
      </c>
      <c r="Y454" s="35" t="str">
        <f aca="false">IF(G454="N/A","N/A",IF(X454="","No data",INDEX(Config!$B$5:$B$9,X454)))</f>
        <v>Medium-Low</v>
      </c>
      <c r="Z454" s="7" t="str">
        <f aca="false">IF(U454=0,"None",IF(W454="Y","Applied","Pending HO approval"))</f>
        <v>None</v>
      </c>
      <c r="AA454" s="12" t="str">
        <f aca="false">INDEX('Risk Taxonomy'!$G$5:$G$24,MATCH(D454,'Risk Taxonomy'!$A$5:$A$24,0))</f>
        <v>Very low</v>
      </c>
      <c r="AB454" s="7" t="str">
        <f aca="false">INDEX('Risk Taxonomy'!$H$5:$H$24,MATCH(D454,'Risk Taxonomy'!$A$5:$A$24,0))</f>
        <v>Medium-Low</v>
      </c>
      <c r="AC454" s="35" t="str">
        <f aca="false">IF(NOT(ISNUMBER(X454)),"",IF(X454&lt;=MATCH(AB454,Config!$B$5:$B$9,0),"Within",IF(OR(X454-MATCH(AB454,Config!$B$5:$B$9,0)&gt;=2,AND('Residual Config'!$C$8="Y",ISNUMBER(SEARCH("Zero",AA454)))),"Red","Amber")))</f>
        <v>Within</v>
      </c>
      <c r="AD454" s="12" t="str">
        <f aca="false">IF(AC454="Red","Group CCO / CRO and Country CEO within 2 business days; action plan in 15 days; report to Board Risk &amp; Compliance Committee",IF(AC454="Amber","Country CO, risk owner and HO Administrator within 5 business days; action plan in 30 days",""))</f>
        <v/>
      </c>
    </row>
    <row r="455" customFormat="false" ht="15" hidden="false" customHeight="false" outlineLevel="0" collapsed="false">
      <c r="A455" s="26" t="str">
        <f aca="false">Entities!$A$27</f>
        <v>FR</v>
      </c>
      <c r="B455" s="12" t="str">
        <f aca="false">INDEX(Entities!$B$5:$B$34,MATCH(A455,Entities!$A$5:$A$34,0))</f>
        <v>Arab Bank – France</v>
      </c>
      <c r="C455" s="12" t="str">
        <f aca="false">INDEX(Entities!$D$5:$D$34,MATCH(A455,Entities!$A$5:$A$34,0))</f>
        <v>Europe</v>
      </c>
      <c r="D455" s="12" t="s">
        <v>293</v>
      </c>
      <c r="E455" s="12" t="str">
        <f aca="false">INDEX('Risk Taxonomy'!$B$5:$B$24,MATCH(D455,'Risk Taxonomy'!$A$5:$A$24,0))</f>
        <v>Shariah non-compliance</v>
      </c>
      <c r="F455" s="29" t="str">
        <f aca="false">IF(NOT(ISNUMBER(G455)),"",G455)</f>
        <v/>
      </c>
      <c r="G455" s="34" t="str">
        <f aca="false">IF(COUNTIFS('LxI Assessment'!$A$5:$A$394,A455,'LxI Assessment'!$D$5:$D$394,D455,'LxI Assessment'!$F$5:$F$394,"N/A")&gt;0,"N/A",IF(COUNTIFS('LxI Assessment'!$A$5:$A$394,A455,'LxI Assessment'!$D$5:$D$394,D455,'LxI Assessment'!$S$5:$S$394,"&gt;0")=0,"",SUMIFS('LxI Assessment'!$S$5:$S$394,'LxI Assessment'!$A$5:$A$394,A455,'LxI Assessment'!$D$5:$D$394,D455)))</f>
        <v>N/A</v>
      </c>
      <c r="H455" s="7" t="str">
        <f aca="false">IF(G455="N/A","N/A",IF(G455="","No data",INDEX(Config!$B$5:$B$9,G455)))</f>
        <v>N/A</v>
      </c>
      <c r="I455" s="31" t="str">
        <f aca="false">IF(NOT(ISNUMBER($G455)),"",SUMPRODUCT(('Control Mapping'!$C$5:$C$83=D455)*('Control Mapping'!$AC$5:$AC$83&gt;0)))</f>
        <v/>
      </c>
      <c r="J455" s="31" t="str">
        <f aca="false">IF(NOT(ISNUMBER($G455)),"",SUMPRODUCT(('Control Mapping'!$C$5:$C$83=D455)*('Control Mapping'!$F$5:$F$83="Y")*('Control Mapping'!$AC$5:$AC$83&gt;0)))</f>
        <v/>
      </c>
      <c r="K455" s="31" t="str">
        <f aca="false">IF(NOT(ISNUMBER($G455)),"",SUMPRODUCT(('Control Mapping'!$C$5:$C$83=D455)*('Control Mapping'!$F$5:$F$83="Y")*('Control Mapping'!$AC$5:$AC$83=4)))</f>
        <v/>
      </c>
      <c r="L455" s="29" t="str">
        <f aca="false">IF(NOT(ISNUMBER($G455)),"",IFERROR(SUMPRODUCT(('Control Mapping'!$C$5:$C$83=D455)*'Control Mapping'!$E$5:$E$83*'Control Mapping'!$AC$5:$AC$83)/SUMPRODUCT(('Control Mapping'!$C$5:$C$83=D455)*'Control Mapping'!$E$5:$E$83*('Control Mapping'!$AC$5:$AC$83&gt;0)),""))</f>
        <v/>
      </c>
      <c r="M455" s="34" t="str">
        <f aca="false">IF(NOT(ISNUMBER($G455)),"",IF(J455=0,4,MAX(MATCH(L455,'Residual Config'!$E$11:$E$14,1),IF(K455&gt;0,'Residual Config'!$C$7,1))))</f>
        <v/>
      </c>
      <c r="N455" s="7" t="str">
        <f aca="false">IF(NOT(ISNUMBER($G455)),"",IF(J455=0,"Ineffective (no key control)",INDEX('Residual Config'!$B$11:$B$14,M455)))</f>
        <v/>
      </c>
      <c r="O455" s="36" t="str">
        <f aca="false">IF(NOT(ISNUMBER($G455)),"",IF(J455=0,0,SUMPRODUCT(('Control Mapping'!$C$5:$C$83=D455)*'Control Mapping'!$E$5:$E$83*(('Control Mapping'!$AC$5:$AC$83=1)*'Residual Config'!$D$11+('Control Mapping'!$AC$5:$AC$83=2)*'Residual Config'!$D$12+('Control Mapping'!$AC$5:$AC$83=3)*'Residual Config'!$D$13+('Control Mapping'!$AC$5:$AC$83=4)*'Residual Config'!$D$14))/SUMPRODUCT(('Control Mapping'!$C$5:$C$83=D455)*'Control Mapping'!$E$5:$E$83*('Control Mapping'!$AC$5:$AC$83&gt;0))))</f>
        <v/>
      </c>
      <c r="P455" s="31" t="str">
        <f aca="false">IF(NOT(ISNUMBER($G455)),"",INDEX('Residual Config'!$B$19:$E$23,6-G455,M455))</f>
        <v/>
      </c>
      <c r="Q455" s="29" t="str">
        <f aca="false">IF(NOT(ISNUMBER($G455)),"",MAX(1,F455*(1-O455)))</f>
        <v/>
      </c>
      <c r="R455" s="31" t="str">
        <f aca="false">IF(NOT(ISNUMBER($G455)),"",MAX(MATCH(Q455,Config!$D$5:$D$9,1),G455-'Residual Config'!$C$6))</f>
        <v/>
      </c>
      <c r="S455" s="34" t="str">
        <f aca="false">IF(NOT(ISNUMBER($G455)),"",IF('Residual Config'!$C$5="Numeric",R455,P455))</f>
        <v/>
      </c>
      <c r="T455" s="7" t="str">
        <f aca="false">IF(G455="N/A","N/A",IF(S455="","No data",INDEX(Config!$B$5:$B$9,S455)))</f>
        <v>N/A</v>
      </c>
      <c r="U455" s="32" t="n">
        <v>0</v>
      </c>
      <c r="V455" s="8"/>
      <c r="W455" s="33"/>
      <c r="X455" s="34" t="str">
        <f aca="false">IF(S455="","",IF(AND(W455="Y",U455&lt;&gt;0),MAX(1,MIN(5,S455+MAX(-Config!$C$27,MIN(Config!$C$27,U455)))),S455))</f>
        <v/>
      </c>
      <c r="Y455" s="35" t="str">
        <f aca="false">IF(G455="N/A","N/A",IF(X455="","No data",INDEX(Config!$B$5:$B$9,X455)))</f>
        <v>N/A</v>
      </c>
      <c r="Z455" s="7" t="str">
        <f aca="false">IF(U455=0,"None",IF(W455="Y","Applied","Pending HO approval"))</f>
        <v>None</v>
      </c>
      <c r="AA455" s="12" t="str">
        <f aca="false">INDEX('Risk Taxonomy'!$G$5:$G$24,MATCH(D455,'Risk Taxonomy'!$A$5:$A$24,0))</f>
        <v>Very low</v>
      </c>
      <c r="AB455" s="7" t="str">
        <f aca="false">INDEX('Risk Taxonomy'!$H$5:$H$24,MATCH(D455,'Risk Taxonomy'!$A$5:$A$24,0))</f>
        <v>Medium-Low</v>
      </c>
      <c r="AC455" s="35" t="str">
        <f aca="false">IF(NOT(ISNUMBER(X455)),"",IF(X455&lt;=MATCH(AB455,Config!$B$5:$B$9,0),"Within",IF(OR(X455-MATCH(AB455,Config!$B$5:$B$9,0)&gt;=2,AND('Residual Config'!$C$8="Y",ISNUMBER(SEARCH("Zero",AA455)))),"Red","Amber")))</f>
        <v/>
      </c>
      <c r="AD455" s="12" t="str">
        <f aca="false">IF(AC455="Red","Group CCO / CRO and Country CEO within 2 business days; action plan in 15 days; report to Board Risk &amp; Compliance Committee",IF(AC455="Amber","Country CO, risk owner and HO Administrator within 5 business days; action plan in 30 days",""))</f>
        <v/>
      </c>
    </row>
    <row r="456" customFormat="false" ht="15" hidden="false" customHeight="false" outlineLevel="0" collapsed="false">
      <c r="A456" s="26" t="str">
        <f aca="false">Entities!$A$27</f>
        <v>FR</v>
      </c>
      <c r="B456" s="12" t="str">
        <f aca="false">INDEX(Entities!$B$5:$B$34,MATCH(A456,Entities!$A$5:$A$34,0))</f>
        <v>Arab Bank – France</v>
      </c>
      <c r="C456" s="12" t="str">
        <f aca="false">INDEX(Entities!$D$5:$D$34,MATCH(A456,Entities!$A$5:$A$34,0))</f>
        <v>Europe</v>
      </c>
      <c r="D456" s="12" t="s">
        <v>297</v>
      </c>
      <c r="E456" s="12" t="str">
        <f aca="false">INDEX('Risk Taxonomy'!$B$5:$B$24,MATCH(D456,'Risk Taxonomy'!$A$5:$A$24,0))</f>
        <v>Credit risk</v>
      </c>
      <c r="F456" s="29" t="n">
        <f aca="false">IF(NOT(ISNUMBER(G456)),"",G456)</f>
        <v>2</v>
      </c>
      <c r="G456" s="34" t="n">
        <f aca="false">IF(COUNTIFS('LxI Assessment'!$A$5:$A$394,A456,'LxI Assessment'!$D$5:$D$394,D456,'LxI Assessment'!$F$5:$F$394,"N/A")&gt;0,"N/A",IF(COUNTIFS('LxI Assessment'!$A$5:$A$394,A456,'LxI Assessment'!$D$5:$D$394,D456,'LxI Assessment'!$S$5:$S$394,"&gt;0")=0,"",SUMIFS('LxI Assessment'!$S$5:$S$394,'LxI Assessment'!$A$5:$A$394,A456,'LxI Assessment'!$D$5:$D$394,D456)))</f>
        <v>2</v>
      </c>
      <c r="H456" s="7" t="str">
        <f aca="false">IF(G456="N/A","N/A",IF(G456="","No data",INDEX(Config!$B$5:$B$9,G456)))</f>
        <v>Medium-Low</v>
      </c>
      <c r="I456" s="31" t="n">
        <f aca="false">IF(NOT(ISNUMBER($G456)),"",SUMPRODUCT(('Control Mapping'!$C$5:$C$83=D456)*('Control Mapping'!$AC$5:$AC$83&gt;0)))</f>
        <v>2</v>
      </c>
      <c r="J456" s="31" t="n">
        <f aca="false">IF(NOT(ISNUMBER($G456)),"",SUMPRODUCT(('Control Mapping'!$C$5:$C$83=D456)*('Control Mapping'!$F$5:$F$83="Y")*('Control Mapping'!$AC$5:$AC$83&gt;0)))</f>
        <v>1</v>
      </c>
      <c r="K456" s="31" t="n">
        <f aca="false">IF(NOT(ISNUMBER($G456)),"",SUMPRODUCT(('Control Mapping'!$C$5:$C$83=D456)*('Control Mapping'!$F$5:$F$83="Y")*('Control Mapping'!$AC$5:$AC$83=4)))</f>
        <v>0</v>
      </c>
      <c r="L456" s="29" t="n">
        <f aca="false">IF(NOT(ISNUMBER($G456)),"",IFERROR(SUMPRODUCT(('Control Mapping'!$C$5:$C$83=D456)*'Control Mapping'!$E$5:$E$83*'Control Mapping'!$AC$5:$AC$83)/SUMPRODUCT(('Control Mapping'!$C$5:$C$83=D456)*'Control Mapping'!$E$5:$E$83*('Control Mapping'!$AC$5:$AC$83&gt;0)),""))</f>
        <v>1.4</v>
      </c>
      <c r="M456" s="34" t="n">
        <f aca="false">IF(NOT(ISNUMBER($G456)),"",IF(J456=0,4,MAX(MATCH(L456,'Residual Config'!$E$11:$E$14,1),IF(K456&gt;0,'Residual Config'!$C$7,1))))</f>
        <v>1</v>
      </c>
      <c r="N456" s="7" t="str">
        <f aca="false">IF(NOT(ISNUMBER($G456)),"",IF(J456=0,"Ineffective (no key control)",INDEX('Residual Config'!$B$11:$B$14,M456)))</f>
        <v>Effective</v>
      </c>
      <c r="O456" s="36" t="n">
        <f aca="false">IF(NOT(ISNUMBER($G456)),"",IF(J456=0,0,SUMPRODUCT(('Control Mapping'!$C$5:$C$83=D456)*'Control Mapping'!$E$5:$E$83*(('Control Mapping'!$AC$5:$AC$83=1)*'Residual Config'!$D$11+('Control Mapping'!$AC$5:$AC$83=2)*'Residual Config'!$D$12+('Control Mapping'!$AC$5:$AC$83=3)*'Residual Config'!$D$13+('Control Mapping'!$AC$5:$AC$83=4)*'Residual Config'!$D$14))/SUMPRODUCT(('Control Mapping'!$C$5:$C$83=D456)*'Control Mapping'!$E$5:$E$83*('Control Mapping'!$AC$5:$AC$83&gt;0))))</f>
        <v>0.52</v>
      </c>
      <c r="P456" s="31" t="n">
        <f aca="false">IF(NOT(ISNUMBER($G456)),"",INDEX('Residual Config'!$B$19:$E$23,6-G456,M456))</f>
        <v>1</v>
      </c>
      <c r="Q456" s="29" t="n">
        <f aca="false">IF(NOT(ISNUMBER($G456)),"",MAX(1,F456*(1-O456)))</f>
        <v>1</v>
      </c>
      <c r="R456" s="31" t="n">
        <f aca="false">IF(NOT(ISNUMBER($G456)),"",MAX(MATCH(Q456,Config!$D$5:$D$9,1),G456-'Residual Config'!$C$6))</f>
        <v>1</v>
      </c>
      <c r="S456" s="34" t="n">
        <f aca="false">IF(NOT(ISNUMBER($G456)),"",IF('Residual Config'!$C$5="Numeric",R456,P456))</f>
        <v>1</v>
      </c>
      <c r="T456" s="7" t="str">
        <f aca="false">IF(G456="N/A","N/A",IF(S456="","No data",INDEX(Config!$B$5:$B$9,S456)))</f>
        <v>Low</v>
      </c>
      <c r="U456" s="32" t="n">
        <v>0</v>
      </c>
      <c r="V456" s="8"/>
      <c r="W456" s="33"/>
      <c r="X456" s="34" t="n">
        <f aca="false">IF(S456="","",IF(AND(W456="Y",U456&lt;&gt;0),MAX(1,MIN(5,S456+MAX(-Config!$C$27,MIN(Config!$C$27,U456)))),S456))</f>
        <v>1</v>
      </c>
      <c r="Y456" s="35" t="str">
        <f aca="false">IF(G456="N/A","N/A",IF(X456="","No data",INDEX(Config!$B$5:$B$9,X456)))</f>
        <v>Low</v>
      </c>
      <c r="Z456" s="7" t="str">
        <f aca="false">IF(U456=0,"None",IF(W456="Y","Applied","Pending HO approval"))</f>
        <v>None</v>
      </c>
      <c r="AA456" s="12" t="str">
        <f aca="false">INDEX('Risk Taxonomy'!$G$5:$G$24,MATCH(D456,'Risk Taxonomy'!$A$5:$A$24,0))</f>
        <v>Moderate</v>
      </c>
      <c r="AB456" s="7" t="str">
        <f aca="false">INDEX('Risk Taxonomy'!$H$5:$H$24,MATCH(D456,'Risk Taxonomy'!$A$5:$A$24,0))</f>
        <v>Medium-High</v>
      </c>
      <c r="AC456" s="35" t="str">
        <f aca="false">IF(NOT(ISNUMBER(X456)),"",IF(X456&lt;=MATCH(AB456,Config!$B$5:$B$9,0),"Within",IF(OR(X456-MATCH(AB456,Config!$B$5:$B$9,0)&gt;=2,AND('Residual Config'!$C$8="Y",ISNUMBER(SEARCH("Zero",AA456)))),"Red","Amber")))</f>
        <v>Within</v>
      </c>
      <c r="AD456" s="12" t="str">
        <f aca="false">IF(AC456="Red","Group CCO / CRO and Country CEO within 2 business days; action plan in 15 days; report to Board Risk &amp; Compliance Committee",IF(AC456="Amber","Country CO, risk owner and HO Administrator within 5 business days; action plan in 30 days",""))</f>
        <v/>
      </c>
    </row>
    <row r="457" customFormat="false" ht="15" hidden="false" customHeight="false" outlineLevel="0" collapsed="false">
      <c r="A457" s="26" t="str">
        <f aca="false">Entities!$A$27</f>
        <v>FR</v>
      </c>
      <c r="B457" s="12" t="str">
        <f aca="false">INDEX(Entities!$B$5:$B$34,MATCH(A457,Entities!$A$5:$A$34,0))</f>
        <v>Arab Bank – France</v>
      </c>
      <c r="C457" s="12" t="str">
        <f aca="false">INDEX(Entities!$D$5:$D$34,MATCH(A457,Entities!$A$5:$A$34,0))</f>
        <v>Europe</v>
      </c>
      <c r="D457" s="12" t="s">
        <v>302</v>
      </c>
      <c r="E457" s="12" t="str">
        <f aca="false">INDEX('Risk Taxonomy'!$B$5:$B$24,MATCH(D457,'Risk Taxonomy'!$A$5:$A$24,0))</f>
        <v>Market risk</v>
      </c>
      <c r="F457" s="29" t="n">
        <f aca="false">IF(NOT(ISNUMBER(G457)),"",G457)</f>
        <v>1</v>
      </c>
      <c r="G457" s="34" t="n">
        <f aca="false">IF(COUNTIFS('LxI Assessment'!$A$5:$A$394,A457,'LxI Assessment'!$D$5:$D$394,D457,'LxI Assessment'!$F$5:$F$394,"N/A")&gt;0,"N/A",IF(COUNTIFS('LxI Assessment'!$A$5:$A$394,A457,'LxI Assessment'!$D$5:$D$394,D457,'LxI Assessment'!$S$5:$S$394,"&gt;0")=0,"",SUMIFS('LxI Assessment'!$S$5:$S$394,'LxI Assessment'!$A$5:$A$394,A457,'LxI Assessment'!$D$5:$D$394,D457)))</f>
        <v>1</v>
      </c>
      <c r="H457" s="7" t="str">
        <f aca="false">IF(G457="N/A","N/A",IF(G457="","No data",INDEX(Config!$B$5:$B$9,G457)))</f>
        <v>Low</v>
      </c>
      <c r="I457" s="31" t="n">
        <f aca="false">IF(NOT(ISNUMBER($G457)),"",SUMPRODUCT(('Control Mapping'!$C$5:$C$83=D457)*('Control Mapping'!$AC$5:$AC$83&gt;0)))</f>
        <v>1</v>
      </c>
      <c r="J457" s="31" t="n">
        <f aca="false">IF(NOT(ISNUMBER($G457)),"",SUMPRODUCT(('Control Mapping'!$C$5:$C$83=D457)*('Control Mapping'!$F$5:$F$83="Y")*('Control Mapping'!$AC$5:$AC$83&gt;0)))</f>
        <v>1</v>
      </c>
      <c r="K457" s="31" t="n">
        <f aca="false">IF(NOT(ISNUMBER($G457)),"",SUMPRODUCT(('Control Mapping'!$C$5:$C$83=D457)*('Control Mapping'!$F$5:$F$83="Y")*('Control Mapping'!$AC$5:$AC$83=4)))</f>
        <v>0</v>
      </c>
      <c r="L457" s="29" t="n">
        <f aca="false">IF(NOT(ISNUMBER($G457)),"",IFERROR(SUMPRODUCT(('Control Mapping'!$C$5:$C$83=D457)*'Control Mapping'!$E$5:$E$83*'Control Mapping'!$AC$5:$AC$83)/SUMPRODUCT(('Control Mapping'!$C$5:$C$83=D457)*'Control Mapping'!$E$5:$E$83*('Control Mapping'!$AC$5:$AC$83&gt;0)),""))</f>
        <v>1</v>
      </c>
      <c r="M457" s="34" t="n">
        <f aca="false">IF(NOT(ISNUMBER($G457)),"",IF(J457=0,4,MAX(MATCH(L457,'Residual Config'!$E$11:$E$14,1),IF(K457&gt;0,'Residual Config'!$C$7,1))))</f>
        <v>1</v>
      </c>
      <c r="N457" s="7" t="str">
        <f aca="false">IF(NOT(ISNUMBER($G457)),"",IF(J457=0,"Ineffective (no key control)",INDEX('Residual Config'!$B$11:$B$14,M457)))</f>
        <v>Effective</v>
      </c>
      <c r="O457" s="36" t="n">
        <f aca="false">IF(NOT(ISNUMBER($G457)),"",IF(J457=0,0,SUMPRODUCT(('Control Mapping'!$C$5:$C$83=D457)*'Control Mapping'!$E$5:$E$83*(('Control Mapping'!$AC$5:$AC$83=1)*'Residual Config'!$D$11+('Control Mapping'!$AC$5:$AC$83=2)*'Residual Config'!$D$12+('Control Mapping'!$AC$5:$AC$83=3)*'Residual Config'!$D$13+('Control Mapping'!$AC$5:$AC$83=4)*'Residual Config'!$D$14))/SUMPRODUCT(('Control Mapping'!$C$5:$C$83=D457)*'Control Mapping'!$E$5:$E$83*('Control Mapping'!$AC$5:$AC$83&gt;0))))</f>
        <v>0.6</v>
      </c>
      <c r="P457" s="31" t="n">
        <f aca="false">IF(NOT(ISNUMBER($G457)),"",INDEX('Residual Config'!$B$19:$E$23,6-G457,M457))</f>
        <v>1</v>
      </c>
      <c r="Q457" s="29" t="n">
        <f aca="false">IF(NOT(ISNUMBER($G457)),"",MAX(1,F457*(1-O457)))</f>
        <v>1</v>
      </c>
      <c r="R457" s="31" t="n">
        <f aca="false">IF(NOT(ISNUMBER($G457)),"",MAX(MATCH(Q457,Config!$D$5:$D$9,1),G457-'Residual Config'!$C$6))</f>
        <v>1</v>
      </c>
      <c r="S457" s="34" t="n">
        <f aca="false">IF(NOT(ISNUMBER($G457)),"",IF('Residual Config'!$C$5="Numeric",R457,P457))</f>
        <v>1</v>
      </c>
      <c r="T457" s="7" t="str">
        <f aca="false">IF(G457="N/A","N/A",IF(S457="","No data",INDEX(Config!$B$5:$B$9,S457)))</f>
        <v>Low</v>
      </c>
      <c r="U457" s="32" t="n">
        <v>0</v>
      </c>
      <c r="V457" s="8"/>
      <c r="W457" s="33"/>
      <c r="X457" s="34" t="n">
        <f aca="false">IF(S457="","",IF(AND(W457="Y",U457&lt;&gt;0),MAX(1,MIN(5,S457+MAX(-Config!$C$27,MIN(Config!$C$27,U457)))),S457))</f>
        <v>1</v>
      </c>
      <c r="Y457" s="35" t="str">
        <f aca="false">IF(G457="N/A","N/A",IF(X457="","No data",INDEX(Config!$B$5:$B$9,X457)))</f>
        <v>Low</v>
      </c>
      <c r="Z457" s="7" t="str">
        <f aca="false">IF(U457=0,"None",IF(W457="Y","Applied","Pending HO approval"))</f>
        <v>None</v>
      </c>
      <c r="AA457" s="12" t="str">
        <f aca="false">INDEX('Risk Taxonomy'!$G$5:$G$24,MATCH(D457,'Risk Taxonomy'!$A$5:$A$24,0))</f>
        <v>Moderate</v>
      </c>
      <c r="AB457" s="7" t="str">
        <f aca="false">INDEX('Risk Taxonomy'!$H$5:$H$24,MATCH(D457,'Risk Taxonomy'!$A$5:$A$24,0))</f>
        <v>Medium-High</v>
      </c>
      <c r="AC457" s="35" t="str">
        <f aca="false">IF(NOT(ISNUMBER(X457)),"",IF(X457&lt;=MATCH(AB457,Config!$B$5:$B$9,0),"Within",IF(OR(X457-MATCH(AB457,Config!$B$5:$B$9,0)&gt;=2,AND('Residual Config'!$C$8="Y",ISNUMBER(SEARCH("Zero",AA457)))),"Red","Amber")))</f>
        <v>Within</v>
      </c>
      <c r="AD457" s="12" t="str">
        <f aca="false">IF(AC457="Red","Group CCO / CRO and Country CEO within 2 business days; action plan in 15 days; report to Board Risk &amp; Compliance Committee",IF(AC457="Amber","Country CO, risk owner and HO Administrator within 5 business days; action plan in 30 days",""))</f>
        <v/>
      </c>
    </row>
    <row r="458" customFormat="false" ht="15" hidden="false" customHeight="false" outlineLevel="0" collapsed="false">
      <c r="A458" s="26" t="str">
        <f aca="false">Entities!$A$27</f>
        <v>FR</v>
      </c>
      <c r="B458" s="12" t="str">
        <f aca="false">INDEX(Entities!$B$5:$B$34,MATCH(A458,Entities!$A$5:$A$34,0))</f>
        <v>Arab Bank – France</v>
      </c>
      <c r="C458" s="12" t="str">
        <f aca="false">INDEX(Entities!$D$5:$D$34,MATCH(A458,Entities!$A$5:$A$34,0))</f>
        <v>Europe</v>
      </c>
      <c r="D458" s="12" t="s">
        <v>304</v>
      </c>
      <c r="E458" s="12" t="str">
        <f aca="false">INDEX('Risk Taxonomy'!$B$5:$B$24,MATCH(D458,'Risk Taxonomy'!$A$5:$A$24,0))</f>
        <v>Liquidity and funding risk</v>
      </c>
      <c r="F458" s="29" t="n">
        <f aca="false">IF(NOT(ISNUMBER(G458)),"",G458)</f>
        <v>2</v>
      </c>
      <c r="G458" s="34" t="n">
        <f aca="false">IF(COUNTIFS('LxI Assessment'!$A$5:$A$394,A458,'LxI Assessment'!$D$5:$D$394,D458,'LxI Assessment'!$F$5:$F$394,"N/A")&gt;0,"N/A",IF(COUNTIFS('LxI Assessment'!$A$5:$A$394,A458,'LxI Assessment'!$D$5:$D$394,D458,'LxI Assessment'!$S$5:$S$394,"&gt;0")=0,"",SUMIFS('LxI Assessment'!$S$5:$S$394,'LxI Assessment'!$A$5:$A$394,A458,'LxI Assessment'!$D$5:$D$394,D458)))</f>
        <v>2</v>
      </c>
      <c r="H458" s="7" t="str">
        <f aca="false">IF(G458="N/A","N/A",IF(G458="","No data",INDEX(Config!$B$5:$B$9,G458)))</f>
        <v>Medium-Low</v>
      </c>
      <c r="I458" s="31" t="n">
        <f aca="false">IF(NOT(ISNUMBER($G458)),"",SUMPRODUCT(('Control Mapping'!$C$5:$C$83=D458)*('Control Mapping'!$AC$5:$AC$83&gt;0)))</f>
        <v>1</v>
      </c>
      <c r="J458" s="31" t="n">
        <f aca="false">IF(NOT(ISNUMBER($G458)),"",SUMPRODUCT(('Control Mapping'!$C$5:$C$83=D458)*('Control Mapping'!$F$5:$F$83="Y")*('Control Mapping'!$AC$5:$AC$83&gt;0)))</f>
        <v>1</v>
      </c>
      <c r="K458" s="31" t="n">
        <f aca="false">IF(NOT(ISNUMBER($G458)),"",SUMPRODUCT(('Control Mapping'!$C$5:$C$83=D458)*('Control Mapping'!$F$5:$F$83="Y")*('Control Mapping'!$AC$5:$AC$83=4)))</f>
        <v>1</v>
      </c>
      <c r="L458" s="29" t="n">
        <f aca="false">IF(NOT(ISNUMBER($G458)),"",IFERROR(SUMPRODUCT(('Control Mapping'!$C$5:$C$83=D458)*'Control Mapping'!$E$5:$E$83*'Control Mapping'!$AC$5:$AC$83)/SUMPRODUCT(('Control Mapping'!$C$5:$C$83=D458)*'Control Mapping'!$E$5:$E$83*('Control Mapping'!$AC$5:$AC$83&gt;0)),""))</f>
        <v>4</v>
      </c>
      <c r="M458" s="34" t="n">
        <f aca="false">IF(NOT(ISNUMBER($G458)),"",IF(J458=0,4,MAX(MATCH(L458,'Residual Config'!$E$11:$E$14,1),IF(K458&gt;0,'Residual Config'!$C$7,1))))</f>
        <v>4</v>
      </c>
      <c r="N458" s="7" t="str">
        <f aca="false">IF(NOT(ISNUMBER($G458)),"",IF(J458=0,"Ineffective (no key control)",INDEX('Residual Config'!$B$11:$B$14,M458)))</f>
        <v>Ineffective</v>
      </c>
      <c r="O458" s="36" t="n">
        <f aca="false">IF(NOT(ISNUMBER($G458)),"",IF(J458=0,0,SUMPRODUCT(('Control Mapping'!$C$5:$C$83=D458)*'Control Mapping'!$E$5:$E$83*(('Control Mapping'!$AC$5:$AC$83=1)*'Residual Config'!$D$11+('Control Mapping'!$AC$5:$AC$83=2)*'Residual Config'!$D$12+('Control Mapping'!$AC$5:$AC$83=3)*'Residual Config'!$D$13+('Control Mapping'!$AC$5:$AC$83=4)*'Residual Config'!$D$14))/SUMPRODUCT(('Control Mapping'!$C$5:$C$83=D458)*'Control Mapping'!$E$5:$E$83*('Control Mapping'!$AC$5:$AC$83&gt;0))))</f>
        <v>0</v>
      </c>
      <c r="P458" s="31" t="n">
        <f aca="false">IF(NOT(ISNUMBER($G458)),"",INDEX('Residual Config'!$B$19:$E$23,6-G458,M458))</f>
        <v>2</v>
      </c>
      <c r="Q458" s="29" t="n">
        <f aca="false">IF(NOT(ISNUMBER($G458)),"",MAX(1,F458*(1-O458)))</f>
        <v>2</v>
      </c>
      <c r="R458" s="31" t="n">
        <f aca="false">IF(NOT(ISNUMBER($G458)),"",MAX(MATCH(Q458,Config!$D$5:$D$9,1),G458-'Residual Config'!$C$6))</f>
        <v>2</v>
      </c>
      <c r="S458" s="34" t="n">
        <f aca="false">IF(NOT(ISNUMBER($G458)),"",IF('Residual Config'!$C$5="Numeric",R458,P458))</f>
        <v>2</v>
      </c>
      <c r="T458" s="7" t="str">
        <f aca="false">IF(G458="N/A","N/A",IF(S458="","No data",INDEX(Config!$B$5:$B$9,S458)))</f>
        <v>Medium-Low</v>
      </c>
      <c r="U458" s="32" t="n">
        <v>0</v>
      </c>
      <c r="V458" s="8"/>
      <c r="W458" s="33"/>
      <c r="X458" s="34" t="n">
        <f aca="false">IF(S458="","",IF(AND(W458="Y",U458&lt;&gt;0),MAX(1,MIN(5,S458+MAX(-Config!$C$27,MIN(Config!$C$27,U458)))),S458))</f>
        <v>2</v>
      </c>
      <c r="Y458" s="35" t="str">
        <f aca="false">IF(G458="N/A","N/A",IF(X458="","No data",INDEX(Config!$B$5:$B$9,X458)))</f>
        <v>Medium-Low</v>
      </c>
      <c r="Z458" s="7" t="str">
        <f aca="false">IF(U458=0,"None",IF(W458="Y","Applied","Pending HO approval"))</f>
        <v>None</v>
      </c>
      <c r="AA458" s="12" t="str">
        <f aca="false">INDEX('Risk Taxonomy'!$G$5:$G$24,MATCH(D458,'Risk Taxonomy'!$A$5:$A$24,0))</f>
        <v>Low</v>
      </c>
      <c r="AB458" s="7" t="str">
        <f aca="false">INDEX('Risk Taxonomy'!$H$5:$H$24,MATCH(D458,'Risk Taxonomy'!$A$5:$A$24,0))</f>
        <v>Medium</v>
      </c>
      <c r="AC458" s="35" t="str">
        <f aca="false">IF(NOT(ISNUMBER(X458)),"",IF(X458&lt;=MATCH(AB458,Config!$B$5:$B$9,0),"Within",IF(OR(X458-MATCH(AB458,Config!$B$5:$B$9,0)&gt;=2,AND('Residual Config'!$C$8="Y",ISNUMBER(SEARCH("Zero",AA458)))),"Red","Amber")))</f>
        <v>Within</v>
      </c>
      <c r="AD458" s="12" t="str">
        <f aca="false">IF(AC458="Red","Group CCO / CRO and Country CEO within 2 business days; action plan in 15 days; report to Board Risk &amp; Compliance Committee",IF(AC458="Amber","Country CO, risk owner and HO Administrator within 5 business days; action plan in 30 days",""))</f>
        <v/>
      </c>
    </row>
    <row r="459" customFormat="false" ht="15" hidden="false" customHeight="false" outlineLevel="0" collapsed="false">
      <c r="A459" s="26" t="str">
        <f aca="false">Entities!$A$27</f>
        <v>FR</v>
      </c>
      <c r="B459" s="12" t="str">
        <f aca="false">INDEX(Entities!$B$5:$B$34,MATCH(A459,Entities!$A$5:$A$34,0))</f>
        <v>Arab Bank – France</v>
      </c>
      <c r="C459" s="12" t="str">
        <f aca="false">INDEX(Entities!$D$5:$D$34,MATCH(A459,Entities!$A$5:$A$34,0))</f>
        <v>Europe</v>
      </c>
      <c r="D459" s="12" t="s">
        <v>307</v>
      </c>
      <c r="E459" s="12" t="str">
        <f aca="false">INDEX('Risk Taxonomy'!$B$5:$B$24,MATCH(D459,'Risk Taxonomy'!$A$5:$A$24,0))</f>
        <v>Operational risk</v>
      </c>
      <c r="F459" s="29" t="n">
        <f aca="false">IF(NOT(ISNUMBER(G459)),"",G459)</f>
        <v>3</v>
      </c>
      <c r="G459" s="34" t="n">
        <f aca="false">IF(COUNTIFS('LxI Assessment'!$A$5:$A$394,A459,'LxI Assessment'!$D$5:$D$394,D459,'LxI Assessment'!$F$5:$F$394,"N/A")&gt;0,"N/A",IF(COUNTIFS('LxI Assessment'!$A$5:$A$394,A459,'LxI Assessment'!$D$5:$D$394,D459,'LxI Assessment'!$S$5:$S$394,"&gt;0")=0,"",SUMIFS('LxI Assessment'!$S$5:$S$394,'LxI Assessment'!$A$5:$A$394,A459,'LxI Assessment'!$D$5:$D$394,D459)))</f>
        <v>3</v>
      </c>
      <c r="H459" s="7" t="str">
        <f aca="false">IF(G459="N/A","N/A",IF(G459="","No data",INDEX(Config!$B$5:$B$9,G459)))</f>
        <v>Medium</v>
      </c>
      <c r="I459" s="31" t="n">
        <f aca="false">IF(NOT(ISNUMBER($G459)),"",SUMPRODUCT(('Control Mapping'!$C$5:$C$83=D459)*('Control Mapping'!$AC$5:$AC$83&gt;0)))</f>
        <v>3</v>
      </c>
      <c r="J459" s="31" t="n">
        <f aca="false">IF(NOT(ISNUMBER($G459)),"",SUMPRODUCT(('Control Mapping'!$C$5:$C$83=D459)*('Control Mapping'!$F$5:$F$83="Y")*('Control Mapping'!$AC$5:$AC$83&gt;0)))</f>
        <v>2</v>
      </c>
      <c r="K459" s="31" t="n">
        <f aca="false">IF(NOT(ISNUMBER($G459)),"",SUMPRODUCT(('Control Mapping'!$C$5:$C$83=D459)*('Control Mapping'!$F$5:$F$83="Y")*('Control Mapping'!$AC$5:$AC$83=4)))</f>
        <v>0</v>
      </c>
      <c r="L459" s="29" t="n">
        <f aca="false">IF(NOT(ISNUMBER($G459)),"",IFERROR(SUMPRODUCT(('Control Mapping'!$C$5:$C$83=D459)*'Control Mapping'!$E$5:$E$83*'Control Mapping'!$AC$5:$AC$83)/SUMPRODUCT(('Control Mapping'!$C$5:$C$83=D459)*'Control Mapping'!$E$5:$E$83*('Control Mapping'!$AC$5:$AC$83&gt;0)),""))</f>
        <v>1.66666666666667</v>
      </c>
      <c r="M459" s="34" t="n">
        <f aca="false">IF(NOT(ISNUMBER($G459)),"",IF(J459=0,4,MAX(MATCH(L459,'Residual Config'!$E$11:$E$14,1),IF(K459&gt;0,'Residual Config'!$C$7,1))))</f>
        <v>2</v>
      </c>
      <c r="N459" s="7" t="str">
        <f aca="false">IF(NOT(ISNUMBER($G459)),"",IF(J459=0,"Ineffective (no key control)",INDEX('Residual Config'!$B$11:$B$14,M459)))</f>
        <v>Largely effective</v>
      </c>
      <c r="O459" s="36" t="n">
        <f aca="false">IF(NOT(ISNUMBER($G459)),"",IF(J459=0,0,SUMPRODUCT(('Control Mapping'!$C$5:$C$83=D459)*'Control Mapping'!$E$5:$E$83*(('Control Mapping'!$AC$5:$AC$83=1)*'Residual Config'!$D$11+('Control Mapping'!$AC$5:$AC$83=2)*'Residual Config'!$D$12+('Control Mapping'!$AC$5:$AC$83=3)*'Residual Config'!$D$13+('Control Mapping'!$AC$5:$AC$83=4)*'Residual Config'!$D$14))/SUMPRODUCT(('Control Mapping'!$C$5:$C$83=D459)*'Control Mapping'!$E$5:$E$83*('Control Mapping'!$AC$5:$AC$83&gt;0))))</f>
        <v>0.466666666666667</v>
      </c>
      <c r="P459" s="31" t="n">
        <f aca="false">IF(NOT(ISNUMBER($G459)),"",INDEX('Residual Config'!$B$19:$E$23,6-G459,M459))</f>
        <v>2</v>
      </c>
      <c r="Q459" s="29" t="n">
        <f aca="false">IF(NOT(ISNUMBER($G459)),"",MAX(1,F459*(1-O459)))</f>
        <v>1.6</v>
      </c>
      <c r="R459" s="31" t="n">
        <f aca="false">IF(NOT(ISNUMBER($G459)),"",MAX(MATCH(Q459,Config!$D$5:$D$9,1),G459-'Residual Config'!$C$6))</f>
        <v>1</v>
      </c>
      <c r="S459" s="34" t="n">
        <f aca="false">IF(NOT(ISNUMBER($G459)),"",IF('Residual Config'!$C$5="Numeric",R459,P459))</f>
        <v>2</v>
      </c>
      <c r="T459" s="7" t="str">
        <f aca="false">IF(G459="N/A","N/A",IF(S459="","No data",INDEX(Config!$B$5:$B$9,S459)))</f>
        <v>Medium-Low</v>
      </c>
      <c r="U459" s="32" t="n">
        <v>0</v>
      </c>
      <c r="V459" s="8"/>
      <c r="W459" s="33"/>
      <c r="X459" s="34" t="n">
        <f aca="false">IF(S459="","",IF(AND(W459="Y",U459&lt;&gt;0),MAX(1,MIN(5,S459+MAX(-Config!$C$27,MIN(Config!$C$27,U459)))),S459))</f>
        <v>2</v>
      </c>
      <c r="Y459" s="35" t="str">
        <f aca="false">IF(G459="N/A","N/A",IF(X459="","No data",INDEX(Config!$B$5:$B$9,X459)))</f>
        <v>Medium-Low</v>
      </c>
      <c r="Z459" s="7" t="str">
        <f aca="false">IF(U459=0,"None",IF(W459="Y","Applied","Pending HO approval"))</f>
        <v>None</v>
      </c>
      <c r="AA459" s="12" t="str">
        <f aca="false">INDEX('Risk Taxonomy'!$G$5:$G$24,MATCH(D459,'Risk Taxonomy'!$A$5:$A$24,0))</f>
        <v>Low</v>
      </c>
      <c r="AB459" s="7" t="str">
        <f aca="false">INDEX('Risk Taxonomy'!$H$5:$H$24,MATCH(D459,'Risk Taxonomy'!$A$5:$A$24,0))</f>
        <v>Medium</v>
      </c>
      <c r="AC459" s="35" t="str">
        <f aca="false">IF(NOT(ISNUMBER(X459)),"",IF(X459&lt;=MATCH(AB459,Config!$B$5:$B$9,0),"Within",IF(OR(X459-MATCH(AB459,Config!$B$5:$B$9,0)&gt;=2,AND('Residual Config'!$C$8="Y",ISNUMBER(SEARCH("Zero",AA459)))),"Red","Amber")))</f>
        <v>Within</v>
      </c>
      <c r="AD459" s="12" t="str">
        <f aca="false">IF(AC459="Red","Group CCO / CRO and Country CEO within 2 business days; action plan in 15 days; report to Board Risk &amp; Compliance Committee",IF(AC459="Amber","Country CO, risk owner and HO Administrator within 5 business days; action plan in 30 days",""))</f>
        <v/>
      </c>
    </row>
    <row r="460" customFormat="false" ht="15" hidden="false" customHeight="false" outlineLevel="0" collapsed="false">
      <c r="A460" s="26" t="str">
        <f aca="false">Entities!$A$27</f>
        <v>FR</v>
      </c>
      <c r="B460" s="12" t="str">
        <f aca="false">INDEX(Entities!$B$5:$B$34,MATCH(A460,Entities!$A$5:$A$34,0))</f>
        <v>Arab Bank – France</v>
      </c>
      <c r="C460" s="12" t="str">
        <f aca="false">INDEX(Entities!$D$5:$D$34,MATCH(A460,Entities!$A$5:$A$34,0))</f>
        <v>Europe</v>
      </c>
      <c r="D460" s="12" t="s">
        <v>310</v>
      </c>
      <c r="E460" s="12" t="str">
        <f aca="false">INDEX('Risk Taxonomy'!$B$5:$B$24,MATCH(D460,'Risk Taxonomy'!$A$5:$A$24,0))</f>
        <v>Cyber, information security and technology</v>
      </c>
      <c r="F460" s="29" t="n">
        <f aca="false">IF(NOT(ISNUMBER(G460)),"",G460)</f>
        <v>2</v>
      </c>
      <c r="G460" s="34" t="n">
        <f aca="false">IF(COUNTIFS('LxI Assessment'!$A$5:$A$394,A460,'LxI Assessment'!$D$5:$D$394,D460,'LxI Assessment'!$F$5:$F$394,"N/A")&gt;0,"N/A",IF(COUNTIFS('LxI Assessment'!$A$5:$A$394,A460,'LxI Assessment'!$D$5:$D$394,D460,'LxI Assessment'!$S$5:$S$394,"&gt;0")=0,"",SUMIFS('LxI Assessment'!$S$5:$S$394,'LxI Assessment'!$A$5:$A$394,A460,'LxI Assessment'!$D$5:$D$394,D460)))</f>
        <v>2</v>
      </c>
      <c r="H460" s="7" t="str">
        <f aca="false">IF(G460="N/A","N/A",IF(G460="","No data",INDEX(Config!$B$5:$B$9,G460)))</f>
        <v>Medium-Low</v>
      </c>
      <c r="I460" s="31" t="n">
        <f aca="false">IF(NOT(ISNUMBER($G460)),"",SUMPRODUCT(('Control Mapping'!$C$5:$C$83=D460)*('Control Mapping'!$AC$5:$AC$83&gt;0)))</f>
        <v>4</v>
      </c>
      <c r="J460" s="31" t="n">
        <f aca="false">IF(NOT(ISNUMBER($G460)),"",SUMPRODUCT(('Control Mapping'!$C$5:$C$83=D460)*('Control Mapping'!$F$5:$F$83="Y")*('Control Mapping'!$AC$5:$AC$83&gt;0)))</f>
        <v>4</v>
      </c>
      <c r="K460" s="31" t="n">
        <f aca="false">IF(NOT(ISNUMBER($G460)),"",SUMPRODUCT(('Control Mapping'!$C$5:$C$83=D460)*('Control Mapping'!$F$5:$F$83="Y")*('Control Mapping'!$AC$5:$AC$83=4)))</f>
        <v>1</v>
      </c>
      <c r="L460" s="29" t="n">
        <f aca="false">IF(NOT(ISNUMBER($G460)),"",IFERROR(SUMPRODUCT(('Control Mapping'!$C$5:$C$83=D460)*'Control Mapping'!$E$5:$E$83*'Control Mapping'!$AC$5:$AC$83)/SUMPRODUCT(('Control Mapping'!$C$5:$C$83=D460)*'Control Mapping'!$E$5:$E$83*('Control Mapping'!$AC$5:$AC$83&gt;0)),""))</f>
        <v>2.28571428571429</v>
      </c>
      <c r="M460" s="34" t="n">
        <f aca="false">IF(NOT(ISNUMBER($G460)),"",IF(J460=0,4,MAX(MATCH(L460,'Residual Config'!$E$11:$E$14,1),IF(K460&gt;0,'Residual Config'!$C$7,1))))</f>
        <v>3</v>
      </c>
      <c r="N460" s="7" t="str">
        <f aca="false">IF(NOT(ISNUMBER($G460)),"",IF(J460=0,"Ineffective (no key control)",INDEX('Residual Config'!$B$11:$B$14,M460)))</f>
        <v>Partially effective</v>
      </c>
      <c r="O460" s="36" t="n">
        <f aca="false">IF(NOT(ISNUMBER($G460)),"",IF(J460=0,0,SUMPRODUCT(('Control Mapping'!$C$5:$C$83=D460)*'Control Mapping'!$E$5:$E$83*(('Control Mapping'!$AC$5:$AC$83=1)*'Residual Config'!$D$11+('Control Mapping'!$AC$5:$AC$83=2)*'Residual Config'!$D$12+('Control Mapping'!$AC$5:$AC$83=3)*'Residual Config'!$D$13+('Control Mapping'!$AC$5:$AC$83=4)*'Residual Config'!$D$14))/SUMPRODUCT(('Control Mapping'!$C$5:$C$83=D460)*'Control Mapping'!$E$5:$E$83*('Control Mapping'!$AC$5:$AC$83&gt;0))))</f>
        <v>0.342857142857143</v>
      </c>
      <c r="P460" s="31" t="n">
        <f aca="false">IF(NOT(ISNUMBER($G460)),"",INDEX('Residual Config'!$B$19:$E$23,6-G460,M460))</f>
        <v>2</v>
      </c>
      <c r="Q460" s="29" t="n">
        <f aca="false">IF(NOT(ISNUMBER($G460)),"",MAX(1,F460*(1-O460)))</f>
        <v>1.31428571428571</v>
      </c>
      <c r="R460" s="31" t="n">
        <f aca="false">IF(NOT(ISNUMBER($G460)),"",MAX(MATCH(Q460,Config!$D$5:$D$9,1),G460-'Residual Config'!$C$6))</f>
        <v>1</v>
      </c>
      <c r="S460" s="34" t="n">
        <f aca="false">IF(NOT(ISNUMBER($G460)),"",IF('Residual Config'!$C$5="Numeric",R460,P460))</f>
        <v>2</v>
      </c>
      <c r="T460" s="7" t="str">
        <f aca="false">IF(G460="N/A","N/A",IF(S460="","No data",INDEX(Config!$B$5:$B$9,S460)))</f>
        <v>Medium-Low</v>
      </c>
      <c r="U460" s="32" t="n">
        <v>0</v>
      </c>
      <c r="V460" s="8"/>
      <c r="W460" s="33"/>
      <c r="X460" s="34" t="n">
        <f aca="false">IF(S460="","",IF(AND(W460="Y",U460&lt;&gt;0),MAX(1,MIN(5,S460+MAX(-Config!$C$27,MIN(Config!$C$27,U460)))),S460))</f>
        <v>2</v>
      </c>
      <c r="Y460" s="35" t="str">
        <f aca="false">IF(G460="N/A","N/A",IF(X460="","No data",INDEX(Config!$B$5:$B$9,X460)))</f>
        <v>Medium-Low</v>
      </c>
      <c r="Z460" s="7" t="str">
        <f aca="false">IF(U460=0,"None",IF(W460="Y","Applied","Pending HO approval"))</f>
        <v>None</v>
      </c>
      <c r="AA460" s="12" t="str">
        <f aca="false">INDEX('Risk Taxonomy'!$G$5:$G$24,MATCH(D460,'Risk Taxonomy'!$A$5:$A$24,0))</f>
        <v>Very low</v>
      </c>
      <c r="AB460" s="7" t="str">
        <f aca="false">INDEX('Risk Taxonomy'!$H$5:$H$24,MATCH(D460,'Risk Taxonomy'!$A$5:$A$24,0))</f>
        <v>Medium-Low</v>
      </c>
      <c r="AC460" s="35" t="str">
        <f aca="false">IF(NOT(ISNUMBER(X460)),"",IF(X460&lt;=MATCH(AB460,Config!$B$5:$B$9,0),"Within",IF(OR(X460-MATCH(AB460,Config!$B$5:$B$9,0)&gt;=2,AND('Residual Config'!$C$8="Y",ISNUMBER(SEARCH("Zero",AA460)))),"Red","Amber")))</f>
        <v>Within</v>
      </c>
      <c r="AD460" s="12" t="str">
        <f aca="false">IF(AC460="Red","Group CCO / CRO and Country CEO within 2 business days; action plan in 15 days; report to Board Risk &amp; Compliance Committee",IF(AC460="Amber","Country CO, risk owner and HO Administrator within 5 business days; action plan in 30 days",""))</f>
        <v/>
      </c>
    </row>
    <row r="461" customFormat="false" ht="15" hidden="false" customHeight="false" outlineLevel="0" collapsed="false">
      <c r="A461" s="26" t="str">
        <f aca="false">Entities!$A$27</f>
        <v>FR</v>
      </c>
      <c r="B461" s="12" t="str">
        <f aca="false">INDEX(Entities!$B$5:$B$34,MATCH(A461,Entities!$A$5:$A$34,0))</f>
        <v>Arab Bank – France</v>
      </c>
      <c r="C461" s="12" t="str">
        <f aca="false">INDEX(Entities!$D$5:$D$34,MATCH(A461,Entities!$A$5:$A$34,0))</f>
        <v>Europe</v>
      </c>
      <c r="D461" s="12" t="s">
        <v>313</v>
      </c>
      <c r="E461" s="12" t="str">
        <f aca="false">INDEX('Risk Taxonomy'!$B$5:$B$24,MATCH(D461,'Risk Taxonomy'!$A$5:$A$24,0))</f>
        <v>Third-party and outsourcing</v>
      </c>
      <c r="F461" s="29" t="n">
        <f aca="false">IF(NOT(ISNUMBER(G461)),"",G461)</f>
        <v>2</v>
      </c>
      <c r="G461" s="34" t="n">
        <f aca="false">IF(COUNTIFS('LxI Assessment'!$A$5:$A$394,A461,'LxI Assessment'!$D$5:$D$394,D461,'LxI Assessment'!$F$5:$F$394,"N/A")&gt;0,"N/A",IF(COUNTIFS('LxI Assessment'!$A$5:$A$394,A461,'LxI Assessment'!$D$5:$D$394,D461,'LxI Assessment'!$S$5:$S$394,"&gt;0")=0,"",SUMIFS('LxI Assessment'!$S$5:$S$394,'LxI Assessment'!$A$5:$A$394,A461,'LxI Assessment'!$D$5:$D$394,D461)))</f>
        <v>2</v>
      </c>
      <c r="H461" s="7" t="str">
        <f aca="false">IF(G461="N/A","N/A",IF(G461="","No data",INDEX(Config!$B$5:$B$9,G461)))</f>
        <v>Medium-Low</v>
      </c>
      <c r="I461" s="31" t="n">
        <f aca="false">IF(NOT(ISNUMBER($G461)),"",SUMPRODUCT(('Control Mapping'!$C$5:$C$83=D461)*('Control Mapping'!$AC$5:$AC$83&gt;0)))</f>
        <v>2</v>
      </c>
      <c r="J461" s="31" t="n">
        <f aca="false">IF(NOT(ISNUMBER($G461)),"",SUMPRODUCT(('Control Mapping'!$C$5:$C$83=D461)*('Control Mapping'!$F$5:$F$83="Y")*('Control Mapping'!$AC$5:$AC$83&gt;0)))</f>
        <v>2</v>
      </c>
      <c r="K461" s="31" t="n">
        <f aca="false">IF(NOT(ISNUMBER($G461)),"",SUMPRODUCT(('Control Mapping'!$C$5:$C$83=D461)*('Control Mapping'!$F$5:$F$83="Y")*('Control Mapping'!$AC$5:$AC$83=4)))</f>
        <v>0</v>
      </c>
      <c r="L461" s="29" t="n">
        <f aca="false">IF(NOT(ISNUMBER($G461)),"",IFERROR(SUMPRODUCT(('Control Mapping'!$C$5:$C$83=D461)*'Control Mapping'!$E$5:$E$83*'Control Mapping'!$AC$5:$AC$83)/SUMPRODUCT(('Control Mapping'!$C$5:$C$83=D461)*'Control Mapping'!$E$5:$E$83*('Control Mapping'!$AC$5:$AC$83&gt;0)),""))</f>
        <v>1.25</v>
      </c>
      <c r="M461" s="34" t="n">
        <f aca="false">IF(NOT(ISNUMBER($G461)),"",IF(J461=0,4,MAX(MATCH(L461,'Residual Config'!$E$11:$E$14,1),IF(K461&gt;0,'Residual Config'!$C$7,1))))</f>
        <v>1</v>
      </c>
      <c r="N461" s="7" t="str">
        <f aca="false">IF(NOT(ISNUMBER($G461)),"",IF(J461=0,"Ineffective (no key control)",INDEX('Residual Config'!$B$11:$B$14,M461)))</f>
        <v>Effective</v>
      </c>
      <c r="O461" s="36" t="n">
        <f aca="false">IF(NOT(ISNUMBER($G461)),"",IF(J461=0,0,SUMPRODUCT(('Control Mapping'!$C$5:$C$83=D461)*'Control Mapping'!$E$5:$E$83*(('Control Mapping'!$AC$5:$AC$83=1)*'Residual Config'!$D$11+('Control Mapping'!$AC$5:$AC$83=2)*'Residual Config'!$D$12+('Control Mapping'!$AC$5:$AC$83=3)*'Residual Config'!$D$13+('Control Mapping'!$AC$5:$AC$83=4)*'Residual Config'!$D$14))/SUMPRODUCT(('Control Mapping'!$C$5:$C$83=D461)*'Control Mapping'!$E$5:$E$83*('Control Mapping'!$AC$5:$AC$83&gt;0))))</f>
        <v>0.55</v>
      </c>
      <c r="P461" s="31" t="n">
        <f aca="false">IF(NOT(ISNUMBER($G461)),"",INDEX('Residual Config'!$B$19:$E$23,6-G461,M461))</f>
        <v>1</v>
      </c>
      <c r="Q461" s="29" t="n">
        <f aca="false">IF(NOT(ISNUMBER($G461)),"",MAX(1,F461*(1-O461)))</f>
        <v>1</v>
      </c>
      <c r="R461" s="31" t="n">
        <f aca="false">IF(NOT(ISNUMBER($G461)),"",MAX(MATCH(Q461,Config!$D$5:$D$9,1),G461-'Residual Config'!$C$6))</f>
        <v>1</v>
      </c>
      <c r="S461" s="34" t="n">
        <f aca="false">IF(NOT(ISNUMBER($G461)),"",IF('Residual Config'!$C$5="Numeric",R461,P461))</f>
        <v>1</v>
      </c>
      <c r="T461" s="7" t="str">
        <f aca="false">IF(G461="N/A","N/A",IF(S461="","No data",INDEX(Config!$B$5:$B$9,S461)))</f>
        <v>Low</v>
      </c>
      <c r="U461" s="32" t="n">
        <v>0</v>
      </c>
      <c r="V461" s="8"/>
      <c r="W461" s="33"/>
      <c r="X461" s="34" t="n">
        <f aca="false">IF(S461="","",IF(AND(W461="Y",U461&lt;&gt;0),MAX(1,MIN(5,S461+MAX(-Config!$C$27,MIN(Config!$C$27,U461)))),S461))</f>
        <v>1</v>
      </c>
      <c r="Y461" s="35" t="str">
        <f aca="false">IF(G461="N/A","N/A",IF(X461="","No data",INDEX(Config!$B$5:$B$9,X461)))</f>
        <v>Low</v>
      </c>
      <c r="Z461" s="7" t="str">
        <f aca="false">IF(U461=0,"None",IF(W461="Y","Applied","Pending HO approval"))</f>
        <v>None</v>
      </c>
      <c r="AA461" s="12" t="str">
        <f aca="false">INDEX('Risk Taxonomy'!$G$5:$G$24,MATCH(D461,'Risk Taxonomy'!$A$5:$A$24,0))</f>
        <v>Low</v>
      </c>
      <c r="AB461" s="7" t="str">
        <f aca="false">INDEX('Risk Taxonomy'!$H$5:$H$24,MATCH(D461,'Risk Taxonomy'!$A$5:$A$24,0))</f>
        <v>Medium</v>
      </c>
      <c r="AC461" s="35" t="str">
        <f aca="false">IF(NOT(ISNUMBER(X461)),"",IF(X461&lt;=MATCH(AB461,Config!$B$5:$B$9,0),"Within",IF(OR(X461-MATCH(AB461,Config!$B$5:$B$9,0)&gt;=2,AND('Residual Config'!$C$8="Y",ISNUMBER(SEARCH("Zero",AA461)))),"Red","Amber")))</f>
        <v>Within</v>
      </c>
      <c r="AD461" s="12" t="str">
        <f aca="false">IF(AC461="Red","Group CCO / CRO and Country CEO within 2 business days; action plan in 15 days; report to Board Risk &amp; Compliance Committee",IF(AC461="Amber","Country CO, risk owner and HO Administrator within 5 business days; action plan in 30 days",""))</f>
        <v/>
      </c>
    </row>
    <row r="462" customFormat="false" ht="15" hidden="false" customHeight="false" outlineLevel="0" collapsed="false">
      <c r="A462" s="26" t="str">
        <f aca="false">Entities!$A$27</f>
        <v>FR</v>
      </c>
      <c r="B462" s="12" t="str">
        <f aca="false">INDEX(Entities!$B$5:$B$34,MATCH(A462,Entities!$A$5:$A$34,0))</f>
        <v>Arab Bank – France</v>
      </c>
      <c r="C462" s="12" t="str">
        <f aca="false">INDEX(Entities!$D$5:$D$34,MATCH(A462,Entities!$A$5:$A$34,0))</f>
        <v>Europe</v>
      </c>
      <c r="D462" s="12" t="s">
        <v>316</v>
      </c>
      <c r="E462" s="12" t="str">
        <f aca="false">INDEX('Risk Taxonomy'!$B$5:$B$24,MATCH(D462,'Risk Taxonomy'!$A$5:$A$24,0))</f>
        <v>Legal and litigation</v>
      </c>
      <c r="F462" s="29" t="n">
        <f aca="false">IF(NOT(ISNUMBER(G462)),"",G462)</f>
        <v>1</v>
      </c>
      <c r="G462" s="34" t="n">
        <f aca="false">IF(COUNTIFS('LxI Assessment'!$A$5:$A$394,A462,'LxI Assessment'!$D$5:$D$394,D462,'LxI Assessment'!$F$5:$F$394,"N/A")&gt;0,"N/A",IF(COUNTIFS('LxI Assessment'!$A$5:$A$394,A462,'LxI Assessment'!$D$5:$D$394,D462,'LxI Assessment'!$S$5:$S$394,"&gt;0")=0,"",SUMIFS('LxI Assessment'!$S$5:$S$394,'LxI Assessment'!$A$5:$A$394,A462,'LxI Assessment'!$D$5:$D$394,D462)))</f>
        <v>1</v>
      </c>
      <c r="H462" s="7" t="str">
        <f aca="false">IF(G462="N/A","N/A",IF(G462="","No data",INDEX(Config!$B$5:$B$9,G462)))</f>
        <v>Low</v>
      </c>
      <c r="I462" s="31" t="n">
        <f aca="false">IF(NOT(ISNUMBER($G462)),"",SUMPRODUCT(('Control Mapping'!$C$5:$C$83=D462)*('Control Mapping'!$AC$5:$AC$83&gt;0)))</f>
        <v>1</v>
      </c>
      <c r="J462" s="31" t="n">
        <f aca="false">IF(NOT(ISNUMBER($G462)),"",SUMPRODUCT(('Control Mapping'!$C$5:$C$83=D462)*('Control Mapping'!$F$5:$F$83="Y")*('Control Mapping'!$AC$5:$AC$83&gt;0)))</f>
        <v>1</v>
      </c>
      <c r="K462" s="31" t="n">
        <f aca="false">IF(NOT(ISNUMBER($G462)),"",SUMPRODUCT(('Control Mapping'!$C$5:$C$83=D462)*('Control Mapping'!$F$5:$F$83="Y")*('Control Mapping'!$AC$5:$AC$83=4)))</f>
        <v>0</v>
      </c>
      <c r="L462" s="29" t="n">
        <f aca="false">IF(NOT(ISNUMBER($G462)),"",IFERROR(SUMPRODUCT(('Control Mapping'!$C$5:$C$83=D462)*'Control Mapping'!$E$5:$E$83*'Control Mapping'!$AC$5:$AC$83)/SUMPRODUCT(('Control Mapping'!$C$5:$C$83=D462)*'Control Mapping'!$E$5:$E$83*('Control Mapping'!$AC$5:$AC$83&gt;0)),""))</f>
        <v>2</v>
      </c>
      <c r="M462" s="34" t="n">
        <f aca="false">IF(NOT(ISNUMBER($G462)),"",IF(J462=0,4,MAX(MATCH(L462,'Residual Config'!$E$11:$E$14,1),IF(K462&gt;0,'Residual Config'!$C$7,1))))</f>
        <v>2</v>
      </c>
      <c r="N462" s="7" t="str">
        <f aca="false">IF(NOT(ISNUMBER($G462)),"",IF(J462=0,"Ineffective (no key control)",INDEX('Residual Config'!$B$11:$B$14,M462)))</f>
        <v>Largely effective</v>
      </c>
      <c r="O462" s="36" t="n">
        <f aca="false">IF(NOT(ISNUMBER($G462)),"",IF(J462=0,0,SUMPRODUCT(('Control Mapping'!$C$5:$C$83=D462)*'Control Mapping'!$E$5:$E$83*(('Control Mapping'!$AC$5:$AC$83=1)*'Residual Config'!$D$11+('Control Mapping'!$AC$5:$AC$83=2)*'Residual Config'!$D$12+('Control Mapping'!$AC$5:$AC$83=3)*'Residual Config'!$D$13+('Control Mapping'!$AC$5:$AC$83=4)*'Residual Config'!$D$14))/SUMPRODUCT(('Control Mapping'!$C$5:$C$83=D462)*'Control Mapping'!$E$5:$E$83*('Control Mapping'!$AC$5:$AC$83&gt;0))))</f>
        <v>0.4</v>
      </c>
      <c r="P462" s="31" t="n">
        <f aca="false">IF(NOT(ISNUMBER($G462)),"",INDEX('Residual Config'!$B$19:$E$23,6-G462,M462))</f>
        <v>1</v>
      </c>
      <c r="Q462" s="29" t="n">
        <f aca="false">IF(NOT(ISNUMBER($G462)),"",MAX(1,F462*(1-O462)))</f>
        <v>1</v>
      </c>
      <c r="R462" s="31" t="n">
        <f aca="false">IF(NOT(ISNUMBER($G462)),"",MAX(MATCH(Q462,Config!$D$5:$D$9,1),G462-'Residual Config'!$C$6))</f>
        <v>1</v>
      </c>
      <c r="S462" s="34" t="n">
        <f aca="false">IF(NOT(ISNUMBER($G462)),"",IF('Residual Config'!$C$5="Numeric",R462,P462))</f>
        <v>1</v>
      </c>
      <c r="T462" s="7" t="str">
        <f aca="false">IF(G462="N/A","N/A",IF(S462="","No data",INDEX(Config!$B$5:$B$9,S462)))</f>
        <v>Low</v>
      </c>
      <c r="U462" s="32" t="n">
        <v>0</v>
      </c>
      <c r="V462" s="8"/>
      <c r="W462" s="33"/>
      <c r="X462" s="34" t="n">
        <f aca="false">IF(S462="","",IF(AND(W462="Y",U462&lt;&gt;0),MAX(1,MIN(5,S462+MAX(-Config!$C$27,MIN(Config!$C$27,U462)))),S462))</f>
        <v>1</v>
      </c>
      <c r="Y462" s="35" t="str">
        <f aca="false">IF(G462="N/A","N/A",IF(X462="","No data",INDEX(Config!$B$5:$B$9,X462)))</f>
        <v>Low</v>
      </c>
      <c r="Z462" s="7" t="str">
        <f aca="false">IF(U462=0,"None",IF(W462="Y","Applied","Pending HO approval"))</f>
        <v>None</v>
      </c>
      <c r="AA462" s="12" t="str">
        <f aca="false">INDEX('Risk Taxonomy'!$G$5:$G$24,MATCH(D462,'Risk Taxonomy'!$A$5:$A$24,0))</f>
        <v>Very low</v>
      </c>
      <c r="AB462" s="7" t="str">
        <f aca="false">INDEX('Risk Taxonomy'!$H$5:$H$24,MATCH(D462,'Risk Taxonomy'!$A$5:$A$24,0))</f>
        <v>Medium-Low</v>
      </c>
      <c r="AC462" s="35" t="str">
        <f aca="false">IF(NOT(ISNUMBER(X462)),"",IF(X462&lt;=MATCH(AB462,Config!$B$5:$B$9,0),"Within",IF(OR(X462-MATCH(AB462,Config!$B$5:$B$9,0)&gt;=2,AND('Residual Config'!$C$8="Y",ISNUMBER(SEARCH("Zero",AA462)))),"Red","Amber")))</f>
        <v>Within</v>
      </c>
      <c r="AD462" s="12" t="str">
        <f aca="false">IF(AC462="Red","Group CCO / CRO and Country CEO within 2 business days; action plan in 15 days; report to Board Risk &amp; Compliance Committee",IF(AC462="Amber","Country CO, risk owner and HO Administrator within 5 business days; action plan in 30 days",""))</f>
        <v/>
      </c>
    </row>
    <row r="463" customFormat="false" ht="15" hidden="false" customHeight="false" outlineLevel="0" collapsed="false">
      <c r="A463" s="26" t="str">
        <f aca="false">Entities!$A$27</f>
        <v>FR</v>
      </c>
      <c r="B463" s="12" t="str">
        <f aca="false">INDEX(Entities!$B$5:$B$34,MATCH(A463,Entities!$A$5:$A$34,0))</f>
        <v>Arab Bank – France</v>
      </c>
      <c r="C463" s="12" t="str">
        <f aca="false">INDEX(Entities!$D$5:$D$34,MATCH(A463,Entities!$A$5:$A$34,0))</f>
        <v>Europe</v>
      </c>
      <c r="D463" s="12" t="s">
        <v>319</v>
      </c>
      <c r="E463" s="12" t="str">
        <f aca="false">INDEX('Risk Taxonomy'!$B$5:$B$24,MATCH(D463,'Risk Taxonomy'!$A$5:$A$24,0))</f>
        <v>Reputational</v>
      </c>
      <c r="F463" s="29" t="n">
        <f aca="false">IF(NOT(ISNUMBER(G463)),"",G463)</f>
        <v>2</v>
      </c>
      <c r="G463" s="34" t="n">
        <f aca="false">IF(COUNTIFS('LxI Assessment'!$A$5:$A$394,A463,'LxI Assessment'!$D$5:$D$394,D463,'LxI Assessment'!$F$5:$F$394,"N/A")&gt;0,"N/A",IF(COUNTIFS('LxI Assessment'!$A$5:$A$394,A463,'LxI Assessment'!$D$5:$D$394,D463,'LxI Assessment'!$S$5:$S$394,"&gt;0")=0,"",SUMIFS('LxI Assessment'!$S$5:$S$394,'LxI Assessment'!$A$5:$A$394,A463,'LxI Assessment'!$D$5:$D$394,D463)))</f>
        <v>2</v>
      </c>
      <c r="H463" s="7" t="str">
        <f aca="false">IF(G463="N/A","N/A",IF(G463="","No data",INDEX(Config!$B$5:$B$9,G463)))</f>
        <v>Medium-Low</v>
      </c>
      <c r="I463" s="31" t="n">
        <f aca="false">IF(NOT(ISNUMBER($G463)),"",SUMPRODUCT(('Control Mapping'!$C$5:$C$83=D463)*('Control Mapping'!$AC$5:$AC$83&gt;0)))</f>
        <v>2</v>
      </c>
      <c r="J463" s="31" t="n">
        <f aca="false">IF(NOT(ISNUMBER($G463)),"",SUMPRODUCT(('Control Mapping'!$C$5:$C$83=D463)*('Control Mapping'!$F$5:$F$83="Y")*('Control Mapping'!$AC$5:$AC$83&gt;0)))</f>
        <v>1</v>
      </c>
      <c r="K463" s="31" t="n">
        <f aca="false">IF(NOT(ISNUMBER($G463)),"",SUMPRODUCT(('Control Mapping'!$C$5:$C$83=D463)*('Control Mapping'!$F$5:$F$83="Y")*('Control Mapping'!$AC$5:$AC$83=4)))</f>
        <v>0</v>
      </c>
      <c r="L463" s="29" t="n">
        <f aca="false">IF(NOT(ISNUMBER($G463)),"",IFERROR(SUMPRODUCT(('Control Mapping'!$C$5:$C$83=D463)*'Control Mapping'!$E$5:$E$83*'Control Mapping'!$AC$5:$AC$83)/SUMPRODUCT(('Control Mapping'!$C$5:$C$83=D463)*'Control Mapping'!$E$5:$E$83*('Control Mapping'!$AC$5:$AC$83&gt;0)),""))</f>
        <v>1</v>
      </c>
      <c r="M463" s="34" t="n">
        <f aca="false">IF(NOT(ISNUMBER($G463)),"",IF(J463=0,4,MAX(MATCH(L463,'Residual Config'!$E$11:$E$14,1),IF(K463&gt;0,'Residual Config'!$C$7,1))))</f>
        <v>1</v>
      </c>
      <c r="N463" s="7" t="str">
        <f aca="false">IF(NOT(ISNUMBER($G463)),"",IF(J463=0,"Ineffective (no key control)",INDEX('Residual Config'!$B$11:$B$14,M463)))</f>
        <v>Effective</v>
      </c>
      <c r="O463" s="36" t="n">
        <f aca="false">IF(NOT(ISNUMBER($G463)),"",IF(J463=0,0,SUMPRODUCT(('Control Mapping'!$C$5:$C$83=D463)*'Control Mapping'!$E$5:$E$83*(('Control Mapping'!$AC$5:$AC$83=1)*'Residual Config'!$D$11+('Control Mapping'!$AC$5:$AC$83=2)*'Residual Config'!$D$12+('Control Mapping'!$AC$5:$AC$83=3)*'Residual Config'!$D$13+('Control Mapping'!$AC$5:$AC$83=4)*'Residual Config'!$D$14))/SUMPRODUCT(('Control Mapping'!$C$5:$C$83=D463)*'Control Mapping'!$E$5:$E$83*('Control Mapping'!$AC$5:$AC$83&gt;0))))</f>
        <v>0.6</v>
      </c>
      <c r="P463" s="31" t="n">
        <f aca="false">IF(NOT(ISNUMBER($G463)),"",INDEX('Residual Config'!$B$19:$E$23,6-G463,M463))</f>
        <v>1</v>
      </c>
      <c r="Q463" s="29" t="n">
        <f aca="false">IF(NOT(ISNUMBER($G463)),"",MAX(1,F463*(1-O463)))</f>
        <v>1</v>
      </c>
      <c r="R463" s="31" t="n">
        <f aca="false">IF(NOT(ISNUMBER($G463)),"",MAX(MATCH(Q463,Config!$D$5:$D$9,1),G463-'Residual Config'!$C$6))</f>
        <v>1</v>
      </c>
      <c r="S463" s="34" t="n">
        <f aca="false">IF(NOT(ISNUMBER($G463)),"",IF('Residual Config'!$C$5="Numeric",R463,P463))</f>
        <v>1</v>
      </c>
      <c r="T463" s="7" t="str">
        <f aca="false">IF(G463="N/A","N/A",IF(S463="","No data",INDEX(Config!$B$5:$B$9,S463)))</f>
        <v>Low</v>
      </c>
      <c r="U463" s="32" t="n">
        <v>0</v>
      </c>
      <c r="V463" s="8"/>
      <c r="W463" s="33"/>
      <c r="X463" s="34" t="n">
        <f aca="false">IF(S463="","",IF(AND(W463="Y",U463&lt;&gt;0),MAX(1,MIN(5,S463+MAX(-Config!$C$27,MIN(Config!$C$27,U463)))),S463))</f>
        <v>1</v>
      </c>
      <c r="Y463" s="35" t="str">
        <f aca="false">IF(G463="N/A","N/A",IF(X463="","No data",INDEX(Config!$B$5:$B$9,X463)))</f>
        <v>Low</v>
      </c>
      <c r="Z463" s="7" t="str">
        <f aca="false">IF(U463=0,"None",IF(W463="Y","Applied","Pending HO approval"))</f>
        <v>None</v>
      </c>
      <c r="AA463" s="12" t="str">
        <f aca="false">INDEX('Risk Taxonomy'!$G$5:$G$24,MATCH(D463,'Risk Taxonomy'!$A$5:$A$24,0))</f>
        <v>Low</v>
      </c>
      <c r="AB463" s="7" t="str">
        <f aca="false">INDEX('Risk Taxonomy'!$H$5:$H$24,MATCH(D463,'Risk Taxonomy'!$A$5:$A$24,0))</f>
        <v>Medium</v>
      </c>
      <c r="AC463" s="35" t="str">
        <f aca="false">IF(NOT(ISNUMBER(X463)),"",IF(X463&lt;=MATCH(AB463,Config!$B$5:$B$9,0),"Within",IF(OR(X463-MATCH(AB463,Config!$B$5:$B$9,0)&gt;=2,AND('Residual Config'!$C$8="Y",ISNUMBER(SEARCH("Zero",AA463)))),"Red","Amber")))</f>
        <v>Within</v>
      </c>
      <c r="AD463" s="12" t="str">
        <f aca="false">IF(AC463="Red","Group CCO / CRO and Country CEO within 2 business days; action plan in 15 days; report to Board Risk &amp; Compliance Committee",IF(AC463="Amber","Country CO, risk owner and HO Administrator within 5 business days; action plan in 30 days",""))</f>
        <v/>
      </c>
    </row>
    <row r="464" customFormat="false" ht="15" hidden="false" customHeight="false" outlineLevel="0" collapsed="false">
      <c r="A464" s="26" t="str">
        <f aca="false">Entities!$A$27</f>
        <v>FR</v>
      </c>
      <c r="B464" s="12" t="str">
        <f aca="false">INDEX(Entities!$B$5:$B$34,MATCH(A464,Entities!$A$5:$A$34,0))</f>
        <v>Arab Bank – France</v>
      </c>
      <c r="C464" s="12" t="str">
        <f aca="false">INDEX(Entities!$D$5:$D$34,MATCH(A464,Entities!$A$5:$A$34,0))</f>
        <v>Europe</v>
      </c>
      <c r="D464" s="12" t="s">
        <v>322</v>
      </c>
      <c r="E464" s="12" t="str">
        <f aca="false">INDEX('Risk Taxonomy'!$B$5:$B$24,MATCH(D464,'Risk Taxonomy'!$A$5:$A$24,0))</f>
        <v>Strategic, business model and ESG</v>
      </c>
      <c r="F464" s="29" t="n">
        <f aca="false">IF(NOT(ISNUMBER(G464)),"",G464)</f>
        <v>2</v>
      </c>
      <c r="G464" s="34" t="n">
        <f aca="false">IF(COUNTIFS('LxI Assessment'!$A$5:$A$394,A464,'LxI Assessment'!$D$5:$D$394,D464,'LxI Assessment'!$F$5:$F$394,"N/A")&gt;0,"N/A",IF(COUNTIFS('LxI Assessment'!$A$5:$A$394,A464,'LxI Assessment'!$D$5:$D$394,D464,'LxI Assessment'!$S$5:$S$394,"&gt;0")=0,"",SUMIFS('LxI Assessment'!$S$5:$S$394,'LxI Assessment'!$A$5:$A$394,A464,'LxI Assessment'!$D$5:$D$394,D464)))</f>
        <v>2</v>
      </c>
      <c r="H464" s="7" t="str">
        <f aca="false">IF(G464="N/A","N/A",IF(G464="","No data",INDEX(Config!$B$5:$B$9,G464)))</f>
        <v>Medium-Low</v>
      </c>
      <c r="I464" s="31" t="n">
        <f aca="false">IF(NOT(ISNUMBER($G464)),"",SUMPRODUCT(('Control Mapping'!$C$5:$C$83=D464)*('Control Mapping'!$AC$5:$AC$83&gt;0)))</f>
        <v>1</v>
      </c>
      <c r="J464" s="31" t="n">
        <f aca="false">IF(NOT(ISNUMBER($G464)),"",SUMPRODUCT(('Control Mapping'!$C$5:$C$83=D464)*('Control Mapping'!$F$5:$F$83="Y")*('Control Mapping'!$AC$5:$AC$83&gt;0)))</f>
        <v>1</v>
      </c>
      <c r="K464" s="31" t="n">
        <f aca="false">IF(NOT(ISNUMBER($G464)),"",SUMPRODUCT(('Control Mapping'!$C$5:$C$83=D464)*('Control Mapping'!$F$5:$F$83="Y")*('Control Mapping'!$AC$5:$AC$83=4)))</f>
        <v>0</v>
      </c>
      <c r="L464" s="29" t="n">
        <f aca="false">IF(NOT(ISNUMBER($G464)),"",IFERROR(SUMPRODUCT(('Control Mapping'!$C$5:$C$83=D464)*'Control Mapping'!$E$5:$E$83*'Control Mapping'!$AC$5:$AC$83)/SUMPRODUCT(('Control Mapping'!$C$5:$C$83=D464)*'Control Mapping'!$E$5:$E$83*('Control Mapping'!$AC$5:$AC$83&gt;0)),""))</f>
        <v>2</v>
      </c>
      <c r="M464" s="34" t="n">
        <f aca="false">IF(NOT(ISNUMBER($G464)),"",IF(J464=0,4,MAX(MATCH(L464,'Residual Config'!$E$11:$E$14,1),IF(K464&gt;0,'Residual Config'!$C$7,1))))</f>
        <v>2</v>
      </c>
      <c r="N464" s="7" t="str">
        <f aca="false">IF(NOT(ISNUMBER($G464)),"",IF(J464=0,"Ineffective (no key control)",INDEX('Residual Config'!$B$11:$B$14,M464)))</f>
        <v>Largely effective</v>
      </c>
      <c r="O464" s="36" t="n">
        <f aca="false">IF(NOT(ISNUMBER($G464)),"",IF(J464=0,0,SUMPRODUCT(('Control Mapping'!$C$5:$C$83=D464)*'Control Mapping'!$E$5:$E$83*(('Control Mapping'!$AC$5:$AC$83=1)*'Residual Config'!$D$11+('Control Mapping'!$AC$5:$AC$83=2)*'Residual Config'!$D$12+('Control Mapping'!$AC$5:$AC$83=3)*'Residual Config'!$D$13+('Control Mapping'!$AC$5:$AC$83=4)*'Residual Config'!$D$14))/SUMPRODUCT(('Control Mapping'!$C$5:$C$83=D464)*'Control Mapping'!$E$5:$E$83*('Control Mapping'!$AC$5:$AC$83&gt;0))))</f>
        <v>0.4</v>
      </c>
      <c r="P464" s="31" t="n">
        <f aca="false">IF(NOT(ISNUMBER($G464)),"",INDEX('Residual Config'!$B$19:$E$23,6-G464,M464))</f>
        <v>1</v>
      </c>
      <c r="Q464" s="29" t="n">
        <f aca="false">IF(NOT(ISNUMBER($G464)),"",MAX(1,F464*(1-O464)))</f>
        <v>1.2</v>
      </c>
      <c r="R464" s="31" t="n">
        <f aca="false">IF(NOT(ISNUMBER($G464)),"",MAX(MATCH(Q464,Config!$D$5:$D$9,1),G464-'Residual Config'!$C$6))</f>
        <v>1</v>
      </c>
      <c r="S464" s="34" t="n">
        <f aca="false">IF(NOT(ISNUMBER($G464)),"",IF('Residual Config'!$C$5="Numeric",R464,P464))</f>
        <v>1</v>
      </c>
      <c r="T464" s="7" t="str">
        <f aca="false">IF(G464="N/A","N/A",IF(S464="","No data",INDEX(Config!$B$5:$B$9,S464)))</f>
        <v>Low</v>
      </c>
      <c r="U464" s="32" t="n">
        <v>0</v>
      </c>
      <c r="V464" s="8"/>
      <c r="W464" s="33"/>
      <c r="X464" s="34" t="n">
        <f aca="false">IF(S464="","",IF(AND(W464="Y",U464&lt;&gt;0),MAX(1,MIN(5,S464+MAX(-Config!$C$27,MIN(Config!$C$27,U464)))),S464))</f>
        <v>1</v>
      </c>
      <c r="Y464" s="35" t="str">
        <f aca="false">IF(G464="N/A","N/A",IF(X464="","No data",INDEX(Config!$B$5:$B$9,X464)))</f>
        <v>Low</v>
      </c>
      <c r="Z464" s="7" t="str">
        <f aca="false">IF(U464=0,"None",IF(W464="Y","Applied","Pending HO approval"))</f>
        <v>None</v>
      </c>
      <c r="AA464" s="12" t="str">
        <f aca="false">INDEX('Risk Taxonomy'!$G$5:$G$24,MATCH(D464,'Risk Taxonomy'!$A$5:$A$24,0))</f>
        <v>Moderate</v>
      </c>
      <c r="AB464" s="7" t="str">
        <f aca="false">INDEX('Risk Taxonomy'!$H$5:$H$24,MATCH(D464,'Risk Taxonomy'!$A$5:$A$24,0))</f>
        <v>Medium-High</v>
      </c>
      <c r="AC464" s="35" t="str">
        <f aca="false">IF(NOT(ISNUMBER(X464)),"",IF(X464&lt;=MATCH(AB464,Config!$B$5:$B$9,0),"Within",IF(OR(X464-MATCH(AB464,Config!$B$5:$B$9,0)&gt;=2,AND('Residual Config'!$C$8="Y",ISNUMBER(SEARCH("Zero",AA464)))),"Red","Amber")))</f>
        <v>Within</v>
      </c>
      <c r="AD464" s="12" t="str">
        <f aca="false">IF(AC464="Red","Group CCO / CRO and Country CEO within 2 business days; action plan in 15 days; report to Board Risk &amp; Compliance Committee",IF(AC464="Amber","Country CO, risk owner and HO Administrator within 5 business days; action plan in 30 days",""))</f>
        <v/>
      </c>
    </row>
    <row r="465" customFormat="false" ht="15" hidden="false" customHeight="false" outlineLevel="0" collapsed="false">
      <c r="A465" s="26" t="str">
        <f aca="false">Entities!$A$28</f>
        <v>DE</v>
      </c>
      <c r="B465" s="12" t="str">
        <f aca="false">INDEX(Entities!$B$5:$B$34,MATCH(A465,Entities!$A$5:$A$34,0))</f>
        <v>Arab Bank – Germany</v>
      </c>
      <c r="C465" s="12" t="str">
        <f aca="false">INDEX(Entities!$D$5:$D$34,MATCH(A465,Entities!$A$5:$A$34,0))</f>
        <v>Europe</v>
      </c>
      <c r="D465" s="12" t="s">
        <v>260</v>
      </c>
      <c r="E465" s="12" t="str">
        <f aca="false">INDEX('Risk Taxonomy'!$B$5:$B$24,MATCH(D465,'Risk Taxonomy'!$A$5:$A$24,0))</f>
        <v>Money laundering</v>
      </c>
      <c r="F465" s="29" t="n">
        <f aca="false">IF(NOT(ISNUMBER(G465)),"",IFERROR(IF(MATCH(SUMIFS('FC Calculation'!$N$5:$N$214,'FC Calculation'!$A$5:$A$214,A465,'FC Calculation'!$D$5:$D$214,D465),Config!$D$5:$D$9,1)=G465,SUMIFS('FC Calculation'!$N$5:$N$214,'FC Calculation'!$A$5:$A$214,A465,'FC Calculation'!$D$5:$D$214,D465),G465),G465))</f>
        <v>1.79015873015873</v>
      </c>
      <c r="G465" s="34" t="n">
        <f aca="false">IF(COUNTIFS('FC Calculation'!$A$5:$A$214,A465,'FC Calculation'!$D$5:$D$214,D465,'FC Calculation'!$T$5:$T$214,"&gt;0")=0,"",SUMIFS('FC Calculation'!$T$5:$T$214,'FC Calculation'!$A$5:$A$214,A465,'FC Calculation'!$D$5:$D$214,D465))</f>
        <v>1</v>
      </c>
      <c r="H465" s="7" t="str">
        <f aca="false">IF(G465="N/A","N/A",IF(G465="","No data",INDEX(Config!$B$5:$B$9,G465)))</f>
        <v>Low</v>
      </c>
      <c r="I465" s="31" t="n">
        <f aca="false">IF(NOT(ISNUMBER($G465)),"",SUMPRODUCT(('Control Mapping'!$C$5:$C$83=D465)*('Control Mapping'!$AD$5:$AD$83&gt;0)))</f>
        <v>12</v>
      </c>
      <c r="J465" s="31" t="n">
        <f aca="false">IF(NOT(ISNUMBER($G465)),"",SUMPRODUCT(('Control Mapping'!$C$5:$C$83=D465)*('Control Mapping'!$F$5:$F$83="Y")*('Control Mapping'!$AD$5:$AD$83&gt;0)))</f>
        <v>9</v>
      </c>
      <c r="K465" s="31" t="n">
        <f aca="false">IF(NOT(ISNUMBER($G465)),"",SUMPRODUCT(('Control Mapping'!$C$5:$C$83=D465)*('Control Mapping'!$F$5:$F$83="Y")*('Control Mapping'!$AD$5:$AD$83=4)))</f>
        <v>0</v>
      </c>
      <c r="L465" s="29" t="n">
        <f aca="false">IF(NOT(ISNUMBER($G465)),"",IFERROR(SUMPRODUCT(('Control Mapping'!$C$5:$C$83=D465)*'Control Mapping'!$E$5:$E$83*'Control Mapping'!$AD$5:$AD$83)/SUMPRODUCT(('Control Mapping'!$C$5:$C$83=D465)*'Control Mapping'!$E$5:$E$83*('Control Mapping'!$AD$5:$AD$83&gt;0)),""))</f>
        <v>1.26086956521739</v>
      </c>
      <c r="M465" s="34" t="n">
        <f aca="false">IF(NOT(ISNUMBER($G465)),"",IF(J465=0,4,MAX(MATCH(L465,'Residual Config'!$E$11:$E$14,1),IF(K465&gt;0,'Residual Config'!$C$7,1))))</f>
        <v>1</v>
      </c>
      <c r="N465" s="7" t="str">
        <f aca="false">IF(NOT(ISNUMBER($G465)),"",IF(J465=0,"Ineffective (no key control)",INDEX('Residual Config'!$B$11:$B$14,M465)))</f>
        <v>Effective</v>
      </c>
      <c r="O465" s="36" t="n">
        <f aca="false">IF(NOT(ISNUMBER($G465)),"",IF(J465=0,0,SUMPRODUCT(('Control Mapping'!$C$5:$C$83=D465)*'Control Mapping'!$E$5:$E$83*(('Control Mapping'!$AD$5:$AD$83=1)*'Residual Config'!$D$11+('Control Mapping'!$AD$5:$AD$83=2)*'Residual Config'!$D$12+('Control Mapping'!$AD$5:$AD$83=3)*'Residual Config'!$D$13+('Control Mapping'!$AD$5:$AD$83=4)*'Residual Config'!$D$14))/SUMPRODUCT(('Control Mapping'!$C$5:$C$83=D465)*'Control Mapping'!$E$5:$E$83*('Control Mapping'!$AD$5:$AD$83&gt;0))))</f>
        <v>0.547826086956522</v>
      </c>
      <c r="P465" s="31" t="n">
        <f aca="false">IF(NOT(ISNUMBER($G465)),"",INDEX('Residual Config'!$B$19:$E$23,6-G465,M465))</f>
        <v>1</v>
      </c>
      <c r="Q465" s="29" t="n">
        <f aca="false">IF(NOT(ISNUMBER($G465)),"",MAX(1,F465*(1-O465)))</f>
        <v>1</v>
      </c>
      <c r="R465" s="31" t="n">
        <f aca="false">IF(NOT(ISNUMBER($G465)),"",MAX(MATCH(Q465,Config!$D$5:$D$9,1),G465-'Residual Config'!$C$6))</f>
        <v>1</v>
      </c>
      <c r="S465" s="34" t="n">
        <f aca="false">IF(NOT(ISNUMBER($G465)),"",IF('Residual Config'!$C$5="Numeric",R465,P465))</f>
        <v>1</v>
      </c>
      <c r="T465" s="7" t="str">
        <f aca="false">IF(G465="N/A","N/A",IF(S465="","No data",INDEX(Config!$B$5:$B$9,S465)))</f>
        <v>Low</v>
      </c>
      <c r="U465" s="32" t="n">
        <v>0</v>
      </c>
      <c r="V465" s="8"/>
      <c r="W465" s="33"/>
      <c r="X465" s="34" t="n">
        <f aca="false">IF(S465="","",IF(AND(W465="Y",U465&lt;&gt;0),MAX(1,MIN(5,S465+MAX(-Config!$C$27,MIN(Config!$C$27,U465)))),S465))</f>
        <v>1</v>
      </c>
      <c r="Y465" s="35" t="str">
        <f aca="false">IF(G465="N/A","N/A",IF(X465="","No data",INDEX(Config!$B$5:$B$9,X465)))</f>
        <v>Low</v>
      </c>
      <c r="Z465" s="7" t="str">
        <f aca="false">IF(U465=0,"None",IF(W465="Y","Applied","Pending HO approval"))</f>
        <v>None</v>
      </c>
      <c r="AA465" s="12" t="str">
        <f aca="false">INDEX('Risk Taxonomy'!$G$5:$G$24,MATCH(D465,'Risk Taxonomy'!$A$5:$A$24,0))</f>
        <v>Very low</v>
      </c>
      <c r="AB465" s="7" t="str">
        <f aca="false">INDEX('Risk Taxonomy'!$H$5:$H$24,MATCH(D465,'Risk Taxonomy'!$A$5:$A$24,0))</f>
        <v>Medium-Low</v>
      </c>
      <c r="AC465" s="35" t="str">
        <f aca="false">IF(NOT(ISNUMBER(X465)),"",IF(X465&lt;=MATCH(AB465,Config!$B$5:$B$9,0),"Within",IF(OR(X465-MATCH(AB465,Config!$B$5:$B$9,0)&gt;=2,AND('Residual Config'!$C$8="Y",ISNUMBER(SEARCH("Zero",AA465)))),"Red","Amber")))</f>
        <v>Within</v>
      </c>
      <c r="AD465" s="12" t="str">
        <f aca="false">IF(AC465="Red","Group CCO / CRO and Country CEO within 2 business days; action plan in 15 days; report to Board Risk &amp; Compliance Committee",IF(AC465="Amber","Country CO, risk owner and HO Administrator within 5 business days; action plan in 30 days",""))</f>
        <v/>
      </c>
    </row>
    <row r="466" customFormat="false" ht="15" hidden="false" customHeight="false" outlineLevel="0" collapsed="false">
      <c r="A466" s="26" t="str">
        <f aca="false">Entities!$A$28</f>
        <v>DE</v>
      </c>
      <c r="B466" s="12" t="str">
        <f aca="false">INDEX(Entities!$B$5:$B$34,MATCH(A466,Entities!$A$5:$A$34,0))</f>
        <v>Arab Bank – Germany</v>
      </c>
      <c r="C466" s="12" t="str">
        <f aca="false">INDEX(Entities!$D$5:$D$34,MATCH(A466,Entities!$A$5:$A$34,0))</f>
        <v>Europe</v>
      </c>
      <c r="D466" s="12" t="s">
        <v>267</v>
      </c>
      <c r="E466" s="12" t="str">
        <f aca="false">INDEX('Risk Taxonomy'!$B$5:$B$24,MATCH(D466,'Risk Taxonomy'!$A$5:$A$24,0))</f>
        <v>Terrorist financing</v>
      </c>
      <c r="F466" s="29" t="n">
        <f aca="false">IF(NOT(ISNUMBER(G466)),"",IFERROR(IF(MATCH(SUMIFS('FC Calculation'!$N$5:$N$214,'FC Calculation'!$A$5:$A$214,A466,'FC Calculation'!$D$5:$D$214,D466),Config!$D$5:$D$9,1)=G466,SUMIFS('FC Calculation'!$N$5:$N$214,'FC Calculation'!$A$5:$A$214,A466,'FC Calculation'!$D$5:$D$214,D466),G466),G466))</f>
        <v>1.76666666666667</v>
      </c>
      <c r="G466" s="34" t="n">
        <f aca="false">IF(COUNTIFS('FC Calculation'!$A$5:$A$214,A466,'FC Calculation'!$D$5:$D$214,D466,'FC Calculation'!$T$5:$T$214,"&gt;0")=0,"",SUMIFS('FC Calculation'!$T$5:$T$214,'FC Calculation'!$A$5:$A$214,A466,'FC Calculation'!$D$5:$D$214,D466))</f>
        <v>1</v>
      </c>
      <c r="H466" s="7" t="str">
        <f aca="false">IF(G466="N/A","N/A",IF(G466="","No data",INDEX(Config!$B$5:$B$9,G466)))</f>
        <v>Low</v>
      </c>
      <c r="I466" s="31" t="n">
        <f aca="false">IF(NOT(ISNUMBER($G466)),"",SUMPRODUCT(('Control Mapping'!$C$5:$C$83=D466)*('Control Mapping'!$AD$5:$AD$83&gt;0)))</f>
        <v>12</v>
      </c>
      <c r="J466" s="31" t="n">
        <f aca="false">IF(NOT(ISNUMBER($G466)),"",SUMPRODUCT(('Control Mapping'!$C$5:$C$83=D466)*('Control Mapping'!$F$5:$F$83="Y")*('Control Mapping'!$AD$5:$AD$83&gt;0)))</f>
        <v>9</v>
      </c>
      <c r="K466" s="31" t="n">
        <f aca="false">IF(NOT(ISNUMBER($G466)),"",SUMPRODUCT(('Control Mapping'!$C$5:$C$83=D466)*('Control Mapping'!$F$5:$F$83="Y")*('Control Mapping'!$AD$5:$AD$83=4)))</f>
        <v>0</v>
      </c>
      <c r="L466" s="29" t="n">
        <f aca="false">IF(NOT(ISNUMBER($G466)),"",IFERROR(SUMPRODUCT(('Control Mapping'!$C$5:$C$83=D466)*'Control Mapping'!$E$5:$E$83*'Control Mapping'!$AD$5:$AD$83)/SUMPRODUCT(('Control Mapping'!$C$5:$C$83=D466)*'Control Mapping'!$E$5:$E$83*('Control Mapping'!$AD$5:$AD$83&gt;0)),""))</f>
        <v>1.42105263157895</v>
      </c>
      <c r="M466" s="34" t="n">
        <f aca="false">IF(NOT(ISNUMBER($G466)),"",IF(J466=0,4,MAX(MATCH(L466,'Residual Config'!$E$11:$E$14,1),IF(K466&gt;0,'Residual Config'!$C$7,1))))</f>
        <v>1</v>
      </c>
      <c r="N466" s="7" t="str">
        <f aca="false">IF(NOT(ISNUMBER($G466)),"",IF(J466=0,"Ineffective (no key control)",INDEX('Residual Config'!$B$11:$B$14,M466)))</f>
        <v>Effective</v>
      </c>
      <c r="O466" s="36" t="n">
        <f aca="false">IF(NOT(ISNUMBER($G466)),"",IF(J466=0,0,SUMPRODUCT(('Control Mapping'!$C$5:$C$83=D466)*'Control Mapping'!$E$5:$E$83*(('Control Mapping'!$AD$5:$AD$83=1)*'Residual Config'!$D$11+('Control Mapping'!$AD$5:$AD$83=2)*'Residual Config'!$D$12+('Control Mapping'!$AD$5:$AD$83=3)*'Residual Config'!$D$13+('Control Mapping'!$AD$5:$AD$83=4)*'Residual Config'!$D$14))/SUMPRODUCT(('Control Mapping'!$C$5:$C$83=D466)*'Control Mapping'!$E$5:$E$83*('Control Mapping'!$AD$5:$AD$83&gt;0))))</f>
        <v>0.515789473684211</v>
      </c>
      <c r="P466" s="31" t="n">
        <f aca="false">IF(NOT(ISNUMBER($G466)),"",INDEX('Residual Config'!$B$19:$E$23,6-G466,M466))</f>
        <v>1</v>
      </c>
      <c r="Q466" s="29" t="n">
        <f aca="false">IF(NOT(ISNUMBER($G466)),"",MAX(1,F466*(1-O466)))</f>
        <v>1</v>
      </c>
      <c r="R466" s="31" t="n">
        <f aca="false">IF(NOT(ISNUMBER($G466)),"",MAX(MATCH(Q466,Config!$D$5:$D$9,1),G466-'Residual Config'!$C$6))</f>
        <v>1</v>
      </c>
      <c r="S466" s="34" t="n">
        <f aca="false">IF(NOT(ISNUMBER($G466)),"",IF('Residual Config'!$C$5="Numeric",R466,P466))</f>
        <v>1</v>
      </c>
      <c r="T466" s="7" t="str">
        <f aca="false">IF(G466="N/A","N/A",IF(S466="","No data",INDEX(Config!$B$5:$B$9,S466)))</f>
        <v>Low</v>
      </c>
      <c r="U466" s="32" t="n">
        <v>0</v>
      </c>
      <c r="V466" s="8"/>
      <c r="W466" s="33"/>
      <c r="X466" s="34" t="n">
        <f aca="false">IF(S466="","",IF(AND(W466="Y",U466&lt;&gt;0),MAX(1,MIN(5,S466+MAX(-Config!$C$27,MIN(Config!$C$27,U466)))),S466))</f>
        <v>1</v>
      </c>
      <c r="Y466" s="35" t="str">
        <f aca="false">IF(G466="N/A","N/A",IF(X466="","No data",INDEX(Config!$B$5:$B$9,X466)))</f>
        <v>Low</v>
      </c>
      <c r="Z466" s="7" t="str">
        <f aca="false">IF(U466=0,"None",IF(W466="Y","Applied","Pending HO approval"))</f>
        <v>None</v>
      </c>
      <c r="AA466" s="12" t="str">
        <f aca="false">INDEX('Risk Taxonomy'!$G$5:$G$24,MATCH(D466,'Risk Taxonomy'!$A$5:$A$24,0))</f>
        <v>Zero tolerance</v>
      </c>
      <c r="AB466" s="7" t="str">
        <f aca="false">INDEX('Risk Taxonomy'!$H$5:$H$24,MATCH(D466,'Risk Taxonomy'!$A$5:$A$24,0))</f>
        <v>Low</v>
      </c>
      <c r="AC466" s="35" t="str">
        <f aca="false">IF(NOT(ISNUMBER(X466)),"",IF(X466&lt;=MATCH(AB466,Config!$B$5:$B$9,0),"Within",IF(OR(X466-MATCH(AB466,Config!$B$5:$B$9,0)&gt;=2,AND('Residual Config'!$C$8="Y",ISNUMBER(SEARCH("Zero",AA466)))),"Red","Amber")))</f>
        <v>Within</v>
      </c>
      <c r="AD466" s="12" t="str">
        <f aca="false">IF(AC466="Red","Group CCO / CRO and Country CEO within 2 business days; action plan in 15 days; report to Board Risk &amp; Compliance Committee",IF(AC466="Amber","Country CO, risk owner and HO Administrator within 5 business days; action plan in 30 days",""))</f>
        <v/>
      </c>
    </row>
    <row r="467" customFormat="false" ht="15" hidden="false" customHeight="false" outlineLevel="0" collapsed="false">
      <c r="A467" s="26" t="str">
        <f aca="false">Entities!$A$28</f>
        <v>DE</v>
      </c>
      <c r="B467" s="12" t="str">
        <f aca="false">INDEX(Entities!$B$5:$B$34,MATCH(A467,Entities!$A$5:$A$34,0))</f>
        <v>Arab Bank – Germany</v>
      </c>
      <c r="C467" s="12" t="str">
        <f aca="false">INDEX(Entities!$D$5:$D$34,MATCH(A467,Entities!$A$5:$A$34,0))</f>
        <v>Europe</v>
      </c>
      <c r="D467" s="12" t="s">
        <v>270</v>
      </c>
      <c r="E467" s="12" t="str">
        <f aca="false">INDEX('Risk Taxonomy'!$B$5:$B$24,MATCH(D467,'Risk Taxonomy'!$A$5:$A$24,0))</f>
        <v>Proliferation financing</v>
      </c>
      <c r="F467" s="29" t="n">
        <f aca="false">IF(NOT(ISNUMBER(G467)),"",IFERROR(IF(MATCH(SUMIFS('FC Calculation'!$N$5:$N$214,'FC Calculation'!$A$5:$A$214,A467,'FC Calculation'!$D$5:$D$214,D467),Config!$D$5:$D$9,1)=G467,SUMIFS('FC Calculation'!$N$5:$N$214,'FC Calculation'!$A$5:$A$214,A467,'FC Calculation'!$D$5:$D$214,D467),G467),G467))</f>
        <v>1.85</v>
      </c>
      <c r="G467" s="34" t="n">
        <f aca="false">IF(COUNTIFS('FC Calculation'!$A$5:$A$214,A467,'FC Calculation'!$D$5:$D$214,D467,'FC Calculation'!$T$5:$T$214,"&gt;0")=0,"",SUMIFS('FC Calculation'!$T$5:$T$214,'FC Calculation'!$A$5:$A$214,A467,'FC Calculation'!$D$5:$D$214,D467))</f>
        <v>2</v>
      </c>
      <c r="H467" s="7" t="str">
        <f aca="false">IF(G467="N/A","N/A",IF(G467="","No data",INDEX(Config!$B$5:$B$9,G467)))</f>
        <v>Medium-Low</v>
      </c>
      <c r="I467" s="31" t="n">
        <f aca="false">IF(NOT(ISNUMBER($G467)),"",SUMPRODUCT(('Control Mapping'!$C$5:$C$83=D467)*('Control Mapping'!$AD$5:$AD$83&gt;0)))</f>
        <v>5</v>
      </c>
      <c r="J467" s="31" t="n">
        <f aca="false">IF(NOT(ISNUMBER($G467)),"",SUMPRODUCT(('Control Mapping'!$C$5:$C$83=D467)*('Control Mapping'!$F$5:$F$83="Y")*('Control Mapping'!$AD$5:$AD$83&gt;0)))</f>
        <v>5</v>
      </c>
      <c r="K467" s="31" t="n">
        <f aca="false">IF(NOT(ISNUMBER($G467)),"",SUMPRODUCT(('Control Mapping'!$C$5:$C$83=D467)*('Control Mapping'!$F$5:$F$83="Y")*('Control Mapping'!$AD$5:$AD$83=4)))</f>
        <v>0</v>
      </c>
      <c r="L467" s="29" t="n">
        <f aca="false">IF(NOT(ISNUMBER($G467)),"",IFERROR(SUMPRODUCT(('Control Mapping'!$C$5:$C$83=D467)*'Control Mapping'!$E$5:$E$83*'Control Mapping'!$AD$5:$AD$83)/SUMPRODUCT(('Control Mapping'!$C$5:$C$83=D467)*'Control Mapping'!$E$5:$E$83*('Control Mapping'!$AD$5:$AD$83&gt;0)),""))</f>
        <v>1.5</v>
      </c>
      <c r="M467" s="34" t="n">
        <f aca="false">IF(NOT(ISNUMBER($G467)),"",IF(J467=0,4,MAX(MATCH(L467,'Residual Config'!$E$11:$E$14,1),IF(K467&gt;0,'Residual Config'!$C$7,1))))</f>
        <v>2</v>
      </c>
      <c r="N467" s="7" t="str">
        <f aca="false">IF(NOT(ISNUMBER($G467)),"",IF(J467=0,"Ineffective (no key control)",INDEX('Residual Config'!$B$11:$B$14,M467)))</f>
        <v>Largely effective</v>
      </c>
      <c r="O467" s="36" t="n">
        <f aca="false">IF(NOT(ISNUMBER($G467)),"",IF(J467=0,0,SUMPRODUCT(('Control Mapping'!$C$5:$C$83=D467)*'Control Mapping'!$E$5:$E$83*(('Control Mapping'!$AD$5:$AD$83=1)*'Residual Config'!$D$11+('Control Mapping'!$AD$5:$AD$83=2)*'Residual Config'!$D$12+('Control Mapping'!$AD$5:$AD$83=3)*'Residual Config'!$D$13+('Control Mapping'!$AD$5:$AD$83=4)*'Residual Config'!$D$14))/SUMPRODUCT(('Control Mapping'!$C$5:$C$83=D467)*'Control Mapping'!$E$5:$E$83*('Control Mapping'!$AD$5:$AD$83&gt;0))))</f>
        <v>0.5</v>
      </c>
      <c r="P467" s="31" t="n">
        <f aca="false">IF(NOT(ISNUMBER($G467)),"",INDEX('Residual Config'!$B$19:$E$23,6-G467,M467))</f>
        <v>1</v>
      </c>
      <c r="Q467" s="29" t="n">
        <f aca="false">IF(NOT(ISNUMBER($G467)),"",MAX(1,F467*(1-O467)))</f>
        <v>1</v>
      </c>
      <c r="R467" s="31" t="n">
        <f aca="false">IF(NOT(ISNUMBER($G467)),"",MAX(MATCH(Q467,Config!$D$5:$D$9,1),G467-'Residual Config'!$C$6))</f>
        <v>1</v>
      </c>
      <c r="S467" s="34" t="n">
        <f aca="false">IF(NOT(ISNUMBER($G467)),"",IF('Residual Config'!$C$5="Numeric",R467,P467))</f>
        <v>1</v>
      </c>
      <c r="T467" s="7" t="str">
        <f aca="false">IF(G467="N/A","N/A",IF(S467="","No data",INDEX(Config!$B$5:$B$9,S467)))</f>
        <v>Low</v>
      </c>
      <c r="U467" s="32" t="n">
        <v>0</v>
      </c>
      <c r="V467" s="8"/>
      <c r="W467" s="33"/>
      <c r="X467" s="34" t="n">
        <f aca="false">IF(S467="","",IF(AND(W467="Y",U467&lt;&gt;0),MAX(1,MIN(5,S467+MAX(-Config!$C$27,MIN(Config!$C$27,U467)))),S467))</f>
        <v>1</v>
      </c>
      <c r="Y467" s="35" t="str">
        <f aca="false">IF(G467="N/A","N/A",IF(X467="","No data",INDEX(Config!$B$5:$B$9,X467)))</f>
        <v>Low</v>
      </c>
      <c r="Z467" s="7" t="str">
        <f aca="false">IF(U467=0,"None",IF(W467="Y","Applied","Pending HO approval"))</f>
        <v>None</v>
      </c>
      <c r="AA467" s="12" t="str">
        <f aca="false">INDEX('Risk Taxonomy'!$G$5:$G$24,MATCH(D467,'Risk Taxonomy'!$A$5:$A$24,0))</f>
        <v>Zero tolerance</v>
      </c>
      <c r="AB467" s="7" t="str">
        <f aca="false">INDEX('Risk Taxonomy'!$H$5:$H$24,MATCH(D467,'Risk Taxonomy'!$A$5:$A$24,0))</f>
        <v>Low</v>
      </c>
      <c r="AC467" s="35" t="str">
        <f aca="false">IF(NOT(ISNUMBER(X467)),"",IF(X467&lt;=MATCH(AB467,Config!$B$5:$B$9,0),"Within",IF(OR(X467-MATCH(AB467,Config!$B$5:$B$9,0)&gt;=2,AND('Residual Config'!$C$8="Y",ISNUMBER(SEARCH("Zero",AA467)))),"Red","Amber")))</f>
        <v>Within</v>
      </c>
      <c r="AD467" s="12" t="str">
        <f aca="false">IF(AC467="Red","Group CCO / CRO and Country CEO within 2 business days; action plan in 15 days; report to Board Risk &amp; Compliance Committee",IF(AC467="Amber","Country CO, risk owner and HO Administrator within 5 business days; action plan in 30 days",""))</f>
        <v/>
      </c>
    </row>
    <row r="468" customFormat="false" ht="15" hidden="false" customHeight="false" outlineLevel="0" collapsed="false">
      <c r="A468" s="26" t="str">
        <f aca="false">Entities!$A$28</f>
        <v>DE</v>
      </c>
      <c r="B468" s="12" t="str">
        <f aca="false">INDEX(Entities!$B$5:$B$34,MATCH(A468,Entities!$A$5:$A$34,0))</f>
        <v>Arab Bank – Germany</v>
      </c>
      <c r="C468" s="12" t="str">
        <f aca="false">INDEX(Entities!$D$5:$D$34,MATCH(A468,Entities!$A$5:$A$34,0))</f>
        <v>Europe</v>
      </c>
      <c r="D468" s="12" t="s">
        <v>272</v>
      </c>
      <c r="E468" s="12" t="str">
        <f aca="false">INDEX('Risk Taxonomy'!$B$5:$B$24,MATCH(D468,'Risk Taxonomy'!$A$5:$A$24,0))</f>
        <v>Sanctions</v>
      </c>
      <c r="F468" s="29" t="n">
        <f aca="false">IF(NOT(ISNUMBER(G468)),"",IFERROR(IF(MATCH(SUMIFS('FC Calculation'!$N$5:$N$214,'FC Calculation'!$A$5:$A$214,A468,'FC Calculation'!$D$5:$D$214,D468),Config!$D$5:$D$9,1)=G468,SUMIFS('FC Calculation'!$N$5:$N$214,'FC Calculation'!$A$5:$A$214,A468,'FC Calculation'!$D$5:$D$214,D468),G468),G468))</f>
        <v>1.78714285714286</v>
      </c>
      <c r="G468" s="34" t="n">
        <f aca="false">IF(COUNTIFS('FC Calculation'!$A$5:$A$214,A468,'FC Calculation'!$D$5:$D$214,D468,'FC Calculation'!$T$5:$T$214,"&gt;0")=0,"",SUMIFS('FC Calculation'!$T$5:$T$214,'FC Calculation'!$A$5:$A$214,A468,'FC Calculation'!$D$5:$D$214,D468))</f>
        <v>1</v>
      </c>
      <c r="H468" s="7" t="str">
        <f aca="false">IF(G468="N/A","N/A",IF(G468="","No data",INDEX(Config!$B$5:$B$9,G468)))</f>
        <v>Low</v>
      </c>
      <c r="I468" s="31" t="n">
        <f aca="false">IF(NOT(ISNUMBER($G468)),"",SUMPRODUCT(('Control Mapping'!$C$5:$C$83=D468)*('Control Mapping'!$AD$5:$AD$83&gt;0)))</f>
        <v>8</v>
      </c>
      <c r="J468" s="31" t="n">
        <f aca="false">IF(NOT(ISNUMBER($G468)),"",SUMPRODUCT(('Control Mapping'!$C$5:$C$83=D468)*('Control Mapping'!$F$5:$F$83="Y")*('Control Mapping'!$AD$5:$AD$83&gt;0)))</f>
        <v>5</v>
      </c>
      <c r="K468" s="31" t="n">
        <f aca="false">IF(NOT(ISNUMBER($G468)),"",SUMPRODUCT(('Control Mapping'!$C$5:$C$83=D468)*('Control Mapping'!$F$5:$F$83="Y")*('Control Mapping'!$AD$5:$AD$83=4)))</f>
        <v>0</v>
      </c>
      <c r="L468" s="29" t="n">
        <f aca="false">IF(NOT(ISNUMBER($G468)),"",IFERROR(SUMPRODUCT(('Control Mapping'!$C$5:$C$83=D468)*'Control Mapping'!$E$5:$E$83*'Control Mapping'!$AD$5:$AD$83)/SUMPRODUCT(('Control Mapping'!$C$5:$C$83=D468)*'Control Mapping'!$E$5:$E$83*('Control Mapping'!$AD$5:$AD$83&gt;0)),""))</f>
        <v>1.72727272727273</v>
      </c>
      <c r="M468" s="34" t="n">
        <f aca="false">IF(NOT(ISNUMBER($G468)),"",IF(J468=0,4,MAX(MATCH(L468,'Residual Config'!$E$11:$E$14,1),IF(K468&gt;0,'Residual Config'!$C$7,1))))</f>
        <v>2</v>
      </c>
      <c r="N468" s="7" t="str">
        <f aca="false">IF(NOT(ISNUMBER($G468)),"",IF(J468=0,"Ineffective (no key control)",INDEX('Residual Config'!$B$11:$B$14,M468)))</f>
        <v>Largely effective</v>
      </c>
      <c r="O468" s="36" t="n">
        <f aca="false">IF(NOT(ISNUMBER($G468)),"",IF(J468=0,0,SUMPRODUCT(('Control Mapping'!$C$5:$C$83=D468)*'Control Mapping'!$E$5:$E$83*(('Control Mapping'!$AD$5:$AD$83=1)*'Residual Config'!$D$11+('Control Mapping'!$AD$5:$AD$83=2)*'Residual Config'!$D$12+('Control Mapping'!$AD$5:$AD$83=3)*'Residual Config'!$D$13+('Control Mapping'!$AD$5:$AD$83=4)*'Residual Config'!$D$14))/SUMPRODUCT(('Control Mapping'!$C$5:$C$83=D468)*'Control Mapping'!$E$5:$E$83*('Control Mapping'!$AD$5:$AD$83&gt;0))))</f>
        <v>0.454545454545455</v>
      </c>
      <c r="P468" s="31" t="n">
        <f aca="false">IF(NOT(ISNUMBER($G468)),"",INDEX('Residual Config'!$B$19:$E$23,6-G468,M468))</f>
        <v>1</v>
      </c>
      <c r="Q468" s="29" t="n">
        <f aca="false">IF(NOT(ISNUMBER($G468)),"",MAX(1,F468*(1-O468)))</f>
        <v>1</v>
      </c>
      <c r="R468" s="31" t="n">
        <f aca="false">IF(NOT(ISNUMBER($G468)),"",MAX(MATCH(Q468,Config!$D$5:$D$9,1),G468-'Residual Config'!$C$6))</f>
        <v>1</v>
      </c>
      <c r="S468" s="34" t="n">
        <f aca="false">IF(NOT(ISNUMBER($G468)),"",IF('Residual Config'!$C$5="Numeric",R468,P468))</f>
        <v>1</v>
      </c>
      <c r="T468" s="7" t="str">
        <f aca="false">IF(G468="N/A","N/A",IF(S468="","No data",INDEX(Config!$B$5:$B$9,S468)))</f>
        <v>Low</v>
      </c>
      <c r="U468" s="32" t="n">
        <v>0</v>
      </c>
      <c r="V468" s="8"/>
      <c r="W468" s="33"/>
      <c r="X468" s="34" t="n">
        <f aca="false">IF(S468="","",IF(AND(W468="Y",U468&lt;&gt;0),MAX(1,MIN(5,S468+MAX(-Config!$C$27,MIN(Config!$C$27,U468)))),S468))</f>
        <v>1</v>
      </c>
      <c r="Y468" s="35" t="str">
        <f aca="false">IF(G468="N/A","N/A",IF(X468="","No data",INDEX(Config!$B$5:$B$9,X468)))</f>
        <v>Low</v>
      </c>
      <c r="Z468" s="7" t="str">
        <f aca="false">IF(U468=0,"None",IF(W468="Y","Applied","Pending HO approval"))</f>
        <v>None</v>
      </c>
      <c r="AA468" s="12" t="str">
        <f aca="false">INDEX('Risk Taxonomy'!$G$5:$G$24,MATCH(D468,'Risk Taxonomy'!$A$5:$A$24,0))</f>
        <v>Zero tolerance</v>
      </c>
      <c r="AB468" s="7" t="str">
        <f aca="false">INDEX('Risk Taxonomy'!$H$5:$H$24,MATCH(D468,'Risk Taxonomy'!$A$5:$A$24,0))</f>
        <v>Low</v>
      </c>
      <c r="AC468" s="35" t="str">
        <f aca="false">IF(NOT(ISNUMBER(X468)),"",IF(X468&lt;=MATCH(AB468,Config!$B$5:$B$9,0),"Within",IF(OR(X468-MATCH(AB468,Config!$B$5:$B$9,0)&gt;=2,AND('Residual Config'!$C$8="Y",ISNUMBER(SEARCH("Zero",AA468)))),"Red","Amber")))</f>
        <v>Within</v>
      </c>
      <c r="AD468" s="12" t="str">
        <f aca="false">IF(AC468="Red","Group CCO / CRO and Country CEO within 2 business days; action plan in 15 days; report to Board Risk &amp; Compliance Committee",IF(AC468="Amber","Country CO, risk owner and HO Administrator within 5 business days; action plan in 30 days",""))</f>
        <v/>
      </c>
    </row>
    <row r="469" customFormat="false" ht="15" hidden="false" customHeight="false" outlineLevel="0" collapsed="false">
      <c r="A469" s="26" t="str">
        <f aca="false">Entities!$A$28</f>
        <v>DE</v>
      </c>
      <c r="B469" s="12" t="str">
        <f aca="false">INDEX(Entities!$B$5:$B$34,MATCH(A469,Entities!$A$5:$A$34,0))</f>
        <v>Arab Bank – Germany</v>
      </c>
      <c r="C469" s="12" t="str">
        <f aca="false">INDEX(Entities!$D$5:$D$34,MATCH(A469,Entities!$A$5:$A$34,0))</f>
        <v>Europe</v>
      </c>
      <c r="D469" s="12" t="s">
        <v>275</v>
      </c>
      <c r="E469" s="12" t="str">
        <f aca="false">INDEX('Risk Taxonomy'!$B$5:$B$24,MATCH(D469,'Risk Taxonomy'!$A$5:$A$24,0))</f>
        <v>Bribery and corruption</v>
      </c>
      <c r="F469" s="29" t="n">
        <f aca="false">IF(NOT(ISNUMBER(G469)),"",IFERROR(IF(MATCH(SUMIFS('FC Calculation'!$N$5:$N$214,'FC Calculation'!$A$5:$A$214,A469,'FC Calculation'!$D$5:$D$214,D469),Config!$D$5:$D$9,1)=G469,SUMIFS('FC Calculation'!$N$5:$N$214,'FC Calculation'!$A$5:$A$214,A469,'FC Calculation'!$D$5:$D$214,D469),G469),G469))</f>
        <v>1.68</v>
      </c>
      <c r="G469" s="34" t="n">
        <f aca="false">IF(COUNTIFS('FC Calculation'!$A$5:$A$214,A469,'FC Calculation'!$D$5:$D$214,D469,'FC Calculation'!$T$5:$T$214,"&gt;0")=0,"",SUMIFS('FC Calculation'!$T$5:$T$214,'FC Calculation'!$A$5:$A$214,A469,'FC Calculation'!$D$5:$D$214,D469))</f>
        <v>1</v>
      </c>
      <c r="H469" s="7" t="str">
        <f aca="false">IF(G469="N/A","N/A",IF(G469="","No data",INDEX(Config!$B$5:$B$9,G469)))</f>
        <v>Low</v>
      </c>
      <c r="I469" s="31" t="n">
        <f aca="false">IF(NOT(ISNUMBER($G469)),"",SUMPRODUCT(('Control Mapping'!$C$5:$C$83=D469)*('Control Mapping'!$AD$5:$AD$83&gt;0)))</f>
        <v>5</v>
      </c>
      <c r="J469" s="31" t="n">
        <f aca="false">IF(NOT(ISNUMBER($G469)),"",SUMPRODUCT(('Control Mapping'!$C$5:$C$83=D469)*('Control Mapping'!$F$5:$F$83="Y")*('Control Mapping'!$AD$5:$AD$83&gt;0)))</f>
        <v>2</v>
      </c>
      <c r="K469" s="31" t="n">
        <f aca="false">IF(NOT(ISNUMBER($G469)),"",SUMPRODUCT(('Control Mapping'!$C$5:$C$83=D469)*('Control Mapping'!$F$5:$F$83="Y")*('Control Mapping'!$AD$5:$AD$83=4)))</f>
        <v>0</v>
      </c>
      <c r="L469" s="29" t="n">
        <f aca="false">IF(NOT(ISNUMBER($G469)),"",IFERROR(SUMPRODUCT(('Control Mapping'!$C$5:$C$83=D469)*'Control Mapping'!$E$5:$E$83*'Control Mapping'!$AD$5:$AD$83)/SUMPRODUCT(('Control Mapping'!$C$5:$C$83=D469)*'Control Mapping'!$E$5:$E$83*('Control Mapping'!$AD$5:$AD$83&gt;0)),""))</f>
        <v>1.33333333333333</v>
      </c>
      <c r="M469" s="34" t="n">
        <f aca="false">IF(NOT(ISNUMBER($G469)),"",IF(J469=0,4,MAX(MATCH(L469,'Residual Config'!$E$11:$E$14,1),IF(K469&gt;0,'Residual Config'!$C$7,1))))</f>
        <v>1</v>
      </c>
      <c r="N469" s="7" t="str">
        <f aca="false">IF(NOT(ISNUMBER($G469)),"",IF(J469=0,"Ineffective (no key control)",INDEX('Residual Config'!$B$11:$B$14,M469)))</f>
        <v>Effective</v>
      </c>
      <c r="O469" s="36" t="n">
        <f aca="false">IF(NOT(ISNUMBER($G469)),"",IF(J469=0,0,SUMPRODUCT(('Control Mapping'!$C$5:$C$83=D469)*'Control Mapping'!$E$5:$E$83*(('Control Mapping'!$AD$5:$AD$83=1)*'Residual Config'!$D$11+('Control Mapping'!$AD$5:$AD$83=2)*'Residual Config'!$D$12+('Control Mapping'!$AD$5:$AD$83=3)*'Residual Config'!$D$13+('Control Mapping'!$AD$5:$AD$83=4)*'Residual Config'!$D$14))/SUMPRODUCT(('Control Mapping'!$C$5:$C$83=D469)*'Control Mapping'!$E$5:$E$83*('Control Mapping'!$AD$5:$AD$83&gt;0))))</f>
        <v>0.533333333333333</v>
      </c>
      <c r="P469" s="31" t="n">
        <f aca="false">IF(NOT(ISNUMBER($G469)),"",INDEX('Residual Config'!$B$19:$E$23,6-G469,M469))</f>
        <v>1</v>
      </c>
      <c r="Q469" s="29" t="n">
        <f aca="false">IF(NOT(ISNUMBER($G469)),"",MAX(1,F469*(1-O469)))</f>
        <v>1</v>
      </c>
      <c r="R469" s="31" t="n">
        <f aca="false">IF(NOT(ISNUMBER($G469)),"",MAX(MATCH(Q469,Config!$D$5:$D$9,1),G469-'Residual Config'!$C$6))</f>
        <v>1</v>
      </c>
      <c r="S469" s="34" t="n">
        <f aca="false">IF(NOT(ISNUMBER($G469)),"",IF('Residual Config'!$C$5="Numeric",R469,P469))</f>
        <v>1</v>
      </c>
      <c r="T469" s="7" t="str">
        <f aca="false">IF(G469="N/A","N/A",IF(S469="","No data",INDEX(Config!$B$5:$B$9,S469)))</f>
        <v>Low</v>
      </c>
      <c r="U469" s="32" t="n">
        <v>0</v>
      </c>
      <c r="V469" s="8"/>
      <c r="W469" s="33"/>
      <c r="X469" s="34" t="n">
        <f aca="false">IF(S469="","",IF(AND(W469="Y",U469&lt;&gt;0),MAX(1,MIN(5,S469+MAX(-Config!$C$27,MIN(Config!$C$27,U469)))),S469))</f>
        <v>1</v>
      </c>
      <c r="Y469" s="35" t="str">
        <f aca="false">IF(G469="N/A","N/A",IF(X469="","No data",INDEX(Config!$B$5:$B$9,X469)))</f>
        <v>Low</v>
      </c>
      <c r="Z469" s="7" t="str">
        <f aca="false">IF(U469=0,"None",IF(W469="Y","Applied","Pending HO approval"))</f>
        <v>None</v>
      </c>
      <c r="AA469" s="12" t="str">
        <f aca="false">INDEX('Risk Taxonomy'!$G$5:$G$24,MATCH(D469,'Risk Taxonomy'!$A$5:$A$24,0))</f>
        <v>Zero tolerance</v>
      </c>
      <c r="AB469" s="7" t="str">
        <f aca="false">INDEX('Risk Taxonomy'!$H$5:$H$24,MATCH(D469,'Risk Taxonomy'!$A$5:$A$24,0))</f>
        <v>Low</v>
      </c>
      <c r="AC469" s="35" t="str">
        <f aca="false">IF(NOT(ISNUMBER(X469)),"",IF(X469&lt;=MATCH(AB469,Config!$B$5:$B$9,0),"Within",IF(OR(X469-MATCH(AB469,Config!$B$5:$B$9,0)&gt;=2,AND('Residual Config'!$C$8="Y",ISNUMBER(SEARCH("Zero",AA469)))),"Red","Amber")))</f>
        <v>Within</v>
      </c>
      <c r="AD469" s="12" t="str">
        <f aca="false">IF(AC469="Red","Group CCO / CRO and Country CEO within 2 business days; action plan in 15 days; report to Board Risk &amp; Compliance Committee",IF(AC469="Amber","Country CO, risk owner and HO Administrator within 5 business days; action plan in 30 days",""))</f>
        <v/>
      </c>
    </row>
    <row r="470" customFormat="false" ht="15" hidden="false" customHeight="false" outlineLevel="0" collapsed="false">
      <c r="A470" s="26" t="str">
        <f aca="false">Entities!$A$28</f>
        <v>DE</v>
      </c>
      <c r="B470" s="12" t="str">
        <f aca="false">INDEX(Entities!$B$5:$B$34,MATCH(A470,Entities!$A$5:$A$34,0))</f>
        <v>Arab Bank – Germany</v>
      </c>
      <c r="C470" s="12" t="str">
        <f aca="false">INDEX(Entities!$D$5:$D$34,MATCH(A470,Entities!$A$5:$A$34,0))</f>
        <v>Europe</v>
      </c>
      <c r="D470" s="12" t="s">
        <v>278</v>
      </c>
      <c r="E470" s="12" t="str">
        <f aca="false">INDEX('Risk Taxonomy'!$B$5:$B$24,MATCH(D470,'Risk Taxonomy'!$A$5:$A$24,0))</f>
        <v>Fraud</v>
      </c>
      <c r="F470" s="29" t="n">
        <f aca="false">IF(NOT(ISNUMBER(G470)),"",IFERROR(IF(MATCH(SUMIFS('FC Calculation'!$N$5:$N$214,'FC Calculation'!$A$5:$A$214,A470,'FC Calculation'!$D$5:$D$214,D470),Config!$D$5:$D$9,1)=G470,SUMIFS('FC Calculation'!$N$5:$N$214,'FC Calculation'!$A$5:$A$214,A470,'FC Calculation'!$D$5:$D$214,D470),G470),G470))</f>
        <v>1.66166666666667</v>
      </c>
      <c r="G470" s="34" t="n">
        <f aca="false">IF(COUNTIFS('FC Calculation'!$A$5:$A$214,A470,'FC Calculation'!$D$5:$D$214,D470,'FC Calculation'!$T$5:$T$214,"&gt;0")=0,"",SUMIFS('FC Calculation'!$T$5:$T$214,'FC Calculation'!$A$5:$A$214,A470,'FC Calculation'!$D$5:$D$214,D470))</f>
        <v>1</v>
      </c>
      <c r="H470" s="7" t="str">
        <f aca="false">IF(G470="N/A","N/A",IF(G470="","No data",INDEX(Config!$B$5:$B$9,G470)))</f>
        <v>Low</v>
      </c>
      <c r="I470" s="31" t="n">
        <f aca="false">IF(NOT(ISNUMBER($G470)),"",SUMPRODUCT(('Control Mapping'!$C$5:$C$83=D470)*('Control Mapping'!$AD$5:$AD$83&gt;0)))</f>
        <v>6</v>
      </c>
      <c r="J470" s="31" t="n">
        <f aca="false">IF(NOT(ISNUMBER($G470)),"",SUMPRODUCT(('Control Mapping'!$C$5:$C$83=D470)*('Control Mapping'!$F$5:$F$83="Y")*('Control Mapping'!$AD$5:$AD$83&gt;0)))</f>
        <v>5</v>
      </c>
      <c r="K470" s="31" t="n">
        <f aca="false">IF(NOT(ISNUMBER($G470)),"",SUMPRODUCT(('Control Mapping'!$C$5:$C$83=D470)*('Control Mapping'!$F$5:$F$83="Y")*('Control Mapping'!$AD$5:$AD$83=4)))</f>
        <v>0</v>
      </c>
      <c r="L470" s="29" t="n">
        <f aca="false">IF(NOT(ISNUMBER($G470)),"",IFERROR(SUMPRODUCT(('Control Mapping'!$C$5:$C$83=D470)*'Control Mapping'!$E$5:$E$83*'Control Mapping'!$AD$5:$AD$83)/SUMPRODUCT(('Control Mapping'!$C$5:$C$83=D470)*'Control Mapping'!$E$5:$E$83*('Control Mapping'!$AD$5:$AD$83&gt;0)),""))</f>
        <v>1.6</v>
      </c>
      <c r="M470" s="34" t="n">
        <f aca="false">IF(NOT(ISNUMBER($G470)),"",IF(J470=0,4,MAX(MATCH(L470,'Residual Config'!$E$11:$E$14,1),IF(K470&gt;0,'Residual Config'!$C$7,1))))</f>
        <v>2</v>
      </c>
      <c r="N470" s="7" t="str">
        <f aca="false">IF(NOT(ISNUMBER($G470)),"",IF(J470=0,"Ineffective (no key control)",INDEX('Residual Config'!$B$11:$B$14,M470)))</f>
        <v>Largely effective</v>
      </c>
      <c r="O470" s="36" t="n">
        <f aca="false">IF(NOT(ISNUMBER($G470)),"",IF(J470=0,0,SUMPRODUCT(('Control Mapping'!$C$5:$C$83=D470)*'Control Mapping'!$E$5:$E$83*(('Control Mapping'!$AD$5:$AD$83=1)*'Residual Config'!$D$11+('Control Mapping'!$AD$5:$AD$83=2)*'Residual Config'!$D$12+('Control Mapping'!$AD$5:$AD$83=3)*'Residual Config'!$D$13+('Control Mapping'!$AD$5:$AD$83=4)*'Residual Config'!$D$14))/SUMPRODUCT(('Control Mapping'!$C$5:$C$83=D470)*'Control Mapping'!$E$5:$E$83*('Control Mapping'!$AD$5:$AD$83&gt;0))))</f>
        <v>0.48</v>
      </c>
      <c r="P470" s="31" t="n">
        <f aca="false">IF(NOT(ISNUMBER($G470)),"",INDEX('Residual Config'!$B$19:$E$23,6-G470,M470))</f>
        <v>1</v>
      </c>
      <c r="Q470" s="29" t="n">
        <f aca="false">IF(NOT(ISNUMBER($G470)),"",MAX(1,F470*(1-O470)))</f>
        <v>1</v>
      </c>
      <c r="R470" s="31" t="n">
        <f aca="false">IF(NOT(ISNUMBER($G470)),"",MAX(MATCH(Q470,Config!$D$5:$D$9,1),G470-'Residual Config'!$C$6))</f>
        <v>1</v>
      </c>
      <c r="S470" s="34" t="n">
        <f aca="false">IF(NOT(ISNUMBER($G470)),"",IF('Residual Config'!$C$5="Numeric",R470,P470))</f>
        <v>1</v>
      </c>
      <c r="T470" s="7" t="str">
        <f aca="false">IF(G470="N/A","N/A",IF(S470="","No data",INDEX(Config!$B$5:$B$9,S470)))</f>
        <v>Low</v>
      </c>
      <c r="U470" s="32" t="n">
        <v>0</v>
      </c>
      <c r="V470" s="8"/>
      <c r="W470" s="33"/>
      <c r="X470" s="34" t="n">
        <f aca="false">IF(S470="","",IF(AND(W470="Y",U470&lt;&gt;0),MAX(1,MIN(5,S470+MAX(-Config!$C$27,MIN(Config!$C$27,U470)))),S470))</f>
        <v>1</v>
      </c>
      <c r="Y470" s="35" t="str">
        <f aca="false">IF(G470="N/A","N/A",IF(X470="","No data",INDEX(Config!$B$5:$B$9,X470)))</f>
        <v>Low</v>
      </c>
      <c r="Z470" s="7" t="str">
        <f aca="false">IF(U470=0,"None",IF(W470="Y","Applied","Pending HO approval"))</f>
        <v>None</v>
      </c>
      <c r="AA470" s="12" t="str">
        <f aca="false">INDEX('Risk Taxonomy'!$G$5:$G$24,MATCH(D470,'Risk Taxonomy'!$A$5:$A$24,0))</f>
        <v>Low</v>
      </c>
      <c r="AB470" s="7" t="str">
        <f aca="false">INDEX('Risk Taxonomy'!$H$5:$H$24,MATCH(D470,'Risk Taxonomy'!$A$5:$A$24,0))</f>
        <v>Medium</v>
      </c>
      <c r="AC470" s="35" t="str">
        <f aca="false">IF(NOT(ISNUMBER(X470)),"",IF(X470&lt;=MATCH(AB470,Config!$B$5:$B$9,0),"Within",IF(OR(X470-MATCH(AB470,Config!$B$5:$B$9,0)&gt;=2,AND('Residual Config'!$C$8="Y",ISNUMBER(SEARCH("Zero",AA470)))),"Red","Amber")))</f>
        <v>Within</v>
      </c>
      <c r="AD470" s="12" t="str">
        <f aca="false">IF(AC470="Red","Group CCO / CRO and Country CEO within 2 business days; action plan in 15 days; report to Board Risk &amp; Compliance Committee",IF(AC470="Amber","Country CO, risk owner and HO Administrator within 5 business days; action plan in 30 days",""))</f>
        <v/>
      </c>
    </row>
    <row r="471" customFormat="false" ht="15" hidden="false" customHeight="false" outlineLevel="0" collapsed="false">
      <c r="A471" s="26" t="str">
        <f aca="false">Entities!$A$28</f>
        <v>DE</v>
      </c>
      <c r="B471" s="12" t="str">
        <f aca="false">INDEX(Entities!$B$5:$B$34,MATCH(A471,Entities!$A$5:$A$34,0))</f>
        <v>Arab Bank – Germany</v>
      </c>
      <c r="C471" s="12" t="str">
        <f aca="false">INDEX(Entities!$D$5:$D$34,MATCH(A471,Entities!$A$5:$A$34,0))</f>
        <v>Europe</v>
      </c>
      <c r="D471" s="12" t="s">
        <v>281</v>
      </c>
      <c r="E471" s="12" t="str">
        <f aca="false">INDEX('Risk Taxonomy'!$B$5:$B$24,MATCH(D471,'Risk Taxonomy'!$A$5:$A$24,0))</f>
        <v>Tax evasion and tax transparency</v>
      </c>
      <c r="F471" s="29" t="n">
        <f aca="false">IF(NOT(ISNUMBER(G471)),"",IFERROR(IF(MATCH(SUMIFS('FC Calculation'!$N$5:$N$214,'FC Calculation'!$A$5:$A$214,A471,'FC Calculation'!$D$5:$D$214,D471),Config!$D$5:$D$9,1)=G471,SUMIFS('FC Calculation'!$N$5:$N$214,'FC Calculation'!$A$5:$A$214,A471,'FC Calculation'!$D$5:$D$214,D471),G471),G471))</f>
        <v>1.64944444444444</v>
      </c>
      <c r="G471" s="34" t="n">
        <f aca="false">IF(COUNTIFS('FC Calculation'!$A$5:$A$214,A471,'FC Calculation'!$D$5:$D$214,D471,'FC Calculation'!$T$5:$T$214,"&gt;0")=0,"",SUMIFS('FC Calculation'!$T$5:$T$214,'FC Calculation'!$A$5:$A$214,A471,'FC Calculation'!$D$5:$D$214,D471))</f>
        <v>1</v>
      </c>
      <c r="H471" s="7" t="str">
        <f aca="false">IF(G471="N/A","N/A",IF(G471="","No data",INDEX(Config!$B$5:$B$9,G471)))</f>
        <v>Low</v>
      </c>
      <c r="I471" s="31" t="n">
        <f aca="false">IF(NOT(ISNUMBER($G471)),"",SUMPRODUCT(('Control Mapping'!$C$5:$C$83=D471)*('Control Mapping'!$AD$5:$AD$83&gt;0)))</f>
        <v>5</v>
      </c>
      <c r="J471" s="31" t="n">
        <f aca="false">IF(NOT(ISNUMBER($G471)),"",SUMPRODUCT(('Control Mapping'!$C$5:$C$83=D471)*('Control Mapping'!$F$5:$F$83="Y")*('Control Mapping'!$AD$5:$AD$83&gt;0)))</f>
        <v>4</v>
      </c>
      <c r="K471" s="31" t="n">
        <f aca="false">IF(NOT(ISNUMBER($G471)),"",SUMPRODUCT(('Control Mapping'!$C$5:$C$83=D471)*('Control Mapping'!$F$5:$F$83="Y")*('Control Mapping'!$AD$5:$AD$83=4)))</f>
        <v>0</v>
      </c>
      <c r="L471" s="29" t="n">
        <f aca="false">IF(NOT(ISNUMBER($G471)),"",IFERROR(SUMPRODUCT(('Control Mapping'!$C$5:$C$83=D471)*'Control Mapping'!$E$5:$E$83*'Control Mapping'!$AD$5:$AD$83)/SUMPRODUCT(('Control Mapping'!$C$5:$C$83=D471)*'Control Mapping'!$E$5:$E$83*('Control Mapping'!$AD$5:$AD$83&gt;0)),""))</f>
        <v>1.55555555555556</v>
      </c>
      <c r="M471" s="34" t="n">
        <f aca="false">IF(NOT(ISNUMBER($G471)),"",IF(J471=0,4,MAX(MATCH(L471,'Residual Config'!$E$11:$E$14,1),IF(K471&gt;0,'Residual Config'!$C$7,1))))</f>
        <v>2</v>
      </c>
      <c r="N471" s="7" t="str">
        <f aca="false">IF(NOT(ISNUMBER($G471)),"",IF(J471=0,"Ineffective (no key control)",INDEX('Residual Config'!$B$11:$B$14,M471)))</f>
        <v>Largely effective</v>
      </c>
      <c r="O471" s="36" t="n">
        <f aca="false">IF(NOT(ISNUMBER($G471)),"",IF(J471=0,0,SUMPRODUCT(('Control Mapping'!$C$5:$C$83=D471)*'Control Mapping'!$E$5:$E$83*(('Control Mapping'!$AD$5:$AD$83=1)*'Residual Config'!$D$11+('Control Mapping'!$AD$5:$AD$83=2)*'Residual Config'!$D$12+('Control Mapping'!$AD$5:$AD$83=3)*'Residual Config'!$D$13+('Control Mapping'!$AD$5:$AD$83=4)*'Residual Config'!$D$14))/SUMPRODUCT(('Control Mapping'!$C$5:$C$83=D471)*'Control Mapping'!$E$5:$E$83*('Control Mapping'!$AD$5:$AD$83&gt;0))))</f>
        <v>0.488888888888889</v>
      </c>
      <c r="P471" s="31" t="n">
        <f aca="false">IF(NOT(ISNUMBER($G471)),"",INDEX('Residual Config'!$B$19:$E$23,6-G471,M471))</f>
        <v>1</v>
      </c>
      <c r="Q471" s="29" t="n">
        <f aca="false">IF(NOT(ISNUMBER($G471)),"",MAX(1,F471*(1-O471)))</f>
        <v>1</v>
      </c>
      <c r="R471" s="31" t="n">
        <f aca="false">IF(NOT(ISNUMBER($G471)),"",MAX(MATCH(Q471,Config!$D$5:$D$9,1),G471-'Residual Config'!$C$6))</f>
        <v>1</v>
      </c>
      <c r="S471" s="34" t="n">
        <f aca="false">IF(NOT(ISNUMBER($G471)),"",IF('Residual Config'!$C$5="Numeric",R471,P471))</f>
        <v>1</v>
      </c>
      <c r="T471" s="7" t="str">
        <f aca="false">IF(G471="N/A","N/A",IF(S471="","No data",INDEX(Config!$B$5:$B$9,S471)))</f>
        <v>Low</v>
      </c>
      <c r="U471" s="32" t="n">
        <v>0</v>
      </c>
      <c r="V471" s="8"/>
      <c r="W471" s="33"/>
      <c r="X471" s="34" t="n">
        <f aca="false">IF(S471="","",IF(AND(W471="Y",U471&lt;&gt;0),MAX(1,MIN(5,S471+MAX(-Config!$C$27,MIN(Config!$C$27,U471)))),S471))</f>
        <v>1</v>
      </c>
      <c r="Y471" s="35" t="str">
        <f aca="false">IF(G471="N/A","N/A",IF(X471="","No data",INDEX(Config!$B$5:$B$9,X471)))</f>
        <v>Low</v>
      </c>
      <c r="Z471" s="7" t="str">
        <f aca="false">IF(U471=0,"None",IF(W471="Y","Applied","Pending HO approval"))</f>
        <v>None</v>
      </c>
      <c r="AA471" s="12" t="str">
        <f aca="false">INDEX('Risk Taxonomy'!$G$5:$G$24,MATCH(D471,'Risk Taxonomy'!$A$5:$A$24,0))</f>
        <v>Zero tolerance (facilitation)</v>
      </c>
      <c r="AB471" s="7" t="str">
        <f aca="false">INDEX('Risk Taxonomy'!$H$5:$H$24,MATCH(D471,'Risk Taxonomy'!$A$5:$A$24,0))</f>
        <v>Low</v>
      </c>
      <c r="AC471" s="35" t="str">
        <f aca="false">IF(NOT(ISNUMBER(X471)),"",IF(X471&lt;=MATCH(AB471,Config!$B$5:$B$9,0),"Within",IF(OR(X471-MATCH(AB471,Config!$B$5:$B$9,0)&gt;=2,AND('Residual Config'!$C$8="Y",ISNUMBER(SEARCH("Zero",AA471)))),"Red","Amber")))</f>
        <v>Within</v>
      </c>
      <c r="AD471" s="12" t="str">
        <f aca="false">IF(AC471="Red","Group CCO / CRO and Country CEO within 2 business days; action plan in 15 days; report to Board Risk &amp; Compliance Committee",IF(AC471="Amber","Country CO, risk owner and HO Administrator within 5 business days; action plan in 30 days",""))</f>
        <v/>
      </c>
    </row>
    <row r="472" customFormat="false" ht="15" hidden="false" customHeight="false" outlineLevel="0" collapsed="false">
      <c r="A472" s="26" t="str">
        <f aca="false">Entities!$A$28</f>
        <v>DE</v>
      </c>
      <c r="B472" s="12" t="str">
        <f aca="false">INDEX(Entities!$B$5:$B$34,MATCH(A472,Entities!$A$5:$A$34,0))</f>
        <v>Arab Bank – Germany</v>
      </c>
      <c r="C472" s="12" t="str">
        <f aca="false">INDEX(Entities!$D$5:$D$34,MATCH(A472,Entities!$A$5:$A$34,0))</f>
        <v>Europe</v>
      </c>
      <c r="D472" s="12" t="s">
        <v>284</v>
      </c>
      <c r="E472" s="12" t="str">
        <f aca="false">INDEX('Risk Taxonomy'!$B$5:$B$24,MATCH(D472,'Risk Taxonomy'!$A$5:$A$24,0))</f>
        <v>Regulatory compliance</v>
      </c>
      <c r="F472" s="29" t="n">
        <f aca="false">IF(NOT(ISNUMBER(G472)),"",G472)</f>
        <v>1</v>
      </c>
      <c r="G472" s="34" t="n">
        <f aca="false">IF(COUNTIFS('LxI Assessment'!$A$5:$A$394,A472,'LxI Assessment'!$D$5:$D$394,D472,'LxI Assessment'!$F$5:$F$394,"N/A")&gt;0,"N/A",IF(COUNTIFS('LxI Assessment'!$A$5:$A$394,A472,'LxI Assessment'!$D$5:$D$394,D472,'LxI Assessment'!$S$5:$S$394,"&gt;0")=0,"",SUMIFS('LxI Assessment'!$S$5:$S$394,'LxI Assessment'!$A$5:$A$394,A472,'LxI Assessment'!$D$5:$D$394,D472)))</f>
        <v>1</v>
      </c>
      <c r="H472" s="7" t="str">
        <f aca="false">IF(G472="N/A","N/A",IF(G472="","No data",INDEX(Config!$B$5:$B$9,G472)))</f>
        <v>Low</v>
      </c>
      <c r="I472" s="31" t="n">
        <f aca="false">IF(NOT(ISNUMBER($G472)),"",SUMPRODUCT(('Control Mapping'!$C$5:$C$83=D472)*('Control Mapping'!$AD$5:$AD$83&gt;0)))</f>
        <v>4</v>
      </c>
      <c r="J472" s="31" t="n">
        <f aca="false">IF(NOT(ISNUMBER($G472)),"",SUMPRODUCT(('Control Mapping'!$C$5:$C$83=D472)*('Control Mapping'!$F$5:$F$83="Y")*('Control Mapping'!$AD$5:$AD$83&gt;0)))</f>
        <v>3</v>
      </c>
      <c r="K472" s="31" t="n">
        <f aca="false">IF(NOT(ISNUMBER($G472)),"",SUMPRODUCT(('Control Mapping'!$C$5:$C$83=D472)*('Control Mapping'!$F$5:$F$83="Y")*('Control Mapping'!$AD$5:$AD$83=4)))</f>
        <v>0</v>
      </c>
      <c r="L472" s="29" t="n">
        <f aca="false">IF(NOT(ISNUMBER($G472)),"",IFERROR(SUMPRODUCT(('Control Mapping'!$C$5:$C$83=D472)*'Control Mapping'!$E$5:$E$83*'Control Mapping'!$AD$5:$AD$83)/SUMPRODUCT(('Control Mapping'!$C$5:$C$83=D472)*'Control Mapping'!$E$5:$E$83*('Control Mapping'!$AD$5:$AD$83&gt;0)),""))</f>
        <v>1.42857142857143</v>
      </c>
      <c r="M472" s="34" t="n">
        <f aca="false">IF(NOT(ISNUMBER($G472)),"",IF(J472=0,4,MAX(MATCH(L472,'Residual Config'!$E$11:$E$14,1),IF(K472&gt;0,'Residual Config'!$C$7,1))))</f>
        <v>1</v>
      </c>
      <c r="N472" s="7" t="str">
        <f aca="false">IF(NOT(ISNUMBER($G472)),"",IF(J472=0,"Ineffective (no key control)",INDEX('Residual Config'!$B$11:$B$14,M472)))</f>
        <v>Effective</v>
      </c>
      <c r="O472" s="36" t="n">
        <f aca="false">IF(NOT(ISNUMBER($G472)),"",IF(J472=0,0,SUMPRODUCT(('Control Mapping'!$C$5:$C$83=D472)*'Control Mapping'!$E$5:$E$83*(('Control Mapping'!$AD$5:$AD$83=1)*'Residual Config'!$D$11+('Control Mapping'!$AD$5:$AD$83=2)*'Residual Config'!$D$12+('Control Mapping'!$AD$5:$AD$83=3)*'Residual Config'!$D$13+('Control Mapping'!$AD$5:$AD$83=4)*'Residual Config'!$D$14))/SUMPRODUCT(('Control Mapping'!$C$5:$C$83=D472)*'Control Mapping'!$E$5:$E$83*('Control Mapping'!$AD$5:$AD$83&gt;0))))</f>
        <v>0.514285714285714</v>
      </c>
      <c r="P472" s="31" t="n">
        <f aca="false">IF(NOT(ISNUMBER($G472)),"",INDEX('Residual Config'!$B$19:$E$23,6-G472,M472))</f>
        <v>1</v>
      </c>
      <c r="Q472" s="29" t="n">
        <f aca="false">IF(NOT(ISNUMBER($G472)),"",MAX(1,F472*(1-O472)))</f>
        <v>1</v>
      </c>
      <c r="R472" s="31" t="n">
        <f aca="false">IF(NOT(ISNUMBER($G472)),"",MAX(MATCH(Q472,Config!$D$5:$D$9,1),G472-'Residual Config'!$C$6))</f>
        <v>1</v>
      </c>
      <c r="S472" s="34" t="n">
        <f aca="false">IF(NOT(ISNUMBER($G472)),"",IF('Residual Config'!$C$5="Numeric",R472,P472))</f>
        <v>1</v>
      </c>
      <c r="T472" s="7" t="str">
        <f aca="false">IF(G472="N/A","N/A",IF(S472="","No data",INDEX(Config!$B$5:$B$9,S472)))</f>
        <v>Low</v>
      </c>
      <c r="U472" s="32" t="n">
        <v>0</v>
      </c>
      <c r="V472" s="8"/>
      <c r="W472" s="33"/>
      <c r="X472" s="34" t="n">
        <f aca="false">IF(S472="","",IF(AND(W472="Y",U472&lt;&gt;0),MAX(1,MIN(5,S472+MAX(-Config!$C$27,MIN(Config!$C$27,U472)))),S472))</f>
        <v>1</v>
      </c>
      <c r="Y472" s="35" t="str">
        <f aca="false">IF(G472="N/A","N/A",IF(X472="","No data",INDEX(Config!$B$5:$B$9,X472)))</f>
        <v>Low</v>
      </c>
      <c r="Z472" s="7" t="str">
        <f aca="false">IF(U472=0,"None",IF(W472="Y","Applied","Pending HO approval"))</f>
        <v>None</v>
      </c>
      <c r="AA472" s="12" t="str">
        <f aca="false">INDEX('Risk Taxonomy'!$G$5:$G$24,MATCH(D472,'Risk Taxonomy'!$A$5:$A$24,0))</f>
        <v>Very low</v>
      </c>
      <c r="AB472" s="7" t="str">
        <f aca="false">INDEX('Risk Taxonomy'!$H$5:$H$24,MATCH(D472,'Risk Taxonomy'!$A$5:$A$24,0))</f>
        <v>Medium-Low</v>
      </c>
      <c r="AC472" s="35" t="str">
        <f aca="false">IF(NOT(ISNUMBER(X472)),"",IF(X472&lt;=MATCH(AB472,Config!$B$5:$B$9,0),"Within",IF(OR(X472-MATCH(AB472,Config!$B$5:$B$9,0)&gt;=2,AND('Residual Config'!$C$8="Y",ISNUMBER(SEARCH("Zero",AA472)))),"Red","Amber")))</f>
        <v>Within</v>
      </c>
      <c r="AD472" s="12" t="str">
        <f aca="false">IF(AC472="Red","Group CCO / CRO and Country CEO within 2 business days; action plan in 15 days; report to Board Risk &amp; Compliance Committee",IF(AC472="Amber","Country CO, risk owner and HO Administrator within 5 business days; action plan in 30 days",""))</f>
        <v/>
      </c>
    </row>
    <row r="473" customFormat="false" ht="15" hidden="false" customHeight="false" outlineLevel="0" collapsed="false">
      <c r="A473" s="26" t="str">
        <f aca="false">Entities!$A$28</f>
        <v>DE</v>
      </c>
      <c r="B473" s="12" t="str">
        <f aca="false">INDEX(Entities!$B$5:$B$34,MATCH(A473,Entities!$A$5:$A$34,0))</f>
        <v>Arab Bank – Germany</v>
      </c>
      <c r="C473" s="12" t="str">
        <f aca="false">INDEX(Entities!$D$5:$D$34,MATCH(A473,Entities!$A$5:$A$34,0))</f>
        <v>Europe</v>
      </c>
      <c r="D473" s="12" t="s">
        <v>288</v>
      </c>
      <c r="E473" s="12" t="str">
        <f aca="false">INDEX('Risk Taxonomy'!$B$5:$B$24,MATCH(D473,'Risk Taxonomy'!$A$5:$A$24,0))</f>
        <v>Conduct and consumer protection</v>
      </c>
      <c r="F473" s="29" t="n">
        <f aca="false">IF(NOT(ISNUMBER(G473)),"",G473)</f>
        <v>1</v>
      </c>
      <c r="G473" s="34" t="n">
        <f aca="false">IF(COUNTIFS('LxI Assessment'!$A$5:$A$394,A473,'LxI Assessment'!$D$5:$D$394,D473,'LxI Assessment'!$F$5:$F$394,"N/A")&gt;0,"N/A",IF(COUNTIFS('LxI Assessment'!$A$5:$A$394,A473,'LxI Assessment'!$D$5:$D$394,D473,'LxI Assessment'!$S$5:$S$394,"&gt;0")=0,"",SUMIFS('LxI Assessment'!$S$5:$S$394,'LxI Assessment'!$A$5:$A$394,A473,'LxI Assessment'!$D$5:$D$394,D473)))</f>
        <v>1</v>
      </c>
      <c r="H473" s="7" t="str">
        <f aca="false">IF(G473="N/A","N/A",IF(G473="","No data",INDEX(Config!$B$5:$B$9,G473)))</f>
        <v>Low</v>
      </c>
      <c r="I473" s="31" t="n">
        <f aca="false">IF(NOT(ISNUMBER($G473)),"",SUMPRODUCT(('Control Mapping'!$C$5:$C$83=D473)*('Control Mapping'!$AD$5:$AD$83&gt;0)))</f>
        <v>2</v>
      </c>
      <c r="J473" s="31" t="n">
        <f aca="false">IF(NOT(ISNUMBER($G473)),"",SUMPRODUCT(('Control Mapping'!$C$5:$C$83=D473)*('Control Mapping'!$F$5:$F$83="Y")*('Control Mapping'!$AD$5:$AD$83&gt;0)))</f>
        <v>1</v>
      </c>
      <c r="K473" s="31" t="n">
        <f aca="false">IF(NOT(ISNUMBER($G473)),"",SUMPRODUCT(('Control Mapping'!$C$5:$C$83=D473)*('Control Mapping'!$F$5:$F$83="Y")*('Control Mapping'!$AD$5:$AD$83=4)))</f>
        <v>0</v>
      </c>
      <c r="L473" s="29" t="n">
        <f aca="false">IF(NOT(ISNUMBER($G473)),"",IFERROR(SUMPRODUCT(('Control Mapping'!$C$5:$C$83=D473)*'Control Mapping'!$E$5:$E$83*'Control Mapping'!$AD$5:$AD$83)/SUMPRODUCT(('Control Mapping'!$C$5:$C$83=D473)*'Control Mapping'!$E$5:$E$83*('Control Mapping'!$AD$5:$AD$83&gt;0)),""))</f>
        <v>1.6</v>
      </c>
      <c r="M473" s="34" t="n">
        <f aca="false">IF(NOT(ISNUMBER($G473)),"",IF(J473=0,4,MAX(MATCH(L473,'Residual Config'!$E$11:$E$14,1),IF(K473&gt;0,'Residual Config'!$C$7,1))))</f>
        <v>2</v>
      </c>
      <c r="N473" s="7" t="str">
        <f aca="false">IF(NOT(ISNUMBER($G473)),"",IF(J473=0,"Ineffective (no key control)",INDEX('Residual Config'!$B$11:$B$14,M473)))</f>
        <v>Largely effective</v>
      </c>
      <c r="O473" s="36" t="n">
        <f aca="false">IF(NOT(ISNUMBER($G473)),"",IF(J473=0,0,SUMPRODUCT(('Control Mapping'!$C$5:$C$83=D473)*'Control Mapping'!$E$5:$E$83*(('Control Mapping'!$AD$5:$AD$83=1)*'Residual Config'!$D$11+('Control Mapping'!$AD$5:$AD$83=2)*'Residual Config'!$D$12+('Control Mapping'!$AD$5:$AD$83=3)*'Residual Config'!$D$13+('Control Mapping'!$AD$5:$AD$83=4)*'Residual Config'!$D$14))/SUMPRODUCT(('Control Mapping'!$C$5:$C$83=D473)*'Control Mapping'!$E$5:$E$83*('Control Mapping'!$AD$5:$AD$83&gt;0))))</f>
        <v>0.48</v>
      </c>
      <c r="P473" s="31" t="n">
        <f aca="false">IF(NOT(ISNUMBER($G473)),"",INDEX('Residual Config'!$B$19:$E$23,6-G473,M473))</f>
        <v>1</v>
      </c>
      <c r="Q473" s="29" t="n">
        <f aca="false">IF(NOT(ISNUMBER($G473)),"",MAX(1,F473*(1-O473)))</f>
        <v>1</v>
      </c>
      <c r="R473" s="31" t="n">
        <f aca="false">IF(NOT(ISNUMBER($G473)),"",MAX(MATCH(Q473,Config!$D$5:$D$9,1),G473-'Residual Config'!$C$6))</f>
        <v>1</v>
      </c>
      <c r="S473" s="34" t="n">
        <f aca="false">IF(NOT(ISNUMBER($G473)),"",IF('Residual Config'!$C$5="Numeric",R473,P473))</f>
        <v>1</v>
      </c>
      <c r="T473" s="7" t="str">
        <f aca="false">IF(G473="N/A","N/A",IF(S473="","No data",INDEX(Config!$B$5:$B$9,S473)))</f>
        <v>Low</v>
      </c>
      <c r="U473" s="32" t="n">
        <v>0</v>
      </c>
      <c r="V473" s="8"/>
      <c r="W473" s="33"/>
      <c r="X473" s="34" t="n">
        <f aca="false">IF(S473="","",IF(AND(W473="Y",U473&lt;&gt;0),MAX(1,MIN(5,S473+MAX(-Config!$C$27,MIN(Config!$C$27,U473)))),S473))</f>
        <v>1</v>
      </c>
      <c r="Y473" s="35" t="str">
        <f aca="false">IF(G473="N/A","N/A",IF(X473="","No data",INDEX(Config!$B$5:$B$9,X473)))</f>
        <v>Low</v>
      </c>
      <c r="Z473" s="7" t="str">
        <f aca="false">IF(U473=0,"None",IF(W473="Y","Applied","Pending HO approval"))</f>
        <v>None</v>
      </c>
      <c r="AA473" s="12" t="str">
        <f aca="false">INDEX('Risk Taxonomy'!$G$5:$G$24,MATCH(D473,'Risk Taxonomy'!$A$5:$A$24,0))</f>
        <v>Low</v>
      </c>
      <c r="AB473" s="7" t="str">
        <f aca="false">INDEX('Risk Taxonomy'!$H$5:$H$24,MATCH(D473,'Risk Taxonomy'!$A$5:$A$24,0))</f>
        <v>Medium</v>
      </c>
      <c r="AC473" s="35" t="str">
        <f aca="false">IF(NOT(ISNUMBER(X473)),"",IF(X473&lt;=MATCH(AB473,Config!$B$5:$B$9,0),"Within",IF(OR(X473-MATCH(AB473,Config!$B$5:$B$9,0)&gt;=2,AND('Residual Config'!$C$8="Y",ISNUMBER(SEARCH("Zero",AA473)))),"Red","Amber")))</f>
        <v>Within</v>
      </c>
      <c r="AD473" s="12" t="str">
        <f aca="false">IF(AC473="Red","Group CCO / CRO and Country CEO within 2 business days; action plan in 15 days; report to Board Risk &amp; Compliance Committee",IF(AC473="Amber","Country CO, risk owner and HO Administrator within 5 business days; action plan in 30 days",""))</f>
        <v/>
      </c>
    </row>
    <row r="474" customFormat="false" ht="15" hidden="false" customHeight="false" outlineLevel="0" collapsed="false">
      <c r="A474" s="26" t="str">
        <f aca="false">Entities!$A$28</f>
        <v>DE</v>
      </c>
      <c r="B474" s="12" t="str">
        <f aca="false">INDEX(Entities!$B$5:$B$34,MATCH(A474,Entities!$A$5:$A$34,0))</f>
        <v>Arab Bank – Germany</v>
      </c>
      <c r="C474" s="12" t="str">
        <f aca="false">INDEX(Entities!$D$5:$D$34,MATCH(A474,Entities!$A$5:$A$34,0))</f>
        <v>Europe</v>
      </c>
      <c r="D474" s="12" t="s">
        <v>290</v>
      </c>
      <c r="E474" s="12" t="str">
        <f aca="false">INDEX('Risk Taxonomy'!$B$5:$B$24,MATCH(D474,'Risk Taxonomy'!$A$5:$A$24,0))</f>
        <v>Data protection and privacy</v>
      </c>
      <c r="F474" s="29" t="n">
        <f aca="false">IF(NOT(ISNUMBER(G474)),"",G474)</f>
        <v>1</v>
      </c>
      <c r="G474" s="34" t="n">
        <f aca="false">IF(COUNTIFS('LxI Assessment'!$A$5:$A$394,A474,'LxI Assessment'!$D$5:$D$394,D474,'LxI Assessment'!$F$5:$F$394,"N/A")&gt;0,"N/A",IF(COUNTIFS('LxI Assessment'!$A$5:$A$394,A474,'LxI Assessment'!$D$5:$D$394,D474,'LxI Assessment'!$S$5:$S$394,"&gt;0")=0,"",SUMIFS('LxI Assessment'!$S$5:$S$394,'LxI Assessment'!$A$5:$A$394,A474,'LxI Assessment'!$D$5:$D$394,D474)))</f>
        <v>1</v>
      </c>
      <c r="H474" s="7" t="str">
        <f aca="false">IF(G474="N/A","N/A",IF(G474="","No data",INDEX(Config!$B$5:$B$9,G474)))</f>
        <v>Low</v>
      </c>
      <c r="I474" s="31" t="n">
        <f aca="false">IF(NOT(ISNUMBER($G474)),"",SUMPRODUCT(('Control Mapping'!$C$5:$C$83=D474)*('Control Mapping'!$AD$5:$AD$83&gt;0)))</f>
        <v>2</v>
      </c>
      <c r="J474" s="31" t="n">
        <f aca="false">IF(NOT(ISNUMBER($G474)),"",SUMPRODUCT(('Control Mapping'!$C$5:$C$83=D474)*('Control Mapping'!$F$5:$F$83="Y")*('Control Mapping'!$AD$5:$AD$83&gt;0)))</f>
        <v>2</v>
      </c>
      <c r="K474" s="31" t="n">
        <f aca="false">IF(NOT(ISNUMBER($G474)),"",SUMPRODUCT(('Control Mapping'!$C$5:$C$83=D474)*('Control Mapping'!$F$5:$F$83="Y")*('Control Mapping'!$AD$5:$AD$83=4)))</f>
        <v>0</v>
      </c>
      <c r="L474" s="29" t="n">
        <f aca="false">IF(NOT(ISNUMBER($G474)),"",IFERROR(SUMPRODUCT(('Control Mapping'!$C$5:$C$83=D474)*'Control Mapping'!$E$5:$E$83*'Control Mapping'!$AD$5:$AD$83)/SUMPRODUCT(('Control Mapping'!$C$5:$C$83=D474)*'Control Mapping'!$E$5:$E$83*('Control Mapping'!$AD$5:$AD$83&gt;0)),""))</f>
        <v>1</v>
      </c>
      <c r="M474" s="34" t="n">
        <f aca="false">IF(NOT(ISNUMBER($G474)),"",IF(J474=0,4,MAX(MATCH(L474,'Residual Config'!$E$11:$E$14,1),IF(K474&gt;0,'Residual Config'!$C$7,1))))</f>
        <v>1</v>
      </c>
      <c r="N474" s="7" t="str">
        <f aca="false">IF(NOT(ISNUMBER($G474)),"",IF(J474=0,"Ineffective (no key control)",INDEX('Residual Config'!$B$11:$B$14,M474)))</f>
        <v>Effective</v>
      </c>
      <c r="O474" s="36" t="n">
        <f aca="false">IF(NOT(ISNUMBER($G474)),"",IF(J474=0,0,SUMPRODUCT(('Control Mapping'!$C$5:$C$83=D474)*'Control Mapping'!$E$5:$E$83*(('Control Mapping'!$AD$5:$AD$83=1)*'Residual Config'!$D$11+('Control Mapping'!$AD$5:$AD$83=2)*'Residual Config'!$D$12+('Control Mapping'!$AD$5:$AD$83=3)*'Residual Config'!$D$13+('Control Mapping'!$AD$5:$AD$83=4)*'Residual Config'!$D$14))/SUMPRODUCT(('Control Mapping'!$C$5:$C$83=D474)*'Control Mapping'!$E$5:$E$83*('Control Mapping'!$AD$5:$AD$83&gt;0))))</f>
        <v>0.6</v>
      </c>
      <c r="P474" s="31" t="n">
        <f aca="false">IF(NOT(ISNUMBER($G474)),"",INDEX('Residual Config'!$B$19:$E$23,6-G474,M474))</f>
        <v>1</v>
      </c>
      <c r="Q474" s="29" t="n">
        <f aca="false">IF(NOT(ISNUMBER($G474)),"",MAX(1,F474*(1-O474)))</f>
        <v>1</v>
      </c>
      <c r="R474" s="31" t="n">
        <f aca="false">IF(NOT(ISNUMBER($G474)),"",MAX(MATCH(Q474,Config!$D$5:$D$9,1),G474-'Residual Config'!$C$6))</f>
        <v>1</v>
      </c>
      <c r="S474" s="34" t="n">
        <f aca="false">IF(NOT(ISNUMBER($G474)),"",IF('Residual Config'!$C$5="Numeric",R474,P474))</f>
        <v>1</v>
      </c>
      <c r="T474" s="7" t="str">
        <f aca="false">IF(G474="N/A","N/A",IF(S474="","No data",INDEX(Config!$B$5:$B$9,S474)))</f>
        <v>Low</v>
      </c>
      <c r="U474" s="32" t="n">
        <v>0</v>
      </c>
      <c r="V474" s="8"/>
      <c r="W474" s="33"/>
      <c r="X474" s="34" t="n">
        <f aca="false">IF(S474="","",IF(AND(W474="Y",U474&lt;&gt;0),MAX(1,MIN(5,S474+MAX(-Config!$C$27,MIN(Config!$C$27,U474)))),S474))</f>
        <v>1</v>
      </c>
      <c r="Y474" s="35" t="str">
        <f aca="false">IF(G474="N/A","N/A",IF(X474="","No data",INDEX(Config!$B$5:$B$9,X474)))</f>
        <v>Low</v>
      </c>
      <c r="Z474" s="7" t="str">
        <f aca="false">IF(U474=0,"None",IF(W474="Y","Applied","Pending HO approval"))</f>
        <v>None</v>
      </c>
      <c r="AA474" s="12" t="str">
        <f aca="false">INDEX('Risk Taxonomy'!$G$5:$G$24,MATCH(D474,'Risk Taxonomy'!$A$5:$A$24,0))</f>
        <v>Very low</v>
      </c>
      <c r="AB474" s="7" t="str">
        <f aca="false">INDEX('Risk Taxonomy'!$H$5:$H$24,MATCH(D474,'Risk Taxonomy'!$A$5:$A$24,0))</f>
        <v>Medium-Low</v>
      </c>
      <c r="AC474" s="35" t="str">
        <f aca="false">IF(NOT(ISNUMBER(X474)),"",IF(X474&lt;=MATCH(AB474,Config!$B$5:$B$9,0),"Within",IF(OR(X474-MATCH(AB474,Config!$B$5:$B$9,0)&gt;=2,AND('Residual Config'!$C$8="Y",ISNUMBER(SEARCH("Zero",AA474)))),"Red","Amber")))</f>
        <v>Within</v>
      </c>
      <c r="AD474" s="12" t="str">
        <f aca="false">IF(AC474="Red","Group CCO / CRO and Country CEO within 2 business days; action plan in 15 days; report to Board Risk &amp; Compliance Committee",IF(AC474="Amber","Country CO, risk owner and HO Administrator within 5 business days; action plan in 30 days",""))</f>
        <v/>
      </c>
    </row>
    <row r="475" customFormat="false" ht="15" hidden="false" customHeight="false" outlineLevel="0" collapsed="false">
      <c r="A475" s="26" t="str">
        <f aca="false">Entities!$A$28</f>
        <v>DE</v>
      </c>
      <c r="B475" s="12" t="str">
        <f aca="false">INDEX(Entities!$B$5:$B$34,MATCH(A475,Entities!$A$5:$A$34,0))</f>
        <v>Arab Bank – Germany</v>
      </c>
      <c r="C475" s="12" t="str">
        <f aca="false">INDEX(Entities!$D$5:$D$34,MATCH(A475,Entities!$A$5:$A$34,0))</f>
        <v>Europe</v>
      </c>
      <c r="D475" s="12" t="s">
        <v>293</v>
      </c>
      <c r="E475" s="12" t="str">
        <f aca="false">INDEX('Risk Taxonomy'!$B$5:$B$24,MATCH(D475,'Risk Taxonomy'!$A$5:$A$24,0))</f>
        <v>Shariah non-compliance</v>
      </c>
      <c r="F475" s="29" t="str">
        <f aca="false">IF(NOT(ISNUMBER(G475)),"",G475)</f>
        <v/>
      </c>
      <c r="G475" s="34" t="str">
        <f aca="false">IF(COUNTIFS('LxI Assessment'!$A$5:$A$394,A475,'LxI Assessment'!$D$5:$D$394,D475,'LxI Assessment'!$F$5:$F$394,"N/A")&gt;0,"N/A",IF(COUNTIFS('LxI Assessment'!$A$5:$A$394,A475,'LxI Assessment'!$D$5:$D$394,D475,'LxI Assessment'!$S$5:$S$394,"&gt;0")=0,"",SUMIFS('LxI Assessment'!$S$5:$S$394,'LxI Assessment'!$A$5:$A$394,A475,'LxI Assessment'!$D$5:$D$394,D475)))</f>
        <v>N/A</v>
      </c>
      <c r="H475" s="7" t="str">
        <f aca="false">IF(G475="N/A","N/A",IF(G475="","No data",INDEX(Config!$B$5:$B$9,G475)))</f>
        <v>N/A</v>
      </c>
      <c r="I475" s="31" t="str">
        <f aca="false">IF(NOT(ISNUMBER($G475)),"",SUMPRODUCT(('Control Mapping'!$C$5:$C$83=D475)*('Control Mapping'!$AD$5:$AD$83&gt;0)))</f>
        <v/>
      </c>
      <c r="J475" s="31" t="str">
        <f aca="false">IF(NOT(ISNUMBER($G475)),"",SUMPRODUCT(('Control Mapping'!$C$5:$C$83=D475)*('Control Mapping'!$F$5:$F$83="Y")*('Control Mapping'!$AD$5:$AD$83&gt;0)))</f>
        <v/>
      </c>
      <c r="K475" s="31" t="str">
        <f aca="false">IF(NOT(ISNUMBER($G475)),"",SUMPRODUCT(('Control Mapping'!$C$5:$C$83=D475)*('Control Mapping'!$F$5:$F$83="Y")*('Control Mapping'!$AD$5:$AD$83=4)))</f>
        <v/>
      </c>
      <c r="L475" s="29" t="str">
        <f aca="false">IF(NOT(ISNUMBER($G475)),"",IFERROR(SUMPRODUCT(('Control Mapping'!$C$5:$C$83=D475)*'Control Mapping'!$E$5:$E$83*'Control Mapping'!$AD$5:$AD$83)/SUMPRODUCT(('Control Mapping'!$C$5:$C$83=D475)*'Control Mapping'!$E$5:$E$83*('Control Mapping'!$AD$5:$AD$83&gt;0)),""))</f>
        <v/>
      </c>
      <c r="M475" s="34" t="str">
        <f aca="false">IF(NOT(ISNUMBER($G475)),"",IF(J475=0,4,MAX(MATCH(L475,'Residual Config'!$E$11:$E$14,1),IF(K475&gt;0,'Residual Config'!$C$7,1))))</f>
        <v/>
      </c>
      <c r="N475" s="7" t="str">
        <f aca="false">IF(NOT(ISNUMBER($G475)),"",IF(J475=0,"Ineffective (no key control)",INDEX('Residual Config'!$B$11:$B$14,M475)))</f>
        <v/>
      </c>
      <c r="O475" s="36" t="str">
        <f aca="false">IF(NOT(ISNUMBER($G475)),"",IF(J475=0,0,SUMPRODUCT(('Control Mapping'!$C$5:$C$83=D475)*'Control Mapping'!$E$5:$E$83*(('Control Mapping'!$AD$5:$AD$83=1)*'Residual Config'!$D$11+('Control Mapping'!$AD$5:$AD$83=2)*'Residual Config'!$D$12+('Control Mapping'!$AD$5:$AD$83=3)*'Residual Config'!$D$13+('Control Mapping'!$AD$5:$AD$83=4)*'Residual Config'!$D$14))/SUMPRODUCT(('Control Mapping'!$C$5:$C$83=D475)*'Control Mapping'!$E$5:$E$83*('Control Mapping'!$AD$5:$AD$83&gt;0))))</f>
        <v/>
      </c>
      <c r="P475" s="31" t="str">
        <f aca="false">IF(NOT(ISNUMBER($G475)),"",INDEX('Residual Config'!$B$19:$E$23,6-G475,M475))</f>
        <v/>
      </c>
      <c r="Q475" s="29" t="str">
        <f aca="false">IF(NOT(ISNUMBER($G475)),"",MAX(1,F475*(1-O475)))</f>
        <v/>
      </c>
      <c r="R475" s="31" t="str">
        <f aca="false">IF(NOT(ISNUMBER($G475)),"",MAX(MATCH(Q475,Config!$D$5:$D$9,1),G475-'Residual Config'!$C$6))</f>
        <v/>
      </c>
      <c r="S475" s="34" t="str">
        <f aca="false">IF(NOT(ISNUMBER($G475)),"",IF('Residual Config'!$C$5="Numeric",R475,P475))</f>
        <v/>
      </c>
      <c r="T475" s="7" t="str">
        <f aca="false">IF(G475="N/A","N/A",IF(S475="","No data",INDEX(Config!$B$5:$B$9,S475)))</f>
        <v>N/A</v>
      </c>
      <c r="U475" s="32" t="n">
        <v>0</v>
      </c>
      <c r="V475" s="8"/>
      <c r="W475" s="33"/>
      <c r="X475" s="34" t="str">
        <f aca="false">IF(S475="","",IF(AND(W475="Y",U475&lt;&gt;0),MAX(1,MIN(5,S475+MAX(-Config!$C$27,MIN(Config!$C$27,U475)))),S475))</f>
        <v/>
      </c>
      <c r="Y475" s="35" t="str">
        <f aca="false">IF(G475="N/A","N/A",IF(X475="","No data",INDEX(Config!$B$5:$B$9,X475)))</f>
        <v>N/A</v>
      </c>
      <c r="Z475" s="7" t="str">
        <f aca="false">IF(U475=0,"None",IF(W475="Y","Applied","Pending HO approval"))</f>
        <v>None</v>
      </c>
      <c r="AA475" s="12" t="str">
        <f aca="false">INDEX('Risk Taxonomy'!$G$5:$G$24,MATCH(D475,'Risk Taxonomy'!$A$5:$A$24,0))</f>
        <v>Very low</v>
      </c>
      <c r="AB475" s="7" t="str">
        <f aca="false">INDEX('Risk Taxonomy'!$H$5:$H$24,MATCH(D475,'Risk Taxonomy'!$A$5:$A$24,0))</f>
        <v>Medium-Low</v>
      </c>
      <c r="AC475" s="35" t="str">
        <f aca="false">IF(NOT(ISNUMBER(X475)),"",IF(X475&lt;=MATCH(AB475,Config!$B$5:$B$9,0),"Within",IF(OR(X475-MATCH(AB475,Config!$B$5:$B$9,0)&gt;=2,AND('Residual Config'!$C$8="Y",ISNUMBER(SEARCH("Zero",AA475)))),"Red","Amber")))</f>
        <v/>
      </c>
      <c r="AD475" s="12" t="str">
        <f aca="false">IF(AC475="Red","Group CCO / CRO and Country CEO within 2 business days; action plan in 15 days; report to Board Risk &amp; Compliance Committee",IF(AC475="Amber","Country CO, risk owner and HO Administrator within 5 business days; action plan in 30 days",""))</f>
        <v/>
      </c>
    </row>
    <row r="476" customFormat="false" ht="15" hidden="false" customHeight="false" outlineLevel="0" collapsed="false">
      <c r="A476" s="26" t="str">
        <f aca="false">Entities!$A$28</f>
        <v>DE</v>
      </c>
      <c r="B476" s="12" t="str">
        <f aca="false">INDEX(Entities!$B$5:$B$34,MATCH(A476,Entities!$A$5:$A$34,0))</f>
        <v>Arab Bank – Germany</v>
      </c>
      <c r="C476" s="12" t="str">
        <f aca="false">INDEX(Entities!$D$5:$D$34,MATCH(A476,Entities!$A$5:$A$34,0))</f>
        <v>Europe</v>
      </c>
      <c r="D476" s="12" t="s">
        <v>297</v>
      </c>
      <c r="E476" s="12" t="str">
        <f aca="false">INDEX('Risk Taxonomy'!$B$5:$B$24,MATCH(D476,'Risk Taxonomy'!$A$5:$A$24,0))</f>
        <v>Credit risk</v>
      </c>
      <c r="F476" s="29" t="n">
        <f aca="false">IF(NOT(ISNUMBER(G476)),"",G476)</f>
        <v>3</v>
      </c>
      <c r="G476" s="34" t="n">
        <f aca="false">IF(COUNTIFS('LxI Assessment'!$A$5:$A$394,A476,'LxI Assessment'!$D$5:$D$394,D476,'LxI Assessment'!$F$5:$F$394,"N/A")&gt;0,"N/A",IF(COUNTIFS('LxI Assessment'!$A$5:$A$394,A476,'LxI Assessment'!$D$5:$D$394,D476,'LxI Assessment'!$S$5:$S$394,"&gt;0")=0,"",SUMIFS('LxI Assessment'!$S$5:$S$394,'LxI Assessment'!$A$5:$A$394,A476,'LxI Assessment'!$D$5:$D$394,D476)))</f>
        <v>3</v>
      </c>
      <c r="H476" s="7" t="str">
        <f aca="false">IF(G476="N/A","N/A",IF(G476="","No data",INDEX(Config!$B$5:$B$9,G476)))</f>
        <v>Medium</v>
      </c>
      <c r="I476" s="31" t="n">
        <f aca="false">IF(NOT(ISNUMBER($G476)),"",SUMPRODUCT(('Control Mapping'!$C$5:$C$83=D476)*('Control Mapping'!$AD$5:$AD$83&gt;0)))</f>
        <v>2</v>
      </c>
      <c r="J476" s="31" t="n">
        <f aca="false">IF(NOT(ISNUMBER($G476)),"",SUMPRODUCT(('Control Mapping'!$C$5:$C$83=D476)*('Control Mapping'!$F$5:$F$83="Y")*('Control Mapping'!$AD$5:$AD$83&gt;0)))</f>
        <v>1</v>
      </c>
      <c r="K476" s="31" t="n">
        <f aca="false">IF(NOT(ISNUMBER($G476)),"",SUMPRODUCT(('Control Mapping'!$C$5:$C$83=D476)*('Control Mapping'!$F$5:$F$83="Y")*('Control Mapping'!$AD$5:$AD$83=4)))</f>
        <v>0</v>
      </c>
      <c r="L476" s="29" t="n">
        <f aca="false">IF(NOT(ISNUMBER($G476)),"",IFERROR(SUMPRODUCT(('Control Mapping'!$C$5:$C$83=D476)*'Control Mapping'!$E$5:$E$83*'Control Mapping'!$AD$5:$AD$83)/SUMPRODUCT(('Control Mapping'!$C$5:$C$83=D476)*'Control Mapping'!$E$5:$E$83*('Control Mapping'!$AD$5:$AD$83&gt;0)),""))</f>
        <v>2</v>
      </c>
      <c r="M476" s="34" t="n">
        <f aca="false">IF(NOT(ISNUMBER($G476)),"",IF(J476=0,4,MAX(MATCH(L476,'Residual Config'!$E$11:$E$14,1),IF(K476&gt;0,'Residual Config'!$C$7,1))))</f>
        <v>2</v>
      </c>
      <c r="N476" s="7" t="str">
        <f aca="false">IF(NOT(ISNUMBER($G476)),"",IF(J476=0,"Ineffective (no key control)",INDEX('Residual Config'!$B$11:$B$14,M476)))</f>
        <v>Largely effective</v>
      </c>
      <c r="O476" s="36" t="n">
        <f aca="false">IF(NOT(ISNUMBER($G476)),"",IF(J476=0,0,SUMPRODUCT(('Control Mapping'!$C$5:$C$83=D476)*'Control Mapping'!$E$5:$E$83*(('Control Mapping'!$AD$5:$AD$83=1)*'Residual Config'!$D$11+('Control Mapping'!$AD$5:$AD$83=2)*'Residual Config'!$D$12+('Control Mapping'!$AD$5:$AD$83=3)*'Residual Config'!$D$13+('Control Mapping'!$AD$5:$AD$83=4)*'Residual Config'!$D$14))/SUMPRODUCT(('Control Mapping'!$C$5:$C$83=D476)*'Control Mapping'!$E$5:$E$83*('Control Mapping'!$AD$5:$AD$83&gt;0))))</f>
        <v>0.4</v>
      </c>
      <c r="P476" s="31" t="n">
        <f aca="false">IF(NOT(ISNUMBER($G476)),"",INDEX('Residual Config'!$B$19:$E$23,6-G476,M476))</f>
        <v>2</v>
      </c>
      <c r="Q476" s="29" t="n">
        <f aca="false">IF(NOT(ISNUMBER($G476)),"",MAX(1,F476*(1-O476)))</f>
        <v>1.8</v>
      </c>
      <c r="R476" s="31" t="n">
        <f aca="false">IF(NOT(ISNUMBER($G476)),"",MAX(MATCH(Q476,Config!$D$5:$D$9,1),G476-'Residual Config'!$C$6))</f>
        <v>1</v>
      </c>
      <c r="S476" s="34" t="n">
        <f aca="false">IF(NOT(ISNUMBER($G476)),"",IF('Residual Config'!$C$5="Numeric",R476,P476))</f>
        <v>2</v>
      </c>
      <c r="T476" s="7" t="str">
        <f aca="false">IF(G476="N/A","N/A",IF(S476="","No data",INDEX(Config!$B$5:$B$9,S476)))</f>
        <v>Medium-Low</v>
      </c>
      <c r="U476" s="32" t="n">
        <v>0</v>
      </c>
      <c r="V476" s="8"/>
      <c r="W476" s="33"/>
      <c r="X476" s="34" t="n">
        <f aca="false">IF(S476="","",IF(AND(W476="Y",U476&lt;&gt;0),MAX(1,MIN(5,S476+MAX(-Config!$C$27,MIN(Config!$C$27,U476)))),S476))</f>
        <v>2</v>
      </c>
      <c r="Y476" s="35" t="str">
        <f aca="false">IF(G476="N/A","N/A",IF(X476="","No data",INDEX(Config!$B$5:$B$9,X476)))</f>
        <v>Medium-Low</v>
      </c>
      <c r="Z476" s="7" t="str">
        <f aca="false">IF(U476=0,"None",IF(W476="Y","Applied","Pending HO approval"))</f>
        <v>None</v>
      </c>
      <c r="AA476" s="12" t="str">
        <f aca="false">INDEX('Risk Taxonomy'!$G$5:$G$24,MATCH(D476,'Risk Taxonomy'!$A$5:$A$24,0))</f>
        <v>Moderate</v>
      </c>
      <c r="AB476" s="7" t="str">
        <f aca="false">INDEX('Risk Taxonomy'!$H$5:$H$24,MATCH(D476,'Risk Taxonomy'!$A$5:$A$24,0))</f>
        <v>Medium-High</v>
      </c>
      <c r="AC476" s="35" t="str">
        <f aca="false">IF(NOT(ISNUMBER(X476)),"",IF(X476&lt;=MATCH(AB476,Config!$B$5:$B$9,0),"Within",IF(OR(X476-MATCH(AB476,Config!$B$5:$B$9,0)&gt;=2,AND('Residual Config'!$C$8="Y",ISNUMBER(SEARCH("Zero",AA476)))),"Red","Amber")))</f>
        <v>Within</v>
      </c>
      <c r="AD476" s="12" t="str">
        <f aca="false">IF(AC476="Red","Group CCO / CRO and Country CEO within 2 business days; action plan in 15 days; report to Board Risk &amp; Compliance Committee",IF(AC476="Amber","Country CO, risk owner and HO Administrator within 5 business days; action plan in 30 days",""))</f>
        <v/>
      </c>
    </row>
    <row r="477" customFormat="false" ht="15" hidden="false" customHeight="false" outlineLevel="0" collapsed="false">
      <c r="A477" s="26" t="str">
        <f aca="false">Entities!$A$28</f>
        <v>DE</v>
      </c>
      <c r="B477" s="12" t="str">
        <f aca="false">INDEX(Entities!$B$5:$B$34,MATCH(A477,Entities!$A$5:$A$34,0))</f>
        <v>Arab Bank – Germany</v>
      </c>
      <c r="C477" s="12" t="str">
        <f aca="false">INDEX(Entities!$D$5:$D$34,MATCH(A477,Entities!$A$5:$A$34,0))</f>
        <v>Europe</v>
      </c>
      <c r="D477" s="12" t="s">
        <v>302</v>
      </c>
      <c r="E477" s="12" t="str">
        <f aca="false">INDEX('Risk Taxonomy'!$B$5:$B$24,MATCH(D477,'Risk Taxonomy'!$A$5:$A$24,0))</f>
        <v>Market risk</v>
      </c>
      <c r="F477" s="29" t="n">
        <f aca="false">IF(NOT(ISNUMBER(G477)),"",G477)</f>
        <v>2</v>
      </c>
      <c r="G477" s="34" t="n">
        <f aca="false">IF(COUNTIFS('LxI Assessment'!$A$5:$A$394,A477,'LxI Assessment'!$D$5:$D$394,D477,'LxI Assessment'!$F$5:$F$394,"N/A")&gt;0,"N/A",IF(COUNTIFS('LxI Assessment'!$A$5:$A$394,A477,'LxI Assessment'!$D$5:$D$394,D477,'LxI Assessment'!$S$5:$S$394,"&gt;0")=0,"",SUMIFS('LxI Assessment'!$S$5:$S$394,'LxI Assessment'!$A$5:$A$394,A477,'LxI Assessment'!$D$5:$D$394,D477)))</f>
        <v>2</v>
      </c>
      <c r="H477" s="7" t="str">
        <f aca="false">IF(G477="N/A","N/A",IF(G477="","No data",INDEX(Config!$B$5:$B$9,G477)))</f>
        <v>Medium-Low</v>
      </c>
      <c r="I477" s="31" t="n">
        <f aca="false">IF(NOT(ISNUMBER($G477)),"",SUMPRODUCT(('Control Mapping'!$C$5:$C$83=D477)*('Control Mapping'!$AD$5:$AD$83&gt;0)))</f>
        <v>1</v>
      </c>
      <c r="J477" s="31" t="n">
        <f aca="false">IF(NOT(ISNUMBER($G477)),"",SUMPRODUCT(('Control Mapping'!$C$5:$C$83=D477)*('Control Mapping'!$F$5:$F$83="Y")*('Control Mapping'!$AD$5:$AD$83&gt;0)))</f>
        <v>1</v>
      </c>
      <c r="K477" s="31" t="n">
        <f aca="false">IF(NOT(ISNUMBER($G477)),"",SUMPRODUCT(('Control Mapping'!$C$5:$C$83=D477)*('Control Mapping'!$F$5:$F$83="Y")*('Control Mapping'!$AD$5:$AD$83=4)))</f>
        <v>0</v>
      </c>
      <c r="L477" s="29" t="n">
        <f aca="false">IF(NOT(ISNUMBER($G477)),"",IFERROR(SUMPRODUCT(('Control Mapping'!$C$5:$C$83=D477)*'Control Mapping'!$E$5:$E$83*'Control Mapping'!$AD$5:$AD$83)/SUMPRODUCT(('Control Mapping'!$C$5:$C$83=D477)*'Control Mapping'!$E$5:$E$83*('Control Mapping'!$AD$5:$AD$83&gt;0)),""))</f>
        <v>2</v>
      </c>
      <c r="M477" s="34" t="n">
        <f aca="false">IF(NOT(ISNUMBER($G477)),"",IF(J477=0,4,MAX(MATCH(L477,'Residual Config'!$E$11:$E$14,1),IF(K477&gt;0,'Residual Config'!$C$7,1))))</f>
        <v>2</v>
      </c>
      <c r="N477" s="7" t="str">
        <f aca="false">IF(NOT(ISNUMBER($G477)),"",IF(J477=0,"Ineffective (no key control)",INDEX('Residual Config'!$B$11:$B$14,M477)))</f>
        <v>Largely effective</v>
      </c>
      <c r="O477" s="36" t="n">
        <f aca="false">IF(NOT(ISNUMBER($G477)),"",IF(J477=0,0,SUMPRODUCT(('Control Mapping'!$C$5:$C$83=D477)*'Control Mapping'!$E$5:$E$83*(('Control Mapping'!$AD$5:$AD$83=1)*'Residual Config'!$D$11+('Control Mapping'!$AD$5:$AD$83=2)*'Residual Config'!$D$12+('Control Mapping'!$AD$5:$AD$83=3)*'Residual Config'!$D$13+('Control Mapping'!$AD$5:$AD$83=4)*'Residual Config'!$D$14))/SUMPRODUCT(('Control Mapping'!$C$5:$C$83=D477)*'Control Mapping'!$E$5:$E$83*('Control Mapping'!$AD$5:$AD$83&gt;0))))</f>
        <v>0.4</v>
      </c>
      <c r="P477" s="31" t="n">
        <f aca="false">IF(NOT(ISNUMBER($G477)),"",INDEX('Residual Config'!$B$19:$E$23,6-G477,M477))</f>
        <v>1</v>
      </c>
      <c r="Q477" s="29" t="n">
        <f aca="false">IF(NOT(ISNUMBER($G477)),"",MAX(1,F477*(1-O477)))</f>
        <v>1.2</v>
      </c>
      <c r="R477" s="31" t="n">
        <f aca="false">IF(NOT(ISNUMBER($G477)),"",MAX(MATCH(Q477,Config!$D$5:$D$9,1),G477-'Residual Config'!$C$6))</f>
        <v>1</v>
      </c>
      <c r="S477" s="34" t="n">
        <f aca="false">IF(NOT(ISNUMBER($G477)),"",IF('Residual Config'!$C$5="Numeric",R477,P477))</f>
        <v>1</v>
      </c>
      <c r="T477" s="7" t="str">
        <f aca="false">IF(G477="N/A","N/A",IF(S477="","No data",INDEX(Config!$B$5:$B$9,S477)))</f>
        <v>Low</v>
      </c>
      <c r="U477" s="32" t="n">
        <v>0</v>
      </c>
      <c r="V477" s="8"/>
      <c r="W477" s="33"/>
      <c r="X477" s="34" t="n">
        <f aca="false">IF(S477="","",IF(AND(W477="Y",U477&lt;&gt;0),MAX(1,MIN(5,S477+MAX(-Config!$C$27,MIN(Config!$C$27,U477)))),S477))</f>
        <v>1</v>
      </c>
      <c r="Y477" s="35" t="str">
        <f aca="false">IF(G477="N/A","N/A",IF(X477="","No data",INDEX(Config!$B$5:$B$9,X477)))</f>
        <v>Low</v>
      </c>
      <c r="Z477" s="7" t="str">
        <f aca="false">IF(U477=0,"None",IF(W477="Y","Applied","Pending HO approval"))</f>
        <v>None</v>
      </c>
      <c r="AA477" s="12" t="str">
        <f aca="false">INDEX('Risk Taxonomy'!$G$5:$G$24,MATCH(D477,'Risk Taxonomy'!$A$5:$A$24,0))</f>
        <v>Moderate</v>
      </c>
      <c r="AB477" s="7" t="str">
        <f aca="false">INDEX('Risk Taxonomy'!$H$5:$H$24,MATCH(D477,'Risk Taxonomy'!$A$5:$A$24,0))</f>
        <v>Medium-High</v>
      </c>
      <c r="AC477" s="35" t="str">
        <f aca="false">IF(NOT(ISNUMBER(X477)),"",IF(X477&lt;=MATCH(AB477,Config!$B$5:$B$9,0),"Within",IF(OR(X477-MATCH(AB477,Config!$B$5:$B$9,0)&gt;=2,AND('Residual Config'!$C$8="Y",ISNUMBER(SEARCH("Zero",AA477)))),"Red","Amber")))</f>
        <v>Within</v>
      </c>
      <c r="AD477" s="12" t="str">
        <f aca="false">IF(AC477="Red","Group CCO / CRO and Country CEO within 2 business days; action plan in 15 days; report to Board Risk &amp; Compliance Committee",IF(AC477="Amber","Country CO, risk owner and HO Administrator within 5 business days; action plan in 30 days",""))</f>
        <v/>
      </c>
    </row>
    <row r="478" customFormat="false" ht="15" hidden="false" customHeight="false" outlineLevel="0" collapsed="false">
      <c r="A478" s="26" t="str">
        <f aca="false">Entities!$A$28</f>
        <v>DE</v>
      </c>
      <c r="B478" s="12" t="str">
        <f aca="false">INDEX(Entities!$B$5:$B$34,MATCH(A478,Entities!$A$5:$A$34,0))</f>
        <v>Arab Bank – Germany</v>
      </c>
      <c r="C478" s="12" t="str">
        <f aca="false">INDEX(Entities!$D$5:$D$34,MATCH(A478,Entities!$A$5:$A$34,0))</f>
        <v>Europe</v>
      </c>
      <c r="D478" s="12" t="s">
        <v>304</v>
      </c>
      <c r="E478" s="12" t="str">
        <f aca="false">INDEX('Risk Taxonomy'!$B$5:$B$24,MATCH(D478,'Risk Taxonomy'!$A$5:$A$24,0))</f>
        <v>Liquidity and funding risk</v>
      </c>
      <c r="F478" s="29" t="n">
        <f aca="false">IF(NOT(ISNUMBER(G478)),"",G478)</f>
        <v>1</v>
      </c>
      <c r="G478" s="34" t="n">
        <f aca="false">IF(COUNTIFS('LxI Assessment'!$A$5:$A$394,A478,'LxI Assessment'!$D$5:$D$394,D478,'LxI Assessment'!$F$5:$F$394,"N/A")&gt;0,"N/A",IF(COUNTIFS('LxI Assessment'!$A$5:$A$394,A478,'LxI Assessment'!$D$5:$D$394,D478,'LxI Assessment'!$S$5:$S$394,"&gt;0")=0,"",SUMIFS('LxI Assessment'!$S$5:$S$394,'LxI Assessment'!$A$5:$A$394,A478,'LxI Assessment'!$D$5:$D$394,D478)))</f>
        <v>1</v>
      </c>
      <c r="H478" s="7" t="str">
        <f aca="false">IF(G478="N/A","N/A",IF(G478="","No data",INDEX(Config!$B$5:$B$9,G478)))</f>
        <v>Low</v>
      </c>
      <c r="I478" s="31" t="n">
        <f aca="false">IF(NOT(ISNUMBER($G478)),"",SUMPRODUCT(('Control Mapping'!$C$5:$C$83=D478)*('Control Mapping'!$AD$5:$AD$83&gt;0)))</f>
        <v>1</v>
      </c>
      <c r="J478" s="31" t="n">
        <f aca="false">IF(NOT(ISNUMBER($G478)),"",SUMPRODUCT(('Control Mapping'!$C$5:$C$83=D478)*('Control Mapping'!$F$5:$F$83="Y")*('Control Mapping'!$AD$5:$AD$83&gt;0)))</f>
        <v>1</v>
      </c>
      <c r="K478" s="31" t="n">
        <f aca="false">IF(NOT(ISNUMBER($G478)),"",SUMPRODUCT(('Control Mapping'!$C$5:$C$83=D478)*('Control Mapping'!$F$5:$F$83="Y")*('Control Mapping'!$AD$5:$AD$83=4)))</f>
        <v>0</v>
      </c>
      <c r="L478" s="29" t="n">
        <f aca="false">IF(NOT(ISNUMBER($G478)),"",IFERROR(SUMPRODUCT(('Control Mapping'!$C$5:$C$83=D478)*'Control Mapping'!$E$5:$E$83*'Control Mapping'!$AD$5:$AD$83)/SUMPRODUCT(('Control Mapping'!$C$5:$C$83=D478)*'Control Mapping'!$E$5:$E$83*('Control Mapping'!$AD$5:$AD$83&gt;0)),""))</f>
        <v>1</v>
      </c>
      <c r="M478" s="34" t="n">
        <f aca="false">IF(NOT(ISNUMBER($G478)),"",IF(J478=0,4,MAX(MATCH(L478,'Residual Config'!$E$11:$E$14,1),IF(K478&gt;0,'Residual Config'!$C$7,1))))</f>
        <v>1</v>
      </c>
      <c r="N478" s="7" t="str">
        <f aca="false">IF(NOT(ISNUMBER($G478)),"",IF(J478=0,"Ineffective (no key control)",INDEX('Residual Config'!$B$11:$B$14,M478)))</f>
        <v>Effective</v>
      </c>
      <c r="O478" s="36" t="n">
        <f aca="false">IF(NOT(ISNUMBER($G478)),"",IF(J478=0,0,SUMPRODUCT(('Control Mapping'!$C$5:$C$83=D478)*'Control Mapping'!$E$5:$E$83*(('Control Mapping'!$AD$5:$AD$83=1)*'Residual Config'!$D$11+('Control Mapping'!$AD$5:$AD$83=2)*'Residual Config'!$D$12+('Control Mapping'!$AD$5:$AD$83=3)*'Residual Config'!$D$13+('Control Mapping'!$AD$5:$AD$83=4)*'Residual Config'!$D$14))/SUMPRODUCT(('Control Mapping'!$C$5:$C$83=D478)*'Control Mapping'!$E$5:$E$83*('Control Mapping'!$AD$5:$AD$83&gt;0))))</f>
        <v>0.6</v>
      </c>
      <c r="P478" s="31" t="n">
        <f aca="false">IF(NOT(ISNUMBER($G478)),"",INDEX('Residual Config'!$B$19:$E$23,6-G478,M478))</f>
        <v>1</v>
      </c>
      <c r="Q478" s="29" t="n">
        <f aca="false">IF(NOT(ISNUMBER($G478)),"",MAX(1,F478*(1-O478)))</f>
        <v>1</v>
      </c>
      <c r="R478" s="31" t="n">
        <f aca="false">IF(NOT(ISNUMBER($G478)),"",MAX(MATCH(Q478,Config!$D$5:$D$9,1),G478-'Residual Config'!$C$6))</f>
        <v>1</v>
      </c>
      <c r="S478" s="34" t="n">
        <f aca="false">IF(NOT(ISNUMBER($G478)),"",IF('Residual Config'!$C$5="Numeric",R478,P478))</f>
        <v>1</v>
      </c>
      <c r="T478" s="7" t="str">
        <f aca="false">IF(G478="N/A","N/A",IF(S478="","No data",INDEX(Config!$B$5:$B$9,S478)))</f>
        <v>Low</v>
      </c>
      <c r="U478" s="32" t="n">
        <v>0</v>
      </c>
      <c r="V478" s="8"/>
      <c r="W478" s="33"/>
      <c r="X478" s="34" t="n">
        <f aca="false">IF(S478="","",IF(AND(W478="Y",U478&lt;&gt;0),MAX(1,MIN(5,S478+MAX(-Config!$C$27,MIN(Config!$C$27,U478)))),S478))</f>
        <v>1</v>
      </c>
      <c r="Y478" s="35" t="str">
        <f aca="false">IF(G478="N/A","N/A",IF(X478="","No data",INDEX(Config!$B$5:$B$9,X478)))</f>
        <v>Low</v>
      </c>
      <c r="Z478" s="7" t="str">
        <f aca="false">IF(U478=0,"None",IF(W478="Y","Applied","Pending HO approval"))</f>
        <v>None</v>
      </c>
      <c r="AA478" s="12" t="str">
        <f aca="false">INDEX('Risk Taxonomy'!$G$5:$G$24,MATCH(D478,'Risk Taxonomy'!$A$5:$A$24,0))</f>
        <v>Low</v>
      </c>
      <c r="AB478" s="7" t="str">
        <f aca="false">INDEX('Risk Taxonomy'!$H$5:$H$24,MATCH(D478,'Risk Taxonomy'!$A$5:$A$24,0))</f>
        <v>Medium</v>
      </c>
      <c r="AC478" s="35" t="str">
        <f aca="false">IF(NOT(ISNUMBER(X478)),"",IF(X478&lt;=MATCH(AB478,Config!$B$5:$B$9,0),"Within",IF(OR(X478-MATCH(AB478,Config!$B$5:$B$9,0)&gt;=2,AND('Residual Config'!$C$8="Y",ISNUMBER(SEARCH("Zero",AA478)))),"Red","Amber")))</f>
        <v>Within</v>
      </c>
      <c r="AD478" s="12" t="str">
        <f aca="false">IF(AC478="Red","Group CCO / CRO and Country CEO within 2 business days; action plan in 15 days; report to Board Risk &amp; Compliance Committee",IF(AC478="Amber","Country CO, risk owner and HO Administrator within 5 business days; action plan in 30 days",""))</f>
        <v/>
      </c>
    </row>
    <row r="479" customFormat="false" ht="15" hidden="false" customHeight="false" outlineLevel="0" collapsed="false">
      <c r="A479" s="26" t="str">
        <f aca="false">Entities!$A$28</f>
        <v>DE</v>
      </c>
      <c r="B479" s="12" t="str">
        <f aca="false">INDEX(Entities!$B$5:$B$34,MATCH(A479,Entities!$A$5:$A$34,0))</f>
        <v>Arab Bank – Germany</v>
      </c>
      <c r="C479" s="12" t="str">
        <f aca="false">INDEX(Entities!$D$5:$D$34,MATCH(A479,Entities!$A$5:$A$34,0))</f>
        <v>Europe</v>
      </c>
      <c r="D479" s="12" t="s">
        <v>307</v>
      </c>
      <c r="E479" s="12" t="str">
        <f aca="false">INDEX('Risk Taxonomy'!$B$5:$B$24,MATCH(D479,'Risk Taxonomy'!$A$5:$A$24,0))</f>
        <v>Operational risk</v>
      </c>
      <c r="F479" s="29" t="n">
        <f aca="false">IF(NOT(ISNUMBER(G479)),"",G479)</f>
        <v>2</v>
      </c>
      <c r="G479" s="34" t="n">
        <f aca="false">IF(COUNTIFS('LxI Assessment'!$A$5:$A$394,A479,'LxI Assessment'!$D$5:$D$394,D479,'LxI Assessment'!$F$5:$F$394,"N/A")&gt;0,"N/A",IF(COUNTIFS('LxI Assessment'!$A$5:$A$394,A479,'LxI Assessment'!$D$5:$D$394,D479,'LxI Assessment'!$S$5:$S$394,"&gt;0")=0,"",SUMIFS('LxI Assessment'!$S$5:$S$394,'LxI Assessment'!$A$5:$A$394,A479,'LxI Assessment'!$D$5:$D$394,D479)))</f>
        <v>2</v>
      </c>
      <c r="H479" s="7" t="str">
        <f aca="false">IF(G479="N/A","N/A",IF(G479="","No data",INDEX(Config!$B$5:$B$9,G479)))</f>
        <v>Medium-Low</v>
      </c>
      <c r="I479" s="31" t="n">
        <f aca="false">IF(NOT(ISNUMBER($G479)),"",SUMPRODUCT(('Control Mapping'!$C$5:$C$83=D479)*('Control Mapping'!$AD$5:$AD$83&gt;0)))</f>
        <v>3</v>
      </c>
      <c r="J479" s="31" t="n">
        <f aca="false">IF(NOT(ISNUMBER($G479)),"",SUMPRODUCT(('Control Mapping'!$C$5:$C$83=D479)*('Control Mapping'!$F$5:$F$83="Y")*('Control Mapping'!$AD$5:$AD$83&gt;0)))</f>
        <v>2</v>
      </c>
      <c r="K479" s="31" t="n">
        <f aca="false">IF(NOT(ISNUMBER($G479)),"",SUMPRODUCT(('Control Mapping'!$C$5:$C$83=D479)*('Control Mapping'!$F$5:$F$83="Y")*('Control Mapping'!$AD$5:$AD$83=4)))</f>
        <v>0</v>
      </c>
      <c r="L479" s="29" t="n">
        <f aca="false">IF(NOT(ISNUMBER($G479)),"",IFERROR(SUMPRODUCT(('Control Mapping'!$C$5:$C$83=D479)*'Control Mapping'!$E$5:$E$83*'Control Mapping'!$AD$5:$AD$83)/SUMPRODUCT(('Control Mapping'!$C$5:$C$83=D479)*'Control Mapping'!$E$5:$E$83*('Control Mapping'!$AD$5:$AD$83&gt;0)),""))</f>
        <v>1.33333333333333</v>
      </c>
      <c r="M479" s="34" t="n">
        <f aca="false">IF(NOT(ISNUMBER($G479)),"",IF(J479=0,4,MAX(MATCH(L479,'Residual Config'!$E$11:$E$14,1),IF(K479&gt;0,'Residual Config'!$C$7,1))))</f>
        <v>1</v>
      </c>
      <c r="N479" s="7" t="str">
        <f aca="false">IF(NOT(ISNUMBER($G479)),"",IF(J479=0,"Ineffective (no key control)",INDEX('Residual Config'!$B$11:$B$14,M479)))</f>
        <v>Effective</v>
      </c>
      <c r="O479" s="36" t="n">
        <f aca="false">IF(NOT(ISNUMBER($G479)),"",IF(J479=0,0,SUMPRODUCT(('Control Mapping'!$C$5:$C$83=D479)*'Control Mapping'!$E$5:$E$83*(('Control Mapping'!$AD$5:$AD$83=1)*'Residual Config'!$D$11+('Control Mapping'!$AD$5:$AD$83=2)*'Residual Config'!$D$12+('Control Mapping'!$AD$5:$AD$83=3)*'Residual Config'!$D$13+('Control Mapping'!$AD$5:$AD$83=4)*'Residual Config'!$D$14))/SUMPRODUCT(('Control Mapping'!$C$5:$C$83=D479)*'Control Mapping'!$E$5:$E$83*('Control Mapping'!$AD$5:$AD$83&gt;0))))</f>
        <v>0.533333333333333</v>
      </c>
      <c r="P479" s="31" t="n">
        <f aca="false">IF(NOT(ISNUMBER($G479)),"",INDEX('Residual Config'!$B$19:$E$23,6-G479,M479))</f>
        <v>1</v>
      </c>
      <c r="Q479" s="29" t="n">
        <f aca="false">IF(NOT(ISNUMBER($G479)),"",MAX(1,F479*(1-O479)))</f>
        <v>1</v>
      </c>
      <c r="R479" s="31" t="n">
        <f aca="false">IF(NOT(ISNUMBER($G479)),"",MAX(MATCH(Q479,Config!$D$5:$D$9,1),G479-'Residual Config'!$C$6))</f>
        <v>1</v>
      </c>
      <c r="S479" s="34" t="n">
        <f aca="false">IF(NOT(ISNUMBER($G479)),"",IF('Residual Config'!$C$5="Numeric",R479,P479))</f>
        <v>1</v>
      </c>
      <c r="T479" s="7" t="str">
        <f aca="false">IF(G479="N/A","N/A",IF(S479="","No data",INDEX(Config!$B$5:$B$9,S479)))</f>
        <v>Low</v>
      </c>
      <c r="U479" s="32" t="n">
        <v>0</v>
      </c>
      <c r="V479" s="8"/>
      <c r="W479" s="33"/>
      <c r="X479" s="34" t="n">
        <f aca="false">IF(S479="","",IF(AND(W479="Y",U479&lt;&gt;0),MAX(1,MIN(5,S479+MAX(-Config!$C$27,MIN(Config!$C$27,U479)))),S479))</f>
        <v>1</v>
      </c>
      <c r="Y479" s="35" t="str">
        <f aca="false">IF(G479="N/A","N/A",IF(X479="","No data",INDEX(Config!$B$5:$B$9,X479)))</f>
        <v>Low</v>
      </c>
      <c r="Z479" s="7" t="str">
        <f aca="false">IF(U479=0,"None",IF(W479="Y","Applied","Pending HO approval"))</f>
        <v>None</v>
      </c>
      <c r="AA479" s="12" t="str">
        <f aca="false">INDEX('Risk Taxonomy'!$G$5:$G$24,MATCH(D479,'Risk Taxonomy'!$A$5:$A$24,0))</f>
        <v>Low</v>
      </c>
      <c r="AB479" s="7" t="str">
        <f aca="false">INDEX('Risk Taxonomy'!$H$5:$H$24,MATCH(D479,'Risk Taxonomy'!$A$5:$A$24,0))</f>
        <v>Medium</v>
      </c>
      <c r="AC479" s="35" t="str">
        <f aca="false">IF(NOT(ISNUMBER(X479)),"",IF(X479&lt;=MATCH(AB479,Config!$B$5:$B$9,0),"Within",IF(OR(X479-MATCH(AB479,Config!$B$5:$B$9,0)&gt;=2,AND('Residual Config'!$C$8="Y",ISNUMBER(SEARCH("Zero",AA479)))),"Red","Amber")))</f>
        <v>Within</v>
      </c>
      <c r="AD479" s="12" t="str">
        <f aca="false">IF(AC479="Red","Group CCO / CRO and Country CEO within 2 business days; action plan in 15 days; report to Board Risk &amp; Compliance Committee",IF(AC479="Amber","Country CO, risk owner and HO Administrator within 5 business days; action plan in 30 days",""))</f>
        <v/>
      </c>
    </row>
    <row r="480" customFormat="false" ht="15" hidden="false" customHeight="false" outlineLevel="0" collapsed="false">
      <c r="A480" s="26" t="str">
        <f aca="false">Entities!$A$28</f>
        <v>DE</v>
      </c>
      <c r="B480" s="12" t="str">
        <f aca="false">INDEX(Entities!$B$5:$B$34,MATCH(A480,Entities!$A$5:$A$34,0))</f>
        <v>Arab Bank – Germany</v>
      </c>
      <c r="C480" s="12" t="str">
        <f aca="false">INDEX(Entities!$D$5:$D$34,MATCH(A480,Entities!$A$5:$A$34,0))</f>
        <v>Europe</v>
      </c>
      <c r="D480" s="12" t="s">
        <v>310</v>
      </c>
      <c r="E480" s="12" t="str">
        <f aca="false">INDEX('Risk Taxonomy'!$B$5:$B$24,MATCH(D480,'Risk Taxonomy'!$A$5:$A$24,0))</f>
        <v>Cyber, information security and technology</v>
      </c>
      <c r="F480" s="29" t="n">
        <f aca="false">IF(NOT(ISNUMBER(G480)),"",G480)</f>
        <v>1</v>
      </c>
      <c r="G480" s="34" t="n">
        <f aca="false">IF(COUNTIFS('LxI Assessment'!$A$5:$A$394,A480,'LxI Assessment'!$D$5:$D$394,D480,'LxI Assessment'!$F$5:$F$394,"N/A")&gt;0,"N/A",IF(COUNTIFS('LxI Assessment'!$A$5:$A$394,A480,'LxI Assessment'!$D$5:$D$394,D480,'LxI Assessment'!$S$5:$S$394,"&gt;0")=0,"",SUMIFS('LxI Assessment'!$S$5:$S$394,'LxI Assessment'!$A$5:$A$394,A480,'LxI Assessment'!$D$5:$D$394,D480)))</f>
        <v>1</v>
      </c>
      <c r="H480" s="7" t="str">
        <f aca="false">IF(G480="N/A","N/A",IF(G480="","No data",INDEX(Config!$B$5:$B$9,G480)))</f>
        <v>Low</v>
      </c>
      <c r="I480" s="31" t="n">
        <f aca="false">IF(NOT(ISNUMBER($G480)),"",SUMPRODUCT(('Control Mapping'!$C$5:$C$83=D480)*('Control Mapping'!$AD$5:$AD$83&gt;0)))</f>
        <v>4</v>
      </c>
      <c r="J480" s="31" t="n">
        <f aca="false">IF(NOT(ISNUMBER($G480)),"",SUMPRODUCT(('Control Mapping'!$C$5:$C$83=D480)*('Control Mapping'!$F$5:$F$83="Y")*('Control Mapping'!$AD$5:$AD$83&gt;0)))</f>
        <v>4</v>
      </c>
      <c r="K480" s="31" t="n">
        <f aca="false">IF(NOT(ISNUMBER($G480)),"",SUMPRODUCT(('Control Mapping'!$C$5:$C$83=D480)*('Control Mapping'!$F$5:$F$83="Y")*('Control Mapping'!$AD$5:$AD$83=4)))</f>
        <v>0</v>
      </c>
      <c r="L480" s="29" t="n">
        <f aca="false">IF(NOT(ISNUMBER($G480)),"",IFERROR(SUMPRODUCT(('Control Mapping'!$C$5:$C$83=D480)*'Control Mapping'!$E$5:$E$83*'Control Mapping'!$AD$5:$AD$83)/SUMPRODUCT(('Control Mapping'!$C$5:$C$83=D480)*'Control Mapping'!$E$5:$E$83*('Control Mapping'!$AD$5:$AD$83&gt;0)),""))</f>
        <v>1</v>
      </c>
      <c r="M480" s="34" t="n">
        <f aca="false">IF(NOT(ISNUMBER($G480)),"",IF(J480=0,4,MAX(MATCH(L480,'Residual Config'!$E$11:$E$14,1),IF(K480&gt;0,'Residual Config'!$C$7,1))))</f>
        <v>1</v>
      </c>
      <c r="N480" s="7" t="str">
        <f aca="false">IF(NOT(ISNUMBER($G480)),"",IF(J480=0,"Ineffective (no key control)",INDEX('Residual Config'!$B$11:$B$14,M480)))</f>
        <v>Effective</v>
      </c>
      <c r="O480" s="36" t="n">
        <f aca="false">IF(NOT(ISNUMBER($G480)),"",IF(J480=0,0,SUMPRODUCT(('Control Mapping'!$C$5:$C$83=D480)*'Control Mapping'!$E$5:$E$83*(('Control Mapping'!$AD$5:$AD$83=1)*'Residual Config'!$D$11+('Control Mapping'!$AD$5:$AD$83=2)*'Residual Config'!$D$12+('Control Mapping'!$AD$5:$AD$83=3)*'Residual Config'!$D$13+('Control Mapping'!$AD$5:$AD$83=4)*'Residual Config'!$D$14))/SUMPRODUCT(('Control Mapping'!$C$5:$C$83=D480)*'Control Mapping'!$E$5:$E$83*('Control Mapping'!$AD$5:$AD$83&gt;0))))</f>
        <v>0.6</v>
      </c>
      <c r="P480" s="31" t="n">
        <f aca="false">IF(NOT(ISNUMBER($G480)),"",INDEX('Residual Config'!$B$19:$E$23,6-G480,M480))</f>
        <v>1</v>
      </c>
      <c r="Q480" s="29" t="n">
        <f aca="false">IF(NOT(ISNUMBER($G480)),"",MAX(1,F480*(1-O480)))</f>
        <v>1</v>
      </c>
      <c r="R480" s="31" t="n">
        <f aca="false">IF(NOT(ISNUMBER($G480)),"",MAX(MATCH(Q480,Config!$D$5:$D$9,1),G480-'Residual Config'!$C$6))</f>
        <v>1</v>
      </c>
      <c r="S480" s="34" t="n">
        <f aca="false">IF(NOT(ISNUMBER($G480)),"",IF('Residual Config'!$C$5="Numeric",R480,P480))</f>
        <v>1</v>
      </c>
      <c r="T480" s="7" t="str">
        <f aca="false">IF(G480="N/A","N/A",IF(S480="","No data",INDEX(Config!$B$5:$B$9,S480)))</f>
        <v>Low</v>
      </c>
      <c r="U480" s="32" t="n">
        <v>0</v>
      </c>
      <c r="V480" s="8"/>
      <c r="W480" s="33"/>
      <c r="X480" s="34" t="n">
        <f aca="false">IF(S480="","",IF(AND(W480="Y",U480&lt;&gt;0),MAX(1,MIN(5,S480+MAX(-Config!$C$27,MIN(Config!$C$27,U480)))),S480))</f>
        <v>1</v>
      </c>
      <c r="Y480" s="35" t="str">
        <f aca="false">IF(G480="N/A","N/A",IF(X480="","No data",INDEX(Config!$B$5:$B$9,X480)))</f>
        <v>Low</v>
      </c>
      <c r="Z480" s="7" t="str">
        <f aca="false">IF(U480=0,"None",IF(W480="Y","Applied","Pending HO approval"))</f>
        <v>None</v>
      </c>
      <c r="AA480" s="12" t="str">
        <f aca="false">INDEX('Risk Taxonomy'!$G$5:$G$24,MATCH(D480,'Risk Taxonomy'!$A$5:$A$24,0))</f>
        <v>Very low</v>
      </c>
      <c r="AB480" s="7" t="str">
        <f aca="false">INDEX('Risk Taxonomy'!$H$5:$H$24,MATCH(D480,'Risk Taxonomy'!$A$5:$A$24,0))</f>
        <v>Medium-Low</v>
      </c>
      <c r="AC480" s="35" t="str">
        <f aca="false">IF(NOT(ISNUMBER(X480)),"",IF(X480&lt;=MATCH(AB480,Config!$B$5:$B$9,0),"Within",IF(OR(X480-MATCH(AB480,Config!$B$5:$B$9,0)&gt;=2,AND('Residual Config'!$C$8="Y",ISNUMBER(SEARCH("Zero",AA480)))),"Red","Amber")))</f>
        <v>Within</v>
      </c>
      <c r="AD480" s="12" t="str">
        <f aca="false">IF(AC480="Red","Group CCO / CRO and Country CEO within 2 business days; action plan in 15 days; report to Board Risk &amp; Compliance Committee",IF(AC480="Amber","Country CO, risk owner and HO Administrator within 5 business days; action plan in 30 days",""))</f>
        <v/>
      </c>
    </row>
    <row r="481" customFormat="false" ht="15" hidden="false" customHeight="false" outlineLevel="0" collapsed="false">
      <c r="A481" s="26" t="str">
        <f aca="false">Entities!$A$28</f>
        <v>DE</v>
      </c>
      <c r="B481" s="12" t="str">
        <f aca="false">INDEX(Entities!$B$5:$B$34,MATCH(A481,Entities!$A$5:$A$34,0))</f>
        <v>Arab Bank – Germany</v>
      </c>
      <c r="C481" s="12" t="str">
        <f aca="false">INDEX(Entities!$D$5:$D$34,MATCH(A481,Entities!$A$5:$A$34,0))</f>
        <v>Europe</v>
      </c>
      <c r="D481" s="12" t="s">
        <v>313</v>
      </c>
      <c r="E481" s="12" t="str">
        <f aca="false">INDEX('Risk Taxonomy'!$B$5:$B$24,MATCH(D481,'Risk Taxonomy'!$A$5:$A$24,0))</f>
        <v>Third-party and outsourcing</v>
      </c>
      <c r="F481" s="29" t="n">
        <f aca="false">IF(NOT(ISNUMBER(G481)),"",G481)</f>
        <v>1</v>
      </c>
      <c r="G481" s="34" t="n">
        <f aca="false">IF(COUNTIFS('LxI Assessment'!$A$5:$A$394,A481,'LxI Assessment'!$D$5:$D$394,D481,'LxI Assessment'!$F$5:$F$394,"N/A")&gt;0,"N/A",IF(COUNTIFS('LxI Assessment'!$A$5:$A$394,A481,'LxI Assessment'!$D$5:$D$394,D481,'LxI Assessment'!$S$5:$S$394,"&gt;0")=0,"",SUMIFS('LxI Assessment'!$S$5:$S$394,'LxI Assessment'!$A$5:$A$394,A481,'LxI Assessment'!$D$5:$D$394,D481)))</f>
        <v>1</v>
      </c>
      <c r="H481" s="7" t="str">
        <f aca="false">IF(G481="N/A","N/A",IF(G481="","No data",INDEX(Config!$B$5:$B$9,G481)))</f>
        <v>Low</v>
      </c>
      <c r="I481" s="31" t="n">
        <f aca="false">IF(NOT(ISNUMBER($G481)),"",SUMPRODUCT(('Control Mapping'!$C$5:$C$83=D481)*('Control Mapping'!$AD$5:$AD$83&gt;0)))</f>
        <v>2</v>
      </c>
      <c r="J481" s="31" t="n">
        <f aca="false">IF(NOT(ISNUMBER($G481)),"",SUMPRODUCT(('Control Mapping'!$C$5:$C$83=D481)*('Control Mapping'!$F$5:$F$83="Y")*('Control Mapping'!$AD$5:$AD$83&gt;0)))</f>
        <v>2</v>
      </c>
      <c r="K481" s="31" t="n">
        <f aca="false">IF(NOT(ISNUMBER($G481)),"",SUMPRODUCT(('Control Mapping'!$C$5:$C$83=D481)*('Control Mapping'!$F$5:$F$83="Y")*('Control Mapping'!$AD$5:$AD$83=4)))</f>
        <v>0</v>
      </c>
      <c r="L481" s="29" t="n">
        <f aca="false">IF(NOT(ISNUMBER($G481)),"",IFERROR(SUMPRODUCT(('Control Mapping'!$C$5:$C$83=D481)*'Control Mapping'!$E$5:$E$83*'Control Mapping'!$AD$5:$AD$83)/SUMPRODUCT(('Control Mapping'!$C$5:$C$83=D481)*'Control Mapping'!$E$5:$E$83*('Control Mapping'!$AD$5:$AD$83&gt;0)),""))</f>
        <v>1</v>
      </c>
      <c r="M481" s="34" t="n">
        <f aca="false">IF(NOT(ISNUMBER($G481)),"",IF(J481=0,4,MAX(MATCH(L481,'Residual Config'!$E$11:$E$14,1),IF(K481&gt;0,'Residual Config'!$C$7,1))))</f>
        <v>1</v>
      </c>
      <c r="N481" s="7" t="str">
        <f aca="false">IF(NOT(ISNUMBER($G481)),"",IF(J481=0,"Ineffective (no key control)",INDEX('Residual Config'!$B$11:$B$14,M481)))</f>
        <v>Effective</v>
      </c>
      <c r="O481" s="36" t="n">
        <f aca="false">IF(NOT(ISNUMBER($G481)),"",IF(J481=0,0,SUMPRODUCT(('Control Mapping'!$C$5:$C$83=D481)*'Control Mapping'!$E$5:$E$83*(('Control Mapping'!$AD$5:$AD$83=1)*'Residual Config'!$D$11+('Control Mapping'!$AD$5:$AD$83=2)*'Residual Config'!$D$12+('Control Mapping'!$AD$5:$AD$83=3)*'Residual Config'!$D$13+('Control Mapping'!$AD$5:$AD$83=4)*'Residual Config'!$D$14))/SUMPRODUCT(('Control Mapping'!$C$5:$C$83=D481)*'Control Mapping'!$E$5:$E$83*('Control Mapping'!$AD$5:$AD$83&gt;0))))</f>
        <v>0.6</v>
      </c>
      <c r="P481" s="31" t="n">
        <f aca="false">IF(NOT(ISNUMBER($G481)),"",INDEX('Residual Config'!$B$19:$E$23,6-G481,M481))</f>
        <v>1</v>
      </c>
      <c r="Q481" s="29" t="n">
        <f aca="false">IF(NOT(ISNUMBER($G481)),"",MAX(1,F481*(1-O481)))</f>
        <v>1</v>
      </c>
      <c r="R481" s="31" t="n">
        <f aca="false">IF(NOT(ISNUMBER($G481)),"",MAX(MATCH(Q481,Config!$D$5:$D$9,1),G481-'Residual Config'!$C$6))</f>
        <v>1</v>
      </c>
      <c r="S481" s="34" t="n">
        <f aca="false">IF(NOT(ISNUMBER($G481)),"",IF('Residual Config'!$C$5="Numeric",R481,P481))</f>
        <v>1</v>
      </c>
      <c r="T481" s="7" t="str">
        <f aca="false">IF(G481="N/A","N/A",IF(S481="","No data",INDEX(Config!$B$5:$B$9,S481)))</f>
        <v>Low</v>
      </c>
      <c r="U481" s="32" t="n">
        <v>0</v>
      </c>
      <c r="V481" s="8"/>
      <c r="W481" s="33"/>
      <c r="X481" s="34" t="n">
        <f aca="false">IF(S481="","",IF(AND(W481="Y",U481&lt;&gt;0),MAX(1,MIN(5,S481+MAX(-Config!$C$27,MIN(Config!$C$27,U481)))),S481))</f>
        <v>1</v>
      </c>
      <c r="Y481" s="35" t="str">
        <f aca="false">IF(G481="N/A","N/A",IF(X481="","No data",INDEX(Config!$B$5:$B$9,X481)))</f>
        <v>Low</v>
      </c>
      <c r="Z481" s="7" t="str">
        <f aca="false">IF(U481=0,"None",IF(W481="Y","Applied","Pending HO approval"))</f>
        <v>None</v>
      </c>
      <c r="AA481" s="12" t="str">
        <f aca="false">INDEX('Risk Taxonomy'!$G$5:$G$24,MATCH(D481,'Risk Taxonomy'!$A$5:$A$24,0))</f>
        <v>Low</v>
      </c>
      <c r="AB481" s="7" t="str">
        <f aca="false">INDEX('Risk Taxonomy'!$H$5:$H$24,MATCH(D481,'Risk Taxonomy'!$A$5:$A$24,0))</f>
        <v>Medium</v>
      </c>
      <c r="AC481" s="35" t="str">
        <f aca="false">IF(NOT(ISNUMBER(X481)),"",IF(X481&lt;=MATCH(AB481,Config!$B$5:$B$9,0),"Within",IF(OR(X481-MATCH(AB481,Config!$B$5:$B$9,0)&gt;=2,AND('Residual Config'!$C$8="Y",ISNUMBER(SEARCH("Zero",AA481)))),"Red","Amber")))</f>
        <v>Within</v>
      </c>
      <c r="AD481" s="12" t="str">
        <f aca="false">IF(AC481="Red","Group CCO / CRO and Country CEO within 2 business days; action plan in 15 days; report to Board Risk &amp; Compliance Committee",IF(AC481="Amber","Country CO, risk owner and HO Administrator within 5 business days; action plan in 30 days",""))</f>
        <v/>
      </c>
    </row>
    <row r="482" customFormat="false" ht="15" hidden="false" customHeight="false" outlineLevel="0" collapsed="false">
      <c r="A482" s="26" t="str">
        <f aca="false">Entities!$A$28</f>
        <v>DE</v>
      </c>
      <c r="B482" s="12" t="str">
        <f aca="false">INDEX(Entities!$B$5:$B$34,MATCH(A482,Entities!$A$5:$A$34,0))</f>
        <v>Arab Bank – Germany</v>
      </c>
      <c r="C482" s="12" t="str">
        <f aca="false">INDEX(Entities!$D$5:$D$34,MATCH(A482,Entities!$A$5:$A$34,0))</f>
        <v>Europe</v>
      </c>
      <c r="D482" s="12" t="s">
        <v>316</v>
      </c>
      <c r="E482" s="12" t="str">
        <f aca="false">INDEX('Risk Taxonomy'!$B$5:$B$24,MATCH(D482,'Risk Taxonomy'!$A$5:$A$24,0))</f>
        <v>Legal and litigation</v>
      </c>
      <c r="F482" s="29" t="n">
        <f aca="false">IF(NOT(ISNUMBER(G482)),"",G482)</f>
        <v>2</v>
      </c>
      <c r="G482" s="34" t="n">
        <f aca="false">IF(COUNTIFS('LxI Assessment'!$A$5:$A$394,A482,'LxI Assessment'!$D$5:$D$394,D482,'LxI Assessment'!$F$5:$F$394,"N/A")&gt;0,"N/A",IF(COUNTIFS('LxI Assessment'!$A$5:$A$394,A482,'LxI Assessment'!$D$5:$D$394,D482,'LxI Assessment'!$S$5:$S$394,"&gt;0")=0,"",SUMIFS('LxI Assessment'!$S$5:$S$394,'LxI Assessment'!$A$5:$A$394,A482,'LxI Assessment'!$D$5:$D$394,D482)))</f>
        <v>2</v>
      </c>
      <c r="H482" s="7" t="str">
        <f aca="false">IF(G482="N/A","N/A",IF(G482="","No data",INDEX(Config!$B$5:$B$9,G482)))</f>
        <v>Medium-Low</v>
      </c>
      <c r="I482" s="31" t="n">
        <f aca="false">IF(NOT(ISNUMBER($G482)),"",SUMPRODUCT(('Control Mapping'!$C$5:$C$83=D482)*('Control Mapping'!$AD$5:$AD$83&gt;0)))</f>
        <v>1</v>
      </c>
      <c r="J482" s="31" t="n">
        <f aca="false">IF(NOT(ISNUMBER($G482)),"",SUMPRODUCT(('Control Mapping'!$C$5:$C$83=D482)*('Control Mapping'!$F$5:$F$83="Y")*('Control Mapping'!$AD$5:$AD$83&gt;0)))</f>
        <v>1</v>
      </c>
      <c r="K482" s="31" t="n">
        <f aca="false">IF(NOT(ISNUMBER($G482)),"",SUMPRODUCT(('Control Mapping'!$C$5:$C$83=D482)*('Control Mapping'!$F$5:$F$83="Y")*('Control Mapping'!$AD$5:$AD$83=4)))</f>
        <v>0</v>
      </c>
      <c r="L482" s="29" t="n">
        <f aca="false">IF(NOT(ISNUMBER($G482)),"",IFERROR(SUMPRODUCT(('Control Mapping'!$C$5:$C$83=D482)*'Control Mapping'!$E$5:$E$83*'Control Mapping'!$AD$5:$AD$83)/SUMPRODUCT(('Control Mapping'!$C$5:$C$83=D482)*'Control Mapping'!$E$5:$E$83*('Control Mapping'!$AD$5:$AD$83&gt;0)),""))</f>
        <v>1</v>
      </c>
      <c r="M482" s="34" t="n">
        <f aca="false">IF(NOT(ISNUMBER($G482)),"",IF(J482=0,4,MAX(MATCH(L482,'Residual Config'!$E$11:$E$14,1),IF(K482&gt;0,'Residual Config'!$C$7,1))))</f>
        <v>1</v>
      </c>
      <c r="N482" s="7" t="str">
        <f aca="false">IF(NOT(ISNUMBER($G482)),"",IF(J482=0,"Ineffective (no key control)",INDEX('Residual Config'!$B$11:$B$14,M482)))</f>
        <v>Effective</v>
      </c>
      <c r="O482" s="36" t="n">
        <f aca="false">IF(NOT(ISNUMBER($G482)),"",IF(J482=0,0,SUMPRODUCT(('Control Mapping'!$C$5:$C$83=D482)*'Control Mapping'!$E$5:$E$83*(('Control Mapping'!$AD$5:$AD$83=1)*'Residual Config'!$D$11+('Control Mapping'!$AD$5:$AD$83=2)*'Residual Config'!$D$12+('Control Mapping'!$AD$5:$AD$83=3)*'Residual Config'!$D$13+('Control Mapping'!$AD$5:$AD$83=4)*'Residual Config'!$D$14))/SUMPRODUCT(('Control Mapping'!$C$5:$C$83=D482)*'Control Mapping'!$E$5:$E$83*('Control Mapping'!$AD$5:$AD$83&gt;0))))</f>
        <v>0.6</v>
      </c>
      <c r="P482" s="31" t="n">
        <f aca="false">IF(NOT(ISNUMBER($G482)),"",INDEX('Residual Config'!$B$19:$E$23,6-G482,M482))</f>
        <v>1</v>
      </c>
      <c r="Q482" s="29" t="n">
        <f aca="false">IF(NOT(ISNUMBER($G482)),"",MAX(1,F482*(1-O482)))</f>
        <v>1</v>
      </c>
      <c r="R482" s="31" t="n">
        <f aca="false">IF(NOT(ISNUMBER($G482)),"",MAX(MATCH(Q482,Config!$D$5:$D$9,1),G482-'Residual Config'!$C$6))</f>
        <v>1</v>
      </c>
      <c r="S482" s="34" t="n">
        <f aca="false">IF(NOT(ISNUMBER($G482)),"",IF('Residual Config'!$C$5="Numeric",R482,P482))</f>
        <v>1</v>
      </c>
      <c r="T482" s="7" t="str">
        <f aca="false">IF(G482="N/A","N/A",IF(S482="","No data",INDEX(Config!$B$5:$B$9,S482)))</f>
        <v>Low</v>
      </c>
      <c r="U482" s="32" t="n">
        <v>0</v>
      </c>
      <c r="V482" s="8"/>
      <c r="W482" s="33"/>
      <c r="X482" s="34" t="n">
        <f aca="false">IF(S482="","",IF(AND(W482="Y",U482&lt;&gt;0),MAX(1,MIN(5,S482+MAX(-Config!$C$27,MIN(Config!$C$27,U482)))),S482))</f>
        <v>1</v>
      </c>
      <c r="Y482" s="35" t="str">
        <f aca="false">IF(G482="N/A","N/A",IF(X482="","No data",INDEX(Config!$B$5:$B$9,X482)))</f>
        <v>Low</v>
      </c>
      <c r="Z482" s="7" t="str">
        <f aca="false">IF(U482=0,"None",IF(W482="Y","Applied","Pending HO approval"))</f>
        <v>None</v>
      </c>
      <c r="AA482" s="12" t="str">
        <f aca="false">INDEX('Risk Taxonomy'!$G$5:$G$24,MATCH(D482,'Risk Taxonomy'!$A$5:$A$24,0))</f>
        <v>Very low</v>
      </c>
      <c r="AB482" s="7" t="str">
        <f aca="false">INDEX('Risk Taxonomy'!$H$5:$H$24,MATCH(D482,'Risk Taxonomy'!$A$5:$A$24,0))</f>
        <v>Medium-Low</v>
      </c>
      <c r="AC482" s="35" t="str">
        <f aca="false">IF(NOT(ISNUMBER(X482)),"",IF(X482&lt;=MATCH(AB482,Config!$B$5:$B$9,0),"Within",IF(OR(X482-MATCH(AB482,Config!$B$5:$B$9,0)&gt;=2,AND('Residual Config'!$C$8="Y",ISNUMBER(SEARCH("Zero",AA482)))),"Red","Amber")))</f>
        <v>Within</v>
      </c>
      <c r="AD482" s="12" t="str">
        <f aca="false">IF(AC482="Red","Group CCO / CRO and Country CEO within 2 business days; action plan in 15 days; report to Board Risk &amp; Compliance Committee",IF(AC482="Amber","Country CO, risk owner and HO Administrator within 5 business days; action plan in 30 days",""))</f>
        <v/>
      </c>
    </row>
    <row r="483" customFormat="false" ht="15" hidden="false" customHeight="false" outlineLevel="0" collapsed="false">
      <c r="A483" s="26" t="str">
        <f aca="false">Entities!$A$28</f>
        <v>DE</v>
      </c>
      <c r="B483" s="12" t="str">
        <f aca="false">INDEX(Entities!$B$5:$B$34,MATCH(A483,Entities!$A$5:$A$34,0))</f>
        <v>Arab Bank – Germany</v>
      </c>
      <c r="C483" s="12" t="str">
        <f aca="false">INDEX(Entities!$D$5:$D$34,MATCH(A483,Entities!$A$5:$A$34,0))</f>
        <v>Europe</v>
      </c>
      <c r="D483" s="12" t="s">
        <v>319</v>
      </c>
      <c r="E483" s="12" t="str">
        <f aca="false">INDEX('Risk Taxonomy'!$B$5:$B$24,MATCH(D483,'Risk Taxonomy'!$A$5:$A$24,0))</f>
        <v>Reputational</v>
      </c>
      <c r="F483" s="29" t="n">
        <f aca="false">IF(NOT(ISNUMBER(G483)),"",G483)</f>
        <v>1</v>
      </c>
      <c r="G483" s="34" t="n">
        <f aca="false">IF(COUNTIFS('LxI Assessment'!$A$5:$A$394,A483,'LxI Assessment'!$D$5:$D$394,D483,'LxI Assessment'!$F$5:$F$394,"N/A")&gt;0,"N/A",IF(COUNTIFS('LxI Assessment'!$A$5:$A$394,A483,'LxI Assessment'!$D$5:$D$394,D483,'LxI Assessment'!$S$5:$S$394,"&gt;0")=0,"",SUMIFS('LxI Assessment'!$S$5:$S$394,'LxI Assessment'!$A$5:$A$394,A483,'LxI Assessment'!$D$5:$D$394,D483)))</f>
        <v>1</v>
      </c>
      <c r="H483" s="7" t="str">
        <f aca="false">IF(G483="N/A","N/A",IF(G483="","No data",INDEX(Config!$B$5:$B$9,G483)))</f>
        <v>Low</v>
      </c>
      <c r="I483" s="31" t="n">
        <f aca="false">IF(NOT(ISNUMBER($G483)),"",SUMPRODUCT(('Control Mapping'!$C$5:$C$83=D483)*('Control Mapping'!$AD$5:$AD$83&gt;0)))</f>
        <v>2</v>
      </c>
      <c r="J483" s="31" t="n">
        <f aca="false">IF(NOT(ISNUMBER($G483)),"",SUMPRODUCT(('Control Mapping'!$C$5:$C$83=D483)*('Control Mapping'!$F$5:$F$83="Y")*('Control Mapping'!$AD$5:$AD$83&gt;0)))</f>
        <v>1</v>
      </c>
      <c r="K483" s="31" t="n">
        <f aca="false">IF(NOT(ISNUMBER($G483)),"",SUMPRODUCT(('Control Mapping'!$C$5:$C$83=D483)*('Control Mapping'!$F$5:$F$83="Y")*('Control Mapping'!$AD$5:$AD$83=4)))</f>
        <v>0</v>
      </c>
      <c r="L483" s="29" t="n">
        <f aca="false">IF(NOT(ISNUMBER($G483)),"",IFERROR(SUMPRODUCT(('Control Mapping'!$C$5:$C$83=D483)*'Control Mapping'!$E$5:$E$83*'Control Mapping'!$AD$5:$AD$83)/SUMPRODUCT(('Control Mapping'!$C$5:$C$83=D483)*'Control Mapping'!$E$5:$E$83*('Control Mapping'!$AD$5:$AD$83&gt;0)),""))</f>
        <v>1</v>
      </c>
      <c r="M483" s="34" t="n">
        <f aca="false">IF(NOT(ISNUMBER($G483)),"",IF(J483=0,4,MAX(MATCH(L483,'Residual Config'!$E$11:$E$14,1),IF(K483&gt;0,'Residual Config'!$C$7,1))))</f>
        <v>1</v>
      </c>
      <c r="N483" s="7" t="str">
        <f aca="false">IF(NOT(ISNUMBER($G483)),"",IF(J483=0,"Ineffective (no key control)",INDEX('Residual Config'!$B$11:$B$14,M483)))</f>
        <v>Effective</v>
      </c>
      <c r="O483" s="36" t="n">
        <f aca="false">IF(NOT(ISNUMBER($G483)),"",IF(J483=0,0,SUMPRODUCT(('Control Mapping'!$C$5:$C$83=D483)*'Control Mapping'!$E$5:$E$83*(('Control Mapping'!$AD$5:$AD$83=1)*'Residual Config'!$D$11+('Control Mapping'!$AD$5:$AD$83=2)*'Residual Config'!$D$12+('Control Mapping'!$AD$5:$AD$83=3)*'Residual Config'!$D$13+('Control Mapping'!$AD$5:$AD$83=4)*'Residual Config'!$D$14))/SUMPRODUCT(('Control Mapping'!$C$5:$C$83=D483)*'Control Mapping'!$E$5:$E$83*('Control Mapping'!$AD$5:$AD$83&gt;0))))</f>
        <v>0.6</v>
      </c>
      <c r="P483" s="31" t="n">
        <f aca="false">IF(NOT(ISNUMBER($G483)),"",INDEX('Residual Config'!$B$19:$E$23,6-G483,M483))</f>
        <v>1</v>
      </c>
      <c r="Q483" s="29" t="n">
        <f aca="false">IF(NOT(ISNUMBER($G483)),"",MAX(1,F483*(1-O483)))</f>
        <v>1</v>
      </c>
      <c r="R483" s="31" t="n">
        <f aca="false">IF(NOT(ISNUMBER($G483)),"",MAX(MATCH(Q483,Config!$D$5:$D$9,1),G483-'Residual Config'!$C$6))</f>
        <v>1</v>
      </c>
      <c r="S483" s="34" t="n">
        <f aca="false">IF(NOT(ISNUMBER($G483)),"",IF('Residual Config'!$C$5="Numeric",R483,P483))</f>
        <v>1</v>
      </c>
      <c r="T483" s="7" t="str">
        <f aca="false">IF(G483="N/A","N/A",IF(S483="","No data",INDEX(Config!$B$5:$B$9,S483)))</f>
        <v>Low</v>
      </c>
      <c r="U483" s="32" t="n">
        <v>0</v>
      </c>
      <c r="V483" s="8"/>
      <c r="W483" s="33"/>
      <c r="X483" s="34" t="n">
        <f aca="false">IF(S483="","",IF(AND(W483="Y",U483&lt;&gt;0),MAX(1,MIN(5,S483+MAX(-Config!$C$27,MIN(Config!$C$27,U483)))),S483))</f>
        <v>1</v>
      </c>
      <c r="Y483" s="35" t="str">
        <f aca="false">IF(G483="N/A","N/A",IF(X483="","No data",INDEX(Config!$B$5:$B$9,X483)))</f>
        <v>Low</v>
      </c>
      <c r="Z483" s="7" t="str">
        <f aca="false">IF(U483=0,"None",IF(W483="Y","Applied","Pending HO approval"))</f>
        <v>None</v>
      </c>
      <c r="AA483" s="12" t="str">
        <f aca="false">INDEX('Risk Taxonomy'!$G$5:$G$24,MATCH(D483,'Risk Taxonomy'!$A$5:$A$24,0))</f>
        <v>Low</v>
      </c>
      <c r="AB483" s="7" t="str">
        <f aca="false">INDEX('Risk Taxonomy'!$H$5:$H$24,MATCH(D483,'Risk Taxonomy'!$A$5:$A$24,0))</f>
        <v>Medium</v>
      </c>
      <c r="AC483" s="35" t="str">
        <f aca="false">IF(NOT(ISNUMBER(X483)),"",IF(X483&lt;=MATCH(AB483,Config!$B$5:$B$9,0),"Within",IF(OR(X483-MATCH(AB483,Config!$B$5:$B$9,0)&gt;=2,AND('Residual Config'!$C$8="Y",ISNUMBER(SEARCH("Zero",AA483)))),"Red","Amber")))</f>
        <v>Within</v>
      </c>
      <c r="AD483" s="12" t="str">
        <f aca="false">IF(AC483="Red","Group CCO / CRO and Country CEO within 2 business days; action plan in 15 days; report to Board Risk &amp; Compliance Committee",IF(AC483="Amber","Country CO, risk owner and HO Administrator within 5 business days; action plan in 30 days",""))</f>
        <v/>
      </c>
    </row>
    <row r="484" customFormat="false" ht="15" hidden="false" customHeight="false" outlineLevel="0" collapsed="false">
      <c r="A484" s="26" t="str">
        <f aca="false">Entities!$A$28</f>
        <v>DE</v>
      </c>
      <c r="B484" s="12" t="str">
        <f aca="false">INDEX(Entities!$B$5:$B$34,MATCH(A484,Entities!$A$5:$A$34,0))</f>
        <v>Arab Bank – Germany</v>
      </c>
      <c r="C484" s="12" t="str">
        <f aca="false">INDEX(Entities!$D$5:$D$34,MATCH(A484,Entities!$A$5:$A$34,0))</f>
        <v>Europe</v>
      </c>
      <c r="D484" s="12" t="s">
        <v>322</v>
      </c>
      <c r="E484" s="12" t="str">
        <f aca="false">INDEX('Risk Taxonomy'!$B$5:$B$24,MATCH(D484,'Risk Taxonomy'!$A$5:$A$24,0))</f>
        <v>Strategic, business model and ESG</v>
      </c>
      <c r="F484" s="29" t="n">
        <f aca="false">IF(NOT(ISNUMBER(G484)),"",G484)</f>
        <v>1</v>
      </c>
      <c r="G484" s="34" t="n">
        <f aca="false">IF(COUNTIFS('LxI Assessment'!$A$5:$A$394,A484,'LxI Assessment'!$D$5:$D$394,D484,'LxI Assessment'!$F$5:$F$394,"N/A")&gt;0,"N/A",IF(COUNTIFS('LxI Assessment'!$A$5:$A$394,A484,'LxI Assessment'!$D$5:$D$394,D484,'LxI Assessment'!$S$5:$S$394,"&gt;0")=0,"",SUMIFS('LxI Assessment'!$S$5:$S$394,'LxI Assessment'!$A$5:$A$394,A484,'LxI Assessment'!$D$5:$D$394,D484)))</f>
        <v>1</v>
      </c>
      <c r="H484" s="7" t="str">
        <f aca="false">IF(G484="N/A","N/A",IF(G484="","No data",INDEX(Config!$B$5:$B$9,G484)))</f>
        <v>Low</v>
      </c>
      <c r="I484" s="31" t="n">
        <f aca="false">IF(NOT(ISNUMBER($G484)),"",SUMPRODUCT(('Control Mapping'!$C$5:$C$83=D484)*('Control Mapping'!$AD$5:$AD$83&gt;0)))</f>
        <v>1</v>
      </c>
      <c r="J484" s="31" t="n">
        <f aca="false">IF(NOT(ISNUMBER($G484)),"",SUMPRODUCT(('Control Mapping'!$C$5:$C$83=D484)*('Control Mapping'!$F$5:$F$83="Y")*('Control Mapping'!$AD$5:$AD$83&gt;0)))</f>
        <v>1</v>
      </c>
      <c r="K484" s="31" t="n">
        <f aca="false">IF(NOT(ISNUMBER($G484)),"",SUMPRODUCT(('Control Mapping'!$C$5:$C$83=D484)*('Control Mapping'!$F$5:$F$83="Y")*('Control Mapping'!$AD$5:$AD$83=4)))</f>
        <v>0</v>
      </c>
      <c r="L484" s="29" t="n">
        <f aca="false">IF(NOT(ISNUMBER($G484)),"",IFERROR(SUMPRODUCT(('Control Mapping'!$C$5:$C$83=D484)*'Control Mapping'!$E$5:$E$83*'Control Mapping'!$AD$5:$AD$83)/SUMPRODUCT(('Control Mapping'!$C$5:$C$83=D484)*'Control Mapping'!$E$5:$E$83*('Control Mapping'!$AD$5:$AD$83&gt;0)),""))</f>
        <v>1</v>
      </c>
      <c r="M484" s="34" t="n">
        <f aca="false">IF(NOT(ISNUMBER($G484)),"",IF(J484=0,4,MAX(MATCH(L484,'Residual Config'!$E$11:$E$14,1),IF(K484&gt;0,'Residual Config'!$C$7,1))))</f>
        <v>1</v>
      </c>
      <c r="N484" s="7" t="str">
        <f aca="false">IF(NOT(ISNUMBER($G484)),"",IF(J484=0,"Ineffective (no key control)",INDEX('Residual Config'!$B$11:$B$14,M484)))</f>
        <v>Effective</v>
      </c>
      <c r="O484" s="36" t="n">
        <f aca="false">IF(NOT(ISNUMBER($G484)),"",IF(J484=0,0,SUMPRODUCT(('Control Mapping'!$C$5:$C$83=D484)*'Control Mapping'!$E$5:$E$83*(('Control Mapping'!$AD$5:$AD$83=1)*'Residual Config'!$D$11+('Control Mapping'!$AD$5:$AD$83=2)*'Residual Config'!$D$12+('Control Mapping'!$AD$5:$AD$83=3)*'Residual Config'!$D$13+('Control Mapping'!$AD$5:$AD$83=4)*'Residual Config'!$D$14))/SUMPRODUCT(('Control Mapping'!$C$5:$C$83=D484)*'Control Mapping'!$E$5:$E$83*('Control Mapping'!$AD$5:$AD$83&gt;0))))</f>
        <v>0.6</v>
      </c>
      <c r="P484" s="31" t="n">
        <f aca="false">IF(NOT(ISNUMBER($G484)),"",INDEX('Residual Config'!$B$19:$E$23,6-G484,M484))</f>
        <v>1</v>
      </c>
      <c r="Q484" s="29" t="n">
        <f aca="false">IF(NOT(ISNUMBER($G484)),"",MAX(1,F484*(1-O484)))</f>
        <v>1</v>
      </c>
      <c r="R484" s="31" t="n">
        <f aca="false">IF(NOT(ISNUMBER($G484)),"",MAX(MATCH(Q484,Config!$D$5:$D$9,1),G484-'Residual Config'!$C$6))</f>
        <v>1</v>
      </c>
      <c r="S484" s="34" t="n">
        <f aca="false">IF(NOT(ISNUMBER($G484)),"",IF('Residual Config'!$C$5="Numeric",R484,P484))</f>
        <v>1</v>
      </c>
      <c r="T484" s="7" t="str">
        <f aca="false">IF(G484="N/A","N/A",IF(S484="","No data",INDEX(Config!$B$5:$B$9,S484)))</f>
        <v>Low</v>
      </c>
      <c r="U484" s="32" t="n">
        <v>0</v>
      </c>
      <c r="V484" s="8"/>
      <c r="W484" s="33"/>
      <c r="X484" s="34" t="n">
        <f aca="false">IF(S484="","",IF(AND(W484="Y",U484&lt;&gt;0),MAX(1,MIN(5,S484+MAX(-Config!$C$27,MIN(Config!$C$27,U484)))),S484))</f>
        <v>1</v>
      </c>
      <c r="Y484" s="35" t="str">
        <f aca="false">IF(G484="N/A","N/A",IF(X484="","No data",INDEX(Config!$B$5:$B$9,X484)))</f>
        <v>Low</v>
      </c>
      <c r="Z484" s="7" t="str">
        <f aca="false">IF(U484=0,"None",IF(W484="Y","Applied","Pending HO approval"))</f>
        <v>None</v>
      </c>
      <c r="AA484" s="12" t="str">
        <f aca="false">INDEX('Risk Taxonomy'!$G$5:$G$24,MATCH(D484,'Risk Taxonomy'!$A$5:$A$24,0))</f>
        <v>Moderate</v>
      </c>
      <c r="AB484" s="7" t="str">
        <f aca="false">INDEX('Risk Taxonomy'!$H$5:$H$24,MATCH(D484,'Risk Taxonomy'!$A$5:$A$24,0))</f>
        <v>Medium-High</v>
      </c>
      <c r="AC484" s="35" t="str">
        <f aca="false">IF(NOT(ISNUMBER(X484)),"",IF(X484&lt;=MATCH(AB484,Config!$B$5:$B$9,0),"Within",IF(OR(X484-MATCH(AB484,Config!$B$5:$B$9,0)&gt;=2,AND('Residual Config'!$C$8="Y",ISNUMBER(SEARCH("Zero",AA484)))),"Red","Amber")))</f>
        <v>Within</v>
      </c>
      <c r="AD484" s="12" t="str">
        <f aca="false">IF(AC484="Red","Group CCO / CRO and Country CEO within 2 business days; action plan in 15 days; report to Board Risk &amp; Compliance Committee",IF(AC484="Amber","Country CO, risk owner and HO Administrator within 5 business days; action plan in 30 days",""))</f>
        <v/>
      </c>
    </row>
    <row r="485" customFormat="false" ht="15" hidden="false" customHeight="false" outlineLevel="0" collapsed="false">
      <c r="A485" s="26" t="str">
        <f aca="false">Entities!$A$29</f>
        <v>IT</v>
      </c>
      <c r="B485" s="12" t="str">
        <f aca="false">INDEX(Entities!$B$5:$B$34,MATCH(A485,Entities!$A$5:$A$34,0))</f>
        <v>Arab Bank – Italy</v>
      </c>
      <c r="C485" s="12" t="str">
        <f aca="false">INDEX(Entities!$D$5:$D$34,MATCH(A485,Entities!$A$5:$A$34,0))</f>
        <v>Europe</v>
      </c>
      <c r="D485" s="12" t="s">
        <v>260</v>
      </c>
      <c r="E485" s="12" t="str">
        <f aca="false">INDEX('Risk Taxonomy'!$B$5:$B$24,MATCH(D485,'Risk Taxonomy'!$A$5:$A$24,0))</f>
        <v>Money laundering</v>
      </c>
      <c r="F485" s="29" t="n">
        <f aca="false">IF(NOT(ISNUMBER(G485)),"",IFERROR(IF(MATCH(SUMIFS('FC Calculation'!$N$5:$N$214,'FC Calculation'!$A$5:$A$214,A485,'FC Calculation'!$D$5:$D$214,D485),Config!$D$5:$D$9,1)=G485,SUMIFS('FC Calculation'!$N$5:$N$214,'FC Calculation'!$A$5:$A$214,A485,'FC Calculation'!$D$5:$D$214,D485),G485),G485))</f>
        <v>1.97857142857143</v>
      </c>
      <c r="G485" s="34" t="n">
        <f aca="false">IF(COUNTIFS('FC Calculation'!$A$5:$A$214,A485,'FC Calculation'!$D$5:$D$214,D485,'FC Calculation'!$T$5:$T$214,"&gt;0")=0,"",SUMIFS('FC Calculation'!$T$5:$T$214,'FC Calculation'!$A$5:$A$214,A485,'FC Calculation'!$D$5:$D$214,D485))</f>
        <v>2</v>
      </c>
      <c r="H485" s="7" t="str">
        <f aca="false">IF(G485="N/A","N/A",IF(G485="","No data",INDEX(Config!$B$5:$B$9,G485)))</f>
        <v>Medium-Low</v>
      </c>
      <c r="I485" s="31" t="n">
        <f aca="false">IF(NOT(ISNUMBER($G485)),"",SUMPRODUCT(('Control Mapping'!$C$5:$C$83=D485)*('Control Mapping'!$AE$5:$AE$83&gt;0)))</f>
        <v>12</v>
      </c>
      <c r="J485" s="31" t="n">
        <f aca="false">IF(NOT(ISNUMBER($G485)),"",SUMPRODUCT(('Control Mapping'!$C$5:$C$83=D485)*('Control Mapping'!$F$5:$F$83="Y")*('Control Mapping'!$AE$5:$AE$83&gt;0)))</f>
        <v>9</v>
      </c>
      <c r="K485" s="31" t="n">
        <f aca="false">IF(NOT(ISNUMBER($G485)),"",SUMPRODUCT(('Control Mapping'!$C$5:$C$83=D485)*('Control Mapping'!$F$5:$F$83="Y")*('Control Mapping'!$AE$5:$AE$83=4)))</f>
        <v>0</v>
      </c>
      <c r="L485" s="29" t="n">
        <f aca="false">IF(NOT(ISNUMBER($G485)),"",IFERROR(SUMPRODUCT(('Control Mapping'!$C$5:$C$83=D485)*'Control Mapping'!$E$5:$E$83*'Control Mapping'!$AE$5:$AE$83)/SUMPRODUCT(('Control Mapping'!$C$5:$C$83=D485)*'Control Mapping'!$E$5:$E$83*('Control Mapping'!$AE$5:$AE$83&gt;0)),""))</f>
        <v>1.82608695652174</v>
      </c>
      <c r="M485" s="34" t="n">
        <f aca="false">IF(NOT(ISNUMBER($G485)),"",IF(J485=0,4,MAX(MATCH(L485,'Residual Config'!$E$11:$E$14,1),IF(K485&gt;0,'Residual Config'!$C$7,1))))</f>
        <v>2</v>
      </c>
      <c r="N485" s="7" t="str">
        <f aca="false">IF(NOT(ISNUMBER($G485)),"",IF(J485=0,"Ineffective (no key control)",INDEX('Residual Config'!$B$11:$B$14,M485)))</f>
        <v>Largely effective</v>
      </c>
      <c r="O485" s="36" t="n">
        <f aca="false">IF(NOT(ISNUMBER($G485)),"",IF(J485=0,0,SUMPRODUCT(('Control Mapping'!$C$5:$C$83=D485)*'Control Mapping'!$E$5:$E$83*(('Control Mapping'!$AE$5:$AE$83=1)*'Residual Config'!$D$11+('Control Mapping'!$AE$5:$AE$83=2)*'Residual Config'!$D$12+('Control Mapping'!$AE$5:$AE$83=3)*'Residual Config'!$D$13+('Control Mapping'!$AE$5:$AE$83=4)*'Residual Config'!$D$14))/SUMPRODUCT(('Control Mapping'!$C$5:$C$83=D485)*'Control Mapping'!$E$5:$E$83*('Control Mapping'!$AE$5:$AE$83&gt;0))))</f>
        <v>0.434782608695652</v>
      </c>
      <c r="P485" s="31" t="n">
        <f aca="false">IF(NOT(ISNUMBER($G485)),"",INDEX('Residual Config'!$B$19:$E$23,6-G485,M485))</f>
        <v>1</v>
      </c>
      <c r="Q485" s="29" t="n">
        <f aca="false">IF(NOT(ISNUMBER($G485)),"",MAX(1,F485*(1-O485)))</f>
        <v>1.11832298136646</v>
      </c>
      <c r="R485" s="31" t="n">
        <f aca="false">IF(NOT(ISNUMBER($G485)),"",MAX(MATCH(Q485,Config!$D$5:$D$9,1),G485-'Residual Config'!$C$6))</f>
        <v>1</v>
      </c>
      <c r="S485" s="34" t="n">
        <f aca="false">IF(NOT(ISNUMBER($G485)),"",IF('Residual Config'!$C$5="Numeric",R485,P485))</f>
        <v>1</v>
      </c>
      <c r="T485" s="7" t="str">
        <f aca="false">IF(G485="N/A","N/A",IF(S485="","No data",INDEX(Config!$B$5:$B$9,S485)))</f>
        <v>Low</v>
      </c>
      <c r="U485" s="32" t="n">
        <v>0</v>
      </c>
      <c r="V485" s="8"/>
      <c r="W485" s="33"/>
      <c r="X485" s="34" t="n">
        <f aca="false">IF(S485="","",IF(AND(W485="Y",U485&lt;&gt;0),MAX(1,MIN(5,S485+MAX(-Config!$C$27,MIN(Config!$C$27,U485)))),S485))</f>
        <v>1</v>
      </c>
      <c r="Y485" s="35" t="str">
        <f aca="false">IF(G485="N/A","N/A",IF(X485="","No data",INDEX(Config!$B$5:$B$9,X485)))</f>
        <v>Low</v>
      </c>
      <c r="Z485" s="7" t="str">
        <f aca="false">IF(U485=0,"None",IF(W485="Y","Applied","Pending HO approval"))</f>
        <v>None</v>
      </c>
      <c r="AA485" s="12" t="str">
        <f aca="false">INDEX('Risk Taxonomy'!$G$5:$G$24,MATCH(D485,'Risk Taxonomy'!$A$5:$A$24,0))</f>
        <v>Very low</v>
      </c>
      <c r="AB485" s="7" t="str">
        <f aca="false">INDEX('Risk Taxonomy'!$H$5:$H$24,MATCH(D485,'Risk Taxonomy'!$A$5:$A$24,0))</f>
        <v>Medium-Low</v>
      </c>
      <c r="AC485" s="35" t="str">
        <f aca="false">IF(NOT(ISNUMBER(X485)),"",IF(X485&lt;=MATCH(AB485,Config!$B$5:$B$9,0),"Within",IF(OR(X485-MATCH(AB485,Config!$B$5:$B$9,0)&gt;=2,AND('Residual Config'!$C$8="Y",ISNUMBER(SEARCH("Zero",AA485)))),"Red","Amber")))</f>
        <v>Within</v>
      </c>
      <c r="AD485" s="12" t="str">
        <f aca="false">IF(AC485="Red","Group CCO / CRO and Country CEO within 2 business days; action plan in 15 days; report to Board Risk &amp; Compliance Committee",IF(AC485="Amber","Country CO, risk owner and HO Administrator within 5 business days; action plan in 30 days",""))</f>
        <v/>
      </c>
    </row>
    <row r="486" customFormat="false" ht="15" hidden="false" customHeight="false" outlineLevel="0" collapsed="false">
      <c r="A486" s="26" t="str">
        <f aca="false">Entities!$A$29</f>
        <v>IT</v>
      </c>
      <c r="B486" s="12" t="str">
        <f aca="false">INDEX(Entities!$B$5:$B$34,MATCH(A486,Entities!$A$5:$A$34,0))</f>
        <v>Arab Bank – Italy</v>
      </c>
      <c r="C486" s="12" t="str">
        <f aca="false">INDEX(Entities!$D$5:$D$34,MATCH(A486,Entities!$A$5:$A$34,0))</f>
        <v>Europe</v>
      </c>
      <c r="D486" s="12" t="s">
        <v>267</v>
      </c>
      <c r="E486" s="12" t="str">
        <f aca="false">INDEX('Risk Taxonomy'!$B$5:$B$24,MATCH(D486,'Risk Taxonomy'!$A$5:$A$24,0))</f>
        <v>Terrorist financing</v>
      </c>
      <c r="F486" s="29" t="n">
        <f aca="false">IF(NOT(ISNUMBER(G486)),"",IFERROR(IF(MATCH(SUMIFS('FC Calculation'!$N$5:$N$214,'FC Calculation'!$A$5:$A$214,A486,'FC Calculation'!$D$5:$D$214,D486),Config!$D$5:$D$9,1)=G486,SUMIFS('FC Calculation'!$N$5:$N$214,'FC Calculation'!$A$5:$A$214,A486,'FC Calculation'!$D$5:$D$214,D486),G486),G486))</f>
        <v>1.74880952380952</v>
      </c>
      <c r="G486" s="34" t="n">
        <f aca="false">IF(COUNTIFS('FC Calculation'!$A$5:$A$214,A486,'FC Calculation'!$D$5:$D$214,D486,'FC Calculation'!$T$5:$T$214,"&gt;0")=0,"",SUMIFS('FC Calculation'!$T$5:$T$214,'FC Calculation'!$A$5:$A$214,A486,'FC Calculation'!$D$5:$D$214,D486))</f>
        <v>1</v>
      </c>
      <c r="H486" s="7" t="str">
        <f aca="false">IF(G486="N/A","N/A",IF(G486="","No data",INDEX(Config!$B$5:$B$9,G486)))</f>
        <v>Low</v>
      </c>
      <c r="I486" s="31" t="n">
        <f aca="false">IF(NOT(ISNUMBER($G486)),"",SUMPRODUCT(('Control Mapping'!$C$5:$C$83=D486)*('Control Mapping'!$AE$5:$AE$83&gt;0)))</f>
        <v>12</v>
      </c>
      <c r="J486" s="31" t="n">
        <f aca="false">IF(NOT(ISNUMBER($G486)),"",SUMPRODUCT(('Control Mapping'!$C$5:$C$83=D486)*('Control Mapping'!$F$5:$F$83="Y")*('Control Mapping'!$AE$5:$AE$83&gt;0)))</f>
        <v>9</v>
      </c>
      <c r="K486" s="31" t="n">
        <f aca="false">IF(NOT(ISNUMBER($G486)),"",SUMPRODUCT(('Control Mapping'!$C$5:$C$83=D486)*('Control Mapping'!$F$5:$F$83="Y")*('Control Mapping'!$AE$5:$AE$83=4)))</f>
        <v>0</v>
      </c>
      <c r="L486" s="29" t="n">
        <f aca="false">IF(NOT(ISNUMBER($G486)),"",IFERROR(SUMPRODUCT(('Control Mapping'!$C$5:$C$83=D486)*'Control Mapping'!$E$5:$E$83*'Control Mapping'!$AE$5:$AE$83)/SUMPRODUCT(('Control Mapping'!$C$5:$C$83=D486)*'Control Mapping'!$E$5:$E$83*('Control Mapping'!$AE$5:$AE$83&gt;0)),""))</f>
        <v>1.57894736842105</v>
      </c>
      <c r="M486" s="34" t="n">
        <f aca="false">IF(NOT(ISNUMBER($G486)),"",IF(J486=0,4,MAX(MATCH(L486,'Residual Config'!$E$11:$E$14,1),IF(K486&gt;0,'Residual Config'!$C$7,1))))</f>
        <v>2</v>
      </c>
      <c r="N486" s="7" t="str">
        <f aca="false">IF(NOT(ISNUMBER($G486)),"",IF(J486=0,"Ineffective (no key control)",INDEX('Residual Config'!$B$11:$B$14,M486)))</f>
        <v>Largely effective</v>
      </c>
      <c r="O486" s="36" t="n">
        <f aca="false">IF(NOT(ISNUMBER($G486)),"",IF(J486=0,0,SUMPRODUCT(('Control Mapping'!$C$5:$C$83=D486)*'Control Mapping'!$E$5:$E$83*(('Control Mapping'!$AE$5:$AE$83=1)*'Residual Config'!$D$11+('Control Mapping'!$AE$5:$AE$83=2)*'Residual Config'!$D$12+('Control Mapping'!$AE$5:$AE$83=3)*'Residual Config'!$D$13+('Control Mapping'!$AE$5:$AE$83=4)*'Residual Config'!$D$14))/SUMPRODUCT(('Control Mapping'!$C$5:$C$83=D486)*'Control Mapping'!$E$5:$E$83*('Control Mapping'!$AE$5:$AE$83&gt;0))))</f>
        <v>0.484210526315789</v>
      </c>
      <c r="P486" s="31" t="n">
        <f aca="false">IF(NOT(ISNUMBER($G486)),"",INDEX('Residual Config'!$B$19:$E$23,6-G486,M486))</f>
        <v>1</v>
      </c>
      <c r="Q486" s="29" t="n">
        <f aca="false">IF(NOT(ISNUMBER($G486)),"",MAX(1,F486*(1-O486)))</f>
        <v>1</v>
      </c>
      <c r="R486" s="31" t="n">
        <f aca="false">IF(NOT(ISNUMBER($G486)),"",MAX(MATCH(Q486,Config!$D$5:$D$9,1),G486-'Residual Config'!$C$6))</f>
        <v>1</v>
      </c>
      <c r="S486" s="34" t="n">
        <f aca="false">IF(NOT(ISNUMBER($G486)),"",IF('Residual Config'!$C$5="Numeric",R486,P486))</f>
        <v>1</v>
      </c>
      <c r="T486" s="7" t="str">
        <f aca="false">IF(G486="N/A","N/A",IF(S486="","No data",INDEX(Config!$B$5:$B$9,S486)))</f>
        <v>Low</v>
      </c>
      <c r="U486" s="32" t="n">
        <v>0</v>
      </c>
      <c r="V486" s="8"/>
      <c r="W486" s="33"/>
      <c r="X486" s="34" t="n">
        <f aca="false">IF(S486="","",IF(AND(W486="Y",U486&lt;&gt;0),MAX(1,MIN(5,S486+MAX(-Config!$C$27,MIN(Config!$C$27,U486)))),S486))</f>
        <v>1</v>
      </c>
      <c r="Y486" s="35" t="str">
        <f aca="false">IF(G486="N/A","N/A",IF(X486="","No data",INDEX(Config!$B$5:$B$9,X486)))</f>
        <v>Low</v>
      </c>
      <c r="Z486" s="7" t="str">
        <f aca="false">IF(U486=0,"None",IF(W486="Y","Applied","Pending HO approval"))</f>
        <v>None</v>
      </c>
      <c r="AA486" s="12" t="str">
        <f aca="false">INDEX('Risk Taxonomy'!$G$5:$G$24,MATCH(D486,'Risk Taxonomy'!$A$5:$A$24,0))</f>
        <v>Zero tolerance</v>
      </c>
      <c r="AB486" s="7" t="str">
        <f aca="false">INDEX('Risk Taxonomy'!$H$5:$H$24,MATCH(D486,'Risk Taxonomy'!$A$5:$A$24,0))</f>
        <v>Low</v>
      </c>
      <c r="AC486" s="35" t="str">
        <f aca="false">IF(NOT(ISNUMBER(X486)),"",IF(X486&lt;=MATCH(AB486,Config!$B$5:$B$9,0),"Within",IF(OR(X486-MATCH(AB486,Config!$B$5:$B$9,0)&gt;=2,AND('Residual Config'!$C$8="Y",ISNUMBER(SEARCH("Zero",AA486)))),"Red","Amber")))</f>
        <v>Within</v>
      </c>
      <c r="AD486" s="12" t="str">
        <f aca="false">IF(AC486="Red","Group CCO / CRO and Country CEO within 2 business days; action plan in 15 days; report to Board Risk &amp; Compliance Committee",IF(AC486="Amber","Country CO, risk owner and HO Administrator within 5 business days; action plan in 30 days",""))</f>
        <v/>
      </c>
    </row>
    <row r="487" customFormat="false" ht="15" hidden="false" customHeight="false" outlineLevel="0" collapsed="false">
      <c r="A487" s="26" t="str">
        <f aca="false">Entities!$A$29</f>
        <v>IT</v>
      </c>
      <c r="B487" s="12" t="str">
        <f aca="false">INDEX(Entities!$B$5:$B$34,MATCH(A487,Entities!$A$5:$A$34,0))</f>
        <v>Arab Bank – Italy</v>
      </c>
      <c r="C487" s="12" t="str">
        <f aca="false">INDEX(Entities!$D$5:$D$34,MATCH(A487,Entities!$A$5:$A$34,0))</f>
        <v>Europe</v>
      </c>
      <c r="D487" s="12" t="s">
        <v>270</v>
      </c>
      <c r="E487" s="12" t="str">
        <f aca="false">INDEX('Risk Taxonomy'!$B$5:$B$24,MATCH(D487,'Risk Taxonomy'!$A$5:$A$24,0))</f>
        <v>Proliferation financing</v>
      </c>
      <c r="F487" s="29" t="n">
        <f aca="false">IF(NOT(ISNUMBER(G487)),"",IFERROR(IF(MATCH(SUMIFS('FC Calculation'!$N$5:$N$214,'FC Calculation'!$A$5:$A$214,A487,'FC Calculation'!$D$5:$D$214,D487),Config!$D$5:$D$9,1)=G487,SUMIFS('FC Calculation'!$N$5:$N$214,'FC Calculation'!$A$5:$A$214,A487,'FC Calculation'!$D$5:$D$214,D487),G487),G487))</f>
        <v>1.975</v>
      </c>
      <c r="G487" s="34" t="n">
        <f aca="false">IF(COUNTIFS('FC Calculation'!$A$5:$A$214,A487,'FC Calculation'!$D$5:$D$214,D487,'FC Calculation'!$T$5:$T$214,"&gt;0")=0,"",SUMIFS('FC Calculation'!$T$5:$T$214,'FC Calculation'!$A$5:$A$214,A487,'FC Calculation'!$D$5:$D$214,D487))</f>
        <v>2</v>
      </c>
      <c r="H487" s="7" t="str">
        <f aca="false">IF(G487="N/A","N/A",IF(G487="","No data",INDEX(Config!$B$5:$B$9,G487)))</f>
        <v>Medium-Low</v>
      </c>
      <c r="I487" s="31" t="n">
        <f aca="false">IF(NOT(ISNUMBER($G487)),"",SUMPRODUCT(('Control Mapping'!$C$5:$C$83=D487)*('Control Mapping'!$AE$5:$AE$83&gt;0)))</f>
        <v>5</v>
      </c>
      <c r="J487" s="31" t="n">
        <f aca="false">IF(NOT(ISNUMBER($G487)),"",SUMPRODUCT(('Control Mapping'!$C$5:$C$83=D487)*('Control Mapping'!$F$5:$F$83="Y")*('Control Mapping'!$AE$5:$AE$83&gt;0)))</f>
        <v>5</v>
      </c>
      <c r="K487" s="31" t="n">
        <f aca="false">IF(NOT(ISNUMBER($G487)),"",SUMPRODUCT(('Control Mapping'!$C$5:$C$83=D487)*('Control Mapping'!$F$5:$F$83="Y")*('Control Mapping'!$AE$5:$AE$83=4)))</f>
        <v>0</v>
      </c>
      <c r="L487" s="29" t="n">
        <f aca="false">IF(NOT(ISNUMBER($G487)),"",IFERROR(SUMPRODUCT(('Control Mapping'!$C$5:$C$83=D487)*'Control Mapping'!$E$5:$E$83*'Control Mapping'!$AE$5:$AE$83)/SUMPRODUCT(('Control Mapping'!$C$5:$C$83=D487)*'Control Mapping'!$E$5:$E$83*('Control Mapping'!$AE$5:$AE$83&gt;0)),""))</f>
        <v>1.4</v>
      </c>
      <c r="M487" s="34" t="n">
        <f aca="false">IF(NOT(ISNUMBER($G487)),"",IF(J487=0,4,MAX(MATCH(L487,'Residual Config'!$E$11:$E$14,1),IF(K487&gt;0,'Residual Config'!$C$7,1))))</f>
        <v>1</v>
      </c>
      <c r="N487" s="7" t="str">
        <f aca="false">IF(NOT(ISNUMBER($G487)),"",IF(J487=0,"Ineffective (no key control)",INDEX('Residual Config'!$B$11:$B$14,M487)))</f>
        <v>Effective</v>
      </c>
      <c r="O487" s="36" t="n">
        <f aca="false">IF(NOT(ISNUMBER($G487)),"",IF(J487=0,0,SUMPRODUCT(('Control Mapping'!$C$5:$C$83=D487)*'Control Mapping'!$E$5:$E$83*(('Control Mapping'!$AE$5:$AE$83=1)*'Residual Config'!$D$11+('Control Mapping'!$AE$5:$AE$83=2)*'Residual Config'!$D$12+('Control Mapping'!$AE$5:$AE$83=3)*'Residual Config'!$D$13+('Control Mapping'!$AE$5:$AE$83=4)*'Residual Config'!$D$14))/SUMPRODUCT(('Control Mapping'!$C$5:$C$83=D487)*'Control Mapping'!$E$5:$E$83*('Control Mapping'!$AE$5:$AE$83&gt;0))))</f>
        <v>0.52</v>
      </c>
      <c r="P487" s="31" t="n">
        <f aca="false">IF(NOT(ISNUMBER($G487)),"",INDEX('Residual Config'!$B$19:$E$23,6-G487,M487))</f>
        <v>1</v>
      </c>
      <c r="Q487" s="29" t="n">
        <f aca="false">IF(NOT(ISNUMBER($G487)),"",MAX(1,F487*(1-O487)))</f>
        <v>1</v>
      </c>
      <c r="R487" s="31" t="n">
        <f aca="false">IF(NOT(ISNUMBER($G487)),"",MAX(MATCH(Q487,Config!$D$5:$D$9,1),G487-'Residual Config'!$C$6))</f>
        <v>1</v>
      </c>
      <c r="S487" s="34" t="n">
        <f aca="false">IF(NOT(ISNUMBER($G487)),"",IF('Residual Config'!$C$5="Numeric",R487,P487))</f>
        <v>1</v>
      </c>
      <c r="T487" s="7" t="str">
        <f aca="false">IF(G487="N/A","N/A",IF(S487="","No data",INDEX(Config!$B$5:$B$9,S487)))</f>
        <v>Low</v>
      </c>
      <c r="U487" s="32" t="n">
        <v>0</v>
      </c>
      <c r="V487" s="8"/>
      <c r="W487" s="33"/>
      <c r="X487" s="34" t="n">
        <f aca="false">IF(S487="","",IF(AND(W487="Y",U487&lt;&gt;0),MAX(1,MIN(5,S487+MAX(-Config!$C$27,MIN(Config!$C$27,U487)))),S487))</f>
        <v>1</v>
      </c>
      <c r="Y487" s="35" t="str">
        <f aca="false">IF(G487="N/A","N/A",IF(X487="","No data",INDEX(Config!$B$5:$B$9,X487)))</f>
        <v>Low</v>
      </c>
      <c r="Z487" s="7" t="str">
        <f aca="false">IF(U487=0,"None",IF(W487="Y","Applied","Pending HO approval"))</f>
        <v>None</v>
      </c>
      <c r="AA487" s="12" t="str">
        <f aca="false">INDEX('Risk Taxonomy'!$G$5:$G$24,MATCH(D487,'Risk Taxonomy'!$A$5:$A$24,0))</f>
        <v>Zero tolerance</v>
      </c>
      <c r="AB487" s="7" t="str">
        <f aca="false">INDEX('Risk Taxonomy'!$H$5:$H$24,MATCH(D487,'Risk Taxonomy'!$A$5:$A$24,0))</f>
        <v>Low</v>
      </c>
      <c r="AC487" s="35" t="str">
        <f aca="false">IF(NOT(ISNUMBER(X487)),"",IF(X487&lt;=MATCH(AB487,Config!$B$5:$B$9,0),"Within",IF(OR(X487-MATCH(AB487,Config!$B$5:$B$9,0)&gt;=2,AND('Residual Config'!$C$8="Y",ISNUMBER(SEARCH("Zero",AA487)))),"Red","Amber")))</f>
        <v>Within</v>
      </c>
      <c r="AD487" s="12" t="str">
        <f aca="false">IF(AC487="Red","Group CCO / CRO and Country CEO within 2 business days; action plan in 15 days; report to Board Risk &amp; Compliance Committee",IF(AC487="Amber","Country CO, risk owner and HO Administrator within 5 business days; action plan in 30 days",""))</f>
        <v/>
      </c>
    </row>
    <row r="488" customFormat="false" ht="15" hidden="false" customHeight="false" outlineLevel="0" collapsed="false">
      <c r="A488" s="26" t="str">
        <f aca="false">Entities!$A$29</f>
        <v>IT</v>
      </c>
      <c r="B488" s="12" t="str">
        <f aca="false">INDEX(Entities!$B$5:$B$34,MATCH(A488,Entities!$A$5:$A$34,0))</f>
        <v>Arab Bank – Italy</v>
      </c>
      <c r="C488" s="12" t="str">
        <f aca="false">INDEX(Entities!$D$5:$D$34,MATCH(A488,Entities!$A$5:$A$34,0))</f>
        <v>Europe</v>
      </c>
      <c r="D488" s="12" t="s">
        <v>272</v>
      </c>
      <c r="E488" s="12" t="str">
        <f aca="false">INDEX('Risk Taxonomy'!$B$5:$B$24,MATCH(D488,'Risk Taxonomy'!$A$5:$A$24,0))</f>
        <v>Sanctions</v>
      </c>
      <c r="F488" s="29" t="n">
        <f aca="false">IF(NOT(ISNUMBER(G488)),"",IFERROR(IF(MATCH(SUMIFS('FC Calculation'!$N$5:$N$214,'FC Calculation'!$A$5:$A$214,A488,'FC Calculation'!$D$5:$D$214,D488),Config!$D$5:$D$9,1)=G488,SUMIFS('FC Calculation'!$N$5:$N$214,'FC Calculation'!$A$5:$A$214,A488,'FC Calculation'!$D$5:$D$214,D488),G488),G488))</f>
        <v>1.91547619047619</v>
      </c>
      <c r="G488" s="34" t="n">
        <f aca="false">IF(COUNTIFS('FC Calculation'!$A$5:$A$214,A488,'FC Calculation'!$D$5:$D$214,D488,'FC Calculation'!$T$5:$T$214,"&gt;0")=0,"",SUMIFS('FC Calculation'!$T$5:$T$214,'FC Calculation'!$A$5:$A$214,A488,'FC Calculation'!$D$5:$D$214,D488))</f>
        <v>2</v>
      </c>
      <c r="H488" s="7" t="str">
        <f aca="false">IF(G488="N/A","N/A",IF(G488="","No data",INDEX(Config!$B$5:$B$9,G488)))</f>
        <v>Medium-Low</v>
      </c>
      <c r="I488" s="31" t="n">
        <f aca="false">IF(NOT(ISNUMBER($G488)),"",SUMPRODUCT(('Control Mapping'!$C$5:$C$83=D488)*('Control Mapping'!$AE$5:$AE$83&gt;0)))</f>
        <v>8</v>
      </c>
      <c r="J488" s="31" t="n">
        <f aca="false">IF(NOT(ISNUMBER($G488)),"",SUMPRODUCT(('Control Mapping'!$C$5:$C$83=D488)*('Control Mapping'!$F$5:$F$83="Y")*('Control Mapping'!$AE$5:$AE$83&gt;0)))</f>
        <v>5</v>
      </c>
      <c r="K488" s="31" t="n">
        <f aca="false">IF(NOT(ISNUMBER($G488)),"",SUMPRODUCT(('Control Mapping'!$C$5:$C$83=D488)*('Control Mapping'!$F$5:$F$83="Y")*('Control Mapping'!$AE$5:$AE$83=4)))</f>
        <v>0</v>
      </c>
      <c r="L488" s="29" t="n">
        <f aca="false">IF(NOT(ISNUMBER($G488)),"",IFERROR(SUMPRODUCT(('Control Mapping'!$C$5:$C$83=D488)*'Control Mapping'!$E$5:$E$83*'Control Mapping'!$AE$5:$AE$83)/SUMPRODUCT(('Control Mapping'!$C$5:$C$83=D488)*'Control Mapping'!$E$5:$E$83*('Control Mapping'!$AE$5:$AE$83&gt;0)),""))</f>
        <v>1.54545454545455</v>
      </c>
      <c r="M488" s="34" t="n">
        <f aca="false">IF(NOT(ISNUMBER($G488)),"",IF(J488=0,4,MAX(MATCH(L488,'Residual Config'!$E$11:$E$14,1),IF(K488&gt;0,'Residual Config'!$C$7,1))))</f>
        <v>2</v>
      </c>
      <c r="N488" s="7" t="str">
        <f aca="false">IF(NOT(ISNUMBER($G488)),"",IF(J488=0,"Ineffective (no key control)",INDEX('Residual Config'!$B$11:$B$14,M488)))</f>
        <v>Largely effective</v>
      </c>
      <c r="O488" s="36" t="n">
        <f aca="false">IF(NOT(ISNUMBER($G488)),"",IF(J488=0,0,SUMPRODUCT(('Control Mapping'!$C$5:$C$83=D488)*'Control Mapping'!$E$5:$E$83*(('Control Mapping'!$AE$5:$AE$83=1)*'Residual Config'!$D$11+('Control Mapping'!$AE$5:$AE$83=2)*'Residual Config'!$D$12+('Control Mapping'!$AE$5:$AE$83=3)*'Residual Config'!$D$13+('Control Mapping'!$AE$5:$AE$83=4)*'Residual Config'!$D$14))/SUMPRODUCT(('Control Mapping'!$C$5:$C$83=D488)*'Control Mapping'!$E$5:$E$83*('Control Mapping'!$AE$5:$AE$83&gt;0))))</f>
        <v>0.490909090909091</v>
      </c>
      <c r="P488" s="31" t="n">
        <f aca="false">IF(NOT(ISNUMBER($G488)),"",INDEX('Residual Config'!$B$19:$E$23,6-G488,M488))</f>
        <v>1</v>
      </c>
      <c r="Q488" s="29" t="n">
        <f aca="false">IF(NOT(ISNUMBER($G488)),"",MAX(1,F488*(1-O488)))</f>
        <v>1</v>
      </c>
      <c r="R488" s="31" t="n">
        <f aca="false">IF(NOT(ISNUMBER($G488)),"",MAX(MATCH(Q488,Config!$D$5:$D$9,1),G488-'Residual Config'!$C$6))</f>
        <v>1</v>
      </c>
      <c r="S488" s="34" t="n">
        <f aca="false">IF(NOT(ISNUMBER($G488)),"",IF('Residual Config'!$C$5="Numeric",R488,P488))</f>
        <v>1</v>
      </c>
      <c r="T488" s="7" t="str">
        <f aca="false">IF(G488="N/A","N/A",IF(S488="","No data",INDEX(Config!$B$5:$B$9,S488)))</f>
        <v>Low</v>
      </c>
      <c r="U488" s="32" t="n">
        <v>0</v>
      </c>
      <c r="V488" s="8"/>
      <c r="W488" s="33"/>
      <c r="X488" s="34" t="n">
        <f aca="false">IF(S488="","",IF(AND(W488="Y",U488&lt;&gt;0),MAX(1,MIN(5,S488+MAX(-Config!$C$27,MIN(Config!$C$27,U488)))),S488))</f>
        <v>1</v>
      </c>
      <c r="Y488" s="35" t="str">
        <f aca="false">IF(G488="N/A","N/A",IF(X488="","No data",INDEX(Config!$B$5:$B$9,X488)))</f>
        <v>Low</v>
      </c>
      <c r="Z488" s="7" t="str">
        <f aca="false">IF(U488=0,"None",IF(W488="Y","Applied","Pending HO approval"))</f>
        <v>None</v>
      </c>
      <c r="AA488" s="12" t="str">
        <f aca="false">INDEX('Risk Taxonomy'!$G$5:$G$24,MATCH(D488,'Risk Taxonomy'!$A$5:$A$24,0))</f>
        <v>Zero tolerance</v>
      </c>
      <c r="AB488" s="7" t="str">
        <f aca="false">INDEX('Risk Taxonomy'!$H$5:$H$24,MATCH(D488,'Risk Taxonomy'!$A$5:$A$24,0))</f>
        <v>Low</v>
      </c>
      <c r="AC488" s="35" t="str">
        <f aca="false">IF(NOT(ISNUMBER(X488)),"",IF(X488&lt;=MATCH(AB488,Config!$B$5:$B$9,0),"Within",IF(OR(X488-MATCH(AB488,Config!$B$5:$B$9,0)&gt;=2,AND('Residual Config'!$C$8="Y",ISNUMBER(SEARCH("Zero",AA488)))),"Red","Amber")))</f>
        <v>Within</v>
      </c>
      <c r="AD488" s="12" t="str">
        <f aca="false">IF(AC488="Red","Group CCO / CRO and Country CEO within 2 business days; action plan in 15 days; report to Board Risk &amp; Compliance Committee",IF(AC488="Amber","Country CO, risk owner and HO Administrator within 5 business days; action plan in 30 days",""))</f>
        <v/>
      </c>
    </row>
    <row r="489" customFormat="false" ht="15" hidden="false" customHeight="false" outlineLevel="0" collapsed="false">
      <c r="A489" s="26" t="str">
        <f aca="false">Entities!$A$29</f>
        <v>IT</v>
      </c>
      <c r="B489" s="12" t="str">
        <f aca="false">INDEX(Entities!$B$5:$B$34,MATCH(A489,Entities!$A$5:$A$34,0))</f>
        <v>Arab Bank – Italy</v>
      </c>
      <c r="C489" s="12" t="str">
        <f aca="false">INDEX(Entities!$D$5:$D$34,MATCH(A489,Entities!$A$5:$A$34,0))</f>
        <v>Europe</v>
      </c>
      <c r="D489" s="12" t="s">
        <v>275</v>
      </c>
      <c r="E489" s="12" t="str">
        <f aca="false">INDEX('Risk Taxonomy'!$B$5:$B$24,MATCH(D489,'Risk Taxonomy'!$A$5:$A$24,0))</f>
        <v>Bribery and corruption</v>
      </c>
      <c r="F489" s="29" t="n">
        <f aca="false">IF(NOT(ISNUMBER(G489)),"",IFERROR(IF(MATCH(SUMIFS('FC Calculation'!$N$5:$N$214,'FC Calculation'!$A$5:$A$214,A489,'FC Calculation'!$D$5:$D$214,D489),Config!$D$5:$D$9,1)=G489,SUMIFS('FC Calculation'!$N$5:$N$214,'FC Calculation'!$A$5:$A$214,A489,'FC Calculation'!$D$5:$D$214,D489),G489),G489))</f>
        <v>2.075</v>
      </c>
      <c r="G489" s="34" t="n">
        <f aca="false">IF(COUNTIFS('FC Calculation'!$A$5:$A$214,A489,'FC Calculation'!$D$5:$D$214,D489,'FC Calculation'!$T$5:$T$214,"&gt;0")=0,"",SUMIFS('FC Calculation'!$T$5:$T$214,'FC Calculation'!$A$5:$A$214,A489,'FC Calculation'!$D$5:$D$214,D489))</f>
        <v>2</v>
      </c>
      <c r="H489" s="7" t="str">
        <f aca="false">IF(G489="N/A","N/A",IF(G489="","No data",INDEX(Config!$B$5:$B$9,G489)))</f>
        <v>Medium-Low</v>
      </c>
      <c r="I489" s="31" t="n">
        <f aca="false">IF(NOT(ISNUMBER($G489)),"",SUMPRODUCT(('Control Mapping'!$C$5:$C$83=D489)*('Control Mapping'!$AE$5:$AE$83&gt;0)))</f>
        <v>5</v>
      </c>
      <c r="J489" s="31" t="n">
        <f aca="false">IF(NOT(ISNUMBER($G489)),"",SUMPRODUCT(('Control Mapping'!$C$5:$C$83=D489)*('Control Mapping'!$F$5:$F$83="Y")*('Control Mapping'!$AE$5:$AE$83&gt;0)))</f>
        <v>2</v>
      </c>
      <c r="K489" s="31" t="n">
        <f aca="false">IF(NOT(ISNUMBER($G489)),"",SUMPRODUCT(('Control Mapping'!$C$5:$C$83=D489)*('Control Mapping'!$F$5:$F$83="Y")*('Control Mapping'!$AE$5:$AE$83=4)))</f>
        <v>1</v>
      </c>
      <c r="L489" s="29" t="n">
        <f aca="false">IF(NOT(ISNUMBER($G489)),"",IFERROR(SUMPRODUCT(('Control Mapping'!$C$5:$C$83=D489)*'Control Mapping'!$E$5:$E$83*'Control Mapping'!$AE$5:$AE$83)/SUMPRODUCT(('Control Mapping'!$C$5:$C$83=D489)*'Control Mapping'!$E$5:$E$83*('Control Mapping'!$AE$5:$AE$83&gt;0)),""))</f>
        <v>2.22222222222222</v>
      </c>
      <c r="M489" s="34" t="n">
        <f aca="false">IF(NOT(ISNUMBER($G489)),"",IF(J489=0,4,MAX(MATCH(L489,'Residual Config'!$E$11:$E$14,1),IF(K489&gt;0,'Residual Config'!$C$7,1))))</f>
        <v>3</v>
      </c>
      <c r="N489" s="7" t="str">
        <f aca="false">IF(NOT(ISNUMBER($G489)),"",IF(J489=0,"Ineffective (no key control)",INDEX('Residual Config'!$B$11:$B$14,M489)))</f>
        <v>Partially effective</v>
      </c>
      <c r="O489" s="36" t="n">
        <f aca="false">IF(NOT(ISNUMBER($G489)),"",IF(J489=0,0,SUMPRODUCT(('Control Mapping'!$C$5:$C$83=D489)*'Control Mapping'!$E$5:$E$83*(('Control Mapping'!$AE$5:$AE$83=1)*'Residual Config'!$D$11+('Control Mapping'!$AE$5:$AE$83=2)*'Residual Config'!$D$12+('Control Mapping'!$AE$5:$AE$83=3)*'Residual Config'!$D$13+('Control Mapping'!$AE$5:$AE$83=4)*'Residual Config'!$D$14))/SUMPRODUCT(('Control Mapping'!$C$5:$C$83=D489)*'Control Mapping'!$E$5:$E$83*('Control Mapping'!$AE$5:$AE$83&gt;0))))</f>
        <v>0.355555555555556</v>
      </c>
      <c r="P489" s="31" t="n">
        <f aca="false">IF(NOT(ISNUMBER($G489)),"",INDEX('Residual Config'!$B$19:$E$23,6-G489,M489))</f>
        <v>2</v>
      </c>
      <c r="Q489" s="29" t="n">
        <f aca="false">IF(NOT(ISNUMBER($G489)),"",MAX(1,F489*(1-O489)))</f>
        <v>1.33722222222222</v>
      </c>
      <c r="R489" s="31" t="n">
        <f aca="false">IF(NOT(ISNUMBER($G489)),"",MAX(MATCH(Q489,Config!$D$5:$D$9,1),G489-'Residual Config'!$C$6))</f>
        <v>1</v>
      </c>
      <c r="S489" s="34" t="n">
        <f aca="false">IF(NOT(ISNUMBER($G489)),"",IF('Residual Config'!$C$5="Numeric",R489,P489))</f>
        <v>2</v>
      </c>
      <c r="T489" s="7" t="str">
        <f aca="false">IF(G489="N/A","N/A",IF(S489="","No data",INDEX(Config!$B$5:$B$9,S489)))</f>
        <v>Medium-Low</v>
      </c>
      <c r="U489" s="32" t="n">
        <v>0</v>
      </c>
      <c r="V489" s="8"/>
      <c r="W489" s="33"/>
      <c r="X489" s="34" t="n">
        <f aca="false">IF(S489="","",IF(AND(W489="Y",U489&lt;&gt;0),MAX(1,MIN(5,S489+MAX(-Config!$C$27,MIN(Config!$C$27,U489)))),S489))</f>
        <v>2</v>
      </c>
      <c r="Y489" s="35" t="str">
        <f aca="false">IF(G489="N/A","N/A",IF(X489="","No data",INDEX(Config!$B$5:$B$9,X489)))</f>
        <v>Medium-Low</v>
      </c>
      <c r="Z489" s="7" t="str">
        <f aca="false">IF(U489=0,"None",IF(W489="Y","Applied","Pending HO approval"))</f>
        <v>None</v>
      </c>
      <c r="AA489" s="12" t="str">
        <f aca="false">INDEX('Risk Taxonomy'!$G$5:$G$24,MATCH(D489,'Risk Taxonomy'!$A$5:$A$24,0))</f>
        <v>Zero tolerance</v>
      </c>
      <c r="AB489" s="7" t="str">
        <f aca="false">INDEX('Risk Taxonomy'!$H$5:$H$24,MATCH(D489,'Risk Taxonomy'!$A$5:$A$24,0))</f>
        <v>Low</v>
      </c>
      <c r="AC489" s="35" t="str">
        <f aca="false">IF(NOT(ISNUMBER(X489)),"",IF(X489&lt;=MATCH(AB489,Config!$B$5:$B$9,0),"Within",IF(OR(X489-MATCH(AB489,Config!$B$5:$B$9,0)&gt;=2,AND('Residual Config'!$C$8="Y",ISNUMBER(SEARCH("Zero",AA489)))),"Red","Amber")))</f>
        <v>Amber</v>
      </c>
      <c r="AD489" s="12" t="str">
        <f aca="false">IF(AC489="Red","Group CCO / CRO and Country CEO within 2 business days; action plan in 15 days; report to Board Risk &amp; Compliance Committee",IF(AC489="Amber","Country CO, risk owner and HO Administrator within 5 business days; action plan in 30 days",""))</f>
        <v>Country CO, risk owner and HO Administrator within 5 business days; action plan in 30 days</v>
      </c>
    </row>
    <row r="490" customFormat="false" ht="15" hidden="false" customHeight="false" outlineLevel="0" collapsed="false">
      <c r="A490" s="26" t="str">
        <f aca="false">Entities!$A$29</f>
        <v>IT</v>
      </c>
      <c r="B490" s="12" t="str">
        <f aca="false">INDEX(Entities!$B$5:$B$34,MATCH(A490,Entities!$A$5:$A$34,0))</f>
        <v>Arab Bank – Italy</v>
      </c>
      <c r="C490" s="12" t="str">
        <f aca="false">INDEX(Entities!$D$5:$D$34,MATCH(A490,Entities!$A$5:$A$34,0))</f>
        <v>Europe</v>
      </c>
      <c r="D490" s="12" t="s">
        <v>278</v>
      </c>
      <c r="E490" s="12" t="str">
        <f aca="false">INDEX('Risk Taxonomy'!$B$5:$B$24,MATCH(D490,'Risk Taxonomy'!$A$5:$A$24,0))</f>
        <v>Fraud</v>
      </c>
      <c r="F490" s="29" t="n">
        <f aca="false">IF(NOT(ISNUMBER(G490)),"",IFERROR(IF(MATCH(SUMIFS('FC Calculation'!$N$5:$N$214,'FC Calculation'!$A$5:$A$214,A490,'FC Calculation'!$D$5:$D$214,D490),Config!$D$5:$D$9,1)=G490,SUMIFS('FC Calculation'!$N$5:$N$214,'FC Calculation'!$A$5:$A$214,A490,'FC Calculation'!$D$5:$D$214,D490),G490),G490))</f>
        <v>2.02666666666667</v>
      </c>
      <c r="G490" s="34" t="n">
        <f aca="false">IF(COUNTIFS('FC Calculation'!$A$5:$A$214,A490,'FC Calculation'!$D$5:$D$214,D490,'FC Calculation'!$T$5:$T$214,"&gt;0")=0,"",SUMIFS('FC Calculation'!$T$5:$T$214,'FC Calculation'!$A$5:$A$214,A490,'FC Calculation'!$D$5:$D$214,D490))</f>
        <v>2</v>
      </c>
      <c r="H490" s="7" t="str">
        <f aca="false">IF(G490="N/A","N/A",IF(G490="","No data",INDEX(Config!$B$5:$B$9,G490)))</f>
        <v>Medium-Low</v>
      </c>
      <c r="I490" s="31" t="n">
        <f aca="false">IF(NOT(ISNUMBER($G490)),"",SUMPRODUCT(('Control Mapping'!$C$5:$C$83=D490)*('Control Mapping'!$AE$5:$AE$83&gt;0)))</f>
        <v>6</v>
      </c>
      <c r="J490" s="31" t="n">
        <f aca="false">IF(NOT(ISNUMBER($G490)),"",SUMPRODUCT(('Control Mapping'!$C$5:$C$83=D490)*('Control Mapping'!$F$5:$F$83="Y")*('Control Mapping'!$AE$5:$AE$83&gt;0)))</f>
        <v>5</v>
      </c>
      <c r="K490" s="31" t="n">
        <f aca="false">IF(NOT(ISNUMBER($G490)),"",SUMPRODUCT(('Control Mapping'!$C$5:$C$83=D490)*('Control Mapping'!$F$5:$F$83="Y")*('Control Mapping'!$AE$5:$AE$83=4)))</f>
        <v>0</v>
      </c>
      <c r="L490" s="29" t="n">
        <f aca="false">IF(NOT(ISNUMBER($G490)),"",IFERROR(SUMPRODUCT(('Control Mapping'!$C$5:$C$83=D490)*'Control Mapping'!$E$5:$E$83*'Control Mapping'!$AE$5:$AE$83)/SUMPRODUCT(('Control Mapping'!$C$5:$C$83=D490)*'Control Mapping'!$E$5:$E$83*('Control Mapping'!$AE$5:$AE$83&gt;0)),""))</f>
        <v>1.3</v>
      </c>
      <c r="M490" s="34" t="n">
        <f aca="false">IF(NOT(ISNUMBER($G490)),"",IF(J490=0,4,MAX(MATCH(L490,'Residual Config'!$E$11:$E$14,1),IF(K490&gt;0,'Residual Config'!$C$7,1))))</f>
        <v>1</v>
      </c>
      <c r="N490" s="7" t="str">
        <f aca="false">IF(NOT(ISNUMBER($G490)),"",IF(J490=0,"Ineffective (no key control)",INDEX('Residual Config'!$B$11:$B$14,M490)))</f>
        <v>Effective</v>
      </c>
      <c r="O490" s="36" t="n">
        <f aca="false">IF(NOT(ISNUMBER($G490)),"",IF(J490=0,0,SUMPRODUCT(('Control Mapping'!$C$5:$C$83=D490)*'Control Mapping'!$E$5:$E$83*(('Control Mapping'!$AE$5:$AE$83=1)*'Residual Config'!$D$11+('Control Mapping'!$AE$5:$AE$83=2)*'Residual Config'!$D$12+('Control Mapping'!$AE$5:$AE$83=3)*'Residual Config'!$D$13+('Control Mapping'!$AE$5:$AE$83=4)*'Residual Config'!$D$14))/SUMPRODUCT(('Control Mapping'!$C$5:$C$83=D490)*'Control Mapping'!$E$5:$E$83*('Control Mapping'!$AE$5:$AE$83&gt;0))))</f>
        <v>0.54</v>
      </c>
      <c r="P490" s="31" t="n">
        <f aca="false">IF(NOT(ISNUMBER($G490)),"",INDEX('Residual Config'!$B$19:$E$23,6-G490,M490))</f>
        <v>1</v>
      </c>
      <c r="Q490" s="29" t="n">
        <f aca="false">IF(NOT(ISNUMBER($G490)),"",MAX(1,F490*(1-O490)))</f>
        <v>1</v>
      </c>
      <c r="R490" s="31" t="n">
        <f aca="false">IF(NOT(ISNUMBER($G490)),"",MAX(MATCH(Q490,Config!$D$5:$D$9,1),G490-'Residual Config'!$C$6))</f>
        <v>1</v>
      </c>
      <c r="S490" s="34" t="n">
        <f aca="false">IF(NOT(ISNUMBER($G490)),"",IF('Residual Config'!$C$5="Numeric",R490,P490))</f>
        <v>1</v>
      </c>
      <c r="T490" s="7" t="str">
        <f aca="false">IF(G490="N/A","N/A",IF(S490="","No data",INDEX(Config!$B$5:$B$9,S490)))</f>
        <v>Low</v>
      </c>
      <c r="U490" s="32" t="n">
        <v>0</v>
      </c>
      <c r="V490" s="8"/>
      <c r="W490" s="33"/>
      <c r="X490" s="34" t="n">
        <f aca="false">IF(S490="","",IF(AND(W490="Y",U490&lt;&gt;0),MAX(1,MIN(5,S490+MAX(-Config!$C$27,MIN(Config!$C$27,U490)))),S490))</f>
        <v>1</v>
      </c>
      <c r="Y490" s="35" t="str">
        <f aca="false">IF(G490="N/A","N/A",IF(X490="","No data",INDEX(Config!$B$5:$B$9,X490)))</f>
        <v>Low</v>
      </c>
      <c r="Z490" s="7" t="str">
        <f aca="false">IF(U490=0,"None",IF(W490="Y","Applied","Pending HO approval"))</f>
        <v>None</v>
      </c>
      <c r="AA490" s="12" t="str">
        <f aca="false">INDEX('Risk Taxonomy'!$G$5:$G$24,MATCH(D490,'Risk Taxonomy'!$A$5:$A$24,0))</f>
        <v>Low</v>
      </c>
      <c r="AB490" s="7" t="str">
        <f aca="false">INDEX('Risk Taxonomy'!$H$5:$H$24,MATCH(D490,'Risk Taxonomy'!$A$5:$A$24,0))</f>
        <v>Medium</v>
      </c>
      <c r="AC490" s="35" t="str">
        <f aca="false">IF(NOT(ISNUMBER(X490)),"",IF(X490&lt;=MATCH(AB490,Config!$B$5:$B$9,0),"Within",IF(OR(X490-MATCH(AB490,Config!$B$5:$B$9,0)&gt;=2,AND('Residual Config'!$C$8="Y",ISNUMBER(SEARCH("Zero",AA490)))),"Red","Amber")))</f>
        <v>Within</v>
      </c>
      <c r="AD490" s="12" t="str">
        <f aca="false">IF(AC490="Red","Group CCO / CRO and Country CEO within 2 business days; action plan in 15 days; report to Board Risk &amp; Compliance Committee",IF(AC490="Amber","Country CO, risk owner and HO Administrator within 5 business days; action plan in 30 days",""))</f>
        <v/>
      </c>
    </row>
    <row r="491" customFormat="false" ht="15" hidden="false" customHeight="false" outlineLevel="0" collapsed="false">
      <c r="A491" s="26" t="str">
        <f aca="false">Entities!$A$29</f>
        <v>IT</v>
      </c>
      <c r="B491" s="12" t="str">
        <f aca="false">INDEX(Entities!$B$5:$B$34,MATCH(A491,Entities!$A$5:$A$34,0))</f>
        <v>Arab Bank – Italy</v>
      </c>
      <c r="C491" s="12" t="str">
        <f aca="false">INDEX(Entities!$D$5:$D$34,MATCH(A491,Entities!$A$5:$A$34,0))</f>
        <v>Europe</v>
      </c>
      <c r="D491" s="12" t="s">
        <v>281</v>
      </c>
      <c r="E491" s="12" t="str">
        <f aca="false">INDEX('Risk Taxonomy'!$B$5:$B$24,MATCH(D491,'Risk Taxonomy'!$A$5:$A$24,0))</f>
        <v>Tax evasion and tax transparency</v>
      </c>
      <c r="F491" s="29" t="n">
        <f aca="false">IF(NOT(ISNUMBER(G491)),"",IFERROR(IF(MATCH(SUMIFS('FC Calculation'!$N$5:$N$214,'FC Calculation'!$A$5:$A$214,A491,'FC Calculation'!$D$5:$D$214,D491),Config!$D$5:$D$9,1)=G491,SUMIFS('FC Calculation'!$N$5:$N$214,'FC Calculation'!$A$5:$A$214,A491,'FC Calculation'!$D$5:$D$214,D491),G491),G491))</f>
        <v>1.90611111111111</v>
      </c>
      <c r="G491" s="34" t="n">
        <f aca="false">IF(COUNTIFS('FC Calculation'!$A$5:$A$214,A491,'FC Calculation'!$D$5:$D$214,D491,'FC Calculation'!$T$5:$T$214,"&gt;0")=0,"",SUMIFS('FC Calculation'!$T$5:$T$214,'FC Calculation'!$A$5:$A$214,A491,'FC Calculation'!$D$5:$D$214,D491))</f>
        <v>2</v>
      </c>
      <c r="H491" s="7" t="str">
        <f aca="false">IF(G491="N/A","N/A",IF(G491="","No data",INDEX(Config!$B$5:$B$9,G491)))</f>
        <v>Medium-Low</v>
      </c>
      <c r="I491" s="31" t="n">
        <f aca="false">IF(NOT(ISNUMBER($G491)),"",SUMPRODUCT(('Control Mapping'!$C$5:$C$83=D491)*('Control Mapping'!$AE$5:$AE$83&gt;0)))</f>
        <v>5</v>
      </c>
      <c r="J491" s="31" t="n">
        <f aca="false">IF(NOT(ISNUMBER($G491)),"",SUMPRODUCT(('Control Mapping'!$C$5:$C$83=D491)*('Control Mapping'!$F$5:$F$83="Y")*('Control Mapping'!$AE$5:$AE$83&gt;0)))</f>
        <v>4</v>
      </c>
      <c r="K491" s="31" t="n">
        <f aca="false">IF(NOT(ISNUMBER($G491)),"",SUMPRODUCT(('Control Mapping'!$C$5:$C$83=D491)*('Control Mapping'!$F$5:$F$83="Y")*('Control Mapping'!$AE$5:$AE$83=4)))</f>
        <v>1</v>
      </c>
      <c r="L491" s="29" t="n">
        <f aca="false">IF(NOT(ISNUMBER($G491)),"",IFERROR(SUMPRODUCT(('Control Mapping'!$C$5:$C$83=D491)*'Control Mapping'!$E$5:$E$83*'Control Mapping'!$AE$5:$AE$83)/SUMPRODUCT(('Control Mapping'!$C$5:$C$83=D491)*'Control Mapping'!$E$5:$E$83*('Control Mapping'!$AE$5:$AE$83&gt;0)),""))</f>
        <v>2.88888888888889</v>
      </c>
      <c r="M491" s="34" t="n">
        <f aca="false">IF(NOT(ISNUMBER($G491)),"",IF(J491=0,4,MAX(MATCH(L491,'Residual Config'!$E$11:$E$14,1),IF(K491&gt;0,'Residual Config'!$C$7,1))))</f>
        <v>3</v>
      </c>
      <c r="N491" s="7" t="str">
        <f aca="false">IF(NOT(ISNUMBER($G491)),"",IF(J491=0,"Ineffective (no key control)",INDEX('Residual Config'!$B$11:$B$14,M491)))</f>
        <v>Partially effective</v>
      </c>
      <c r="O491" s="36" t="n">
        <f aca="false">IF(NOT(ISNUMBER($G491)),"",IF(J491=0,0,SUMPRODUCT(('Control Mapping'!$C$5:$C$83=D491)*'Control Mapping'!$E$5:$E$83*(('Control Mapping'!$AE$5:$AE$83=1)*'Residual Config'!$D$11+('Control Mapping'!$AE$5:$AE$83=2)*'Residual Config'!$D$12+('Control Mapping'!$AE$5:$AE$83=3)*'Residual Config'!$D$13+('Control Mapping'!$AE$5:$AE$83=4)*'Residual Config'!$D$14))/SUMPRODUCT(('Control Mapping'!$C$5:$C$83=D491)*'Control Mapping'!$E$5:$E$83*('Control Mapping'!$AE$5:$AE$83&gt;0))))</f>
        <v>0.222222222222222</v>
      </c>
      <c r="P491" s="31" t="n">
        <f aca="false">IF(NOT(ISNUMBER($G491)),"",INDEX('Residual Config'!$B$19:$E$23,6-G491,M491))</f>
        <v>2</v>
      </c>
      <c r="Q491" s="29" t="n">
        <f aca="false">IF(NOT(ISNUMBER($G491)),"",MAX(1,F491*(1-O491)))</f>
        <v>1.48253086419753</v>
      </c>
      <c r="R491" s="31" t="n">
        <f aca="false">IF(NOT(ISNUMBER($G491)),"",MAX(MATCH(Q491,Config!$D$5:$D$9,1),G491-'Residual Config'!$C$6))</f>
        <v>1</v>
      </c>
      <c r="S491" s="34" t="n">
        <f aca="false">IF(NOT(ISNUMBER($G491)),"",IF('Residual Config'!$C$5="Numeric",R491,P491))</f>
        <v>2</v>
      </c>
      <c r="T491" s="7" t="str">
        <f aca="false">IF(G491="N/A","N/A",IF(S491="","No data",INDEX(Config!$B$5:$B$9,S491)))</f>
        <v>Medium-Low</v>
      </c>
      <c r="U491" s="32" t="n">
        <v>0</v>
      </c>
      <c r="V491" s="8"/>
      <c r="W491" s="33"/>
      <c r="X491" s="34" t="n">
        <f aca="false">IF(S491="","",IF(AND(W491="Y",U491&lt;&gt;0),MAX(1,MIN(5,S491+MAX(-Config!$C$27,MIN(Config!$C$27,U491)))),S491))</f>
        <v>2</v>
      </c>
      <c r="Y491" s="35" t="str">
        <f aca="false">IF(G491="N/A","N/A",IF(X491="","No data",INDEX(Config!$B$5:$B$9,X491)))</f>
        <v>Medium-Low</v>
      </c>
      <c r="Z491" s="7" t="str">
        <f aca="false">IF(U491=0,"None",IF(W491="Y","Applied","Pending HO approval"))</f>
        <v>None</v>
      </c>
      <c r="AA491" s="12" t="str">
        <f aca="false">INDEX('Risk Taxonomy'!$G$5:$G$24,MATCH(D491,'Risk Taxonomy'!$A$5:$A$24,0))</f>
        <v>Zero tolerance (facilitation)</v>
      </c>
      <c r="AB491" s="7" t="str">
        <f aca="false">INDEX('Risk Taxonomy'!$H$5:$H$24,MATCH(D491,'Risk Taxonomy'!$A$5:$A$24,0))</f>
        <v>Low</v>
      </c>
      <c r="AC491" s="35" t="str">
        <f aca="false">IF(NOT(ISNUMBER(X491)),"",IF(X491&lt;=MATCH(AB491,Config!$B$5:$B$9,0),"Within",IF(OR(X491-MATCH(AB491,Config!$B$5:$B$9,0)&gt;=2,AND('Residual Config'!$C$8="Y",ISNUMBER(SEARCH("Zero",AA491)))),"Red","Amber")))</f>
        <v>Amber</v>
      </c>
      <c r="AD491" s="12" t="str">
        <f aca="false">IF(AC491="Red","Group CCO / CRO and Country CEO within 2 business days; action plan in 15 days; report to Board Risk &amp; Compliance Committee",IF(AC491="Amber","Country CO, risk owner and HO Administrator within 5 business days; action plan in 30 days",""))</f>
        <v>Country CO, risk owner and HO Administrator within 5 business days; action plan in 30 days</v>
      </c>
    </row>
    <row r="492" customFormat="false" ht="15" hidden="false" customHeight="false" outlineLevel="0" collapsed="false">
      <c r="A492" s="26" t="str">
        <f aca="false">Entities!$A$29</f>
        <v>IT</v>
      </c>
      <c r="B492" s="12" t="str">
        <f aca="false">INDEX(Entities!$B$5:$B$34,MATCH(A492,Entities!$A$5:$A$34,0))</f>
        <v>Arab Bank – Italy</v>
      </c>
      <c r="C492" s="12" t="str">
        <f aca="false">INDEX(Entities!$D$5:$D$34,MATCH(A492,Entities!$A$5:$A$34,0))</f>
        <v>Europe</v>
      </c>
      <c r="D492" s="12" t="s">
        <v>284</v>
      </c>
      <c r="E492" s="12" t="str">
        <f aca="false">INDEX('Risk Taxonomy'!$B$5:$B$24,MATCH(D492,'Risk Taxonomy'!$A$5:$A$24,0))</f>
        <v>Regulatory compliance</v>
      </c>
      <c r="F492" s="29" t="n">
        <f aca="false">IF(NOT(ISNUMBER(G492)),"",G492)</f>
        <v>3</v>
      </c>
      <c r="G492" s="34" t="n">
        <f aca="false">IF(COUNTIFS('LxI Assessment'!$A$5:$A$394,A492,'LxI Assessment'!$D$5:$D$394,D492,'LxI Assessment'!$F$5:$F$394,"N/A")&gt;0,"N/A",IF(COUNTIFS('LxI Assessment'!$A$5:$A$394,A492,'LxI Assessment'!$D$5:$D$394,D492,'LxI Assessment'!$S$5:$S$394,"&gt;0")=0,"",SUMIFS('LxI Assessment'!$S$5:$S$394,'LxI Assessment'!$A$5:$A$394,A492,'LxI Assessment'!$D$5:$D$394,D492)))</f>
        <v>3</v>
      </c>
      <c r="H492" s="7" t="str">
        <f aca="false">IF(G492="N/A","N/A",IF(G492="","No data",INDEX(Config!$B$5:$B$9,G492)))</f>
        <v>Medium</v>
      </c>
      <c r="I492" s="31" t="n">
        <f aca="false">IF(NOT(ISNUMBER($G492)),"",SUMPRODUCT(('Control Mapping'!$C$5:$C$83=D492)*('Control Mapping'!$AE$5:$AE$83&gt;0)))</f>
        <v>4</v>
      </c>
      <c r="J492" s="31" t="n">
        <f aca="false">IF(NOT(ISNUMBER($G492)),"",SUMPRODUCT(('Control Mapping'!$C$5:$C$83=D492)*('Control Mapping'!$F$5:$F$83="Y")*('Control Mapping'!$AE$5:$AE$83&gt;0)))</f>
        <v>3</v>
      </c>
      <c r="K492" s="31" t="n">
        <f aca="false">IF(NOT(ISNUMBER($G492)),"",SUMPRODUCT(('Control Mapping'!$C$5:$C$83=D492)*('Control Mapping'!$F$5:$F$83="Y")*('Control Mapping'!$AE$5:$AE$83=4)))</f>
        <v>1</v>
      </c>
      <c r="L492" s="29" t="n">
        <f aca="false">IF(NOT(ISNUMBER($G492)),"",IFERROR(SUMPRODUCT(('Control Mapping'!$C$5:$C$83=D492)*'Control Mapping'!$E$5:$E$83*'Control Mapping'!$AE$5:$AE$83)/SUMPRODUCT(('Control Mapping'!$C$5:$C$83=D492)*'Control Mapping'!$E$5:$E$83*('Control Mapping'!$AE$5:$AE$83&gt;0)),""))</f>
        <v>2.57142857142857</v>
      </c>
      <c r="M492" s="34" t="n">
        <f aca="false">IF(NOT(ISNUMBER($G492)),"",IF(J492=0,4,MAX(MATCH(L492,'Residual Config'!$E$11:$E$14,1),IF(K492&gt;0,'Residual Config'!$C$7,1))))</f>
        <v>3</v>
      </c>
      <c r="N492" s="7" t="str">
        <f aca="false">IF(NOT(ISNUMBER($G492)),"",IF(J492=0,"Ineffective (no key control)",INDEX('Residual Config'!$B$11:$B$14,M492)))</f>
        <v>Partially effective</v>
      </c>
      <c r="O492" s="36" t="n">
        <f aca="false">IF(NOT(ISNUMBER($G492)),"",IF(J492=0,0,SUMPRODUCT(('Control Mapping'!$C$5:$C$83=D492)*'Control Mapping'!$E$5:$E$83*(('Control Mapping'!$AE$5:$AE$83=1)*'Residual Config'!$D$11+('Control Mapping'!$AE$5:$AE$83=2)*'Residual Config'!$D$12+('Control Mapping'!$AE$5:$AE$83=3)*'Residual Config'!$D$13+('Control Mapping'!$AE$5:$AE$83=4)*'Residual Config'!$D$14))/SUMPRODUCT(('Control Mapping'!$C$5:$C$83=D492)*'Control Mapping'!$E$5:$E$83*('Control Mapping'!$AE$5:$AE$83&gt;0))))</f>
        <v>0.285714285714286</v>
      </c>
      <c r="P492" s="31" t="n">
        <f aca="false">IF(NOT(ISNUMBER($G492)),"",INDEX('Residual Config'!$B$19:$E$23,6-G492,M492))</f>
        <v>3</v>
      </c>
      <c r="Q492" s="29" t="n">
        <f aca="false">IF(NOT(ISNUMBER($G492)),"",MAX(1,F492*(1-O492)))</f>
        <v>2.14285714285714</v>
      </c>
      <c r="R492" s="31" t="n">
        <f aca="false">IF(NOT(ISNUMBER($G492)),"",MAX(MATCH(Q492,Config!$D$5:$D$9,1),G492-'Residual Config'!$C$6))</f>
        <v>2</v>
      </c>
      <c r="S492" s="34" t="n">
        <f aca="false">IF(NOT(ISNUMBER($G492)),"",IF('Residual Config'!$C$5="Numeric",R492,P492))</f>
        <v>3</v>
      </c>
      <c r="T492" s="7" t="str">
        <f aca="false">IF(G492="N/A","N/A",IF(S492="","No data",INDEX(Config!$B$5:$B$9,S492)))</f>
        <v>Medium</v>
      </c>
      <c r="U492" s="32" t="n">
        <v>0</v>
      </c>
      <c r="V492" s="8"/>
      <c r="W492" s="33"/>
      <c r="X492" s="34" t="n">
        <f aca="false">IF(S492="","",IF(AND(W492="Y",U492&lt;&gt;0),MAX(1,MIN(5,S492+MAX(-Config!$C$27,MIN(Config!$C$27,U492)))),S492))</f>
        <v>3</v>
      </c>
      <c r="Y492" s="35" t="str">
        <f aca="false">IF(G492="N/A","N/A",IF(X492="","No data",INDEX(Config!$B$5:$B$9,X492)))</f>
        <v>Medium</v>
      </c>
      <c r="Z492" s="7" t="str">
        <f aca="false">IF(U492=0,"None",IF(W492="Y","Applied","Pending HO approval"))</f>
        <v>None</v>
      </c>
      <c r="AA492" s="12" t="str">
        <f aca="false">INDEX('Risk Taxonomy'!$G$5:$G$24,MATCH(D492,'Risk Taxonomy'!$A$5:$A$24,0))</f>
        <v>Very low</v>
      </c>
      <c r="AB492" s="7" t="str">
        <f aca="false">INDEX('Risk Taxonomy'!$H$5:$H$24,MATCH(D492,'Risk Taxonomy'!$A$5:$A$24,0))</f>
        <v>Medium-Low</v>
      </c>
      <c r="AC492" s="35" t="str">
        <f aca="false">IF(NOT(ISNUMBER(X492)),"",IF(X492&lt;=MATCH(AB492,Config!$B$5:$B$9,0),"Within",IF(OR(X492-MATCH(AB492,Config!$B$5:$B$9,0)&gt;=2,AND('Residual Config'!$C$8="Y",ISNUMBER(SEARCH("Zero",AA492)))),"Red","Amber")))</f>
        <v>Amber</v>
      </c>
      <c r="AD492" s="12" t="str">
        <f aca="false">IF(AC492="Red","Group CCO / CRO and Country CEO within 2 business days; action plan in 15 days; report to Board Risk &amp; Compliance Committee",IF(AC492="Amber","Country CO, risk owner and HO Administrator within 5 business days; action plan in 30 days",""))</f>
        <v>Country CO, risk owner and HO Administrator within 5 business days; action plan in 30 days</v>
      </c>
    </row>
    <row r="493" customFormat="false" ht="15" hidden="false" customHeight="false" outlineLevel="0" collapsed="false">
      <c r="A493" s="26" t="str">
        <f aca="false">Entities!$A$29</f>
        <v>IT</v>
      </c>
      <c r="B493" s="12" t="str">
        <f aca="false">INDEX(Entities!$B$5:$B$34,MATCH(A493,Entities!$A$5:$A$34,0))</f>
        <v>Arab Bank – Italy</v>
      </c>
      <c r="C493" s="12" t="str">
        <f aca="false">INDEX(Entities!$D$5:$D$34,MATCH(A493,Entities!$A$5:$A$34,0))</f>
        <v>Europe</v>
      </c>
      <c r="D493" s="12" t="s">
        <v>288</v>
      </c>
      <c r="E493" s="12" t="str">
        <f aca="false">INDEX('Risk Taxonomy'!$B$5:$B$24,MATCH(D493,'Risk Taxonomy'!$A$5:$A$24,0))</f>
        <v>Conduct and consumer protection</v>
      </c>
      <c r="F493" s="29" t="n">
        <f aca="false">IF(NOT(ISNUMBER(G493)),"",G493)</f>
        <v>1</v>
      </c>
      <c r="G493" s="34" t="n">
        <f aca="false">IF(COUNTIFS('LxI Assessment'!$A$5:$A$394,A493,'LxI Assessment'!$D$5:$D$394,D493,'LxI Assessment'!$F$5:$F$394,"N/A")&gt;0,"N/A",IF(COUNTIFS('LxI Assessment'!$A$5:$A$394,A493,'LxI Assessment'!$D$5:$D$394,D493,'LxI Assessment'!$S$5:$S$394,"&gt;0")=0,"",SUMIFS('LxI Assessment'!$S$5:$S$394,'LxI Assessment'!$A$5:$A$394,A493,'LxI Assessment'!$D$5:$D$394,D493)))</f>
        <v>1</v>
      </c>
      <c r="H493" s="7" t="str">
        <f aca="false">IF(G493="N/A","N/A",IF(G493="","No data",INDEX(Config!$B$5:$B$9,G493)))</f>
        <v>Low</v>
      </c>
      <c r="I493" s="31" t="n">
        <f aca="false">IF(NOT(ISNUMBER($G493)),"",SUMPRODUCT(('Control Mapping'!$C$5:$C$83=D493)*('Control Mapping'!$AE$5:$AE$83&gt;0)))</f>
        <v>2</v>
      </c>
      <c r="J493" s="31" t="n">
        <f aca="false">IF(NOT(ISNUMBER($G493)),"",SUMPRODUCT(('Control Mapping'!$C$5:$C$83=D493)*('Control Mapping'!$F$5:$F$83="Y")*('Control Mapping'!$AE$5:$AE$83&gt;0)))</f>
        <v>1</v>
      </c>
      <c r="K493" s="31" t="n">
        <f aca="false">IF(NOT(ISNUMBER($G493)),"",SUMPRODUCT(('Control Mapping'!$C$5:$C$83=D493)*('Control Mapping'!$F$5:$F$83="Y")*('Control Mapping'!$AE$5:$AE$83=4)))</f>
        <v>0</v>
      </c>
      <c r="L493" s="29" t="n">
        <f aca="false">IF(NOT(ISNUMBER($G493)),"",IFERROR(SUMPRODUCT(('Control Mapping'!$C$5:$C$83=D493)*'Control Mapping'!$E$5:$E$83*'Control Mapping'!$AE$5:$AE$83)/SUMPRODUCT(('Control Mapping'!$C$5:$C$83=D493)*'Control Mapping'!$E$5:$E$83*('Control Mapping'!$AE$5:$AE$83&gt;0)),""))</f>
        <v>1</v>
      </c>
      <c r="M493" s="34" t="n">
        <f aca="false">IF(NOT(ISNUMBER($G493)),"",IF(J493=0,4,MAX(MATCH(L493,'Residual Config'!$E$11:$E$14,1),IF(K493&gt;0,'Residual Config'!$C$7,1))))</f>
        <v>1</v>
      </c>
      <c r="N493" s="7" t="str">
        <f aca="false">IF(NOT(ISNUMBER($G493)),"",IF(J493=0,"Ineffective (no key control)",INDEX('Residual Config'!$B$11:$B$14,M493)))</f>
        <v>Effective</v>
      </c>
      <c r="O493" s="36" t="n">
        <f aca="false">IF(NOT(ISNUMBER($G493)),"",IF(J493=0,0,SUMPRODUCT(('Control Mapping'!$C$5:$C$83=D493)*'Control Mapping'!$E$5:$E$83*(('Control Mapping'!$AE$5:$AE$83=1)*'Residual Config'!$D$11+('Control Mapping'!$AE$5:$AE$83=2)*'Residual Config'!$D$12+('Control Mapping'!$AE$5:$AE$83=3)*'Residual Config'!$D$13+('Control Mapping'!$AE$5:$AE$83=4)*'Residual Config'!$D$14))/SUMPRODUCT(('Control Mapping'!$C$5:$C$83=D493)*'Control Mapping'!$E$5:$E$83*('Control Mapping'!$AE$5:$AE$83&gt;0))))</f>
        <v>0.6</v>
      </c>
      <c r="P493" s="31" t="n">
        <f aca="false">IF(NOT(ISNUMBER($G493)),"",INDEX('Residual Config'!$B$19:$E$23,6-G493,M493))</f>
        <v>1</v>
      </c>
      <c r="Q493" s="29" t="n">
        <f aca="false">IF(NOT(ISNUMBER($G493)),"",MAX(1,F493*(1-O493)))</f>
        <v>1</v>
      </c>
      <c r="R493" s="31" t="n">
        <f aca="false">IF(NOT(ISNUMBER($G493)),"",MAX(MATCH(Q493,Config!$D$5:$D$9,1),G493-'Residual Config'!$C$6))</f>
        <v>1</v>
      </c>
      <c r="S493" s="34" t="n">
        <f aca="false">IF(NOT(ISNUMBER($G493)),"",IF('Residual Config'!$C$5="Numeric",R493,P493))</f>
        <v>1</v>
      </c>
      <c r="T493" s="7" t="str">
        <f aca="false">IF(G493="N/A","N/A",IF(S493="","No data",INDEX(Config!$B$5:$B$9,S493)))</f>
        <v>Low</v>
      </c>
      <c r="U493" s="32" t="n">
        <v>0</v>
      </c>
      <c r="V493" s="8"/>
      <c r="W493" s="33"/>
      <c r="X493" s="34" t="n">
        <f aca="false">IF(S493="","",IF(AND(W493="Y",U493&lt;&gt;0),MAX(1,MIN(5,S493+MAX(-Config!$C$27,MIN(Config!$C$27,U493)))),S493))</f>
        <v>1</v>
      </c>
      <c r="Y493" s="35" t="str">
        <f aca="false">IF(G493="N/A","N/A",IF(X493="","No data",INDEX(Config!$B$5:$B$9,X493)))</f>
        <v>Low</v>
      </c>
      <c r="Z493" s="7" t="str">
        <f aca="false">IF(U493=0,"None",IF(W493="Y","Applied","Pending HO approval"))</f>
        <v>None</v>
      </c>
      <c r="AA493" s="12" t="str">
        <f aca="false">INDEX('Risk Taxonomy'!$G$5:$G$24,MATCH(D493,'Risk Taxonomy'!$A$5:$A$24,0))</f>
        <v>Low</v>
      </c>
      <c r="AB493" s="7" t="str">
        <f aca="false">INDEX('Risk Taxonomy'!$H$5:$H$24,MATCH(D493,'Risk Taxonomy'!$A$5:$A$24,0))</f>
        <v>Medium</v>
      </c>
      <c r="AC493" s="35" t="str">
        <f aca="false">IF(NOT(ISNUMBER(X493)),"",IF(X493&lt;=MATCH(AB493,Config!$B$5:$B$9,0),"Within",IF(OR(X493-MATCH(AB493,Config!$B$5:$B$9,0)&gt;=2,AND('Residual Config'!$C$8="Y",ISNUMBER(SEARCH("Zero",AA493)))),"Red","Amber")))</f>
        <v>Within</v>
      </c>
      <c r="AD493" s="12" t="str">
        <f aca="false">IF(AC493="Red","Group CCO / CRO and Country CEO within 2 business days; action plan in 15 days; report to Board Risk &amp; Compliance Committee",IF(AC493="Amber","Country CO, risk owner and HO Administrator within 5 business days; action plan in 30 days",""))</f>
        <v/>
      </c>
    </row>
    <row r="494" customFormat="false" ht="15" hidden="false" customHeight="false" outlineLevel="0" collapsed="false">
      <c r="A494" s="26" t="str">
        <f aca="false">Entities!$A$29</f>
        <v>IT</v>
      </c>
      <c r="B494" s="12" t="str">
        <f aca="false">INDEX(Entities!$B$5:$B$34,MATCH(A494,Entities!$A$5:$A$34,0))</f>
        <v>Arab Bank – Italy</v>
      </c>
      <c r="C494" s="12" t="str">
        <f aca="false">INDEX(Entities!$D$5:$D$34,MATCH(A494,Entities!$A$5:$A$34,0))</f>
        <v>Europe</v>
      </c>
      <c r="D494" s="12" t="s">
        <v>290</v>
      </c>
      <c r="E494" s="12" t="str">
        <f aca="false">INDEX('Risk Taxonomy'!$B$5:$B$24,MATCH(D494,'Risk Taxonomy'!$A$5:$A$24,0))</f>
        <v>Data protection and privacy</v>
      </c>
      <c r="F494" s="29" t="n">
        <f aca="false">IF(NOT(ISNUMBER(G494)),"",G494)</f>
        <v>3</v>
      </c>
      <c r="G494" s="34" t="n">
        <f aca="false">IF(COUNTIFS('LxI Assessment'!$A$5:$A$394,A494,'LxI Assessment'!$D$5:$D$394,D494,'LxI Assessment'!$F$5:$F$394,"N/A")&gt;0,"N/A",IF(COUNTIFS('LxI Assessment'!$A$5:$A$394,A494,'LxI Assessment'!$D$5:$D$394,D494,'LxI Assessment'!$S$5:$S$394,"&gt;0")=0,"",SUMIFS('LxI Assessment'!$S$5:$S$394,'LxI Assessment'!$A$5:$A$394,A494,'LxI Assessment'!$D$5:$D$394,D494)))</f>
        <v>3</v>
      </c>
      <c r="H494" s="7" t="str">
        <f aca="false">IF(G494="N/A","N/A",IF(G494="","No data",INDEX(Config!$B$5:$B$9,G494)))</f>
        <v>Medium</v>
      </c>
      <c r="I494" s="31" t="n">
        <f aca="false">IF(NOT(ISNUMBER($G494)),"",SUMPRODUCT(('Control Mapping'!$C$5:$C$83=D494)*('Control Mapping'!$AE$5:$AE$83&gt;0)))</f>
        <v>2</v>
      </c>
      <c r="J494" s="31" t="n">
        <f aca="false">IF(NOT(ISNUMBER($G494)),"",SUMPRODUCT(('Control Mapping'!$C$5:$C$83=D494)*('Control Mapping'!$F$5:$F$83="Y")*('Control Mapping'!$AE$5:$AE$83&gt;0)))</f>
        <v>2</v>
      </c>
      <c r="K494" s="31" t="n">
        <f aca="false">IF(NOT(ISNUMBER($G494)),"",SUMPRODUCT(('Control Mapping'!$C$5:$C$83=D494)*('Control Mapping'!$F$5:$F$83="Y")*('Control Mapping'!$AE$5:$AE$83=4)))</f>
        <v>1</v>
      </c>
      <c r="L494" s="29" t="n">
        <f aca="false">IF(NOT(ISNUMBER($G494)),"",IFERROR(SUMPRODUCT(('Control Mapping'!$C$5:$C$83=D494)*'Control Mapping'!$E$5:$E$83*'Control Mapping'!$AE$5:$AE$83)/SUMPRODUCT(('Control Mapping'!$C$5:$C$83=D494)*'Control Mapping'!$E$5:$E$83*('Control Mapping'!$AE$5:$AE$83&gt;0)),""))</f>
        <v>3</v>
      </c>
      <c r="M494" s="34" t="n">
        <f aca="false">IF(NOT(ISNUMBER($G494)),"",IF(J494=0,4,MAX(MATCH(L494,'Residual Config'!$E$11:$E$14,1),IF(K494&gt;0,'Residual Config'!$C$7,1))))</f>
        <v>3</v>
      </c>
      <c r="N494" s="7" t="str">
        <f aca="false">IF(NOT(ISNUMBER($G494)),"",IF(J494=0,"Ineffective (no key control)",INDEX('Residual Config'!$B$11:$B$14,M494)))</f>
        <v>Partially effective</v>
      </c>
      <c r="O494" s="36" t="n">
        <f aca="false">IF(NOT(ISNUMBER($G494)),"",IF(J494=0,0,SUMPRODUCT(('Control Mapping'!$C$5:$C$83=D494)*'Control Mapping'!$E$5:$E$83*(('Control Mapping'!$AE$5:$AE$83=1)*'Residual Config'!$D$11+('Control Mapping'!$AE$5:$AE$83=2)*'Residual Config'!$D$12+('Control Mapping'!$AE$5:$AE$83=3)*'Residual Config'!$D$13+('Control Mapping'!$AE$5:$AE$83=4)*'Residual Config'!$D$14))/SUMPRODUCT(('Control Mapping'!$C$5:$C$83=D494)*'Control Mapping'!$E$5:$E$83*('Control Mapping'!$AE$5:$AE$83&gt;0))))</f>
        <v>0.2</v>
      </c>
      <c r="P494" s="31" t="n">
        <f aca="false">IF(NOT(ISNUMBER($G494)),"",INDEX('Residual Config'!$B$19:$E$23,6-G494,M494))</f>
        <v>3</v>
      </c>
      <c r="Q494" s="29" t="n">
        <f aca="false">IF(NOT(ISNUMBER($G494)),"",MAX(1,F494*(1-O494)))</f>
        <v>2.4</v>
      </c>
      <c r="R494" s="31" t="n">
        <f aca="false">IF(NOT(ISNUMBER($G494)),"",MAX(MATCH(Q494,Config!$D$5:$D$9,1),G494-'Residual Config'!$C$6))</f>
        <v>2</v>
      </c>
      <c r="S494" s="34" t="n">
        <f aca="false">IF(NOT(ISNUMBER($G494)),"",IF('Residual Config'!$C$5="Numeric",R494,P494))</f>
        <v>3</v>
      </c>
      <c r="T494" s="7" t="str">
        <f aca="false">IF(G494="N/A","N/A",IF(S494="","No data",INDEX(Config!$B$5:$B$9,S494)))</f>
        <v>Medium</v>
      </c>
      <c r="U494" s="32" t="n">
        <v>0</v>
      </c>
      <c r="V494" s="8"/>
      <c r="W494" s="33"/>
      <c r="X494" s="34" t="n">
        <f aca="false">IF(S494="","",IF(AND(W494="Y",U494&lt;&gt;0),MAX(1,MIN(5,S494+MAX(-Config!$C$27,MIN(Config!$C$27,U494)))),S494))</f>
        <v>3</v>
      </c>
      <c r="Y494" s="35" t="str">
        <f aca="false">IF(G494="N/A","N/A",IF(X494="","No data",INDEX(Config!$B$5:$B$9,X494)))</f>
        <v>Medium</v>
      </c>
      <c r="Z494" s="7" t="str">
        <f aca="false">IF(U494=0,"None",IF(W494="Y","Applied","Pending HO approval"))</f>
        <v>None</v>
      </c>
      <c r="AA494" s="12" t="str">
        <f aca="false">INDEX('Risk Taxonomy'!$G$5:$G$24,MATCH(D494,'Risk Taxonomy'!$A$5:$A$24,0))</f>
        <v>Very low</v>
      </c>
      <c r="AB494" s="7" t="str">
        <f aca="false">INDEX('Risk Taxonomy'!$H$5:$H$24,MATCH(D494,'Risk Taxonomy'!$A$5:$A$24,0))</f>
        <v>Medium-Low</v>
      </c>
      <c r="AC494" s="35" t="str">
        <f aca="false">IF(NOT(ISNUMBER(X494)),"",IF(X494&lt;=MATCH(AB494,Config!$B$5:$B$9,0),"Within",IF(OR(X494-MATCH(AB494,Config!$B$5:$B$9,0)&gt;=2,AND('Residual Config'!$C$8="Y",ISNUMBER(SEARCH("Zero",AA494)))),"Red","Amber")))</f>
        <v>Amber</v>
      </c>
      <c r="AD494" s="12" t="str">
        <f aca="false">IF(AC494="Red","Group CCO / CRO and Country CEO within 2 business days; action plan in 15 days; report to Board Risk &amp; Compliance Committee",IF(AC494="Amber","Country CO, risk owner and HO Administrator within 5 business days; action plan in 30 days",""))</f>
        <v>Country CO, risk owner and HO Administrator within 5 business days; action plan in 30 days</v>
      </c>
    </row>
    <row r="495" customFormat="false" ht="15" hidden="false" customHeight="false" outlineLevel="0" collapsed="false">
      <c r="A495" s="26" t="str">
        <f aca="false">Entities!$A$29</f>
        <v>IT</v>
      </c>
      <c r="B495" s="12" t="str">
        <f aca="false">INDEX(Entities!$B$5:$B$34,MATCH(A495,Entities!$A$5:$A$34,0))</f>
        <v>Arab Bank – Italy</v>
      </c>
      <c r="C495" s="12" t="str">
        <f aca="false">INDEX(Entities!$D$5:$D$34,MATCH(A495,Entities!$A$5:$A$34,0))</f>
        <v>Europe</v>
      </c>
      <c r="D495" s="12" t="s">
        <v>293</v>
      </c>
      <c r="E495" s="12" t="str">
        <f aca="false">INDEX('Risk Taxonomy'!$B$5:$B$24,MATCH(D495,'Risk Taxonomy'!$A$5:$A$24,0))</f>
        <v>Shariah non-compliance</v>
      </c>
      <c r="F495" s="29" t="str">
        <f aca="false">IF(NOT(ISNUMBER(G495)),"",G495)</f>
        <v/>
      </c>
      <c r="G495" s="34" t="str">
        <f aca="false">IF(COUNTIFS('LxI Assessment'!$A$5:$A$394,A495,'LxI Assessment'!$D$5:$D$394,D495,'LxI Assessment'!$F$5:$F$394,"N/A")&gt;0,"N/A",IF(COUNTIFS('LxI Assessment'!$A$5:$A$394,A495,'LxI Assessment'!$D$5:$D$394,D495,'LxI Assessment'!$S$5:$S$394,"&gt;0")=0,"",SUMIFS('LxI Assessment'!$S$5:$S$394,'LxI Assessment'!$A$5:$A$394,A495,'LxI Assessment'!$D$5:$D$394,D495)))</f>
        <v>N/A</v>
      </c>
      <c r="H495" s="7" t="str">
        <f aca="false">IF(G495="N/A","N/A",IF(G495="","No data",INDEX(Config!$B$5:$B$9,G495)))</f>
        <v>N/A</v>
      </c>
      <c r="I495" s="31" t="str">
        <f aca="false">IF(NOT(ISNUMBER($G495)),"",SUMPRODUCT(('Control Mapping'!$C$5:$C$83=D495)*('Control Mapping'!$AE$5:$AE$83&gt;0)))</f>
        <v/>
      </c>
      <c r="J495" s="31" t="str">
        <f aca="false">IF(NOT(ISNUMBER($G495)),"",SUMPRODUCT(('Control Mapping'!$C$5:$C$83=D495)*('Control Mapping'!$F$5:$F$83="Y")*('Control Mapping'!$AE$5:$AE$83&gt;0)))</f>
        <v/>
      </c>
      <c r="K495" s="31" t="str">
        <f aca="false">IF(NOT(ISNUMBER($G495)),"",SUMPRODUCT(('Control Mapping'!$C$5:$C$83=D495)*('Control Mapping'!$F$5:$F$83="Y")*('Control Mapping'!$AE$5:$AE$83=4)))</f>
        <v/>
      </c>
      <c r="L495" s="29" t="str">
        <f aca="false">IF(NOT(ISNUMBER($G495)),"",IFERROR(SUMPRODUCT(('Control Mapping'!$C$5:$C$83=D495)*'Control Mapping'!$E$5:$E$83*'Control Mapping'!$AE$5:$AE$83)/SUMPRODUCT(('Control Mapping'!$C$5:$C$83=D495)*'Control Mapping'!$E$5:$E$83*('Control Mapping'!$AE$5:$AE$83&gt;0)),""))</f>
        <v/>
      </c>
      <c r="M495" s="34" t="str">
        <f aca="false">IF(NOT(ISNUMBER($G495)),"",IF(J495=0,4,MAX(MATCH(L495,'Residual Config'!$E$11:$E$14,1),IF(K495&gt;0,'Residual Config'!$C$7,1))))</f>
        <v/>
      </c>
      <c r="N495" s="7" t="str">
        <f aca="false">IF(NOT(ISNUMBER($G495)),"",IF(J495=0,"Ineffective (no key control)",INDEX('Residual Config'!$B$11:$B$14,M495)))</f>
        <v/>
      </c>
      <c r="O495" s="36" t="str">
        <f aca="false">IF(NOT(ISNUMBER($G495)),"",IF(J495=0,0,SUMPRODUCT(('Control Mapping'!$C$5:$C$83=D495)*'Control Mapping'!$E$5:$E$83*(('Control Mapping'!$AE$5:$AE$83=1)*'Residual Config'!$D$11+('Control Mapping'!$AE$5:$AE$83=2)*'Residual Config'!$D$12+('Control Mapping'!$AE$5:$AE$83=3)*'Residual Config'!$D$13+('Control Mapping'!$AE$5:$AE$83=4)*'Residual Config'!$D$14))/SUMPRODUCT(('Control Mapping'!$C$5:$C$83=D495)*'Control Mapping'!$E$5:$E$83*('Control Mapping'!$AE$5:$AE$83&gt;0))))</f>
        <v/>
      </c>
      <c r="P495" s="31" t="str">
        <f aca="false">IF(NOT(ISNUMBER($G495)),"",INDEX('Residual Config'!$B$19:$E$23,6-G495,M495))</f>
        <v/>
      </c>
      <c r="Q495" s="29" t="str">
        <f aca="false">IF(NOT(ISNUMBER($G495)),"",MAX(1,F495*(1-O495)))</f>
        <v/>
      </c>
      <c r="R495" s="31" t="str">
        <f aca="false">IF(NOT(ISNUMBER($G495)),"",MAX(MATCH(Q495,Config!$D$5:$D$9,1),G495-'Residual Config'!$C$6))</f>
        <v/>
      </c>
      <c r="S495" s="34" t="str">
        <f aca="false">IF(NOT(ISNUMBER($G495)),"",IF('Residual Config'!$C$5="Numeric",R495,P495))</f>
        <v/>
      </c>
      <c r="T495" s="7" t="str">
        <f aca="false">IF(G495="N/A","N/A",IF(S495="","No data",INDEX(Config!$B$5:$B$9,S495)))</f>
        <v>N/A</v>
      </c>
      <c r="U495" s="32" t="n">
        <v>0</v>
      </c>
      <c r="V495" s="8"/>
      <c r="W495" s="33"/>
      <c r="X495" s="34" t="str">
        <f aca="false">IF(S495="","",IF(AND(W495="Y",U495&lt;&gt;0),MAX(1,MIN(5,S495+MAX(-Config!$C$27,MIN(Config!$C$27,U495)))),S495))</f>
        <v/>
      </c>
      <c r="Y495" s="35" t="str">
        <f aca="false">IF(G495="N/A","N/A",IF(X495="","No data",INDEX(Config!$B$5:$B$9,X495)))</f>
        <v>N/A</v>
      </c>
      <c r="Z495" s="7" t="str">
        <f aca="false">IF(U495=0,"None",IF(W495="Y","Applied","Pending HO approval"))</f>
        <v>None</v>
      </c>
      <c r="AA495" s="12" t="str">
        <f aca="false">INDEX('Risk Taxonomy'!$G$5:$G$24,MATCH(D495,'Risk Taxonomy'!$A$5:$A$24,0))</f>
        <v>Very low</v>
      </c>
      <c r="AB495" s="7" t="str">
        <f aca="false">INDEX('Risk Taxonomy'!$H$5:$H$24,MATCH(D495,'Risk Taxonomy'!$A$5:$A$24,0))</f>
        <v>Medium-Low</v>
      </c>
      <c r="AC495" s="35" t="str">
        <f aca="false">IF(NOT(ISNUMBER(X495)),"",IF(X495&lt;=MATCH(AB495,Config!$B$5:$B$9,0),"Within",IF(OR(X495-MATCH(AB495,Config!$B$5:$B$9,0)&gt;=2,AND('Residual Config'!$C$8="Y",ISNUMBER(SEARCH("Zero",AA495)))),"Red","Amber")))</f>
        <v/>
      </c>
      <c r="AD495" s="12" t="str">
        <f aca="false">IF(AC495="Red","Group CCO / CRO and Country CEO within 2 business days; action plan in 15 days; report to Board Risk &amp; Compliance Committee",IF(AC495="Amber","Country CO, risk owner and HO Administrator within 5 business days; action plan in 30 days",""))</f>
        <v/>
      </c>
    </row>
    <row r="496" customFormat="false" ht="15" hidden="false" customHeight="false" outlineLevel="0" collapsed="false">
      <c r="A496" s="26" t="str">
        <f aca="false">Entities!$A$29</f>
        <v>IT</v>
      </c>
      <c r="B496" s="12" t="str">
        <f aca="false">INDEX(Entities!$B$5:$B$34,MATCH(A496,Entities!$A$5:$A$34,0))</f>
        <v>Arab Bank – Italy</v>
      </c>
      <c r="C496" s="12" t="str">
        <f aca="false">INDEX(Entities!$D$5:$D$34,MATCH(A496,Entities!$A$5:$A$34,0))</f>
        <v>Europe</v>
      </c>
      <c r="D496" s="12" t="s">
        <v>297</v>
      </c>
      <c r="E496" s="12" t="str">
        <f aca="false">INDEX('Risk Taxonomy'!$B$5:$B$24,MATCH(D496,'Risk Taxonomy'!$A$5:$A$24,0))</f>
        <v>Credit risk</v>
      </c>
      <c r="F496" s="29" t="n">
        <f aca="false">IF(NOT(ISNUMBER(G496)),"",G496)</f>
        <v>1</v>
      </c>
      <c r="G496" s="34" t="n">
        <f aca="false">IF(COUNTIFS('LxI Assessment'!$A$5:$A$394,A496,'LxI Assessment'!$D$5:$D$394,D496,'LxI Assessment'!$F$5:$F$394,"N/A")&gt;0,"N/A",IF(COUNTIFS('LxI Assessment'!$A$5:$A$394,A496,'LxI Assessment'!$D$5:$D$394,D496,'LxI Assessment'!$S$5:$S$394,"&gt;0")=0,"",SUMIFS('LxI Assessment'!$S$5:$S$394,'LxI Assessment'!$A$5:$A$394,A496,'LxI Assessment'!$D$5:$D$394,D496)))</f>
        <v>1</v>
      </c>
      <c r="H496" s="7" t="str">
        <f aca="false">IF(G496="N/A","N/A",IF(G496="","No data",INDEX(Config!$B$5:$B$9,G496)))</f>
        <v>Low</v>
      </c>
      <c r="I496" s="31" t="n">
        <f aca="false">IF(NOT(ISNUMBER($G496)),"",SUMPRODUCT(('Control Mapping'!$C$5:$C$83=D496)*('Control Mapping'!$AE$5:$AE$83&gt;0)))</f>
        <v>2</v>
      </c>
      <c r="J496" s="31" t="n">
        <f aca="false">IF(NOT(ISNUMBER($G496)),"",SUMPRODUCT(('Control Mapping'!$C$5:$C$83=D496)*('Control Mapping'!$F$5:$F$83="Y")*('Control Mapping'!$AE$5:$AE$83&gt;0)))</f>
        <v>1</v>
      </c>
      <c r="K496" s="31" t="n">
        <f aca="false">IF(NOT(ISNUMBER($G496)),"",SUMPRODUCT(('Control Mapping'!$C$5:$C$83=D496)*('Control Mapping'!$F$5:$F$83="Y")*('Control Mapping'!$AE$5:$AE$83=4)))</f>
        <v>0</v>
      </c>
      <c r="L496" s="29" t="n">
        <f aca="false">IF(NOT(ISNUMBER($G496)),"",IFERROR(SUMPRODUCT(('Control Mapping'!$C$5:$C$83=D496)*'Control Mapping'!$E$5:$E$83*'Control Mapping'!$AE$5:$AE$83)/SUMPRODUCT(('Control Mapping'!$C$5:$C$83=D496)*'Control Mapping'!$E$5:$E$83*('Control Mapping'!$AE$5:$AE$83&gt;0)),""))</f>
        <v>2</v>
      </c>
      <c r="M496" s="34" t="n">
        <f aca="false">IF(NOT(ISNUMBER($G496)),"",IF(J496=0,4,MAX(MATCH(L496,'Residual Config'!$E$11:$E$14,1),IF(K496&gt;0,'Residual Config'!$C$7,1))))</f>
        <v>2</v>
      </c>
      <c r="N496" s="7" t="str">
        <f aca="false">IF(NOT(ISNUMBER($G496)),"",IF(J496=0,"Ineffective (no key control)",INDEX('Residual Config'!$B$11:$B$14,M496)))</f>
        <v>Largely effective</v>
      </c>
      <c r="O496" s="36" t="n">
        <f aca="false">IF(NOT(ISNUMBER($G496)),"",IF(J496=0,0,SUMPRODUCT(('Control Mapping'!$C$5:$C$83=D496)*'Control Mapping'!$E$5:$E$83*(('Control Mapping'!$AE$5:$AE$83=1)*'Residual Config'!$D$11+('Control Mapping'!$AE$5:$AE$83=2)*'Residual Config'!$D$12+('Control Mapping'!$AE$5:$AE$83=3)*'Residual Config'!$D$13+('Control Mapping'!$AE$5:$AE$83=4)*'Residual Config'!$D$14))/SUMPRODUCT(('Control Mapping'!$C$5:$C$83=D496)*'Control Mapping'!$E$5:$E$83*('Control Mapping'!$AE$5:$AE$83&gt;0))))</f>
        <v>0.4</v>
      </c>
      <c r="P496" s="31" t="n">
        <f aca="false">IF(NOT(ISNUMBER($G496)),"",INDEX('Residual Config'!$B$19:$E$23,6-G496,M496))</f>
        <v>1</v>
      </c>
      <c r="Q496" s="29" t="n">
        <f aca="false">IF(NOT(ISNUMBER($G496)),"",MAX(1,F496*(1-O496)))</f>
        <v>1</v>
      </c>
      <c r="R496" s="31" t="n">
        <f aca="false">IF(NOT(ISNUMBER($G496)),"",MAX(MATCH(Q496,Config!$D$5:$D$9,1),G496-'Residual Config'!$C$6))</f>
        <v>1</v>
      </c>
      <c r="S496" s="34" t="n">
        <f aca="false">IF(NOT(ISNUMBER($G496)),"",IF('Residual Config'!$C$5="Numeric",R496,P496))</f>
        <v>1</v>
      </c>
      <c r="T496" s="7" t="str">
        <f aca="false">IF(G496="N/A","N/A",IF(S496="","No data",INDEX(Config!$B$5:$B$9,S496)))</f>
        <v>Low</v>
      </c>
      <c r="U496" s="32" t="n">
        <v>0</v>
      </c>
      <c r="V496" s="8"/>
      <c r="W496" s="33"/>
      <c r="X496" s="34" t="n">
        <f aca="false">IF(S496="","",IF(AND(W496="Y",U496&lt;&gt;0),MAX(1,MIN(5,S496+MAX(-Config!$C$27,MIN(Config!$C$27,U496)))),S496))</f>
        <v>1</v>
      </c>
      <c r="Y496" s="35" t="str">
        <f aca="false">IF(G496="N/A","N/A",IF(X496="","No data",INDEX(Config!$B$5:$B$9,X496)))</f>
        <v>Low</v>
      </c>
      <c r="Z496" s="7" t="str">
        <f aca="false">IF(U496=0,"None",IF(W496="Y","Applied","Pending HO approval"))</f>
        <v>None</v>
      </c>
      <c r="AA496" s="12" t="str">
        <f aca="false">INDEX('Risk Taxonomy'!$G$5:$G$24,MATCH(D496,'Risk Taxonomy'!$A$5:$A$24,0))</f>
        <v>Moderate</v>
      </c>
      <c r="AB496" s="7" t="str">
        <f aca="false">INDEX('Risk Taxonomy'!$H$5:$H$24,MATCH(D496,'Risk Taxonomy'!$A$5:$A$24,0))</f>
        <v>Medium-High</v>
      </c>
      <c r="AC496" s="35" t="str">
        <f aca="false">IF(NOT(ISNUMBER(X496)),"",IF(X496&lt;=MATCH(AB496,Config!$B$5:$B$9,0),"Within",IF(OR(X496-MATCH(AB496,Config!$B$5:$B$9,0)&gt;=2,AND('Residual Config'!$C$8="Y",ISNUMBER(SEARCH("Zero",AA496)))),"Red","Amber")))</f>
        <v>Within</v>
      </c>
      <c r="AD496" s="12" t="str">
        <f aca="false">IF(AC496="Red","Group CCO / CRO and Country CEO within 2 business days; action plan in 15 days; report to Board Risk &amp; Compliance Committee",IF(AC496="Amber","Country CO, risk owner and HO Administrator within 5 business days; action plan in 30 days",""))</f>
        <v/>
      </c>
    </row>
    <row r="497" customFormat="false" ht="15" hidden="false" customHeight="false" outlineLevel="0" collapsed="false">
      <c r="A497" s="26" t="str">
        <f aca="false">Entities!$A$29</f>
        <v>IT</v>
      </c>
      <c r="B497" s="12" t="str">
        <f aca="false">INDEX(Entities!$B$5:$B$34,MATCH(A497,Entities!$A$5:$A$34,0))</f>
        <v>Arab Bank – Italy</v>
      </c>
      <c r="C497" s="12" t="str">
        <f aca="false">INDEX(Entities!$D$5:$D$34,MATCH(A497,Entities!$A$5:$A$34,0))</f>
        <v>Europe</v>
      </c>
      <c r="D497" s="12" t="s">
        <v>302</v>
      </c>
      <c r="E497" s="12" t="str">
        <f aca="false">INDEX('Risk Taxonomy'!$B$5:$B$24,MATCH(D497,'Risk Taxonomy'!$A$5:$A$24,0))</f>
        <v>Market risk</v>
      </c>
      <c r="F497" s="29" t="n">
        <f aca="false">IF(NOT(ISNUMBER(G497)),"",G497)</f>
        <v>2</v>
      </c>
      <c r="G497" s="34" t="n">
        <f aca="false">IF(COUNTIFS('LxI Assessment'!$A$5:$A$394,A497,'LxI Assessment'!$D$5:$D$394,D497,'LxI Assessment'!$F$5:$F$394,"N/A")&gt;0,"N/A",IF(COUNTIFS('LxI Assessment'!$A$5:$A$394,A497,'LxI Assessment'!$D$5:$D$394,D497,'LxI Assessment'!$S$5:$S$394,"&gt;0")=0,"",SUMIFS('LxI Assessment'!$S$5:$S$394,'LxI Assessment'!$A$5:$A$394,A497,'LxI Assessment'!$D$5:$D$394,D497)))</f>
        <v>2</v>
      </c>
      <c r="H497" s="7" t="str">
        <f aca="false">IF(G497="N/A","N/A",IF(G497="","No data",INDEX(Config!$B$5:$B$9,G497)))</f>
        <v>Medium-Low</v>
      </c>
      <c r="I497" s="31" t="n">
        <f aca="false">IF(NOT(ISNUMBER($G497)),"",SUMPRODUCT(('Control Mapping'!$C$5:$C$83=D497)*('Control Mapping'!$AE$5:$AE$83&gt;0)))</f>
        <v>1</v>
      </c>
      <c r="J497" s="31" t="n">
        <f aca="false">IF(NOT(ISNUMBER($G497)),"",SUMPRODUCT(('Control Mapping'!$C$5:$C$83=D497)*('Control Mapping'!$F$5:$F$83="Y")*('Control Mapping'!$AE$5:$AE$83&gt;0)))</f>
        <v>1</v>
      </c>
      <c r="K497" s="31" t="n">
        <f aca="false">IF(NOT(ISNUMBER($G497)),"",SUMPRODUCT(('Control Mapping'!$C$5:$C$83=D497)*('Control Mapping'!$F$5:$F$83="Y")*('Control Mapping'!$AE$5:$AE$83=4)))</f>
        <v>0</v>
      </c>
      <c r="L497" s="29" t="n">
        <f aca="false">IF(NOT(ISNUMBER($G497)),"",IFERROR(SUMPRODUCT(('Control Mapping'!$C$5:$C$83=D497)*'Control Mapping'!$E$5:$E$83*'Control Mapping'!$AE$5:$AE$83)/SUMPRODUCT(('Control Mapping'!$C$5:$C$83=D497)*'Control Mapping'!$E$5:$E$83*('Control Mapping'!$AE$5:$AE$83&gt;0)),""))</f>
        <v>2</v>
      </c>
      <c r="M497" s="34" t="n">
        <f aca="false">IF(NOT(ISNUMBER($G497)),"",IF(J497=0,4,MAX(MATCH(L497,'Residual Config'!$E$11:$E$14,1),IF(K497&gt;0,'Residual Config'!$C$7,1))))</f>
        <v>2</v>
      </c>
      <c r="N497" s="7" t="str">
        <f aca="false">IF(NOT(ISNUMBER($G497)),"",IF(J497=0,"Ineffective (no key control)",INDEX('Residual Config'!$B$11:$B$14,M497)))</f>
        <v>Largely effective</v>
      </c>
      <c r="O497" s="36" t="n">
        <f aca="false">IF(NOT(ISNUMBER($G497)),"",IF(J497=0,0,SUMPRODUCT(('Control Mapping'!$C$5:$C$83=D497)*'Control Mapping'!$E$5:$E$83*(('Control Mapping'!$AE$5:$AE$83=1)*'Residual Config'!$D$11+('Control Mapping'!$AE$5:$AE$83=2)*'Residual Config'!$D$12+('Control Mapping'!$AE$5:$AE$83=3)*'Residual Config'!$D$13+('Control Mapping'!$AE$5:$AE$83=4)*'Residual Config'!$D$14))/SUMPRODUCT(('Control Mapping'!$C$5:$C$83=D497)*'Control Mapping'!$E$5:$E$83*('Control Mapping'!$AE$5:$AE$83&gt;0))))</f>
        <v>0.4</v>
      </c>
      <c r="P497" s="31" t="n">
        <f aca="false">IF(NOT(ISNUMBER($G497)),"",INDEX('Residual Config'!$B$19:$E$23,6-G497,M497))</f>
        <v>1</v>
      </c>
      <c r="Q497" s="29" t="n">
        <f aca="false">IF(NOT(ISNUMBER($G497)),"",MAX(1,F497*(1-O497)))</f>
        <v>1.2</v>
      </c>
      <c r="R497" s="31" t="n">
        <f aca="false">IF(NOT(ISNUMBER($G497)),"",MAX(MATCH(Q497,Config!$D$5:$D$9,1),G497-'Residual Config'!$C$6))</f>
        <v>1</v>
      </c>
      <c r="S497" s="34" t="n">
        <f aca="false">IF(NOT(ISNUMBER($G497)),"",IF('Residual Config'!$C$5="Numeric",R497,P497))</f>
        <v>1</v>
      </c>
      <c r="T497" s="7" t="str">
        <f aca="false">IF(G497="N/A","N/A",IF(S497="","No data",INDEX(Config!$B$5:$B$9,S497)))</f>
        <v>Low</v>
      </c>
      <c r="U497" s="32" t="n">
        <v>0</v>
      </c>
      <c r="V497" s="8"/>
      <c r="W497" s="33"/>
      <c r="X497" s="34" t="n">
        <f aca="false">IF(S497="","",IF(AND(W497="Y",U497&lt;&gt;0),MAX(1,MIN(5,S497+MAX(-Config!$C$27,MIN(Config!$C$27,U497)))),S497))</f>
        <v>1</v>
      </c>
      <c r="Y497" s="35" t="str">
        <f aca="false">IF(G497="N/A","N/A",IF(X497="","No data",INDEX(Config!$B$5:$B$9,X497)))</f>
        <v>Low</v>
      </c>
      <c r="Z497" s="7" t="str">
        <f aca="false">IF(U497=0,"None",IF(W497="Y","Applied","Pending HO approval"))</f>
        <v>None</v>
      </c>
      <c r="AA497" s="12" t="str">
        <f aca="false">INDEX('Risk Taxonomy'!$G$5:$G$24,MATCH(D497,'Risk Taxonomy'!$A$5:$A$24,0))</f>
        <v>Moderate</v>
      </c>
      <c r="AB497" s="7" t="str">
        <f aca="false">INDEX('Risk Taxonomy'!$H$5:$H$24,MATCH(D497,'Risk Taxonomy'!$A$5:$A$24,0))</f>
        <v>Medium-High</v>
      </c>
      <c r="AC497" s="35" t="str">
        <f aca="false">IF(NOT(ISNUMBER(X497)),"",IF(X497&lt;=MATCH(AB497,Config!$B$5:$B$9,0),"Within",IF(OR(X497-MATCH(AB497,Config!$B$5:$B$9,0)&gt;=2,AND('Residual Config'!$C$8="Y",ISNUMBER(SEARCH("Zero",AA497)))),"Red","Amber")))</f>
        <v>Within</v>
      </c>
      <c r="AD497" s="12" t="str">
        <f aca="false">IF(AC497="Red","Group CCO / CRO and Country CEO within 2 business days; action plan in 15 days; report to Board Risk &amp; Compliance Committee",IF(AC497="Amber","Country CO, risk owner and HO Administrator within 5 business days; action plan in 30 days",""))</f>
        <v/>
      </c>
    </row>
    <row r="498" customFormat="false" ht="15" hidden="false" customHeight="false" outlineLevel="0" collapsed="false">
      <c r="A498" s="26" t="str">
        <f aca="false">Entities!$A$29</f>
        <v>IT</v>
      </c>
      <c r="B498" s="12" t="str">
        <f aca="false">INDEX(Entities!$B$5:$B$34,MATCH(A498,Entities!$A$5:$A$34,0))</f>
        <v>Arab Bank – Italy</v>
      </c>
      <c r="C498" s="12" t="str">
        <f aca="false">INDEX(Entities!$D$5:$D$34,MATCH(A498,Entities!$A$5:$A$34,0))</f>
        <v>Europe</v>
      </c>
      <c r="D498" s="12" t="s">
        <v>304</v>
      </c>
      <c r="E498" s="12" t="str">
        <f aca="false">INDEX('Risk Taxonomy'!$B$5:$B$24,MATCH(D498,'Risk Taxonomy'!$A$5:$A$24,0))</f>
        <v>Liquidity and funding risk</v>
      </c>
      <c r="F498" s="29" t="n">
        <f aca="false">IF(NOT(ISNUMBER(G498)),"",G498)</f>
        <v>3</v>
      </c>
      <c r="G498" s="34" t="n">
        <f aca="false">IF(COUNTIFS('LxI Assessment'!$A$5:$A$394,A498,'LxI Assessment'!$D$5:$D$394,D498,'LxI Assessment'!$F$5:$F$394,"N/A")&gt;0,"N/A",IF(COUNTIFS('LxI Assessment'!$A$5:$A$394,A498,'LxI Assessment'!$D$5:$D$394,D498,'LxI Assessment'!$S$5:$S$394,"&gt;0")=0,"",SUMIFS('LxI Assessment'!$S$5:$S$394,'LxI Assessment'!$A$5:$A$394,A498,'LxI Assessment'!$D$5:$D$394,D498)))</f>
        <v>3</v>
      </c>
      <c r="H498" s="7" t="str">
        <f aca="false">IF(G498="N/A","N/A",IF(G498="","No data",INDEX(Config!$B$5:$B$9,G498)))</f>
        <v>Medium</v>
      </c>
      <c r="I498" s="31" t="n">
        <f aca="false">IF(NOT(ISNUMBER($G498)),"",SUMPRODUCT(('Control Mapping'!$C$5:$C$83=D498)*('Control Mapping'!$AE$5:$AE$83&gt;0)))</f>
        <v>1</v>
      </c>
      <c r="J498" s="31" t="n">
        <f aca="false">IF(NOT(ISNUMBER($G498)),"",SUMPRODUCT(('Control Mapping'!$C$5:$C$83=D498)*('Control Mapping'!$F$5:$F$83="Y")*('Control Mapping'!$AE$5:$AE$83&gt;0)))</f>
        <v>1</v>
      </c>
      <c r="K498" s="31" t="n">
        <f aca="false">IF(NOT(ISNUMBER($G498)),"",SUMPRODUCT(('Control Mapping'!$C$5:$C$83=D498)*('Control Mapping'!$F$5:$F$83="Y")*('Control Mapping'!$AE$5:$AE$83=4)))</f>
        <v>0</v>
      </c>
      <c r="L498" s="29" t="n">
        <f aca="false">IF(NOT(ISNUMBER($G498)),"",IFERROR(SUMPRODUCT(('Control Mapping'!$C$5:$C$83=D498)*'Control Mapping'!$E$5:$E$83*'Control Mapping'!$AE$5:$AE$83)/SUMPRODUCT(('Control Mapping'!$C$5:$C$83=D498)*'Control Mapping'!$E$5:$E$83*('Control Mapping'!$AE$5:$AE$83&gt;0)),""))</f>
        <v>2</v>
      </c>
      <c r="M498" s="34" t="n">
        <f aca="false">IF(NOT(ISNUMBER($G498)),"",IF(J498=0,4,MAX(MATCH(L498,'Residual Config'!$E$11:$E$14,1),IF(K498&gt;0,'Residual Config'!$C$7,1))))</f>
        <v>2</v>
      </c>
      <c r="N498" s="7" t="str">
        <f aca="false">IF(NOT(ISNUMBER($G498)),"",IF(J498=0,"Ineffective (no key control)",INDEX('Residual Config'!$B$11:$B$14,M498)))</f>
        <v>Largely effective</v>
      </c>
      <c r="O498" s="36" t="n">
        <f aca="false">IF(NOT(ISNUMBER($G498)),"",IF(J498=0,0,SUMPRODUCT(('Control Mapping'!$C$5:$C$83=D498)*'Control Mapping'!$E$5:$E$83*(('Control Mapping'!$AE$5:$AE$83=1)*'Residual Config'!$D$11+('Control Mapping'!$AE$5:$AE$83=2)*'Residual Config'!$D$12+('Control Mapping'!$AE$5:$AE$83=3)*'Residual Config'!$D$13+('Control Mapping'!$AE$5:$AE$83=4)*'Residual Config'!$D$14))/SUMPRODUCT(('Control Mapping'!$C$5:$C$83=D498)*'Control Mapping'!$E$5:$E$83*('Control Mapping'!$AE$5:$AE$83&gt;0))))</f>
        <v>0.4</v>
      </c>
      <c r="P498" s="31" t="n">
        <f aca="false">IF(NOT(ISNUMBER($G498)),"",INDEX('Residual Config'!$B$19:$E$23,6-G498,M498))</f>
        <v>2</v>
      </c>
      <c r="Q498" s="29" t="n">
        <f aca="false">IF(NOT(ISNUMBER($G498)),"",MAX(1,F498*(1-O498)))</f>
        <v>1.8</v>
      </c>
      <c r="R498" s="31" t="n">
        <f aca="false">IF(NOT(ISNUMBER($G498)),"",MAX(MATCH(Q498,Config!$D$5:$D$9,1),G498-'Residual Config'!$C$6))</f>
        <v>1</v>
      </c>
      <c r="S498" s="34" t="n">
        <f aca="false">IF(NOT(ISNUMBER($G498)),"",IF('Residual Config'!$C$5="Numeric",R498,P498))</f>
        <v>2</v>
      </c>
      <c r="T498" s="7" t="str">
        <f aca="false">IF(G498="N/A","N/A",IF(S498="","No data",INDEX(Config!$B$5:$B$9,S498)))</f>
        <v>Medium-Low</v>
      </c>
      <c r="U498" s="32" t="n">
        <v>0</v>
      </c>
      <c r="V498" s="8"/>
      <c r="W498" s="33"/>
      <c r="X498" s="34" t="n">
        <f aca="false">IF(S498="","",IF(AND(W498="Y",U498&lt;&gt;0),MAX(1,MIN(5,S498+MAX(-Config!$C$27,MIN(Config!$C$27,U498)))),S498))</f>
        <v>2</v>
      </c>
      <c r="Y498" s="35" t="str">
        <f aca="false">IF(G498="N/A","N/A",IF(X498="","No data",INDEX(Config!$B$5:$B$9,X498)))</f>
        <v>Medium-Low</v>
      </c>
      <c r="Z498" s="7" t="str">
        <f aca="false">IF(U498=0,"None",IF(W498="Y","Applied","Pending HO approval"))</f>
        <v>None</v>
      </c>
      <c r="AA498" s="12" t="str">
        <f aca="false">INDEX('Risk Taxonomy'!$G$5:$G$24,MATCH(D498,'Risk Taxonomy'!$A$5:$A$24,0))</f>
        <v>Low</v>
      </c>
      <c r="AB498" s="7" t="str">
        <f aca="false">INDEX('Risk Taxonomy'!$H$5:$H$24,MATCH(D498,'Risk Taxonomy'!$A$5:$A$24,0))</f>
        <v>Medium</v>
      </c>
      <c r="AC498" s="35" t="str">
        <f aca="false">IF(NOT(ISNUMBER(X498)),"",IF(X498&lt;=MATCH(AB498,Config!$B$5:$B$9,0),"Within",IF(OR(X498-MATCH(AB498,Config!$B$5:$B$9,0)&gt;=2,AND('Residual Config'!$C$8="Y",ISNUMBER(SEARCH("Zero",AA498)))),"Red","Amber")))</f>
        <v>Within</v>
      </c>
      <c r="AD498" s="12" t="str">
        <f aca="false">IF(AC498="Red","Group CCO / CRO and Country CEO within 2 business days; action plan in 15 days; report to Board Risk &amp; Compliance Committee",IF(AC498="Amber","Country CO, risk owner and HO Administrator within 5 business days; action plan in 30 days",""))</f>
        <v/>
      </c>
    </row>
    <row r="499" customFormat="false" ht="15" hidden="false" customHeight="false" outlineLevel="0" collapsed="false">
      <c r="A499" s="26" t="str">
        <f aca="false">Entities!$A$29</f>
        <v>IT</v>
      </c>
      <c r="B499" s="12" t="str">
        <f aca="false">INDEX(Entities!$B$5:$B$34,MATCH(A499,Entities!$A$5:$A$34,0))</f>
        <v>Arab Bank – Italy</v>
      </c>
      <c r="C499" s="12" t="str">
        <f aca="false">INDEX(Entities!$D$5:$D$34,MATCH(A499,Entities!$A$5:$A$34,0))</f>
        <v>Europe</v>
      </c>
      <c r="D499" s="12" t="s">
        <v>307</v>
      </c>
      <c r="E499" s="12" t="str">
        <f aca="false">INDEX('Risk Taxonomy'!$B$5:$B$24,MATCH(D499,'Risk Taxonomy'!$A$5:$A$24,0))</f>
        <v>Operational risk</v>
      </c>
      <c r="F499" s="29" t="n">
        <f aca="false">IF(NOT(ISNUMBER(G499)),"",G499)</f>
        <v>3</v>
      </c>
      <c r="G499" s="34" t="n">
        <f aca="false">IF(COUNTIFS('LxI Assessment'!$A$5:$A$394,A499,'LxI Assessment'!$D$5:$D$394,D499,'LxI Assessment'!$F$5:$F$394,"N/A")&gt;0,"N/A",IF(COUNTIFS('LxI Assessment'!$A$5:$A$394,A499,'LxI Assessment'!$D$5:$D$394,D499,'LxI Assessment'!$S$5:$S$394,"&gt;0")=0,"",SUMIFS('LxI Assessment'!$S$5:$S$394,'LxI Assessment'!$A$5:$A$394,A499,'LxI Assessment'!$D$5:$D$394,D499)))</f>
        <v>3</v>
      </c>
      <c r="H499" s="7" t="str">
        <f aca="false">IF(G499="N/A","N/A",IF(G499="","No data",INDEX(Config!$B$5:$B$9,G499)))</f>
        <v>Medium</v>
      </c>
      <c r="I499" s="31" t="n">
        <f aca="false">IF(NOT(ISNUMBER($G499)),"",SUMPRODUCT(('Control Mapping'!$C$5:$C$83=D499)*('Control Mapping'!$AE$5:$AE$83&gt;0)))</f>
        <v>3</v>
      </c>
      <c r="J499" s="31" t="n">
        <f aca="false">IF(NOT(ISNUMBER($G499)),"",SUMPRODUCT(('Control Mapping'!$C$5:$C$83=D499)*('Control Mapping'!$F$5:$F$83="Y")*('Control Mapping'!$AE$5:$AE$83&gt;0)))</f>
        <v>2</v>
      </c>
      <c r="K499" s="31" t="n">
        <f aca="false">IF(NOT(ISNUMBER($G499)),"",SUMPRODUCT(('Control Mapping'!$C$5:$C$83=D499)*('Control Mapping'!$F$5:$F$83="Y")*('Control Mapping'!$AE$5:$AE$83=4)))</f>
        <v>0</v>
      </c>
      <c r="L499" s="29" t="n">
        <f aca="false">IF(NOT(ISNUMBER($G499)),"",IFERROR(SUMPRODUCT(('Control Mapping'!$C$5:$C$83=D499)*'Control Mapping'!$E$5:$E$83*'Control Mapping'!$AE$5:$AE$83)/SUMPRODUCT(('Control Mapping'!$C$5:$C$83=D499)*'Control Mapping'!$E$5:$E$83*('Control Mapping'!$AE$5:$AE$83&gt;0)),""))</f>
        <v>2</v>
      </c>
      <c r="M499" s="34" t="n">
        <f aca="false">IF(NOT(ISNUMBER($G499)),"",IF(J499=0,4,MAX(MATCH(L499,'Residual Config'!$E$11:$E$14,1),IF(K499&gt;0,'Residual Config'!$C$7,1))))</f>
        <v>2</v>
      </c>
      <c r="N499" s="7" t="str">
        <f aca="false">IF(NOT(ISNUMBER($G499)),"",IF(J499=0,"Ineffective (no key control)",INDEX('Residual Config'!$B$11:$B$14,M499)))</f>
        <v>Largely effective</v>
      </c>
      <c r="O499" s="36" t="n">
        <f aca="false">IF(NOT(ISNUMBER($G499)),"",IF(J499=0,0,SUMPRODUCT(('Control Mapping'!$C$5:$C$83=D499)*'Control Mapping'!$E$5:$E$83*(('Control Mapping'!$AE$5:$AE$83=1)*'Residual Config'!$D$11+('Control Mapping'!$AE$5:$AE$83=2)*'Residual Config'!$D$12+('Control Mapping'!$AE$5:$AE$83=3)*'Residual Config'!$D$13+('Control Mapping'!$AE$5:$AE$83=4)*'Residual Config'!$D$14))/SUMPRODUCT(('Control Mapping'!$C$5:$C$83=D499)*'Control Mapping'!$E$5:$E$83*('Control Mapping'!$AE$5:$AE$83&gt;0))))</f>
        <v>0.4</v>
      </c>
      <c r="P499" s="31" t="n">
        <f aca="false">IF(NOT(ISNUMBER($G499)),"",INDEX('Residual Config'!$B$19:$E$23,6-G499,M499))</f>
        <v>2</v>
      </c>
      <c r="Q499" s="29" t="n">
        <f aca="false">IF(NOT(ISNUMBER($G499)),"",MAX(1,F499*(1-O499)))</f>
        <v>1.8</v>
      </c>
      <c r="R499" s="31" t="n">
        <f aca="false">IF(NOT(ISNUMBER($G499)),"",MAX(MATCH(Q499,Config!$D$5:$D$9,1),G499-'Residual Config'!$C$6))</f>
        <v>1</v>
      </c>
      <c r="S499" s="34" t="n">
        <f aca="false">IF(NOT(ISNUMBER($G499)),"",IF('Residual Config'!$C$5="Numeric",R499,P499))</f>
        <v>2</v>
      </c>
      <c r="T499" s="7" t="str">
        <f aca="false">IF(G499="N/A","N/A",IF(S499="","No data",INDEX(Config!$B$5:$B$9,S499)))</f>
        <v>Medium-Low</v>
      </c>
      <c r="U499" s="32" t="n">
        <v>0</v>
      </c>
      <c r="V499" s="8"/>
      <c r="W499" s="33"/>
      <c r="X499" s="34" t="n">
        <f aca="false">IF(S499="","",IF(AND(W499="Y",U499&lt;&gt;0),MAX(1,MIN(5,S499+MAX(-Config!$C$27,MIN(Config!$C$27,U499)))),S499))</f>
        <v>2</v>
      </c>
      <c r="Y499" s="35" t="str">
        <f aca="false">IF(G499="N/A","N/A",IF(X499="","No data",INDEX(Config!$B$5:$B$9,X499)))</f>
        <v>Medium-Low</v>
      </c>
      <c r="Z499" s="7" t="str">
        <f aca="false">IF(U499=0,"None",IF(W499="Y","Applied","Pending HO approval"))</f>
        <v>None</v>
      </c>
      <c r="AA499" s="12" t="str">
        <f aca="false">INDEX('Risk Taxonomy'!$G$5:$G$24,MATCH(D499,'Risk Taxonomy'!$A$5:$A$24,0))</f>
        <v>Low</v>
      </c>
      <c r="AB499" s="7" t="str">
        <f aca="false">INDEX('Risk Taxonomy'!$H$5:$H$24,MATCH(D499,'Risk Taxonomy'!$A$5:$A$24,0))</f>
        <v>Medium</v>
      </c>
      <c r="AC499" s="35" t="str">
        <f aca="false">IF(NOT(ISNUMBER(X499)),"",IF(X499&lt;=MATCH(AB499,Config!$B$5:$B$9,0),"Within",IF(OR(X499-MATCH(AB499,Config!$B$5:$B$9,0)&gt;=2,AND('Residual Config'!$C$8="Y",ISNUMBER(SEARCH("Zero",AA499)))),"Red","Amber")))</f>
        <v>Within</v>
      </c>
      <c r="AD499" s="12" t="str">
        <f aca="false">IF(AC499="Red","Group CCO / CRO and Country CEO within 2 business days; action plan in 15 days; report to Board Risk &amp; Compliance Committee",IF(AC499="Amber","Country CO, risk owner and HO Administrator within 5 business days; action plan in 30 days",""))</f>
        <v/>
      </c>
    </row>
    <row r="500" customFormat="false" ht="15" hidden="false" customHeight="false" outlineLevel="0" collapsed="false">
      <c r="A500" s="26" t="str">
        <f aca="false">Entities!$A$29</f>
        <v>IT</v>
      </c>
      <c r="B500" s="12" t="str">
        <f aca="false">INDEX(Entities!$B$5:$B$34,MATCH(A500,Entities!$A$5:$A$34,0))</f>
        <v>Arab Bank – Italy</v>
      </c>
      <c r="C500" s="12" t="str">
        <f aca="false">INDEX(Entities!$D$5:$D$34,MATCH(A500,Entities!$A$5:$A$34,0))</f>
        <v>Europe</v>
      </c>
      <c r="D500" s="12" t="s">
        <v>310</v>
      </c>
      <c r="E500" s="12" t="str">
        <f aca="false">INDEX('Risk Taxonomy'!$B$5:$B$24,MATCH(D500,'Risk Taxonomy'!$A$5:$A$24,0))</f>
        <v>Cyber, information security and technology</v>
      </c>
      <c r="F500" s="29" t="n">
        <f aca="false">IF(NOT(ISNUMBER(G500)),"",G500)</f>
        <v>1</v>
      </c>
      <c r="G500" s="34" t="n">
        <f aca="false">IF(COUNTIFS('LxI Assessment'!$A$5:$A$394,A500,'LxI Assessment'!$D$5:$D$394,D500,'LxI Assessment'!$F$5:$F$394,"N/A")&gt;0,"N/A",IF(COUNTIFS('LxI Assessment'!$A$5:$A$394,A500,'LxI Assessment'!$D$5:$D$394,D500,'LxI Assessment'!$S$5:$S$394,"&gt;0")=0,"",SUMIFS('LxI Assessment'!$S$5:$S$394,'LxI Assessment'!$A$5:$A$394,A500,'LxI Assessment'!$D$5:$D$394,D500)))</f>
        <v>1</v>
      </c>
      <c r="H500" s="7" t="str">
        <f aca="false">IF(G500="N/A","N/A",IF(G500="","No data",INDEX(Config!$B$5:$B$9,G500)))</f>
        <v>Low</v>
      </c>
      <c r="I500" s="31" t="n">
        <f aca="false">IF(NOT(ISNUMBER($G500)),"",SUMPRODUCT(('Control Mapping'!$C$5:$C$83=D500)*('Control Mapping'!$AE$5:$AE$83&gt;0)))</f>
        <v>4</v>
      </c>
      <c r="J500" s="31" t="n">
        <f aca="false">IF(NOT(ISNUMBER($G500)),"",SUMPRODUCT(('Control Mapping'!$C$5:$C$83=D500)*('Control Mapping'!$F$5:$F$83="Y")*('Control Mapping'!$AE$5:$AE$83&gt;0)))</f>
        <v>4</v>
      </c>
      <c r="K500" s="31" t="n">
        <f aca="false">IF(NOT(ISNUMBER($G500)),"",SUMPRODUCT(('Control Mapping'!$C$5:$C$83=D500)*('Control Mapping'!$F$5:$F$83="Y")*('Control Mapping'!$AE$5:$AE$83=4)))</f>
        <v>1</v>
      </c>
      <c r="L500" s="29" t="n">
        <f aca="false">IF(NOT(ISNUMBER($G500)),"",IFERROR(SUMPRODUCT(('Control Mapping'!$C$5:$C$83=D500)*'Control Mapping'!$E$5:$E$83*'Control Mapping'!$AE$5:$AE$83)/SUMPRODUCT(('Control Mapping'!$C$5:$C$83=D500)*'Control Mapping'!$E$5:$E$83*('Control Mapping'!$AE$5:$AE$83&gt;0)),""))</f>
        <v>1.42857142857143</v>
      </c>
      <c r="M500" s="34" t="n">
        <f aca="false">IF(NOT(ISNUMBER($G500)),"",IF(J500=0,4,MAX(MATCH(L500,'Residual Config'!$E$11:$E$14,1),IF(K500&gt;0,'Residual Config'!$C$7,1))))</f>
        <v>3</v>
      </c>
      <c r="N500" s="7" t="str">
        <f aca="false">IF(NOT(ISNUMBER($G500)),"",IF(J500=0,"Ineffective (no key control)",INDEX('Residual Config'!$B$11:$B$14,M500)))</f>
        <v>Partially effective</v>
      </c>
      <c r="O500" s="36" t="n">
        <f aca="false">IF(NOT(ISNUMBER($G500)),"",IF(J500=0,0,SUMPRODUCT(('Control Mapping'!$C$5:$C$83=D500)*'Control Mapping'!$E$5:$E$83*(('Control Mapping'!$AE$5:$AE$83=1)*'Residual Config'!$D$11+('Control Mapping'!$AE$5:$AE$83=2)*'Residual Config'!$D$12+('Control Mapping'!$AE$5:$AE$83=3)*'Residual Config'!$D$13+('Control Mapping'!$AE$5:$AE$83=4)*'Residual Config'!$D$14))/SUMPRODUCT(('Control Mapping'!$C$5:$C$83=D500)*'Control Mapping'!$E$5:$E$83*('Control Mapping'!$AE$5:$AE$83&gt;0))))</f>
        <v>0.514285714285714</v>
      </c>
      <c r="P500" s="31" t="n">
        <f aca="false">IF(NOT(ISNUMBER($G500)),"",INDEX('Residual Config'!$B$19:$E$23,6-G500,M500))</f>
        <v>1</v>
      </c>
      <c r="Q500" s="29" t="n">
        <f aca="false">IF(NOT(ISNUMBER($G500)),"",MAX(1,F500*(1-O500)))</f>
        <v>1</v>
      </c>
      <c r="R500" s="31" t="n">
        <f aca="false">IF(NOT(ISNUMBER($G500)),"",MAX(MATCH(Q500,Config!$D$5:$D$9,1),G500-'Residual Config'!$C$6))</f>
        <v>1</v>
      </c>
      <c r="S500" s="34" t="n">
        <f aca="false">IF(NOT(ISNUMBER($G500)),"",IF('Residual Config'!$C$5="Numeric",R500,P500))</f>
        <v>1</v>
      </c>
      <c r="T500" s="7" t="str">
        <f aca="false">IF(G500="N/A","N/A",IF(S500="","No data",INDEX(Config!$B$5:$B$9,S500)))</f>
        <v>Low</v>
      </c>
      <c r="U500" s="32" t="n">
        <v>0</v>
      </c>
      <c r="V500" s="8"/>
      <c r="W500" s="33"/>
      <c r="X500" s="34" t="n">
        <f aca="false">IF(S500="","",IF(AND(W500="Y",U500&lt;&gt;0),MAX(1,MIN(5,S500+MAX(-Config!$C$27,MIN(Config!$C$27,U500)))),S500))</f>
        <v>1</v>
      </c>
      <c r="Y500" s="35" t="str">
        <f aca="false">IF(G500="N/A","N/A",IF(X500="","No data",INDEX(Config!$B$5:$B$9,X500)))</f>
        <v>Low</v>
      </c>
      <c r="Z500" s="7" t="str">
        <f aca="false">IF(U500=0,"None",IF(W500="Y","Applied","Pending HO approval"))</f>
        <v>None</v>
      </c>
      <c r="AA500" s="12" t="str">
        <f aca="false">INDEX('Risk Taxonomy'!$G$5:$G$24,MATCH(D500,'Risk Taxonomy'!$A$5:$A$24,0))</f>
        <v>Very low</v>
      </c>
      <c r="AB500" s="7" t="str">
        <f aca="false">INDEX('Risk Taxonomy'!$H$5:$H$24,MATCH(D500,'Risk Taxonomy'!$A$5:$A$24,0))</f>
        <v>Medium-Low</v>
      </c>
      <c r="AC500" s="35" t="str">
        <f aca="false">IF(NOT(ISNUMBER(X500)),"",IF(X500&lt;=MATCH(AB500,Config!$B$5:$B$9,0),"Within",IF(OR(X500-MATCH(AB500,Config!$B$5:$B$9,0)&gt;=2,AND('Residual Config'!$C$8="Y",ISNUMBER(SEARCH("Zero",AA500)))),"Red","Amber")))</f>
        <v>Within</v>
      </c>
      <c r="AD500" s="12" t="str">
        <f aca="false">IF(AC500="Red","Group CCO / CRO and Country CEO within 2 business days; action plan in 15 days; report to Board Risk &amp; Compliance Committee",IF(AC500="Amber","Country CO, risk owner and HO Administrator within 5 business days; action plan in 30 days",""))</f>
        <v/>
      </c>
    </row>
    <row r="501" customFormat="false" ht="15" hidden="false" customHeight="false" outlineLevel="0" collapsed="false">
      <c r="A501" s="26" t="str">
        <f aca="false">Entities!$A$29</f>
        <v>IT</v>
      </c>
      <c r="B501" s="12" t="str">
        <f aca="false">INDEX(Entities!$B$5:$B$34,MATCH(A501,Entities!$A$5:$A$34,0))</f>
        <v>Arab Bank – Italy</v>
      </c>
      <c r="C501" s="12" t="str">
        <f aca="false">INDEX(Entities!$D$5:$D$34,MATCH(A501,Entities!$A$5:$A$34,0))</f>
        <v>Europe</v>
      </c>
      <c r="D501" s="12" t="s">
        <v>313</v>
      </c>
      <c r="E501" s="12" t="str">
        <f aca="false">INDEX('Risk Taxonomy'!$B$5:$B$24,MATCH(D501,'Risk Taxonomy'!$A$5:$A$24,0))</f>
        <v>Third-party and outsourcing</v>
      </c>
      <c r="F501" s="29" t="n">
        <f aca="false">IF(NOT(ISNUMBER(G501)),"",G501)</f>
        <v>1</v>
      </c>
      <c r="G501" s="34" t="n">
        <f aca="false">IF(COUNTIFS('LxI Assessment'!$A$5:$A$394,A501,'LxI Assessment'!$D$5:$D$394,D501,'LxI Assessment'!$F$5:$F$394,"N/A")&gt;0,"N/A",IF(COUNTIFS('LxI Assessment'!$A$5:$A$394,A501,'LxI Assessment'!$D$5:$D$394,D501,'LxI Assessment'!$S$5:$S$394,"&gt;0")=0,"",SUMIFS('LxI Assessment'!$S$5:$S$394,'LxI Assessment'!$A$5:$A$394,A501,'LxI Assessment'!$D$5:$D$394,D501)))</f>
        <v>1</v>
      </c>
      <c r="H501" s="7" t="str">
        <f aca="false">IF(G501="N/A","N/A",IF(G501="","No data",INDEX(Config!$B$5:$B$9,G501)))</f>
        <v>Low</v>
      </c>
      <c r="I501" s="31" t="n">
        <f aca="false">IF(NOT(ISNUMBER($G501)),"",SUMPRODUCT(('Control Mapping'!$C$5:$C$83=D501)*('Control Mapping'!$AE$5:$AE$83&gt;0)))</f>
        <v>2</v>
      </c>
      <c r="J501" s="31" t="n">
        <f aca="false">IF(NOT(ISNUMBER($G501)),"",SUMPRODUCT(('Control Mapping'!$C$5:$C$83=D501)*('Control Mapping'!$F$5:$F$83="Y")*('Control Mapping'!$AE$5:$AE$83&gt;0)))</f>
        <v>2</v>
      </c>
      <c r="K501" s="31" t="n">
        <f aca="false">IF(NOT(ISNUMBER($G501)),"",SUMPRODUCT(('Control Mapping'!$C$5:$C$83=D501)*('Control Mapping'!$F$5:$F$83="Y")*('Control Mapping'!$AE$5:$AE$83=4)))</f>
        <v>1</v>
      </c>
      <c r="L501" s="29" t="n">
        <f aca="false">IF(NOT(ISNUMBER($G501)),"",IFERROR(SUMPRODUCT(('Control Mapping'!$C$5:$C$83=D501)*'Control Mapping'!$E$5:$E$83*'Control Mapping'!$AE$5:$AE$83)/SUMPRODUCT(('Control Mapping'!$C$5:$C$83=D501)*'Control Mapping'!$E$5:$E$83*('Control Mapping'!$AE$5:$AE$83&gt;0)),""))</f>
        <v>2.5</v>
      </c>
      <c r="M501" s="34" t="n">
        <f aca="false">IF(NOT(ISNUMBER($G501)),"",IF(J501=0,4,MAX(MATCH(L501,'Residual Config'!$E$11:$E$14,1),IF(K501&gt;0,'Residual Config'!$C$7,1))))</f>
        <v>3</v>
      </c>
      <c r="N501" s="7" t="str">
        <f aca="false">IF(NOT(ISNUMBER($G501)),"",IF(J501=0,"Ineffective (no key control)",INDEX('Residual Config'!$B$11:$B$14,M501)))</f>
        <v>Partially effective</v>
      </c>
      <c r="O501" s="36" t="n">
        <f aca="false">IF(NOT(ISNUMBER($G501)),"",IF(J501=0,0,SUMPRODUCT(('Control Mapping'!$C$5:$C$83=D501)*'Control Mapping'!$E$5:$E$83*(('Control Mapping'!$AE$5:$AE$83=1)*'Residual Config'!$D$11+('Control Mapping'!$AE$5:$AE$83=2)*'Residual Config'!$D$12+('Control Mapping'!$AE$5:$AE$83=3)*'Residual Config'!$D$13+('Control Mapping'!$AE$5:$AE$83=4)*'Residual Config'!$D$14))/SUMPRODUCT(('Control Mapping'!$C$5:$C$83=D501)*'Control Mapping'!$E$5:$E$83*('Control Mapping'!$AE$5:$AE$83&gt;0))))</f>
        <v>0.3</v>
      </c>
      <c r="P501" s="31" t="n">
        <f aca="false">IF(NOT(ISNUMBER($G501)),"",INDEX('Residual Config'!$B$19:$E$23,6-G501,M501))</f>
        <v>1</v>
      </c>
      <c r="Q501" s="29" t="n">
        <f aca="false">IF(NOT(ISNUMBER($G501)),"",MAX(1,F501*(1-O501)))</f>
        <v>1</v>
      </c>
      <c r="R501" s="31" t="n">
        <f aca="false">IF(NOT(ISNUMBER($G501)),"",MAX(MATCH(Q501,Config!$D$5:$D$9,1),G501-'Residual Config'!$C$6))</f>
        <v>1</v>
      </c>
      <c r="S501" s="34" t="n">
        <f aca="false">IF(NOT(ISNUMBER($G501)),"",IF('Residual Config'!$C$5="Numeric",R501,P501))</f>
        <v>1</v>
      </c>
      <c r="T501" s="7" t="str">
        <f aca="false">IF(G501="N/A","N/A",IF(S501="","No data",INDEX(Config!$B$5:$B$9,S501)))</f>
        <v>Low</v>
      </c>
      <c r="U501" s="32" t="n">
        <v>0</v>
      </c>
      <c r="V501" s="8"/>
      <c r="W501" s="33"/>
      <c r="X501" s="34" t="n">
        <f aca="false">IF(S501="","",IF(AND(W501="Y",U501&lt;&gt;0),MAX(1,MIN(5,S501+MAX(-Config!$C$27,MIN(Config!$C$27,U501)))),S501))</f>
        <v>1</v>
      </c>
      <c r="Y501" s="35" t="str">
        <f aca="false">IF(G501="N/A","N/A",IF(X501="","No data",INDEX(Config!$B$5:$B$9,X501)))</f>
        <v>Low</v>
      </c>
      <c r="Z501" s="7" t="str">
        <f aca="false">IF(U501=0,"None",IF(W501="Y","Applied","Pending HO approval"))</f>
        <v>None</v>
      </c>
      <c r="AA501" s="12" t="str">
        <f aca="false">INDEX('Risk Taxonomy'!$G$5:$G$24,MATCH(D501,'Risk Taxonomy'!$A$5:$A$24,0))</f>
        <v>Low</v>
      </c>
      <c r="AB501" s="7" t="str">
        <f aca="false">INDEX('Risk Taxonomy'!$H$5:$H$24,MATCH(D501,'Risk Taxonomy'!$A$5:$A$24,0))</f>
        <v>Medium</v>
      </c>
      <c r="AC501" s="35" t="str">
        <f aca="false">IF(NOT(ISNUMBER(X501)),"",IF(X501&lt;=MATCH(AB501,Config!$B$5:$B$9,0),"Within",IF(OR(X501-MATCH(AB501,Config!$B$5:$B$9,0)&gt;=2,AND('Residual Config'!$C$8="Y",ISNUMBER(SEARCH("Zero",AA501)))),"Red","Amber")))</f>
        <v>Within</v>
      </c>
      <c r="AD501" s="12" t="str">
        <f aca="false">IF(AC501="Red","Group CCO / CRO and Country CEO within 2 business days; action plan in 15 days; report to Board Risk &amp; Compliance Committee",IF(AC501="Amber","Country CO, risk owner and HO Administrator within 5 business days; action plan in 30 days",""))</f>
        <v/>
      </c>
    </row>
    <row r="502" customFormat="false" ht="15" hidden="false" customHeight="false" outlineLevel="0" collapsed="false">
      <c r="A502" s="26" t="str">
        <f aca="false">Entities!$A$29</f>
        <v>IT</v>
      </c>
      <c r="B502" s="12" t="str">
        <f aca="false">INDEX(Entities!$B$5:$B$34,MATCH(A502,Entities!$A$5:$A$34,0))</f>
        <v>Arab Bank – Italy</v>
      </c>
      <c r="C502" s="12" t="str">
        <f aca="false">INDEX(Entities!$D$5:$D$34,MATCH(A502,Entities!$A$5:$A$34,0))</f>
        <v>Europe</v>
      </c>
      <c r="D502" s="12" t="s">
        <v>316</v>
      </c>
      <c r="E502" s="12" t="str">
        <f aca="false">INDEX('Risk Taxonomy'!$B$5:$B$24,MATCH(D502,'Risk Taxonomy'!$A$5:$A$24,0))</f>
        <v>Legal and litigation</v>
      </c>
      <c r="F502" s="29" t="n">
        <f aca="false">IF(NOT(ISNUMBER(G502)),"",G502)</f>
        <v>1</v>
      </c>
      <c r="G502" s="34" t="n">
        <f aca="false">IF(COUNTIFS('LxI Assessment'!$A$5:$A$394,A502,'LxI Assessment'!$D$5:$D$394,D502,'LxI Assessment'!$F$5:$F$394,"N/A")&gt;0,"N/A",IF(COUNTIFS('LxI Assessment'!$A$5:$A$394,A502,'LxI Assessment'!$D$5:$D$394,D502,'LxI Assessment'!$S$5:$S$394,"&gt;0")=0,"",SUMIFS('LxI Assessment'!$S$5:$S$394,'LxI Assessment'!$A$5:$A$394,A502,'LxI Assessment'!$D$5:$D$394,D502)))</f>
        <v>1</v>
      </c>
      <c r="H502" s="7" t="str">
        <f aca="false">IF(G502="N/A","N/A",IF(G502="","No data",INDEX(Config!$B$5:$B$9,G502)))</f>
        <v>Low</v>
      </c>
      <c r="I502" s="31" t="n">
        <f aca="false">IF(NOT(ISNUMBER($G502)),"",SUMPRODUCT(('Control Mapping'!$C$5:$C$83=D502)*('Control Mapping'!$AE$5:$AE$83&gt;0)))</f>
        <v>1</v>
      </c>
      <c r="J502" s="31" t="n">
        <f aca="false">IF(NOT(ISNUMBER($G502)),"",SUMPRODUCT(('Control Mapping'!$C$5:$C$83=D502)*('Control Mapping'!$F$5:$F$83="Y")*('Control Mapping'!$AE$5:$AE$83&gt;0)))</f>
        <v>1</v>
      </c>
      <c r="K502" s="31" t="n">
        <f aca="false">IF(NOT(ISNUMBER($G502)),"",SUMPRODUCT(('Control Mapping'!$C$5:$C$83=D502)*('Control Mapping'!$F$5:$F$83="Y")*('Control Mapping'!$AE$5:$AE$83=4)))</f>
        <v>0</v>
      </c>
      <c r="L502" s="29" t="n">
        <f aca="false">IF(NOT(ISNUMBER($G502)),"",IFERROR(SUMPRODUCT(('Control Mapping'!$C$5:$C$83=D502)*'Control Mapping'!$E$5:$E$83*'Control Mapping'!$AE$5:$AE$83)/SUMPRODUCT(('Control Mapping'!$C$5:$C$83=D502)*'Control Mapping'!$E$5:$E$83*('Control Mapping'!$AE$5:$AE$83&gt;0)),""))</f>
        <v>2</v>
      </c>
      <c r="M502" s="34" t="n">
        <f aca="false">IF(NOT(ISNUMBER($G502)),"",IF(J502=0,4,MAX(MATCH(L502,'Residual Config'!$E$11:$E$14,1),IF(K502&gt;0,'Residual Config'!$C$7,1))))</f>
        <v>2</v>
      </c>
      <c r="N502" s="7" t="str">
        <f aca="false">IF(NOT(ISNUMBER($G502)),"",IF(J502=0,"Ineffective (no key control)",INDEX('Residual Config'!$B$11:$B$14,M502)))</f>
        <v>Largely effective</v>
      </c>
      <c r="O502" s="36" t="n">
        <f aca="false">IF(NOT(ISNUMBER($G502)),"",IF(J502=0,0,SUMPRODUCT(('Control Mapping'!$C$5:$C$83=D502)*'Control Mapping'!$E$5:$E$83*(('Control Mapping'!$AE$5:$AE$83=1)*'Residual Config'!$D$11+('Control Mapping'!$AE$5:$AE$83=2)*'Residual Config'!$D$12+('Control Mapping'!$AE$5:$AE$83=3)*'Residual Config'!$D$13+('Control Mapping'!$AE$5:$AE$83=4)*'Residual Config'!$D$14))/SUMPRODUCT(('Control Mapping'!$C$5:$C$83=D502)*'Control Mapping'!$E$5:$E$83*('Control Mapping'!$AE$5:$AE$83&gt;0))))</f>
        <v>0.4</v>
      </c>
      <c r="P502" s="31" t="n">
        <f aca="false">IF(NOT(ISNUMBER($G502)),"",INDEX('Residual Config'!$B$19:$E$23,6-G502,M502))</f>
        <v>1</v>
      </c>
      <c r="Q502" s="29" t="n">
        <f aca="false">IF(NOT(ISNUMBER($G502)),"",MAX(1,F502*(1-O502)))</f>
        <v>1</v>
      </c>
      <c r="R502" s="31" t="n">
        <f aca="false">IF(NOT(ISNUMBER($G502)),"",MAX(MATCH(Q502,Config!$D$5:$D$9,1),G502-'Residual Config'!$C$6))</f>
        <v>1</v>
      </c>
      <c r="S502" s="34" t="n">
        <f aca="false">IF(NOT(ISNUMBER($G502)),"",IF('Residual Config'!$C$5="Numeric",R502,P502))</f>
        <v>1</v>
      </c>
      <c r="T502" s="7" t="str">
        <f aca="false">IF(G502="N/A","N/A",IF(S502="","No data",INDEX(Config!$B$5:$B$9,S502)))</f>
        <v>Low</v>
      </c>
      <c r="U502" s="32" t="n">
        <v>0</v>
      </c>
      <c r="V502" s="8"/>
      <c r="W502" s="33"/>
      <c r="X502" s="34" t="n">
        <f aca="false">IF(S502="","",IF(AND(W502="Y",U502&lt;&gt;0),MAX(1,MIN(5,S502+MAX(-Config!$C$27,MIN(Config!$C$27,U502)))),S502))</f>
        <v>1</v>
      </c>
      <c r="Y502" s="35" t="str">
        <f aca="false">IF(G502="N/A","N/A",IF(X502="","No data",INDEX(Config!$B$5:$B$9,X502)))</f>
        <v>Low</v>
      </c>
      <c r="Z502" s="7" t="str">
        <f aca="false">IF(U502=0,"None",IF(W502="Y","Applied","Pending HO approval"))</f>
        <v>None</v>
      </c>
      <c r="AA502" s="12" t="str">
        <f aca="false">INDEX('Risk Taxonomy'!$G$5:$G$24,MATCH(D502,'Risk Taxonomy'!$A$5:$A$24,0))</f>
        <v>Very low</v>
      </c>
      <c r="AB502" s="7" t="str">
        <f aca="false">INDEX('Risk Taxonomy'!$H$5:$H$24,MATCH(D502,'Risk Taxonomy'!$A$5:$A$24,0))</f>
        <v>Medium-Low</v>
      </c>
      <c r="AC502" s="35" t="str">
        <f aca="false">IF(NOT(ISNUMBER(X502)),"",IF(X502&lt;=MATCH(AB502,Config!$B$5:$B$9,0),"Within",IF(OR(X502-MATCH(AB502,Config!$B$5:$B$9,0)&gt;=2,AND('Residual Config'!$C$8="Y",ISNUMBER(SEARCH("Zero",AA502)))),"Red","Amber")))</f>
        <v>Within</v>
      </c>
      <c r="AD502" s="12" t="str">
        <f aca="false">IF(AC502="Red","Group CCO / CRO and Country CEO within 2 business days; action plan in 15 days; report to Board Risk &amp; Compliance Committee",IF(AC502="Amber","Country CO, risk owner and HO Administrator within 5 business days; action plan in 30 days",""))</f>
        <v/>
      </c>
    </row>
    <row r="503" customFormat="false" ht="15" hidden="false" customHeight="false" outlineLevel="0" collapsed="false">
      <c r="A503" s="26" t="str">
        <f aca="false">Entities!$A$29</f>
        <v>IT</v>
      </c>
      <c r="B503" s="12" t="str">
        <f aca="false">INDEX(Entities!$B$5:$B$34,MATCH(A503,Entities!$A$5:$A$34,0))</f>
        <v>Arab Bank – Italy</v>
      </c>
      <c r="C503" s="12" t="str">
        <f aca="false">INDEX(Entities!$D$5:$D$34,MATCH(A503,Entities!$A$5:$A$34,0))</f>
        <v>Europe</v>
      </c>
      <c r="D503" s="12" t="s">
        <v>319</v>
      </c>
      <c r="E503" s="12" t="str">
        <f aca="false">INDEX('Risk Taxonomy'!$B$5:$B$24,MATCH(D503,'Risk Taxonomy'!$A$5:$A$24,0))</f>
        <v>Reputational</v>
      </c>
      <c r="F503" s="29" t="n">
        <f aca="false">IF(NOT(ISNUMBER(G503)),"",G503)</f>
        <v>3</v>
      </c>
      <c r="G503" s="34" t="n">
        <f aca="false">IF(COUNTIFS('LxI Assessment'!$A$5:$A$394,A503,'LxI Assessment'!$D$5:$D$394,D503,'LxI Assessment'!$F$5:$F$394,"N/A")&gt;0,"N/A",IF(COUNTIFS('LxI Assessment'!$A$5:$A$394,A503,'LxI Assessment'!$D$5:$D$394,D503,'LxI Assessment'!$S$5:$S$394,"&gt;0")=0,"",SUMIFS('LxI Assessment'!$S$5:$S$394,'LxI Assessment'!$A$5:$A$394,A503,'LxI Assessment'!$D$5:$D$394,D503)))</f>
        <v>3</v>
      </c>
      <c r="H503" s="7" t="str">
        <f aca="false">IF(G503="N/A","N/A",IF(G503="","No data",INDEX(Config!$B$5:$B$9,G503)))</f>
        <v>Medium</v>
      </c>
      <c r="I503" s="31" t="n">
        <f aca="false">IF(NOT(ISNUMBER($G503)),"",SUMPRODUCT(('Control Mapping'!$C$5:$C$83=D503)*('Control Mapping'!$AE$5:$AE$83&gt;0)))</f>
        <v>2</v>
      </c>
      <c r="J503" s="31" t="n">
        <f aca="false">IF(NOT(ISNUMBER($G503)),"",SUMPRODUCT(('Control Mapping'!$C$5:$C$83=D503)*('Control Mapping'!$F$5:$F$83="Y")*('Control Mapping'!$AE$5:$AE$83&gt;0)))</f>
        <v>1</v>
      </c>
      <c r="K503" s="31" t="n">
        <f aca="false">IF(NOT(ISNUMBER($G503)),"",SUMPRODUCT(('Control Mapping'!$C$5:$C$83=D503)*('Control Mapping'!$F$5:$F$83="Y")*('Control Mapping'!$AE$5:$AE$83=4)))</f>
        <v>0</v>
      </c>
      <c r="L503" s="29" t="n">
        <f aca="false">IF(NOT(ISNUMBER($G503)),"",IFERROR(SUMPRODUCT(('Control Mapping'!$C$5:$C$83=D503)*'Control Mapping'!$E$5:$E$83*'Control Mapping'!$AE$5:$AE$83)/SUMPRODUCT(('Control Mapping'!$C$5:$C$83=D503)*'Control Mapping'!$E$5:$E$83*('Control Mapping'!$AE$5:$AE$83&gt;0)),""))</f>
        <v>1.66666666666667</v>
      </c>
      <c r="M503" s="34" t="n">
        <f aca="false">IF(NOT(ISNUMBER($G503)),"",IF(J503=0,4,MAX(MATCH(L503,'Residual Config'!$E$11:$E$14,1),IF(K503&gt;0,'Residual Config'!$C$7,1))))</f>
        <v>2</v>
      </c>
      <c r="N503" s="7" t="str">
        <f aca="false">IF(NOT(ISNUMBER($G503)),"",IF(J503=0,"Ineffective (no key control)",INDEX('Residual Config'!$B$11:$B$14,M503)))</f>
        <v>Largely effective</v>
      </c>
      <c r="O503" s="36" t="n">
        <f aca="false">IF(NOT(ISNUMBER($G503)),"",IF(J503=0,0,SUMPRODUCT(('Control Mapping'!$C$5:$C$83=D503)*'Control Mapping'!$E$5:$E$83*(('Control Mapping'!$AE$5:$AE$83=1)*'Residual Config'!$D$11+('Control Mapping'!$AE$5:$AE$83=2)*'Residual Config'!$D$12+('Control Mapping'!$AE$5:$AE$83=3)*'Residual Config'!$D$13+('Control Mapping'!$AE$5:$AE$83=4)*'Residual Config'!$D$14))/SUMPRODUCT(('Control Mapping'!$C$5:$C$83=D503)*'Control Mapping'!$E$5:$E$83*('Control Mapping'!$AE$5:$AE$83&gt;0))))</f>
        <v>0.466666666666667</v>
      </c>
      <c r="P503" s="31" t="n">
        <f aca="false">IF(NOT(ISNUMBER($G503)),"",INDEX('Residual Config'!$B$19:$E$23,6-G503,M503))</f>
        <v>2</v>
      </c>
      <c r="Q503" s="29" t="n">
        <f aca="false">IF(NOT(ISNUMBER($G503)),"",MAX(1,F503*(1-O503)))</f>
        <v>1.6</v>
      </c>
      <c r="R503" s="31" t="n">
        <f aca="false">IF(NOT(ISNUMBER($G503)),"",MAX(MATCH(Q503,Config!$D$5:$D$9,1),G503-'Residual Config'!$C$6))</f>
        <v>1</v>
      </c>
      <c r="S503" s="34" t="n">
        <f aca="false">IF(NOT(ISNUMBER($G503)),"",IF('Residual Config'!$C$5="Numeric",R503,P503))</f>
        <v>2</v>
      </c>
      <c r="T503" s="7" t="str">
        <f aca="false">IF(G503="N/A","N/A",IF(S503="","No data",INDEX(Config!$B$5:$B$9,S503)))</f>
        <v>Medium-Low</v>
      </c>
      <c r="U503" s="32" t="n">
        <v>0</v>
      </c>
      <c r="V503" s="8"/>
      <c r="W503" s="33"/>
      <c r="X503" s="34" t="n">
        <f aca="false">IF(S503="","",IF(AND(W503="Y",U503&lt;&gt;0),MAX(1,MIN(5,S503+MAX(-Config!$C$27,MIN(Config!$C$27,U503)))),S503))</f>
        <v>2</v>
      </c>
      <c r="Y503" s="35" t="str">
        <f aca="false">IF(G503="N/A","N/A",IF(X503="","No data",INDEX(Config!$B$5:$B$9,X503)))</f>
        <v>Medium-Low</v>
      </c>
      <c r="Z503" s="7" t="str">
        <f aca="false">IF(U503=0,"None",IF(W503="Y","Applied","Pending HO approval"))</f>
        <v>None</v>
      </c>
      <c r="AA503" s="12" t="str">
        <f aca="false">INDEX('Risk Taxonomy'!$G$5:$G$24,MATCH(D503,'Risk Taxonomy'!$A$5:$A$24,0))</f>
        <v>Low</v>
      </c>
      <c r="AB503" s="7" t="str">
        <f aca="false">INDEX('Risk Taxonomy'!$H$5:$H$24,MATCH(D503,'Risk Taxonomy'!$A$5:$A$24,0))</f>
        <v>Medium</v>
      </c>
      <c r="AC503" s="35" t="str">
        <f aca="false">IF(NOT(ISNUMBER(X503)),"",IF(X503&lt;=MATCH(AB503,Config!$B$5:$B$9,0),"Within",IF(OR(X503-MATCH(AB503,Config!$B$5:$B$9,0)&gt;=2,AND('Residual Config'!$C$8="Y",ISNUMBER(SEARCH("Zero",AA503)))),"Red","Amber")))</f>
        <v>Within</v>
      </c>
      <c r="AD503" s="12" t="str">
        <f aca="false">IF(AC503="Red","Group CCO / CRO and Country CEO within 2 business days; action plan in 15 days; report to Board Risk &amp; Compliance Committee",IF(AC503="Amber","Country CO, risk owner and HO Administrator within 5 business days; action plan in 30 days",""))</f>
        <v/>
      </c>
    </row>
    <row r="504" customFormat="false" ht="15" hidden="false" customHeight="false" outlineLevel="0" collapsed="false">
      <c r="A504" s="26" t="str">
        <f aca="false">Entities!$A$29</f>
        <v>IT</v>
      </c>
      <c r="B504" s="12" t="str">
        <f aca="false">INDEX(Entities!$B$5:$B$34,MATCH(A504,Entities!$A$5:$A$34,0))</f>
        <v>Arab Bank – Italy</v>
      </c>
      <c r="C504" s="12" t="str">
        <f aca="false">INDEX(Entities!$D$5:$D$34,MATCH(A504,Entities!$A$5:$A$34,0))</f>
        <v>Europe</v>
      </c>
      <c r="D504" s="12" t="s">
        <v>322</v>
      </c>
      <c r="E504" s="12" t="str">
        <f aca="false">INDEX('Risk Taxonomy'!$B$5:$B$24,MATCH(D504,'Risk Taxonomy'!$A$5:$A$24,0))</f>
        <v>Strategic, business model and ESG</v>
      </c>
      <c r="F504" s="29" t="n">
        <f aca="false">IF(NOT(ISNUMBER(G504)),"",G504)</f>
        <v>1</v>
      </c>
      <c r="G504" s="34" t="n">
        <f aca="false">IF(COUNTIFS('LxI Assessment'!$A$5:$A$394,A504,'LxI Assessment'!$D$5:$D$394,D504,'LxI Assessment'!$F$5:$F$394,"N/A")&gt;0,"N/A",IF(COUNTIFS('LxI Assessment'!$A$5:$A$394,A504,'LxI Assessment'!$D$5:$D$394,D504,'LxI Assessment'!$S$5:$S$394,"&gt;0")=0,"",SUMIFS('LxI Assessment'!$S$5:$S$394,'LxI Assessment'!$A$5:$A$394,A504,'LxI Assessment'!$D$5:$D$394,D504)))</f>
        <v>1</v>
      </c>
      <c r="H504" s="7" t="str">
        <f aca="false">IF(G504="N/A","N/A",IF(G504="","No data",INDEX(Config!$B$5:$B$9,G504)))</f>
        <v>Low</v>
      </c>
      <c r="I504" s="31" t="n">
        <f aca="false">IF(NOT(ISNUMBER($G504)),"",SUMPRODUCT(('Control Mapping'!$C$5:$C$83=D504)*('Control Mapping'!$AE$5:$AE$83&gt;0)))</f>
        <v>1</v>
      </c>
      <c r="J504" s="31" t="n">
        <f aca="false">IF(NOT(ISNUMBER($G504)),"",SUMPRODUCT(('Control Mapping'!$C$5:$C$83=D504)*('Control Mapping'!$F$5:$F$83="Y")*('Control Mapping'!$AE$5:$AE$83&gt;0)))</f>
        <v>1</v>
      </c>
      <c r="K504" s="31" t="n">
        <f aca="false">IF(NOT(ISNUMBER($G504)),"",SUMPRODUCT(('Control Mapping'!$C$5:$C$83=D504)*('Control Mapping'!$F$5:$F$83="Y")*('Control Mapping'!$AE$5:$AE$83=4)))</f>
        <v>0</v>
      </c>
      <c r="L504" s="29" t="n">
        <f aca="false">IF(NOT(ISNUMBER($G504)),"",IFERROR(SUMPRODUCT(('Control Mapping'!$C$5:$C$83=D504)*'Control Mapping'!$E$5:$E$83*'Control Mapping'!$AE$5:$AE$83)/SUMPRODUCT(('Control Mapping'!$C$5:$C$83=D504)*'Control Mapping'!$E$5:$E$83*('Control Mapping'!$AE$5:$AE$83&gt;0)),""))</f>
        <v>1</v>
      </c>
      <c r="M504" s="34" t="n">
        <f aca="false">IF(NOT(ISNUMBER($G504)),"",IF(J504=0,4,MAX(MATCH(L504,'Residual Config'!$E$11:$E$14,1),IF(K504&gt;0,'Residual Config'!$C$7,1))))</f>
        <v>1</v>
      </c>
      <c r="N504" s="7" t="str">
        <f aca="false">IF(NOT(ISNUMBER($G504)),"",IF(J504=0,"Ineffective (no key control)",INDEX('Residual Config'!$B$11:$B$14,M504)))</f>
        <v>Effective</v>
      </c>
      <c r="O504" s="36" t="n">
        <f aca="false">IF(NOT(ISNUMBER($G504)),"",IF(J504=0,0,SUMPRODUCT(('Control Mapping'!$C$5:$C$83=D504)*'Control Mapping'!$E$5:$E$83*(('Control Mapping'!$AE$5:$AE$83=1)*'Residual Config'!$D$11+('Control Mapping'!$AE$5:$AE$83=2)*'Residual Config'!$D$12+('Control Mapping'!$AE$5:$AE$83=3)*'Residual Config'!$D$13+('Control Mapping'!$AE$5:$AE$83=4)*'Residual Config'!$D$14))/SUMPRODUCT(('Control Mapping'!$C$5:$C$83=D504)*'Control Mapping'!$E$5:$E$83*('Control Mapping'!$AE$5:$AE$83&gt;0))))</f>
        <v>0.6</v>
      </c>
      <c r="P504" s="31" t="n">
        <f aca="false">IF(NOT(ISNUMBER($G504)),"",INDEX('Residual Config'!$B$19:$E$23,6-G504,M504))</f>
        <v>1</v>
      </c>
      <c r="Q504" s="29" t="n">
        <f aca="false">IF(NOT(ISNUMBER($G504)),"",MAX(1,F504*(1-O504)))</f>
        <v>1</v>
      </c>
      <c r="R504" s="31" t="n">
        <f aca="false">IF(NOT(ISNUMBER($G504)),"",MAX(MATCH(Q504,Config!$D$5:$D$9,1),G504-'Residual Config'!$C$6))</f>
        <v>1</v>
      </c>
      <c r="S504" s="34" t="n">
        <f aca="false">IF(NOT(ISNUMBER($G504)),"",IF('Residual Config'!$C$5="Numeric",R504,P504))</f>
        <v>1</v>
      </c>
      <c r="T504" s="7" t="str">
        <f aca="false">IF(G504="N/A","N/A",IF(S504="","No data",INDEX(Config!$B$5:$B$9,S504)))</f>
        <v>Low</v>
      </c>
      <c r="U504" s="32" t="n">
        <v>0</v>
      </c>
      <c r="V504" s="8"/>
      <c r="W504" s="33"/>
      <c r="X504" s="34" t="n">
        <f aca="false">IF(S504="","",IF(AND(W504="Y",U504&lt;&gt;0),MAX(1,MIN(5,S504+MAX(-Config!$C$27,MIN(Config!$C$27,U504)))),S504))</f>
        <v>1</v>
      </c>
      <c r="Y504" s="35" t="str">
        <f aca="false">IF(G504="N/A","N/A",IF(X504="","No data",INDEX(Config!$B$5:$B$9,X504)))</f>
        <v>Low</v>
      </c>
      <c r="Z504" s="7" t="str">
        <f aca="false">IF(U504=0,"None",IF(W504="Y","Applied","Pending HO approval"))</f>
        <v>None</v>
      </c>
      <c r="AA504" s="12" t="str">
        <f aca="false">INDEX('Risk Taxonomy'!$G$5:$G$24,MATCH(D504,'Risk Taxonomy'!$A$5:$A$24,0))</f>
        <v>Moderate</v>
      </c>
      <c r="AB504" s="7" t="str">
        <f aca="false">INDEX('Risk Taxonomy'!$H$5:$H$24,MATCH(D504,'Risk Taxonomy'!$A$5:$A$24,0))</f>
        <v>Medium-High</v>
      </c>
      <c r="AC504" s="35" t="str">
        <f aca="false">IF(NOT(ISNUMBER(X504)),"",IF(X504&lt;=MATCH(AB504,Config!$B$5:$B$9,0),"Within",IF(OR(X504-MATCH(AB504,Config!$B$5:$B$9,0)&gt;=2,AND('Residual Config'!$C$8="Y",ISNUMBER(SEARCH("Zero",AA504)))),"Red","Amber")))</f>
        <v>Within</v>
      </c>
      <c r="AD504" s="12" t="str">
        <f aca="false">IF(AC504="Red","Group CCO / CRO and Country CEO within 2 business days; action plan in 15 days; report to Board Risk &amp; Compliance Committee",IF(AC504="Amber","Country CO, risk owner and HO Administrator within 5 business days; action plan in 30 days",""))</f>
        <v/>
      </c>
    </row>
    <row r="505" customFormat="false" ht="15" hidden="false" customHeight="false" outlineLevel="0" collapsed="false">
      <c r="A505" s="26" t="str">
        <f aca="false">Entities!$A$30</f>
        <v>CH</v>
      </c>
      <c r="B505" s="12" t="str">
        <f aca="false">INDEX(Entities!$B$5:$B$34,MATCH(A505,Entities!$A$5:$A$34,0))</f>
        <v>Arab Bank (Switzerland) – sister company</v>
      </c>
      <c r="C505" s="12" t="str">
        <f aca="false">INDEX(Entities!$D$5:$D$34,MATCH(A505,Entities!$A$5:$A$34,0))</f>
        <v>Europe</v>
      </c>
      <c r="D505" s="12" t="s">
        <v>260</v>
      </c>
      <c r="E505" s="12" t="str">
        <f aca="false">INDEX('Risk Taxonomy'!$B$5:$B$24,MATCH(D505,'Risk Taxonomy'!$A$5:$A$24,0))</f>
        <v>Money laundering</v>
      </c>
      <c r="F505" s="29" t="n">
        <f aca="false">IF(NOT(ISNUMBER(G505)),"",IFERROR(IF(MATCH(SUMIFS('FC Calculation'!$N$5:$N$214,'FC Calculation'!$A$5:$A$214,A505,'FC Calculation'!$D$5:$D$214,D505),Config!$D$5:$D$9,1)=G505,SUMIFS('FC Calculation'!$N$5:$N$214,'FC Calculation'!$A$5:$A$214,A505,'FC Calculation'!$D$5:$D$214,D505),G505),G505))</f>
        <v>1.95777777777778</v>
      </c>
      <c r="G505" s="34" t="n">
        <f aca="false">IF(COUNTIFS('FC Calculation'!$A$5:$A$214,A505,'FC Calculation'!$D$5:$D$214,D505,'FC Calculation'!$T$5:$T$214,"&gt;0")=0,"",SUMIFS('FC Calculation'!$T$5:$T$214,'FC Calculation'!$A$5:$A$214,A505,'FC Calculation'!$D$5:$D$214,D505))</f>
        <v>2</v>
      </c>
      <c r="H505" s="7" t="str">
        <f aca="false">IF(G505="N/A","N/A",IF(G505="","No data",INDEX(Config!$B$5:$B$9,G505)))</f>
        <v>Medium-Low</v>
      </c>
      <c r="I505" s="31" t="n">
        <f aca="false">IF(NOT(ISNUMBER($G505)),"",SUMPRODUCT(('Control Mapping'!$C$5:$C$83=D505)*('Control Mapping'!$AF$5:$AF$83&gt;0)))</f>
        <v>12</v>
      </c>
      <c r="J505" s="31" t="n">
        <f aca="false">IF(NOT(ISNUMBER($G505)),"",SUMPRODUCT(('Control Mapping'!$C$5:$C$83=D505)*('Control Mapping'!$F$5:$F$83="Y")*('Control Mapping'!$AF$5:$AF$83&gt;0)))</f>
        <v>9</v>
      </c>
      <c r="K505" s="31" t="n">
        <f aca="false">IF(NOT(ISNUMBER($G505)),"",SUMPRODUCT(('Control Mapping'!$C$5:$C$83=D505)*('Control Mapping'!$F$5:$F$83="Y")*('Control Mapping'!$AF$5:$AF$83=4)))</f>
        <v>0</v>
      </c>
      <c r="L505" s="29" t="n">
        <f aca="false">IF(NOT(ISNUMBER($G505)),"",IFERROR(SUMPRODUCT(('Control Mapping'!$C$5:$C$83=D505)*'Control Mapping'!$E$5:$E$83*'Control Mapping'!$AF$5:$AF$83)/SUMPRODUCT(('Control Mapping'!$C$5:$C$83=D505)*'Control Mapping'!$E$5:$E$83*('Control Mapping'!$AF$5:$AF$83&gt;0)),""))</f>
        <v>1.78260869565217</v>
      </c>
      <c r="M505" s="34" t="n">
        <f aca="false">IF(NOT(ISNUMBER($G505)),"",IF(J505=0,4,MAX(MATCH(L505,'Residual Config'!$E$11:$E$14,1),IF(K505&gt;0,'Residual Config'!$C$7,1))))</f>
        <v>2</v>
      </c>
      <c r="N505" s="7" t="str">
        <f aca="false">IF(NOT(ISNUMBER($G505)),"",IF(J505=0,"Ineffective (no key control)",INDEX('Residual Config'!$B$11:$B$14,M505)))</f>
        <v>Largely effective</v>
      </c>
      <c r="O505" s="36" t="n">
        <f aca="false">IF(NOT(ISNUMBER($G505)),"",IF(J505=0,0,SUMPRODUCT(('Control Mapping'!$C$5:$C$83=D505)*'Control Mapping'!$E$5:$E$83*(('Control Mapping'!$AF$5:$AF$83=1)*'Residual Config'!$D$11+('Control Mapping'!$AF$5:$AF$83=2)*'Residual Config'!$D$12+('Control Mapping'!$AF$5:$AF$83=3)*'Residual Config'!$D$13+('Control Mapping'!$AF$5:$AF$83=4)*'Residual Config'!$D$14))/SUMPRODUCT(('Control Mapping'!$C$5:$C$83=D505)*'Control Mapping'!$E$5:$E$83*('Control Mapping'!$AF$5:$AF$83&gt;0))))</f>
        <v>0.443478260869565</v>
      </c>
      <c r="P505" s="31" t="n">
        <f aca="false">IF(NOT(ISNUMBER($G505)),"",INDEX('Residual Config'!$B$19:$E$23,6-G505,M505))</f>
        <v>1</v>
      </c>
      <c r="Q505" s="29" t="n">
        <f aca="false">IF(NOT(ISNUMBER($G505)),"",MAX(1,F505*(1-O505)))</f>
        <v>1.08954589371981</v>
      </c>
      <c r="R505" s="31" t="n">
        <f aca="false">IF(NOT(ISNUMBER($G505)),"",MAX(MATCH(Q505,Config!$D$5:$D$9,1),G505-'Residual Config'!$C$6))</f>
        <v>1</v>
      </c>
      <c r="S505" s="34" t="n">
        <f aca="false">IF(NOT(ISNUMBER($G505)),"",IF('Residual Config'!$C$5="Numeric",R505,P505))</f>
        <v>1</v>
      </c>
      <c r="T505" s="7" t="str">
        <f aca="false">IF(G505="N/A","N/A",IF(S505="","No data",INDEX(Config!$B$5:$B$9,S505)))</f>
        <v>Low</v>
      </c>
      <c r="U505" s="32" t="n">
        <v>0</v>
      </c>
      <c r="V505" s="8"/>
      <c r="W505" s="33"/>
      <c r="X505" s="34" t="n">
        <f aca="false">IF(S505="","",IF(AND(W505="Y",U505&lt;&gt;0),MAX(1,MIN(5,S505+MAX(-Config!$C$27,MIN(Config!$C$27,U505)))),S505))</f>
        <v>1</v>
      </c>
      <c r="Y505" s="35" t="str">
        <f aca="false">IF(G505="N/A","N/A",IF(X505="","No data",INDEX(Config!$B$5:$B$9,X505)))</f>
        <v>Low</v>
      </c>
      <c r="Z505" s="7" t="str">
        <f aca="false">IF(U505=0,"None",IF(W505="Y","Applied","Pending HO approval"))</f>
        <v>None</v>
      </c>
      <c r="AA505" s="12" t="str">
        <f aca="false">INDEX('Risk Taxonomy'!$G$5:$G$24,MATCH(D505,'Risk Taxonomy'!$A$5:$A$24,0))</f>
        <v>Very low</v>
      </c>
      <c r="AB505" s="7" t="str">
        <f aca="false">INDEX('Risk Taxonomy'!$H$5:$H$24,MATCH(D505,'Risk Taxonomy'!$A$5:$A$24,0))</f>
        <v>Medium-Low</v>
      </c>
      <c r="AC505" s="35" t="str">
        <f aca="false">IF(NOT(ISNUMBER(X505)),"",IF(X505&lt;=MATCH(AB505,Config!$B$5:$B$9,0),"Within",IF(OR(X505-MATCH(AB505,Config!$B$5:$B$9,0)&gt;=2,AND('Residual Config'!$C$8="Y",ISNUMBER(SEARCH("Zero",AA505)))),"Red","Amber")))</f>
        <v>Within</v>
      </c>
      <c r="AD505" s="12" t="str">
        <f aca="false">IF(AC505="Red","Group CCO / CRO and Country CEO within 2 business days; action plan in 15 days; report to Board Risk &amp; Compliance Committee",IF(AC505="Amber","Country CO, risk owner and HO Administrator within 5 business days; action plan in 30 days",""))</f>
        <v/>
      </c>
    </row>
    <row r="506" customFormat="false" ht="15" hidden="false" customHeight="false" outlineLevel="0" collapsed="false">
      <c r="A506" s="26" t="str">
        <f aca="false">Entities!$A$30</f>
        <v>CH</v>
      </c>
      <c r="B506" s="12" t="str">
        <f aca="false">INDEX(Entities!$B$5:$B$34,MATCH(A506,Entities!$A$5:$A$34,0))</f>
        <v>Arab Bank (Switzerland) – sister company</v>
      </c>
      <c r="C506" s="12" t="str">
        <f aca="false">INDEX(Entities!$D$5:$D$34,MATCH(A506,Entities!$A$5:$A$34,0))</f>
        <v>Europe</v>
      </c>
      <c r="D506" s="12" t="s">
        <v>267</v>
      </c>
      <c r="E506" s="12" t="str">
        <f aca="false">INDEX('Risk Taxonomy'!$B$5:$B$24,MATCH(D506,'Risk Taxonomy'!$A$5:$A$24,0))</f>
        <v>Terrorist financing</v>
      </c>
      <c r="F506" s="29" t="n">
        <f aca="false">IF(NOT(ISNUMBER(G506)),"",IFERROR(IF(MATCH(SUMIFS('FC Calculation'!$N$5:$N$214,'FC Calculation'!$A$5:$A$214,A506,'FC Calculation'!$D$5:$D$214,D506),Config!$D$5:$D$9,1)=G506,SUMIFS('FC Calculation'!$N$5:$N$214,'FC Calculation'!$A$5:$A$214,A506,'FC Calculation'!$D$5:$D$214,D506),G506),G506))</f>
        <v>1.83809523809524</v>
      </c>
      <c r="G506" s="34" t="n">
        <f aca="false">IF(COUNTIFS('FC Calculation'!$A$5:$A$214,A506,'FC Calculation'!$D$5:$D$214,D506,'FC Calculation'!$T$5:$T$214,"&gt;0")=0,"",SUMIFS('FC Calculation'!$T$5:$T$214,'FC Calculation'!$A$5:$A$214,A506,'FC Calculation'!$D$5:$D$214,D506))</f>
        <v>2</v>
      </c>
      <c r="H506" s="7" t="str">
        <f aca="false">IF(G506="N/A","N/A",IF(G506="","No data",INDEX(Config!$B$5:$B$9,G506)))</f>
        <v>Medium-Low</v>
      </c>
      <c r="I506" s="31" t="n">
        <f aca="false">IF(NOT(ISNUMBER($G506)),"",SUMPRODUCT(('Control Mapping'!$C$5:$C$83=D506)*('Control Mapping'!$AF$5:$AF$83&gt;0)))</f>
        <v>12</v>
      </c>
      <c r="J506" s="31" t="n">
        <f aca="false">IF(NOT(ISNUMBER($G506)),"",SUMPRODUCT(('Control Mapping'!$C$5:$C$83=D506)*('Control Mapping'!$F$5:$F$83="Y")*('Control Mapping'!$AF$5:$AF$83&gt;0)))</f>
        <v>9</v>
      </c>
      <c r="K506" s="31" t="n">
        <f aca="false">IF(NOT(ISNUMBER($G506)),"",SUMPRODUCT(('Control Mapping'!$C$5:$C$83=D506)*('Control Mapping'!$F$5:$F$83="Y")*('Control Mapping'!$AF$5:$AF$83=4)))</f>
        <v>1</v>
      </c>
      <c r="L506" s="29" t="n">
        <f aca="false">IF(NOT(ISNUMBER($G506)),"",IFERROR(SUMPRODUCT(('Control Mapping'!$C$5:$C$83=D506)*'Control Mapping'!$E$5:$E$83*'Control Mapping'!$AF$5:$AF$83)/SUMPRODUCT(('Control Mapping'!$C$5:$C$83=D506)*'Control Mapping'!$E$5:$E$83*('Control Mapping'!$AF$5:$AF$83&gt;0)),""))</f>
        <v>1.94736842105263</v>
      </c>
      <c r="M506" s="34" t="n">
        <f aca="false">IF(NOT(ISNUMBER($G506)),"",IF(J506=0,4,MAX(MATCH(L506,'Residual Config'!$E$11:$E$14,1),IF(K506&gt;0,'Residual Config'!$C$7,1))))</f>
        <v>3</v>
      </c>
      <c r="N506" s="7" t="str">
        <f aca="false">IF(NOT(ISNUMBER($G506)),"",IF(J506=0,"Ineffective (no key control)",INDEX('Residual Config'!$B$11:$B$14,M506)))</f>
        <v>Partially effective</v>
      </c>
      <c r="O506" s="36" t="n">
        <f aca="false">IF(NOT(ISNUMBER($G506)),"",IF(J506=0,0,SUMPRODUCT(('Control Mapping'!$C$5:$C$83=D506)*'Control Mapping'!$E$5:$E$83*(('Control Mapping'!$AF$5:$AF$83=1)*'Residual Config'!$D$11+('Control Mapping'!$AF$5:$AF$83=2)*'Residual Config'!$D$12+('Control Mapping'!$AF$5:$AF$83=3)*'Residual Config'!$D$13+('Control Mapping'!$AF$5:$AF$83=4)*'Residual Config'!$D$14))/SUMPRODUCT(('Control Mapping'!$C$5:$C$83=D506)*'Control Mapping'!$E$5:$E$83*('Control Mapping'!$AF$5:$AF$83&gt;0))))</f>
        <v>0.410526315789474</v>
      </c>
      <c r="P506" s="31" t="n">
        <f aca="false">IF(NOT(ISNUMBER($G506)),"",INDEX('Residual Config'!$B$19:$E$23,6-G506,M506))</f>
        <v>2</v>
      </c>
      <c r="Q506" s="29" t="n">
        <f aca="false">IF(NOT(ISNUMBER($G506)),"",MAX(1,F506*(1-O506)))</f>
        <v>1.08350877192982</v>
      </c>
      <c r="R506" s="31" t="n">
        <f aca="false">IF(NOT(ISNUMBER($G506)),"",MAX(MATCH(Q506,Config!$D$5:$D$9,1),G506-'Residual Config'!$C$6))</f>
        <v>1</v>
      </c>
      <c r="S506" s="34" t="n">
        <f aca="false">IF(NOT(ISNUMBER($G506)),"",IF('Residual Config'!$C$5="Numeric",R506,P506))</f>
        <v>2</v>
      </c>
      <c r="T506" s="7" t="str">
        <f aca="false">IF(G506="N/A","N/A",IF(S506="","No data",INDEX(Config!$B$5:$B$9,S506)))</f>
        <v>Medium-Low</v>
      </c>
      <c r="U506" s="32" t="n">
        <v>0</v>
      </c>
      <c r="V506" s="8"/>
      <c r="W506" s="33"/>
      <c r="X506" s="34" t="n">
        <f aca="false">IF(S506="","",IF(AND(W506="Y",U506&lt;&gt;0),MAX(1,MIN(5,S506+MAX(-Config!$C$27,MIN(Config!$C$27,U506)))),S506))</f>
        <v>2</v>
      </c>
      <c r="Y506" s="35" t="str">
        <f aca="false">IF(G506="N/A","N/A",IF(X506="","No data",INDEX(Config!$B$5:$B$9,X506)))</f>
        <v>Medium-Low</v>
      </c>
      <c r="Z506" s="7" t="str">
        <f aca="false">IF(U506=0,"None",IF(W506="Y","Applied","Pending HO approval"))</f>
        <v>None</v>
      </c>
      <c r="AA506" s="12" t="str">
        <f aca="false">INDEX('Risk Taxonomy'!$G$5:$G$24,MATCH(D506,'Risk Taxonomy'!$A$5:$A$24,0))</f>
        <v>Zero tolerance</v>
      </c>
      <c r="AB506" s="7" t="str">
        <f aca="false">INDEX('Risk Taxonomy'!$H$5:$H$24,MATCH(D506,'Risk Taxonomy'!$A$5:$A$24,0))</f>
        <v>Low</v>
      </c>
      <c r="AC506" s="35" t="str">
        <f aca="false">IF(NOT(ISNUMBER(X506)),"",IF(X506&lt;=MATCH(AB506,Config!$B$5:$B$9,0),"Within",IF(OR(X506-MATCH(AB506,Config!$B$5:$B$9,0)&gt;=2,AND('Residual Config'!$C$8="Y",ISNUMBER(SEARCH("Zero",AA506)))),"Red","Amber")))</f>
        <v>Amber</v>
      </c>
      <c r="AD506" s="12" t="str">
        <f aca="false">IF(AC506="Red","Group CCO / CRO and Country CEO within 2 business days; action plan in 15 days; report to Board Risk &amp; Compliance Committee",IF(AC506="Amber","Country CO, risk owner and HO Administrator within 5 business days; action plan in 30 days",""))</f>
        <v>Country CO, risk owner and HO Administrator within 5 business days; action plan in 30 days</v>
      </c>
    </row>
    <row r="507" customFormat="false" ht="15" hidden="false" customHeight="false" outlineLevel="0" collapsed="false">
      <c r="A507" s="26" t="str">
        <f aca="false">Entities!$A$30</f>
        <v>CH</v>
      </c>
      <c r="B507" s="12" t="str">
        <f aca="false">INDEX(Entities!$B$5:$B$34,MATCH(A507,Entities!$A$5:$A$34,0))</f>
        <v>Arab Bank (Switzerland) – sister company</v>
      </c>
      <c r="C507" s="12" t="str">
        <f aca="false">INDEX(Entities!$D$5:$D$34,MATCH(A507,Entities!$A$5:$A$34,0))</f>
        <v>Europe</v>
      </c>
      <c r="D507" s="12" t="s">
        <v>270</v>
      </c>
      <c r="E507" s="12" t="str">
        <f aca="false">INDEX('Risk Taxonomy'!$B$5:$B$24,MATCH(D507,'Risk Taxonomy'!$A$5:$A$24,0))</f>
        <v>Proliferation financing</v>
      </c>
      <c r="F507" s="29" t="n">
        <f aca="false">IF(NOT(ISNUMBER(G507)),"",IFERROR(IF(MATCH(SUMIFS('FC Calculation'!$N$5:$N$214,'FC Calculation'!$A$5:$A$214,A507,'FC Calculation'!$D$5:$D$214,D507),Config!$D$5:$D$9,1)=G507,SUMIFS('FC Calculation'!$N$5:$N$214,'FC Calculation'!$A$5:$A$214,A507,'FC Calculation'!$D$5:$D$214,D507),G507),G507))</f>
        <v>2.11666666666667</v>
      </c>
      <c r="G507" s="34" t="n">
        <f aca="false">IF(COUNTIFS('FC Calculation'!$A$5:$A$214,A507,'FC Calculation'!$D$5:$D$214,D507,'FC Calculation'!$T$5:$T$214,"&gt;0")=0,"",SUMIFS('FC Calculation'!$T$5:$T$214,'FC Calculation'!$A$5:$A$214,A507,'FC Calculation'!$D$5:$D$214,D507))</f>
        <v>2</v>
      </c>
      <c r="H507" s="7" t="str">
        <f aca="false">IF(G507="N/A","N/A",IF(G507="","No data",INDEX(Config!$B$5:$B$9,G507)))</f>
        <v>Medium-Low</v>
      </c>
      <c r="I507" s="31" t="n">
        <f aca="false">IF(NOT(ISNUMBER($G507)),"",SUMPRODUCT(('Control Mapping'!$C$5:$C$83=D507)*('Control Mapping'!$AF$5:$AF$83&gt;0)))</f>
        <v>5</v>
      </c>
      <c r="J507" s="31" t="n">
        <f aca="false">IF(NOT(ISNUMBER($G507)),"",SUMPRODUCT(('Control Mapping'!$C$5:$C$83=D507)*('Control Mapping'!$F$5:$F$83="Y")*('Control Mapping'!$AF$5:$AF$83&gt;0)))</f>
        <v>5</v>
      </c>
      <c r="K507" s="31" t="n">
        <f aca="false">IF(NOT(ISNUMBER($G507)),"",SUMPRODUCT(('Control Mapping'!$C$5:$C$83=D507)*('Control Mapping'!$F$5:$F$83="Y")*('Control Mapping'!$AF$5:$AF$83=4)))</f>
        <v>1</v>
      </c>
      <c r="L507" s="29" t="n">
        <f aca="false">IF(NOT(ISNUMBER($G507)),"",IFERROR(SUMPRODUCT(('Control Mapping'!$C$5:$C$83=D507)*'Control Mapping'!$E$5:$E$83*'Control Mapping'!$AF$5:$AF$83)/SUMPRODUCT(('Control Mapping'!$C$5:$C$83=D507)*'Control Mapping'!$E$5:$E$83*('Control Mapping'!$AF$5:$AF$83&gt;0)),""))</f>
        <v>1.6</v>
      </c>
      <c r="M507" s="34" t="n">
        <f aca="false">IF(NOT(ISNUMBER($G507)),"",IF(J507=0,4,MAX(MATCH(L507,'Residual Config'!$E$11:$E$14,1),IF(K507&gt;0,'Residual Config'!$C$7,1))))</f>
        <v>3</v>
      </c>
      <c r="N507" s="7" t="str">
        <f aca="false">IF(NOT(ISNUMBER($G507)),"",IF(J507=0,"Ineffective (no key control)",INDEX('Residual Config'!$B$11:$B$14,M507)))</f>
        <v>Partially effective</v>
      </c>
      <c r="O507" s="36" t="n">
        <f aca="false">IF(NOT(ISNUMBER($G507)),"",IF(J507=0,0,SUMPRODUCT(('Control Mapping'!$C$5:$C$83=D507)*'Control Mapping'!$E$5:$E$83*(('Control Mapping'!$AF$5:$AF$83=1)*'Residual Config'!$D$11+('Control Mapping'!$AF$5:$AF$83=2)*'Residual Config'!$D$12+('Control Mapping'!$AF$5:$AF$83=3)*'Residual Config'!$D$13+('Control Mapping'!$AF$5:$AF$83=4)*'Residual Config'!$D$14))/SUMPRODUCT(('Control Mapping'!$C$5:$C$83=D507)*'Control Mapping'!$E$5:$E$83*('Control Mapping'!$AF$5:$AF$83&gt;0))))</f>
        <v>0.48</v>
      </c>
      <c r="P507" s="31" t="n">
        <f aca="false">IF(NOT(ISNUMBER($G507)),"",INDEX('Residual Config'!$B$19:$E$23,6-G507,M507))</f>
        <v>2</v>
      </c>
      <c r="Q507" s="29" t="n">
        <f aca="false">IF(NOT(ISNUMBER($G507)),"",MAX(1,F507*(1-O507)))</f>
        <v>1.10066666666667</v>
      </c>
      <c r="R507" s="31" t="n">
        <f aca="false">IF(NOT(ISNUMBER($G507)),"",MAX(MATCH(Q507,Config!$D$5:$D$9,1),G507-'Residual Config'!$C$6))</f>
        <v>1</v>
      </c>
      <c r="S507" s="34" t="n">
        <f aca="false">IF(NOT(ISNUMBER($G507)),"",IF('Residual Config'!$C$5="Numeric",R507,P507))</f>
        <v>2</v>
      </c>
      <c r="T507" s="7" t="str">
        <f aca="false">IF(G507="N/A","N/A",IF(S507="","No data",INDEX(Config!$B$5:$B$9,S507)))</f>
        <v>Medium-Low</v>
      </c>
      <c r="U507" s="32" t="n">
        <v>0</v>
      </c>
      <c r="V507" s="8"/>
      <c r="W507" s="33"/>
      <c r="X507" s="34" t="n">
        <f aca="false">IF(S507="","",IF(AND(W507="Y",U507&lt;&gt;0),MAX(1,MIN(5,S507+MAX(-Config!$C$27,MIN(Config!$C$27,U507)))),S507))</f>
        <v>2</v>
      </c>
      <c r="Y507" s="35" t="str">
        <f aca="false">IF(G507="N/A","N/A",IF(X507="","No data",INDEX(Config!$B$5:$B$9,X507)))</f>
        <v>Medium-Low</v>
      </c>
      <c r="Z507" s="7" t="str">
        <f aca="false">IF(U507=0,"None",IF(W507="Y","Applied","Pending HO approval"))</f>
        <v>None</v>
      </c>
      <c r="AA507" s="12" t="str">
        <f aca="false">INDEX('Risk Taxonomy'!$G$5:$G$24,MATCH(D507,'Risk Taxonomy'!$A$5:$A$24,0))</f>
        <v>Zero tolerance</v>
      </c>
      <c r="AB507" s="7" t="str">
        <f aca="false">INDEX('Risk Taxonomy'!$H$5:$H$24,MATCH(D507,'Risk Taxonomy'!$A$5:$A$24,0))</f>
        <v>Low</v>
      </c>
      <c r="AC507" s="35" t="str">
        <f aca="false">IF(NOT(ISNUMBER(X507)),"",IF(X507&lt;=MATCH(AB507,Config!$B$5:$B$9,0),"Within",IF(OR(X507-MATCH(AB507,Config!$B$5:$B$9,0)&gt;=2,AND('Residual Config'!$C$8="Y",ISNUMBER(SEARCH("Zero",AA507)))),"Red","Amber")))</f>
        <v>Amber</v>
      </c>
      <c r="AD507" s="12" t="str">
        <f aca="false">IF(AC507="Red","Group CCO / CRO and Country CEO within 2 business days; action plan in 15 days; report to Board Risk &amp; Compliance Committee",IF(AC507="Amber","Country CO, risk owner and HO Administrator within 5 business days; action plan in 30 days",""))</f>
        <v>Country CO, risk owner and HO Administrator within 5 business days; action plan in 30 days</v>
      </c>
    </row>
    <row r="508" customFormat="false" ht="15" hidden="false" customHeight="false" outlineLevel="0" collapsed="false">
      <c r="A508" s="26" t="str">
        <f aca="false">Entities!$A$30</f>
        <v>CH</v>
      </c>
      <c r="B508" s="12" t="str">
        <f aca="false">INDEX(Entities!$B$5:$B$34,MATCH(A508,Entities!$A$5:$A$34,0))</f>
        <v>Arab Bank (Switzerland) – sister company</v>
      </c>
      <c r="C508" s="12" t="str">
        <f aca="false">INDEX(Entities!$D$5:$D$34,MATCH(A508,Entities!$A$5:$A$34,0))</f>
        <v>Europe</v>
      </c>
      <c r="D508" s="12" t="s">
        <v>272</v>
      </c>
      <c r="E508" s="12" t="str">
        <f aca="false">INDEX('Risk Taxonomy'!$B$5:$B$24,MATCH(D508,'Risk Taxonomy'!$A$5:$A$24,0))</f>
        <v>Sanctions</v>
      </c>
      <c r="F508" s="29" t="n">
        <f aca="false">IF(NOT(ISNUMBER(G508)),"",IFERROR(IF(MATCH(SUMIFS('FC Calculation'!$N$5:$N$214,'FC Calculation'!$A$5:$A$214,A508,'FC Calculation'!$D$5:$D$214,D508),Config!$D$5:$D$9,1)=G508,SUMIFS('FC Calculation'!$N$5:$N$214,'FC Calculation'!$A$5:$A$214,A508,'FC Calculation'!$D$5:$D$214,D508),G508),G508))</f>
        <v>2.03619047619048</v>
      </c>
      <c r="G508" s="34" t="n">
        <f aca="false">IF(COUNTIFS('FC Calculation'!$A$5:$A$214,A508,'FC Calculation'!$D$5:$D$214,D508,'FC Calculation'!$T$5:$T$214,"&gt;0")=0,"",SUMIFS('FC Calculation'!$T$5:$T$214,'FC Calculation'!$A$5:$A$214,A508,'FC Calculation'!$D$5:$D$214,D508))</f>
        <v>2</v>
      </c>
      <c r="H508" s="7" t="str">
        <f aca="false">IF(G508="N/A","N/A",IF(G508="","No data",INDEX(Config!$B$5:$B$9,G508)))</f>
        <v>Medium-Low</v>
      </c>
      <c r="I508" s="31" t="n">
        <f aca="false">IF(NOT(ISNUMBER($G508)),"",SUMPRODUCT(('Control Mapping'!$C$5:$C$83=D508)*('Control Mapping'!$AF$5:$AF$83&gt;0)))</f>
        <v>8</v>
      </c>
      <c r="J508" s="31" t="n">
        <f aca="false">IF(NOT(ISNUMBER($G508)),"",SUMPRODUCT(('Control Mapping'!$C$5:$C$83=D508)*('Control Mapping'!$F$5:$F$83="Y")*('Control Mapping'!$AF$5:$AF$83&gt;0)))</f>
        <v>5</v>
      </c>
      <c r="K508" s="31" t="n">
        <f aca="false">IF(NOT(ISNUMBER($G508)),"",SUMPRODUCT(('Control Mapping'!$C$5:$C$83=D508)*('Control Mapping'!$F$5:$F$83="Y")*('Control Mapping'!$AF$5:$AF$83=4)))</f>
        <v>1</v>
      </c>
      <c r="L508" s="29" t="n">
        <f aca="false">IF(NOT(ISNUMBER($G508)),"",IFERROR(SUMPRODUCT(('Control Mapping'!$C$5:$C$83=D508)*'Control Mapping'!$E$5:$E$83*'Control Mapping'!$AF$5:$AF$83)/SUMPRODUCT(('Control Mapping'!$C$5:$C$83=D508)*'Control Mapping'!$E$5:$E$83*('Control Mapping'!$AF$5:$AF$83&gt;0)),""))</f>
        <v>2.27272727272727</v>
      </c>
      <c r="M508" s="34" t="n">
        <f aca="false">IF(NOT(ISNUMBER($G508)),"",IF(J508=0,4,MAX(MATCH(L508,'Residual Config'!$E$11:$E$14,1),IF(K508&gt;0,'Residual Config'!$C$7,1))))</f>
        <v>3</v>
      </c>
      <c r="N508" s="7" t="str">
        <f aca="false">IF(NOT(ISNUMBER($G508)),"",IF(J508=0,"Ineffective (no key control)",INDEX('Residual Config'!$B$11:$B$14,M508)))</f>
        <v>Partially effective</v>
      </c>
      <c r="O508" s="36" t="n">
        <f aca="false">IF(NOT(ISNUMBER($G508)),"",IF(J508=0,0,SUMPRODUCT(('Control Mapping'!$C$5:$C$83=D508)*'Control Mapping'!$E$5:$E$83*(('Control Mapping'!$AF$5:$AF$83=1)*'Residual Config'!$D$11+('Control Mapping'!$AF$5:$AF$83=2)*'Residual Config'!$D$12+('Control Mapping'!$AF$5:$AF$83=3)*'Residual Config'!$D$13+('Control Mapping'!$AF$5:$AF$83=4)*'Residual Config'!$D$14))/SUMPRODUCT(('Control Mapping'!$C$5:$C$83=D508)*'Control Mapping'!$E$5:$E$83*('Control Mapping'!$AF$5:$AF$83&gt;0))))</f>
        <v>0.345454545454545</v>
      </c>
      <c r="P508" s="31" t="n">
        <f aca="false">IF(NOT(ISNUMBER($G508)),"",INDEX('Residual Config'!$B$19:$E$23,6-G508,M508))</f>
        <v>2</v>
      </c>
      <c r="Q508" s="29" t="n">
        <f aca="false">IF(NOT(ISNUMBER($G508)),"",MAX(1,F508*(1-O508)))</f>
        <v>1.33277922077922</v>
      </c>
      <c r="R508" s="31" t="n">
        <f aca="false">IF(NOT(ISNUMBER($G508)),"",MAX(MATCH(Q508,Config!$D$5:$D$9,1),G508-'Residual Config'!$C$6))</f>
        <v>1</v>
      </c>
      <c r="S508" s="34" t="n">
        <f aca="false">IF(NOT(ISNUMBER($G508)),"",IF('Residual Config'!$C$5="Numeric",R508,P508))</f>
        <v>2</v>
      </c>
      <c r="T508" s="7" t="str">
        <f aca="false">IF(G508="N/A","N/A",IF(S508="","No data",INDEX(Config!$B$5:$B$9,S508)))</f>
        <v>Medium-Low</v>
      </c>
      <c r="U508" s="32" t="n">
        <v>0</v>
      </c>
      <c r="V508" s="8"/>
      <c r="W508" s="33"/>
      <c r="X508" s="34" t="n">
        <f aca="false">IF(S508="","",IF(AND(W508="Y",U508&lt;&gt;0),MAX(1,MIN(5,S508+MAX(-Config!$C$27,MIN(Config!$C$27,U508)))),S508))</f>
        <v>2</v>
      </c>
      <c r="Y508" s="35" t="str">
        <f aca="false">IF(G508="N/A","N/A",IF(X508="","No data",INDEX(Config!$B$5:$B$9,X508)))</f>
        <v>Medium-Low</v>
      </c>
      <c r="Z508" s="7" t="str">
        <f aca="false">IF(U508=0,"None",IF(W508="Y","Applied","Pending HO approval"))</f>
        <v>None</v>
      </c>
      <c r="AA508" s="12" t="str">
        <f aca="false">INDEX('Risk Taxonomy'!$G$5:$G$24,MATCH(D508,'Risk Taxonomy'!$A$5:$A$24,0))</f>
        <v>Zero tolerance</v>
      </c>
      <c r="AB508" s="7" t="str">
        <f aca="false">INDEX('Risk Taxonomy'!$H$5:$H$24,MATCH(D508,'Risk Taxonomy'!$A$5:$A$24,0))</f>
        <v>Low</v>
      </c>
      <c r="AC508" s="35" t="str">
        <f aca="false">IF(NOT(ISNUMBER(X508)),"",IF(X508&lt;=MATCH(AB508,Config!$B$5:$B$9,0),"Within",IF(OR(X508-MATCH(AB508,Config!$B$5:$B$9,0)&gt;=2,AND('Residual Config'!$C$8="Y",ISNUMBER(SEARCH("Zero",AA508)))),"Red","Amber")))</f>
        <v>Amber</v>
      </c>
      <c r="AD508" s="12" t="str">
        <f aca="false">IF(AC508="Red","Group CCO / CRO and Country CEO within 2 business days; action plan in 15 days; report to Board Risk &amp; Compliance Committee",IF(AC508="Amber","Country CO, risk owner and HO Administrator within 5 business days; action plan in 30 days",""))</f>
        <v>Country CO, risk owner and HO Administrator within 5 business days; action plan in 30 days</v>
      </c>
    </row>
    <row r="509" customFormat="false" ht="15" hidden="false" customHeight="false" outlineLevel="0" collapsed="false">
      <c r="A509" s="26" t="str">
        <f aca="false">Entities!$A$30</f>
        <v>CH</v>
      </c>
      <c r="B509" s="12" t="str">
        <f aca="false">INDEX(Entities!$B$5:$B$34,MATCH(A509,Entities!$A$5:$A$34,0))</f>
        <v>Arab Bank (Switzerland) – sister company</v>
      </c>
      <c r="C509" s="12" t="str">
        <f aca="false">INDEX(Entities!$D$5:$D$34,MATCH(A509,Entities!$A$5:$A$34,0))</f>
        <v>Europe</v>
      </c>
      <c r="D509" s="12" t="s">
        <v>275</v>
      </c>
      <c r="E509" s="12" t="str">
        <f aca="false">INDEX('Risk Taxonomy'!$B$5:$B$24,MATCH(D509,'Risk Taxonomy'!$A$5:$A$24,0))</f>
        <v>Bribery and corruption</v>
      </c>
      <c r="F509" s="29" t="n">
        <f aca="false">IF(NOT(ISNUMBER(G509)),"",IFERROR(IF(MATCH(SUMIFS('FC Calculation'!$N$5:$N$214,'FC Calculation'!$A$5:$A$214,A509,'FC Calculation'!$D$5:$D$214,D509),Config!$D$5:$D$9,1)=G509,SUMIFS('FC Calculation'!$N$5:$N$214,'FC Calculation'!$A$5:$A$214,A509,'FC Calculation'!$D$5:$D$214,D509),G509),G509))</f>
        <v>2.26333333333333</v>
      </c>
      <c r="G509" s="34" t="n">
        <f aca="false">IF(COUNTIFS('FC Calculation'!$A$5:$A$214,A509,'FC Calculation'!$D$5:$D$214,D509,'FC Calculation'!$T$5:$T$214,"&gt;0")=0,"",SUMIFS('FC Calculation'!$T$5:$T$214,'FC Calculation'!$A$5:$A$214,A509,'FC Calculation'!$D$5:$D$214,D509))</f>
        <v>2</v>
      </c>
      <c r="H509" s="7" t="str">
        <f aca="false">IF(G509="N/A","N/A",IF(G509="","No data",INDEX(Config!$B$5:$B$9,G509)))</f>
        <v>Medium-Low</v>
      </c>
      <c r="I509" s="31" t="n">
        <f aca="false">IF(NOT(ISNUMBER($G509)),"",SUMPRODUCT(('Control Mapping'!$C$5:$C$83=D509)*('Control Mapping'!$AF$5:$AF$83&gt;0)))</f>
        <v>5</v>
      </c>
      <c r="J509" s="31" t="n">
        <f aca="false">IF(NOT(ISNUMBER($G509)),"",SUMPRODUCT(('Control Mapping'!$C$5:$C$83=D509)*('Control Mapping'!$F$5:$F$83="Y")*('Control Mapping'!$AF$5:$AF$83&gt;0)))</f>
        <v>2</v>
      </c>
      <c r="K509" s="31" t="n">
        <f aca="false">IF(NOT(ISNUMBER($G509)),"",SUMPRODUCT(('Control Mapping'!$C$5:$C$83=D509)*('Control Mapping'!$F$5:$F$83="Y")*('Control Mapping'!$AF$5:$AF$83=4)))</f>
        <v>0</v>
      </c>
      <c r="L509" s="29" t="n">
        <f aca="false">IF(NOT(ISNUMBER($G509)),"",IFERROR(SUMPRODUCT(('Control Mapping'!$C$5:$C$83=D509)*'Control Mapping'!$E$5:$E$83*'Control Mapping'!$AF$5:$AF$83)/SUMPRODUCT(('Control Mapping'!$C$5:$C$83=D509)*'Control Mapping'!$E$5:$E$83*('Control Mapping'!$AF$5:$AF$83&gt;0)),""))</f>
        <v>1.88888888888889</v>
      </c>
      <c r="M509" s="34" t="n">
        <f aca="false">IF(NOT(ISNUMBER($G509)),"",IF(J509=0,4,MAX(MATCH(L509,'Residual Config'!$E$11:$E$14,1),IF(K509&gt;0,'Residual Config'!$C$7,1))))</f>
        <v>2</v>
      </c>
      <c r="N509" s="7" t="str">
        <f aca="false">IF(NOT(ISNUMBER($G509)),"",IF(J509=0,"Ineffective (no key control)",INDEX('Residual Config'!$B$11:$B$14,M509)))</f>
        <v>Largely effective</v>
      </c>
      <c r="O509" s="36" t="n">
        <f aca="false">IF(NOT(ISNUMBER($G509)),"",IF(J509=0,0,SUMPRODUCT(('Control Mapping'!$C$5:$C$83=D509)*'Control Mapping'!$E$5:$E$83*(('Control Mapping'!$AF$5:$AF$83=1)*'Residual Config'!$D$11+('Control Mapping'!$AF$5:$AF$83=2)*'Residual Config'!$D$12+('Control Mapping'!$AF$5:$AF$83=3)*'Residual Config'!$D$13+('Control Mapping'!$AF$5:$AF$83=4)*'Residual Config'!$D$14))/SUMPRODUCT(('Control Mapping'!$C$5:$C$83=D509)*'Control Mapping'!$E$5:$E$83*('Control Mapping'!$AF$5:$AF$83&gt;0))))</f>
        <v>0.422222222222222</v>
      </c>
      <c r="P509" s="31" t="n">
        <f aca="false">IF(NOT(ISNUMBER($G509)),"",INDEX('Residual Config'!$B$19:$E$23,6-G509,M509))</f>
        <v>1</v>
      </c>
      <c r="Q509" s="29" t="n">
        <f aca="false">IF(NOT(ISNUMBER($G509)),"",MAX(1,F509*(1-O509)))</f>
        <v>1.3077037037037</v>
      </c>
      <c r="R509" s="31" t="n">
        <f aca="false">IF(NOT(ISNUMBER($G509)),"",MAX(MATCH(Q509,Config!$D$5:$D$9,1),G509-'Residual Config'!$C$6))</f>
        <v>1</v>
      </c>
      <c r="S509" s="34" t="n">
        <f aca="false">IF(NOT(ISNUMBER($G509)),"",IF('Residual Config'!$C$5="Numeric",R509,P509))</f>
        <v>1</v>
      </c>
      <c r="T509" s="7" t="str">
        <f aca="false">IF(G509="N/A","N/A",IF(S509="","No data",INDEX(Config!$B$5:$B$9,S509)))</f>
        <v>Low</v>
      </c>
      <c r="U509" s="32" t="n">
        <v>0</v>
      </c>
      <c r="V509" s="8"/>
      <c r="W509" s="33"/>
      <c r="X509" s="34" t="n">
        <f aca="false">IF(S509="","",IF(AND(W509="Y",U509&lt;&gt;0),MAX(1,MIN(5,S509+MAX(-Config!$C$27,MIN(Config!$C$27,U509)))),S509))</f>
        <v>1</v>
      </c>
      <c r="Y509" s="35" t="str">
        <f aca="false">IF(G509="N/A","N/A",IF(X509="","No data",INDEX(Config!$B$5:$B$9,X509)))</f>
        <v>Low</v>
      </c>
      <c r="Z509" s="7" t="str">
        <f aca="false">IF(U509=0,"None",IF(W509="Y","Applied","Pending HO approval"))</f>
        <v>None</v>
      </c>
      <c r="AA509" s="12" t="str">
        <f aca="false">INDEX('Risk Taxonomy'!$G$5:$G$24,MATCH(D509,'Risk Taxonomy'!$A$5:$A$24,0))</f>
        <v>Zero tolerance</v>
      </c>
      <c r="AB509" s="7" t="str">
        <f aca="false">INDEX('Risk Taxonomy'!$H$5:$H$24,MATCH(D509,'Risk Taxonomy'!$A$5:$A$24,0))</f>
        <v>Low</v>
      </c>
      <c r="AC509" s="35" t="str">
        <f aca="false">IF(NOT(ISNUMBER(X509)),"",IF(X509&lt;=MATCH(AB509,Config!$B$5:$B$9,0),"Within",IF(OR(X509-MATCH(AB509,Config!$B$5:$B$9,0)&gt;=2,AND('Residual Config'!$C$8="Y",ISNUMBER(SEARCH("Zero",AA509)))),"Red","Amber")))</f>
        <v>Within</v>
      </c>
      <c r="AD509" s="12" t="str">
        <f aca="false">IF(AC509="Red","Group CCO / CRO and Country CEO within 2 business days; action plan in 15 days; report to Board Risk &amp; Compliance Committee",IF(AC509="Amber","Country CO, risk owner and HO Administrator within 5 business days; action plan in 30 days",""))</f>
        <v/>
      </c>
    </row>
    <row r="510" customFormat="false" ht="15" hidden="false" customHeight="false" outlineLevel="0" collapsed="false">
      <c r="A510" s="26" t="str">
        <f aca="false">Entities!$A$30</f>
        <v>CH</v>
      </c>
      <c r="B510" s="12" t="str">
        <f aca="false">INDEX(Entities!$B$5:$B$34,MATCH(A510,Entities!$A$5:$A$34,0))</f>
        <v>Arab Bank (Switzerland) – sister company</v>
      </c>
      <c r="C510" s="12" t="str">
        <f aca="false">INDEX(Entities!$D$5:$D$34,MATCH(A510,Entities!$A$5:$A$34,0))</f>
        <v>Europe</v>
      </c>
      <c r="D510" s="12" t="s">
        <v>278</v>
      </c>
      <c r="E510" s="12" t="str">
        <f aca="false">INDEX('Risk Taxonomy'!$B$5:$B$24,MATCH(D510,'Risk Taxonomy'!$A$5:$A$24,0))</f>
        <v>Fraud</v>
      </c>
      <c r="F510" s="29" t="n">
        <f aca="false">IF(NOT(ISNUMBER(G510)),"",IFERROR(IF(MATCH(SUMIFS('FC Calculation'!$N$5:$N$214,'FC Calculation'!$A$5:$A$214,A510,'FC Calculation'!$D$5:$D$214,D510),Config!$D$5:$D$9,1)=G510,SUMIFS('FC Calculation'!$N$5:$N$214,'FC Calculation'!$A$5:$A$214,A510,'FC Calculation'!$D$5:$D$214,D510),G510),G510))</f>
        <v>1.94666666666667</v>
      </c>
      <c r="G510" s="34" t="n">
        <f aca="false">IF(COUNTIFS('FC Calculation'!$A$5:$A$214,A510,'FC Calculation'!$D$5:$D$214,D510,'FC Calculation'!$T$5:$T$214,"&gt;0")=0,"",SUMIFS('FC Calculation'!$T$5:$T$214,'FC Calculation'!$A$5:$A$214,A510,'FC Calculation'!$D$5:$D$214,D510))</f>
        <v>2</v>
      </c>
      <c r="H510" s="7" t="str">
        <f aca="false">IF(G510="N/A","N/A",IF(G510="","No data",INDEX(Config!$B$5:$B$9,G510)))</f>
        <v>Medium-Low</v>
      </c>
      <c r="I510" s="31" t="n">
        <f aca="false">IF(NOT(ISNUMBER($G510)),"",SUMPRODUCT(('Control Mapping'!$C$5:$C$83=D510)*('Control Mapping'!$AF$5:$AF$83&gt;0)))</f>
        <v>6</v>
      </c>
      <c r="J510" s="31" t="n">
        <f aca="false">IF(NOT(ISNUMBER($G510)),"",SUMPRODUCT(('Control Mapping'!$C$5:$C$83=D510)*('Control Mapping'!$F$5:$F$83="Y")*('Control Mapping'!$AF$5:$AF$83&gt;0)))</f>
        <v>5</v>
      </c>
      <c r="K510" s="31" t="n">
        <f aca="false">IF(NOT(ISNUMBER($G510)),"",SUMPRODUCT(('Control Mapping'!$C$5:$C$83=D510)*('Control Mapping'!$F$5:$F$83="Y")*('Control Mapping'!$AF$5:$AF$83=4)))</f>
        <v>0</v>
      </c>
      <c r="L510" s="29" t="n">
        <f aca="false">IF(NOT(ISNUMBER($G510)),"",IFERROR(SUMPRODUCT(('Control Mapping'!$C$5:$C$83=D510)*'Control Mapping'!$E$5:$E$83*'Control Mapping'!$AF$5:$AF$83)/SUMPRODUCT(('Control Mapping'!$C$5:$C$83=D510)*'Control Mapping'!$E$5:$E$83*('Control Mapping'!$AF$5:$AF$83&gt;0)),""))</f>
        <v>1.5</v>
      </c>
      <c r="M510" s="34" t="n">
        <f aca="false">IF(NOT(ISNUMBER($G510)),"",IF(J510=0,4,MAX(MATCH(L510,'Residual Config'!$E$11:$E$14,1),IF(K510&gt;0,'Residual Config'!$C$7,1))))</f>
        <v>2</v>
      </c>
      <c r="N510" s="7" t="str">
        <f aca="false">IF(NOT(ISNUMBER($G510)),"",IF(J510=0,"Ineffective (no key control)",INDEX('Residual Config'!$B$11:$B$14,M510)))</f>
        <v>Largely effective</v>
      </c>
      <c r="O510" s="36" t="n">
        <f aca="false">IF(NOT(ISNUMBER($G510)),"",IF(J510=0,0,SUMPRODUCT(('Control Mapping'!$C$5:$C$83=D510)*'Control Mapping'!$E$5:$E$83*(('Control Mapping'!$AF$5:$AF$83=1)*'Residual Config'!$D$11+('Control Mapping'!$AF$5:$AF$83=2)*'Residual Config'!$D$12+('Control Mapping'!$AF$5:$AF$83=3)*'Residual Config'!$D$13+('Control Mapping'!$AF$5:$AF$83=4)*'Residual Config'!$D$14))/SUMPRODUCT(('Control Mapping'!$C$5:$C$83=D510)*'Control Mapping'!$E$5:$E$83*('Control Mapping'!$AF$5:$AF$83&gt;0))))</f>
        <v>0.5</v>
      </c>
      <c r="P510" s="31" t="n">
        <f aca="false">IF(NOT(ISNUMBER($G510)),"",INDEX('Residual Config'!$B$19:$E$23,6-G510,M510))</f>
        <v>1</v>
      </c>
      <c r="Q510" s="29" t="n">
        <f aca="false">IF(NOT(ISNUMBER($G510)),"",MAX(1,F510*(1-O510)))</f>
        <v>1</v>
      </c>
      <c r="R510" s="31" t="n">
        <f aca="false">IF(NOT(ISNUMBER($G510)),"",MAX(MATCH(Q510,Config!$D$5:$D$9,1),G510-'Residual Config'!$C$6))</f>
        <v>1</v>
      </c>
      <c r="S510" s="34" t="n">
        <f aca="false">IF(NOT(ISNUMBER($G510)),"",IF('Residual Config'!$C$5="Numeric",R510,P510))</f>
        <v>1</v>
      </c>
      <c r="T510" s="7" t="str">
        <f aca="false">IF(G510="N/A","N/A",IF(S510="","No data",INDEX(Config!$B$5:$B$9,S510)))</f>
        <v>Low</v>
      </c>
      <c r="U510" s="32" t="n">
        <v>0</v>
      </c>
      <c r="V510" s="8"/>
      <c r="W510" s="33"/>
      <c r="X510" s="34" t="n">
        <f aca="false">IF(S510="","",IF(AND(W510="Y",U510&lt;&gt;0),MAX(1,MIN(5,S510+MAX(-Config!$C$27,MIN(Config!$C$27,U510)))),S510))</f>
        <v>1</v>
      </c>
      <c r="Y510" s="35" t="str">
        <f aca="false">IF(G510="N/A","N/A",IF(X510="","No data",INDEX(Config!$B$5:$B$9,X510)))</f>
        <v>Low</v>
      </c>
      <c r="Z510" s="7" t="str">
        <f aca="false">IF(U510=0,"None",IF(W510="Y","Applied","Pending HO approval"))</f>
        <v>None</v>
      </c>
      <c r="AA510" s="12" t="str">
        <f aca="false">INDEX('Risk Taxonomy'!$G$5:$G$24,MATCH(D510,'Risk Taxonomy'!$A$5:$A$24,0))</f>
        <v>Low</v>
      </c>
      <c r="AB510" s="7" t="str">
        <f aca="false">INDEX('Risk Taxonomy'!$H$5:$H$24,MATCH(D510,'Risk Taxonomy'!$A$5:$A$24,0))</f>
        <v>Medium</v>
      </c>
      <c r="AC510" s="35" t="str">
        <f aca="false">IF(NOT(ISNUMBER(X510)),"",IF(X510&lt;=MATCH(AB510,Config!$B$5:$B$9,0),"Within",IF(OR(X510-MATCH(AB510,Config!$B$5:$B$9,0)&gt;=2,AND('Residual Config'!$C$8="Y",ISNUMBER(SEARCH("Zero",AA510)))),"Red","Amber")))</f>
        <v>Within</v>
      </c>
      <c r="AD510" s="12" t="str">
        <f aca="false">IF(AC510="Red","Group CCO / CRO and Country CEO within 2 business days; action plan in 15 days; report to Board Risk &amp; Compliance Committee",IF(AC510="Amber","Country CO, risk owner and HO Administrator within 5 business days; action plan in 30 days",""))</f>
        <v/>
      </c>
    </row>
    <row r="511" customFormat="false" ht="15" hidden="false" customHeight="false" outlineLevel="0" collapsed="false">
      <c r="A511" s="26" t="str">
        <f aca="false">Entities!$A$30</f>
        <v>CH</v>
      </c>
      <c r="B511" s="12" t="str">
        <f aca="false">INDEX(Entities!$B$5:$B$34,MATCH(A511,Entities!$A$5:$A$34,0))</f>
        <v>Arab Bank (Switzerland) – sister company</v>
      </c>
      <c r="C511" s="12" t="str">
        <f aca="false">INDEX(Entities!$D$5:$D$34,MATCH(A511,Entities!$A$5:$A$34,0))</f>
        <v>Europe</v>
      </c>
      <c r="D511" s="12" t="s">
        <v>281</v>
      </c>
      <c r="E511" s="12" t="str">
        <f aca="false">INDEX('Risk Taxonomy'!$B$5:$B$24,MATCH(D511,'Risk Taxonomy'!$A$5:$A$24,0))</f>
        <v>Tax evasion and tax transparency</v>
      </c>
      <c r="F511" s="29" t="n">
        <f aca="false">IF(NOT(ISNUMBER(G511)),"",IFERROR(IF(MATCH(SUMIFS('FC Calculation'!$N$5:$N$214,'FC Calculation'!$A$5:$A$214,A511,'FC Calculation'!$D$5:$D$214,D511),Config!$D$5:$D$9,1)=G511,SUMIFS('FC Calculation'!$N$5:$N$214,'FC Calculation'!$A$5:$A$214,A511,'FC Calculation'!$D$5:$D$214,D511),G511),G511))</f>
        <v>2.11055555555556</v>
      </c>
      <c r="G511" s="34" t="n">
        <f aca="false">IF(COUNTIFS('FC Calculation'!$A$5:$A$214,A511,'FC Calculation'!$D$5:$D$214,D511,'FC Calculation'!$T$5:$T$214,"&gt;0")=0,"",SUMIFS('FC Calculation'!$T$5:$T$214,'FC Calculation'!$A$5:$A$214,A511,'FC Calculation'!$D$5:$D$214,D511))</f>
        <v>2</v>
      </c>
      <c r="H511" s="7" t="str">
        <f aca="false">IF(G511="N/A","N/A",IF(G511="","No data",INDEX(Config!$B$5:$B$9,G511)))</f>
        <v>Medium-Low</v>
      </c>
      <c r="I511" s="31" t="n">
        <f aca="false">IF(NOT(ISNUMBER($G511)),"",SUMPRODUCT(('Control Mapping'!$C$5:$C$83=D511)*('Control Mapping'!$AF$5:$AF$83&gt;0)))</f>
        <v>5</v>
      </c>
      <c r="J511" s="31" t="n">
        <f aca="false">IF(NOT(ISNUMBER($G511)),"",SUMPRODUCT(('Control Mapping'!$C$5:$C$83=D511)*('Control Mapping'!$F$5:$F$83="Y")*('Control Mapping'!$AF$5:$AF$83&gt;0)))</f>
        <v>4</v>
      </c>
      <c r="K511" s="31" t="n">
        <f aca="false">IF(NOT(ISNUMBER($G511)),"",SUMPRODUCT(('Control Mapping'!$C$5:$C$83=D511)*('Control Mapping'!$F$5:$F$83="Y")*('Control Mapping'!$AF$5:$AF$83=4)))</f>
        <v>0</v>
      </c>
      <c r="L511" s="29" t="n">
        <f aca="false">IF(NOT(ISNUMBER($G511)),"",IFERROR(SUMPRODUCT(('Control Mapping'!$C$5:$C$83=D511)*'Control Mapping'!$E$5:$E$83*'Control Mapping'!$AF$5:$AF$83)/SUMPRODUCT(('Control Mapping'!$C$5:$C$83=D511)*'Control Mapping'!$E$5:$E$83*('Control Mapping'!$AF$5:$AF$83&gt;0)),""))</f>
        <v>1.66666666666667</v>
      </c>
      <c r="M511" s="34" t="n">
        <f aca="false">IF(NOT(ISNUMBER($G511)),"",IF(J511=0,4,MAX(MATCH(L511,'Residual Config'!$E$11:$E$14,1),IF(K511&gt;0,'Residual Config'!$C$7,1))))</f>
        <v>2</v>
      </c>
      <c r="N511" s="7" t="str">
        <f aca="false">IF(NOT(ISNUMBER($G511)),"",IF(J511=0,"Ineffective (no key control)",INDEX('Residual Config'!$B$11:$B$14,M511)))</f>
        <v>Largely effective</v>
      </c>
      <c r="O511" s="36" t="n">
        <f aca="false">IF(NOT(ISNUMBER($G511)),"",IF(J511=0,0,SUMPRODUCT(('Control Mapping'!$C$5:$C$83=D511)*'Control Mapping'!$E$5:$E$83*(('Control Mapping'!$AF$5:$AF$83=1)*'Residual Config'!$D$11+('Control Mapping'!$AF$5:$AF$83=2)*'Residual Config'!$D$12+('Control Mapping'!$AF$5:$AF$83=3)*'Residual Config'!$D$13+('Control Mapping'!$AF$5:$AF$83=4)*'Residual Config'!$D$14))/SUMPRODUCT(('Control Mapping'!$C$5:$C$83=D511)*'Control Mapping'!$E$5:$E$83*('Control Mapping'!$AF$5:$AF$83&gt;0))))</f>
        <v>0.466666666666667</v>
      </c>
      <c r="P511" s="31" t="n">
        <f aca="false">IF(NOT(ISNUMBER($G511)),"",INDEX('Residual Config'!$B$19:$E$23,6-G511,M511))</f>
        <v>1</v>
      </c>
      <c r="Q511" s="29" t="n">
        <f aca="false">IF(NOT(ISNUMBER($G511)),"",MAX(1,F511*(1-O511)))</f>
        <v>1.12562962962963</v>
      </c>
      <c r="R511" s="31" t="n">
        <f aca="false">IF(NOT(ISNUMBER($G511)),"",MAX(MATCH(Q511,Config!$D$5:$D$9,1),G511-'Residual Config'!$C$6))</f>
        <v>1</v>
      </c>
      <c r="S511" s="34" t="n">
        <f aca="false">IF(NOT(ISNUMBER($G511)),"",IF('Residual Config'!$C$5="Numeric",R511,P511))</f>
        <v>1</v>
      </c>
      <c r="T511" s="7" t="str">
        <f aca="false">IF(G511="N/A","N/A",IF(S511="","No data",INDEX(Config!$B$5:$B$9,S511)))</f>
        <v>Low</v>
      </c>
      <c r="U511" s="32" t="n">
        <v>0</v>
      </c>
      <c r="V511" s="8"/>
      <c r="W511" s="33"/>
      <c r="X511" s="34" t="n">
        <f aca="false">IF(S511="","",IF(AND(W511="Y",U511&lt;&gt;0),MAX(1,MIN(5,S511+MAX(-Config!$C$27,MIN(Config!$C$27,U511)))),S511))</f>
        <v>1</v>
      </c>
      <c r="Y511" s="35" t="str">
        <f aca="false">IF(G511="N/A","N/A",IF(X511="","No data",INDEX(Config!$B$5:$B$9,X511)))</f>
        <v>Low</v>
      </c>
      <c r="Z511" s="7" t="str">
        <f aca="false">IF(U511=0,"None",IF(W511="Y","Applied","Pending HO approval"))</f>
        <v>None</v>
      </c>
      <c r="AA511" s="12" t="str">
        <f aca="false">INDEX('Risk Taxonomy'!$G$5:$G$24,MATCH(D511,'Risk Taxonomy'!$A$5:$A$24,0))</f>
        <v>Zero tolerance (facilitation)</v>
      </c>
      <c r="AB511" s="7" t="str">
        <f aca="false">INDEX('Risk Taxonomy'!$H$5:$H$24,MATCH(D511,'Risk Taxonomy'!$A$5:$A$24,0))</f>
        <v>Low</v>
      </c>
      <c r="AC511" s="35" t="str">
        <f aca="false">IF(NOT(ISNUMBER(X511)),"",IF(X511&lt;=MATCH(AB511,Config!$B$5:$B$9,0),"Within",IF(OR(X511-MATCH(AB511,Config!$B$5:$B$9,0)&gt;=2,AND('Residual Config'!$C$8="Y",ISNUMBER(SEARCH("Zero",AA511)))),"Red","Amber")))</f>
        <v>Within</v>
      </c>
      <c r="AD511" s="12" t="str">
        <f aca="false">IF(AC511="Red","Group CCO / CRO and Country CEO within 2 business days; action plan in 15 days; report to Board Risk &amp; Compliance Committee",IF(AC511="Amber","Country CO, risk owner and HO Administrator within 5 business days; action plan in 30 days",""))</f>
        <v/>
      </c>
    </row>
    <row r="512" customFormat="false" ht="15" hidden="false" customHeight="false" outlineLevel="0" collapsed="false">
      <c r="A512" s="26" t="str">
        <f aca="false">Entities!$A$30</f>
        <v>CH</v>
      </c>
      <c r="B512" s="12" t="str">
        <f aca="false">INDEX(Entities!$B$5:$B$34,MATCH(A512,Entities!$A$5:$A$34,0))</f>
        <v>Arab Bank (Switzerland) – sister company</v>
      </c>
      <c r="C512" s="12" t="str">
        <f aca="false">INDEX(Entities!$D$5:$D$34,MATCH(A512,Entities!$A$5:$A$34,0))</f>
        <v>Europe</v>
      </c>
      <c r="D512" s="12" t="s">
        <v>284</v>
      </c>
      <c r="E512" s="12" t="str">
        <f aca="false">INDEX('Risk Taxonomy'!$B$5:$B$24,MATCH(D512,'Risk Taxonomy'!$A$5:$A$24,0))</f>
        <v>Regulatory compliance</v>
      </c>
      <c r="F512" s="29" t="n">
        <f aca="false">IF(NOT(ISNUMBER(G512)),"",G512)</f>
        <v>3</v>
      </c>
      <c r="G512" s="34" t="n">
        <f aca="false">IF(COUNTIFS('LxI Assessment'!$A$5:$A$394,A512,'LxI Assessment'!$D$5:$D$394,D512,'LxI Assessment'!$F$5:$F$394,"N/A")&gt;0,"N/A",IF(COUNTIFS('LxI Assessment'!$A$5:$A$394,A512,'LxI Assessment'!$D$5:$D$394,D512,'LxI Assessment'!$S$5:$S$394,"&gt;0")=0,"",SUMIFS('LxI Assessment'!$S$5:$S$394,'LxI Assessment'!$A$5:$A$394,A512,'LxI Assessment'!$D$5:$D$394,D512)))</f>
        <v>3</v>
      </c>
      <c r="H512" s="7" t="str">
        <f aca="false">IF(G512="N/A","N/A",IF(G512="","No data",INDEX(Config!$B$5:$B$9,G512)))</f>
        <v>Medium</v>
      </c>
      <c r="I512" s="31" t="n">
        <f aca="false">IF(NOT(ISNUMBER($G512)),"",SUMPRODUCT(('Control Mapping'!$C$5:$C$83=D512)*('Control Mapping'!$AF$5:$AF$83&gt;0)))</f>
        <v>4</v>
      </c>
      <c r="J512" s="31" t="n">
        <f aca="false">IF(NOT(ISNUMBER($G512)),"",SUMPRODUCT(('Control Mapping'!$C$5:$C$83=D512)*('Control Mapping'!$F$5:$F$83="Y")*('Control Mapping'!$AF$5:$AF$83&gt;0)))</f>
        <v>3</v>
      </c>
      <c r="K512" s="31" t="n">
        <f aca="false">IF(NOT(ISNUMBER($G512)),"",SUMPRODUCT(('Control Mapping'!$C$5:$C$83=D512)*('Control Mapping'!$F$5:$F$83="Y")*('Control Mapping'!$AF$5:$AF$83=4)))</f>
        <v>0</v>
      </c>
      <c r="L512" s="29" t="n">
        <f aca="false">IF(NOT(ISNUMBER($G512)),"",IFERROR(SUMPRODUCT(('Control Mapping'!$C$5:$C$83=D512)*'Control Mapping'!$E$5:$E$83*'Control Mapping'!$AF$5:$AF$83)/SUMPRODUCT(('Control Mapping'!$C$5:$C$83=D512)*'Control Mapping'!$E$5:$E$83*('Control Mapping'!$AF$5:$AF$83&gt;0)),""))</f>
        <v>1.71428571428571</v>
      </c>
      <c r="M512" s="34" t="n">
        <f aca="false">IF(NOT(ISNUMBER($G512)),"",IF(J512=0,4,MAX(MATCH(L512,'Residual Config'!$E$11:$E$14,1),IF(K512&gt;0,'Residual Config'!$C$7,1))))</f>
        <v>2</v>
      </c>
      <c r="N512" s="7" t="str">
        <f aca="false">IF(NOT(ISNUMBER($G512)),"",IF(J512=0,"Ineffective (no key control)",INDEX('Residual Config'!$B$11:$B$14,M512)))</f>
        <v>Largely effective</v>
      </c>
      <c r="O512" s="36" t="n">
        <f aca="false">IF(NOT(ISNUMBER($G512)),"",IF(J512=0,0,SUMPRODUCT(('Control Mapping'!$C$5:$C$83=D512)*'Control Mapping'!$E$5:$E$83*(('Control Mapping'!$AF$5:$AF$83=1)*'Residual Config'!$D$11+('Control Mapping'!$AF$5:$AF$83=2)*'Residual Config'!$D$12+('Control Mapping'!$AF$5:$AF$83=3)*'Residual Config'!$D$13+('Control Mapping'!$AF$5:$AF$83=4)*'Residual Config'!$D$14))/SUMPRODUCT(('Control Mapping'!$C$5:$C$83=D512)*'Control Mapping'!$E$5:$E$83*('Control Mapping'!$AF$5:$AF$83&gt;0))))</f>
        <v>0.457142857142857</v>
      </c>
      <c r="P512" s="31" t="n">
        <f aca="false">IF(NOT(ISNUMBER($G512)),"",INDEX('Residual Config'!$B$19:$E$23,6-G512,M512))</f>
        <v>2</v>
      </c>
      <c r="Q512" s="29" t="n">
        <f aca="false">IF(NOT(ISNUMBER($G512)),"",MAX(1,F512*(1-O512)))</f>
        <v>1.62857142857143</v>
      </c>
      <c r="R512" s="31" t="n">
        <f aca="false">IF(NOT(ISNUMBER($G512)),"",MAX(MATCH(Q512,Config!$D$5:$D$9,1),G512-'Residual Config'!$C$6))</f>
        <v>1</v>
      </c>
      <c r="S512" s="34" t="n">
        <f aca="false">IF(NOT(ISNUMBER($G512)),"",IF('Residual Config'!$C$5="Numeric",R512,P512))</f>
        <v>2</v>
      </c>
      <c r="T512" s="7" t="str">
        <f aca="false">IF(G512="N/A","N/A",IF(S512="","No data",INDEX(Config!$B$5:$B$9,S512)))</f>
        <v>Medium-Low</v>
      </c>
      <c r="U512" s="32" t="n">
        <v>0</v>
      </c>
      <c r="V512" s="8"/>
      <c r="W512" s="33"/>
      <c r="X512" s="34" t="n">
        <f aca="false">IF(S512="","",IF(AND(W512="Y",U512&lt;&gt;0),MAX(1,MIN(5,S512+MAX(-Config!$C$27,MIN(Config!$C$27,U512)))),S512))</f>
        <v>2</v>
      </c>
      <c r="Y512" s="35" t="str">
        <f aca="false">IF(G512="N/A","N/A",IF(X512="","No data",INDEX(Config!$B$5:$B$9,X512)))</f>
        <v>Medium-Low</v>
      </c>
      <c r="Z512" s="7" t="str">
        <f aca="false">IF(U512=0,"None",IF(W512="Y","Applied","Pending HO approval"))</f>
        <v>None</v>
      </c>
      <c r="AA512" s="12" t="str">
        <f aca="false">INDEX('Risk Taxonomy'!$G$5:$G$24,MATCH(D512,'Risk Taxonomy'!$A$5:$A$24,0))</f>
        <v>Very low</v>
      </c>
      <c r="AB512" s="7" t="str">
        <f aca="false">INDEX('Risk Taxonomy'!$H$5:$H$24,MATCH(D512,'Risk Taxonomy'!$A$5:$A$24,0))</f>
        <v>Medium-Low</v>
      </c>
      <c r="AC512" s="35" t="str">
        <f aca="false">IF(NOT(ISNUMBER(X512)),"",IF(X512&lt;=MATCH(AB512,Config!$B$5:$B$9,0),"Within",IF(OR(X512-MATCH(AB512,Config!$B$5:$B$9,0)&gt;=2,AND('Residual Config'!$C$8="Y",ISNUMBER(SEARCH("Zero",AA512)))),"Red","Amber")))</f>
        <v>Within</v>
      </c>
      <c r="AD512" s="12" t="str">
        <f aca="false">IF(AC512="Red","Group CCO / CRO and Country CEO within 2 business days; action plan in 15 days; report to Board Risk &amp; Compliance Committee",IF(AC512="Amber","Country CO, risk owner and HO Administrator within 5 business days; action plan in 30 days",""))</f>
        <v/>
      </c>
    </row>
    <row r="513" customFormat="false" ht="15" hidden="false" customHeight="false" outlineLevel="0" collapsed="false">
      <c r="A513" s="26" t="str">
        <f aca="false">Entities!$A$30</f>
        <v>CH</v>
      </c>
      <c r="B513" s="12" t="str">
        <f aca="false">INDEX(Entities!$B$5:$B$34,MATCH(A513,Entities!$A$5:$A$34,0))</f>
        <v>Arab Bank (Switzerland) – sister company</v>
      </c>
      <c r="C513" s="12" t="str">
        <f aca="false">INDEX(Entities!$D$5:$D$34,MATCH(A513,Entities!$A$5:$A$34,0))</f>
        <v>Europe</v>
      </c>
      <c r="D513" s="12" t="s">
        <v>288</v>
      </c>
      <c r="E513" s="12" t="str">
        <f aca="false">INDEX('Risk Taxonomy'!$B$5:$B$24,MATCH(D513,'Risk Taxonomy'!$A$5:$A$24,0))</f>
        <v>Conduct and consumer protection</v>
      </c>
      <c r="F513" s="29" t="n">
        <f aca="false">IF(NOT(ISNUMBER(G513)),"",G513)</f>
        <v>2</v>
      </c>
      <c r="G513" s="34" t="n">
        <f aca="false">IF(COUNTIFS('LxI Assessment'!$A$5:$A$394,A513,'LxI Assessment'!$D$5:$D$394,D513,'LxI Assessment'!$F$5:$F$394,"N/A")&gt;0,"N/A",IF(COUNTIFS('LxI Assessment'!$A$5:$A$394,A513,'LxI Assessment'!$D$5:$D$394,D513,'LxI Assessment'!$S$5:$S$394,"&gt;0")=0,"",SUMIFS('LxI Assessment'!$S$5:$S$394,'LxI Assessment'!$A$5:$A$394,A513,'LxI Assessment'!$D$5:$D$394,D513)))</f>
        <v>2</v>
      </c>
      <c r="H513" s="7" t="str">
        <f aca="false">IF(G513="N/A","N/A",IF(G513="","No data",INDEX(Config!$B$5:$B$9,G513)))</f>
        <v>Medium-Low</v>
      </c>
      <c r="I513" s="31" t="n">
        <f aca="false">IF(NOT(ISNUMBER($G513)),"",SUMPRODUCT(('Control Mapping'!$C$5:$C$83=D513)*('Control Mapping'!$AF$5:$AF$83&gt;0)))</f>
        <v>2</v>
      </c>
      <c r="J513" s="31" t="n">
        <f aca="false">IF(NOT(ISNUMBER($G513)),"",SUMPRODUCT(('Control Mapping'!$C$5:$C$83=D513)*('Control Mapping'!$F$5:$F$83="Y")*('Control Mapping'!$AF$5:$AF$83&gt;0)))</f>
        <v>1</v>
      </c>
      <c r="K513" s="31" t="n">
        <f aca="false">IF(NOT(ISNUMBER($G513)),"",SUMPRODUCT(('Control Mapping'!$C$5:$C$83=D513)*('Control Mapping'!$F$5:$F$83="Y")*('Control Mapping'!$AF$5:$AF$83=4)))</f>
        <v>0</v>
      </c>
      <c r="L513" s="29" t="n">
        <f aca="false">IF(NOT(ISNUMBER($G513)),"",IFERROR(SUMPRODUCT(('Control Mapping'!$C$5:$C$83=D513)*'Control Mapping'!$E$5:$E$83*'Control Mapping'!$AF$5:$AF$83)/SUMPRODUCT(('Control Mapping'!$C$5:$C$83=D513)*'Control Mapping'!$E$5:$E$83*('Control Mapping'!$AF$5:$AF$83&gt;0)),""))</f>
        <v>1.4</v>
      </c>
      <c r="M513" s="34" t="n">
        <f aca="false">IF(NOT(ISNUMBER($G513)),"",IF(J513=0,4,MAX(MATCH(L513,'Residual Config'!$E$11:$E$14,1),IF(K513&gt;0,'Residual Config'!$C$7,1))))</f>
        <v>1</v>
      </c>
      <c r="N513" s="7" t="str">
        <f aca="false">IF(NOT(ISNUMBER($G513)),"",IF(J513=0,"Ineffective (no key control)",INDEX('Residual Config'!$B$11:$B$14,M513)))</f>
        <v>Effective</v>
      </c>
      <c r="O513" s="36" t="n">
        <f aca="false">IF(NOT(ISNUMBER($G513)),"",IF(J513=0,0,SUMPRODUCT(('Control Mapping'!$C$5:$C$83=D513)*'Control Mapping'!$E$5:$E$83*(('Control Mapping'!$AF$5:$AF$83=1)*'Residual Config'!$D$11+('Control Mapping'!$AF$5:$AF$83=2)*'Residual Config'!$D$12+('Control Mapping'!$AF$5:$AF$83=3)*'Residual Config'!$D$13+('Control Mapping'!$AF$5:$AF$83=4)*'Residual Config'!$D$14))/SUMPRODUCT(('Control Mapping'!$C$5:$C$83=D513)*'Control Mapping'!$E$5:$E$83*('Control Mapping'!$AF$5:$AF$83&gt;0))))</f>
        <v>0.52</v>
      </c>
      <c r="P513" s="31" t="n">
        <f aca="false">IF(NOT(ISNUMBER($G513)),"",INDEX('Residual Config'!$B$19:$E$23,6-G513,M513))</f>
        <v>1</v>
      </c>
      <c r="Q513" s="29" t="n">
        <f aca="false">IF(NOT(ISNUMBER($G513)),"",MAX(1,F513*(1-O513)))</f>
        <v>1</v>
      </c>
      <c r="R513" s="31" t="n">
        <f aca="false">IF(NOT(ISNUMBER($G513)),"",MAX(MATCH(Q513,Config!$D$5:$D$9,1),G513-'Residual Config'!$C$6))</f>
        <v>1</v>
      </c>
      <c r="S513" s="34" t="n">
        <f aca="false">IF(NOT(ISNUMBER($G513)),"",IF('Residual Config'!$C$5="Numeric",R513,P513))</f>
        <v>1</v>
      </c>
      <c r="T513" s="7" t="str">
        <f aca="false">IF(G513="N/A","N/A",IF(S513="","No data",INDEX(Config!$B$5:$B$9,S513)))</f>
        <v>Low</v>
      </c>
      <c r="U513" s="32" t="n">
        <v>0</v>
      </c>
      <c r="V513" s="8"/>
      <c r="W513" s="33"/>
      <c r="X513" s="34" t="n">
        <f aca="false">IF(S513="","",IF(AND(W513="Y",U513&lt;&gt;0),MAX(1,MIN(5,S513+MAX(-Config!$C$27,MIN(Config!$C$27,U513)))),S513))</f>
        <v>1</v>
      </c>
      <c r="Y513" s="35" t="str">
        <f aca="false">IF(G513="N/A","N/A",IF(X513="","No data",INDEX(Config!$B$5:$B$9,X513)))</f>
        <v>Low</v>
      </c>
      <c r="Z513" s="7" t="str">
        <f aca="false">IF(U513=0,"None",IF(W513="Y","Applied","Pending HO approval"))</f>
        <v>None</v>
      </c>
      <c r="AA513" s="12" t="str">
        <f aca="false">INDEX('Risk Taxonomy'!$G$5:$G$24,MATCH(D513,'Risk Taxonomy'!$A$5:$A$24,0))</f>
        <v>Low</v>
      </c>
      <c r="AB513" s="7" t="str">
        <f aca="false">INDEX('Risk Taxonomy'!$H$5:$H$24,MATCH(D513,'Risk Taxonomy'!$A$5:$A$24,0))</f>
        <v>Medium</v>
      </c>
      <c r="AC513" s="35" t="str">
        <f aca="false">IF(NOT(ISNUMBER(X513)),"",IF(X513&lt;=MATCH(AB513,Config!$B$5:$B$9,0),"Within",IF(OR(X513-MATCH(AB513,Config!$B$5:$B$9,0)&gt;=2,AND('Residual Config'!$C$8="Y",ISNUMBER(SEARCH("Zero",AA513)))),"Red","Amber")))</f>
        <v>Within</v>
      </c>
      <c r="AD513" s="12" t="str">
        <f aca="false">IF(AC513="Red","Group CCO / CRO and Country CEO within 2 business days; action plan in 15 days; report to Board Risk &amp; Compliance Committee",IF(AC513="Amber","Country CO, risk owner and HO Administrator within 5 business days; action plan in 30 days",""))</f>
        <v/>
      </c>
    </row>
    <row r="514" customFormat="false" ht="15" hidden="false" customHeight="false" outlineLevel="0" collapsed="false">
      <c r="A514" s="26" t="str">
        <f aca="false">Entities!$A$30</f>
        <v>CH</v>
      </c>
      <c r="B514" s="12" t="str">
        <f aca="false">INDEX(Entities!$B$5:$B$34,MATCH(A514,Entities!$A$5:$A$34,0))</f>
        <v>Arab Bank (Switzerland) – sister company</v>
      </c>
      <c r="C514" s="12" t="str">
        <f aca="false">INDEX(Entities!$D$5:$D$34,MATCH(A514,Entities!$A$5:$A$34,0))</f>
        <v>Europe</v>
      </c>
      <c r="D514" s="12" t="s">
        <v>290</v>
      </c>
      <c r="E514" s="12" t="str">
        <f aca="false">INDEX('Risk Taxonomy'!$B$5:$B$24,MATCH(D514,'Risk Taxonomy'!$A$5:$A$24,0))</f>
        <v>Data protection and privacy</v>
      </c>
      <c r="F514" s="29" t="n">
        <f aca="false">IF(NOT(ISNUMBER(G514)),"",G514)</f>
        <v>1</v>
      </c>
      <c r="G514" s="34" t="n">
        <f aca="false">IF(COUNTIFS('LxI Assessment'!$A$5:$A$394,A514,'LxI Assessment'!$D$5:$D$394,D514,'LxI Assessment'!$F$5:$F$394,"N/A")&gt;0,"N/A",IF(COUNTIFS('LxI Assessment'!$A$5:$A$394,A514,'LxI Assessment'!$D$5:$D$394,D514,'LxI Assessment'!$S$5:$S$394,"&gt;0")=0,"",SUMIFS('LxI Assessment'!$S$5:$S$394,'LxI Assessment'!$A$5:$A$394,A514,'LxI Assessment'!$D$5:$D$394,D514)))</f>
        <v>1</v>
      </c>
      <c r="H514" s="7" t="str">
        <f aca="false">IF(G514="N/A","N/A",IF(G514="","No data",INDEX(Config!$B$5:$B$9,G514)))</f>
        <v>Low</v>
      </c>
      <c r="I514" s="31" t="n">
        <f aca="false">IF(NOT(ISNUMBER($G514)),"",SUMPRODUCT(('Control Mapping'!$C$5:$C$83=D514)*('Control Mapping'!$AF$5:$AF$83&gt;0)))</f>
        <v>2</v>
      </c>
      <c r="J514" s="31" t="n">
        <f aca="false">IF(NOT(ISNUMBER($G514)),"",SUMPRODUCT(('Control Mapping'!$C$5:$C$83=D514)*('Control Mapping'!$F$5:$F$83="Y")*('Control Mapping'!$AF$5:$AF$83&gt;0)))</f>
        <v>2</v>
      </c>
      <c r="K514" s="31" t="n">
        <f aca="false">IF(NOT(ISNUMBER($G514)),"",SUMPRODUCT(('Control Mapping'!$C$5:$C$83=D514)*('Control Mapping'!$F$5:$F$83="Y")*('Control Mapping'!$AF$5:$AF$83=4)))</f>
        <v>0</v>
      </c>
      <c r="L514" s="29" t="n">
        <f aca="false">IF(NOT(ISNUMBER($G514)),"",IFERROR(SUMPRODUCT(('Control Mapping'!$C$5:$C$83=D514)*'Control Mapping'!$E$5:$E$83*'Control Mapping'!$AF$5:$AF$83)/SUMPRODUCT(('Control Mapping'!$C$5:$C$83=D514)*'Control Mapping'!$E$5:$E$83*('Control Mapping'!$AF$5:$AF$83&gt;0)),""))</f>
        <v>1.5</v>
      </c>
      <c r="M514" s="34" t="n">
        <f aca="false">IF(NOT(ISNUMBER($G514)),"",IF(J514=0,4,MAX(MATCH(L514,'Residual Config'!$E$11:$E$14,1),IF(K514&gt;0,'Residual Config'!$C$7,1))))</f>
        <v>2</v>
      </c>
      <c r="N514" s="7" t="str">
        <f aca="false">IF(NOT(ISNUMBER($G514)),"",IF(J514=0,"Ineffective (no key control)",INDEX('Residual Config'!$B$11:$B$14,M514)))</f>
        <v>Largely effective</v>
      </c>
      <c r="O514" s="36" t="n">
        <f aca="false">IF(NOT(ISNUMBER($G514)),"",IF(J514=0,0,SUMPRODUCT(('Control Mapping'!$C$5:$C$83=D514)*'Control Mapping'!$E$5:$E$83*(('Control Mapping'!$AF$5:$AF$83=1)*'Residual Config'!$D$11+('Control Mapping'!$AF$5:$AF$83=2)*'Residual Config'!$D$12+('Control Mapping'!$AF$5:$AF$83=3)*'Residual Config'!$D$13+('Control Mapping'!$AF$5:$AF$83=4)*'Residual Config'!$D$14))/SUMPRODUCT(('Control Mapping'!$C$5:$C$83=D514)*'Control Mapping'!$E$5:$E$83*('Control Mapping'!$AF$5:$AF$83&gt;0))))</f>
        <v>0.5</v>
      </c>
      <c r="P514" s="31" t="n">
        <f aca="false">IF(NOT(ISNUMBER($G514)),"",INDEX('Residual Config'!$B$19:$E$23,6-G514,M514))</f>
        <v>1</v>
      </c>
      <c r="Q514" s="29" t="n">
        <f aca="false">IF(NOT(ISNUMBER($G514)),"",MAX(1,F514*(1-O514)))</f>
        <v>1</v>
      </c>
      <c r="R514" s="31" t="n">
        <f aca="false">IF(NOT(ISNUMBER($G514)),"",MAX(MATCH(Q514,Config!$D$5:$D$9,1),G514-'Residual Config'!$C$6))</f>
        <v>1</v>
      </c>
      <c r="S514" s="34" t="n">
        <f aca="false">IF(NOT(ISNUMBER($G514)),"",IF('Residual Config'!$C$5="Numeric",R514,P514))</f>
        <v>1</v>
      </c>
      <c r="T514" s="7" t="str">
        <f aca="false">IF(G514="N/A","N/A",IF(S514="","No data",INDEX(Config!$B$5:$B$9,S514)))</f>
        <v>Low</v>
      </c>
      <c r="U514" s="32" t="n">
        <v>0</v>
      </c>
      <c r="V514" s="8"/>
      <c r="W514" s="33"/>
      <c r="X514" s="34" t="n">
        <f aca="false">IF(S514="","",IF(AND(W514="Y",U514&lt;&gt;0),MAX(1,MIN(5,S514+MAX(-Config!$C$27,MIN(Config!$C$27,U514)))),S514))</f>
        <v>1</v>
      </c>
      <c r="Y514" s="35" t="str">
        <f aca="false">IF(G514="N/A","N/A",IF(X514="","No data",INDEX(Config!$B$5:$B$9,X514)))</f>
        <v>Low</v>
      </c>
      <c r="Z514" s="7" t="str">
        <f aca="false">IF(U514=0,"None",IF(W514="Y","Applied","Pending HO approval"))</f>
        <v>None</v>
      </c>
      <c r="AA514" s="12" t="str">
        <f aca="false">INDEX('Risk Taxonomy'!$G$5:$G$24,MATCH(D514,'Risk Taxonomy'!$A$5:$A$24,0))</f>
        <v>Very low</v>
      </c>
      <c r="AB514" s="7" t="str">
        <f aca="false">INDEX('Risk Taxonomy'!$H$5:$H$24,MATCH(D514,'Risk Taxonomy'!$A$5:$A$24,0))</f>
        <v>Medium-Low</v>
      </c>
      <c r="AC514" s="35" t="str">
        <f aca="false">IF(NOT(ISNUMBER(X514)),"",IF(X514&lt;=MATCH(AB514,Config!$B$5:$B$9,0),"Within",IF(OR(X514-MATCH(AB514,Config!$B$5:$B$9,0)&gt;=2,AND('Residual Config'!$C$8="Y",ISNUMBER(SEARCH("Zero",AA514)))),"Red","Amber")))</f>
        <v>Within</v>
      </c>
      <c r="AD514" s="12" t="str">
        <f aca="false">IF(AC514="Red","Group CCO / CRO and Country CEO within 2 business days; action plan in 15 days; report to Board Risk &amp; Compliance Committee",IF(AC514="Amber","Country CO, risk owner and HO Administrator within 5 business days; action plan in 30 days",""))</f>
        <v/>
      </c>
    </row>
    <row r="515" customFormat="false" ht="15" hidden="false" customHeight="false" outlineLevel="0" collapsed="false">
      <c r="A515" s="26" t="str">
        <f aca="false">Entities!$A$30</f>
        <v>CH</v>
      </c>
      <c r="B515" s="12" t="str">
        <f aca="false">INDEX(Entities!$B$5:$B$34,MATCH(A515,Entities!$A$5:$A$34,0))</f>
        <v>Arab Bank (Switzerland) – sister company</v>
      </c>
      <c r="C515" s="12" t="str">
        <f aca="false">INDEX(Entities!$D$5:$D$34,MATCH(A515,Entities!$A$5:$A$34,0))</f>
        <v>Europe</v>
      </c>
      <c r="D515" s="12" t="s">
        <v>293</v>
      </c>
      <c r="E515" s="12" t="str">
        <f aca="false">INDEX('Risk Taxonomy'!$B$5:$B$24,MATCH(D515,'Risk Taxonomy'!$A$5:$A$24,0))</f>
        <v>Shariah non-compliance</v>
      </c>
      <c r="F515" s="29" t="str">
        <f aca="false">IF(NOT(ISNUMBER(G515)),"",G515)</f>
        <v/>
      </c>
      <c r="G515" s="34" t="str">
        <f aca="false">IF(COUNTIFS('LxI Assessment'!$A$5:$A$394,A515,'LxI Assessment'!$D$5:$D$394,D515,'LxI Assessment'!$F$5:$F$394,"N/A")&gt;0,"N/A",IF(COUNTIFS('LxI Assessment'!$A$5:$A$394,A515,'LxI Assessment'!$D$5:$D$394,D515,'LxI Assessment'!$S$5:$S$394,"&gt;0")=0,"",SUMIFS('LxI Assessment'!$S$5:$S$394,'LxI Assessment'!$A$5:$A$394,A515,'LxI Assessment'!$D$5:$D$394,D515)))</f>
        <v>N/A</v>
      </c>
      <c r="H515" s="7" t="str">
        <f aca="false">IF(G515="N/A","N/A",IF(G515="","No data",INDEX(Config!$B$5:$B$9,G515)))</f>
        <v>N/A</v>
      </c>
      <c r="I515" s="31" t="str">
        <f aca="false">IF(NOT(ISNUMBER($G515)),"",SUMPRODUCT(('Control Mapping'!$C$5:$C$83=D515)*('Control Mapping'!$AF$5:$AF$83&gt;0)))</f>
        <v/>
      </c>
      <c r="J515" s="31" t="str">
        <f aca="false">IF(NOT(ISNUMBER($G515)),"",SUMPRODUCT(('Control Mapping'!$C$5:$C$83=D515)*('Control Mapping'!$F$5:$F$83="Y")*('Control Mapping'!$AF$5:$AF$83&gt;0)))</f>
        <v/>
      </c>
      <c r="K515" s="31" t="str">
        <f aca="false">IF(NOT(ISNUMBER($G515)),"",SUMPRODUCT(('Control Mapping'!$C$5:$C$83=D515)*('Control Mapping'!$F$5:$F$83="Y")*('Control Mapping'!$AF$5:$AF$83=4)))</f>
        <v/>
      </c>
      <c r="L515" s="29" t="str">
        <f aca="false">IF(NOT(ISNUMBER($G515)),"",IFERROR(SUMPRODUCT(('Control Mapping'!$C$5:$C$83=D515)*'Control Mapping'!$E$5:$E$83*'Control Mapping'!$AF$5:$AF$83)/SUMPRODUCT(('Control Mapping'!$C$5:$C$83=D515)*'Control Mapping'!$E$5:$E$83*('Control Mapping'!$AF$5:$AF$83&gt;0)),""))</f>
        <v/>
      </c>
      <c r="M515" s="34" t="str">
        <f aca="false">IF(NOT(ISNUMBER($G515)),"",IF(J515=0,4,MAX(MATCH(L515,'Residual Config'!$E$11:$E$14,1),IF(K515&gt;0,'Residual Config'!$C$7,1))))</f>
        <v/>
      </c>
      <c r="N515" s="7" t="str">
        <f aca="false">IF(NOT(ISNUMBER($G515)),"",IF(J515=0,"Ineffective (no key control)",INDEX('Residual Config'!$B$11:$B$14,M515)))</f>
        <v/>
      </c>
      <c r="O515" s="36" t="str">
        <f aca="false">IF(NOT(ISNUMBER($G515)),"",IF(J515=0,0,SUMPRODUCT(('Control Mapping'!$C$5:$C$83=D515)*'Control Mapping'!$E$5:$E$83*(('Control Mapping'!$AF$5:$AF$83=1)*'Residual Config'!$D$11+('Control Mapping'!$AF$5:$AF$83=2)*'Residual Config'!$D$12+('Control Mapping'!$AF$5:$AF$83=3)*'Residual Config'!$D$13+('Control Mapping'!$AF$5:$AF$83=4)*'Residual Config'!$D$14))/SUMPRODUCT(('Control Mapping'!$C$5:$C$83=D515)*'Control Mapping'!$E$5:$E$83*('Control Mapping'!$AF$5:$AF$83&gt;0))))</f>
        <v/>
      </c>
      <c r="P515" s="31" t="str">
        <f aca="false">IF(NOT(ISNUMBER($G515)),"",INDEX('Residual Config'!$B$19:$E$23,6-G515,M515))</f>
        <v/>
      </c>
      <c r="Q515" s="29" t="str">
        <f aca="false">IF(NOT(ISNUMBER($G515)),"",MAX(1,F515*(1-O515)))</f>
        <v/>
      </c>
      <c r="R515" s="31" t="str">
        <f aca="false">IF(NOT(ISNUMBER($G515)),"",MAX(MATCH(Q515,Config!$D$5:$D$9,1),G515-'Residual Config'!$C$6))</f>
        <v/>
      </c>
      <c r="S515" s="34" t="str">
        <f aca="false">IF(NOT(ISNUMBER($G515)),"",IF('Residual Config'!$C$5="Numeric",R515,P515))</f>
        <v/>
      </c>
      <c r="T515" s="7" t="str">
        <f aca="false">IF(G515="N/A","N/A",IF(S515="","No data",INDEX(Config!$B$5:$B$9,S515)))</f>
        <v>N/A</v>
      </c>
      <c r="U515" s="32" t="n">
        <v>0</v>
      </c>
      <c r="V515" s="8"/>
      <c r="W515" s="33"/>
      <c r="X515" s="34" t="str">
        <f aca="false">IF(S515="","",IF(AND(W515="Y",U515&lt;&gt;0),MAX(1,MIN(5,S515+MAX(-Config!$C$27,MIN(Config!$C$27,U515)))),S515))</f>
        <v/>
      </c>
      <c r="Y515" s="35" t="str">
        <f aca="false">IF(G515="N/A","N/A",IF(X515="","No data",INDEX(Config!$B$5:$B$9,X515)))</f>
        <v>N/A</v>
      </c>
      <c r="Z515" s="7" t="str">
        <f aca="false">IF(U515=0,"None",IF(W515="Y","Applied","Pending HO approval"))</f>
        <v>None</v>
      </c>
      <c r="AA515" s="12" t="str">
        <f aca="false">INDEX('Risk Taxonomy'!$G$5:$G$24,MATCH(D515,'Risk Taxonomy'!$A$5:$A$24,0))</f>
        <v>Very low</v>
      </c>
      <c r="AB515" s="7" t="str">
        <f aca="false">INDEX('Risk Taxonomy'!$H$5:$H$24,MATCH(D515,'Risk Taxonomy'!$A$5:$A$24,0))</f>
        <v>Medium-Low</v>
      </c>
      <c r="AC515" s="35" t="str">
        <f aca="false">IF(NOT(ISNUMBER(X515)),"",IF(X515&lt;=MATCH(AB515,Config!$B$5:$B$9,0),"Within",IF(OR(X515-MATCH(AB515,Config!$B$5:$B$9,0)&gt;=2,AND('Residual Config'!$C$8="Y",ISNUMBER(SEARCH("Zero",AA515)))),"Red","Amber")))</f>
        <v/>
      </c>
      <c r="AD515" s="12" t="str">
        <f aca="false">IF(AC515="Red","Group CCO / CRO and Country CEO within 2 business days; action plan in 15 days; report to Board Risk &amp; Compliance Committee",IF(AC515="Amber","Country CO, risk owner and HO Administrator within 5 business days; action plan in 30 days",""))</f>
        <v/>
      </c>
    </row>
    <row r="516" customFormat="false" ht="15" hidden="false" customHeight="false" outlineLevel="0" collapsed="false">
      <c r="A516" s="26" t="str">
        <f aca="false">Entities!$A$30</f>
        <v>CH</v>
      </c>
      <c r="B516" s="12" t="str">
        <f aca="false">INDEX(Entities!$B$5:$B$34,MATCH(A516,Entities!$A$5:$A$34,0))</f>
        <v>Arab Bank (Switzerland) – sister company</v>
      </c>
      <c r="C516" s="12" t="str">
        <f aca="false">INDEX(Entities!$D$5:$D$34,MATCH(A516,Entities!$A$5:$A$34,0))</f>
        <v>Europe</v>
      </c>
      <c r="D516" s="12" t="s">
        <v>297</v>
      </c>
      <c r="E516" s="12" t="str">
        <f aca="false">INDEX('Risk Taxonomy'!$B$5:$B$24,MATCH(D516,'Risk Taxonomy'!$A$5:$A$24,0))</f>
        <v>Credit risk</v>
      </c>
      <c r="F516" s="29" t="n">
        <f aca="false">IF(NOT(ISNUMBER(G516)),"",G516)</f>
        <v>3</v>
      </c>
      <c r="G516" s="34" t="n">
        <f aca="false">IF(COUNTIFS('LxI Assessment'!$A$5:$A$394,A516,'LxI Assessment'!$D$5:$D$394,D516,'LxI Assessment'!$F$5:$F$394,"N/A")&gt;0,"N/A",IF(COUNTIFS('LxI Assessment'!$A$5:$A$394,A516,'LxI Assessment'!$D$5:$D$394,D516,'LxI Assessment'!$S$5:$S$394,"&gt;0")=0,"",SUMIFS('LxI Assessment'!$S$5:$S$394,'LxI Assessment'!$A$5:$A$394,A516,'LxI Assessment'!$D$5:$D$394,D516)))</f>
        <v>3</v>
      </c>
      <c r="H516" s="7" t="str">
        <f aca="false">IF(G516="N/A","N/A",IF(G516="","No data",INDEX(Config!$B$5:$B$9,G516)))</f>
        <v>Medium</v>
      </c>
      <c r="I516" s="31" t="n">
        <f aca="false">IF(NOT(ISNUMBER($G516)),"",SUMPRODUCT(('Control Mapping'!$C$5:$C$83=D516)*('Control Mapping'!$AF$5:$AF$83&gt;0)))</f>
        <v>2</v>
      </c>
      <c r="J516" s="31" t="n">
        <f aca="false">IF(NOT(ISNUMBER($G516)),"",SUMPRODUCT(('Control Mapping'!$C$5:$C$83=D516)*('Control Mapping'!$F$5:$F$83="Y")*('Control Mapping'!$AF$5:$AF$83&gt;0)))</f>
        <v>1</v>
      </c>
      <c r="K516" s="31" t="n">
        <f aca="false">IF(NOT(ISNUMBER($G516)),"",SUMPRODUCT(('Control Mapping'!$C$5:$C$83=D516)*('Control Mapping'!$F$5:$F$83="Y")*('Control Mapping'!$AF$5:$AF$83=4)))</f>
        <v>0</v>
      </c>
      <c r="L516" s="29" t="n">
        <f aca="false">IF(NOT(ISNUMBER($G516)),"",IFERROR(SUMPRODUCT(('Control Mapping'!$C$5:$C$83=D516)*'Control Mapping'!$E$5:$E$83*'Control Mapping'!$AF$5:$AF$83)/SUMPRODUCT(('Control Mapping'!$C$5:$C$83=D516)*'Control Mapping'!$E$5:$E$83*('Control Mapping'!$AF$5:$AF$83&gt;0)),""))</f>
        <v>1</v>
      </c>
      <c r="M516" s="34" t="n">
        <f aca="false">IF(NOT(ISNUMBER($G516)),"",IF(J516=0,4,MAX(MATCH(L516,'Residual Config'!$E$11:$E$14,1),IF(K516&gt;0,'Residual Config'!$C$7,1))))</f>
        <v>1</v>
      </c>
      <c r="N516" s="7" t="str">
        <f aca="false">IF(NOT(ISNUMBER($G516)),"",IF(J516=0,"Ineffective (no key control)",INDEX('Residual Config'!$B$11:$B$14,M516)))</f>
        <v>Effective</v>
      </c>
      <c r="O516" s="36" t="n">
        <f aca="false">IF(NOT(ISNUMBER($G516)),"",IF(J516=0,0,SUMPRODUCT(('Control Mapping'!$C$5:$C$83=D516)*'Control Mapping'!$E$5:$E$83*(('Control Mapping'!$AF$5:$AF$83=1)*'Residual Config'!$D$11+('Control Mapping'!$AF$5:$AF$83=2)*'Residual Config'!$D$12+('Control Mapping'!$AF$5:$AF$83=3)*'Residual Config'!$D$13+('Control Mapping'!$AF$5:$AF$83=4)*'Residual Config'!$D$14))/SUMPRODUCT(('Control Mapping'!$C$5:$C$83=D516)*'Control Mapping'!$E$5:$E$83*('Control Mapping'!$AF$5:$AF$83&gt;0))))</f>
        <v>0.6</v>
      </c>
      <c r="P516" s="31" t="n">
        <f aca="false">IF(NOT(ISNUMBER($G516)),"",INDEX('Residual Config'!$B$19:$E$23,6-G516,M516))</f>
        <v>1</v>
      </c>
      <c r="Q516" s="29" t="n">
        <f aca="false">IF(NOT(ISNUMBER($G516)),"",MAX(1,F516*(1-O516)))</f>
        <v>1.2</v>
      </c>
      <c r="R516" s="31" t="n">
        <f aca="false">IF(NOT(ISNUMBER($G516)),"",MAX(MATCH(Q516,Config!$D$5:$D$9,1),G516-'Residual Config'!$C$6))</f>
        <v>1</v>
      </c>
      <c r="S516" s="34" t="n">
        <f aca="false">IF(NOT(ISNUMBER($G516)),"",IF('Residual Config'!$C$5="Numeric",R516,P516))</f>
        <v>1</v>
      </c>
      <c r="T516" s="7" t="str">
        <f aca="false">IF(G516="N/A","N/A",IF(S516="","No data",INDEX(Config!$B$5:$B$9,S516)))</f>
        <v>Low</v>
      </c>
      <c r="U516" s="32" t="n">
        <v>0</v>
      </c>
      <c r="V516" s="8"/>
      <c r="W516" s="33"/>
      <c r="X516" s="34" t="n">
        <f aca="false">IF(S516="","",IF(AND(W516="Y",U516&lt;&gt;0),MAX(1,MIN(5,S516+MAX(-Config!$C$27,MIN(Config!$C$27,U516)))),S516))</f>
        <v>1</v>
      </c>
      <c r="Y516" s="35" t="str">
        <f aca="false">IF(G516="N/A","N/A",IF(X516="","No data",INDEX(Config!$B$5:$B$9,X516)))</f>
        <v>Low</v>
      </c>
      <c r="Z516" s="7" t="str">
        <f aca="false">IF(U516=0,"None",IF(W516="Y","Applied","Pending HO approval"))</f>
        <v>None</v>
      </c>
      <c r="AA516" s="12" t="str">
        <f aca="false">INDEX('Risk Taxonomy'!$G$5:$G$24,MATCH(D516,'Risk Taxonomy'!$A$5:$A$24,0))</f>
        <v>Moderate</v>
      </c>
      <c r="AB516" s="7" t="str">
        <f aca="false">INDEX('Risk Taxonomy'!$H$5:$H$24,MATCH(D516,'Risk Taxonomy'!$A$5:$A$24,0))</f>
        <v>Medium-High</v>
      </c>
      <c r="AC516" s="35" t="str">
        <f aca="false">IF(NOT(ISNUMBER(X516)),"",IF(X516&lt;=MATCH(AB516,Config!$B$5:$B$9,0),"Within",IF(OR(X516-MATCH(AB516,Config!$B$5:$B$9,0)&gt;=2,AND('Residual Config'!$C$8="Y",ISNUMBER(SEARCH("Zero",AA516)))),"Red","Amber")))</f>
        <v>Within</v>
      </c>
      <c r="AD516" s="12" t="str">
        <f aca="false">IF(AC516="Red","Group CCO / CRO and Country CEO within 2 business days; action plan in 15 days; report to Board Risk &amp; Compliance Committee",IF(AC516="Amber","Country CO, risk owner and HO Administrator within 5 business days; action plan in 30 days",""))</f>
        <v/>
      </c>
    </row>
    <row r="517" customFormat="false" ht="15" hidden="false" customHeight="false" outlineLevel="0" collapsed="false">
      <c r="A517" s="26" t="str">
        <f aca="false">Entities!$A$30</f>
        <v>CH</v>
      </c>
      <c r="B517" s="12" t="str">
        <f aca="false">INDEX(Entities!$B$5:$B$34,MATCH(A517,Entities!$A$5:$A$34,0))</f>
        <v>Arab Bank (Switzerland) – sister company</v>
      </c>
      <c r="C517" s="12" t="str">
        <f aca="false">INDEX(Entities!$D$5:$D$34,MATCH(A517,Entities!$A$5:$A$34,0))</f>
        <v>Europe</v>
      </c>
      <c r="D517" s="12" t="s">
        <v>302</v>
      </c>
      <c r="E517" s="12" t="str">
        <f aca="false">INDEX('Risk Taxonomy'!$B$5:$B$24,MATCH(D517,'Risk Taxonomy'!$A$5:$A$24,0))</f>
        <v>Market risk</v>
      </c>
      <c r="F517" s="29" t="n">
        <f aca="false">IF(NOT(ISNUMBER(G517)),"",G517)</f>
        <v>2</v>
      </c>
      <c r="G517" s="34" t="n">
        <f aca="false">IF(COUNTIFS('LxI Assessment'!$A$5:$A$394,A517,'LxI Assessment'!$D$5:$D$394,D517,'LxI Assessment'!$F$5:$F$394,"N/A")&gt;0,"N/A",IF(COUNTIFS('LxI Assessment'!$A$5:$A$394,A517,'LxI Assessment'!$D$5:$D$394,D517,'LxI Assessment'!$S$5:$S$394,"&gt;0")=0,"",SUMIFS('LxI Assessment'!$S$5:$S$394,'LxI Assessment'!$A$5:$A$394,A517,'LxI Assessment'!$D$5:$D$394,D517)))</f>
        <v>2</v>
      </c>
      <c r="H517" s="7" t="str">
        <f aca="false">IF(G517="N/A","N/A",IF(G517="","No data",INDEX(Config!$B$5:$B$9,G517)))</f>
        <v>Medium-Low</v>
      </c>
      <c r="I517" s="31" t="n">
        <f aca="false">IF(NOT(ISNUMBER($G517)),"",SUMPRODUCT(('Control Mapping'!$C$5:$C$83=D517)*('Control Mapping'!$AF$5:$AF$83&gt;0)))</f>
        <v>1</v>
      </c>
      <c r="J517" s="31" t="n">
        <f aca="false">IF(NOT(ISNUMBER($G517)),"",SUMPRODUCT(('Control Mapping'!$C$5:$C$83=D517)*('Control Mapping'!$F$5:$F$83="Y")*('Control Mapping'!$AF$5:$AF$83&gt;0)))</f>
        <v>1</v>
      </c>
      <c r="K517" s="31" t="n">
        <f aca="false">IF(NOT(ISNUMBER($G517)),"",SUMPRODUCT(('Control Mapping'!$C$5:$C$83=D517)*('Control Mapping'!$F$5:$F$83="Y")*('Control Mapping'!$AF$5:$AF$83=4)))</f>
        <v>0</v>
      </c>
      <c r="L517" s="29" t="n">
        <f aca="false">IF(NOT(ISNUMBER($G517)),"",IFERROR(SUMPRODUCT(('Control Mapping'!$C$5:$C$83=D517)*'Control Mapping'!$E$5:$E$83*'Control Mapping'!$AF$5:$AF$83)/SUMPRODUCT(('Control Mapping'!$C$5:$C$83=D517)*'Control Mapping'!$E$5:$E$83*('Control Mapping'!$AF$5:$AF$83&gt;0)),""))</f>
        <v>2</v>
      </c>
      <c r="M517" s="34" t="n">
        <f aca="false">IF(NOT(ISNUMBER($G517)),"",IF(J517=0,4,MAX(MATCH(L517,'Residual Config'!$E$11:$E$14,1),IF(K517&gt;0,'Residual Config'!$C$7,1))))</f>
        <v>2</v>
      </c>
      <c r="N517" s="7" t="str">
        <f aca="false">IF(NOT(ISNUMBER($G517)),"",IF(J517=0,"Ineffective (no key control)",INDEX('Residual Config'!$B$11:$B$14,M517)))</f>
        <v>Largely effective</v>
      </c>
      <c r="O517" s="36" t="n">
        <f aca="false">IF(NOT(ISNUMBER($G517)),"",IF(J517=0,0,SUMPRODUCT(('Control Mapping'!$C$5:$C$83=D517)*'Control Mapping'!$E$5:$E$83*(('Control Mapping'!$AF$5:$AF$83=1)*'Residual Config'!$D$11+('Control Mapping'!$AF$5:$AF$83=2)*'Residual Config'!$D$12+('Control Mapping'!$AF$5:$AF$83=3)*'Residual Config'!$D$13+('Control Mapping'!$AF$5:$AF$83=4)*'Residual Config'!$D$14))/SUMPRODUCT(('Control Mapping'!$C$5:$C$83=D517)*'Control Mapping'!$E$5:$E$83*('Control Mapping'!$AF$5:$AF$83&gt;0))))</f>
        <v>0.4</v>
      </c>
      <c r="P517" s="31" t="n">
        <f aca="false">IF(NOT(ISNUMBER($G517)),"",INDEX('Residual Config'!$B$19:$E$23,6-G517,M517))</f>
        <v>1</v>
      </c>
      <c r="Q517" s="29" t="n">
        <f aca="false">IF(NOT(ISNUMBER($G517)),"",MAX(1,F517*(1-O517)))</f>
        <v>1.2</v>
      </c>
      <c r="R517" s="31" t="n">
        <f aca="false">IF(NOT(ISNUMBER($G517)),"",MAX(MATCH(Q517,Config!$D$5:$D$9,1),G517-'Residual Config'!$C$6))</f>
        <v>1</v>
      </c>
      <c r="S517" s="34" t="n">
        <f aca="false">IF(NOT(ISNUMBER($G517)),"",IF('Residual Config'!$C$5="Numeric",R517,P517))</f>
        <v>1</v>
      </c>
      <c r="T517" s="7" t="str">
        <f aca="false">IF(G517="N/A","N/A",IF(S517="","No data",INDEX(Config!$B$5:$B$9,S517)))</f>
        <v>Low</v>
      </c>
      <c r="U517" s="32" t="n">
        <v>0</v>
      </c>
      <c r="V517" s="8"/>
      <c r="W517" s="33"/>
      <c r="X517" s="34" t="n">
        <f aca="false">IF(S517="","",IF(AND(W517="Y",U517&lt;&gt;0),MAX(1,MIN(5,S517+MAX(-Config!$C$27,MIN(Config!$C$27,U517)))),S517))</f>
        <v>1</v>
      </c>
      <c r="Y517" s="35" t="str">
        <f aca="false">IF(G517="N/A","N/A",IF(X517="","No data",INDEX(Config!$B$5:$B$9,X517)))</f>
        <v>Low</v>
      </c>
      <c r="Z517" s="7" t="str">
        <f aca="false">IF(U517=0,"None",IF(W517="Y","Applied","Pending HO approval"))</f>
        <v>None</v>
      </c>
      <c r="AA517" s="12" t="str">
        <f aca="false">INDEX('Risk Taxonomy'!$G$5:$G$24,MATCH(D517,'Risk Taxonomy'!$A$5:$A$24,0))</f>
        <v>Moderate</v>
      </c>
      <c r="AB517" s="7" t="str">
        <f aca="false">INDEX('Risk Taxonomy'!$H$5:$H$24,MATCH(D517,'Risk Taxonomy'!$A$5:$A$24,0))</f>
        <v>Medium-High</v>
      </c>
      <c r="AC517" s="35" t="str">
        <f aca="false">IF(NOT(ISNUMBER(X517)),"",IF(X517&lt;=MATCH(AB517,Config!$B$5:$B$9,0),"Within",IF(OR(X517-MATCH(AB517,Config!$B$5:$B$9,0)&gt;=2,AND('Residual Config'!$C$8="Y",ISNUMBER(SEARCH("Zero",AA517)))),"Red","Amber")))</f>
        <v>Within</v>
      </c>
      <c r="AD517" s="12" t="str">
        <f aca="false">IF(AC517="Red","Group CCO / CRO and Country CEO within 2 business days; action plan in 15 days; report to Board Risk &amp; Compliance Committee",IF(AC517="Amber","Country CO, risk owner and HO Administrator within 5 business days; action plan in 30 days",""))</f>
        <v/>
      </c>
    </row>
    <row r="518" customFormat="false" ht="15" hidden="false" customHeight="false" outlineLevel="0" collapsed="false">
      <c r="A518" s="26" t="str">
        <f aca="false">Entities!$A$30</f>
        <v>CH</v>
      </c>
      <c r="B518" s="12" t="str">
        <f aca="false">INDEX(Entities!$B$5:$B$34,MATCH(A518,Entities!$A$5:$A$34,0))</f>
        <v>Arab Bank (Switzerland) – sister company</v>
      </c>
      <c r="C518" s="12" t="str">
        <f aca="false">INDEX(Entities!$D$5:$D$34,MATCH(A518,Entities!$A$5:$A$34,0))</f>
        <v>Europe</v>
      </c>
      <c r="D518" s="12" t="s">
        <v>304</v>
      </c>
      <c r="E518" s="12" t="str">
        <f aca="false">INDEX('Risk Taxonomy'!$B$5:$B$24,MATCH(D518,'Risk Taxonomy'!$A$5:$A$24,0))</f>
        <v>Liquidity and funding risk</v>
      </c>
      <c r="F518" s="29" t="n">
        <f aca="false">IF(NOT(ISNUMBER(G518)),"",G518)</f>
        <v>3</v>
      </c>
      <c r="G518" s="34" t="n">
        <f aca="false">IF(COUNTIFS('LxI Assessment'!$A$5:$A$394,A518,'LxI Assessment'!$D$5:$D$394,D518,'LxI Assessment'!$F$5:$F$394,"N/A")&gt;0,"N/A",IF(COUNTIFS('LxI Assessment'!$A$5:$A$394,A518,'LxI Assessment'!$D$5:$D$394,D518,'LxI Assessment'!$S$5:$S$394,"&gt;0")=0,"",SUMIFS('LxI Assessment'!$S$5:$S$394,'LxI Assessment'!$A$5:$A$394,A518,'LxI Assessment'!$D$5:$D$394,D518)))</f>
        <v>3</v>
      </c>
      <c r="H518" s="7" t="str">
        <f aca="false">IF(G518="N/A","N/A",IF(G518="","No data",INDEX(Config!$B$5:$B$9,G518)))</f>
        <v>Medium</v>
      </c>
      <c r="I518" s="31" t="n">
        <f aca="false">IF(NOT(ISNUMBER($G518)),"",SUMPRODUCT(('Control Mapping'!$C$5:$C$83=D518)*('Control Mapping'!$AF$5:$AF$83&gt;0)))</f>
        <v>1</v>
      </c>
      <c r="J518" s="31" t="n">
        <f aca="false">IF(NOT(ISNUMBER($G518)),"",SUMPRODUCT(('Control Mapping'!$C$5:$C$83=D518)*('Control Mapping'!$F$5:$F$83="Y")*('Control Mapping'!$AF$5:$AF$83&gt;0)))</f>
        <v>1</v>
      </c>
      <c r="K518" s="31" t="n">
        <f aca="false">IF(NOT(ISNUMBER($G518)),"",SUMPRODUCT(('Control Mapping'!$C$5:$C$83=D518)*('Control Mapping'!$F$5:$F$83="Y")*('Control Mapping'!$AF$5:$AF$83=4)))</f>
        <v>0</v>
      </c>
      <c r="L518" s="29" t="n">
        <f aca="false">IF(NOT(ISNUMBER($G518)),"",IFERROR(SUMPRODUCT(('Control Mapping'!$C$5:$C$83=D518)*'Control Mapping'!$E$5:$E$83*'Control Mapping'!$AF$5:$AF$83)/SUMPRODUCT(('Control Mapping'!$C$5:$C$83=D518)*'Control Mapping'!$E$5:$E$83*('Control Mapping'!$AF$5:$AF$83&gt;0)),""))</f>
        <v>1</v>
      </c>
      <c r="M518" s="34" t="n">
        <f aca="false">IF(NOT(ISNUMBER($G518)),"",IF(J518=0,4,MAX(MATCH(L518,'Residual Config'!$E$11:$E$14,1),IF(K518&gt;0,'Residual Config'!$C$7,1))))</f>
        <v>1</v>
      </c>
      <c r="N518" s="7" t="str">
        <f aca="false">IF(NOT(ISNUMBER($G518)),"",IF(J518=0,"Ineffective (no key control)",INDEX('Residual Config'!$B$11:$B$14,M518)))</f>
        <v>Effective</v>
      </c>
      <c r="O518" s="36" t="n">
        <f aca="false">IF(NOT(ISNUMBER($G518)),"",IF(J518=0,0,SUMPRODUCT(('Control Mapping'!$C$5:$C$83=D518)*'Control Mapping'!$E$5:$E$83*(('Control Mapping'!$AF$5:$AF$83=1)*'Residual Config'!$D$11+('Control Mapping'!$AF$5:$AF$83=2)*'Residual Config'!$D$12+('Control Mapping'!$AF$5:$AF$83=3)*'Residual Config'!$D$13+('Control Mapping'!$AF$5:$AF$83=4)*'Residual Config'!$D$14))/SUMPRODUCT(('Control Mapping'!$C$5:$C$83=D518)*'Control Mapping'!$E$5:$E$83*('Control Mapping'!$AF$5:$AF$83&gt;0))))</f>
        <v>0.6</v>
      </c>
      <c r="P518" s="31" t="n">
        <f aca="false">IF(NOT(ISNUMBER($G518)),"",INDEX('Residual Config'!$B$19:$E$23,6-G518,M518))</f>
        <v>1</v>
      </c>
      <c r="Q518" s="29" t="n">
        <f aca="false">IF(NOT(ISNUMBER($G518)),"",MAX(1,F518*(1-O518)))</f>
        <v>1.2</v>
      </c>
      <c r="R518" s="31" t="n">
        <f aca="false">IF(NOT(ISNUMBER($G518)),"",MAX(MATCH(Q518,Config!$D$5:$D$9,1),G518-'Residual Config'!$C$6))</f>
        <v>1</v>
      </c>
      <c r="S518" s="34" t="n">
        <f aca="false">IF(NOT(ISNUMBER($G518)),"",IF('Residual Config'!$C$5="Numeric",R518,P518))</f>
        <v>1</v>
      </c>
      <c r="T518" s="7" t="str">
        <f aca="false">IF(G518="N/A","N/A",IF(S518="","No data",INDEX(Config!$B$5:$B$9,S518)))</f>
        <v>Low</v>
      </c>
      <c r="U518" s="32" t="n">
        <v>0</v>
      </c>
      <c r="V518" s="8"/>
      <c r="W518" s="33"/>
      <c r="X518" s="34" t="n">
        <f aca="false">IF(S518="","",IF(AND(W518="Y",U518&lt;&gt;0),MAX(1,MIN(5,S518+MAX(-Config!$C$27,MIN(Config!$C$27,U518)))),S518))</f>
        <v>1</v>
      </c>
      <c r="Y518" s="35" t="str">
        <f aca="false">IF(G518="N/A","N/A",IF(X518="","No data",INDEX(Config!$B$5:$B$9,X518)))</f>
        <v>Low</v>
      </c>
      <c r="Z518" s="7" t="str">
        <f aca="false">IF(U518=0,"None",IF(W518="Y","Applied","Pending HO approval"))</f>
        <v>None</v>
      </c>
      <c r="AA518" s="12" t="str">
        <f aca="false">INDEX('Risk Taxonomy'!$G$5:$G$24,MATCH(D518,'Risk Taxonomy'!$A$5:$A$24,0))</f>
        <v>Low</v>
      </c>
      <c r="AB518" s="7" t="str">
        <f aca="false">INDEX('Risk Taxonomy'!$H$5:$H$24,MATCH(D518,'Risk Taxonomy'!$A$5:$A$24,0))</f>
        <v>Medium</v>
      </c>
      <c r="AC518" s="35" t="str">
        <f aca="false">IF(NOT(ISNUMBER(X518)),"",IF(X518&lt;=MATCH(AB518,Config!$B$5:$B$9,0),"Within",IF(OR(X518-MATCH(AB518,Config!$B$5:$B$9,0)&gt;=2,AND('Residual Config'!$C$8="Y",ISNUMBER(SEARCH("Zero",AA518)))),"Red","Amber")))</f>
        <v>Within</v>
      </c>
      <c r="AD518" s="12" t="str">
        <f aca="false">IF(AC518="Red","Group CCO / CRO and Country CEO within 2 business days; action plan in 15 days; report to Board Risk &amp; Compliance Committee",IF(AC518="Amber","Country CO, risk owner and HO Administrator within 5 business days; action plan in 30 days",""))</f>
        <v/>
      </c>
    </row>
    <row r="519" customFormat="false" ht="15" hidden="false" customHeight="false" outlineLevel="0" collapsed="false">
      <c r="A519" s="26" t="str">
        <f aca="false">Entities!$A$30</f>
        <v>CH</v>
      </c>
      <c r="B519" s="12" t="str">
        <f aca="false">INDEX(Entities!$B$5:$B$34,MATCH(A519,Entities!$A$5:$A$34,0))</f>
        <v>Arab Bank (Switzerland) – sister company</v>
      </c>
      <c r="C519" s="12" t="str">
        <f aca="false">INDEX(Entities!$D$5:$D$34,MATCH(A519,Entities!$A$5:$A$34,0))</f>
        <v>Europe</v>
      </c>
      <c r="D519" s="12" t="s">
        <v>307</v>
      </c>
      <c r="E519" s="12" t="str">
        <f aca="false">INDEX('Risk Taxonomy'!$B$5:$B$24,MATCH(D519,'Risk Taxonomy'!$A$5:$A$24,0))</f>
        <v>Operational risk</v>
      </c>
      <c r="F519" s="29" t="n">
        <f aca="false">IF(NOT(ISNUMBER(G519)),"",G519)</f>
        <v>2</v>
      </c>
      <c r="G519" s="34" t="n">
        <f aca="false">IF(COUNTIFS('LxI Assessment'!$A$5:$A$394,A519,'LxI Assessment'!$D$5:$D$394,D519,'LxI Assessment'!$F$5:$F$394,"N/A")&gt;0,"N/A",IF(COUNTIFS('LxI Assessment'!$A$5:$A$394,A519,'LxI Assessment'!$D$5:$D$394,D519,'LxI Assessment'!$S$5:$S$394,"&gt;0")=0,"",SUMIFS('LxI Assessment'!$S$5:$S$394,'LxI Assessment'!$A$5:$A$394,A519,'LxI Assessment'!$D$5:$D$394,D519)))</f>
        <v>2</v>
      </c>
      <c r="H519" s="7" t="str">
        <f aca="false">IF(G519="N/A","N/A",IF(G519="","No data",INDEX(Config!$B$5:$B$9,G519)))</f>
        <v>Medium-Low</v>
      </c>
      <c r="I519" s="31" t="n">
        <f aca="false">IF(NOT(ISNUMBER($G519)),"",SUMPRODUCT(('Control Mapping'!$C$5:$C$83=D519)*('Control Mapping'!$AF$5:$AF$83&gt;0)))</f>
        <v>3</v>
      </c>
      <c r="J519" s="31" t="n">
        <f aca="false">IF(NOT(ISNUMBER($G519)),"",SUMPRODUCT(('Control Mapping'!$C$5:$C$83=D519)*('Control Mapping'!$F$5:$F$83="Y")*('Control Mapping'!$AF$5:$AF$83&gt;0)))</f>
        <v>2</v>
      </c>
      <c r="K519" s="31" t="n">
        <f aca="false">IF(NOT(ISNUMBER($G519)),"",SUMPRODUCT(('Control Mapping'!$C$5:$C$83=D519)*('Control Mapping'!$F$5:$F$83="Y")*('Control Mapping'!$AF$5:$AF$83=4)))</f>
        <v>0</v>
      </c>
      <c r="L519" s="29" t="n">
        <f aca="false">IF(NOT(ISNUMBER($G519)),"",IFERROR(SUMPRODUCT(('Control Mapping'!$C$5:$C$83=D519)*'Control Mapping'!$E$5:$E$83*'Control Mapping'!$AF$5:$AF$83)/SUMPRODUCT(('Control Mapping'!$C$5:$C$83=D519)*'Control Mapping'!$E$5:$E$83*('Control Mapping'!$AF$5:$AF$83&gt;0)),""))</f>
        <v>2</v>
      </c>
      <c r="M519" s="34" t="n">
        <f aca="false">IF(NOT(ISNUMBER($G519)),"",IF(J519=0,4,MAX(MATCH(L519,'Residual Config'!$E$11:$E$14,1),IF(K519&gt;0,'Residual Config'!$C$7,1))))</f>
        <v>2</v>
      </c>
      <c r="N519" s="7" t="str">
        <f aca="false">IF(NOT(ISNUMBER($G519)),"",IF(J519=0,"Ineffective (no key control)",INDEX('Residual Config'!$B$11:$B$14,M519)))</f>
        <v>Largely effective</v>
      </c>
      <c r="O519" s="36" t="n">
        <f aca="false">IF(NOT(ISNUMBER($G519)),"",IF(J519=0,0,SUMPRODUCT(('Control Mapping'!$C$5:$C$83=D519)*'Control Mapping'!$E$5:$E$83*(('Control Mapping'!$AF$5:$AF$83=1)*'Residual Config'!$D$11+('Control Mapping'!$AF$5:$AF$83=2)*'Residual Config'!$D$12+('Control Mapping'!$AF$5:$AF$83=3)*'Residual Config'!$D$13+('Control Mapping'!$AF$5:$AF$83=4)*'Residual Config'!$D$14))/SUMPRODUCT(('Control Mapping'!$C$5:$C$83=D519)*'Control Mapping'!$E$5:$E$83*('Control Mapping'!$AF$5:$AF$83&gt;0))))</f>
        <v>0.4</v>
      </c>
      <c r="P519" s="31" t="n">
        <f aca="false">IF(NOT(ISNUMBER($G519)),"",INDEX('Residual Config'!$B$19:$E$23,6-G519,M519))</f>
        <v>1</v>
      </c>
      <c r="Q519" s="29" t="n">
        <f aca="false">IF(NOT(ISNUMBER($G519)),"",MAX(1,F519*(1-O519)))</f>
        <v>1.2</v>
      </c>
      <c r="R519" s="31" t="n">
        <f aca="false">IF(NOT(ISNUMBER($G519)),"",MAX(MATCH(Q519,Config!$D$5:$D$9,1),G519-'Residual Config'!$C$6))</f>
        <v>1</v>
      </c>
      <c r="S519" s="34" t="n">
        <f aca="false">IF(NOT(ISNUMBER($G519)),"",IF('Residual Config'!$C$5="Numeric",R519,P519))</f>
        <v>1</v>
      </c>
      <c r="T519" s="7" t="str">
        <f aca="false">IF(G519="N/A","N/A",IF(S519="","No data",INDEX(Config!$B$5:$B$9,S519)))</f>
        <v>Low</v>
      </c>
      <c r="U519" s="32" t="n">
        <v>0</v>
      </c>
      <c r="V519" s="8"/>
      <c r="W519" s="33"/>
      <c r="X519" s="34" t="n">
        <f aca="false">IF(S519="","",IF(AND(W519="Y",U519&lt;&gt;0),MAX(1,MIN(5,S519+MAX(-Config!$C$27,MIN(Config!$C$27,U519)))),S519))</f>
        <v>1</v>
      </c>
      <c r="Y519" s="35" t="str">
        <f aca="false">IF(G519="N/A","N/A",IF(X519="","No data",INDEX(Config!$B$5:$B$9,X519)))</f>
        <v>Low</v>
      </c>
      <c r="Z519" s="7" t="str">
        <f aca="false">IF(U519=0,"None",IF(W519="Y","Applied","Pending HO approval"))</f>
        <v>None</v>
      </c>
      <c r="AA519" s="12" t="str">
        <f aca="false">INDEX('Risk Taxonomy'!$G$5:$G$24,MATCH(D519,'Risk Taxonomy'!$A$5:$A$24,0))</f>
        <v>Low</v>
      </c>
      <c r="AB519" s="7" t="str">
        <f aca="false">INDEX('Risk Taxonomy'!$H$5:$H$24,MATCH(D519,'Risk Taxonomy'!$A$5:$A$24,0))</f>
        <v>Medium</v>
      </c>
      <c r="AC519" s="35" t="str">
        <f aca="false">IF(NOT(ISNUMBER(X519)),"",IF(X519&lt;=MATCH(AB519,Config!$B$5:$B$9,0),"Within",IF(OR(X519-MATCH(AB519,Config!$B$5:$B$9,0)&gt;=2,AND('Residual Config'!$C$8="Y",ISNUMBER(SEARCH("Zero",AA519)))),"Red","Amber")))</f>
        <v>Within</v>
      </c>
      <c r="AD519" s="12" t="str">
        <f aca="false">IF(AC519="Red","Group CCO / CRO and Country CEO within 2 business days; action plan in 15 days; report to Board Risk &amp; Compliance Committee",IF(AC519="Amber","Country CO, risk owner and HO Administrator within 5 business days; action plan in 30 days",""))</f>
        <v/>
      </c>
    </row>
    <row r="520" customFormat="false" ht="15" hidden="false" customHeight="false" outlineLevel="0" collapsed="false">
      <c r="A520" s="26" t="str">
        <f aca="false">Entities!$A$30</f>
        <v>CH</v>
      </c>
      <c r="B520" s="12" t="str">
        <f aca="false">INDEX(Entities!$B$5:$B$34,MATCH(A520,Entities!$A$5:$A$34,0))</f>
        <v>Arab Bank (Switzerland) – sister company</v>
      </c>
      <c r="C520" s="12" t="str">
        <f aca="false">INDEX(Entities!$D$5:$D$34,MATCH(A520,Entities!$A$5:$A$34,0))</f>
        <v>Europe</v>
      </c>
      <c r="D520" s="12" t="s">
        <v>310</v>
      </c>
      <c r="E520" s="12" t="str">
        <f aca="false">INDEX('Risk Taxonomy'!$B$5:$B$24,MATCH(D520,'Risk Taxonomy'!$A$5:$A$24,0))</f>
        <v>Cyber, information security and technology</v>
      </c>
      <c r="F520" s="29" t="n">
        <f aca="false">IF(NOT(ISNUMBER(G520)),"",G520)</f>
        <v>3</v>
      </c>
      <c r="G520" s="34" t="n">
        <f aca="false">IF(COUNTIFS('LxI Assessment'!$A$5:$A$394,A520,'LxI Assessment'!$D$5:$D$394,D520,'LxI Assessment'!$F$5:$F$394,"N/A")&gt;0,"N/A",IF(COUNTIFS('LxI Assessment'!$A$5:$A$394,A520,'LxI Assessment'!$D$5:$D$394,D520,'LxI Assessment'!$S$5:$S$394,"&gt;0")=0,"",SUMIFS('LxI Assessment'!$S$5:$S$394,'LxI Assessment'!$A$5:$A$394,A520,'LxI Assessment'!$D$5:$D$394,D520)))</f>
        <v>3</v>
      </c>
      <c r="H520" s="7" t="str">
        <f aca="false">IF(G520="N/A","N/A",IF(G520="","No data",INDEX(Config!$B$5:$B$9,G520)))</f>
        <v>Medium</v>
      </c>
      <c r="I520" s="31" t="n">
        <f aca="false">IF(NOT(ISNUMBER($G520)),"",SUMPRODUCT(('Control Mapping'!$C$5:$C$83=D520)*('Control Mapping'!$AF$5:$AF$83&gt;0)))</f>
        <v>4</v>
      </c>
      <c r="J520" s="31" t="n">
        <f aca="false">IF(NOT(ISNUMBER($G520)),"",SUMPRODUCT(('Control Mapping'!$C$5:$C$83=D520)*('Control Mapping'!$F$5:$F$83="Y")*('Control Mapping'!$AF$5:$AF$83&gt;0)))</f>
        <v>4</v>
      </c>
      <c r="K520" s="31" t="n">
        <f aca="false">IF(NOT(ISNUMBER($G520)),"",SUMPRODUCT(('Control Mapping'!$C$5:$C$83=D520)*('Control Mapping'!$F$5:$F$83="Y")*('Control Mapping'!$AF$5:$AF$83=4)))</f>
        <v>0</v>
      </c>
      <c r="L520" s="29" t="n">
        <f aca="false">IF(NOT(ISNUMBER($G520)),"",IFERROR(SUMPRODUCT(('Control Mapping'!$C$5:$C$83=D520)*'Control Mapping'!$E$5:$E$83*'Control Mapping'!$AF$5:$AF$83)/SUMPRODUCT(('Control Mapping'!$C$5:$C$83=D520)*'Control Mapping'!$E$5:$E$83*('Control Mapping'!$AF$5:$AF$83&gt;0)),""))</f>
        <v>1.57142857142857</v>
      </c>
      <c r="M520" s="34" t="n">
        <f aca="false">IF(NOT(ISNUMBER($G520)),"",IF(J520=0,4,MAX(MATCH(L520,'Residual Config'!$E$11:$E$14,1),IF(K520&gt;0,'Residual Config'!$C$7,1))))</f>
        <v>2</v>
      </c>
      <c r="N520" s="7" t="str">
        <f aca="false">IF(NOT(ISNUMBER($G520)),"",IF(J520=0,"Ineffective (no key control)",INDEX('Residual Config'!$B$11:$B$14,M520)))</f>
        <v>Largely effective</v>
      </c>
      <c r="O520" s="36" t="n">
        <f aca="false">IF(NOT(ISNUMBER($G520)),"",IF(J520=0,0,SUMPRODUCT(('Control Mapping'!$C$5:$C$83=D520)*'Control Mapping'!$E$5:$E$83*(('Control Mapping'!$AF$5:$AF$83=1)*'Residual Config'!$D$11+('Control Mapping'!$AF$5:$AF$83=2)*'Residual Config'!$D$12+('Control Mapping'!$AF$5:$AF$83=3)*'Residual Config'!$D$13+('Control Mapping'!$AF$5:$AF$83=4)*'Residual Config'!$D$14))/SUMPRODUCT(('Control Mapping'!$C$5:$C$83=D520)*'Control Mapping'!$E$5:$E$83*('Control Mapping'!$AF$5:$AF$83&gt;0))))</f>
        <v>0.485714285714286</v>
      </c>
      <c r="P520" s="31" t="n">
        <f aca="false">IF(NOT(ISNUMBER($G520)),"",INDEX('Residual Config'!$B$19:$E$23,6-G520,M520))</f>
        <v>2</v>
      </c>
      <c r="Q520" s="29" t="n">
        <f aca="false">IF(NOT(ISNUMBER($G520)),"",MAX(1,F520*(1-O520)))</f>
        <v>1.54285714285714</v>
      </c>
      <c r="R520" s="31" t="n">
        <f aca="false">IF(NOT(ISNUMBER($G520)),"",MAX(MATCH(Q520,Config!$D$5:$D$9,1),G520-'Residual Config'!$C$6))</f>
        <v>1</v>
      </c>
      <c r="S520" s="34" t="n">
        <f aca="false">IF(NOT(ISNUMBER($G520)),"",IF('Residual Config'!$C$5="Numeric",R520,P520))</f>
        <v>2</v>
      </c>
      <c r="T520" s="7" t="str">
        <f aca="false">IF(G520="N/A","N/A",IF(S520="","No data",INDEX(Config!$B$5:$B$9,S520)))</f>
        <v>Medium-Low</v>
      </c>
      <c r="U520" s="32" t="n">
        <v>0</v>
      </c>
      <c r="V520" s="8"/>
      <c r="W520" s="33"/>
      <c r="X520" s="34" t="n">
        <f aca="false">IF(S520="","",IF(AND(W520="Y",U520&lt;&gt;0),MAX(1,MIN(5,S520+MAX(-Config!$C$27,MIN(Config!$C$27,U520)))),S520))</f>
        <v>2</v>
      </c>
      <c r="Y520" s="35" t="str">
        <f aca="false">IF(G520="N/A","N/A",IF(X520="","No data",INDEX(Config!$B$5:$B$9,X520)))</f>
        <v>Medium-Low</v>
      </c>
      <c r="Z520" s="7" t="str">
        <f aca="false">IF(U520=0,"None",IF(W520="Y","Applied","Pending HO approval"))</f>
        <v>None</v>
      </c>
      <c r="AA520" s="12" t="str">
        <f aca="false">INDEX('Risk Taxonomy'!$G$5:$G$24,MATCH(D520,'Risk Taxonomy'!$A$5:$A$24,0))</f>
        <v>Very low</v>
      </c>
      <c r="AB520" s="7" t="str">
        <f aca="false">INDEX('Risk Taxonomy'!$H$5:$H$24,MATCH(D520,'Risk Taxonomy'!$A$5:$A$24,0))</f>
        <v>Medium-Low</v>
      </c>
      <c r="AC520" s="35" t="str">
        <f aca="false">IF(NOT(ISNUMBER(X520)),"",IF(X520&lt;=MATCH(AB520,Config!$B$5:$B$9,0),"Within",IF(OR(X520-MATCH(AB520,Config!$B$5:$B$9,0)&gt;=2,AND('Residual Config'!$C$8="Y",ISNUMBER(SEARCH("Zero",AA520)))),"Red","Amber")))</f>
        <v>Within</v>
      </c>
      <c r="AD520" s="12" t="str">
        <f aca="false">IF(AC520="Red","Group CCO / CRO and Country CEO within 2 business days; action plan in 15 days; report to Board Risk &amp; Compliance Committee",IF(AC520="Amber","Country CO, risk owner and HO Administrator within 5 business days; action plan in 30 days",""))</f>
        <v/>
      </c>
    </row>
    <row r="521" customFormat="false" ht="15" hidden="false" customHeight="false" outlineLevel="0" collapsed="false">
      <c r="A521" s="26" t="str">
        <f aca="false">Entities!$A$30</f>
        <v>CH</v>
      </c>
      <c r="B521" s="12" t="str">
        <f aca="false">INDEX(Entities!$B$5:$B$34,MATCH(A521,Entities!$A$5:$A$34,0))</f>
        <v>Arab Bank (Switzerland) – sister company</v>
      </c>
      <c r="C521" s="12" t="str">
        <f aca="false">INDEX(Entities!$D$5:$D$34,MATCH(A521,Entities!$A$5:$A$34,0))</f>
        <v>Europe</v>
      </c>
      <c r="D521" s="12" t="s">
        <v>313</v>
      </c>
      <c r="E521" s="12" t="str">
        <f aca="false">INDEX('Risk Taxonomy'!$B$5:$B$24,MATCH(D521,'Risk Taxonomy'!$A$5:$A$24,0))</f>
        <v>Third-party and outsourcing</v>
      </c>
      <c r="F521" s="29" t="n">
        <f aca="false">IF(NOT(ISNUMBER(G521)),"",G521)</f>
        <v>1</v>
      </c>
      <c r="G521" s="34" t="n">
        <f aca="false">IF(COUNTIFS('LxI Assessment'!$A$5:$A$394,A521,'LxI Assessment'!$D$5:$D$394,D521,'LxI Assessment'!$F$5:$F$394,"N/A")&gt;0,"N/A",IF(COUNTIFS('LxI Assessment'!$A$5:$A$394,A521,'LxI Assessment'!$D$5:$D$394,D521,'LxI Assessment'!$S$5:$S$394,"&gt;0")=0,"",SUMIFS('LxI Assessment'!$S$5:$S$394,'LxI Assessment'!$A$5:$A$394,A521,'LxI Assessment'!$D$5:$D$394,D521)))</f>
        <v>1</v>
      </c>
      <c r="H521" s="7" t="str">
        <f aca="false">IF(G521="N/A","N/A",IF(G521="","No data",INDEX(Config!$B$5:$B$9,G521)))</f>
        <v>Low</v>
      </c>
      <c r="I521" s="31" t="n">
        <f aca="false">IF(NOT(ISNUMBER($G521)),"",SUMPRODUCT(('Control Mapping'!$C$5:$C$83=D521)*('Control Mapping'!$AF$5:$AF$83&gt;0)))</f>
        <v>2</v>
      </c>
      <c r="J521" s="31" t="n">
        <f aca="false">IF(NOT(ISNUMBER($G521)),"",SUMPRODUCT(('Control Mapping'!$C$5:$C$83=D521)*('Control Mapping'!$F$5:$F$83="Y")*('Control Mapping'!$AF$5:$AF$83&gt;0)))</f>
        <v>2</v>
      </c>
      <c r="K521" s="31" t="n">
        <f aca="false">IF(NOT(ISNUMBER($G521)),"",SUMPRODUCT(('Control Mapping'!$C$5:$C$83=D521)*('Control Mapping'!$F$5:$F$83="Y")*('Control Mapping'!$AF$5:$AF$83=4)))</f>
        <v>0</v>
      </c>
      <c r="L521" s="29" t="n">
        <f aca="false">IF(NOT(ISNUMBER($G521)),"",IFERROR(SUMPRODUCT(('Control Mapping'!$C$5:$C$83=D521)*'Control Mapping'!$E$5:$E$83*'Control Mapping'!$AF$5:$AF$83)/SUMPRODUCT(('Control Mapping'!$C$5:$C$83=D521)*'Control Mapping'!$E$5:$E$83*('Control Mapping'!$AF$5:$AF$83&gt;0)),""))</f>
        <v>1.25</v>
      </c>
      <c r="M521" s="34" t="n">
        <f aca="false">IF(NOT(ISNUMBER($G521)),"",IF(J521=0,4,MAX(MATCH(L521,'Residual Config'!$E$11:$E$14,1),IF(K521&gt;0,'Residual Config'!$C$7,1))))</f>
        <v>1</v>
      </c>
      <c r="N521" s="7" t="str">
        <f aca="false">IF(NOT(ISNUMBER($G521)),"",IF(J521=0,"Ineffective (no key control)",INDEX('Residual Config'!$B$11:$B$14,M521)))</f>
        <v>Effective</v>
      </c>
      <c r="O521" s="36" t="n">
        <f aca="false">IF(NOT(ISNUMBER($G521)),"",IF(J521=0,0,SUMPRODUCT(('Control Mapping'!$C$5:$C$83=D521)*'Control Mapping'!$E$5:$E$83*(('Control Mapping'!$AF$5:$AF$83=1)*'Residual Config'!$D$11+('Control Mapping'!$AF$5:$AF$83=2)*'Residual Config'!$D$12+('Control Mapping'!$AF$5:$AF$83=3)*'Residual Config'!$D$13+('Control Mapping'!$AF$5:$AF$83=4)*'Residual Config'!$D$14))/SUMPRODUCT(('Control Mapping'!$C$5:$C$83=D521)*'Control Mapping'!$E$5:$E$83*('Control Mapping'!$AF$5:$AF$83&gt;0))))</f>
        <v>0.55</v>
      </c>
      <c r="P521" s="31" t="n">
        <f aca="false">IF(NOT(ISNUMBER($G521)),"",INDEX('Residual Config'!$B$19:$E$23,6-G521,M521))</f>
        <v>1</v>
      </c>
      <c r="Q521" s="29" t="n">
        <f aca="false">IF(NOT(ISNUMBER($G521)),"",MAX(1,F521*(1-O521)))</f>
        <v>1</v>
      </c>
      <c r="R521" s="31" t="n">
        <f aca="false">IF(NOT(ISNUMBER($G521)),"",MAX(MATCH(Q521,Config!$D$5:$D$9,1),G521-'Residual Config'!$C$6))</f>
        <v>1</v>
      </c>
      <c r="S521" s="34" t="n">
        <f aca="false">IF(NOT(ISNUMBER($G521)),"",IF('Residual Config'!$C$5="Numeric",R521,P521))</f>
        <v>1</v>
      </c>
      <c r="T521" s="7" t="str">
        <f aca="false">IF(G521="N/A","N/A",IF(S521="","No data",INDEX(Config!$B$5:$B$9,S521)))</f>
        <v>Low</v>
      </c>
      <c r="U521" s="32" t="n">
        <v>0</v>
      </c>
      <c r="V521" s="8"/>
      <c r="W521" s="33"/>
      <c r="X521" s="34" t="n">
        <f aca="false">IF(S521="","",IF(AND(W521="Y",U521&lt;&gt;0),MAX(1,MIN(5,S521+MAX(-Config!$C$27,MIN(Config!$C$27,U521)))),S521))</f>
        <v>1</v>
      </c>
      <c r="Y521" s="35" t="str">
        <f aca="false">IF(G521="N/A","N/A",IF(X521="","No data",INDEX(Config!$B$5:$B$9,X521)))</f>
        <v>Low</v>
      </c>
      <c r="Z521" s="7" t="str">
        <f aca="false">IF(U521=0,"None",IF(W521="Y","Applied","Pending HO approval"))</f>
        <v>None</v>
      </c>
      <c r="AA521" s="12" t="str">
        <f aca="false">INDEX('Risk Taxonomy'!$G$5:$G$24,MATCH(D521,'Risk Taxonomy'!$A$5:$A$24,0))</f>
        <v>Low</v>
      </c>
      <c r="AB521" s="7" t="str">
        <f aca="false">INDEX('Risk Taxonomy'!$H$5:$H$24,MATCH(D521,'Risk Taxonomy'!$A$5:$A$24,0))</f>
        <v>Medium</v>
      </c>
      <c r="AC521" s="35" t="str">
        <f aca="false">IF(NOT(ISNUMBER(X521)),"",IF(X521&lt;=MATCH(AB521,Config!$B$5:$B$9,0),"Within",IF(OR(X521-MATCH(AB521,Config!$B$5:$B$9,0)&gt;=2,AND('Residual Config'!$C$8="Y",ISNUMBER(SEARCH("Zero",AA521)))),"Red","Amber")))</f>
        <v>Within</v>
      </c>
      <c r="AD521" s="12" t="str">
        <f aca="false">IF(AC521="Red","Group CCO / CRO and Country CEO within 2 business days; action plan in 15 days; report to Board Risk &amp; Compliance Committee",IF(AC521="Amber","Country CO, risk owner and HO Administrator within 5 business days; action plan in 30 days",""))</f>
        <v/>
      </c>
    </row>
    <row r="522" customFormat="false" ht="15" hidden="false" customHeight="false" outlineLevel="0" collapsed="false">
      <c r="A522" s="26" t="str">
        <f aca="false">Entities!$A$30</f>
        <v>CH</v>
      </c>
      <c r="B522" s="12" t="str">
        <f aca="false">INDEX(Entities!$B$5:$B$34,MATCH(A522,Entities!$A$5:$A$34,0))</f>
        <v>Arab Bank (Switzerland) – sister company</v>
      </c>
      <c r="C522" s="12" t="str">
        <f aca="false">INDEX(Entities!$D$5:$D$34,MATCH(A522,Entities!$A$5:$A$34,0))</f>
        <v>Europe</v>
      </c>
      <c r="D522" s="12" t="s">
        <v>316</v>
      </c>
      <c r="E522" s="12" t="str">
        <f aca="false">INDEX('Risk Taxonomy'!$B$5:$B$24,MATCH(D522,'Risk Taxonomy'!$A$5:$A$24,0))</f>
        <v>Legal and litigation</v>
      </c>
      <c r="F522" s="29" t="n">
        <f aca="false">IF(NOT(ISNUMBER(G522)),"",G522)</f>
        <v>2</v>
      </c>
      <c r="G522" s="34" t="n">
        <f aca="false">IF(COUNTIFS('LxI Assessment'!$A$5:$A$394,A522,'LxI Assessment'!$D$5:$D$394,D522,'LxI Assessment'!$F$5:$F$394,"N/A")&gt;0,"N/A",IF(COUNTIFS('LxI Assessment'!$A$5:$A$394,A522,'LxI Assessment'!$D$5:$D$394,D522,'LxI Assessment'!$S$5:$S$394,"&gt;0")=0,"",SUMIFS('LxI Assessment'!$S$5:$S$394,'LxI Assessment'!$A$5:$A$394,A522,'LxI Assessment'!$D$5:$D$394,D522)))</f>
        <v>2</v>
      </c>
      <c r="H522" s="7" t="str">
        <f aca="false">IF(G522="N/A","N/A",IF(G522="","No data",INDEX(Config!$B$5:$B$9,G522)))</f>
        <v>Medium-Low</v>
      </c>
      <c r="I522" s="31" t="n">
        <f aca="false">IF(NOT(ISNUMBER($G522)),"",SUMPRODUCT(('Control Mapping'!$C$5:$C$83=D522)*('Control Mapping'!$AF$5:$AF$83&gt;0)))</f>
        <v>1</v>
      </c>
      <c r="J522" s="31" t="n">
        <f aca="false">IF(NOT(ISNUMBER($G522)),"",SUMPRODUCT(('Control Mapping'!$C$5:$C$83=D522)*('Control Mapping'!$F$5:$F$83="Y")*('Control Mapping'!$AF$5:$AF$83&gt;0)))</f>
        <v>1</v>
      </c>
      <c r="K522" s="31" t="n">
        <f aca="false">IF(NOT(ISNUMBER($G522)),"",SUMPRODUCT(('Control Mapping'!$C$5:$C$83=D522)*('Control Mapping'!$F$5:$F$83="Y")*('Control Mapping'!$AF$5:$AF$83=4)))</f>
        <v>0</v>
      </c>
      <c r="L522" s="29" t="n">
        <f aca="false">IF(NOT(ISNUMBER($G522)),"",IFERROR(SUMPRODUCT(('Control Mapping'!$C$5:$C$83=D522)*'Control Mapping'!$E$5:$E$83*'Control Mapping'!$AF$5:$AF$83)/SUMPRODUCT(('Control Mapping'!$C$5:$C$83=D522)*'Control Mapping'!$E$5:$E$83*('Control Mapping'!$AF$5:$AF$83&gt;0)),""))</f>
        <v>1</v>
      </c>
      <c r="M522" s="34" t="n">
        <f aca="false">IF(NOT(ISNUMBER($G522)),"",IF(J522=0,4,MAX(MATCH(L522,'Residual Config'!$E$11:$E$14,1),IF(K522&gt;0,'Residual Config'!$C$7,1))))</f>
        <v>1</v>
      </c>
      <c r="N522" s="7" t="str">
        <f aca="false">IF(NOT(ISNUMBER($G522)),"",IF(J522=0,"Ineffective (no key control)",INDEX('Residual Config'!$B$11:$B$14,M522)))</f>
        <v>Effective</v>
      </c>
      <c r="O522" s="36" t="n">
        <f aca="false">IF(NOT(ISNUMBER($G522)),"",IF(J522=0,0,SUMPRODUCT(('Control Mapping'!$C$5:$C$83=D522)*'Control Mapping'!$E$5:$E$83*(('Control Mapping'!$AF$5:$AF$83=1)*'Residual Config'!$D$11+('Control Mapping'!$AF$5:$AF$83=2)*'Residual Config'!$D$12+('Control Mapping'!$AF$5:$AF$83=3)*'Residual Config'!$D$13+('Control Mapping'!$AF$5:$AF$83=4)*'Residual Config'!$D$14))/SUMPRODUCT(('Control Mapping'!$C$5:$C$83=D522)*'Control Mapping'!$E$5:$E$83*('Control Mapping'!$AF$5:$AF$83&gt;0))))</f>
        <v>0.6</v>
      </c>
      <c r="P522" s="31" t="n">
        <f aca="false">IF(NOT(ISNUMBER($G522)),"",INDEX('Residual Config'!$B$19:$E$23,6-G522,M522))</f>
        <v>1</v>
      </c>
      <c r="Q522" s="29" t="n">
        <f aca="false">IF(NOT(ISNUMBER($G522)),"",MAX(1,F522*(1-O522)))</f>
        <v>1</v>
      </c>
      <c r="R522" s="31" t="n">
        <f aca="false">IF(NOT(ISNUMBER($G522)),"",MAX(MATCH(Q522,Config!$D$5:$D$9,1),G522-'Residual Config'!$C$6))</f>
        <v>1</v>
      </c>
      <c r="S522" s="34" t="n">
        <f aca="false">IF(NOT(ISNUMBER($G522)),"",IF('Residual Config'!$C$5="Numeric",R522,P522))</f>
        <v>1</v>
      </c>
      <c r="T522" s="7" t="str">
        <f aca="false">IF(G522="N/A","N/A",IF(S522="","No data",INDEX(Config!$B$5:$B$9,S522)))</f>
        <v>Low</v>
      </c>
      <c r="U522" s="32" t="n">
        <v>0</v>
      </c>
      <c r="V522" s="8"/>
      <c r="W522" s="33"/>
      <c r="X522" s="34" t="n">
        <f aca="false">IF(S522="","",IF(AND(W522="Y",U522&lt;&gt;0),MAX(1,MIN(5,S522+MAX(-Config!$C$27,MIN(Config!$C$27,U522)))),S522))</f>
        <v>1</v>
      </c>
      <c r="Y522" s="35" t="str">
        <f aca="false">IF(G522="N/A","N/A",IF(X522="","No data",INDEX(Config!$B$5:$B$9,X522)))</f>
        <v>Low</v>
      </c>
      <c r="Z522" s="7" t="str">
        <f aca="false">IF(U522=0,"None",IF(W522="Y","Applied","Pending HO approval"))</f>
        <v>None</v>
      </c>
      <c r="AA522" s="12" t="str">
        <f aca="false">INDEX('Risk Taxonomy'!$G$5:$G$24,MATCH(D522,'Risk Taxonomy'!$A$5:$A$24,0))</f>
        <v>Very low</v>
      </c>
      <c r="AB522" s="7" t="str">
        <f aca="false">INDEX('Risk Taxonomy'!$H$5:$H$24,MATCH(D522,'Risk Taxonomy'!$A$5:$A$24,0))</f>
        <v>Medium-Low</v>
      </c>
      <c r="AC522" s="35" t="str">
        <f aca="false">IF(NOT(ISNUMBER(X522)),"",IF(X522&lt;=MATCH(AB522,Config!$B$5:$B$9,0),"Within",IF(OR(X522-MATCH(AB522,Config!$B$5:$B$9,0)&gt;=2,AND('Residual Config'!$C$8="Y",ISNUMBER(SEARCH("Zero",AA522)))),"Red","Amber")))</f>
        <v>Within</v>
      </c>
      <c r="AD522" s="12" t="str">
        <f aca="false">IF(AC522="Red","Group CCO / CRO and Country CEO within 2 business days; action plan in 15 days; report to Board Risk &amp; Compliance Committee",IF(AC522="Amber","Country CO, risk owner and HO Administrator within 5 business days; action plan in 30 days",""))</f>
        <v/>
      </c>
    </row>
    <row r="523" customFormat="false" ht="15" hidden="false" customHeight="false" outlineLevel="0" collapsed="false">
      <c r="A523" s="26" t="str">
        <f aca="false">Entities!$A$30</f>
        <v>CH</v>
      </c>
      <c r="B523" s="12" t="str">
        <f aca="false">INDEX(Entities!$B$5:$B$34,MATCH(A523,Entities!$A$5:$A$34,0))</f>
        <v>Arab Bank (Switzerland) – sister company</v>
      </c>
      <c r="C523" s="12" t="str">
        <f aca="false">INDEX(Entities!$D$5:$D$34,MATCH(A523,Entities!$A$5:$A$34,0))</f>
        <v>Europe</v>
      </c>
      <c r="D523" s="12" t="s">
        <v>319</v>
      </c>
      <c r="E523" s="12" t="str">
        <f aca="false">INDEX('Risk Taxonomy'!$B$5:$B$24,MATCH(D523,'Risk Taxonomy'!$A$5:$A$24,0))</f>
        <v>Reputational</v>
      </c>
      <c r="F523" s="29" t="n">
        <f aca="false">IF(NOT(ISNUMBER(G523)),"",G523)</f>
        <v>2</v>
      </c>
      <c r="G523" s="34" t="n">
        <f aca="false">IF(COUNTIFS('LxI Assessment'!$A$5:$A$394,A523,'LxI Assessment'!$D$5:$D$394,D523,'LxI Assessment'!$F$5:$F$394,"N/A")&gt;0,"N/A",IF(COUNTIFS('LxI Assessment'!$A$5:$A$394,A523,'LxI Assessment'!$D$5:$D$394,D523,'LxI Assessment'!$S$5:$S$394,"&gt;0")=0,"",SUMIFS('LxI Assessment'!$S$5:$S$394,'LxI Assessment'!$A$5:$A$394,A523,'LxI Assessment'!$D$5:$D$394,D523)))</f>
        <v>2</v>
      </c>
      <c r="H523" s="7" t="str">
        <f aca="false">IF(G523="N/A","N/A",IF(G523="","No data",INDEX(Config!$B$5:$B$9,G523)))</f>
        <v>Medium-Low</v>
      </c>
      <c r="I523" s="31" t="n">
        <f aca="false">IF(NOT(ISNUMBER($G523)),"",SUMPRODUCT(('Control Mapping'!$C$5:$C$83=D523)*('Control Mapping'!$AF$5:$AF$83&gt;0)))</f>
        <v>2</v>
      </c>
      <c r="J523" s="31" t="n">
        <f aca="false">IF(NOT(ISNUMBER($G523)),"",SUMPRODUCT(('Control Mapping'!$C$5:$C$83=D523)*('Control Mapping'!$F$5:$F$83="Y")*('Control Mapping'!$AF$5:$AF$83&gt;0)))</f>
        <v>1</v>
      </c>
      <c r="K523" s="31" t="n">
        <f aca="false">IF(NOT(ISNUMBER($G523)),"",SUMPRODUCT(('Control Mapping'!$C$5:$C$83=D523)*('Control Mapping'!$F$5:$F$83="Y")*('Control Mapping'!$AF$5:$AF$83=4)))</f>
        <v>0</v>
      </c>
      <c r="L523" s="29" t="n">
        <f aca="false">IF(NOT(ISNUMBER($G523)),"",IFERROR(SUMPRODUCT(('Control Mapping'!$C$5:$C$83=D523)*'Control Mapping'!$E$5:$E$83*'Control Mapping'!$AF$5:$AF$83)/SUMPRODUCT(('Control Mapping'!$C$5:$C$83=D523)*'Control Mapping'!$E$5:$E$83*('Control Mapping'!$AF$5:$AF$83&gt;0)),""))</f>
        <v>2</v>
      </c>
      <c r="M523" s="34" t="n">
        <f aca="false">IF(NOT(ISNUMBER($G523)),"",IF(J523=0,4,MAX(MATCH(L523,'Residual Config'!$E$11:$E$14,1),IF(K523&gt;0,'Residual Config'!$C$7,1))))</f>
        <v>2</v>
      </c>
      <c r="N523" s="7" t="str">
        <f aca="false">IF(NOT(ISNUMBER($G523)),"",IF(J523=0,"Ineffective (no key control)",INDEX('Residual Config'!$B$11:$B$14,M523)))</f>
        <v>Largely effective</v>
      </c>
      <c r="O523" s="36" t="n">
        <f aca="false">IF(NOT(ISNUMBER($G523)),"",IF(J523=0,0,SUMPRODUCT(('Control Mapping'!$C$5:$C$83=D523)*'Control Mapping'!$E$5:$E$83*(('Control Mapping'!$AF$5:$AF$83=1)*'Residual Config'!$D$11+('Control Mapping'!$AF$5:$AF$83=2)*'Residual Config'!$D$12+('Control Mapping'!$AF$5:$AF$83=3)*'Residual Config'!$D$13+('Control Mapping'!$AF$5:$AF$83=4)*'Residual Config'!$D$14))/SUMPRODUCT(('Control Mapping'!$C$5:$C$83=D523)*'Control Mapping'!$E$5:$E$83*('Control Mapping'!$AF$5:$AF$83&gt;0))))</f>
        <v>0.4</v>
      </c>
      <c r="P523" s="31" t="n">
        <f aca="false">IF(NOT(ISNUMBER($G523)),"",INDEX('Residual Config'!$B$19:$E$23,6-G523,M523))</f>
        <v>1</v>
      </c>
      <c r="Q523" s="29" t="n">
        <f aca="false">IF(NOT(ISNUMBER($G523)),"",MAX(1,F523*(1-O523)))</f>
        <v>1.2</v>
      </c>
      <c r="R523" s="31" t="n">
        <f aca="false">IF(NOT(ISNUMBER($G523)),"",MAX(MATCH(Q523,Config!$D$5:$D$9,1),G523-'Residual Config'!$C$6))</f>
        <v>1</v>
      </c>
      <c r="S523" s="34" t="n">
        <f aca="false">IF(NOT(ISNUMBER($G523)),"",IF('Residual Config'!$C$5="Numeric",R523,P523))</f>
        <v>1</v>
      </c>
      <c r="T523" s="7" t="str">
        <f aca="false">IF(G523="N/A","N/A",IF(S523="","No data",INDEX(Config!$B$5:$B$9,S523)))</f>
        <v>Low</v>
      </c>
      <c r="U523" s="32" t="n">
        <v>0</v>
      </c>
      <c r="V523" s="8"/>
      <c r="W523" s="33"/>
      <c r="X523" s="34" t="n">
        <f aca="false">IF(S523="","",IF(AND(W523="Y",U523&lt;&gt;0),MAX(1,MIN(5,S523+MAX(-Config!$C$27,MIN(Config!$C$27,U523)))),S523))</f>
        <v>1</v>
      </c>
      <c r="Y523" s="35" t="str">
        <f aca="false">IF(G523="N/A","N/A",IF(X523="","No data",INDEX(Config!$B$5:$B$9,X523)))</f>
        <v>Low</v>
      </c>
      <c r="Z523" s="7" t="str">
        <f aca="false">IF(U523=0,"None",IF(W523="Y","Applied","Pending HO approval"))</f>
        <v>None</v>
      </c>
      <c r="AA523" s="12" t="str">
        <f aca="false">INDEX('Risk Taxonomy'!$G$5:$G$24,MATCH(D523,'Risk Taxonomy'!$A$5:$A$24,0))</f>
        <v>Low</v>
      </c>
      <c r="AB523" s="7" t="str">
        <f aca="false">INDEX('Risk Taxonomy'!$H$5:$H$24,MATCH(D523,'Risk Taxonomy'!$A$5:$A$24,0))</f>
        <v>Medium</v>
      </c>
      <c r="AC523" s="35" t="str">
        <f aca="false">IF(NOT(ISNUMBER(X523)),"",IF(X523&lt;=MATCH(AB523,Config!$B$5:$B$9,0),"Within",IF(OR(X523-MATCH(AB523,Config!$B$5:$B$9,0)&gt;=2,AND('Residual Config'!$C$8="Y",ISNUMBER(SEARCH("Zero",AA523)))),"Red","Amber")))</f>
        <v>Within</v>
      </c>
      <c r="AD523" s="12" t="str">
        <f aca="false">IF(AC523="Red","Group CCO / CRO and Country CEO within 2 business days; action plan in 15 days; report to Board Risk &amp; Compliance Committee",IF(AC523="Amber","Country CO, risk owner and HO Administrator within 5 business days; action plan in 30 days",""))</f>
        <v/>
      </c>
    </row>
    <row r="524" customFormat="false" ht="15" hidden="false" customHeight="false" outlineLevel="0" collapsed="false">
      <c r="A524" s="26" t="str">
        <f aca="false">Entities!$A$30</f>
        <v>CH</v>
      </c>
      <c r="B524" s="12" t="str">
        <f aca="false">INDEX(Entities!$B$5:$B$34,MATCH(A524,Entities!$A$5:$A$34,0))</f>
        <v>Arab Bank (Switzerland) – sister company</v>
      </c>
      <c r="C524" s="12" t="str">
        <f aca="false">INDEX(Entities!$D$5:$D$34,MATCH(A524,Entities!$A$5:$A$34,0))</f>
        <v>Europe</v>
      </c>
      <c r="D524" s="12" t="s">
        <v>322</v>
      </c>
      <c r="E524" s="12" t="str">
        <f aca="false">INDEX('Risk Taxonomy'!$B$5:$B$24,MATCH(D524,'Risk Taxonomy'!$A$5:$A$24,0))</f>
        <v>Strategic, business model and ESG</v>
      </c>
      <c r="F524" s="29" t="n">
        <f aca="false">IF(NOT(ISNUMBER(G524)),"",G524)</f>
        <v>1</v>
      </c>
      <c r="G524" s="34" t="n">
        <f aca="false">IF(COUNTIFS('LxI Assessment'!$A$5:$A$394,A524,'LxI Assessment'!$D$5:$D$394,D524,'LxI Assessment'!$F$5:$F$394,"N/A")&gt;0,"N/A",IF(COUNTIFS('LxI Assessment'!$A$5:$A$394,A524,'LxI Assessment'!$D$5:$D$394,D524,'LxI Assessment'!$S$5:$S$394,"&gt;0")=0,"",SUMIFS('LxI Assessment'!$S$5:$S$394,'LxI Assessment'!$A$5:$A$394,A524,'LxI Assessment'!$D$5:$D$394,D524)))</f>
        <v>1</v>
      </c>
      <c r="H524" s="7" t="str">
        <f aca="false">IF(G524="N/A","N/A",IF(G524="","No data",INDEX(Config!$B$5:$B$9,G524)))</f>
        <v>Low</v>
      </c>
      <c r="I524" s="31" t="n">
        <f aca="false">IF(NOT(ISNUMBER($G524)),"",SUMPRODUCT(('Control Mapping'!$C$5:$C$83=D524)*('Control Mapping'!$AF$5:$AF$83&gt;0)))</f>
        <v>1</v>
      </c>
      <c r="J524" s="31" t="n">
        <f aca="false">IF(NOT(ISNUMBER($G524)),"",SUMPRODUCT(('Control Mapping'!$C$5:$C$83=D524)*('Control Mapping'!$F$5:$F$83="Y")*('Control Mapping'!$AF$5:$AF$83&gt;0)))</f>
        <v>1</v>
      </c>
      <c r="K524" s="31" t="n">
        <f aca="false">IF(NOT(ISNUMBER($G524)),"",SUMPRODUCT(('Control Mapping'!$C$5:$C$83=D524)*('Control Mapping'!$F$5:$F$83="Y")*('Control Mapping'!$AF$5:$AF$83=4)))</f>
        <v>0</v>
      </c>
      <c r="L524" s="29" t="n">
        <f aca="false">IF(NOT(ISNUMBER($G524)),"",IFERROR(SUMPRODUCT(('Control Mapping'!$C$5:$C$83=D524)*'Control Mapping'!$E$5:$E$83*'Control Mapping'!$AF$5:$AF$83)/SUMPRODUCT(('Control Mapping'!$C$5:$C$83=D524)*'Control Mapping'!$E$5:$E$83*('Control Mapping'!$AF$5:$AF$83&gt;0)),""))</f>
        <v>1</v>
      </c>
      <c r="M524" s="34" t="n">
        <f aca="false">IF(NOT(ISNUMBER($G524)),"",IF(J524=0,4,MAX(MATCH(L524,'Residual Config'!$E$11:$E$14,1),IF(K524&gt;0,'Residual Config'!$C$7,1))))</f>
        <v>1</v>
      </c>
      <c r="N524" s="7" t="str">
        <f aca="false">IF(NOT(ISNUMBER($G524)),"",IF(J524=0,"Ineffective (no key control)",INDEX('Residual Config'!$B$11:$B$14,M524)))</f>
        <v>Effective</v>
      </c>
      <c r="O524" s="36" t="n">
        <f aca="false">IF(NOT(ISNUMBER($G524)),"",IF(J524=0,0,SUMPRODUCT(('Control Mapping'!$C$5:$C$83=D524)*'Control Mapping'!$E$5:$E$83*(('Control Mapping'!$AF$5:$AF$83=1)*'Residual Config'!$D$11+('Control Mapping'!$AF$5:$AF$83=2)*'Residual Config'!$D$12+('Control Mapping'!$AF$5:$AF$83=3)*'Residual Config'!$D$13+('Control Mapping'!$AF$5:$AF$83=4)*'Residual Config'!$D$14))/SUMPRODUCT(('Control Mapping'!$C$5:$C$83=D524)*'Control Mapping'!$E$5:$E$83*('Control Mapping'!$AF$5:$AF$83&gt;0))))</f>
        <v>0.6</v>
      </c>
      <c r="P524" s="31" t="n">
        <f aca="false">IF(NOT(ISNUMBER($G524)),"",INDEX('Residual Config'!$B$19:$E$23,6-G524,M524))</f>
        <v>1</v>
      </c>
      <c r="Q524" s="29" t="n">
        <f aca="false">IF(NOT(ISNUMBER($G524)),"",MAX(1,F524*(1-O524)))</f>
        <v>1</v>
      </c>
      <c r="R524" s="31" t="n">
        <f aca="false">IF(NOT(ISNUMBER($G524)),"",MAX(MATCH(Q524,Config!$D$5:$D$9,1),G524-'Residual Config'!$C$6))</f>
        <v>1</v>
      </c>
      <c r="S524" s="34" t="n">
        <f aca="false">IF(NOT(ISNUMBER($G524)),"",IF('Residual Config'!$C$5="Numeric",R524,P524))</f>
        <v>1</v>
      </c>
      <c r="T524" s="7" t="str">
        <f aca="false">IF(G524="N/A","N/A",IF(S524="","No data",INDEX(Config!$B$5:$B$9,S524)))</f>
        <v>Low</v>
      </c>
      <c r="U524" s="32" t="n">
        <v>0</v>
      </c>
      <c r="V524" s="8"/>
      <c r="W524" s="33"/>
      <c r="X524" s="34" t="n">
        <f aca="false">IF(S524="","",IF(AND(W524="Y",U524&lt;&gt;0),MAX(1,MIN(5,S524+MAX(-Config!$C$27,MIN(Config!$C$27,U524)))),S524))</f>
        <v>1</v>
      </c>
      <c r="Y524" s="35" t="str">
        <f aca="false">IF(G524="N/A","N/A",IF(X524="","No data",INDEX(Config!$B$5:$B$9,X524)))</f>
        <v>Low</v>
      </c>
      <c r="Z524" s="7" t="str">
        <f aca="false">IF(U524=0,"None",IF(W524="Y","Applied","Pending HO approval"))</f>
        <v>None</v>
      </c>
      <c r="AA524" s="12" t="str">
        <f aca="false">INDEX('Risk Taxonomy'!$G$5:$G$24,MATCH(D524,'Risk Taxonomy'!$A$5:$A$24,0))</f>
        <v>Moderate</v>
      </c>
      <c r="AB524" s="7" t="str">
        <f aca="false">INDEX('Risk Taxonomy'!$H$5:$H$24,MATCH(D524,'Risk Taxonomy'!$A$5:$A$24,0))</f>
        <v>Medium-High</v>
      </c>
      <c r="AC524" s="35" t="str">
        <f aca="false">IF(NOT(ISNUMBER(X524)),"",IF(X524&lt;=MATCH(AB524,Config!$B$5:$B$9,0),"Within",IF(OR(X524-MATCH(AB524,Config!$B$5:$B$9,0)&gt;=2,AND('Residual Config'!$C$8="Y",ISNUMBER(SEARCH("Zero",AA524)))),"Red","Amber")))</f>
        <v>Within</v>
      </c>
      <c r="AD524" s="12" t="str">
        <f aca="false">IF(AC524="Red","Group CCO / CRO and Country CEO within 2 business days; action plan in 15 days; report to Board Risk &amp; Compliance Committee",IF(AC524="Amber","Country CO, risk owner and HO Administrator within 5 business days; action plan in 30 days",""))</f>
        <v/>
      </c>
    </row>
    <row r="525" customFormat="false" ht="15" hidden="false" customHeight="false" outlineLevel="0" collapsed="false">
      <c r="A525" s="26" t="str">
        <f aca="false">Entities!$A$31</f>
        <v>SG</v>
      </c>
      <c r="B525" s="12" t="str">
        <f aca="false">INDEX(Entities!$B$5:$B$34,MATCH(A525,Entities!$A$5:$A$34,0))</f>
        <v>Arab Bank – Singapore</v>
      </c>
      <c r="C525" s="12" t="str">
        <f aca="false">INDEX(Entities!$D$5:$D$34,MATCH(A525,Entities!$A$5:$A$34,0))</f>
        <v>Asia-Pacific</v>
      </c>
      <c r="D525" s="12" t="s">
        <v>260</v>
      </c>
      <c r="E525" s="12" t="str">
        <f aca="false">INDEX('Risk Taxonomy'!$B$5:$B$24,MATCH(D525,'Risk Taxonomy'!$A$5:$A$24,0))</f>
        <v>Money laundering</v>
      </c>
      <c r="F525" s="29" t="n">
        <f aca="false">IF(NOT(ISNUMBER(G525)),"",IFERROR(IF(MATCH(SUMIFS('FC Calculation'!$N$5:$N$214,'FC Calculation'!$A$5:$A$214,A525,'FC Calculation'!$D$5:$D$214,D525),Config!$D$5:$D$9,1)=G525,SUMIFS('FC Calculation'!$N$5:$N$214,'FC Calculation'!$A$5:$A$214,A525,'FC Calculation'!$D$5:$D$214,D525),G525),G525))</f>
        <v>2.00126984126984</v>
      </c>
      <c r="G525" s="34" t="n">
        <f aca="false">IF(COUNTIFS('FC Calculation'!$A$5:$A$214,A525,'FC Calculation'!$D$5:$D$214,D525,'FC Calculation'!$T$5:$T$214,"&gt;0")=0,"",SUMIFS('FC Calculation'!$T$5:$T$214,'FC Calculation'!$A$5:$A$214,A525,'FC Calculation'!$D$5:$D$214,D525))</f>
        <v>2</v>
      </c>
      <c r="H525" s="7" t="str">
        <f aca="false">IF(G525="N/A","N/A",IF(G525="","No data",INDEX(Config!$B$5:$B$9,G525)))</f>
        <v>Medium-Low</v>
      </c>
      <c r="I525" s="31" t="n">
        <f aca="false">IF(NOT(ISNUMBER($G525)),"",SUMPRODUCT(('Control Mapping'!$C$5:$C$83=D525)*('Control Mapping'!$AG$5:$AG$83&gt;0)))</f>
        <v>12</v>
      </c>
      <c r="J525" s="31" t="n">
        <f aca="false">IF(NOT(ISNUMBER($G525)),"",SUMPRODUCT(('Control Mapping'!$C$5:$C$83=D525)*('Control Mapping'!$F$5:$F$83="Y")*('Control Mapping'!$AG$5:$AG$83&gt;0)))</f>
        <v>9</v>
      </c>
      <c r="K525" s="31" t="n">
        <f aca="false">IF(NOT(ISNUMBER($G525)),"",SUMPRODUCT(('Control Mapping'!$C$5:$C$83=D525)*('Control Mapping'!$F$5:$F$83="Y")*('Control Mapping'!$AG$5:$AG$83=4)))</f>
        <v>0</v>
      </c>
      <c r="L525" s="29" t="n">
        <f aca="false">IF(NOT(ISNUMBER($G525)),"",IFERROR(SUMPRODUCT(('Control Mapping'!$C$5:$C$83=D525)*'Control Mapping'!$E$5:$E$83*'Control Mapping'!$AG$5:$AG$83)/SUMPRODUCT(('Control Mapping'!$C$5:$C$83=D525)*'Control Mapping'!$E$5:$E$83*('Control Mapping'!$AG$5:$AG$83&gt;0)),""))</f>
        <v>1.52173913043478</v>
      </c>
      <c r="M525" s="34" t="n">
        <f aca="false">IF(NOT(ISNUMBER($G525)),"",IF(J525=0,4,MAX(MATCH(L525,'Residual Config'!$E$11:$E$14,1),IF(K525&gt;0,'Residual Config'!$C$7,1))))</f>
        <v>2</v>
      </c>
      <c r="N525" s="7" t="str">
        <f aca="false">IF(NOT(ISNUMBER($G525)),"",IF(J525=0,"Ineffective (no key control)",INDEX('Residual Config'!$B$11:$B$14,M525)))</f>
        <v>Largely effective</v>
      </c>
      <c r="O525" s="36" t="n">
        <f aca="false">IF(NOT(ISNUMBER($G525)),"",IF(J525=0,0,SUMPRODUCT(('Control Mapping'!$C$5:$C$83=D525)*'Control Mapping'!$E$5:$E$83*(('Control Mapping'!$AG$5:$AG$83=1)*'Residual Config'!$D$11+('Control Mapping'!$AG$5:$AG$83=2)*'Residual Config'!$D$12+('Control Mapping'!$AG$5:$AG$83=3)*'Residual Config'!$D$13+('Control Mapping'!$AG$5:$AG$83=4)*'Residual Config'!$D$14))/SUMPRODUCT(('Control Mapping'!$C$5:$C$83=D525)*'Control Mapping'!$E$5:$E$83*('Control Mapping'!$AG$5:$AG$83&gt;0))))</f>
        <v>0.495652173913044</v>
      </c>
      <c r="P525" s="31" t="n">
        <f aca="false">IF(NOT(ISNUMBER($G525)),"",INDEX('Residual Config'!$B$19:$E$23,6-G525,M525))</f>
        <v>1</v>
      </c>
      <c r="Q525" s="29" t="n">
        <f aca="false">IF(NOT(ISNUMBER($G525)),"",MAX(1,F525*(1-O525)))</f>
        <v>1.00933609385783</v>
      </c>
      <c r="R525" s="31" t="n">
        <f aca="false">IF(NOT(ISNUMBER($G525)),"",MAX(MATCH(Q525,Config!$D$5:$D$9,1),G525-'Residual Config'!$C$6))</f>
        <v>1</v>
      </c>
      <c r="S525" s="34" t="n">
        <f aca="false">IF(NOT(ISNUMBER($G525)),"",IF('Residual Config'!$C$5="Numeric",R525,P525))</f>
        <v>1</v>
      </c>
      <c r="T525" s="7" t="str">
        <f aca="false">IF(G525="N/A","N/A",IF(S525="","No data",INDEX(Config!$B$5:$B$9,S525)))</f>
        <v>Low</v>
      </c>
      <c r="U525" s="32" t="n">
        <v>0</v>
      </c>
      <c r="V525" s="8"/>
      <c r="W525" s="33"/>
      <c r="X525" s="34" t="n">
        <f aca="false">IF(S525="","",IF(AND(W525="Y",U525&lt;&gt;0),MAX(1,MIN(5,S525+MAX(-Config!$C$27,MIN(Config!$C$27,U525)))),S525))</f>
        <v>1</v>
      </c>
      <c r="Y525" s="35" t="str">
        <f aca="false">IF(G525="N/A","N/A",IF(X525="","No data",INDEX(Config!$B$5:$B$9,X525)))</f>
        <v>Low</v>
      </c>
      <c r="Z525" s="7" t="str">
        <f aca="false">IF(U525=0,"None",IF(W525="Y","Applied","Pending HO approval"))</f>
        <v>None</v>
      </c>
      <c r="AA525" s="12" t="str">
        <f aca="false">INDEX('Risk Taxonomy'!$G$5:$G$24,MATCH(D525,'Risk Taxonomy'!$A$5:$A$24,0))</f>
        <v>Very low</v>
      </c>
      <c r="AB525" s="7" t="str">
        <f aca="false">INDEX('Risk Taxonomy'!$H$5:$H$24,MATCH(D525,'Risk Taxonomy'!$A$5:$A$24,0))</f>
        <v>Medium-Low</v>
      </c>
      <c r="AC525" s="35" t="str">
        <f aca="false">IF(NOT(ISNUMBER(X525)),"",IF(X525&lt;=MATCH(AB525,Config!$B$5:$B$9,0),"Within",IF(OR(X525-MATCH(AB525,Config!$B$5:$B$9,0)&gt;=2,AND('Residual Config'!$C$8="Y",ISNUMBER(SEARCH("Zero",AA525)))),"Red","Amber")))</f>
        <v>Within</v>
      </c>
      <c r="AD525" s="12" t="str">
        <f aca="false">IF(AC525="Red","Group CCO / CRO and Country CEO within 2 business days; action plan in 15 days; report to Board Risk &amp; Compliance Committee",IF(AC525="Amber","Country CO, risk owner and HO Administrator within 5 business days; action plan in 30 days",""))</f>
        <v/>
      </c>
    </row>
    <row r="526" customFormat="false" ht="15" hidden="false" customHeight="false" outlineLevel="0" collapsed="false">
      <c r="A526" s="26" t="str">
        <f aca="false">Entities!$A$31</f>
        <v>SG</v>
      </c>
      <c r="B526" s="12" t="str">
        <f aca="false">INDEX(Entities!$B$5:$B$34,MATCH(A526,Entities!$A$5:$A$34,0))</f>
        <v>Arab Bank – Singapore</v>
      </c>
      <c r="C526" s="12" t="str">
        <f aca="false">INDEX(Entities!$D$5:$D$34,MATCH(A526,Entities!$A$5:$A$34,0))</f>
        <v>Asia-Pacific</v>
      </c>
      <c r="D526" s="12" t="s">
        <v>267</v>
      </c>
      <c r="E526" s="12" t="str">
        <f aca="false">INDEX('Risk Taxonomy'!$B$5:$B$24,MATCH(D526,'Risk Taxonomy'!$A$5:$A$24,0))</f>
        <v>Terrorist financing</v>
      </c>
      <c r="F526" s="29" t="n">
        <f aca="false">IF(NOT(ISNUMBER(G526)),"",IFERROR(IF(MATCH(SUMIFS('FC Calculation'!$N$5:$N$214,'FC Calculation'!$A$5:$A$214,A526,'FC Calculation'!$D$5:$D$214,D526),Config!$D$5:$D$9,1)=G526,SUMIFS('FC Calculation'!$N$5:$N$214,'FC Calculation'!$A$5:$A$214,A526,'FC Calculation'!$D$5:$D$214,D526),G526),G526))</f>
        <v>1.90119047619048</v>
      </c>
      <c r="G526" s="34" t="n">
        <f aca="false">IF(COUNTIFS('FC Calculation'!$A$5:$A$214,A526,'FC Calculation'!$D$5:$D$214,D526,'FC Calculation'!$T$5:$T$214,"&gt;0")=0,"",SUMIFS('FC Calculation'!$T$5:$T$214,'FC Calculation'!$A$5:$A$214,A526,'FC Calculation'!$D$5:$D$214,D526))</f>
        <v>2</v>
      </c>
      <c r="H526" s="7" t="str">
        <f aca="false">IF(G526="N/A","N/A",IF(G526="","No data",INDEX(Config!$B$5:$B$9,G526)))</f>
        <v>Medium-Low</v>
      </c>
      <c r="I526" s="31" t="n">
        <f aca="false">IF(NOT(ISNUMBER($G526)),"",SUMPRODUCT(('Control Mapping'!$C$5:$C$83=D526)*('Control Mapping'!$AG$5:$AG$83&gt;0)))</f>
        <v>12</v>
      </c>
      <c r="J526" s="31" t="n">
        <f aca="false">IF(NOT(ISNUMBER($G526)),"",SUMPRODUCT(('Control Mapping'!$C$5:$C$83=D526)*('Control Mapping'!$F$5:$F$83="Y")*('Control Mapping'!$AG$5:$AG$83&gt;0)))</f>
        <v>9</v>
      </c>
      <c r="K526" s="31" t="n">
        <f aca="false">IF(NOT(ISNUMBER($G526)),"",SUMPRODUCT(('Control Mapping'!$C$5:$C$83=D526)*('Control Mapping'!$F$5:$F$83="Y")*('Control Mapping'!$AG$5:$AG$83=4)))</f>
        <v>0</v>
      </c>
      <c r="L526" s="29" t="n">
        <f aca="false">IF(NOT(ISNUMBER($G526)),"",IFERROR(SUMPRODUCT(('Control Mapping'!$C$5:$C$83=D526)*'Control Mapping'!$E$5:$E$83*'Control Mapping'!$AG$5:$AG$83)/SUMPRODUCT(('Control Mapping'!$C$5:$C$83=D526)*'Control Mapping'!$E$5:$E$83*('Control Mapping'!$AG$5:$AG$83&gt;0)),""))</f>
        <v>1.36842105263158</v>
      </c>
      <c r="M526" s="34" t="n">
        <f aca="false">IF(NOT(ISNUMBER($G526)),"",IF(J526=0,4,MAX(MATCH(L526,'Residual Config'!$E$11:$E$14,1),IF(K526&gt;0,'Residual Config'!$C$7,1))))</f>
        <v>1</v>
      </c>
      <c r="N526" s="7" t="str">
        <f aca="false">IF(NOT(ISNUMBER($G526)),"",IF(J526=0,"Ineffective (no key control)",INDEX('Residual Config'!$B$11:$B$14,M526)))</f>
        <v>Effective</v>
      </c>
      <c r="O526" s="36" t="n">
        <f aca="false">IF(NOT(ISNUMBER($G526)),"",IF(J526=0,0,SUMPRODUCT(('Control Mapping'!$C$5:$C$83=D526)*'Control Mapping'!$E$5:$E$83*(('Control Mapping'!$AG$5:$AG$83=1)*'Residual Config'!$D$11+('Control Mapping'!$AG$5:$AG$83=2)*'Residual Config'!$D$12+('Control Mapping'!$AG$5:$AG$83=3)*'Residual Config'!$D$13+('Control Mapping'!$AG$5:$AG$83=4)*'Residual Config'!$D$14))/SUMPRODUCT(('Control Mapping'!$C$5:$C$83=D526)*'Control Mapping'!$E$5:$E$83*('Control Mapping'!$AG$5:$AG$83&gt;0))))</f>
        <v>0.526315789473684</v>
      </c>
      <c r="P526" s="31" t="n">
        <f aca="false">IF(NOT(ISNUMBER($G526)),"",INDEX('Residual Config'!$B$19:$E$23,6-G526,M526))</f>
        <v>1</v>
      </c>
      <c r="Q526" s="29" t="n">
        <f aca="false">IF(NOT(ISNUMBER($G526)),"",MAX(1,F526*(1-O526)))</f>
        <v>1</v>
      </c>
      <c r="R526" s="31" t="n">
        <f aca="false">IF(NOT(ISNUMBER($G526)),"",MAX(MATCH(Q526,Config!$D$5:$D$9,1),G526-'Residual Config'!$C$6))</f>
        <v>1</v>
      </c>
      <c r="S526" s="34" t="n">
        <f aca="false">IF(NOT(ISNUMBER($G526)),"",IF('Residual Config'!$C$5="Numeric",R526,P526))</f>
        <v>1</v>
      </c>
      <c r="T526" s="7" t="str">
        <f aca="false">IF(G526="N/A","N/A",IF(S526="","No data",INDEX(Config!$B$5:$B$9,S526)))</f>
        <v>Low</v>
      </c>
      <c r="U526" s="32" t="n">
        <v>0</v>
      </c>
      <c r="V526" s="8"/>
      <c r="W526" s="33"/>
      <c r="X526" s="34" t="n">
        <f aca="false">IF(S526="","",IF(AND(W526="Y",U526&lt;&gt;0),MAX(1,MIN(5,S526+MAX(-Config!$C$27,MIN(Config!$C$27,U526)))),S526))</f>
        <v>1</v>
      </c>
      <c r="Y526" s="35" t="str">
        <f aca="false">IF(G526="N/A","N/A",IF(X526="","No data",INDEX(Config!$B$5:$B$9,X526)))</f>
        <v>Low</v>
      </c>
      <c r="Z526" s="7" t="str">
        <f aca="false">IF(U526=0,"None",IF(W526="Y","Applied","Pending HO approval"))</f>
        <v>None</v>
      </c>
      <c r="AA526" s="12" t="str">
        <f aca="false">INDEX('Risk Taxonomy'!$G$5:$G$24,MATCH(D526,'Risk Taxonomy'!$A$5:$A$24,0))</f>
        <v>Zero tolerance</v>
      </c>
      <c r="AB526" s="7" t="str">
        <f aca="false">INDEX('Risk Taxonomy'!$H$5:$H$24,MATCH(D526,'Risk Taxonomy'!$A$5:$A$24,0))</f>
        <v>Low</v>
      </c>
      <c r="AC526" s="35" t="str">
        <f aca="false">IF(NOT(ISNUMBER(X526)),"",IF(X526&lt;=MATCH(AB526,Config!$B$5:$B$9,0),"Within",IF(OR(X526-MATCH(AB526,Config!$B$5:$B$9,0)&gt;=2,AND('Residual Config'!$C$8="Y",ISNUMBER(SEARCH("Zero",AA526)))),"Red","Amber")))</f>
        <v>Within</v>
      </c>
      <c r="AD526" s="12" t="str">
        <f aca="false">IF(AC526="Red","Group CCO / CRO and Country CEO within 2 business days; action plan in 15 days; report to Board Risk &amp; Compliance Committee",IF(AC526="Amber","Country CO, risk owner and HO Administrator within 5 business days; action plan in 30 days",""))</f>
        <v/>
      </c>
    </row>
    <row r="527" customFormat="false" ht="15" hidden="false" customHeight="false" outlineLevel="0" collapsed="false">
      <c r="A527" s="26" t="str">
        <f aca="false">Entities!$A$31</f>
        <v>SG</v>
      </c>
      <c r="B527" s="12" t="str">
        <f aca="false">INDEX(Entities!$B$5:$B$34,MATCH(A527,Entities!$A$5:$A$34,0))</f>
        <v>Arab Bank – Singapore</v>
      </c>
      <c r="C527" s="12" t="str">
        <f aca="false">INDEX(Entities!$D$5:$D$34,MATCH(A527,Entities!$A$5:$A$34,0))</f>
        <v>Asia-Pacific</v>
      </c>
      <c r="D527" s="12" t="s">
        <v>270</v>
      </c>
      <c r="E527" s="12" t="str">
        <f aca="false">INDEX('Risk Taxonomy'!$B$5:$B$24,MATCH(D527,'Risk Taxonomy'!$A$5:$A$24,0))</f>
        <v>Proliferation financing</v>
      </c>
      <c r="F527" s="29" t="n">
        <f aca="false">IF(NOT(ISNUMBER(G527)),"",IFERROR(IF(MATCH(SUMIFS('FC Calculation'!$N$5:$N$214,'FC Calculation'!$A$5:$A$214,A527,'FC Calculation'!$D$5:$D$214,D527),Config!$D$5:$D$9,1)=G527,SUMIFS('FC Calculation'!$N$5:$N$214,'FC Calculation'!$A$5:$A$214,A527,'FC Calculation'!$D$5:$D$214,D527),G527),G527))</f>
        <v>2.24166666666667</v>
      </c>
      <c r="G527" s="34" t="n">
        <f aca="false">IF(COUNTIFS('FC Calculation'!$A$5:$A$214,A527,'FC Calculation'!$D$5:$D$214,D527,'FC Calculation'!$T$5:$T$214,"&gt;0")=0,"",SUMIFS('FC Calculation'!$T$5:$T$214,'FC Calculation'!$A$5:$A$214,A527,'FC Calculation'!$D$5:$D$214,D527))</f>
        <v>2</v>
      </c>
      <c r="H527" s="7" t="str">
        <f aca="false">IF(G527="N/A","N/A",IF(G527="","No data",INDEX(Config!$B$5:$B$9,G527)))</f>
        <v>Medium-Low</v>
      </c>
      <c r="I527" s="31" t="n">
        <f aca="false">IF(NOT(ISNUMBER($G527)),"",SUMPRODUCT(('Control Mapping'!$C$5:$C$83=D527)*('Control Mapping'!$AG$5:$AG$83&gt;0)))</f>
        <v>5</v>
      </c>
      <c r="J527" s="31" t="n">
        <f aca="false">IF(NOT(ISNUMBER($G527)),"",SUMPRODUCT(('Control Mapping'!$C$5:$C$83=D527)*('Control Mapping'!$F$5:$F$83="Y")*('Control Mapping'!$AG$5:$AG$83&gt;0)))</f>
        <v>5</v>
      </c>
      <c r="K527" s="31" t="n">
        <f aca="false">IF(NOT(ISNUMBER($G527)),"",SUMPRODUCT(('Control Mapping'!$C$5:$C$83=D527)*('Control Mapping'!$F$5:$F$83="Y")*('Control Mapping'!$AG$5:$AG$83=4)))</f>
        <v>0</v>
      </c>
      <c r="L527" s="29" t="n">
        <f aca="false">IF(NOT(ISNUMBER($G527)),"",IFERROR(SUMPRODUCT(('Control Mapping'!$C$5:$C$83=D527)*'Control Mapping'!$E$5:$E$83*'Control Mapping'!$AG$5:$AG$83)/SUMPRODUCT(('Control Mapping'!$C$5:$C$83=D527)*'Control Mapping'!$E$5:$E$83*('Control Mapping'!$AG$5:$AG$83&gt;0)),""))</f>
        <v>1.9</v>
      </c>
      <c r="M527" s="34" t="n">
        <f aca="false">IF(NOT(ISNUMBER($G527)),"",IF(J527=0,4,MAX(MATCH(L527,'Residual Config'!$E$11:$E$14,1),IF(K527&gt;0,'Residual Config'!$C$7,1))))</f>
        <v>2</v>
      </c>
      <c r="N527" s="7" t="str">
        <f aca="false">IF(NOT(ISNUMBER($G527)),"",IF(J527=0,"Ineffective (no key control)",INDEX('Residual Config'!$B$11:$B$14,M527)))</f>
        <v>Largely effective</v>
      </c>
      <c r="O527" s="36" t="n">
        <f aca="false">IF(NOT(ISNUMBER($G527)),"",IF(J527=0,0,SUMPRODUCT(('Control Mapping'!$C$5:$C$83=D527)*'Control Mapping'!$E$5:$E$83*(('Control Mapping'!$AG$5:$AG$83=1)*'Residual Config'!$D$11+('Control Mapping'!$AG$5:$AG$83=2)*'Residual Config'!$D$12+('Control Mapping'!$AG$5:$AG$83=3)*'Residual Config'!$D$13+('Control Mapping'!$AG$5:$AG$83=4)*'Residual Config'!$D$14))/SUMPRODUCT(('Control Mapping'!$C$5:$C$83=D527)*'Control Mapping'!$E$5:$E$83*('Control Mapping'!$AG$5:$AG$83&gt;0))))</f>
        <v>0.42</v>
      </c>
      <c r="P527" s="31" t="n">
        <f aca="false">IF(NOT(ISNUMBER($G527)),"",INDEX('Residual Config'!$B$19:$E$23,6-G527,M527))</f>
        <v>1</v>
      </c>
      <c r="Q527" s="29" t="n">
        <f aca="false">IF(NOT(ISNUMBER($G527)),"",MAX(1,F527*(1-O527)))</f>
        <v>1.30016666666667</v>
      </c>
      <c r="R527" s="31" t="n">
        <f aca="false">IF(NOT(ISNUMBER($G527)),"",MAX(MATCH(Q527,Config!$D$5:$D$9,1),G527-'Residual Config'!$C$6))</f>
        <v>1</v>
      </c>
      <c r="S527" s="34" t="n">
        <f aca="false">IF(NOT(ISNUMBER($G527)),"",IF('Residual Config'!$C$5="Numeric",R527,P527))</f>
        <v>1</v>
      </c>
      <c r="T527" s="7" t="str">
        <f aca="false">IF(G527="N/A","N/A",IF(S527="","No data",INDEX(Config!$B$5:$B$9,S527)))</f>
        <v>Low</v>
      </c>
      <c r="U527" s="32" t="n">
        <v>0</v>
      </c>
      <c r="V527" s="8"/>
      <c r="W527" s="33"/>
      <c r="X527" s="34" t="n">
        <f aca="false">IF(S527="","",IF(AND(W527="Y",U527&lt;&gt;0),MAX(1,MIN(5,S527+MAX(-Config!$C$27,MIN(Config!$C$27,U527)))),S527))</f>
        <v>1</v>
      </c>
      <c r="Y527" s="35" t="str">
        <f aca="false">IF(G527="N/A","N/A",IF(X527="","No data",INDEX(Config!$B$5:$B$9,X527)))</f>
        <v>Low</v>
      </c>
      <c r="Z527" s="7" t="str">
        <f aca="false">IF(U527=0,"None",IF(W527="Y","Applied","Pending HO approval"))</f>
        <v>None</v>
      </c>
      <c r="AA527" s="12" t="str">
        <f aca="false">INDEX('Risk Taxonomy'!$G$5:$G$24,MATCH(D527,'Risk Taxonomy'!$A$5:$A$24,0))</f>
        <v>Zero tolerance</v>
      </c>
      <c r="AB527" s="7" t="str">
        <f aca="false">INDEX('Risk Taxonomy'!$H$5:$H$24,MATCH(D527,'Risk Taxonomy'!$A$5:$A$24,0))</f>
        <v>Low</v>
      </c>
      <c r="AC527" s="35" t="str">
        <f aca="false">IF(NOT(ISNUMBER(X527)),"",IF(X527&lt;=MATCH(AB527,Config!$B$5:$B$9,0),"Within",IF(OR(X527-MATCH(AB527,Config!$B$5:$B$9,0)&gt;=2,AND('Residual Config'!$C$8="Y",ISNUMBER(SEARCH("Zero",AA527)))),"Red","Amber")))</f>
        <v>Within</v>
      </c>
      <c r="AD527" s="12" t="str">
        <f aca="false">IF(AC527="Red","Group CCO / CRO and Country CEO within 2 business days; action plan in 15 days; report to Board Risk &amp; Compliance Committee",IF(AC527="Amber","Country CO, risk owner and HO Administrator within 5 business days; action plan in 30 days",""))</f>
        <v/>
      </c>
    </row>
    <row r="528" customFormat="false" ht="15" hidden="false" customHeight="false" outlineLevel="0" collapsed="false">
      <c r="A528" s="26" t="str">
        <f aca="false">Entities!$A$31</f>
        <v>SG</v>
      </c>
      <c r="B528" s="12" t="str">
        <f aca="false">INDEX(Entities!$B$5:$B$34,MATCH(A528,Entities!$A$5:$A$34,0))</f>
        <v>Arab Bank – Singapore</v>
      </c>
      <c r="C528" s="12" t="str">
        <f aca="false">INDEX(Entities!$D$5:$D$34,MATCH(A528,Entities!$A$5:$A$34,0))</f>
        <v>Asia-Pacific</v>
      </c>
      <c r="D528" s="12" t="s">
        <v>272</v>
      </c>
      <c r="E528" s="12" t="str">
        <f aca="false">INDEX('Risk Taxonomy'!$B$5:$B$24,MATCH(D528,'Risk Taxonomy'!$A$5:$A$24,0))</f>
        <v>Sanctions</v>
      </c>
      <c r="F528" s="29" t="n">
        <f aca="false">IF(NOT(ISNUMBER(G528)),"",IFERROR(IF(MATCH(SUMIFS('FC Calculation'!$N$5:$N$214,'FC Calculation'!$A$5:$A$214,A528,'FC Calculation'!$D$5:$D$214,D528),Config!$D$5:$D$9,1)=G528,SUMIFS('FC Calculation'!$N$5:$N$214,'FC Calculation'!$A$5:$A$214,A528,'FC Calculation'!$D$5:$D$214,D528),G528),G528))</f>
        <v>2.32380952380952</v>
      </c>
      <c r="G528" s="34" t="n">
        <f aca="false">IF(COUNTIFS('FC Calculation'!$A$5:$A$214,A528,'FC Calculation'!$D$5:$D$214,D528,'FC Calculation'!$T$5:$T$214,"&gt;0")=0,"",SUMIFS('FC Calculation'!$T$5:$T$214,'FC Calculation'!$A$5:$A$214,A528,'FC Calculation'!$D$5:$D$214,D528))</f>
        <v>2</v>
      </c>
      <c r="H528" s="7" t="str">
        <f aca="false">IF(G528="N/A","N/A",IF(G528="","No data",INDEX(Config!$B$5:$B$9,G528)))</f>
        <v>Medium-Low</v>
      </c>
      <c r="I528" s="31" t="n">
        <f aca="false">IF(NOT(ISNUMBER($G528)),"",SUMPRODUCT(('Control Mapping'!$C$5:$C$83=D528)*('Control Mapping'!$AG$5:$AG$83&gt;0)))</f>
        <v>8</v>
      </c>
      <c r="J528" s="31" t="n">
        <f aca="false">IF(NOT(ISNUMBER($G528)),"",SUMPRODUCT(('Control Mapping'!$C$5:$C$83=D528)*('Control Mapping'!$F$5:$F$83="Y")*('Control Mapping'!$AG$5:$AG$83&gt;0)))</f>
        <v>5</v>
      </c>
      <c r="K528" s="31" t="n">
        <f aca="false">IF(NOT(ISNUMBER($G528)),"",SUMPRODUCT(('Control Mapping'!$C$5:$C$83=D528)*('Control Mapping'!$F$5:$F$83="Y")*('Control Mapping'!$AG$5:$AG$83=4)))</f>
        <v>0</v>
      </c>
      <c r="L528" s="29" t="n">
        <f aca="false">IF(NOT(ISNUMBER($G528)),"",IFERROR(SUMPRODUCT(('Control Mapping'!$C$5:$C$83=D528)*'Control Mapping'!$E$5:$E$83*'Control Mapping'!$AG$5:$AG$83)/SUMPRODUCT(('Control Mapping'!$C$5:$C$83=D528)*'Control Mapping'!$E$5:$E$83*('Control Mapping'!$AG$5:$AG$83&gt;0)),""))</f>
        <v>1.54545454545455</v>
      </c>
      <c r="M528" s="34" t="n">
        <f aca="false">IF(NOT(ISNUMBER($G528)),"",IF(J528=0,4,MAX(MATCH(L528,'Residual Config'!$E$11:$E$14,1),IF(K528&gt;0,'Residual Config'!$C$7,1))))</f>
        <v>2</v>
      </c>
      <c r="N528" s="7" t="str">
        <f aca="false">IF(NOT(ISNUMBER($G528)),"",IF(J528=0,"Ineffective (no key control)",INDEX('Residual Config'!$B$11:$B$14,M528)))</f>
        <v>Largely effective</v>
      </c>
      <c r="O528" s="36" t="n">
        <f aca="false">IF(NOT(ISNUMBER($G528)),"",IF(J528=0,0,SUMPRODUCT(('Control Mapping'!$C$5:$C$83=D528)*'Control Mapping'!$E$5:$E$83*(('Control Mapping'!$AG$5:$AG$83=1)*'Residual Config'!$D$11+('Control Mapping'!$AG$5:$AG$83=2)*'Residual Config'!$D$12+('Control Mapping'!$AG$5:$AG$83=3)*'Residual Config'!$D$13+('Control Mapping'!$AG$5:$AG$83=4)*'Residual Config'!$D$14))/SUMPRODUCT(('Control Mapping'!$C$5:$C$83=D528)*'Control Mapping'!$E$5:$E$83*('Control Mapping'!$AG$5:$AG$83&gt;0))))</f>
        <v>0.490909090909091</v>
      </c>
      <c r="P528" s="31" t="n">
        <f aca="false">IF(NOT(ISNUMBER($G528)),"",INDEX('Residual Config'!$B$19:$E$23,6-G528,M528))</f>
        <v>1</v>
      </c>
      <c r="Q528" s="29" t="n">
        <f aca="false">IF(NOT(ISNUMBER($G528)),"",MAX(1,F528*(1-O528)))</f>
        <v>1.1830303030303</v>
      </c>
      <c r="R528" s="31" t="n">
        <f aca="false">IF(NOT(ISNUMBER($G528)),"",MAX(MATCH(Q528,Config!$D$5:$D$9,1),G528-'Residual Config'!$C$6))</f>
        <v>1</v>
      </c>
      <c r="S528" s="34" t="n">
        <f aca="false">IF(NOT(ISNUMBER($G528)),"",IF('Residual Config'!$C$5="Numeric",R528,P528))</f>
        <v>1</v>
      </c>
      <c r="T528" s="7" t="str">
        <f aca="false">IF(G528="N/A","N/A",IF(S528="","No data",INDEX(Config!$B$5:$B$9,S528)))</f>
        <v>Low</v>
      </c>
      <c r="U528" s="32" t="n">
        <v>0</v>
      </c>
      <c r="V528" s="8"/>
      <c r="W528" s="33"/>
      <c r="X528" s="34" t="n">
        <f aca="false">IF(S528="","",IF(AND(W528="Y",U528&lt;&gt;0),MAX(1,MIN(5,S528+MAX(-Config!$C$27,MIN(Config!$C$27,U528)))),S528))</f>
        <v>1</v>
      </c>
      <c r="Y528" s="35" t="str">
        <f aca="false">IF(G528="N/A","N/A",IF(X528="","No data",INDEX(Config!$B$5:$B$9,X528)))</f>
        <v>Low</v>
      </c>
      <c r="Z528" s="7" t="str">
        <f aca="false">IF(U528=0,"None",IF(W528="Y","Applied","Pending HO approval"))</f>
        <v>None</v>
      </c>
      <c r="AA528" s="12" t="str">
        <f aca="false">INDEX('Risk Taxonomy'!$G$5:$G$24,MATCH(D528,'Risk Taxonomy'!$A$5:$A$24,0))</f>
        <v>Zero tolerance</v>
      </c>
      <c r="AB528" s="7" t="str">
        <f aca="false">INDEX('Risk Taxonomy'!$H$5:$H$24,MATCH(D528,'Risk Taxonomy'!$A$5:$A$24,0))</f>
        <v>Low</v>
      </c>
      <c r="AC528" s="35" t="str">
        <f aca="false">IF(NOT(ISNUMBER(X528)),"",IF(X528&lt;=MATCH(AB528,Config!$B$5:$B$9,0),"Within",IF(OR(X528-MATCH(AB528,Config!$B$5:$B$9,0)&gt;=2,AND('Residual Config'!$C$8="Y",ISNUMBER(SEARCH("Zero",AA528)))),"Red","Amber")))</f>
        <v>Within</v>
      </c>
      <c r="AD528" s="12" t="str">
        <f aca="false">IF(AC528="Red","Group CCO / CRO and Country CEO within 2 business days; action plan in 15 days; report to Board Risk &amp; Compliance Committee",IF(AC528="Amber","Country CO, risk owner and HO Administrator within 5 business days; action plan in 30 days",""))</f>
        <v/>
      </c>
    </row>
    <row r="529" customFormat="false" ht="15" hidden="false" customHeight="false" outlineLevel="0" collapsed="false">
      <c r="A529" s="26" t="str">
        <f aca="false">Entities!$A$31</f>
        <v>SG</v>
      </c>
      <c r="B529" s="12" t="str">
        <f aca="false">INDEX(Entities!$B$5:$B$34,MATCH(A529,Entities!$A$5:$A$34,0))</f>
        <v>Arab Bank – Singapore</v>
      </c>
      <c r="C529" s="12" t="str">
        <f aca="false">INDEX(Entities!$D$5:$D$34,MATCH(A529,Entities!$A$5:$A$34,0))</f>
        <v>Asia-Pacific</v>
      </c>
      <c r="D529" s="12" t="s">
        <v>275</v>
      </c>
      <c r="E529" s="12" t="str">
        <f aca="false">INDEX('Risk Taxonomy'!$B$5:$B$24,MATCH(D529,'Risk Taxonomy'!$A$5:$A$24,0))</f>
        <v>Bribery and corruption</v>
      </c>
      <c r="F529" s="29" t="n">
        <f aca="false">IF(NOT(ISNUMBER(G529)),"",IFERROR(IF(MATCH(SUMIFS('FC Calculation'!$N$5:$N$214,'FC Calculation'!$A$5:$A$214,A529,'FC Calculation'!$D$5:$D$214,D529),Config!$D$5:$D$9,1)=G529,SUMIFS('FC Calculation'!$N$5:$N$214,'FC Calculation'!$A$5:$A$214,A529,'FC Calculation'!$D$5:$D$214,D529),G529),G529))</f>
        <v>2.08333333333333</v>
      </c>
      <c r="G529" s="34" t="n">
        <f aca="false">IF(COUNTIFS('FC Calculation'!$A$5:$A$214,A529,'FC Calculation'!$D$5:$D$214,D529,'FC Calculation'!$T$5:$T$214,"&gt;0")=0,"",SUMIFS('FC Calculation'!$T$5:$T$214,'FC Calculation'!$A$5:$A$214,A529,'FC Calculation'!$D$5:$D$214,D529))</f>
        <v>2</v>
      </c>
      <c r="H529" s="7" t="str">
        <f aca="false">IF(G529="N/A","N/A",IF(G529="","No data",INDEX(Config!$B$5:$B$9,G529)))</f>
        <v>Medium-Low</v>
      </c>
      <c r="I529" s="31" t="n">
        <f aca="false">IF(NOT(ISNUMBER($G529)),"",SUMPRODUCT(('Control Mapping'!$C$5:$C$83=D529)*('Control Mapping'!$AG$5:$AG$83&gt;0)))</f>
        <v>5</v>
      </c>
      <c r="J529" s="31" t="n">
        <f aca="false">IF(NOT(ISNUMBER($G529)),"",SUMPRODUCT(('Control Mapping'!$C$5:$C$83=D529)*('Control Mapping'!$F$5:$F$83="Y")*('Control Mapping'!$AG$5:$AG$83&gt;0)))</f>
        <v>2</v>
      </c>
      <c r="K529" s="31" t="n">
        <f aca="false">IF(NOT(ISNUMBER($G529)),"",SUMPRODUCT(('Control Mapping'!$C$5:$C$83=D529)*('Control Mapping'!$F$5:$F$83="Y")*('Control Mapping'!$AG$5:$AG$83=4)))</f>
        <v>0</v>
      </c>
      <c r="L529" s="29" t="n">
        <f aca="false">IF(NOT(ISNUMBER($G529)),"",IFERROR(SUMPRODUCT(('Control Mapping'!$C$5:$C$83=D529)*'Control Mapping'!$E$5:$E$83*'Control Mapping'!$AG$5:$AG$83)/SUMPRODUCT(('Control Mapping'!$C$5:$C$83=D529)*'Control Mapping'!$E$5:$E$83*('Control Mapping'!$AG$5:$AG$83&gt;0)),""))</f>
        <v>1.55555555555556</v>
      </c>
      <c r="M529" s="34" t="n">
        <f aca="false">IF(NOT(ISNUMBER($G529)),"",IF(J529=0,4,MAX(MATCH(L529,'Residual Config'!$E$11:$E$14,1),IF(K529&gt;0,'Residual Config'!$C$7,1))))</f>
        <v>2</v>
      </c>
      <c r="N529" s="7" t="str">
        <f aca="false">IF(NOT(ISNUMBER($G529)),"",IF(J529=0,"Ineffective (no key control)",INDEX('Residual Config'!$B$11:$B$14,M529)))</f>
        <v>Largely effective</v>
      </c>
      <c r="O529" s="36" t="n">
        <f aca="false">IF(NOT(ISNUMBER($G529)),"",IF(J529=0,0,SUMPRODUCT(('Control Mapping'!$C$5:$C$83=D529)*'Control Mapping'!$E$5:$E$83*(('Control Mapping'!$AG$5:$AG$83=1)*'Residual Config'!$D$11+('Control Mapping'!$AG$5:$AG$83=2)*'Residual Config'!$D$12+('Control Mapping'!$AG$5:$AG$83=3)*'Residual Config'!$D$13+('Control Mapping'!$AG$5:$AG$83=4)*'Residual Config'!$D$14))/SUMPRODUCT(('Control Mapping'!$C$5:$C$83=D529)*'Control Mapping'!$E$5:$E$83*('Control Mapping'!$AG$5:$AG$83&gt;0))))</f>
        <v>0.488888888888889</v>
      </c>
      <c r="P529" s="31" t="n">
        <f aca="false">IF(NOT(ISNUMBER($G529)),"",INDEX('Residual Config'!$B$19:$E$23,6-G529,M529))</f>
        <v>1</v>
      </c>
      <c r="Q529" s="29" t="n">
        <f aca="false">IF(NOT(ISNUMBER($G529)),"",MAX(1,F529*(1-O529)))</f>
        <v>1.06481481481481</v>
      </c>
      <c r="R529" s="31" t="n">
        <f aca="false">IF(NOT(ISNUMBER($G529)),"",MAX(MATCH(Q529,Config!$D$5:$D$9,1),G529-'Residual Config'!$C$6))</f>
        <v>1</v>
      </c>
      <c r="S529" s="34" t="n">
        <f aca="false">IF(NOT(ISNUMBER($G529)),"",IF('Residual Config'!$C$5="Numeric",R529,P529))</f>
        <v>1</v>
      </c>
      <c r="T529" s="7" t="str">
        <f aca="false">IF(G529="N/A","N/A",IF(S529="","No data",INDEX(Config!$B$5:$B$9,S529)))</f>
        <v>Low</v>
      </c>
      <c r="U529" s="32" t="n">
        <v>0</v>
      </c>
      <c r="V529" s="8"/>
      <c r="W529" s="33"/>
      <c r="X529" s="34" t="n">
        <f aca="false">IF(S529="","",IF(AND(W529="Y",U529&lt;&gt;0),MAX(1,MIN(5,S529+MAX(-Config!$C$27,MIN(Config!$C$27,U529)))),S529))</f>
        <v>1</v>
      </c>
      <c r="Y529" s="35" t="str">
        <f aca="false">IF(G529="N/A","N/A",IF(X529="","No data",INDEX(Config!$B$5:$B$9,X529)))</f>
        <v>Low</v>
      </c>
      <c r="Z529" s="7" t="str">
        <f aca="false">IF(U529=0,"None",IF(W529="Y","Applied","Pending HO approval"))</f>
        <v>None</v>
      </c>
      <c r="AA529" s="12" t="str">
        <f aca="false">INDEX('Risk Taxonomy'!$G$5:$G$24,MATCH(D529,'Risk Taxonomy'!$A$5:$A$24,0))</f>
        <v>Zero tolerance</v>
      </c>
      <c r="AB529" s="7" t="str">
        <f aca="false">INDEX('Risk Taxonomy'!$H$5:$H$24,MATCH(D529,'Risk Taxonomy'!$A$5:$A$24,0))</f>
        <v>Low</v>
      </c>
      <c r="AC529" s="35" t="str">
        <f aca="false">IF(NOT(ISNUMBER(X529)),"",IF(X529&lt;=MATCH(AB529,Config!$B$5:$B$9,0),"Within",IF(OR(X529-MATCH(AB529,Config!$B$5:$B$9,0)&gt;=2,AND('Residual Config'!$C$8="Y",ISNUMBER(SEARCH("Zero",AA529)))),"Red","Amber")))</f>
        <v>Within</v>
      </c>
      <c r="AD529" s="12" t="str">
        <f aca="false">IF(AC529="Red","Group CCO / CRO and Country CEO within 2 business days; action plan in 15 days; report to Board Risk &amp; Compliance Committee",IF(AC529="Amber","Country CO, risk owner and HO Administrator within 5 business days; action plan in 30 days",""))</f>
        <v/>
      </c>
    </row>
    <row r="530" customFormat="false" ht="15" hidden="false" customHeight="false" outlineLevel="0" collapsed="false">
      <c r="A530" s="26" t="str">
        <f aca="false">Entities!$A$31</f>
        <v>SG</v>
      </c>
      <c r="B530" s="12" t="str">
        <f aca="false">INDEX(Entities!$B$5:$B$34,MATCH(A530,Entities!$A$5:$A$34,0))</f>
        <v>Arab Bank – Singapore</v>
      </c>
      <c r="C530" s="12" t="str">
        <f aca="false">INDEX(Entities!$D$5:$D$34,MATCH(A530,Entities!$A$5:$A$34,0))</f>
        <v>Asia-Pacific</v>
      </c>
      <c r="D530" s="12" t="s">
        <v>278</v>
      </c>
      <c r="E530" s="12" t="str">
        <f aca="false">INDEX('Risk Taxonomy'!$B$5:$B$24,MATCH(D530,'Risk Taxonomy'!$A$5:$A$24,0))</f>
        <v>Fraud</v>
      </c>
      <c r="F530" s="29" t="n">
        <f aca="false">IF(NOT(ISNUMBER(G530)),"",IFERROR(IF(MATCH(SUMIFS('FC Calculation'!$N$5:$N$214,'FC Calculation'!$A$5:$A$214,A530,'FC Calculation'!$D$5:$D$214,D530),Config!$D$5:$D$9,1)=G530,SUMIFS('FC Calculation'!$N$5:$N$214,'FC Calculation'!$A$5:$A$214,A530,'FC Calculation'!$D$5:$D$214,D530),G530),G530))</f>
        <v>1.80666666666667</v>
      </c>
      <c r="G530" s="34" t="n">
        <f aca="false">IF(COUNTIFS('FC Calculation'!$A$5:$A$214,A530,'FC Calculation'!$D$5:$D$214,D530,'FC Calculation'!$T$5:$T$214,"&gt;0")=0,"",SUMIFS('FC Calculation'!$T$5:$T$214,'FC Calculation'!$A$5:$A$214,A530,'FC Calculation'!$D$5:$D$214,D530))</f>
        <v>1</v>
      </c>
      <c r="H530" s="7" t="str">
        <f aca="false">IF(G530="N/A","N/A",IF(G530="","No data",INDEX(Config!$B$5:$B$9,G530)))</f>
        <v>Low</v>
      </c>
      <c r="I530" s="31" t="n">
        <f aca="false">IF(NOT(ISNUMBER($G530)),"",SUMPRODUCT(('Control Mapping'!$C$5:$C$83=D530)*('Control Mapping'!$AG$5:$AG$83&gt;0)))</f>
        <v>6</v>
      </c>
      <c r="J530" s="31" t="n">
        <f aca="false">IF(NOT(ISNUMBER($G530)),"",SUMPRODUCT(('Control Mapping'!$C$5:$C$83=D530)*('Control Mapping'!$F$5:$F$83="Y")*('Control Mapping'!$AG$5:$AG$83&gt;0)))</f>
        <v>5</v>
      </c>
      <c r="K530" s="31" t="n">
        <f aca="false">IF(NOT(ISNUMBER($G530)),"",SUMPRODUCT(('Control Mapping'!$C$5:$C$83=D530)*('Control Mapping'!$F$5:$F$83="Y")*('Control Mapping'!$AG$5:$AG$83=4)))</f>
        <v>0</v>
      </c>
      <c r="L530" s="29" t="n">
        <f aca="false">IF(NOT(ISNUMBER($G530)),"",IFERROR(SUMPRODUCT(('Control Mapping'!$C$5:$C$83=D530)*'Control Mapping'!$E$5:$E$83*'Control Mapping'!$AG$5:$AG$83)/SUMPRODUCT(('Control Mapping'!$C$5:$C$83=D530)*'Control Mapping'!$E$5:$E$83*('Control Mapping'!$AG$5:$AG$83&gt;0)),""))</f>
        <v>1.5</v>
      </c>
      <c r="M530" s="34" t="n">
        <f aca="false">IF(NOT(ISNUMBER($G530)),"",IF(J530=0,4,MAX(MATCH(L530,'Residual Config'!$E$11:$E$14,1),IF(K530&gt;0,'Residual Config'!$C$7,1))))</f>
        <v>2</v>
      </c>
      <c r="N530" s="7" t="str">
        <f aca="false">IF(NOT(ISNUMBER($G530)),"",IF(J530=0,"Ineffective (no key control)",INDEX('Residual Config'!$B$11:$B$14,M530)))</f>
        <v>Largely effective</v>
      </c>
      <c r="O530" s="36" t="n">
        <f aca="false">IF(NOT(ISNUMBER($G530)),"",IF(J530=0,0,SUMPRODUCT(('Control Mapping'!$C$5:$C$83=D530)*'Control Mapping'!$E$5:$E$83*(('Control Mapping'!$AG$5:$AG$83=1)*'Residual Config'!$D$11+('Control Mapping'!$AG$5:$AG$83=2)*'Residual Config'!$D$12+('Control Mapping'!$AG$5:$AG$83=3)*'Residual Config'!$D$13+('Control Mapping'!$AG$5:$AG$83=4)*'Residual Config'!$D$14))/SUMPRODUCT(('Control Mapping'!$C$5:$C$83=D530)*'Control Mapping'!$E$5:$E$83*('Control Mapping'!$AG$5:$AG$83&gt;0))))</f>
        <v>0.5</v>
      </c>
      <c r="P530" s="31" t="n">
        <f aca="false">IF(NOT(ISNUMBER($G530)),"",INDEX('Residual Config'!$B$19:$E$23,6-G530,M530))</f>
        <v>1</v>
      </c>
      <c r="Q530" s="29" t="n">
        <f aca="false">IF(NOT(ISNUMBER($G530)),"",MAX(1,F530*(1-O530)))</f>
        <v>1</v>
      </c>
      <c r="R530" s="31" t="n">
        <f aca="false">IF(NOT(ISNUMBER($G530)),"",MAX(MATCH(Q530,Config!$D$5:$D$9,1),G530-'Residual Config'!$C$6))</f>
        <v>1</v>
      </c>
      <c r="S530" s="34" t="n">
        <f aca="false">IF(NOT(ISNUMBER($G530)),"",IF('Residual Config'!$C$5="Numeric",R530,P530))</f>
        <v>1</v>
      </c>
      <c r="T530" s="7" t="str">
        <f aca="false">IF(G530="N/A","N/A",IF(S530="","No data",INDEX(Config!$B$5:$B$9,S530)))</f>
        <v>Low</v>
      </c>
      <c r="U530" s="32" t="n">
        <v>0</v>
      </c>
      <c r="V530" s="8"/>
      <c r="W530" s="33"/>
      <c r="X530" s="34" t="n">
        <f aca="false">IF(S530="","",IF(AND(W530="Y",U530&lt;&gt;0),MAX(1,MIN(5,S530+MAX(-Config!$C$27,MIN(Config!$C$27,U530)))),S530))</f>
        <v>1</v>
      </c>
      <c r="Y530" s="35" t="str">
        <f aca="false">IF(G530="N/A","N/A",IF(X530="","No data",INDEX(Config!$B$5:$B$9,X530)))</f>
        <v>Low</v>
      </c>
      <c r="Z530" s="7" t="str">
        <f aca="false">IF(U530=0,"None",IF(W530="Y","Applied","Pending HO approval"))</f>
        <v>None</v>
      </c>
      <c r="AA530" s="12" t="str">
        <f aca="false">INDEX('Risk Taxonomy'!$G$5:$G$24,MATCH(D530,'Risk Taxonomy'!$A$5:$A$24,0))</f>
        <v>Low</v>
      </c>
      <c r="AB530" s="7" t="str">
        <f aca="false">INDEX('Risk Taxonomy'!$H$5:$H$24,MATCH(D530,'Risk Taxonomy'!$A$5:$A$24,0))</f>
        <v>Medium</v>
      </c>
      <c r="AC530" s="35" t="str">
        <f aca="false">IF(NOT(ISNUMBER(X530)),"",IF(X530&lt;=MATCH(AB530,Config!$B$5:$B$9,0),"Within",IF(OR(X530-MATCH(AB530,Config!$B$5:$B$9,0)&gt;=2,AND('Residual Config'!$C$8="Y",ISNUMBER(SEARCH("Zero",AA530)))),"Red","Amber")))</f>
        <v>Within</v>
      </c>
      <c r="AD530" s="12" t="str">
        <f aca="false">IF(AC530="Red","Group CCO / CRO and Country CEO within 2 business days; action plan in 15 days; report to Board Risk &amp; Compliance Committee",IF(AC530="Amber","Country CO, risk owner and HO Administrator within 5 business days; action plan in 30 days",""))</f>
        <v/>
      </c>
    </row>
    <row r="531" customFormat="false" ht="15" hidden="false" customHeight="false" outlineLevel="0" collapsed="false">
      <c r="A531" s="26" t="str">
        <f aca="false">Entities!$A$31</f>
        <v>SG</v>
      </c>
      <c r="B531" s="12" t="str">
        <f aca="false">INDEX(Entities!$B$5:$B$34,MATCH(A531,Entities!$A$5:$A$34,0))</f>
        <v>Arab Bank – Singapore</v>
      </c>
      <c r="C531" s="12" t="str">
        <f aca="false">INDEX(Entities!$D$5:$D$34,MATCH(A531,Entities!$A$5:$A$34,0))</f>
        <v>Asia-Pacific</v>
      </c>
      <c r="D531" s="12" t="s">
        <v>281</v>
      </c>
      <c r="E531" s="12" t="str">
        <f aca="false">INDEX('Risk Taxonomy'!$B$5:$B$24,MATCH(D531,'Risk Taxonomy'!$A$5:$A$24,0))</f>
        <v>Tax evasion and tax transparency</v>
      </c>
      <c r="F531" s="29" t="n">
        <f aca="false">IF(NOT(ISNUMBER(G531)),"",IFERROR(IF(MATCH(SUMIFS('FC Calculation'!$N$5:$N$214,'FC Calculation'!$A$5:$A$214,A531,'FC Calculation'!$D$5:$D$214,D531),Config!$D$5:$D$9,1)=G531,SUMIFS('FC Calculation'!$N$5:$N$214,'FC Calculation'!$A$5:$A$214,A531,'FC Calculation'!$D$5:$D$214,D531),G531),G531))</f>
        <v>2.27055555555556</v>
      </c>
      <c r="G531" s="34" t="n">
        <f aca="false">IF(COUNTIFS('FC Calculation'!$A$5:$A$214,A531,'FC Calculation'!$D$5:$D$214,D531,'FC Calculation'!$T$5:$T$214,"&gt;0")=0,"",SUMIFS('FC Calculation'!$T$5:$T$214,'FC Calculation'!$A$5:$A$214,A531,'FC Calculation'!$D$5:$D$214,D531))</f>
        <v>2</v>
      </c>
      <c r="H531" s="7" t="str">
        <f aca="false">IF(G531="N/A","N/A",IF(G531="","No data",INDEX(Config!$B$5:$B$9,G531)))</f>
        <v>Medium-Low</v>
      </c>
      <c r="I531" s="31" t="n">
        <f aca="false">IF(NOT(ISNUMBER($G531)),"",SUMPRODUCT(('Control Mapping'!$C$5:$C$83=D531)*('Control Mapping'!$AG$5:$AG$83&gt;0)))</f>
        <v>5</v>
      </c>
      <c r="J531" s="31" t="n">
        <f aca="false">IF(NOT(ISNUMBER($G531)),"",SUMPRODUCT(('Control Mapping'!$C$5:$C$83=D531)*('Control Mapping'!$F$5:$F$83="Y")*('Control Mapping'!$AG$5:$AG$83&gt;0)))</f>
        <v>4</v>
      </c>
      <c r="K531" s="31" t="n">
        <f aca="false">IF(NOT(ISNUMBER($G531)),"",SUMPRODUCT(('Control Mapping'!$C$5:$C$83=D531)*('Control Mapping'!$F$5:$F$83="Y")*('Control Mapping'!$AG$5:$AG$83=4)))</f>
        <v>0</v>
      </c>
      <c r="L531" s="29" t="n">
        <f aca="false">IF(NOT(ISNUMBER($G531)),"",IFERROR(SUMPRODUCT(('Control Mapping'!$C$5:$C$83=D531)*'Control Mapping'!$E$5:$E$83*'Control Mapping'!$AG$5:$AG$83)/SUMPRODUCT(('Control Mapping'!$C$5:$C$83=D531)*'Control Mapping'!$E$5:$E$83*('Control Mapping'!$AG$5:$AG$83&gt;0)),""))</f>
        <v>2</v>
      </c>
      <c r="M531" s="34" t="n">
        <f aca="false">IF(NOT(ISNUMBER($G531)),"",IF(J531=0,4,MAX(MATCH(L531,'Residual Config'!$E$11:$E$14,1),IF(K531&gt;0,'Residual Config'!$C$7,1))))</f>
        <v>2</v>
      </c>
      <c r="N531" s="7" t="str">
        <f aca="false">IF(NOT(ISNUMBER($G531)),"",IF(J531=0,"Ineffective (no key control)",INDEX('Residual Config'!$B$11:$B$14,M531)))</f>
        <v>Largely effective</v>
      </c>
      <c r="O531" s="36" t="n">
        <f aca="false">IF(NOT(ISNUMBER($G531)),"",IF(J531=0,0,SUMPRODUCT(('Control Mapping'!$C$5:$C$83=D531)*'Control Mapping'!$E$5:$E$83*(('Control Mapping'!$AG$5:$AG$83=1)*'Residual Config'!$D$11+('Control Mapping'!$AG$5:$AG$83=2)*'Residual Config'!$D$12+('Control Mapping'!$AG$5:$AG$83=3)*'Residual Config'!$D$13+('Control Mapping'!$AG$5:$AG$83=4)*'Residual Config'!$D$14))/SUMPRODUCT(('Control Mapping'!$C$5:$C$83=D531)*'Control Mapping'!$E$5:$E$83*('Control Mapping'!$AG$5:$AG$83&gt;0))))</f>
        <v>0.4</v>
      </c>
      <c r="P531" s="31" t="n">
        <f aca="false">IF(NOT(ISNUMBER($G531)),"",INDEX('Residual Config'!$B$19:$E$23,6-G531,M531))</f>
        <v>1</v>
      </c>
      <c r="Q531" s="29" t="n">
        <f aca="false">IF(NOT(ISNUMBER($G531)),"",MAX(1,F531*(1-O531)))</f>
        <v>1.36233333333333</v>
      </c>
      <c r="R531" s="31" t="n">
        <f aca="false">IF(NOT(ISNUMBER($G531)),"",MAX(MATCH(Q531,Config!$D$5:$D$9,1),G531-'Residual Config'!$C$6))</f>
        <v>1</v>
      </c>
      <c r="S531" s="34" t="n">
        <f aca="false">IF(NOT(ISNUMBER($G531)),"",IF('Residual Config'!$C$5="Numeric",R531,P531))</f>
        <v>1</v>
      </c>
      <c r="T531" s="7" t="str">
        <f aca="false">IF(G531="N/A","N/A",IF(S531="","No data",INDEX(Config!$B$5:$B$9,S531)))</f>
        <v>Low</v>
      </c>
      <c r="U531" s="32" t="n">
        <v>0</v>
      </c>
      <c r="V531" s="8"/>
      <c r="W531" s="33"/>
      <c r="X531" s="34" t="n">
        <f aca="false">IF(S531="","",IF(AND(W531="Y",U531&lt;&gt;0),MAX(1,MIN(5,S531+MAX(-Config!$C$27,MIN(Config!$C$27,U531)))),S531))</f>
        <v>1</v>
      </c>
      <c r="Y531" s="35" t="str">
        <f aca="false">IF(G531="N/A","N/A",IF(X531="","No data",INDEX(Config!$B$5:$B$9,X531)))</f>
        <v>Low</v>
      </c>
      <c r="Z531" s="7" t="str">
        <f aca="false">IF(U531=0,"None",IF(W531="Y","Applied","Pending HO approval"))</f>
        <v>None</v>
      </c>
      <c r="AA531" s="12" t="str">
        <f aca="false">INDEX('Risk Taxonomy'!$G$5:$G$24,MATCH(D531,'Risk Taxonomy'!$A$5:$A$24,0))</f>
        <v>Zero tolerance (facilitation)</v>
      </c>
      <c r="AB531" s="7" t="str">
        <f aca="false">INDEX('Risk Taxonomy'!$H$5:$H$24,MATCH(D531,'Risk Taxonomy'!$A$5:$A$24,0))</f>
        <v>Low</v>
      </c>
      <c r="AC531" s="35" t="str">
        <f aca="false">IF(NOT(ISNUMBER(X531)),"",IF(X531&lt;=MATCH(AB531,Config!$B$5:$B$9,0),"Within",IF(OR(X531-MATCH(AB531,Config!$B$5:$B$9,0)&gt;=2,AND('Residual Config'!$C$8="Y",ISNUMBER(SEARCH("Zero",AA531)))),"Red","Amber")))</f>
        <v>Within</v>
      </c>
      <c r="AD531" s="12" t="str">
        <f aca="false">IF(AC531="Red","Group CCO / CRO and Country CEO within 2 business days; action plan in 15 days; report to Board Risk &amp; Compliance Committee",IF(AC531="Amber","Country CO, risk owner and HO Administrator within 5 business days; action plan in 30 days",""))</f>
        <v/>
      </c>
    </row>
    <row r="532" customFormat="false" ht="15" hidden="false" customHeight="false" outlineLevel="0" collapsed="false">
      <c r="A532" s="26" t="str">
        <f aca="false">Entities!$A$31</f>
        <v>SG</v>
      </c>
      <c r="B532" s="12" t="str">
        <f aca="false">INDEX(Entities!$B$5:$B$34,MATCH(A532,Entities!$A$5:$A$34,0))</f>
        <v>Arab Bank – Singapore</v>
      </c>
      <c r="C532" s="12" t="str">
        <f aca="false">INDEX(Entities!$D$5:$D$34,MATCH(A532,Entities!$A$5:$A$34,0))</f>
        <v>Asia-Pacific</v>
      </c>
      <c r="D532" s="12" t="s">
        <v>284</v>
      </c>
      <c r="E532" s="12" t="str">
        <f aca="false">INDEX('Risk Taxonomy'!$B$5:$B$24,MATCH(D532,'Risk Taxonomy'!$A$5:$A$24,0))</f>
        <v>Regulatory compliance</v>
      </c>
      <c r="F532" s="29" t="n">
        <f aca="false">IF(NOT(ISNUMBER(G532)),"",G532)</f>
        <v>2</v>
      </c>
      <c r="G532" s="34" t="n">
        <f aca="false">IF(COUNTIFS('LxI Assessment'!$A$5:$A$394,A532,'LxI Assessment'!$D$5:$D$394,D532,'LxI Assessment'!$F$5:$F$394,"N/A")&gt;0,"N/A",IF(COUNTIFS('LxI Assessment'!$A$5:$A$394,A532,'LxI Assessment'!$D$5:$D$394,D532,'LxI Assessment'!$S$5:$S$394,"&gt;0")=0,"",SUMIFS('LxI Assessment'!$S$5:$S$394,'LxI Assessment'!$A$5:$A$394,A532,'LxI Assessment'!$D$5:$D$394,D532)))</f>
        <v>2</v>
      </c>
      <c r="H532" s="7" t="str">
        <f aca="false">IF(G532="N/A","N/A",IF(G532="","No data",INDEX(Config!$B$5:$B$9,G532)))</f>
        <v>Medium-Low</v>
      </c>
      <c r="I532" s="31" t="n">
        <f aca="false">IF(NOT(ISNUMBER($G532)),"",SUMPRODUCT(('Control Mapping'!$C$5:$C$83=D532)*('Control Mapping'!$AG$5:$AG$83&gt;0)))</f>
        <v>4</v>
      </c>
      <c r="J532" s="31" t="n">
        <f aca="false">IF(NOT(ISNUMBER($G532)),"",SUMPRODUCT(('Control Mapping'!$C$5:$C$83=D532)*('Control Mapping'!$F$5:$F$83="Y")*('Control Mapping'!$AG$5:$AG$83&gt;0)))</f>
        <v>3</v>
      </c>
      <c r="K532" s="31" t="n">
        <f aca="false">IF(NOT(ISNUMBER($G532)),"",SUMPRODUCT(('Control Mapping'!$C$5:$C$83=D532)*('Control Mapping'!$F$5:$F$83="Y")*('Control Mapping'!$AG$5:$AG$83=4)))</f>
        <v>0</v>
      </c>
      <c r="L532" s="29" t="n">
        <f aca="false">IF(NOT(ISNUMBER($G532)),"",IFERROR(SUMPRODUCT(('Control Mapping'!$C$5:$C$83=D532)*'Control Mapping'!$E$5:$E$83*'Control Mapping'!$AG$5:$AG$83)/SUMPRODUCT(('Control Mapping'!$C$5:$C$83=D532)*'Control Mapping'!$E$5:$E$83*('Control Mapping'!$AG$5:$AG$83&gt;0)),""))</f>
        <v>1.85714285714286</v>
      </c>
      <c r="M532" s="34" t="n">
        <f aca="false">IF(NOT(ISNUMBER($G532)),"",IF(J532=0,4,MAX(MATCH(L532,'Residual Config'!$E$11:$E$14,1),IF(K532&gt;0,'Residual Config'!$C$7,1))))</f>
        <v>2</v>
      </c>
      <c r="N532" s="7" t="str">
        <f aca="false">IF(NOT(ISNUMBER($G532)),"",IF(J532=0,"Ineffective (no key control)",INDEX('Residual Config'!$B$11:$B$14,M532)))</f>
        <v>Largely effective</v>
      </c>
      <c r="O532" s="36" t="n">
        <f aca="false">IF(NOT(ISNUMBER($G532)),"",IF(J532=0,0,SUMPRODUCT(('Control Mapping'!$C$5:$C$83=D532)*'Control Mapping'!$E$5:$E$83*(('Control Mapping'!$AG$5:$AG$83=1)*'Residual Config'!$D$11+('Control Mapping'!$AG$5:$AG$83=2)*'Residual Config'!$D$12+('Control Mapping'!$AG$5:$AG$83=3)*'Residual Config'!$D$13+('Control Mapping'!$AG$5:$AG$83=4)*'Residual Config'!$D$14))/SUMPRODUCT(('Control Mapping'!$C$5:$C$83=D532)*'Control Mapping'!$E$5:$E$83*('Control Mapping'!$AG$5:$AG$83&gt;0))))</f>
        <v>0.428571428571429</v>
      </c>
      <c r="P532" s="31" t="n">
        <f aca="false">IF(NOT(ISNUMBER($G532)),"",INDEX('Residual Config'!$B$19:$E$23,6-G532,M532))</f>
        <v>1</v>
      </c>
      <c r="Q532" s="29" t="n">
        <f aca="false">IF(NOT(ISNUMBER($G532)),"",MAX(1,F532*(1-O532)))</f>
        <v>1.14285714285714</v>
      </c>
      <c r="R532" s="31" t="n">
        <f aca="false">IF(NOT(ISNUMBER($G532)),"",MAX(MATCH(Q532,Config!$D$5:$D$9,1),G532-'Residual Config'!$C$6))</f>
        <v>1</v>
      </c>
      <c r="S532" s="34" t="n">
        <f aca="false">IF(NOT(ISNUMBER($G532)),"",IF('Residual Config'!$C$5="Numeric",R532,P532))</f>
        <v>1</v>
      </c>
      <c r="T532" s="7" t="str">
        <f aca="false">IF(G532="N/A","N/A",IF(S532="","No data",INDEX(Config!$B$5:$B$9,S532)))</f>
        <v>Low</v>
      </c>
      <c r="U532" s="32" t="n">
        <v>0</v>
      </c>
      <c r="V532" s="8"/>
      <c r="W532" s="33"/>
      <c r="X532" s="34" t="n">
        <f aca="false">IF(S532="","",IF(AND(W532="Y",U532&lt;&gt;0),MAX(1,MIN(5,S532+MAX(-Config!$C$27,MIN(Config!$C$27,U532)))),S532))</f>
        <v>1</v>
      </c>
      <c r="Y532" s="35" t="str">
        <f aca="false">IF(G532="N/A","N/A",IF(X532="","No data",INDEX(Config!$B$5:$B$9,X532)))</f>
        <v>Low</v>
      </c>
      <c r="Z532" s="7" t="str">
        <f aca="false">IF(U532=0,"None",IF(W532="Y","Applied","Pending HO approval"))</f>
        <v>None</v>
      </c>
      <c r="AA532" s="12" t="str">
        <f aca="false">INDEX('Risk Taxonomy'!$G$5:$G$24,MATCH(D532,'Risk Taxonomy'!$A$5:$A$24,0))</f>
        <v>Very low</v>
      </c>
      <c r="AB532" s="7" t="str">
        <f aca="false">INDEX('Risk Taxonomy'!$H$5:$H$24,MATCH(D532,'Risk Taxonomy'!$A$5:$A$24,0))</f>
        <v>Medium-Low</v>
      </c>
      <c r="AC532" s="35" t="str">
        <f aca="false">IF(NOT(ISNUMBER(X532)),"",IF(X532&lt;=MATCH(AB532,Config!$B$5:$B$9,0),"Within",IF(OR(X532-MATCH(AB532,Config!$B$5:$B$9,0)&gt;=2,AND('Residual Config'!$C$8="Y",ISNUMBER(SEARCH("Zero",AA532)))),"Red","Amber")))</f>
        <v>Within</v>
      </c>
      <c r="AD532" s="12" t="str">
        <f aca="false">IF(AC532="Red","Group CCO / CRO and Country CEO within 2 business days; action plan in 15 days; report to Board Risk &amp; Compliance Committee",IF(AC532="Amber","Country CO, risk owner and HO Administrator within 5 business days; action plan in 30 days",""))</f>
        <v/>
      </c>
    </row>
    <row r="533" customFormat="false" ht="15" hidden="false" customHeight="false" outlineLevel="0" collapsed="false">
      <c r="A533" s="26" t="str">
        <f aca="false">Entities!$A$31</f>
        <v>SG</v>
      </c>
      <c r="B533" s="12" t="str">
        <f aca="false">INDEX(Entities!$B$5:$B$34,MATCH(A533,Entities!$A$5:$A$34,0))</f>
        <v>Arab Bank – Singapore</v>
      </c>
      <c r="C533" s="12" t="str">
        <f aca="false">INDEX(Entities!$D$5:$D$34,MATCH(A533,Entities!$A$5:$A$34,0))</f>
        <v>Asia-Pacific</v>
      </c>
      <c r="D533" s="12" t="s">
        <v>288</v>
      </c>
      <c r="E533" s="12" t="str">
        <f aca="false">INDEX('Risk Taxonomy'!$B$5:$B$24,MATCH(D533,'Risk Taxonomy'!$A$5:$A$24,0))</f>
        <v>Conduct and consumer protection</v>
      </c>
      <c r="F533" s="29" t="n">
        <f aca="false">IF(NOT(ISNUMBER(G533)),"",G533)</f>
        <v>2</v>
      </c>
      <c r="G533" s="34" t="n">
        <f aca="false">IF(COUNTIFS('LxI Assessment'!$A$5:$A$394,A533,'LxI Assessment'!$D$5:$D$394,D533,'LxI Assessment'!$F$5:$F$394,"N/A")&gt;0,"N/A",IF(COUNTIFS('LxI Assessment'!$A$5:$A$394,A533,'LxI Assessment'!$D$5:$D$394,D533,'LxI Assessment'!$S$5:$S$394,"&gt;0")=0,"",SUMIFS('LxI Assessment'!$S$5:$S$394,'LxI Assessment'!$A$5:$A$394,A533,'LxI Assessment'!$D$5:$D$394,D533)))</f>
        <v>2</v>
      </c>
      <c r="H533" s="7" t="str">
        <f aca="false">IF(G533="N/A","N/A",IF(G533="","No data",INDEX(Config!$B$5:$B$9,G533)))</f>
        <v>Medium-Low</v>
      </c>
      <c r="I533" s="31" t="n">
        <f aca="false">IF(NOT(ISNUMBER($G533)),"",SUMPRODUCT(('Control Mapping'!$C$5:$C$83=D533)*('Control Mapping'!$AG$5:$AG$83&gt;0)))</f>
        <v>2</v>
      </c>
      <c r="J533" s="31" t="n">
        <f aca="false">IF(NOT(ISNUMBER($G533)),"",SUMPRODUCT(('Control Mapping'!$C$5:$C$83=D533)*('Control Mapping'!$F$5:$F$83="Y")*('Control Mapping'!$AG$5:$AG$83&gt;0)))</f>
        <v>1</v>
      </c>
      <c r="K533" s="31" t="n">
        <f aca="false">IF(NOT(ISNUMBER($G533)),"",SUMPRODUCT(('Control Mapping'!$C$5:$C$83=D533)*('Control Mapping'!$F$5:$F$83="Y")*('Control Mapping'!$AG$5:$AG$83=4)))</f>
        <v>0</v>
      </c>
      <c r="L533" s="29" t="n">
        <f aca="false">IF(NOT(ISNUMBER($G533)),"",IFERROR(SUMPRODUCT(('Control Mapping'!$C$5:$C$83=D533)*'Control Mapping'!$E$5:$E$83*'Control Mapping'!$AG$5:$AG$83)/SUMPRODUCT(('Control Mapping'!$C$5:$C$83=D533)*'Control Mapping'!$E$5:$E$83*('Control Mapping'!$AG$5:$AG$83&gt;0)),""))</f>
        <v>1</v>
      </c>
      <c r="M533" s="34" t="n">
        <f aca="false">IF(NOT(ISNUMBER($G533)),"",IF(J533=0,4,MAX(MATCH(L533,'Residual Config'!$E$11:$E$14,1),IF(K533&gt;0,'Residual Config'!$C$7,1))))</f>
        <v>1</v>
      </c>
      <c r="N533" s="7" t="str">
        <f aca="false">IF(NOT(ISNUMBER($G533)),"",IF(J533=0,"Ineffective (no key control)",INDEX('Residual Config'!$B$11:$B$14,M533)))</f>
        <v>Effective</v>
      </c>
      <c r="O533" s="36" t="n">
        <f aca="false">IF(NOT(ISNUMBER($G533)),"",IF(J533=0,0,SUMPRODUCT(('Control Mapping'!$C$5:$C$83=D533)*'Control Mapping'!$E$5:$E$83*(('Control Mapping'!$AG$5:$AG$83=1)*'Residual Config'!$D$11+('Control Mapping'!$AG$5:$AG$83=2)*'Residual Config'!$D$12+('Control Mapping'!$AG$5:$AG$83=3)*'Residual Config'!$D$13+('Control Mapping'!$AG$5:$AG$83=4)*'Residual Config'!$D$14))/SUMPRODUCT(('Control Mapping'!$C$5:$C$83=D533)*'Control Mapping'!$E$5:$E$83*('Control Mapping'!$AG$5:$AG$83&gt;0))))</f>
        <v>0.6</v>
      </c>
      <c r="P533" s="31" t="n">
        <f aca="false">IF(NOT(ISNUMBER($G533)),"",INDEX('Residual Config'!$B$19:$E$23,6-G533,M533))</f>
        <v>1</v>
      </c>
      <c r="Q533" s="29" t="n">
        <f aca="false">IF(NOT(ISNUMBER($G533)),"",MAX(1,F533*(1-O533)))</f>
        <v>1</v>
      </c>
      <c r="R533" s="31" t="n">
        <f aca="false">IF(NOT(ISNUMBER($G533)),"",MAX(MATCH(Q533,Config!$D$5:$D$9,1),G533-'Residual Config'!$C$6))</f>
        <v>1</v>
      </c>
      <c r="S533" s="34" t="n">
        <f aca="false">IF(NOT(ISNUMBER($G533)),"",IF('Residual Config'!$C$5="Numeric",R533,P533))</f>
        <v>1</v>
      </c>
      <c r="T533" s="7" t="str">
        <f aca="false">IF(G533="N/A","N/A",IF(S533="","No data",INDEX(Config!$B$5:$B$9,S533)))</f>
        <v>Low</v>
      </c>
      <c r="U533" s="32" t="n">
        <v>0</v>
      </c>
      <c r="V533" s="8"/>
      <c r="W533" s="33"/>
      <c r="X533" s="34" t="n">
        <f aca="false">IF(S533="","",IF(AND(W533="Y",U533&lt;&gt;0),MAX(1,MIN(5,S533+MAX(-Config!$C$27,MIN(Config!$C$27,U533)))),S533))</f>
        <v>1</v>
      </c>
      <c r="Y533" s="35" t="str">
        <f aca="false">IF(G533="N/A","N/A",IF(X533="","No data",INDEX(Config!$B$5:$B$9,X533)))</f>
        <v>Low</v>
      </c>
      <c r="Z533" s="7" t="str">
        <f aca="false">IF(U533=0,"None",IF(W533="Y","Applied","Pending HO approval"))</f>
        <v>None</v>
      </c>
      <c r="AA533" s="12" t="str">
        <f aca="false">INDEX('Risk Taxonomy'!$G$5:$G$24,MATCH(D533,'Risk Taxonomy'!$A$5:$A$24,0))</f>
        <v>Low</v>
      </c>
      <c r="AB533" s="7" t="str">
        <f aca="false">INDEX('Risk Taxonomy'!$H$5:$H$24,MATCH(D533,'Risk Taxonomy'!$A$5:$A$24,0))</f>
        <v>Medium</v>
      </c>
      <c r="AC533" s="35" t="str">
        <f aca="false">IF(NOT(ISNUMBER(X533)),"",IF(X533&lt;=MATCH(AB533,Config!$B$5:$B$9,0),"Within",IF(OR(X533-MATCH(AB533,Config!$B$5:$B$9,0)&gt;=2,AND('Residual Config'!$C$8="Y",ISNUMBER(SEARCH("Zero",AA533)))),"Red","Amber")))</f>
        <v>Within</v>
      </c>
      <c r="AD533" s="12" t="str">
        <f aca="false">IF(AC533="Red","Group CCO / CRO and Country CEO within 2 business days; action plan in 15 days; report to Board Risk &amp; Compliance Committee",IF(AC533="Amber","Country CO, risk owner and HO Administrator within 5 business days; action plan in 30 days",""))</f>
        <v/>
      </c>
    </row>
    <row r="534" customFormat="false" ht="15" hidden="false" customHeight="false" outlineLevel="0" collapsed="false">
      <c r="A534" s="26" t="str">
        <f aca="false">Entities!$A$31</f>
        <v>SG</v>
      </c>
      <c r="B534" s="12" t="str">
        <f aca="false">INDEX(Entities!$B$5:$B$34,MATCH(A534,Entities!$A$5:$A$34,0))</f>
        <v>Arab Bank – Singapore</v>
      </c>
      <c r="C534" s="12" t="str">
        <f aca="false">INDEX(Entities!$D$5:$D$34,MATCH(A534,Entities!$A$5:$A$34,0))</f>
        <v>Asia-Pacific</v>
      </c>
      <c r="D534" s="12" t="s">
        <v>290</v>
      </c>
      <c r="E534" s="12" t="str">
        <f aca="false">INDEX('Risk Taxonomy'!$B$5:$B$24,MATCH(D534,'Risk Taxonomy'!$A$5:$A$24,0))</f>
        <v>Data protection and privacy</v>
      </c>
      <c r="F534" s="29" t="n">
        <f aca="false">IF(NOT(ISNUMBER(G534)),"",G534)</f>
        <v>2</v>
      </c>
      <c r="G534" s="34" t="n">
        <f aca="false">IF(COUNTIFS('LxI Assessment'!$A$5:$A$394,A534,'LxI Assessment'!$D$5:$D$394,D534,'LxI Assessment'!$F$5:$F$394,"N/A")&gt;0,"N/A",IF(COUNTIFS('LxI Assessment'!$A$5:$A$394,A534,'LxI Assessment'!$D$5:$D$394,D534,'LxI Assessment'!$S$5:$S$394,"&gt;0")=0,"",SUMIFS('LxI Assessment'!$S$5:$S$394,'LxI Assessment'!$A$5:$A$394,A534,'LxI Assessment'!$D$5:$D$394,D534)))</f>
        <v>2</v>
      </c>
      <c r="H534" s="7" t="str">
        <f aca="false">IF(G534="N/A","N/A",IF(G534="","No data",INDEX(Config!$B$5:$B$9,G534)))</f>
        <v>Medium-Low</v>
      </c>
      <c r="I534" s="31" t="n">
        <f aca="false">IF(NOT(ISNUMBER($G534)),"",SUMPRODUCT(('Control Mapping'!$C$5:$C$83=D534)*('Control Mapping'!$AG$5:$AG$83&gt;0)))</f>
        <v>2</v>
      </c>
      <c r="J534" s="31" t="n">
        <f aca="false">IF(NOT(ISNUMBER($G534)),"",SUMPRODUCT(('Control Mapping'!$C$5:$C$83=D534)*('Control Mapping'!$F$5:$F$83="Y")*('Control Mapping'!$AG$5:$AG$83&gt;0)))</f>
        <v>2</v>
      </c>
      <c r="K534" s="31" t="n">
        <f aca="false">IF(NOT(ISNUMBER($G534)),"",SUMPRODUCT(('Control Mapping'!$C$5:$C$83=D534)*('Control Mapping'!$F$5:$F$83="Y")*('Control Mapping'!$AG$5:$AG$83=4)))</f>
        <v>0</v>
      </c>
      <c r="L534" s="29" t="n">
        <f aca="false">IF(NOT(ISNUMBER($G534)),"",IFERROR(SUMPRODUCT(('Control Mapping'!$C$5:$C$83=D534)*'Control Mapping'!$E$5:$E$83*'Control Mapping'!$AG$5:$AG$83)/SUMPRODUCT(('Control Mapping'!$C$5:$C$83=D534)*'Control Mapping'!$E$5:$E$83*('Control Mapping'!$AG$5:$AG$83&gt;0)),""))</f>
        <v>2</v>
      </c>
      <c r="M534" s="34" t="n">
        <f aca="false">IF(NOT(ISNUMBER($G534)),"",IF(J534=0,4,MAX(MATCH(L534,'Residual Config'!$E$11:$E$14,1),IF(K534&gt;0,'Residual Config'!$C$7,1))))</f>
        <v>2</v>
      </c>
      <c r="N534" s="7" t="str">
        <f aca="false">IF(NOT(ISNUMBER($G534)),"",IF(J534=0,"Ineffective (no key control)",INDEX('Residual Config'!$B$11:$B$14,M534)))</f>
        <v>Largely effective</v>
      </c>
      <c r="O534" s="36" t="n">
        <f aca="false">IF(NOT(ISNUMBER($G534)),"",IF(J534=0,0,SUMPRODUCT(('Control Mapping'!$C$5:$C$83=D534)*'Control Mapping'!$E$5:$E$83*(('Control Mapping'!$AG$5:$AG$83=1)*'Residual Config'!$D$11+('Control Mapping'!$AG$5:$AG$83=2)*'Residual Config'!$D$12+('Control Mapping'!$AG$5:$AG$83=3)*'Residual Config'!$D$13+('Control Mapping'!$AG$5:$AG$83=4)*'Residual Config'!$D$14))/SUMPRODUCT(('Control Mapping'!$C$5:$C$83=D534)*'Control Mapping'!$E$5:$E$83*('Control Mapping'!$AG$5:$AG$83&gt;0))))</f>
        <v>0.4</v>
      </c>
      <c r="P534" s="31" t="n">
        <f aca="false">IF(NOT(ISNUMBER($G534)),"",INDEX('Residual Config'!$B$19:$E$23,6-G534,M534))</f>
        <v>1</v>
      </c>
      <c r="Q534" s="29" t="n">
        <f aca="false">IF(NOT(ISNUMBER($G534)),"",MAX(1,F534*(1-O534)))</f>
        <v>1.2</v>
      </c>
      <c r="R534" s="31" t="n">
        <f aca="false">IF(NOT(ISNUMBER($G534)),"",MAX(MATCH(Q534,Config!$D$5:$D$9,1),G534-'Residual Config'!$C$6))</f>
        <v>1</v>
      </c>
      <c r="S534" s="34" t="n">
        <f aca="false">IF(NOT(ISNUMBER($G534)),"",IF('Residual Config'!$C$5="Numeric",R534,P534))</f>
        <v>1</v>
      </c>
      <c r="T534" s="7" t="str">
        <f aca="false">IF(G534="N/A","N/A",IF(S534="","No data",INDEX(Config!$B$5:$B$9,S534)))</f>
        <v>Low</v>
      </c>
      <c r="U534" s="32" t="n">
        <v>0</v>
      </c>
      <c r="V534" s="8"/>
      <c r="W534" s="33"/>
      <c r="X534" s="34" t="n">
        <f aca="false">IF(S534="","",IF(AND(W534="Y",U534&lt;&gt;0),MAX(1,MIN(5,S534+MAX(-Config!$C$27,MIN(Config!$C$27,U534)))),S534))</f>
        <v>1</v>
      </c>
      <c r="Y534" s="35" t="str">
        <f aca="false">IF(G534="N/A","N/A",IF(X534="","No data",INDEX(Config!$B$5:$B$9,X534)))</f>
        <v>Low</v>
      </c>
      <c r="Z534" s="7" t="str">
        <f aca="false">IF(U534=0,"None",IF(W534="Y","Applied","Pending HO approval"))</f>
        <v>None</v>
      </c>
      <c r="AA534" s="12" t="str">
        <f aca="false">INDEX('Risk Taxonomy'!$G$5:$G$24,MATCH(D534,'Risk Taxonomy'!$A$5:$A$24,0))</f>
        <v>Very low</v>
      </c>
      <c r="AB534" s="7" t="str">
        <f aca="false">INDEX('Risk Taxonomy'!$H$5:$H$24,MATCH(D534,'Risk Taxonomy'!$A$5:$A$24,0))</f>
        <v>Medium-Low</v>
      </c>
      <c r="AC534" s="35" t="str">
        <f aca="false">IF(NOT(ISNUMBER(X534)),"",IF(X534&lt;=MATCH(AB534,Config!$B$5:$B$9,0),"Within",IF(OR(X534-MATCH(AB534,Config!$B$5:$B$9,0)&gt;=2,AND('Residual Config'!$C$8="Y",ISNUMBER(SEARCH("Zero",AA534)))),"Red","Amber")))</f>
        <v>Within</v>
      </c>
      <c r="AD534" s="12" t="str">
        <f aca="false">IF(AC534="Red","Group CCO / CRO and Country CEO within 2 business days; action plan in 15 days; report to Board Risk &amp; Compliance Committee",IF(AC534="Amber","Country CO, risk owner and HO Administrator within 5 business days; action plan in 30 days",""))</f>
        <v/>
      </c>
    </row>
    <row r="535" customFormat="false" ht="15" hidden="false" customHeight="false" outlineLevel="0" collapsed="false">
      <c r="A535" s="26" t="str">
        <f aca="false">Entities!$A$31</f>
        <v>SG</v>
      </c>
      <c r="B535" s="12" t="str">
        <f aca="false">INDEX(Entities!$B$5:$B$34,MATCH(A535,Entities!$A$5:$A$34,0))</f>
        <v>Arab Bank – Singapore</v>
      </c>
      <c r="C535" s="12" t="str">
        <f aca="false">INDEX(Entities!$D$5:$D$34,MATCH(A535,Entities!$A$5:$A$34,0))</f>
        <v>Asia-Pacific</v>
      </c>
      <c r="D535" s="12" t="s">
        <v>293</v>
      </c>
      <c r="E535" s="12" t="str">
        <f aca="false">INDEX('Risk Taxonomy'!$B$5:$B$24,MATCH(D535,'Risk Taxonomy'!$A$5:$A$24,0))</f>
        <v>Shariah non-compliance</v>
      </c>
      <c r="F535" s="29" t="str">
        <f aca="false">IF(NOT(ISNUMBER(G535)),"",G535)</f>
        <v/>
      </c>
      <c r="G535" s="34" t="str">
        <f aca="false">IF(COUNTIFS('LxI Assessment'!$A$5:$A$394,A535,'LxI Assessment'!$D$5:$D$394,D535,'LxI Assessment'!$F$5:$F$394,"N/A")&gt;0,"N/A",IF(COUNTIFS('LxI Assessment'!$A$5:$A$394,A535,'LxI Assessment'!$D$5:$D$394,D535,'LxI Assessment'!$S$5:$S$394,"&gt;0")=0,"",SUMIFS('LxI Assessment'!$S$5:$S$394,'LxI Assessment'!$A$5:$A$394,A535,'LxI Assessment'!$D$5:$D$394,D535)))</f>
        <v>N/A</v>
      </c>
      <c r="H535" s="7" t="str">
        <f aca="false">IF(G535="N/A","N/A",IF(G535="","No data",INDEX(Config!$B$5:$B$9,G535)))</f>
        <v>N/A</v>
      </c>
      <c r="I535" s="31" t="str">
        <f aca="false">IF(NOT(ISNUMBER($G535)),"",SUMPRODUCT(('Control Mapping'!$C$5:$C$83=D535)*('Control Mapping'!$AG$5:$AG$83&gt;0)))</f>
        <v/>
      </c>
      <c r="J535" s="31" t="str">
        <f aca="false">IF(NOT(ISNUMBER($G535)),"",SUMPRODUCT(('Control Mapping'!$C$5:$C$83=D535)*('Control Mapping'!$F$5:$F$83="Y")*('Control Mapping'!$AG$5:$AG$83&gt;0)))</f>
        <v/>
      </c>
      <c r="K535" s="31" t="str">
        <f aca="false">IF(NOT(ISNUMBER($G535)),"",SUMPRODUCT(('Control Mapping'!$C$5:$C$83=D535)*('Control Mapping'!$F$5:$F$83="Y")*('Control Mapping'!$AG$5:$AG$83=4)))</f>
        <v/>
      </c>
      <c r="L535" s="29" t="str">
        <f aca="false">IF(NOT(ISNUMBER($G535)),"",IFERROR(SUMPRODUCT(('Control Mapping'!$C$5:$C$83=D535)*'Control Mapping'!$E$5:$E$83*'Control Mapping'!$AG$5:$AG$83)/SUMPRODUCT(('Control Mapping'!$C$5:$C$83=D535)*'Control Mapping'!$E$5:$E$83*('Control Mapping'!$AG$5:$AG$83&gt;0)),""))</f>
        <v/>
      </c>
      <c r="M535" s="34" t="str">
        <f aca="false">IF(NOT(ISNUMBER($G535)),"",IF(J535=0,4,MAX(MATCH(L535,'Residual Config'!$E$11:$E$14,1),IF(K535&gt;0,'Residual Config'!$C$7,1))))</f>
        <v/>
      </c>
      <c r="N535" s="7" t="str">
        <f aca="false">IF(NOT(ISNUMBER($G535)),"",IF(J535=0,"Ineffective (no key control)",INDEX('Residual Config'!$B$11:$B$14,M535)))</f>
        <v/>
      </c>
      <c r="O535" s="36" t="str">
        <f aca="false">IF(NOT(ISNUMBER($G535)),"",IF(J535=0,0,SUMPRODUCT(('Control Mapping'!$C$5:$C$83=D535)*'Control Mapping'!$E$5:$E$83*(('Control Mapping'!$AG$5:$AG$83=1)*'Residual Config'!$D$11+('Control Mapping'!$AG$5:$AG$83=2)*'Residual Config'!$D$12+('Control Mapping'!$AG$5:$AG$83=3)*'Residual Config'!$D$13+('Control Mapping'!$AG$5:$AG$83=4)*'Residual Config'!$D$14))/SUMPRODUCT(('Control Mapping'!$C$5:$C$83=D535)*'Control Mapping'!$E$5:$E$83*('Control Mapping'!$AG$5:$AG$83&gt;0))))</f>
        <v/>
      </c>
      <c r="P535" s="31" t="str">
        <f aca="false">IF(NOT(ISNUMBER($G535)),"",INDEX('Residual Config'!$B$19:$E$23,6-G535,M535))</f>
        <v/>
      </c>
      <c r="Q535" s="29" t="str">
        <f aca="false">IF(NOT(ISNUMBER($G535)),"",MAX(1,F535*(1-O535)))</f>
        <v/>
      </c>
      <c r="R535" s="31" t="str">
        <f aca="false">IF(NOT(ISNUMBER($G535)),"",MAX(MATCH(Q535,Config!$D$5:$D$9,1),G535-'Residual Config'!$C$6))</f>
        <v/>
      </c>
      <c r="S535" s="34" t="str">
        <f aca="false">IF(NOT(ISNUMBER($G535)),"",IF('Residual Config'!$C$5="Numeric",R535,P535))</f>
        <v/>
      </c>
      <c r="T535" s="7" t="str">
        <f aca="false">IF(G535="N/A","N/A",IF(S535="","No data",INDEX(Config!$B$5:$B$9,S535)))</f>
        <v>N/A</v>
      </c>
      <c r="U535" s="32" t="n">
        <v>0</v>
      </c>
      <c r="V535" s="8"/>
      <c r="W535" s="33"/>
      <c r="X535" s="34" t="str">
        <f aca="false">IF(S535="","",IF(AND(W535="Y",U535&lt;&gt;0),MAX(1,MIN(5,S535+MAX(-Config!$C$27,MIN(Config!$C$27,U535)))),S535))</f>
        <v/>
      </c>
      <c r="Y535" s="35" t="str">
        <f aca="false">IF(G535="N/A","N/A",IF(X535="","No data",INDEX(Config!$B$5:$B$9,X535)))</f>
        <v>N/A</v>
      </c>
      <c r="Z535" s="7" t="str">
        <f aca="false">IF(U535=0,"None",IF(W535="Y","Applied","Pending HO approval"))</f>
        <v>None</v>
      </c>
      <c r="AA535" s="12" t="str">
        <f aca="false">INDEX('Risk Taxonomy'!$G$5:$G$24,MATCH(D535,'Risk Taxonomy'!$A$5:$A$24,0))</f>
        <v>Very low</v>
      </c>
      <c r="AB535" s="7" t="str">
        <f aca="false">INDEX('Risk Taxonomy'!$H$5:$H$24,MATCH(D535,'Risk Taxonomy'!$A$5:$A$24,0))</f>
        <v>Medium-Low</v>
      </c>
      <c r="AC535" s="35" t="str">
        <f aca="false">IF(NOT(ISNUMBER(X535)),"",IF(X535&lt;=MATCH(AB535,Config!$B$5:$B$9,0),"Within",IF(OR(X535-MATCH(AB535,Config!$B$5:$B$9,0)&gt;=2,AND('Residual Config'!$C$8="Y",ISNUMBER(SEARCH("Zero",AA535)))),"Red","Amber")))</f>
        <v/>
      </c>
      <c r="AD535" s="12" t="str">
        <f aca="false">IF(AC535="Red","Group CCO / CRO and Country CEO within 2 business days; action plan in 15 days; report to Board Risk &amp; Compliance Committee",IF(AC535="Amber","Country CO, risk owner and HO Administrator within 5 business days; action plan in 30 days",""))</f>
        <v/>
      </c>
    </row>
    <row r="536" customFormat="false" ht="15" hidden="false" customHeight="false" outlineLevel="0" collapsed="false">
      <c r="A536" s="26" t="str">
        <f aca="false">Entities!$A$31</f>
        <v>SG</v>
      </c>
      <c r="B536" s="12" t="str">
        <f aca="false">INDEX(Entities!$B$5:$B$34,MATCH(A536,Entities!$A$5:$A$34,0))</f>
        <v>Arab Bank – Singapore</v>
      </c>
      <c r="C536" s="12" t="str">
        <f aca="false">INDEX(Entities!$D$5:$D$34,MATCH(A536,Entities!$A$5:$A$34,0))</f>
        <v>Asia-Pacific</v>
      </c>
      <c r="D536" s="12" t="s">
        <v>297</v>
      </c>
      <c r="E536" s="12" t="str">
        <f aca="false">INDEX('Risk Taxonomy'!$B$5:$B$24,MATCH(D536,'Risk Taxonomy'!$A$5:$A$24,0))</f>
        <v>Credit risk</v>
      </c>
      <c r="F536" s="29" t="n">
        <f aca="false">IF(NOT(ISNUMBER(G536)),"",G536)</f>
        <v>2</v>
      </c>
      <c r="G536" s="34" t="n">
        <f aca="false">IF(COUNTIFS('LxI Assessment'!$A$5:$A$394,A536,'LxI Assessment'!$D$5:$D$394,D536,'LxI Assessment'!$F$5:$F$394,"N/A")&gt;0,"N/A",IF(COUNTIFS('LxI Assessment'!$A$5:$A$394,A536,'LxI Assessment'!$D$5:$D$394,D536,'LxI Assessment'!$S$5:$S$394,"&gt;0")=0,"",SUMIFS('LxI Assessment'!$S$5:$S$394,'LxI Assessment'!$A$5:$A$394,A536,'LxI Assessment'!$D$5:$D$394,D536)))</f>
        <v>2</v>
      </c>
      <c r="H536" s="7" t="str">
        <f aca="false">IF(G536="N/A","N/A",IF(G536="","No data",INDEX(Config!$B$5:$B$9,G536)))</f>
        <v>Medium-Low</v>
      </c>
      <c r="I536" s="31" t="n">
        <f aca="false">IF(NOT(ISNUMBER($G536)),"",SUMPRODUCT(('Control Mapping'!$C$5:$C$83=D536)*('Control Mapping'!$AG$5:$AG$83&gt;0)))</f>
        <v>2</v>
      </c>
      <c r="J536" s="31" t="n">
        <f aca="false">IF(NOT(ISNUMBER($G536)),"",SUMPRODUCT(('Control Mapping'!$C$5:$C$83=D536)*('Control Mapping'!$F$5:$F$83="Y")*('Control Mapping'!$AG$5:$AG$83&gt;0)))</f>
        <v>1</v>
      </c>
      <c r="K536" s="31" t="n">
        <f aca="false">IF(NOT(ISNUMBER($G536)),"",SUMPRODUCT(('Control Mapping'!$C$5:$C$83=D536)*('Control Mapping'!$F$5:$F$83="Y")*('Control Mapping'!$AG$5:$AG$83=4)))</f>
        <v>0</v>
      </c>
      <c r="L536" s="29" t="n">
        <f aca="false">IF(NOT(ISNUMBER($G536)),"",IFERROR(SUMPRODUCT(('Control Mapping'!$C$5:$C$83=D536)*'Control Mapping'!$E$5:$E$83*'Control Mapping'!$AG$5:$AG$83)/SUMPRODUCT(('Control Mapping'!$C$5:$C$83=D536)*'Control Mapping'!$E$5:$E$83*('Control Mapping'!$AG$5:$AG$83&gt;0)),""))</f>
        <v>2</v>
      </c>
      <c r="M536" s="34" t="n">
        <f aca="false">IF(NOT(ISNUMBER($G536)),"",IF(J536=0,4,MAX(MATCH(L536,'Residual Config'!$E$11:$E$14,1),IF(K536&gt;0,'Residual Config'!$C$7,1))))</f>
        <v>2</v>
      </c>
      <c r="N536" s="7" t="str">
        <f aca="false">IF(NOT(ISNUMBER($G536)),"",IF(J536=0,"Ineffective (no key control)",INDEX('Residual Config'!$B$11:$B$14,M536)))</f>
        <v>Largely effective</v>
      </c>
      <c r="O536" s="36" t="n">
        <f aca="false">IF(NOT(ISNUMBER($G536)),"",IF(J536=0,0,SUMPRODUCT(('Control Mapping'!$C$5:$C$83=D536)*'Control Mapping'!$E$5:$E$83*(('Control Mapping'!$AG$5:$AG$83=1)*'Residual Config'!$D$11+('Control Mapping'!$AG$5:$AG$83=2)*'Residual Config'!$D$12+('Control Mapping'!$AG$5:$AG$83=3)*'Residual Config'!$D$13+('Control Mapping'!$AG$5:$AG$83=4)*'Residual Config'!$D$14))/SUMPRODUCT(('Control Mapping'!$C$5:$C$83=D536)*'Control Mapping'!$E$5:$E$83*('Control Mapping'!$AG$5:$AG$83&gt;0))))</f>
        <v>0.4</v>
      </c>
      <c r="P536" s="31" t="n">
        <f aca="false">IF(NOT(ISNUMBER($G536)),"",INDEX('Residual Config'!$B$19:$E$23,6-G536,M536))</f>
        <v>1</v>
      </c>
      <c r="Q536" s="29" t="n">
        <f aca="false">IF(NOT(ISNUMBER($G536)),"",MAX(1,F536*(1-O536)))</f>
        <v>1.2</v>
      </c>
      <c r="R536" s="31" t="n">
        <f aca="false">IF(NOT(ISNUMBER($G536)),"",MAX(MATCH(Q536,Config!$D$5:$D$9,1),G536-'Residual Config'!$C$6))</f>
        <v>1</v>
      </c>
      <c r="S536" s="34" t="n">
        <f aca="false">IF(NOT(ISNUMBER($G536)),"",IF('Residual Config'!$C$5="Numeric",R536,P536))</f>
        <v>1</v>
      </c>
      <c r="T536" s="7" t="str">
        <f aca="false">IF(G536="N/A","N/A",IF(S536="","No data",INDEX(Config!$B$5:$B$9,S536)))</f>
        <v>Low</v>
      </c>
      <c r="U536" s="32" t="n">
        <v>0</v>
      </c>
      <c r="V536" s="8"/>
      <c r="W536" s="33"/>
      <c r="X536" s="34" t="n">
        <f aca="false">IF(S536="","",IF(AND(W536="Y",U536&lt;&gt;0),MAX(1,MIN(5,S536+MAX(-Config!$C$27,MIN(Config!$C$27,U536)))),S536))</f>
        <v>1</v>
      </c>
      <c r="Y536" s="35" t="str">
        <f aca="false">IF(G536="N/A","N/A",IF(X536="","No data",INDEX(Config!$B$5:$B$9,X536)))</f>
        <v>Low</v>
      </c>
      <c r="Z536" s="7" t="str">
        <f aca="false">IF(U536=0,"None",IF(W536="Y","Applied","Pending HO approval"))</f>
        <v>None</v>
      </c>
      <c r="AA536" s="12" t="str">
        <f aca="false">INDEX('Risk Taxonomy'!$G$5:$G$24,MATCH(D536,'Risk Taxonomy'!$A$5:$A$24,0))</f>
        <v>Moderate</v>
      </c>
      <c r="AB536" s="7" t="str">
        <f aca="false">INDEX('Risk Taxonomy'!$H$5:$H$24,MATCH(D536,'Risk Taxonomy'!$A$5:$A$24,0))</f>
        <v>Medium-High</v>
      </c>
      <c r="AC536" s="35" t="str">
        <f aca="false">IF(NOT(ISNUMBER(X536)),"",IF(X536&lt;=MATCH(AB536,Config!$B$5:$B$9,0),"Within",IF(OR(X536-MATCH(AB536,Config!$B$5:$B$9,0)&gt;=2,AND('Residual Config'!$C$8="Y",ISNUMBER(SEARCH("Zero",AA536)))),"Red","Amber")))</f>
        <v>Within</v>
      </c>
      <c r="AD536" s="12" t="str">
        <f aca="false">IF(AC536="Red","Group CCO / CRO and Country CEO within 2 business days; action plan in 15 days; report to Board Risk &amp; Compliance Committee",IF(AC536="Amber","Country CO, risk owner and HO Administrator within 5 business days; action plan in 30 days",""))</f>
        <v/>
      </c>
    </row>
    <row r="537" customFormat="false" ht="15" hidden="false" customHeight="false" outlineLevel="0" collapsed="false">
      <c r="A537" s="26" t="str">
        <f aca="false">Entities!$A$31</f>
        <v>SG</v>
      </c>
      <c r="B537" s="12" t="str">
        <f aca="false">INDEX(Entities!$B$5:$B$34,MATCH(A537,Entities!$A$5:$A$34,0))</f>
        <v>Arab Bank – Singapore</v>
      </c>
      <c r="C537" s="12" t="str">
        <f aca="false">INDEX(Entities!$D$5:$D$34,MATCH(A537,Entities!$A$5:$A$34,0))</f>
        <v>Asia-Pacific</v>
      </c>
      <c r="D537" s="12" t="s">
        <v>302</v>
      </c>
      <c r="E537" s="12" t="str">
        <f aca="false">INDEX('Risk Taxonomy'!$B$5:$B$24,MATCH(D537,'Risk Taxonomy'!$A$5:$A$24,0))</f>
        <v>Market risk</v>
      </c>
      <c r="F537" s="29" t="n">
        <f aca="false">IF(NOT(ISNUMBER(G537)),"",G537)</f>
        <v>3</v>
      </c>
      <c r="G537" s="34" t="n">
        <f aca="false">IF(COUNTIFS('LxI Assessment'!$A$5:$A$394,A537,'LxI Assessment'!$D$5:$D$394,D537,'LxI Assessment'!$F$5:$F$394,"N/A")&gt;0,"N/A",IF(COUNTIFS('LxI Assessment'!$A$5:$A$394,A537,'LxI Assessment'!$D$5:$D$394,D537,'LxI Assessment'!$S$5:$S$394,"&gt;0")=0,"",SUMIFS('LxI Assessment'!$S$5:$S$394,'LxI Assessment'!$A$5:$A$394,A537,'LxI Assessment'!$D$5:$D$394,D537)))</f>
        <v>3</v>
      </c>
      <c r="H537" s="7" t="str">
        <f aca="false">IF(G537="N/A","N/A",IF(G537="","No data",INDEX(Config!$B$5:$B$9,G537)))</f>
        <v>Medium</v>
      </c>
      <c r="I537" s="31" t="n">
        <f aca="false">IF(NOT(ISNUMBER($G537)),"",SUMPRODUCT(('Control Mapping'!$C$5:$C$83=D537)*('Control Mapping'!$AG$5:$AG$83&gt;0)))</f>
        <v>1</v>
      </c>
      <c r="J537" s="31" t="n">
        <f aca="false">IF(NOT(ISNUMBER($G537)),"",SUMPRODUCT(('Control Mapping'!$C$5:$C$83=D537)*('Control Mapping'!$F$5:$F$83="Y")*('Control Mapping'!$AG$5:$AG$83&gt;0)))</f>
        <v>1</v>
      </c>
      <c r="K537" s="31" t="n">
        <f aca="false">IF(NOT(ISNUMBER($G537)),"",SUMPRODUCT(('Control Mapping'!$C$5:$C$83=D537)*('Control Mapping'!$F$5:$F$83="Y")*('Control Mapping'!$AG$5:$AG$83=4)))</f>
        <v>0</v>
      </c>
      <c r="L537" s="29" t="n">
        <f aca="false">IF(NOT(ISNUMBER($G537)),"",IFERROR(SUMPRODUCT(('Control Mapping'!$C$5:$C$83=D537)*'Control Mapping'!$E$5:$E$83*'Control Mapping'!$AG$5:$AG$83)/SUMPRODUCT(('Control Mapping'!$C$5:$C$83=D537)*'Control Mapping'!$E$5:$E$83*('Control Mapping'!$AG$5:$AG$83&gt;0)),""))</f>
        <v>2</v>
      </c>
      <c r="M537" s="34" t="n">
        <f aca="false">IF(NOT(ISNUMBER($G537)),"",IF(J537=0,4,MAX(MATCH(L537,'Residual Config'!$E$11:$E$14,1),IF(K537&gt;0,'Residual Config'!$C$7,1))))</f>
        <v>2</v>
      </c>
      <c r="N537" s="7" t="str">
        <f aca="false">IF(NOT(ISNUMBER($G537)),"",IF(J537=0,"Ineffective (no key control)",INDEX('Residual Config'!$B$11:$B$14,M537)))</f>
        <v>Largely effective</v>
      </c>
      <c r="O537" s="36" t="n">
        <f aca="false">IF(NOT(ISNUMBER($G537)),"",IF(J537=0,0,SUMPRODUCT(('Control Mapping'!$C$5:$C$83=D537)*'Control Mapping'!$E$5:$E$83*(('Control Mapping'!$AG$5:$AG$83=1)*'Residual Config'!$D$11+('Control Mapping'!$AG$5:$AG$83=2)*'Residual Config'!$D$12+('Control Mapping'!$AG$5:$AG$83=3)*'Residual Config'!$D$13+('Control Mapping'!$AG$5:$AG$83=4)*'Residual Config'!$D$14))/SUMPRODUCT(('Control Mapping'!$C$5:$C$83=D537)*'Control Mapping'!$E$5:$E$83*('Control Mapping'!$AG$5:$AG$83&gt;0))))</f>
        <v>0.4</v>
      </c>
      <c r="P537" s="31" t="n">
        <f aca="false">IF(NOT(ISNUMBER($G537)),"",INDEX('Residual Config'!$B$19:$E$23,6-G537,M537))</f>
        <v>2</v>
      </c>
      <c r="Q537" s="29" t="n">
        <f aca="false">IF(NOT(ISNUMBER($G537)),"",MAX(1,F537*(1-O537)))</f>
        <v>1.8</v>
      </c>
      <c r="R537" s="31" t="n">
        <f aca="false">IF(NOT(ISNUMBER($G537)),"",MAX(MATCH(Q537,Config!$D$5:$D$9,1),G537-'Residual Config'!$C$6))</f>
        <v>1</v>
      </c>
      <c r="S537" s="34" t="n">
        <f aca="false">IF(NOT(ISNUMBER($G537)),"",IF('Residual Config'!$C$5="Numeric",R537,P537))</f>
        <v>2</v>
      </c>
      <c r="T537" s="7" t="str">
        <f aca="false">IF(G537="N/A","N/A",IF(S537="","No data",INDEX(Config!$B$5:$B$9,S537)))</f>
        <v>Medium-Low</v>
      </c>
      <c r="U537" s="32" t="n">
        <v>0</v>
      </c>
      <c r="V537" s="8"/>
      <c r="W537" s="33"/>
      <c r="X537" s="34" t="n">
        <f aca="false">IF(S537="","",IF(AND(W537="Y",U537&lt;&gt;0),MAX(1,MIN(5,S537+MAX(-Config!$C$27,MIN(Config!$C$27,U537)))),S537))</f>
        <v>2</v>
      </c>
      <c r="Y537" s="35" t="str">
        <f aca="false">IF(G537="N/A","N/A",IF(X537="","No data",INDEX(Config!$B$5:$B$9,X537)))</f>
        <v>Medium-Low</v>
      </c>
      <c r="Z537" s="7" t="str">
        <f aca="false">IF(U537=0,"None",IF(W537="Y","Applied","Pending HO approval"))</f>
        <v>None</v>
      </c>
      <c r="AA537" s="12" t="str">
        <f aca="false">INDEX('Risk Taxonomy'!$G$5:$G$24,MATCH(D537,'Risk Taxonomy'!$A$5:$A$24,0))</f>
        <v>Moderate</v>
      </c>
      <c r="AB537" s="7" t="str">
        <f aca="false">INDEX('Risk Taxonomy'!$H$5:$H$24,MATCH(D537,'Risk Taxonomy'!$A$5:$A$24,0))</f>
        <v>Medium-High</v>
      </c>
      <c r="AC537" s="35" t="str">
        <f aca="false">IF(NOT(ISNUMBER(X537)),"",IF(X537&lt;=MATCH(AB537,Config!$B$5:$B$9,0),"Within",IF(OR(X537-MATCH(AB537,Config!$B$5:$B$9,0)&gt;=2,AND('Residual Config'!$C$8="Y",ISNUMBER(SEARCH("Zero",AA537)))),"Red","Amber")))</f>
        <v>Within</v>
      </c>
      <c r="AD537" s="12" t="str">
        <f aca="false">IF(AC537="Red","Group CCO / CRO and Country CEO within 2 business days; action plan in 15 days; report to Board Risk &amp; Compliance Committee",IF(AC537="Amber","Country CO, risk owner and HO Administrator within 5 business days; action plan in 30 days",""))</f>
        <v/>
      </c>
    </row>
    <row r="538" customFormat="false" ht="15" hidden="false" customHeight="false" outlineLevel="0" collapsed="false">
      <c r="A538" s="26" t="str">
        <f aca="false">Entities!$A$31</f>
        <v>SG</v>
      </c>
      <c r="B538" s="12" t="str">
        <f aca="false">INDEX(Entities!$B$5:$B$34,MATCH(A538,Entities!$A$5:$A$34,0))</f>
        <v>Arab Bank – Singapore</v>
      </c>
      <c r="C538" s="12" t="str">
        <f aca="false">INDEX(Entities!$D$5:$D$34,MATCH(A538,Entities!$A$5:$A$34,0))</f>
        <v>Asia-Pacific</v>
      </c>
      <c r="D538" s="12" t="s">
        <v>304</v>
      </c>
      <c r="E538" s="12" t="str">
        <f aca="false">INDEX('Risk Taxonomy'!$B$5:$B$24,MATCH(D538,'Risk Taxonomy'!$A$5:$A$24,0))</f>
        <v>Liquidity and funding risk</v>
      </c>
      <c r="F538" s="29" t="n">
        <f aca="false">IF(NOT(ISNUMBER(G538)),"",G538)</f>
        <v>2</v>
      </c>
      <c r="G538" s="34" t="n">
        <f aca="false">IF(COUNTIFS('LxI Assessment'!$A$5:$A$394,A538,'LxI Assessment'!$D$5:$D$394,D538,'LxI Assessment'!$F$5:$F$394,"N/A")&gt;0,"N/A",IF(COUNTIFS('LxI Assessment'!$A$5:$A$394,A538,'LxI Assessment'!$D$5:$D$394,D538,'LxI Assessment'!$S$5:$S$394,"&gt;0")=0,"",SUMIFS('LxI Assessment'!$S$5:$S$394,'LxI Assessment'!$A$5:$A$394,A538,'LxI Assessment'!$D$5:$D$394,D538)))</f>
        <v>2</v>
      </c>
      <c r="H538" s="7" t="str">
        <f aca="false">IF(G538="N/A","N/A",IF(G538="","No data",INDEX(Config!$B$5:$B$9,G538)))</f>
        <v>Medium-Low</v>
      </c>
      <c r="I538" s="31" t="n">
        <f aca="false">IF(NOT(ISNUMBER($G538)),"",SUMPRODUCT(('Control Mapping'!$C$5:$C$83=D538)*('Control Mapping'!$AG$5:$AG$83&gt;0)))</f>
        <v>1</v>
      </c>
      <c r="J538" s="31" t="n">
        <f aca="false">IF(NOT(ISNUMBER($G538)),"",SUMPRODUCT(('Control Mapping'!$C$5:$C$83=D538)*('Control Mapping'!$F$5:$F$83="Y")*('Control Mapping'!$AG$5:$AG$83&gt;0)))</f>
        <v>1</v>
      </c>
      <c r="K538" s="31" t="n">
        <f aca="false">IF(NOT(ISNUMBER($G538)),"",SUMPRODUCT(('Control Mapping'!$C$5:$C$83=D538)*('Control Mapping'!$F$5:$F$83="Y")*('Control Mapping'!$AG$5:$AG$83=4)))</f>
        <v>0</v>
      </c>
      <c r="L538" s="29" t="n">
        <f aca="false">IF(NOT(ISNUMBER($G538)),"",IFERROR(SUMPRODUCT(('Control Mapping'!$C$5:$C$83=D538)*'Control Mapping'!$E$5:$E$83*'Control Mapping'!$AG$5:$AG$83)/SUMPRODUCT(('Control Mapping'!$C$5:$C$83=D538)*'Control Mapping'!$E$5:$E$83*('Control Mapping'!$AG$5:$AG$83&gt;0)),""))</f>
        <v>1</v>
      </c>
      <c r="M538" s="34" t="n">
        <f aca="false">IF(NOT(ISNUMBER($G538)),"",IF(J538=0,4,MAX(MATCH(L538,'Residual Config'!$E$11:$E$14,1),IF(K538&gt;0,'Residual Config'!$C$7,1))))</f>
        <v>1</v>
      </c>
      <c r="N538" s="7" t="str">
        <f aca="false">IF(NOT(ISNUMBER($G538)),"",IF(J538=0,"Ineffective (no key control)",INDEX('Residual Config'!$B$11:$B$14,M538)))</f>
        <v>Effective</v>
      </c>
      <c r="O538" s="36" t="n">
        <f aca="false">IF(NOT(ISNUMBER($G538)),"",IF(J538=0,0,SUMPRODUCT(('Control Mapping'!$C$5:$C$83=D538)*'Control Mapping'!$E$5:$E$83*(('Control Mapping'!$AG$5:$AG$83=1)*'Residual Config'!$D$11+('Control Mapping'!$AG$5:$AG$83=2)*'Residual Config'!$D$12+('Control Mapping'!$AG$5:$AG$83=3)*'Residual Config'!$D$13+('Control Mapping'!$AG$5:$AG$83=4)*'Residual Config'!$D$14))/SUMPRODUCT(('Control Mapping'!$C$5:$C$83=D538)*'Control Mapping'!$E$5:$E$83*('Control Mapping'!$AG$5:$AG$83&gt;0))))</f>
        <v>0.6</v>
      </c>
      <c r="P538" s="31" t="n">
        <f aca="false">IF(NOT(ISNUMBER($G538)),"",INDEX('Residual Config'!$B$19:$E$23,6-G538,M538))</f>
        <v>1</v>
      </c>
      <c r="Q538" s="29" t="n">
        <f aca="false">IF(NOT(ISNUMBER($G538)),"",MAX(1,F538*(1-O538)))</f>
        <v>1</v>
      </c>
      <c r="R538" s="31" t="n">
        <f aca="false">IF(NOT(ISNUMBER($G538)),"",MAX(MATCH(Q538,Config!$D$5:$D$9,1),G538-'Residual Config'!$C$6))</f>
        <v>1</v>
      </c>
      <c r="S538" s="34" t="n">
        <f aca="false">IF(NOT(ISNUMBER($G538)),"",IF('Residual Config'!$C$5="Numeric",R538,P538))</f>
        <v>1</v>
      </c>
      <c r="T538" s="7" t="str">
        <f aca="false">IF(G538="N/A","N/A",IF(S538="","No data",INDEX(Config!$B$5:$B$9,S538)))</f>
        <v>Low</v>
      </c>
      <c r="U538" s="32" t="n">
        <v>0</v>
      </c>
      <c r="V538" s="8"/>
      <c r="W538" s="33"/>
      <c r="X538" s="34" t="n">
        <f aca="false">IF(S538="","",IF(AND(W538="Y",U538&lt;&gt;0),MAX(1,MIN(5,S538+MAX(-Config!$C$27,MIN(Config!$C$27,U538)))),S538))</f>
        <v>1</v>
      </c>
      <c r="Y538" s="35" t="str">
        <f aca="false">IF(G538="N/A","N/A",IF(X538="","No data",INDEX(Config!$B$5:$B$9,X538)))</f>
        <v>Low</v>
      </c>
      <c r="Z538" s="7" t="str">
        <f aca="false">IF(U538=0,"None",IF(W538="Y","Applied","Pending HO approval"))</f>
        <v>None</v>
      </c>
      <c r="AA538" s="12" t="str">
        <f aca="false">INDEX('Risk Taxonomy'!$G$5:$G$24,MATCH(D538,'Risk Taxonomy'!$A$5:$A$24,0))</f>
        <v>Low</v>
      </c>
      <c r="AB538" s="7" t="str">
        <f aca="false">INDEX('Risk Taxonomy'!$H$5:$H$24,MATCH(D538,'Risk Taxonomy'!$A$5:$A$24,0))</f>
        <v>Medium</v>
      </c>
      <c r="AC538" s="35" t="str">
        <f aca="false">IF(NOT(ISNUMBER(X538)),"",IF(X538&lt;=MATCH(AB538,Config!$B$5:$B$9,0),"Within",IF(OR(X538-MATCH(AB538,Config!$B$5:$B$9,0)&gt;=2,AND('Residual Config'!$C$8="Y",ISNUMBER(SEARCH("Zero",AA538)))),"Red","Amber")))</f>
        <v>Within</v>
      </c>
      <c r="AD538" s="12" t="str">
        <f aca="false">IF(AC538="Red","Group CCO / CRO and Country CEO within 2 business days; action plan in 15 days; report to Board Risk &amp; Compliance Committee",IF(AC538="Amber","Country CO, risk owner and HO Administrator within 5 business days; action plan in 30 days",""))</f>
        <v/>
      </c>
    </row>
    <row r="539" customFormat="false" ht="15" hidden="false" customHeight="false" outlineLevel="0" collapsed="false">
      <c r="A539" s="26" t="str">
        <f aca="false">Entities!$A$31</f>
        <v>SG</v>
      </c>
      <c r="B539" s="12" t="str">
        <f aca="false">INDEX(Entities!$B$5:$B$34,MATCH(A539,Entities!$A$5:$A$34,0))</f>
        <v>Arab Bank – Singapore</v>
      </c>
      <c r="C539" s="12" t="str">
        <f aca="false">INDEX(Entities!$D$5:$D$34,MATCH(A539,Entities!$A$5:$A$34,0))</f>
        <v>Asia-Pacific</v>
      </c>
      <c r="D539" s="12" t="s">
        <v>307</v>
      </c>
      <c r="E539" s="12" t="str">
        <f aca="false">INDEX('Risk Taxonomy'!$B$5:$B$24,MATCH(D539,'Risk Taxonomy'!$A$5:$A$24,0))</f>
        <v>Operational risk</v>
      </c>
      <c r="F539" s="29" t="n">
        <f aca="false">IF(NOT(ISNUMBER(G539)),"",G539)</f>
        <v>2</v>
      </c>
      <c r="G539" s="34" t="n">
        <f aca="false">IF(COUNTIFS('LxI Assessment'!$A$5:$A$394,A539,'LxI Assessment'!$D$5:$D$394,D539,'LxI Assessment'!$F$5:$F$394,"N/A")&gt;0,"N/A",IF(COUNTIFS('LxI Assessment'!$A$5:$A$394,A539,'LxI Assessment'!$D$5:$D$394,D539,'LxI Assessment'!$S$5:$S$394,"&gt;0")=0,"",SUMIFS('LxI Assessment'!$S$5:$S$394,'LxI Assessment'!$A$5:$A$394,A539,'LxI Assessment'!$D$5:$D$394,D539)))</f>
        <v>2</v>
      </c>
      <c r="H539" s="7" t="str">
        <f aca="false">IF(G539="N/A","N/A",IF(G539="","No data",INDEX(Config!$B$5:$B$9,G539)))</f>
        <v>Medium-Low</v>
      </c>
      <c r="I539" s="31" t="n">
        <f aca="false">IF(NOT(ISNUMBER($G539)),"",SUMPRODUCT(('Control Mapping'!$C$5:$C$83=D539)*('Control Mapping'!$AG$5:$AG$83&gt;0)))</f>
        <v>3</v>
      </c>
      <c r="J539" s="31" t="n">
        <f aca="false">IF(NOT(ISNUMBER($G539)),"",SUMPRODUCT(('Control Mapping'!$C$5:$C$83=D539)*('Control Mapping'!$F$5:$F$83="Y")*('Control Mapping'!$AG$5:$AG$83&gt;0)))</f>
        <v>2</v>
      </c>
      <c r="K539" s="31" t="n">
        <f aca="false">IF(NOT(ISNUMBER($G539)),"",SUMPRODUCT(('Control Mapping'!$C$5:$C$83=D539)*('Control Mapping'!$F$5:$F$83="Y")*('Control Mapping'!$AG$5:$AG$83=4)))</f>
        <v>0</v>
      </c>
      <c r="L539" s="29" t="n">
        <f aca="false">IF(NOT(ISNUMBER($G539)),"",IFERROR(SUMPRODUCT(('Control Mapping'!$C$5:$C$83=D539)*'Control Mapping'!$E$5:$E$83*'Control Mapping'!$AG$5:$AG$83)/SUMPRODUCT(('Control Mapping'!$C$5:$C$83=D539)*'Control Mapping'!$E$5:$E$83*('Control Mapping'!$AG$5:$AG$83&gt;0)),""))</f>
        <v>2</v>
      </c>
      <c r="M539" s="34" t="n">
        <f aca="false">IF(NOT(ISNUMBER($G539)),"",IF(J539=0,4,MAX(MATCH(L539,'Residual Config'!$E$11:$E$14,1),IF(K539&gt;0,'Residual Config'!$C$7,1))))</f>
        <v>2</v>
      </c>
      <c r="N539" s="7" t="str">
        <f aca="false">IF(NOT(ISNUMBER($G539)),"",IF(J539=0,"Ineffective (no key control)",INDEX('Residual Config'!$B$11:$B$14,M539)))</f>
        <v>Largely effective</v>
      </c>
      <c r="O539" s="36" t="n">
        <f aca="false">IF(NOT(ISNUMBER($G539)),"",IF(J539=0,0,SUMPRODUCT(('Control Mapping'!$C$5:$C$83=D539)*'Control Mapping'!$E$5:$E$83*(('Control Mapping'!$AG$5:$AG$83=1)*'Residual Config'!$D$11+('Control Mapping'!$AG$5:$AG$83=2)*'Residual Config'!$D$12+('Control Mapping'!$AG$5:$AG$83=3)*'Residual Config'!$D$13+('Control Mapping'!$AG$5:$AG$83=4)*'Residual Config'!$D$14))/SUMPRODUCT(('Control Mapping'!$C$5:$C$83=D539)*'Control Mapping'!$E$5:$E$83*('Control Mapping'!$AG$5:$AG$83&gt;0))))</f>
        <v>0.4</v>
      </c>
      <c r="P539" s="31" t="n">
        <f aca="false">IF(NOT(ISNUMBER($G539)),"",INDEX('Residual Config'!$B$19:$E$23,6-G539,M539))</f>
        <v>1</v>
      </c>
      <c r="Q539" s="29" t="n">
        <f aca="false">IF(NOT(ISNUMBER($G539)),"",MAX(1,F539*(1-O539)))</f>
        <v>1.2</v>
      </c>
      <c r="R539" s="31" t="n">
        <f aca="false">IF(NOT(ISNUMBER($G539)),"",MAX(MATCH(Q539,Config!$D$5:$D$9,1),G539-'Residual Config'!$C$6))</f>
        <v>1</v>
      </c>
      <c r="S539" s="34" t="n">
        <f aca="false">IF(NOT(ISNUMBER($G539)),"",IF('Residual Config'!$C$5="Numeric",R539,P539))</f>
        <v>1</v>
      </c>
      <c r="T539" s="7" t="str">
        <f aca="false">IF(G539="N/A","N/A",IF(S539="","No data",INDEX(Config!$B$5:$B$9,S539)))</f>
        <v>Low</v>
      </c>
      <c r="U539" s="32" t="n">
        <v>0</v>
      </c>
      <c r="V539" s="8"/>
      <c r="W539" s="33"/>
      <c r="X539" s="34" t="n">
        <f aca="false">IF(S539="","",IF(AND(W539="Y",U539&lt;&gt;0),MAX(1,MIN(5,S539+MAX(-Config!$C$27,MIN(Config!$C$27,U539)))),S539))</f>
        <v>1</v>
      </c>
      <c r="Y539" s="35" t="str">
        <f aca="false">IF(G539="N/A","N/A",IF(X539="","No data",INDEX(Config!$B$5:$B$9,X539)))</f>
        <v>Low</v>
      </c>
      <c r="Z539" s="7" t="str">
        <f aca="false">IF(U539=0,"None",IF(W539="Y","Applied","Pending HO approval"))</f>
        <v>None</v>
      </c>
      <c r="AA539" s="12" t="str">
        <f aca="false">INDEX('Risk Taxonomy'!$G$5:$G$24,MATCH(D539,'Risk Taxonomy'!$A$5:$A$24,0))</f>
        <v>Low</v>
      </c>
      <c r="AB539" s="7" t="str">
        <f aca="false">INDEX('Risk Taxonomy'!$H$5:$H$24,MATCH(D539,'Risk Taxonomy'!$A$5:$A$24,0))</f>
        <v>Medium</v>
      </c>
      <c r="AC539" s="35" t="str">
        <f aca="false">IF(NOT(ISNUMBER(X539)),"",IF(X539&lt;=MATCH(AB539,Config!$B$5:$B$9,0),"Within",IF(OR(X539-MATCH(AB539,Config!$B$5:$B$9,0)&gt;=2,AND('Residual Config'!$C$8="Y",ISNUMBER(SEARCH("Zero",AA539)))),"Red","Amber")))</f>
        <v>Within</v>
      </c>
      <c r="AD539" s="12" t="str">
        <f aca="false">IF(AC539="Red","Group CCO / CRO and Country CEO within 2 business days; action plan in 15 days; report to Board Risk &amp; Compliance Committee",IF(AC539="Amber","Country CO, risk owner and HO Administrator within 5 business days; action plan in 30 days",""))</f>
        <v/>
      </c>
    </row>
    <row r="540" customFormat="false" ht="15" hidden="false" customHeight="false" outlineLevel="0" collapsed="false">
      <c r="A540" s="26" t="str">
        <f aca="false">Entities!$A$31</f>
        <v>SG</v>
      </c>
      <c r="B540" s="12" t="str">
        <f aca="false">INDEX(Entities!$B$5:$B$34,MATCH(A540,Entities!$A$5:$A$34,0))</f>
        <v>Arab Bank – Singapore</v>
      </c>
      <c r="C540" s="12" t="str">
        <f aca="false">INDEX(Entities!$D$5:$D$34,MATCH(A540,Entities!$A$5:$A$34,0))</f>
        <v>Asia-Pacific</v>
      </c>
      <c r="D540" s="12" t="s">
        <v>310</v>
      </c>
      <c r="E540" s="12" t="str">
        <f aca="false">INDEX('Risk Taxonomy'!$B$5:$B$24,MATCH(D540,'Risk Taxonomy'!$A$5:$A$24,0))</f>
        <v>Cyber, information security and technology</v>
      </c>
      <c r="F540" s="29" t="n">
        <f aca="false">IF(NOT(ISNUMBER(G540)),"",G540)</f>
        <v>3</v>
      </c>
      <c r="G540" s="34" t="n">
        <f aca="false">IF(COUNTIFS('LxI Assessment'!$A$5:$A$394,A540,'LxI Assessment'!$D$5:$D$394,D540,'LxI Assessment'!$F$5:$F$394,"N/A")&gt;0,"N/A",IF(COUNTIFS('LxI Assessment'!$A$5:$A$394,A540,'LxI Assessment'!$D$5:$D$394,D540,'LxI Assessment'!$S$5:$S$394,"&gt;0")=0,"",SUMIFS('LxI Assessment'!$S$5:$S$394,'LxI Assessment'!$A$5:$A$394,A540,'LxI Assessment'!$D$5:$D$394,D540)))</f>
        <v>3</v>
      </c>
      <c r="H540" s="7" t="str">
        <f aca="false">IF(G540="N/A","N/A",IF(G540="","No data",INDEX(Config!$B$5:$B$9,G540)))</f>
        <v>Medium</v>
      </c>
      <c r="I540" s="31" t="n">
        <f aca="false">IF(NOT(ISNUMBER($G540)),"",SUMPRODUCT(('Control Mapping'!$C$5:$C$83=D540)*('Control Mapping'!$AG$5:$AG$83&gt;0)))</f>
        <v>4</v>
      </c>
      <c r="J540" s="31" t="n">
        <f aca="false">IF(NOT(ISNUMBER($G540)),"",SUMPRODUCT(('Control Mapping'!$C$5:$C$83=D540)*('Control Mapping'!$F$5:$F$83="Y")*('Control Mapping'!$AG$5:$AG$83&gt;0)))</f>
        <v>4</v>
      </c>
      <c r="K540" s="31" t="n">
        <f aca="false">IF(NOT(ISNUMBER($G540)),"",SUMPRODUCT(('Control Mapping'!$C$5:$C$83=D540)*('Control Mapping'!$F$5:$F$83="Y")*('Control Mapping'!$AG$5:$AG$83=4)))</f>
        <v>0</v>
      </c>
      <c r="L540" s="29" t="n">
        <f aca="false">IF(NOT(ISNUMBER($G540)),"",IFERROR(SUMPRODUCT(('Control Mapping'!$C$5:$C$83=D540)*'Control Mapping'!$E$5:$E$83*'Control Mapping'!$AG$5:$AG$83)/SUMPRODUCT(('Control Mapping'!$C$5:$C$83=D540)*'Control Mapping'!$E$5:$E$83*('Control Mapping'!$AG$5:$AG$83&gt;0)),""))</f>
        <v>2</v>
      </c>
      <c r="M540" s="34" t="n">
        <f aca="false">IF(NOT(ISNUMBER($G540)),"",IF(J540=0,4,MAX(MATCH(L540,'Residual Config'!$E$11:$E$14,1),IF(K540&gt;0,'Residual Config'!$C$7,1))))</f>
        <v>2</v>
      </c>
      <c r="N540" s="7" t="str">
        <f aca="false">IF(NOT(ISNUMBER($G540)),"",IF(J540=0,"Ineffective (no key control)",INDEX('Residual Config'!$B$11:$B$14,M540)))</f>
        <v>Largely effective</v>
      </c>
      <c r="O540" s="36" t="n">
        <f aca="false">IF(NOT(ISNUMBER($G540)),"",IF(J540=0,0,SUMPRODUCT(('Control Mapping'!$C$5:$C$83=D540)*'Control Mapping'!$E$5:$E$83*(('Control Mapping'!$AG$5:$AG$83=1)*'Residual Config'!$D$11+('Control Mapping'!$AG$5:$AG$83=2)*'Residual Config'!$D$12+('Control Mapping'!$AG$5:$AG$83=3)*'Residual Config'!$D$13+('Control Mapping'!$AG$5:$AG$83=4)*'Residual Config'!$D$14))/SUMPRODUCT(('Control Mapping'!$C$5:$C$83=D540)*'Control Mapping'!$E$5:$E$83*('Control Mapping'!$AG$5:$AG$83&gt;0))))</f>
        <v>0.4</v>
      </c>
      <c r="P540" s="31" t="n">
        <f aca="false">IF(NOT(ISNUMBER($G540)),"",INDEX('Residual Config'!$B$19:$E$23,6-G540,M540))</f>
        <v>2</v>
      </c>
      <c r="Q540" s="29" t="n">
        <f aca="false">IF(NOT(ISNUMBER($G540)),"",MAX(1,F540*(1-O540)))</f>
        <v>1.8</v>
      </c>
      <c r="R540" s="31" t="n">
        <f aca="false">IF(NOT(ISNUMBER($G540)),"",MAX(MATCH(Q540,Config!$D$5:$D$9,1),G540-'Residual Config'!$C$6))</f>
        <v>1</v>
      </c>
      <c r="S540" s="34" t="n">
        <f aca="false">IF(NOT(ISNUMBER($G540)),"",IF('Residual Config'!$C$5="Numeric",R540,P540))</f>
        <v>2</v>
      </c>
      <c r="T540" s="7" t="str">
        <f aca="false">IF(G540="N/A","N/A",IF(S540="","No data",INDEX(Config!$B$5:$B$9,S540)))</f>
        <v>Medium-Low</v>
      </c>
      <c r="U540" s="32" t="n">
        <v>0</v>
      </c>
      <c r="V540" s="8"/>
      <c r="W540" s="33"/>
      <c r="X540" s="34" t="n">
        <f aca="false">IF(S540="","",IF(AND(W540="Y",U540&lt;&gt;0),MAX(1,MIN(5,S540+MAX(-Config!$C$27,MIN(Config!$C$27,U540)))),S540))</f>
        <v>2</v>
      </c>
      <c r="Y540" s="35" t="str">
        <f aca="false">IF(G540="N/A","N/A",IF(X540="","No data",INDEX(Config!$B$5:$B$9,X540)))</f>
        <v>Medium-Low</v>
      </c>
      <c r="Z540" s="7" t="str">
        <f aca="false">IF(U540=0,"None",IF(W540="Y","Applied","Pending HO approval"))</f>
        <v>None</v>
      </c>
      <c r="AA540" s="12" t="str">
        <f aca="false">INDEX('Risk Taxonomy'!$G$5:$G$24,MATCH(D540,'Risk Taxonomy'!$A$5:$A$24,0))</f>
        <v>Very low</v>
      </c>
      <c r="AB540" s="7" t="str">
        <f aca="false">INDEX('Risk Taxonomy'!$H$5:$H$24,MATCH(D540,'Risk Taxonomy'!$A$5:$A$24,0))</f>
        <v>Medium-Low</v>
      </c>
      <c r="AC540" s="35" t="str">
        <f aca="false">IF(NOT(ISNUMBER(X540)),"",IF(X540&lt;=MATCH(AB540,Config!$B$5:$B$9,0),"Within",IF(OR(X540-MATCH(AB540,Config!$B$5:$B$9,0)&gt;=2,AND('Residual Config'!$C$8="Y",ISNUMBER(SEARCH("Zero",AA540)))),"Red","Amber")))</f>
        <v>Within</v>
      </c>
      <c r="AD540" s="12" t="str">
        <f aca="false">IF(AC540="Red","Group CCO / CRO and Country CEO within 2 business days; action plan in 15 days; report to Board Risk &amp; Compliance Committee",IF(AC540="Amber","Country CO, risk owner and HO Administrator within 5 business days; action plan in 30 days",""))</f>
        <v/>
      </c>
    </row>
    <row r="541" customFormat="false" ht="15" hidden="false" customHeight="false" outlineLevel="0" collapsed="false">
      <c r="A541" s="26" t="str">
        <f aca="false">Entities!$A$31</f>
        <v>SG</v>
      </c>
      <c r="B541" s="12" t="str">
        <f aca="false">INDEX(Entities!$B$5:$B$34,MATCH(A541,Entities!$A$5:$A$34,0))</f>
        <v>Arab Bank – Singapore</v>
      </c>
      <c r="C541" s="12" t="str">
        <f aca="false">INDEX(Entities!$D$5:$D$34,MATCH(A541,Entities!$A$5:$A$34,0))</f>
        <v>Asia-Pacific</v>
      </c>
      <c r="D541" s="12" t="s">
        <v>313</v>
      </c>
      <c r="E541" s="12" t="str">
        <f aca="false">INDEX('Risk Taxonomy'!$B$5:$B$24,MATCH(D541,'Risk Taxonomy'!$A$5:$A$24,0))</f>
        <v>Third-party and outsourcing</v>
      </c>
      <c r="F541" s="29" t="n">
        <f aca="false">IF(NOT(ISNUMBER(G541)),"",G541)</f>
        <v>1</v>
      </c>
      <c r="G541" s="34" t="n">
        <f aca="false">IF(COUNTIFS('LxI Assessment'!$A$5:$A$394,A541,'LxI Assessment'!$D$5:$D$394,D541,'LxI Assessment'!$F$5:$F$394,"N/A")&gt;0,"N/A",IF(COUNTIFS('LxI Assessment'!$A$5:$A$394,A541,'LxI Assessment'!$D$5:$D$394,D541,'LxI Assessment'!$S$5:$S$394,"&gt;0")=0,"",SUMIFS('LxI Assessment'!$S$5:$S$394,'LxI Assessment'!$A$5:$A$394,A541,'LxI Assessment'!$D$5:$D$394,D541)))</f>
        <v>1</v>
      </c>
      <c r="H541" s="7" t="str">
        <f aca="false">IF(G541="N/A","N/A",IF(G541="","No data",INDEX(Config!$B$5:$B$9,G541)))</f>
        <v>Low</v>
      </c>
      <c r="I541" s="31" t="n">
        <f aca="false">IF(NOT(ISNUMBER($G541)),"",SUMPRODUCT(('Control Mapping'!$C$5:$C$83=D541)*('Control Mapping'!$AG$5:$AG$83&gt;0)))</f>
        <v>2</v>
      </c>
      <c r="J541" s="31" t="n">
        <f aca="false">IF(NOT(ISNUMBER($G541)),"",SUMPRODUCT(('Control Mapping'!$C$5:$C$83=D541)*('Control Mapping'!$F$5:$F$83="Y")*('Control Mapping'!$AG$5:$AG$83&gt;0)))</f>
        <v>2</v>
      </c>
      <c r="K541" s="31" t="n">
        <f aca="false">IF(NOT(ISNUMBER($G541)),"",SUMPRODUCT(('Control Mapping'!$C$5:$C$83=D541)*('Control Mapping'!$F$5:$F$83="Y")*('Control Mapping'!$AG$5:$AG$83=4)))</f>
        <v>0</v>
      </c>
      <c r="L541" s="29" t="n">
        <f aca="false">IF(NOT(ISNUMBER($G541)),"",IFERROR(SUMPRODUCT(('Control Mapping'!$C$5:$C$83=D541)*'Control Mapping'!$E$5:$E$83*'Control Mapping'!$AG$5:$AG$83)/SUMPRODUCT(('Control Mapping'!$C$5:$C$83=D541)*'Control Mapping'!$E$5:$E$83*('Control Mapping'!$AG$5:$AG$83&gt;0)),""))</f>
        <v>1.25</v>
      </c>
      <c r="M541" s="34" t="n">
        <f aca="false">IF(NOT(ISNUMBER($G541)),"",IF(J541=0,4,MAX(MATCH(L541,'Residual Config'!$E$11:$E$14,1),IF(K541&gt;0,'Residual Config'!$C$7,1))))</f>
        <v>1</v>
      </c>
      <c r="N541" s="7" t="str">
        <f aca="false">IF(NOT(ISNUMBER($G541)),"",IF(J541=0,"Ineffective (no key control)",INDEX('Residual Config'!$B$11:$B$14,M541)))</f>
        <v>Effective</v>
      </c>
      <c r="O541" s="36" t="n">
        <f aca="false">IF(NOT(ISNUMBER($G541)),"",IF(J541=0,0,SUMPRODUCT(('Control Mapping'!$C$5:$C$83=D541)*'Control Mapping'!$E$5:$E$83*(('Control Mapping'!$AG$5:$AG$83=1)*'Residual Config'!$D$11+('Control Mapping'!$AG$5:$AG$83=2)*'Residual Config'!$D$12+('Control Mapping'!$AG$5:$AG$83=3)*'Residual Config'!$D$13+('Control Mapping'!$AG$5:$AG$83=4)*'Residual Config'!$D$14))/SUMPRODUCT(('Control Mapping'!$C$5:$C$83=D541)*'Control Mapping'!$E$5:$E$83*('Control Mapping'!$AG$5:$AG$83&gt;0))))</f>
        <v>0.55</v>
      </c>
      <c r="P541" s="31" t="n">
        <f aca="false">IF(NOT(ISNUMBER($G541)),"",INDEX('Residual Config'!$B$19:$E$23,6-G541,M541))</f>
        <v>1</v>
      </c>
      <c r="Q541" s="29" t="n">
        <f aca="false">IF(NOT(ISNUMBER($G541)),"",MAX(1,F541*(1-O541)))</f>
        <v>1</v>
      </c>
      <c r="R541" s="31" t="n">
        <f aca="false">IF(NOT(ISNUMBER($G541)),"",MAX(MATCH(Q541,Config!$D$5:$D$9,1),G541-'Residual Config'!$C$6))</f>
        <v>1</v>
      </c>
      <c r="S541" s="34" t="n">
        <f aca="false">IF(NOT(ISNUMBER($G541)),"",IF('Residual Config'!$C$5="Numeric",R541,P541))</f>
        <v>1</v>
      </c>
      <c r="T541" s="7" t="str">
        <f aca="false">IF(G541="N/A","N/A",IF(S541="","No data",INDEX(Config!$B$5:$B$9,S541)))</f>
        <v>Low</v>
      </c>
      <c r="U541" s="32" t="n">
        <v>0</v>
      </c>
      <c r="V541" s="8"/>
      <c r="W541" s="33"/>
      <c r="X541" s="34" t="n">
        <f aca="false">IF(S541="","",IF(AND(W541="Y",U541&lt;&gt;0),MAX(1,MIN(5,S541+MAX(-Config!$C$27,MIN(Config!$C$27,U541)))),S541))</f>
        <v>1</v>
      </c>
      <c r="Y541" s="35" t="str">
        <f aca="false">IF(G541="N/A","N/A",IF(X541="","No data",INDEX(Config!$B$5:$B$9,X541)))</f>
        <v>Low</v>
      </c>
      <c r="Z541" s="7" t="str">
        <f aca="false">IF(U541=0,"None",IF(W541="Y","Applied","Pending HO approval"))</f>
        <v>None</v>
      </c>
      <c r="AA541" s="12" t="str">
        <f aca="false">INDEX('Risk Taxonomy'!$G$5:$G$24,MATCH(D541,'Risk Taxonomy'!$A$5:$A$24,0))</f>
        <v>Low</v>
      </c>
      <c r="AB541" s="7" t="str">
        <f aca="false">INDEX('Risk Taxonomy'!$H$5:$H$24,MATCH(D541,'Risk Taxonomy'!$A$5:$A$24,0))</f>
        <v>Medium</v>
      </c>
      <c r="AC541" s="35" t="str">
        <f aca="false">IF(NOT(ISNUMBER(X541)),"",IF(X541&lt;=MATCH(AB541,Config!$B$5:$B$9,0),"Within",IF(OR(X541-MATCH(AB541,Config!$B$5:$B$9,0)&gt;=2,AND('Residual Config'!$C$8="Y",ISNUMBER(SEARCH("Zero",AA541)))),"Red","Amber")))</f>
        <v>Within</v>
      </c>
      <c r="AD541" s="12" t="str">
        <f aca="false">IF(AC541="Red","Group CCO / CRO and Country CEO within 2 business days; action plan in 15 days; report to Board Risk &amp; Compliance Committee",IF(AC541="Amber","Country CO, risk owner and HO Administrator within 5 business days; action plan in 30 days",""))</f>
        <v/>
      </c>
    </row>
    <row r="542" customFormat="false" ht="15" hidden="false" customHeight="false" outlineLevel="0" collapsed="false">
      <c r="A542" s="26" t="str">
        <f aca="false">Entities!$A$31</f>
        <v>SG</v>
      </c>
      <c r="B542" s="12" t="str">
        <f aca="false">INDEX(Entities!$B$5:$B$34,MATCH(A542,Entities!$A$5:$A$34,0))</f>
        <v>Arab Bank – Singapore</v>
      </c>
      <c r="C542" s="12" t="str">
        <f aca="false">INDEX(Entities!$D$5:$D$34,MATCH(A542,Entities!$A$5:$A$34,0))</f>
        <v>Asia-Pacific</v>
      </c>
      <c r="D542" s="12" t="s">
        <v>316</v>
      </c>
      <c r="E542" s="12" t="str">
        <f aca="false">INDEX('Risk Taxonomy'!$B$5:$B$24,MATCH(D542,'Risk Taxonomy'!$A$5:$A$24,0))</f>
        <v>Legal and litigation</v>
      </c>
      <c r="F542" s="29" t="n">
        <f aca="false">IF(NOT(ISNUMBER(G542)),"",G542)</f>
        <v>2</v>
      </c>
      <c r="G542" s="34" t="n">
        <f aca="false">IF(COUNTIFS('LxI Assessment'!$A$5:$A$394,A542,'LxI Assessment'!$D$5:$D$394,D542,'LxI Assessment'!$F$5:$F$394,"N/A")&gt;0,"N/A",IF(COUNTIFS('LxI Assessment'!$A$5:$A$394,A542,'LxI Assessment'!$D$5:$D$394,D542,'LxI Assessment'!$S$5:$S$394,"&gt;0")=0,"",SUMIFS('LxI Assessment'!$S$5:$S$394,'LxI Assessment'!$A$5:$A$394,A542,'LxI Assessment'!$D$5:$D$394,D542)))</f>
        <v>2</v>
      </c>
      <c r="H542" s="7" t="str">
        <f aca="false">IF(G542="N/A","N/A",IF(G542="","No data",INDEX(Config!$B$5:$B$9,G542)))</f>
        <v>Medium-Low</v>
      </c>
      <c r="I542" s="31" t="n">
        <f aca="false">IF(NOT(ISNUMBER($G542)),"",SUMPRODUCT(('Control Mapping'!$C$5:$C$83=D542)*('Control Mapping'!$AG$5:$AG$83&gt;0)))</f>
        <v>1</v>
      </c>
      <c r="J542" s="31" t="n">
        <f aca="false">IF(NOT(ISNUMBER($G542)),"",SUMPRODUCT(('Control Mapping'!$C$5:$C$83=D542)*('Control Mapping'!$F$5:$F$83="Y")*('Control Mapping'!$AG$5:$AG$83&gt;0)))</f>
        <v>1</v>
      </c>
      <c r="K542" s="31" t="n">
        <f aca="false">IF(NOT(ISNUMBER($G542)),"",SUMPRODUCT(('Control Mapping'!$C$5:$C$83=D542)*('Control Mapping'!$F$5:$F$83="Y")*('Control Mapping'!$AG$5:$AG$83=4)))</f>
        <v>0</v>
      </c>
      <c r="L542" s="29" t="n">
        <f aca="false">IF(NOT(ISNUMBER($G542)),"",IFERROR(SUMPRODUCT(('Control Mapping'!$C$5:$C$83=D542)*'Control Mapping'!$E$5:$E$83*'Control Mapping'!$AG$5:$AG$83)/SUMPRODUCT(('Control Mapping'!$C$5:$C$83=D542)*'Control Mapping'!$E$5:$E$83*('Control Mapping'!$AG$5:$AG$83&gt;0)),""))</f>
        <v>1</v>
      </c>
      <c r="M542" s="34" t="n">
        <f aca="false">IF(NOT(ISNUMBER($G542)),"",IF(J542=0,4,MAX(MATCH(L542,'Residual Config'!$E$11:$E$14,1),IF(K542&gt;0,'Residual Config'!$C$7,1))))</f>
        <v>1</v>
      </c>
      <c r="N542" s="7" t="str">
        <f aca="false">IF(NOT(ISNUMBER($G542)),"",IF(J542=0,"Ineffective (no key control)",INDEX('Residual Config'!$B$11:$B$14,M542)))</f>
        <v>Effective</v>
      </c>
      <c r="O542" s="36" t="n">
        <f aca="false">IF(NOT(ISNUMBER($G542)),"",IF(J542=0,0,SUMPRODUCT(('Control Mapping'!$C$5:$C$83=D542)*'Control Mapping'!$E$5:$E$83*(('Control Mapping'!$AG$5:$AG$83=1)*'Residual Config'!$D$11+('Control Mapping'!$AG$5:$AG$83=2)*'Residual Config'!$D$12+('Control Mapping'!$AG$5:$AG$83=3)*'Residual Config'!$D$13+('Control Mapping'!$AG$5:$AG$83=4)*'Residual Config'!$D$14))/SUMPRODUCT(('Control Mapping'!$C$5:$C$83=D542)*'Control Mapping'!$E$5:$E$83*('Control Mapping'!$AG$5:$AG$83&gt;0))))</f>
        <v>0.6</v>
      </c>
      <c r="P542" s="31" t="n">
        <f aca="false">IF(NOT(ISNUMBER($G542)),"",INDEX('Residual Config'!$B$19:$E$23,6-G542,M542))</f>
        <v>1</v>
      </c>
      <c r="Q542" s="29" t="n">
        <f aca="false">IF(NOT(ISNUMBER($G542)),"",MAX(1,F542*(1-O542)))</f>
        <v>1</v>
      </c>
      <c r="R542" s="31" t="n">
        <f aca="false">IF(NOT(ISNUMBER($G542)),"",MAX(MATCH(Q542,Config!$D$5:$D$9,1),G542-'Residual Config'!$C$6))</f>
        <v>1</v>
      </c>
      <c r="S542" s="34" t="n">
        <f aca="false">IF(NOT(ISNUMBER($G542)),"",IF('Residual Config'!$C$5="Numeric",R542,P542))</f>
        <v>1</v>
      </c>
      <c r="T542" s="7" t="str">
        <f aca="false">IF(G542="N/A","N/A",IF(S542="","No data",INDEX(Config!$B$5:$B$9,S542)))</f>
        <v>Low</v>
      </c>
      <c r="U542" s="32" t="n">
        <v>0</v>
      </c>
      <c r="V542" s="8"/>
      <c r="W542" s="33"/>
      <c r="X542" s="34" t="n">
        <f aca="false">IF(S542="","",IF(AND(W542="Y",U542&lt;&gt;0),MAX(1,MIN(5,S542+MAX(-Config!$C$27,MIN(Config!$C$27,U542)))),S542))</f>
        <v>1</v>
      </c>
      <c r="Y542" s="35" t="str">
        <f aca="false">IF(G542="N/A","N/A",IF(X542="","No data",INDEX(Config!$B$5:$B$9,X542)))</f>
        <v>Low</v>
      </c>
      <c r="Z542" s="7" t="str">
        <f aca="false">IF(U542=0,"None",IF(W542="Y","Applied","Pending HO approval"))</f>
        <v>None</v>
      </c>
      <c r="AA542" s="12" t="str">
        <f aca="false">INDEX('Risk Taxonomy'!$G$5:$G$24,MATCH(D542,'Risk Taxonomy'!$A$5:$A$24,0))</f>
        <v>Very low</v>
      </c>
      <c r="AB542" s="7" t="str">
        <f aca="false">INDEX('Risk Taxonomy'!$H$5:$H$24,MATCH(D542,'Risk Taxonomy'!$A$5:$A$24,0))</f>
        <v>Medium-Low</v>
      </c>
      <c r="AC542" s="35" t="str">
        <f aca="false">IF(NOT(ISNUMBER(X542)),"",IF(X542&lt;=MATCH(AB542,Config!$B$5:$B$9,0),"Within",IF(OR(X542-MATCH(AB542,Config!$B$5:$B$9,0)&gt;=2,AND('Residual Config'!$C$8="Y",ISNUMBER(SEARCH("Zero",AA542)))),"Red","Amber")))</f>
        <v>Within</v>
      </c>
      <c r="AD542" s="12" t="str">
        <f aca="false">IF(AC542="Red","Group CCO / CRO and Country CEO within 2 business days; action plan in 15 days; report to Board Risk &amp; Compliance Committee",IF(AC542="Amber","Country CO, risk owner and HO Administrator within 5 business days; action plan in 30 days",""))</f>
        <v/>
      </c>
    </row>
    <row r="543" customFormat="false" ht="15" hidden="false" customHeight="false" outlineLevel="0" collapsed="false">
      <c r="A543" s="26" t="str">
        <f aca="false">Entities!$A$31</f>
        <v>SG</v>
      </c>
      <c r="B543" s="12" t="str">
        <f aca="false">INDEX(Entities!$B$5:$B$34,MATCH(A543,Entities!$A$5:$A$34,0))</f>
        <v>Arab Bank – Singapore</v>
      </c>
      <c r="C543" s="12" t="str">
        <f aca="false">INDEX(Entities!$D$5:$D$34,MATCH(A543,Entities!$A$5:$A$34,0))</f>
        <v>Asia-Pacific</v>
      </c>
      <c r="D543" s="12" t="s">
        <v>319</v>
      </c>
      <c r="E543" s="12" t="str">
        <f aca="false">INDEX('Risk Taxonomy'!$B$5:$B$24,MATCH(D543,'Risk Taxonomy'!$A$5:$A$24,0))</f>
        <v>Reputational</v>
      </c>
      <c r="F543" s="29" t="n">
        <f aca="false">IF(NOT(ISNUMBER(G543)),"",G543)</f>
        <v>2</v>
      </c>
      <c r="G543" s="34" t="n">
        <f aca="false">IF(COUNTIFS('LxI Assessment'!$A$5:$A$394,A543,'LxI Assessment'!$D$5:$D$394,D543,'LxI Assessment'!$F$5:$F$394,"N/A")&gt;0,"N/A",IF(COUNTIFS('LxI Assessment'!$A$5:$A$394,A543,'LxI Assessment'!$D$5:$D$394,D543,'LxI Assessment'!$S$5:$S$394,"&gt;0")=0,"",SUMIFS('LxI Assessment'!$S$5:$S$394,'LxI Assessment'!$A$5:$A$394,A543,'LxI Assessment'!$D$5:$D$394,D543)))</f>
        <v>2</v>
      </c>
      <c r="H543" s="7" t="str">
        <f aca="false">IF(G543="N/A","N/A",IF(G543="","No data",INDEX(Config!$B$5:$B$9,G543)))</f>
        <v>Medium-Low</v>
      </c>
      <c r="I543" s="31" t="n">
        <f aca="false">IF(NOT(ISNUMBER($G543)),"",SUMPRODUCT(('Control Mapping'!$C$5:$C$83=D543)*('Control Mapping'!$AG$5:$AG$83&gt;0)))</f>
        <v>2</v>
      </c>
      <c r="J543" s="31" t="n">
        <f aca="false">IF(NOT(ISNUMBER($G543)),"",SUMPRODUCT(('Control Mapping'!$C$5:$C$83=D543)*('Control Mapping'!$F$5:$F$83="Y")*('Control Mapping'!$AG$5:$AG$83&gt;0)))</f>
        <v>1</v>
      </c>
      <c r="K543" s="31" t="n">
        <f aca="false">IF(NOT(ISNUMBER($G543)),"",SUMPRODUCT(('Control Mapping'!$C$5:$C$83=D543)*('Control Mapping'!$F$5:$F$83="Y")*('Control Mapping'!$AG$5:$AG$83=4)))</f>
        <v>0</v>
      </c>
      <c r="L543" s="29" t="n">
        <f aca="false">IF(NOT(ISNUMBER($G543)),"",IFERROR(SUMPRODUCT(('Control Mapping'!$C$5:$C$83=D543)*'Control Mapping'!$E$5:$E$83*'Control Mapping'!$AG$5:$AG$83)/SUMPRODUCT(('Control Mapping'!$C$5:$C$83=D543)*'Control Mapping'!$E$5:$E$83*('Control Mapping'!$AG$5:$AG$83&gt;0)),""))</f>
        <v>1</v>
      </c>
      <c r="M543" s="34" t="n">
        <f aca="false">IF(NOT(ISNUMBER($G543)),"",IF(J543=0,4,MAX(MATCH(L543,'Residual Config'!$E$11:$E$14,1),IF(K543&gt;0,'Residual Config'!$C$7,1))))</f>
        <v>1</v>
      </c>
      <c r="N543" s="7" t="str">
        <f aca="false">IF(NOT(ISNUMBER($G543)),"",IF(J543=0,"Ineffective (no key control)",INDEX('Residual Config'!$B$11:$B$14,M543)))</f>
        <v>Effective</v>
      </c>
      <c r="O543" s="36" t="n">
        <f aca="false">IF(NOT(ISNUMBER($G543)),"",IF(J543=0,0,SUMPRODUCT(('Control Mapping'!$C$5:$C$83=D543)*'Control Mapping'!$E$5:$E$83*(('Control Mapping'!$AG$5:$AG$83=1)*'Residual Config'!$D$11+('Control Mapping'!$AG$5:$AG$83=2)*'Residual Config'!$D$12+('Control Mapping'!$AG$5:$AG$83=3)*'Residual Config'!$D$13+('Control Mapping'!$AG$5:$AG$83=4)*'Residual Config'!$D$14))/SUMPRODUCT(('Control Mapping'!$C$5:$C$83=D543)*'Control Mapping'!$E$5:$E$83*('Control Mapping'!$AG$5:$AG$83&gt;0))))</f>
        <v>0.6</v>
      </c>
      <c r="P543" s="31" t="n">
        <f aca="false">IF(NOT(ISNUMBER($G543)),"",INDEX('Residual Config'!$B$19:$E$23,6-G543,M543))</f>
        <v>1</v>
      </c>
      <c r="Q543" s="29" t="n">
        <f aca="false">IF(NOT(ISNUMBER($G543)),"",MAX(1,F543*(1-O543)))</f>
        <v>1</v>
      </c>
      <c r="R543" s="31" t="n">
        <f aca="false">IF(NOT(ISNUMBER($G543)),"",MAX(MATCH(Q543,Config!$D$5:$D$9,1),G543-'Residual Config'!$C$6))</f>
        <v>1</v>
      </c>
      <c r="S543" s="34" t="n">
        <f aca="false">IF(NOT(ISNUMBER($G543)),"",IF('Residual Config'!$C$5="Numeric",R543,P543))</f>
        <v>1</v>
      </c>
      <c r="T543" s="7" t="str">
        <f aca="false">IF(G543="N/A","N/A",IF(S543="","No data",INDEX(Config!$B$5:$B$9,S543)))</f>
        <v>Low</v>
      </c>
      <c r="U543" s="32" t="n">
        <v>0</v>
      </c>
      <c r="V543" s="8"/>
      <c r="W543" s="33"/>
      <c r="X543" s="34" t="n">
        <f aca="false">IF(S543="","",IF(AND(W543="Y",U543&lt;&gt;0),MAX(1,MIN(5,S543+MAX(-Config!$C$27,MIN(Config!$C$27,U543)))),S543))</f>
        <v>1</v>
      </c>
      <c r="Y543" s="35" t="str">
        <f aca="false">IF(G543="N/A","N/A",IF(X543="","No data",INDEX(Config!$B$5:$B$9,X543)))</f>
        <v>Low</v>
      </c>
      <c r="Z543" s="7" t="str">
        <f aca="false">IF(U543=0,"None",IF(W543="Y","Applied","Pending HO approval"))</f>
        <v>None</v>
      </c>
      <c r="AA543" s="12" t="str">
        <f aca="false">INDEX('Risk Taxonomy'!$G$5:$G$24,MATCH(D543,'Risk Taxonomy'!$A$5:$A$24,0))</f>
        <v>Low</v>
      </c>
      <c r="AB543" s="7" t="str">
        <f aca="false">INDEX('Risk Taxonomy'!$H$5:$H$24,MATCH(D543,'Risk Taxonomy'!$A$5:$A$24,0))</f>
        <v>Medium</v>
      </c>
      <c r="AC543" s="35" t="str">
        <f aca="false">IF(NOT(ISNUMBER(X543)),"",IF(X543&lt;=MATCH(AB543,Config!$B$5:$B$9,0),"Within",IF(OR(X543-MATCH(AB543,Config!$B$5:$B$9,0)&gt;=2,AND('Residual Config'!$C$8="Y",ISNUMBER(SEARCH("Zero",AA543)))),"Red","Amber")))</f>
        <v>Within</v>
      </c>
      <c r="AD543" s="12" t="str">
        <f aca="false">IF(AC543="Red","Group CCO / CRO and Country CEO within 2 business days; action plan in 15 days; report to Board Risk &amp; Compliance Committee",IF(AC543="Amber","Country CO, risk owner and HO Administrator within 5 business days; action plan in 30 days",""))</f>
        <v/>
      </c>
    </row>
    <row r="544" customFormat="false" ht="15" hidden="false" customHeight="false" outlineLevel="0" collapsed="false">
      <c r="A544" s="26" t="str">
        <f aca="false">Entities!$A$31</f>
        <v>SG</v>
      </c>
      <c r="B544" s="12" t="str">
        <f aca="false">INDEX(Entities!$B$5:$B$34,MATCH(A544,Entities!$A$5:$A$34,0))</f>
        <v>Arab Bank – Singapore</v>
      </c>
      <c r="C544" s="12" t="str">
        <f aca="false">INDEX(Entities!$D$5:$D$34,MATCH(A544,Entities!$A$5:$A$34,0))</f>
        <v>Asia-Pacific</v>
      </c>
      <c r="D544" s="12" t="s">
        <v>322</v>
      </c>
      <c r="E544" s="12" t="str">
        <f aca="false">INDEX('Risk Taxonomy'!$B$5:$B$24,MATCH(D544,'Risk Taxonomy'!$A$5:$A$24,0))</f>
        <v>Strategic, business model and ESG</v>
      </c>
      <c r="F544" s="29" t="n">
        <f aca="false">IF(NOT(ISNUMBER(G544)),"",G544)</f>
        <v>2</v>
      </c>
      <c r="G544" s="34" t="n">
        <f aca="false">IF(COUNTIFS('LxI Assessment'!$A$5:$A$394,A544,'LxI Assessment'!$D$5:$D$394,D544,'LxI Assessment'!$F$5:$F$394,"N/A")&gt;0,"N/A",IF(COUNTIFS('LxI Assessment'!$A$5:$A$394,A544,'LxI Assessment'!$D$5:$D$394,D544,'LxI Assessment'!$S$5:$S$394,"&gt;0")=0,"",SUMIFS('LxI Assessment'!$S$5:$S$394,'LxI Assessment'!$A$5:$A$394,A544,'LxI Assessment'!$D$5:$D$394,D544)))</f>
        <v>2</v>
      </c>
      <c r="H544" s="7" t="str">
        <f aca="false">IF(G544="N/A","N/A",IF(G544="","No data",INDEX(Config!$B$5:$B$9,G544)))</f>
        <v>Medium-Low</v>
      </c>
      <c r="I544" s="31" t="n">
        <f aca="false">IF(NOT(ISNUMBER($G544)),"",SUMPRODUCT(('Control Mapping'!$C$5:$C$83=D544)*('Control Mapping'!$AG$5:$AG$83&gt;0)))</f>
        <v>1</v>
      </c>
      <c r="J544" s="31" t="n">
        <f aca="false">IF(NOT(ISNUMBER($G544)),"",SUMPRODUCT(('Control Mapping'!$C$5:$C$83=D544)*('Control Mapping'!$F$5:$F$83="Y")*('Control Mapping'!$AG$5:$AG$83&gt;0)))</f>
        <v>1</v>
      </c>
      <c r="K544" s="31" t="n">
        <f aca="false">IF(NOT(ISNUMBER($G544)),"",SUMPRODUCT(('Control Mapping'!$C$5:$C$83=D544)*('Control Mapping'!$F$5:$F$83="Y")*('Control Mapping'!$AG$5:$AG$83=4)))</f>
        <v>0</v>
      </c>
      <c r="L544" s="29" t="n">
        <f aca="false">IF(NOT(ISNUMBER($G544)),"",IFERROR(SUMPRODUCT(('Control Mapping'!$C$5:$C$83=D544)*'Control Mapping'!$E$5:$E$83*'Control Mapping'!$AG$5:$AG$83)/SUMPRODUCT(('Control Mapping'!$C$5:$C$83=D544)*'Control Mapping'!$E$5:$E$83*('Control Mapping'!$AG$5:$AG$83&gt;0)),""))</f>
        <v>1</v>
      </c>
      <c r="M544" s="34" t="n">
        <f aca="false">IF(NOT(ISNUMBER($G544)),"",IF(J544=0,4,MAX(MATCH(L544,'Residual Config'!$E$11:$E$14,1),IF(K544&gt;0,'Residual Config'!$C$7,1))))</f>
        <v>1</v>
      </c>
      <c r="N544" s="7" t="str">
        <f aca="false">IF(NOT(ISNUMBER($G544)),"",IF(J544=0,"Ineffective (no key control)",INDEX('Residual Config'!$B$11:$B$14,M544)))</f>
        <v>Effective</v>
      </c>
      <c r="O544" s="36" t="n">
        <f aca="false">IF(NOT(ISNUMBER($G544)),"",IF(J544=0,0,SUMPRODUCT(('Control Mapping'!$C$5:$C$83=D544)*'Control Mapping'!$E$5:$E$83*(('Control Mapping'!$AG$5:$AG$83=1)*'Residual Config'!$D$11+('Control Mapping'!$AG$5:$AG$83=2)*'Residual Config'!$D$12+('Control Mapping'!$AG$5:$AG$83=3)*'Residual Config'!$D$13+('Control Mapping'!$AG$5:$AG$83=4)*'Residual Config'!$D$14))/SUMPRODUCT(('Control Mapping'!$C$5:$C$83=D544)*'Control Mapping'!$E$5:$E$83*('Control Mapping'!$AG$5:$AG$83&gt;0))))</f>
        <v>0.6</v>
      </c>
      <c r="P544" s="31" t="n">
        <f aca="false">IF(NOT(ISNUMBER($G544)),"",INDEX('Residual Config'!$B$19:$E$23,6-G544,M544))</f>
        <v>1</v>
      </c>
      <c r="Q544" s="29" t="n">
        <f aca="false">IF(NOT(ISNUMBER($G544)),"",MAX(1,F544*(1-O544)))</f>
        <v>1</v>
      </c>
      <c r="R544" s="31" t="n">
        <f aca="false">IF(NOT(ISNUMBER($G544)),"",MAX(MATCH(Q544,Config!$D$5:$D$9,1),G544-'Residual Config'!$C$6))</f>
        <v>1</v>
      </c>
      <c r="S544" s="34" t="n">
        <f aca="false">IF(NOT(ISNUMBER($G544)),"",IF('Residual Config'!$C$5="Numeric",R544,P544))</f>
        <v>1</v>
      </c>
      <c r="T544" s="7" t="str">
        <f aca="false">IF(G544="N/A","N/A",IF(S544="","No data",INDEX(Config!$B$5:$B$9,S544)))</f>
        <v>Low</v>
      </c>
      <c r="U544" s="32" t="n">
        <v>0</v>
      </c>
      <c r="V544" s="8"/>
      <c r="W544" s="33"/>
      <c r="X544" s="34" t="n">
        <f aca="false">IF(S544="","",IF(AND(W544="Y",U544&lt;&gt;0),MAX(1,MIN(5,S544+MAX(-Config!$C$27,MIN(Config!$C$27,U544)))),S544))</f>
        <v>1</v>
      </c>
      <c r="Y544" s="35" t="str">
        <f aca="false">IF(G544="N/A","N/A",IF(X544="","No data",INDEX(Config!$B$5:$B$9,X544)))</f>
        <v>Low</v>
      </c>
      <c r="Z544" s="7" t="str">
        <f aca="false">IF(U544=0,"None",IF(W544="Y","Applied","Pending HO approval"))</f>
        <v>None</v>
      </c>
      <c r="AA544" s="12" t="str">
        <f aca="false">INDEX('Risk Taxonomy'!$G$5:$G$24,MATCH(D544,'Risk Taxonomy'!$A$5:$A$24,0))</f>
        <v>Moderate</v>
      </c>
      <c r="AB544" s="7" t="str">
        <f aca="false">INDEX('Risk Taxonomy'!$H$5:$H$24,MATCH(D544,'Risk Taxonomy'!$A$5:$A$24,0))</f>
        <v>Medium-High</v>
      </c>
      <c r="AC544" s="35" t="str">
        <f aca="false">IF(NOT(ISNUMBER(X544)),"",IF(X544&lt;=MATCH(AB544,Config!$B$5:$B$9,0),"Within",IF(OR(X544-MATCH(AB544,Config!$B$5:$B$9,0)&gt;=2,AND('Residual Config'!$C$8="Y",ISNUMBER(SEARCH("Zero",AA544)))),"Red","Amber")))</f>
        <v>Within</v>
      </c>
      <c r="AD544" s="12" t="str">
        <f aca="false">IF(AC544="Red","Group CCO / CRO and Country CEO within 2 business days; action plan in 15 days; report to Board Risk &amp; Compliance Committee",IF(AC544="Amber","Country CO, risk owner and HO Administrator within 5 business days; action plan in 30 days",""))</f>
        <v/>
      </c>
    </row>
    <row r="545" customFormat="false" ht="15" hidden="false" customHeight="false" outlineLevel="0" collapsed="false">
      <c r="A545" s="26" t="str">
        <f aca="false">Entities!$A$32</f>
        <v>CN</v>
      </c>
      <c r="B545" s="12" t="str">
        <f aca="false">INDEX(Entities!$B$5:$B$34,MATCH(A545,Entities!$A$5:$A$34,0))</f>
        <v>Arab Bank – China</v>
      </c>
      <c r="C545" s="12" t="str">
        <f aca="false">INDEX(Entities!$D$5:$D$34,MATCH(A545,Entities!$A$5:$A$34,0))</f>
        <v>Asia-Pacific</v>
      </c>
      <c r="D545" s="12" t="s">
        <v>260</v>
      </c>
      <c r="E545" s="12" t="str">
        <f aca="false">INDEX('Risk Taxonomy'!$B$5:$B$24,MATCH(D545,'Risk Taxonomy'!$A$5:$A$24,0))</f>
        <v>Money laundering</v>
      </c>
      <c r="F545" s="29" t="n">
        <f aca="false">IF(NOT(ISNUMBER(G545)),"",IFERROR(IF(MATCH(SUMIFS('FC Calculation'!$N$5:$N$214,'FC Calculation'!$A$5:$A$214,A545,'FC Calculation'!$D$5:$D$214,D545),Config!$D$5:$D$9,1)=G545,SUMIFS('FC Calculation'!$N$5:$N$214,'FC Calculation'!$A$5:$A$214,A545,'FC Calculation'!$D$5:$D$214,D545),G545),G545))</f>
        <v>1.66380952380952</v>
      </c>
      <c r="G545" s="34" t="n">
        <f aca="false">IF(COUNTIFS('FC Calculation'!$A$5:$A$214,A545,'FC Calculation'!$D$5:$D$214,D545,'FC Calculation'!$T$5:$T$214,"&gt;0")=0,"",SUMIFS('FC Calculation'!$T$5:$T$214,'FC Calculation'!$A$5:$A$214,A545,'FC Calculation'!$D$5:$D$214,D545))</f>
        <v>1</v>
      </c>
      <c r="H545" s="7" t="str">
        <f aca="false">IF(G545="N/A","N/A",IF(G545="","No data",INDEX(Config!$B$5:$B$9,G545)))</f>
        <v>Low</v>
      </c>
      <c r="I545" s="31" t="n">
        <f aca="false">IF(NOT(ISNUMBER($G545)),"",SUMPRODUCT(('Control Mapping'!$C$5:$C$83=D545)*('Control Mapping'!$AH$5:$AH$83&gt;0)))</f>
        <v>12</v>
      </c>
      <c r="J545" s="31" t="n">
        <f aca="false">IF(NOT(ISNUMBER($G545)),"",SUMPRODUCT(('Control Mapping'!$C$5:$C$83=D545)*('Control Mapping'!$F$5:$F$83="Y")*('Control Mapping'!$AH$5:$AH$83&gt;0)))</f>
        <v>9</v>
      </c>
      <c r="K545" s="31" t="n">
        <f aca="false">IF(NOT(ISNUMBER($G545)),"",SUMPRODUCT(('Control Mapping'!$C$5:$C$83=D545)*('Control Mapping'!$F$5:$F$83="Y")*('Control Mapping'!$AH$5:$AH$83=4)))</f>
        <v>0</v>
      </c>
      <c r="L545" s="29" t="n">
        <f aca="false">IF(NOT(ISNUMBER($G545)),"",IFERROR(SUMPRODUCT(('Control Mapping'!$C$5:$C$83=D545)*'Control Mapping'!$E$5:$E$83*'Control Mapping'!$AH$5:$AH$83)/SUMPRODUCT(('Control Mapping'!$C$5:$C$83=D545)*'Control Mapping'!$E$5:$E$83*('Control Mapping'!$AH$5:$AH$83&gt;0)),""))</f>
        <v>1.17391304347826</v>
      </c>
      <c r="M545" s="34" t="n">
        <f aca="false">IF(NOT(ISNUMBER($G545)),"",IF(J545=0,4,MAX(MATCH(L545,'Residual Config'!$E$11:$E$14,1),IF(K545&gt;0,'Residual Config'!$C$7,1))))</f>
        <v>1</v>
      </c>
      <c r="N545" s="7" t="str">
        <f aca="false">IF(NOT(ISNUMBER($G545)),"",IF(J545=0,"Ineffective (no key control)",INDEX('Residual Config'!$B$11:$B$14,M545)))</f>
        <v>Effective</v>
      </c>
      <c r="O545" s="36" t="n">
        <f aca="false">IF(NOT(ISNUMBER($G545)),"",IF(J545=0,0,SUMPRODUCT(('Control Mapping'!$C$5:$C$83=D545)*'Control Mapping'!$E$5:$E$83*(('Control Mapping'!$AH$5:$AH$83=1)*'Residual Config'!$D$11+('Control Mapping'!$AH$5:$AH$83=2)*'Residual Config'!$D$12+('Control Mapping'!$AH$5:$AH$83=3)*'Residual Config'!$D$13+('Control Mapping'!$AH$5:$AH$83=4)*'Residual Config'!$D$14))/SUMPRODUCT(('Control Mapping'!$C$5:$C$83=D545)*'Control Mapping'!$E$5:$E$83*('Control Mapping'!$AH$5:$AH$83&gt;0))))</f>
        <v>0.565217391304348</v>
      </c>
      <c r="P545" s="31" t="n">
        <f aca="false">IF(NOT(ISNUMBER($G545)),"",INDEX('Residual Config'!$B$19:$E$23,6-G545,M545))</f>
        <v>1</v>
      </c>
      <c r="Q545" s="29" t="n">
        <f aca="false">IF(NOT(ISNUMBER($G545)),"",MAX(1,F545*(1-O545)))</f>
        <v>1</v>
      </c>
      <c r="R545" s="31" t="n">
        <f aca="false">IF(NOT(ISNUMBER($G545)),"",MAX(MATCH(Q545,Config!$D$5:$D$9,1),G545-'Residual Config'!$C$6))</f>
        <v>1</v>
      </c>
      <c r="S545" s="34" t="n">
        <f aca="false">IF(NOT(ISNUMBER($G545)),"",IF('Residual Config'!$C$5="Numeric",R545,P545))</f>
        <v>1</v>
      </c>
      <c r="T545" s="7" t="str">
        <f aca="false">IF(G545="N/A","N/A",IF(S545="","No data",INDEX(Config!$B$5:$B$9,S545)))</f>
        <v>Low</v>
      </c>
      <c r="U545" s="32" t="n">
        <v>0</v>
      </c>
      <c r="V545" s="8"/>
      <c r="W545" s="33"/>
      <c r="X545" s="34" t="n">
        <f aca="false">IF(S545="","",IF(AND(W545="Y",U545&lt;&gt;0),MAX(1,MIN(5,S545+MAX(-Config!$C$27,MIN(Config!$C$27,U545)))),S545))</f>
        <v>1</v>
      </c>
      <c r="Y545" s="35" t="str">
        <f aca="false">IF(G545="N/A","N/A",IF(X545="","No data",INDEX(Config!$B$5:$B$9,X545)))</f>
        <v>Low</v>
      </c>
      <c r="Z545" s="7" t="str">
        <f aca="false">IF(U545=0,"None",IF(W545="Y","Applied","Pending HO approval"))</f>
        <v>None</v>
      </c>
      <c r="AA545" s="12" t="str">
        <f aca="false">INDEX('Risk Taxonomy'!$G$5:$G$24,MATCH(D545,'Risk Taxonomy'!$A$5:$A$24,0))</f>
        <v>Very low</v>
      </c>
      <c r="AB545" s="7" t="str">
        <f aca="false">INDEX('Risk Taxonomy'!$H$5:$H$24,MATCH(D545,'Risk Taxonomy'!$A$5:$A$24,0))</f>
        <v>Medium-Low</v>
      </c>
      <c r="AC545" s="35" t="str">
        <f aca="false">IF(NOT(ISNUMBER(X545)),"",IF(X545&lt;=MATCH(AB545,Config!$B$5:$B$9,0),"Within",IF(OR(X545-MATCH(AB545,Config!$B$5:$B$9,0)&gt;=2,AND('Residual Config'!$C$8="Y",ISNUMBER(SEARCH("Zero",AA545)))),"Red","Amber")))</f>
        <v>Within</v>
      </c>
      <c r="AD545" s="12" t="str">
        <f aca="false">IF(AC545="Red","Group CCO / CRO and Country CEO within 2 business days; action plan in 15 days; report to Board Risk &amp; Compliance Committee",IF(AC545="Amber","Country CO, risk owner and HO Administrator within 5 business days; action plan in 30 days",""))</f>
        <v/>
      </c>
    </row>
    <row r="546" customFormat="false" ht="15" hidden="false" customHeight="false" outlineLevel="0" collapsed="false">
      <c r="A546" s="26" t="str">
        <f aca="false">Entities!$A$32</f>
        <v>CN</v>
      </c>
      <c r="B546" s="12" t="str">
        <f aca="false">INDEX(Entities!$B$5:$B$34,MATCH(A546,Entities!$A$5:$A$34,0))</f>
        <v>Arab Bank – China</v>
      </c>
      <c r="C546" s="12" t="str">
        <f aca="false">INDEX(Entities!$D$5:$D$34,MATCH(A546,Entities!$A$5:$A$34,0))</f>
        <v>Asia-Pacific</v>
      </c>
      <c r="D546" s="12" t="s">
        <v>267</v>
      </c>
      <c r="E546" s="12" t="str">
        <f aca="false">INDEX('Risk Taxonomy'!$B$5:$B$24,MATCH(D546,'Risk Taxonomy'!$A$5:$A$24,0))</f>
        <v>Terrorist financing</v>
      </c>
      <c r="F546" s="29" t="n">
        <f aca="false">IF(NOT(ISNUMBER(G546)),"",IFERROR(IF(MATCH(SUMIFS('FC Calculation'!$N$5:$N$214,'FC Calculation'!$A$5:$A$214,A546,'FC Calculation'!$D$5:$D$214,D546),Config!$D$5:$D$9,1)=G546,SUMIFS('FC Calculation'!$N$5:$N$214,'FC Calculation'!$A$5:$A$214,A546,'FC Calculation'!$D$5:$D$214,D546),G546),G546))</f>
        <v>1.70595238095238</v>
      </c>
      <c r="G546" s="34" t="n">
        <f aca="false">IF(COUNTIFS('FC Calculation'!$A$5:$A$214,A546,'FC Calculation'!$D$5:$D$214,D546,'FC Calculation'!$T$5:$T$214,"&gt;0")=0,"",SUMIFS('FC Calculation'!$T$5:$T$214,'FC Calculation'!$A$5:$A$214,A546,'FC Calculation'!$D$5:$D$214,D546))</f>
        <v>1</v>
      </c>
      <c r="H546" s="7" t="str">
        <f aca="false">IF(G546="N/A","N/A",IF(G546="","No data",INDEX(Config!$B$5:$B$9,G546)))</f>
        <v>Low</v>
      </c>
      <c r="I546" s="31" t="n">
        <f aca="false">IF(NOT(ISNUMBER($G546)),"",SUMPRODUCT(('Control Mapping'!$C$5:$C$83=D546)*('Control Mapping'!$AH$5:$AH$83&gt;0)))</f>
        <v>12</v>
      </c>
      <c r="J546" s="31" t="n">
        <f aca="false">IF(NOT(ISNUMBER($G546)),"",SUMPRODUCT(('Control Mapping'!$C$5:$C$83=D546)*('Control Mapping'!$F$5:$F$83="Y")*('Control Mapping'!$AH$5:$AH$83&gt;0)))</f>
        <v>9</v>
      </c>
      <c r="K546" s="31" t="n">
        <f aca="false">IF(NOT(ISNUMBER($G546)),"",SUMPRODUCT(('Control Mapping'!$C$5:$C$83=D546)*('Control Mapping'!$F$5:$F$83="Y")*('Control Mapping'!$AH$5:$AH$83=4)))</f>
        <v>0</v>
      </c>
      <c r="L546" s="29" t="n">
        <f aca="false">IF(NOT(ISNUMBER($G546)),"",IFERROR(SUMPRODUCT(('Control Mapping'!$C$5:$C$83=D546)*'Control Mapping'!$E$5:$E$83*'Control Mapping'!$AH$5:$AH$83)/SUMPRODUCT(('Control Mapping'!$C$5:$C$83=D546)*'Control Mapping'!$E$5:$E$83*('Control Mapping'!$AH$5:$AH$83&gt;0)),""))</f>
        <v>1.21052631578947</v>
      </c>
      <c r="M546" s="34" t="n">
        <f aca="false">IF(NOT(ISNUMBER($G546)),"",IF(J546=0,4,MAX(MATCH(L546,'Residual Config'!$E$11:$E$14,1),IF(K546&gt;0,'Residual Config'!$C$7,1))))</f>
        <v>1</v>
      </c>
      <c r="N546" s="7" t="str">
        <f aca="false">IF(NOT(ISNUMBER($G546)),"",IF(J546=0,"Ineffective (no key control)",INDEX('Residual Config'!$B$11:$B$14,M546)))</f>
        <v>Effective</v>
      </c>
      <c r="O546" s="36" t="n">
        <f aca="false">IF(NOT(ISNUMBER($G546)),"",IF(J546=0,0,SUMPRODUCT(('Control Mapping'!$C$5:$C$83=D546)*'Control Mapping'!$E$5:$E$83*(('Control Mapping'!$AH$5:$AH$83=1)*'Residual Config'!$D$11+('Control Mapping'!$AH$5:$AH$83=2)*'Residual Config'!$D$12+('Control Mapping'!$AH$5:$AH$83=3)*'Residual Config'!$D$13+('Control Mapping'!$AH$5:$AH$83=4)*'Residual Config'!$D$14))/SUMPRODUCT(('Control Mapping'!$C$5:$C$83=D546)*'Control Mapping'!$E$5:$E$83*('Control Mapping'!$AH$5:$AH$83&gt;0))))</f>
        <v>0.557894736842105</v>
      </c>
      <c r="P546" s="31" t="n">
        <f aca="false">IF(NOT(ISNUMBER($G546)),"",INDEX('Residual Config'!$B$19:$E$23,6-G546,M546))</f>
        <v>1</v>
      </c>
      <c r="Q546" s="29" t="n">
        <f aca="false">IF(NOT(ISNUMBER($G546)),"",MAX(1,F546*(1-O546)))</f>
        <v>1</v>
      </c>
      <c r="R546" s="31" t="n">
        <f aca="false">IF(NOT(ISNUMBER($G546)),"",MAX(MATCH(Q546,Config!$D$5:$D$9,1),G546-'Residual Config'!$C$6))</f>
        <v>1</v>
      </c>
      <c r="S546" s="34" t="n">
        <f aca="false">IF(NOT(ISNUMBER($G546)),"",IF('Residual Config'!$C$5="Numeric",R546,P546))</f>
        <v>1</v>
      </c>
      <c r="T546" s="7" t="str">
        <f aca="false">IF(G546="N/A","N/A",IF(S546="","No data",INDEX(Config!$B$5:$B$9,S546)))</f>
        <v>Low</v>
      </c>
      <c r="U546" s="32" t="n">
        <v>0</v>
      </c>
      <c r="V546" s="8"/>
      <c r="W546" s="33"/>
      <c r="X546" s="34" t="n">
        <f aca="false">IF(S546="","",IF(AND(W546="Y",U546&lt;&gt;0),MAX(1,MIN(5,S546+MAX(-Config!$C$27,MIN(Config!$C$27,U546)))),S546))</f>
        <v>1</v>
      </c>
      <c r="Y546" s="35" t="str">
        <f aca="false">IF(G546="N/A","N/A",IF(X546="","No data",INDEX(Config!$B$5:$B$9,X546)))</f>
        <v>Low</v>
      </c>
      <c r="Z546" s="7" t="str">
        <f aca="false">IF(U546=0,"None",IF(W546="Y","Applied","Pending HO approval"))</f>
        <v>None</v>
      </c>
      <c r="AA546" s="12" t="str">
        <f aca="false">INDEX('Risk Taxonomy'!$G$5:$G$24,MATCH(D546,'Risk Taxonomy'!$A$5:$A$24,0))</f>
        <v>Zero tolerance</v>
      </c>
      <c r="AB546" s="7" t="str">
        <f aca="false">INDEX('Risk Taxonomy'!$H$5:$H$24,MATCH(D546,'Risk Taxonomy'!$A$5:$A$24,0))</f>
        <v>Low</v>
      </c>
      <c r="AC546" s="35" t="str">
        <f aca="false">IF(NOT(ISNUMBER(X546)),"",IF(X546&lt;=MATCH(AB546,Config!$B$5:$B$9,0),"Within",IF(OR(X546-MATCH(AB546,Config!$B$5:$B$9,0)&gt;=2,AND('Residual Config'!$C$8="Y",ISNUMBER(SEARCH("Zero",AA546)))),"Red","Amber")))</f>
        <v>Within</v>
      </c>
      <c r="AD546" s="12" t="str">
        <f aca="false">IF(AC546="Red","Group CCO / CRO and Country CEO within 2 business days; action plan in 15 days; report to Board Risk &amp; Compliance Committee",IF(AC546="Amber","Country CO, risk owner and HO Administrator within 5 business days; action plan in 30 days",""))</f>
        <v/>
      </c>
    </row>
    <row r="547" customFormat="false" ht="15" hidden="false" customHeight="false" outlineLevel="0" collapsed="false">
      <c r="A547" s="26" t="str">
        <f aca="false">Entities!$A$32</f>
        <v>CN</v>
      </c>
      <c r="B547" s="12" t="str">
        <f aca="false">INDEX(Entities!$B$5:$B$34,MATCH(A547,Entities!$A$5:$A$34,0))</f>
        <v>Arab Bank – China</v>
      </c>
      <c r="C547" s="12" t="str">
        <f aca="false">INDEX(Entities!$D$5:$D$34,MATCH(A547,Entities!$A$5:$A$34,0))</f>
        <v>Asia-Pacific</v>
      </c>
      <c r="D547" s="12" t="s">
        <v>270</v>
      </c>
      <c r="E547" s="12" t="str">
        <f aca="false">INDEX('Risk Taxonomy'!$B$5:$B$24,MATCH(D547,'Risk Taxonomy'!$A$5:$A$24,0))</f>
        <v>Proliferation financing</v>
      </c>
      <c r="F547" s="29" t="n">
        <f aca="false">IF(NOT(ISNUMBER(G547)),"",IFERROR(IF(MATCH(SUMIFS('FC Calculation'!$N$5:$N$214,'FC Calculation'!$A$5:$A$214,A547,'FC Calculation'!$D$5:$D$214,D547),Config!$D$5:$D$9,1)=G547,SUMIFS('FC Calculation'!$N$5:$N$214,'FC Calculation'!$A$5:$A$214,A547,'FC Calculation'!$D$5:$D$214,D547),G547),G547))</f>
        <v>1.58333333333333</v>
      </c>
      <c r="G547" s="34" t="n">
        <f aca="false">IF(COUNTIFS('FC Calculation'!$A$5:$A$214,A547,'FC Calculation'!$D$5:$D$214,D547,'FC Calculation'!$T$5:$T$214,"&gt;0")=0,"",SUMIFS('FC Calculation'!$T$5:$T$214,'FC Calculation'!$A$5:$A$214,A547,'FC Calculation'!$D$5:$D$214,D547))</f>
        <v>1</v>
      </c>
      <c r="H547" s="7" t="str">
        <f aca="false">IF(G547="N/A","N/A",IF(G547="","No data",INDEX(Config!$B$5:$B$9,G547)))</f>
        <v>Low</v>
      </c>
      <c r="I547" s="31" t="n">
        <f aca="false">IF(NOT(ISNUMBER($G547)),"",SUMPRODUCT(('Control Mapping'!$C$5:$C$83=D547)*('Control Mapping'!$AH$5:$AH$83&gt;0)))</f>
        <v>5</v>
      </c>
      <c r="J547" s="31" t="n">
        <f aca="false">IF(NOT(ISNUMBER($G547)),"",SUMPRODUCT(('Control Mapping'!$C$5:$C$83=D547)*('Control Mapping'!$F$5:$F$83="Y")*('Control Mapping'!$AH$5:$AH$83&gt;0)))</f>
        <v>5</v>
      </c>
      <c r="K547" s="31" t="n">
        <f aca="false">IF(NOT(ISNUMBER($G547)),"",SUMPRODUCT(('Control Mapping'!$C$5:$C$83=D547)*('Control Mapping'!$F$5:$F$83="Y")*('Control Mapping'!$AH$5:$AH$83=4)))</f>
        <v>0</v>
      </c>
      <c r="L547" s="29" t="n">
        <f aca="false">IF(NOT(ISNUMBER($G547)),"",IFERROR(SUMPRODUCT(('Control Mapping'!$C$5:$C$83=D547)*'Control Mapping'!$E$5:$E$83*'Control Mapping'!$AH$5:$AH$83)/SUMPRODUCT(('Control Mapping'!$C$5:$C$83=D547)*'Control Mapping'!$E$5:$E$83*('Control Mapping'!$AH$5:$AH$83&gt;0)),""))</f>
        <v>1</v>
      </c>
      <c r="M547" s="34" t="n">
        <f aca="false">IF(NOT(ISNUMBER($G547)),"",IF(J547=0,4,MAX(MATCH(L547,'Residual Config'!$E$11:$E$14,1),IF(K547&gt;0,'Residual Config'!$C$7,1))))</f>
        <v>1</v>
      </c>
      <c r="N547" s="7" t="str">
        <f aca="false">IF(NOT(ISNUMBER($G547)),"",IF(J547=0,"Ineffective (no key control)",INDEX('Residual Config'!$B$11:$B$14,M547)))</f>
        <v>Effective</v>
      </c>
      <c r="O547" s="36" t="n">
        <f aca="false">IF(NOT(ISNUMBER($G547)),"",IF(J547=0,0,SUMPRODUCT(('Control Mapping'!$C$5:$C$83=D547)*'Control Mapping'!$E$5:$E$83*(('Control Mapping'!$AH$5:$AH$83=1)*'Residual Config'!$D$11+('Control Mapping'!$AH$5:$AH$83=2)*'Residual Config'!$D$12+('Control Mapping'!$AH$5:$AH$83=3)*'Residual Config'!$D$13+('Control Mapping'!$AH$5:$AH$83=4)*'Residual Config'!$D$14))/SUMPRODUCT(('Control Mapping'!$C$5:$C$83=D547)*'Control Mapping'!$E$5:$E$83*('Control Mapping'!$AH$5:$AH$83&gt;0))))</f>
        <v>0.6</v>
      </c>
      <c r="P547" s="31" t="n">
        <f aca="false">IF(NOT(ISNUMBER($G547)),"",INDEX('Residual Config'!$B$19:$E$23,6-G547,M547))</f>
        <v>1</v>
      </c>
      <c r="Q547" s="29" t="n">
        <f aca="false">IF(NOT(ISNUMBER($G547)),"",MAX(1,F547*(1-O547)))</f>
        <v>1</v>
      </c>
      <c r="R547" s="31" t="n">
        <f aca="false">IF(NOT(ISNUMBER($G547)),"",MAX(MATCH(Q547,Config!$D$5:$D$9,1),G547-'Residual Config'!$C$6))</f>
        <v>1</v>
      </c>
      <c r="S547" s="34" t="n">
        <f aca="false">IF(NOT(ISNUMBER($G547)),"",IF('Residual Config'!$C$5="Numeric",R547,P547))</f>
        <v>1</v>
      </c>
      <c r="T547" s="7" t="str">
        <f aca="false">IF(G547="N/A","N/A",IF(S547="","No data",INDEX(Config!$B$5:$B$9,S547)))</f>
        <v>Low</v>
      </c>
      <c r="U547" s="32" t="n">
        <v>0</v>
      </c>
      <c r="V547" s="8"/>
      <c r="W547" s="33"/>
      <c r="X547" s="34" t="n">
        <f aca="false">IF(S547="","",IF(AND(W547="Y",U547&lt;&gt;0),MAX(1,MIN(5,S547+MAX(-Config!$C$27,MIN(Config!$C$27,U547)))),S547))</f>
        <v>1</v>
      </c>
      <c r="Y547" s="35" t="str">
        <f aca="false">IF(G547="N/A","N/A",IF(X547="","No data",INDEX(Config!$B$5:$B$9,X547)))</f>
        <v>Low</v>
      </c>
      <c r="Z547" s="7" t="str">
        <f aca="false">IF(U547=0,"None",IF(W547="Y","Applied","Pending HO approval"))</f>
        <v>None</v>
      </c>
      <c r="AA547" s="12" t="str">
        <f aca="false">INDEX('Risk Taxonomy'!$G$5:$G$24,MATCH(D547,'Risk Taxonomy'!$A$5:$A$24,0))</f>
        <v>Zero tolerance</v>
      </c>
      <c r="AB547" s="7" t="str">
        <f aca="false">INDEX('Risk Taxonomy'!$H$5:$H$24,MATCH(D547,'Risk Taxonomy'!$A$5:$A$24,0))</f>
        <v>Low</v>
      </c>
      <c r="AC547" s="35" t="str">
        <f aca="false">IF(NOT(ISNUMBER(X547)),"",IF(X547&lt;=MATCH(AB547,Config!$B$5:$B$9,0),"Within",IF(OR(X547-MATCH(AB547,Config!$B$5:$B$9,0)&gt;=2,AND('Residual Config'!$C$8="Y",ISNUMBER(SEARCH("Zero",AA547)))),"Red","Amber")))</f>
        <v>Within</v>
      </c>
      <c r="AD547" s="12" t="str">
        <f aca="false">IF(AC547="Red","Group CCO / CRO and Country CEO within 2 business days; action plan in 15 days; report to Board Risk &amp; Compliance Committee",IF(AC547="Amber","Country CO, risk owner and HO Administrator within 5 business days; action plan in 30 days",""))</f>
        <v/>
      </c>
    </row>
    <row r="548" customFormat="false" ht="15" hidden="false" customHeight="false" outlineLevel="0" collapsed="false">
      <c r="A548" s="26" t="str">
        <f aca="false">Entities!$A$32</f>
        <v>CN</v>
      </c>
      <c r="B548" s="12" t="str">
        <f aca="false">INDEX(Entities!$B$5:$B$34,MATCH(A548,Entities!$A$5:$A$34,0))</f>
        <v>Arab Bank – China</v>
      </c>
      <c r="C548" s="12" t="str">
        <f aca="false">INDEX(Entities!$D$5:$D$34,MATCH(A548,Entities!$A$5:$A$34,0))</f>
        <v>Asia-Pacific</v>
      </c>
      <c r="D548" s="12" t="s">
        <v>272</v>
      </c>
      <c r="E548" s="12" t="str">
        <f aca="false">INDEX('Risk Taxonomy'!$B$5:$B$24,MATCH(D548,'Risk Taxonomy'!$A$5:$A$24,0))</f>
        <v>Sanctions</v>
      </c>
      <c r="F548" s="29" t="n">
        <f aca="false">IF(NOT(ISNUMBER(G548)),"",IFERROR(IF(MATCH(SUMIFS('FC Calculation'!$N$5:$N$214,'FC Calculation'!$A$5:$A$214,A548,'FC Calculation'!$D$5:$D$214,D548),Config!$D$5:$D$9,1)=G548,SUMIFS('FC Calculation'!$N$5:$N$214,'FC Calculation'!$A$5:$A$214,A548,'FC Calculation'!$D$5:$D$214,D548),G548),G548))</f>
        <v>1.61928571428571</v>
      </c>
      <c r="G548" s="34" t="n">
        <f aca="false">IF(COUNTIFS('FC Calculation'!$A$5:$A$214,A548,'FC Calculation'!$D$5:$D$214,D548,'FC Calculation'!$T$5:$T$214,"&gt;0")=0,"",SUMIFS('FC Calculation'!$T$5:$T$214,'FC Calculation'!$A$5:$A$214,A548,'FC Calculation'!$D$5:$D$214,D548))</f>
        <v>1</v>
      </c>
      <c r="H548" s="7" t="str">
        <f aca="false">IF(G548="N/A","N/A",IF(G548="","No data",INDEX(Config!$B$5:$B$9,G548)))</f>
        <v>Low</v>
      </c>
      <c r="I548" s="31" t="n">
        <f aca="false">IF(NOT(ISNUMBER($G548)),"",SUMPRODUCT(('Control Mapping'!$C$5:$C$83=D548)*('Control Mapping'!$AH$5:$AH$83&gt;0)))</f>
        <v>8</v>
      </c>
      <c r="J548" s="31" t="n">
        <f aca="false">IF(NOT(ISNUMBER($G548)),"",SUMPRODUCT(('Control Mapping'!$C$5:$C$83=D548)*('Control Mapping'!$F$5:$F$83="Y")*('Control Mapping'!$AH$5:$AH$83&gt;0)))</f>
        <v>5</v>
      </c>
      <c r="K548" s="31" t="n">
        <f aca="false">IF(NOT(ISNUMBER($G548)),"",SUMPRODUCT(('Control Mapping'!$C$5:$C$83=D548)*('Control Mapping'!$F$5:$F$83="Y")*('Control Mapping'!$AH$5:$AH$83=4)))</f>
        <v>0</v>
      </c>
      <c r="L548" s="29" t="n">
        <f aca="false">IF(NOT(ISNUMBER($G548)),"",IFERROR(SUMPRODUCT(('Control Mapping'!$C$5:$C$83=D548)*'Control Mapping'!$E$5:$E$83*'Control Mapping'!$AH$5:$AH$83)/SUMPRODUCT(('Control Mapping'!$C$5:$C$83=D548)*'Control Mapping'!$E$5:$E$83*('Control Mapping'!$AH$5:$AH$83&gt;0)),""))</f>
        <v>1.36363636363636</v>
      </c>
      <c r="M548" s="34" t="n">
        <f aca="false">IF(NOT(ISNUMBER($G548)),"",IF(J548=0,4,MAX(MATCH(L548,'Residual Config'!$E$11:$E$14,1),IF(K548&gt;0,'Residual Config'!$C$7,1))))</f>
        <v>1</v>
      </c>
      <c r="N548" s="7" t="str">
        <f aca="false">IF(NOT(ISNUMBER($G548)),"",IF(J548=0,"Ineffective (no key control)",INDEX('Residual Config'!$B$11:$B$14,M548)))</f>
        <v>Effective</v>
      </c>
      <c r="O548" s="36" t="n">
        <f aca="false">IF(NOT(ISNUMBER($G548)),"",IF(J548=0,0,SUMPRODUCT(('Control Mapping'!$C$5:$C$83=D548)*'Control Mapping'!$E$5:$E$83*(('Control Mapping'!$AH$5:$AH$83=1)*'Residual Config'!$D$11+('Control Mapping'!$AH$5:$AH$83=2)*'Residual Config'!$D$12+('Control Mapping'!$AH$5:$AH$83=3)*'Residual Config'!$D$13+('Control Mapping'!$AH$5:$AH$83=4)*'Residual Config'!$D$14))/SUMPRODUCT(('Control Mapping'!$C$5:$C$83=D548)*'Control Mapping'!$E$5:$E$83*('Control Mapping'!$AH$5:$AH$83&gt;0))))</f>
        <v>0.527272727272727</v>
      </c>
      <c r="P548" s="31" t="n">
        <f aca="false">IF(NOT(ISNUMBER($G548)),"",INDEX('Residual Config'!$B$19:$E$23,6-G548,M548))</f>
        <v>1</v>
      </c>
      <c r="Q548" s="29" t="n">
        <f aca="false">IF(NOT(ISNUMBER($G548)),"",MAX(1,F548*(1-O548)))</f>
        <v>1</v>
      </c>
      <c r="R548" s="31" t="n">
        <f aca="false">IF(NOT(ISNUMBER($G548)),"",MAX(MATCH(Q548,Config!$D$5:$D$9,1),G548-'Residual Config'!$C$6))</f>
        <v>1</v>
      </c>
      <c r="S548" s="34" t="n">
        <f aca="false">IF(NOT(ISNUMBER($G548)),"",IF('Residual Config'!$C$5="Numeric",R548,P548))</f>
        <v>1</v>
      </c>
      <c r="T548" s="7" t="str">
        <f aca="false">IF(G548="N/A","N/A",IF(S548="","No data",INDEX(Config!$B$5:$B$9,S548)))</f>
        <v>Low</v>
      </c>
      <c r="U548" s="32" t="n">
        <v>0</v>
      </c>
      <c r="V548" s="8"/>
      <c r="W548" s="33"/>
      <c r="X548" s="34" t="n">
        <f aca="false">IF(S548="","",IF(AND(W548="Y",U548&lt;&gt;0),MAX(1,MIN(5,S548+MAX(-Config!$C$27,MIN(Config!$C$27,U548)))),S548))</f>
        <v>1</v>
      </c>
      <c r="Y548" s="35" t="str">
        <f aca="false">IF(G548="N/A","N/A",IF(X548="","No data",INDEX(Config!$B$5:$B$9,X548)))</f>
        <v>Low</v>
      </c>
      <c r="Z548" s="7" t="str">
        <f aca="false">IF(U548=0,"None",IF(W548="Y","Applied","Pending HO approval"))</f>
        <v>None</v>
      </c>
      <c r="AA548" s="12" t="str">
        <f aca="false">INDEX('Risk Taxonomy'!$G$5:$G$24,MATCH(D548,'Risk Taxonomy'!$A$5:$A$24,0))</f>
        <v>Zero tolerance</v>
      </c>
      <c r="AB548" s="7" t="str">
        <f aca="false">INDEX('Risk Taxonomy'!$H$5:$H$24,MATCH(D548,'Risk Taxonomy'!$A$5:$A$24,0))</f>
        <v>Low</v>
      </c>
      <c r="AC548" s="35" t="str">
        <f aca="false">IF(NOT(ISNUMBER(X548)),"",IF(X548&lt;=MATCH(AB548,Config!$B$5:$B$9,0),"Within",IF(OR(X548-MATCH(AB548,Config!$B$5:$B$9,0)&gt;=2,AND('Residual Config'!$C$8="Y",ISNUMBER(SEARCH("Zero",AA548)))),"Red","Amber")))</f>
        <v>Within</v>
      </c>
      <c r="AD548" s="12" t="str">
        <f aca="false">IF(AC548="Red","Group CCO / CRO and Country CEO within 2 business days; action plan in 15 days; report to Board Risk &amp; Compliance Committee",IF(AC548="Amber","Country CO, risk owner and HO Administrator within 5 business days; action plan in 30 days",""))</f>
        <v/>
      </c>
    </row>
    <row r="549" customFormat="false" ht="15" hidden="false" customHeight="false" outlineLevel="0" collapsed="false">
      <c r="A549" s="26" t="str">
        <f aca="false">Entities!$A$32</f>
        <v>CN</v>
      </c>
      <c r="B549" s="12" t="str">
        <f aca="false">INDEX(Entities!$B$5:$B$34,MATCH(A549,Entities!$A$5:$A$34,0))</f>
        <v>Arab Bank – China</v>
      </c>
      <c r="C549" s="12" t="str">
        <f aca="false">INDEX(Entities!$D$5:$D$34,MATCH(A549,Entities!$A$5:$A$34,0))</f>
        <v>Asia-Pacific</v>
      </c>
      <c r="D549" s="12" t="s">
        <v>275</v>
      </c>
      <c r="E549" s="12" t="str">
        <f aca="false">INDEX('Risk Taxonomy'!$B$5:$B$24,MATCH(D549,'Risk Taxonomy'!$A$5:$A$24,0))</f>
        <v>Bribery and corruption</v>
      </c>
      <c r="F549" s="29" t="n">
        <f aca="false">IF(NOT(ISNUMBER(G549)),"",IFERROR(IF(MATCH(SUMIFS('FC Calculation'!$N$5:$N$214,'FC Calculation'!$A$5:$A$214,A549,'FC Calculation'!$D$5:$D$214,D549),Config!$D$5:$D$9,1)=G549,SUMIFS('FC Calculation'!$N$5:$N$214,'FC Calculation'!$A$5:$A$214,A549,'FC Calculation'!$D$5:$D$214,D549),G549),G549))</f>
        <v>1.61666666666667</v>
      </c>
      <c r="G549" s="34" t="n">
        <f aca="false">IF(COUNTIFS('FC Calculation'!$A$5:$A$214,A549,'FC Calculation'!$D$5:$D$214,D549,'FC Calculation'!$T$5:$T$214,"&gt;0")=0,"",SUMIFS('FC Calculation'!$T$5:$T$214,'FC Calculation'!$A$5:$A$214,A549,'FC Calculation'!$D$5:$D$214,D549))</f>
        <v>1</v>
      </c>
      <c r="H549" s="7" t="str">
        <f aca="false">IF(G549="N/A","N/A",IF(G549="","No data",INDEX(Config!$B$5:$B$9,G549)))</f>
        <v>Low</v>
      </c>
      <c r="I549" s="31" t="n">
        <f aca="false">IF(NOT(ISNUMBER($G549)),"",SUMPRODUCT(('Control Mapping'!$C$5:$C$83=D549)*('Control Mapping'!$AH$5:$AH$83&gt;0)))</f>
        <v>5</v>
      </c>
      <c r="J549" s="31" t="n">
        <f aca="false">IF(NOT(ISNUMBER($G549)),"",SUMPRODUCT(('Control Mapping'!$C$5:$C$83=D549)*('Control Mapping'!$F$5:$F$83="Y")*('Control Mapping'!$AH$5:$AH$83&gt;0)))</f>
        <v>2</v>
      </c>
      <c r="K549" s="31" t="n">
        <f aca="false">IF(NOT(ISNUMBER($G549)),"",SUMPRODUCT(('Control Mapping'!$C$5:$C$83=D549)*('Control Mapping'!$F$5:$F$83="Y")*('Control Mapping'!$AH$5:$AH$83=4)))</f>
        <v>0</v>
      </c>
      <c r="L549" s="29" t="n">
        <f aca="false">IF(NOT(ISNUMBER($G549)),"",IFERROR(SUMPRODUCT(('Control Mapping'!$C$5:$C$83=D549)*'Control Mapping'!$E$5:$E$83*'Control Mapping'!$AH$5:$AH$83)/SUMPRODUCT(('Control Mapping'!$C$5:$C$83=D549)*'Control Mapping'!$E$5:$E$83*('Control Mapping'!$AH$5:$AH$83&gt;0)),""))</f>
        <v>1.44444444444444</v>
      </c>
      <c r="M549" s="34" t="n">
        <f aca="false">IF(NOT(ISNUMBER($G549)),"",IF(J549=0,4,MAX(MATCH(L549,'Residual Config'!$E$11:$E$14,1),IF(K549&gt;0,'Residual Config'!$C$7,1))))</f>
        <v>1</v>
      </c>
      <c r="N549" s="7" t="str">
        <f aca="false">IF(NOT(ISNUMBER($G549)),"",IF(J549=0,"Ineffective (no key control)",INDEX('Residual Config'!$B$11:$B$14,M549)))</f>
        <v>Effective</v>
      </c>
      <c r="O549" s="36" t="n">
        <f aca="false">IF(NOT(ISNUMBER($G549)),"",IF(J549=0,0,SUMPRODUCT(('Control Mapping'!$C$5:$C$83=D549)*'Control Mapping'!$E$5:$E$83*(('Control Mapping'!$AH$5:$AH$83=1)*'Residual Config'!$D$11+('Control Mapping'!$AH$5:$AH$83=2)*'Residual Config'!$D$12+('Control Mapping'!$AH$5:$AH$83=3)*'Residual Config'!$D$13+('Control Mapping'!$AH$5:$AH$83=4)*'Residual Config'!$D$14))/SUMPRODUCT(('Control Mapping'!$C$5:$C$83=D549)*'Control Mapping'!$E$5:$E$83*('Control Mapping'!$AH$5:$AH$83&gt;0))))</f>
        <v>0.511111111111111</v>
      </c>
      <c r="P549" s="31" t="n">
        <f aca="false">IF(NOT(ISNUMBER($G549)),"",INDEX('Residual Config'!$B$19:$E$23,6-G549,M549))</f>
        <v>1</v>
      </c>
      <c r="Q549" s="29" t="n">
        <f aca="false">IF(NOT(ISNUMBER($G549)),"",MAX(1,F549*(1-O549)))</f>
        <v>1</v>
      </c>
      <c r="R549" s="31" t="n">
        <f aca="false">IF(NOT(ISNUMBER($G549)),"",MAX(MATCH(Q549,Config!$D$5:$D$9,1),G549-'Residual Config'!$C$6))</f>
        <v>1</v>
      </c>
      <c r="S549" s="34" t="n">
        <f aca="false">IF(NOT(ISNUMBER($G549)),"",IF('Residual Config'!$C$5="Numeric",R549,P549))</f>
        <v>1</v>
      </c>
      <c r="T549" s="7" t="str">
        <f aca="false">IF(G549="N/A","N/A",IF(S549="","No data",INDEX(Config!$B$5:$B$9,S549)))</f>
        <v>Low</v>
      </c>
      <c r="U549" s="32" t="n">
        <v>0</v>
      </c>
      <c r="V549" s="8"/>
      <c r="W549" s="33"/>
      <c r="X549" s="34" t="n">
        <f aca="false">IF(S549="","",IF(AND(W549="Y",U549&lt;&gt;0),MAX(1,MIN(5,S549+MAX(-Config!$C$27,MIN(Config!$C$27,U549)))),S549))</f>
        <v>1</v>
      </c>
      <c r="Y549" s="35" t="str">
        <f aca="false">IF(G549="N/A","N/A",IF(X549="","No data",INDEX(Config!$B$5:$B$9,X549)))</f>
        <v>Low</v>
      </c>
      <c r="Z549" s="7" t="str">
        <f aca="false">IF(U549=0,"None",IF(W549="Y","Applied","Pending HO approval"))</f>
        <v>None</v>
      </c>
      <c r="AA549" s="12" t="str">
        <f aca="false">INDEX('Risk Taxonomy'!$G$5:$G$24,MATCH(D549,'Risk Taxonomy'!$A$5:$A$24,0))</f>
        <v>Zero tolerance</v>
      </c>
      <c r="AB549" s="7" t="str">
        <f aca="false">INDEX('Risk Taxonomy'!$H$5:$H$24,MATCH(D549,'Risk Taxonomy'!$A$5:$A$24,0))</f>
        <v>Low</v>
      </c>
      <c r="AC549" s="35" t="str">
        <f aca="false">IF(NOT(ISNUMBER(X549)),"",IF(X549&lt;=MATCH(AB549,Config!$B$5:$B$9,0),"Within",IF(OR(X549-MATCH(AB549,Config!$B$5:$B$9,0)&gt;=2,AND('Residual Config'!$C$8="Y",ISNUMBER(SEARCH("Zero",AA549)))),"Red","Amber")))</f>
        <v>Within</v>
      </c>
      <c r="AD549" s="12" t="str">
        <f aca="false">IF(AC549="Red","Group CCO / CRO and Country CEO within 2 business days; action plan in 15 days; report to Board Risk &amp; Compliance Committee",IF(AC549="Amber","Country CO, risk owner and HO Administrator within 5 business days; action plan in 30 days",""))</f>
        <v/>
      </c>
    </row>
    <row r="550" customFormat="false" ht="15" hidden="false" customHeight="false" outlineLevel="0" collapsed="false">
      <c r="A550" s="26" t="str">
        <f aca="false">Entities!$A$32</f>
        <v>CN</v>
      </c>
      <c r="B550" s="12" t="str">
        <f aca="false">INDEX(Entities!$B$5:$B$34,MATCH(A550,Entities!$A$5:$A$34,0))</f>
        <v>Arab Bank – China</v>
      </c>
      <c r="C550" s="12" t="str">
        <f aca="false">INDEX(Entities!$D$5:$D$34,MATCH(A550,Entities!$A$5:$A$34,0))</f>
        <v>Asia-Pacific</v>
      </c>
      <c r="D550" s="12" t="s">
        <v>278</v>
      </c>
      <c r="E550" s="12" t="str">
        <f aca="false">INDEX('Risk Taxonomy'!$B$5:$B$24,MATCH(D550,'Risk Taxonomy'!$A$5:$A$24,0))</f>
        <v>Fraud</v>
      </c>
      <c r="F550" s="29" t="n">
        <f aca="false">IF(NOT(ISNUMBER(G550)),"",IFERROR(IF(MATCH(SUMIFS('FC Calculation'!$N$5:$N$214,'FC Calculation'!$A$5:$A$214,A550,'FC Calculation'!$D$5:$D$214,D550),Config!$D$5:$D$9,1)=G550,SUMIFS('FC Calculation'!$N$5:$N$214,'FC Calculation'!$A$5:$A$214,A550,'FC Calculation'!$D$5:$D$214,D550),G550),G550))</f>
        <v>1.78166666666667</v>
      </c>
      <c r="G550" s="34" t="n">
        <f aca="false">IF(COUNTIFS('FC Calculation'!$A$5:$A$214,A550,'FC Calculation'!$D$5:$D$214,D550,'FC Calculation'!$T$5:$T$214,"&gt;0")=0,"",SUMIFS('FC Calculation'!$T$5:$T$214,'FC Calculation'!$A$5:$A$214,A550,'FC Calculation'!$D$5:$D$214,D550))</f>
        <v>1</v>
      </c>
      <c r="H550" s="7" t="str">
        <f aca="false">IF(G550="N/A","N/A",IF(G550="","No data",INDEX(Config!$B$5:$B$9,G550)))</f>
        <v>Low</v>
      </c>
      <c r="I550" s="31" t="n">
        <f aca="false">IF(NOT(ISNUMBER($G550)),"",SUMPRODUCT(('Control Mapping'!$C$5:$C$83=D550)*('Control Mapping'!$AH$5:$AH$83&gt;0)))</f>
        <v>6</v>
      </c>
      <c r="J550" s="31" t="n">
        <f aca="false">IF(NOT(ISNUMBER($G550)),"",SUMPRODUCT(('Control Mapping'!$C$5:$C$83=D550)*('Control Mapping'!$F$5:$F$83="Y")*('Control Mapping'!$AH$5:$AH$83&gt;0)))</f>
        <v>5</v>
      </c>
      <c r="K550" s="31" t="n">
        <f aca="false">IF(NOT(ISNUMBER($G550)),"",SUMPRODUCT(('Control Mapping'!$C$5:$C$83=D550)*('Control Mapping'!$F$5:$F$83="Y")*('Control Mapping'!$AH$5:$AH$83=4)))</f>
        <v>0</v>
      </c>
      <c r="L550" s="29" t="n">
        <f aca="false">IF(NOT(ISNUMBER($G550)),"",IFERROR(SUMPRODUCT(('Control Mapping'!$C$5:$C$83=D550)*'Control Mapping'!$E$5:$E$83*'Control Mapping'!$AH$5:$AH$83)/SUMPRODUCT(('Control Mapping'!$C$5:$C$83=D550)*'Control Mapping'!$E$5:$E$83*('Control Mapping'!$AH$5:$AH$83&gt;0)),""))</f>
        <v>1.5</v>
      </c>
      <c r="M550" s="34" t="n">
        <f aca="false">IF(NOT(ISNUMBER($G550)),"",IF(J550=0,4,MAX(MATCH(L550,'Residual Config'!$E$11:$E$14,1),IF(K550&gt;0,'Residual Config'!$C$7,1))))</f>
        <v>2</v>
      </c>
      <c r="N550" s="7" t="str">
        <f aca="false">IF(NOT(ISNUMBER($G550)),"",IF(J550=0,"Ineffective (no key control)",INDEX('Residual Config'!$B$11:$B$14,M550)))</f>
        <v>Largely effective</v>
      </c>
      <c r="O550" s="36" t="n">
        <f aca="false">IF(NOT(ISNUMBER($G550)),"",IF(J550=0,0,SUMPRODUCT(('Control Mapping'!$C$5:$C$83=D550)*'Control Mapping'!$E$5:$E$83*(('Control Mapping'!$AH$5:$AH$83=1)*'Residual Config'!$D$11+('Control Mapping'!$AH$5:$AH$83=2)*'Residual Config'!$D$12+('Control Mapping'!$AH$5:$AH$83=3)*'Residual Config'!$D$13+('Control Mapping'!$AH$5:$AH$83=4)*'Residual Config'!$D$14))/SUMPRODUCT(('Control Mapping'!$C$5:$C$83=D550)*'Control Mapping'!$E$5:$E$83*('Control Mapping'!$AH$5:$AH$83&gt;0))))</f>
        <v>0.5</v>
      </c>
      <c r="P550" s="31" t="n">
        <f aca="false">IF(NOT(ISNUMBER($G550)),"",INDEX('Residual Config'!$B$19:$E$23,6-G550,M550))</f>
        <v>1</v>
      </c>
      <c r="Q550" s="29" t="n">
        <f aca="false">IF(NOT(ISNUMBER($G550)),"",MAX(1,F550*(1-O550)))</f>
        <v>1</v>
      </c>
      <c r="R550" s="31" t="n">
        <f aca="false">IF(NOT(ISNUMBER($G550)),"",MAX(MATCH(Q550,Config!$D$5:$D$9,1),G550-'Residual Config'!$C$6))</f>
        <v>1</v>
      </c>
      <c r="S550" s="34" t="n">
        <f aca="false">IF(NOT(ISNUMBER($G550)),"",IF('Residual Config'!$C$5="Numeric",R550,P550))</f>
        <v>1</v>
      </c>
      <c r="T550" s="7" t="str">
        <f aca="false">IF(G550="N/A","N/A",IF(S550="","No data",INDEX(Config!$B$5:$B$9,S550)))</f>
        <v>Low</v>
      </c>
      <c r="U550" s="32" t="n">
        <v>0</v>
      </c>
      <c r="V550" s="8"/>
      <c r="W550" s="33"/>
      <c r="X550" s="34" t="n">
        <f aca="false">IF(S550="","",IF(AND(W550="Y",U550&lt;&gt;0),MAX(1,MIN(5,S550+MAX(-Config!$C$27,MIN(Config!$C$27,U550)))),S550))</f>
        <v>1</v>
      </c>
      <c r="Y550" s="35" t="str">
        <f aca="false">IF(G550="N/A","N/A",IF(X550="","No data",INDEX(Config!$B$5:$B$9,X550)))</f>
        <v>Low</v>
      </c>
      <c r="Z550" s="7" t="str">
        <f aca="false">IF(U550=0,"None",IF(W550="Y","Applied","Pending HO approval"))</f>
        <v>None</v>
      </c>
      <c r="AA550" s="12" t="str">
        <f aca="false">INDEX('Risk Taxonomy'!$G$5:$G$24,MATCH(D550,'Risk Taxonomy'!$A$5:$A$24,0))</f>
        <v>Low</v>
      </c>
      <c r="AB550" s="7" t="str">
        <f aca="false">INDEX('Risk Taxonomy'!$H$5:$H$24,MATCH(D550,'Risk Taxonomy'!$A$5:$A$24,0))</f>
        <v>Medium</v>
      </c>
      <c r="AC550" s="35" t="str">
        <f aca="false">IF(NOT(ISNUMBER(X550)),"",IF(X550&lt;=MATCH(AB550,Config!$B$5:$B$9,0),"Within",IF(OR(X550-MATCH(AB550,Config!$B$5:$B$9,0)&gt;=2,AND('Residual Config'!$C$8="Y",ISNUMBER(SEARCH("Zero",AA550)))),"Red","Amber")))</f>
        <v>Within</v>
      </c>
      <c r="AD550" s="12" t="str">
        <f aca="false">IF(AC550="Red","Group CCO / CRO and Country CEO within 2 business days; action plan in 15 days; report to Board Risk &amp; Compliance Committee",IF(AC550="Amber","Country CO, risk owner and HO Administrator within 5 business days; action plan in 30 days",""))</f>
        <v/>
      </c>
    </row>
    <row r="551" customFormat="false" ht="15" hidden="false" customHeight="false" outlineLevel="0" collapsed="false">
      <c r="A551" s="26" t="str">
        <f aca="false">Entities!$A$32</f>
        <v>CN</v>
      </c>
      <c r="B551" s="12" t="str">
        <f aca="false">INDEX(Entities!$B$5:$B$34,MATCH(A551,Entities!$A$5:$A$34,0))</f>
        <v>Arab Bank – China</v>
      </c>
      <c r="C551" s="12" t="str">
        <f aca="false">INDEX(Entities!$D$5:$D$34,MATCH(A551,Entities!$A$5:$A$34,0))</f>
        <v>Asia-Pacific</v>
      </c>
      <c r="D551" s="12" t="s">
        <v>281</v>
      </c>
      <c r="E551" s="12" t="str">
        <f aca="false">INDEX('Risk Taxonomy'!$B$5:$B$24,MATCH(D551,'Risk Taxonomy'!$A$5:$A$24,0))</f>
        <v>Tax evasion and tax transparency</v>
      </c>
      <c r="F551" s="29" t="n">
        <f aca="false">IF(NOT(ISNUMBER(G551)),"",IFERROR(IF(MATCH(SUMIFS('FC Calculation'!$N$5:$N$214,'FC Calculation'!$A$5:$A$214,A551,'FC Calculation'!$D$5:$D$214,D551),Config!$D$5:$D$9,1)=G551,SUMIFS('FC Calculation'!$N$5:$N$214,'FC Calculation'!$A$5:$A$214,A551,'FC Calculation'!$D$5:$D$214,D551),G551),G551))</f>
        <v>1.73944444444444</v>
      </c>
      <c r="G551" s="34" t="n">
        <f aca="false">IF(COUNTIFS('FC Calculation'!$A$5:$A$214,A551,'FC Calculation'!$D$5:$D$214,D551,'FC Calculation'!$T$5:$T$214,"&gt;0")=0,"",SUMIFS('FC Calculation'!$T$5:$T$214,'FC Calculation'!$A$5:$A$214,A551,'FC Calculation'!$D$5:$D$214,D551))</f>
        <v>1</v>
      </c>
      <c r="H551" s="7" t="str">
        <f aca="false">IF(G551="N/A","N/A",IF(G551="","No data",INDEX(Config!$B$5:$B$9,G551)))</f>
        <v>Low</v>
      </c>
      <c r="I551" s="31" t="n">
        <f aca="false">IF(NOT(ISNUMBER($G551)),"",SUMPRODUCT(('Control Mapping'!$C$5:$C$83=D551)*('Control Mapping'!$AH$5:$AH$83&gt;0)))</f>
        <v>5</v>
      </c>
      <c r="J551" s="31" t="n">
        <f aca="false">IF(NOT(ISNUMBER($G551)),"",SUMPRODUCT(('Control Mapping'!$C$5:$C$83=D551)*('Control Mapping'!$F$5:$F$83="Y")*('Control Mapping'!$AH$5:$AH$83&gt;0)))</f>
        <v>4</v>
      </c>
      <c r="K551" s="31" t="n">
        <f aca="false">IF(NOT(ISNUMBER($G551)),"",SUMPRODUCT(('Control Mapping'!$C$5:$C$83=D551)*('Control Mapping'!$F$5:$F$83="Y")*('Control Mapping'!$AH$5:$AH$83=4)))</f>
        <v>1</v>
      </c>
      <c r="L551" s="29" t="n">
        <f aca="false">IF(NOT(ISNUMBER($G551)),"",IFERROR(SUMPRODUCT(('Control Mapping'!$C$5:$C$83=D551)*'Control Mapping'!$E$5:$E$83*'Control Mapping'!$AH$5:$AH$83)/SUMPRODUCT(('Control Mapping'!$C$5:$C$83=D551)*'Control Mapping'!$E$5:$E$83*('Control Mapping'!$AH$5:$AH$83&gt;0)),""))</f>
        <v>2</v>
      </c>
      <c r="M551" s="34" t="n">
        <f aca="false">IF(NOT(ISNUMBER($G551)),"",IF(J551=0,4,MAX(MATCH(L551,'Residual Config'!$E$11:$E$14,1),IF(K551&gt;0,'Residual Config'!$C$7,1))))</f>
        <v>3</v>
      </c>
      <c r="N551" s="7" t="str">
        <f aca="false">IF(NOT(ISNUMBER($G551)),"",IF(J551=0,"Ineffective (no key control)",INDEX('Residual Config'!$B$11:$B$14,M551)))</f>
        <v>Partially effective</v>
      </c>
      <c r="O551" s="36" t="n">
        <f aca="false">IF(NOT(ISNUMBER($G551)),"",IF(J551=0,0,SUMPRODUCT(('Control Mapping'!$C$5:$C$83=D551)*'Control Mapping'!$E$5:$E$83*(('Control Mapping'!$AH$5:$AH$83=1)*'Residual Config'!$D$11+('Control Mapping'!$AH$5:$AH$83=2)*'Residual Config'!$D$12+('Control Mapping'!$AH$5:$AH$83=3)*'Residual Config'!$D$13+('Control Mapping'!$AH$5:$AH$83=4)*'Residual Config'!$D$14))/SUMPRODUCT(('Control Mapping'!$C$5:$C$83=D551)*'Control Mapping'!$E$5:$E$83*('Control Mapping'!$AH$5:$AH$83&gt;0))))</f>
        <v>0.4</v>
      </c>
      <c r="P551" s="31" t="n">
        <f aca="false">IF(NOT(ISNUMBER($G551)),"",INDEX('Residual Config'!$B$19:$E$23,6-G551,M551))</f>
        <v>1</v>
      </c>
      <c r="Q551" s="29" t="n">
        <f aca="false">IF(NOT(ISNUMBER($G551)),"",MAX(1,F551*(1-O551)))</f>
        <v>1.04366666666667</v>
      </c>
      <c r="R551" s="31" t="n">
        <f aca="false">IF(NOT(ISNUMBER($G551)),"",MAX(MATCH(Q551,Config!$D$5:$D$9,1),G551-'Residual Config'!$C$6))</f>
        <v>1</v>
      </c>
      <c r="S551" s="34" t="n">
        <f aca="false">IF(NOT(ISNUMBER($G551)),"",IF('Residual Config'!$C$5="Numeric",R551,P551))</f>
        <v>1</v>
      </c>
      <c r="T551" s="7" t="str">
        <f aca="false">IF(G551="N/A","N/A",IF(S551="","No data",INDEX(Config!$B$5:$B$9,S551)))</f>
        <v>Low</v>
      </c>
      <c r="U551" s="32" t="n">
        <v>0</v>
      </c>
      <c r="V551" s="8"/>
      <c r="W551" s="33"/>
      <c r="X551" s="34" t="n">
        <f aca="false">IF(S551="","",IF(AND(W551="Y",U551&lt;&gt;0),MAX(1,MIN(5,S551+MAX(-Config!$C$27,MIN(Config!$C$27,U551)))),S551))</f>
        <v>1</v>
      </c>
      <c r="Y551" s="35" t="str">
        <f aca="false">IF(G551="N/A","N/A",IF(X551="","No data",INDEX(Config!$B$5:$B$9,X551)))</f>
        <v>Low</v>
      </c>
      <c r="Z551" s="7" t="str">
        <f aca="false">IF(U551=0,"None",IF(W551="Y","Applied","Pending HO approval"))</f>
        <v>None</v>
      </c>
      <c r="AA551" s="12" t="str">
        <f aca="false">INDEX('Risk Taxonomy'!$G$5:$G$24,MATCH(D551,'Risk Taxonomy'!$A$5:$A$24,0))</f>
        <v>Zero tolerance (facilitation)</v>
      </c>
      <c r="AB551" s="7" t="str">
        <f aca="false">INDEX('Risk Taxonomy'!$H$5:$H$24,MATCH(D551,'Risk Taxonomy'!$A$5:$A$24,0))</f>
        <v>Low</v>
      </c>
      <c r="AC551" s="35" t="str">
        <f aca="false">IF(NOT(ISNUMBER(X551)),"",IF(X551&lt;=MATCH(AB551,Config!$B$5:$B$9,0),"Within",IF(OR(X551-MATCH(AB551,Config!$B$5:$B$9,0)&gt;=2,AND('Residual Config'!$C$8="Y",ISNUMBER(SEARCH("Zero",AA551)))),"Red","Amber")))</f>
        <v>Within</v>
      </c>
      <c r="AD551" s="12" t="str">
        <f aca="false">IF(AC551="Red","Group CCO / CRO and Country CEO within 2 business days; action plan in 15 days; report to Board Risk &amp; Compliance Committee",IF(AC551="Amber","Country CO, risk owner and HO Administrator within 5 business days; action plan in 30 days",""))</f>
        <v/>
      </c>
    </row>
    <row r="552" customFormat="false" ht="15" hidden="false" customHeight="false" outlineLevel="0" collapsed="false">
      <c r="A552" s="26" t="str">
        <f aca="false">Entities!$A$32</f>
        <v>CN</v>
      </c>
      <c r="B552" s="12" t="str">
        <f aca="false">INDEX(Entities!$B$5:$B$34,MATCH(A552,Entities!$A$5:$A$34,0))</f>
        <v>Arab Bank – China</v>
      </c>
      <c r="C552" s="12" t="str">
        <f aca="false">INDEX(Entities!$D$5:$D$34,MATCH(A552,Entities!$A$5:$A$34,0))</f>
        <v>Asia-Pacific</v>
      </c>
      <c r="D552" s="12" t="s">
        <v>284</v>
      </c>
      <c r="E552" s="12" t="str">
        <f aca="false">INDEX('Risk Taxonomy'!$B$5:$B$24,MATCH(D552,'Risk Taxonomy'!$A$5:$A$24,0))</f>
        <v>Regulatory compliance</v>
      </c>
      <c r="F552" s="29" t="n">
        <f aca="false">IF(NOT(ISNUMBER(G552)),"",G552)</f>
        <v>3</v>
      </c>
      <c r="G552" s="34" t="n">
        <f aca="false">IF(COUNTIFS('LxI Assessment'!$A$5:$A$394,A552,'LxI Assessment'!$D$5:$D$394,D552,'LxI Assessment'!$F$5:$F$394,"N/A")&gt;0,"N/A",IF(COUNTIFS('LxI Assessment'!$A$5:$A$394,A552,'LxI Assessment'!$D$5:$D$394,D552,'LxI Assessment'!$S$5:$S$394,"&gt;0")=0,"",SUMIFS('LxI Assessment'!$S$5:$S$394,'LxI Assessment'!$A$5:$A$394,A552,'LxI Assessment'!$D$5:$D$394,D552)))</f>
        <v>3</v>
      </c>
      <c r="H552" s="7" t="str">
        <f aca="false">IF(G552="N/A","N/A",IF(G552="","No data",INDEX(Config!$B$5:$B$9,G552)))</f>
        <v>Medium</v>
      </c>
      <c r="I552" s="31" t="n">
        <f aca="false">IF(NOT(ISNUMBER($G552)),"",SUMPRODUCT(('Control Mapping'!$C$5:$C$83=D552)*('Control Mapping'!$AH$5:$AH$83&gt;0)))</f>
        <v>4</v>
      </c>
      <c r="J552" s="31" t="n">
        <f aca="false">IF(NOT(ISNUMBER($G552)),"",SUMPRODUCT(('Control Mapping'!$C$5:$C$83=D552)*('Control Mapping'!$F$5:$F$83="Y")*('Control Mapping'!$AH$5:$AH$83&gt;0)))</f>
        <v>3</v>
      </c>
      <c r="K552" s="31" t="n">
        <f aca="false">IF(NOT(ISNUMBER($G552)),"",SUMPRODUCT(('Control Mapping'!$C$5:$C$83=D552)*('Control Mapping'!$F$5:$F$83="Y")*('Control Mapping'!$AH$5:$AH$83=4)))</f>
        <v>1</v>
      </c>
      <c r="L552" s="29" t="n">
        <f aca="false">IF(NOT(ISNUMBER($G552)),"",IFERROR(SUMPRODUCT(('Control Mapping'!$C$5:$C$83=D552)*'Control Mapping'!$E$5:$E$83*'Control Mapping'!$AH$5:$AH$83)/SUMPRODUCT(('Control Mapping'!$C$5:$C$83=D552)*'Control Mapping'!$E$5:$E$83*('Control Mapping'!$AH$5:$AH$83&gt;0)),""))</f>
        <v>2.28571428571429</v>
      </c>
      <c r="M552" s="34" t="n">
        <f aca="false">IF(NOT(ISNUMBER($G552)),"",IF(J552=0,4,MAX(MATCH(L552,'Residual Config'!$E$11:$E$14,1),IF(K552&gt;0,'Residual Config'!$C$7,1))))</f>
        <v>3</v>
      </c>
      <c r="N552" s="7" t="str">
        <f aca="false">IF(NOT(ISNUMBER($G552)),"",IF(J552=0,"Ineffective (no key control)",INDEX('Residual Config'!$B$11:$B$14,M552)))</f>
        <v>Partially effective</v>
      </c>
      <c r="O552" s="36" t="n">
        <f aca="false">IF(NOT(ISNUMBER($G552)),"",IF(J552=0,0,SUMPRODUCT(('Control Mapping'!$C$5:$C$83=D552)*'Control Mapping'!$E$5:$E$83*(('Control Mapping'!$AH$5:$AH$83=1)*'Residual Config'!$D$11+('Control Mapping'!$AH$5:$AH$83=2)*'Residual Config'!$D$12+('Control Mapping'!$AH$5:$AH$83=3)*'Residual Config'!$D$13+('Control Mapping'!$AH$5:$AH$83=4)*'Residual Config'!$D$14))/SUMPRODUCT(('Control Mapping'!$C$5:$C$83=D552)*'Control Mapping'!$E$5:$E$83*('Control Mapping'!$AH$5:$AH$83&gt;0))))</f>
        <v>0.342857142857143</v>
      </c>
      <c r="P552" s="31" t="n">
        <f aca="false">IF(NOT(ISNUMBER($G552)),"",INDEX('Residual Config'!$B$19:$E$23,6-G552,M552))</f>
        <v>3</v>
      </c>
      <c r="Q552" s="29" t="n">
        <f aca="false">IF(NOT(ISNUMBER($G552)),"",MAX(1,F552*(1-O552)))</f>
        <v>1.97142857142857</v>
      </c>
      <c r="R552" s="31" t="n">
        <f aca="false">IF(NOT(ISNUMBER($G552)),"",MAX(MATCH(Q552,Config!$D$5:$D$9,1),G552-'Residual Config'!$C$6))</f>
        <v>2</v>
      </c>
      <c r="S552" s="34" t="n">
        <f aca="false">IF(NOT(ISNUMBER($G552)),"",IF('Residual Config'!$C$5="Numeric",R552,P552))</f>
        <v>3</v>
      </c>
      <c r="T552" s="7" t="str">
        <f aca="false">IF(G552="N/A","N/A",IF(S552="","No data",INDEX(Config!$B$5:$B$9,S552)))</f>
        <v>Medium</v>
      </c>
      <c r="U552" s="32" t="n">
        <v>0</v>
      </c>
      <c r="V552" s="8"/>
      <c r="W552" s="33"/>
      <c r="X552" s="34" t="n">
        <f aca="false">IF(S552="","",IF(AND(W552="Y",U552&lt;&gt;0),MAX(1,MIN(5,S552+MAX(-Config!$C$27,MIN(Config!$C$27,U552)))),S552))</f>
        <v>3</v>
      </c>
      <c r="Y552" s="35" t="str">
        <f aca="false">IF(G552="N/A","N/A",IF(X552="","No data",INDEX(Config!$B$5:$B$9,X552)))</f>
        <v>Medium</v>
      </c>
      <c r="Z552" s="7" t="str">
        <f aca="false">IF(U552=0,"None",IF(W552="Y","Applied","Pending HO approval"))</f>
        <v>None</v>
      </c>
      <c r="AA552" s="12" t="str">
        <f aca="false">INDEX('Risk Taxonomy'!$G$5:$G$24,MATCH(D552,'Risk Taxonomy'!$A$5:$A$24,0))</f>
        <v>Very low</v>
      </c>
      <c r="AB552" s="7" t="str">
        <f aca="false">INDEX('Risk Taxonomy'!$H$5:$H$24,MATCH(D552,'Risk Taxonomy'!$A$5:$A$24,0))</f>
        <v>Medium-Low</v>
      </c>
      <c r="AC552" s="35" t="str">
        <f aca="false">IF(NOT(ISNUMBER(X552)),"",IF(X552&lt;=MATCH(AB552,Config!$B$5:$B$9,0),"Within",IF(OR(X552-MATCH(AB552,Config!$B$5:$B$9,0)&gt;=2,AND('Residual Config'!$C$8="Y",ISNUMBER(SEARCH("Zero",AA552)))),"Red","Amber")))</f>
        <v>Amber</v>
      </c>
      <c r="AD552" s="12" t="str">
        <f aca="false">IF(AC552="Red","Group CCO / CRO and Country CEO within 2 business days; action plan in 15 days; report to Board Risk &amp; Compliance Committee",IF(AC552="Amber","Country CO, risk owner and HO Administrator within 5 business days; action plan in 30 days",""))</f>
        <v>Country CO, risk owner and HO Administrator within 5 business days; action plan in 30 days</v>
      </c>
    </row>
    <row r="553" customFormat="false" ht="15" hidden="false" customHeight="false" outlineLevel="0" collapsed="false">
      <c r="A553" s="26" t="str">
        <f aca="false">Entities!$A$32</f>
        <v>CN</v>
      </c>
      <c r="B553" s="12" t="str">
        <f aca="false">INDEX(Entities!$B$5:$B$34,MATCH(A553,Entities!$A$5:$A$34,0))</f>
        <v>Arab Bank – China</v>
      </c>
      <c r="C553" s="12" t="str">
        <f aca="false">INDEX(Entities!$D$5:$D$34,MATCH(A553,Entities!$A$5:$A$34,0))</f>
        <v>Asia-Pacific</v>
      </c>
      <c r="D553" s="12" t="s">
        <v>288</v>
      </c>
      <c r="E553" s="12" t="str">
        <f aca="false">INDEX('Risk Taxonomy'!$B$5:$B$24,MATCH(D553,'Risk Taxonomy'!$A$5:$A$24,0))</f>
        <v>Conduct and consumer protection</v>
      </c>
      <c r="F553" s="29" t="n">
        <f aca="false">IF(NOT(ISNUMBER(G553)),"",G553)</f>
        <v>1</v>
      </c>
      <c r="G553" s="34" t="n">
        <f aca="false">IF(COUNTIFS('LxI Assessment'!$A$5:$A$394,A553,'LxI Assessment'!$D$5:$D$394,D553,'LxI Assessment'!$F$5:$F$394,"N/A")&gt;0,"N/A",IF(COUNTIFS('LxI Assessment'!$A$5:$A$394,A553,'LxI Assessment'!$D$5:$D$394,D553,'LxI Assessment'!$S$5:$S$394,"&gt;0")=0,"",SUMIFS('LxI Assessment'!$S$5:$S$394,'LxI Assessment'!$A$5:$A$394,A553,'LxI Assessment'!$D$5:$D$394,D553)))</f>
        <v>1</v>
      </c>
      <c r="H553" s="7" t="str">
        <f aca="false">IF(G553="N/A","N/A",IF(G553="","No data",INDEX(Config!$B$5:$B$9,G553)))</f>
        <v>Low</v>
      </c>
      <c r="I553" s="31" t="n">
        <f aca="false">IF(NOT(ISNUMBER($G553)),"",SUMPRODUCT(('Control Mapping'!$C$5:$C$83=D553)*('Control Mapping'!$AH$5:$AH$83&gt;0)))</f>
        <v>2</v>
      </c>
      <c r="J553" s="31" t="n">
        <f aca="false">IF(NOT(ISNUMBER($G553)),"",SUMPRODUCT(('Control Mapping'!$C$5:$C$83=D553)*('Control Mapping'!$F$5:$F$83="Y")*('Control Mapping'!$AH$5:$AH$83&gt;0)))</f>
        <v>1</v>
      </c>
      <c r="K553" s="31" t="n">
        <f aca="false">IF(NOT(ISNUMBER($G553)),"",SUMPRODUCT(('Control Mapping'!$C$5:$C$83=D553)*('Control Mapping'!$F$5:$F$83="Y")*('Control Mapping'!$AH$5:$AH$83=4)))</f>
        <v>0</v>
      </c>
      <c r="L553" s="29" t="n">
        <f aca="false">IF(NOT(ISNUMBER($G553)),"",IFERROR(SUMPRODUCT(('Control Mapping'!$C$5:$C$83=D553)*'Control Mapping'!$E$5:$E$83*'Control Mapping'!$AH$5:$AH$83)/SUMPRODUCT(('Control Mapping'!$C$5:$C$83=D553)*'Control Mapping'!$E$5:$E$83*('Control Mapping'!$AH$5:$AH$83&gt;0)),""))</f>
        <v>1.4</v>
      </c>
      <c r="M553" s="34" t="n">
        <f aca="false">IF(NOT(ISNUMBER($G553)),"",IF(J553=0,4,MAX(MATCH(L553,'Residual Config'!$E$11:$E$14,1),IF(K553&gt;0,'Residual Config'!$C$7,1))))</f>
        <v>1</v>
      </c>
      <c r="N553" s="7" t="str">
        <f aca="false">IF(NOT(ISNUMBER($G553)),"",IF(J553=0,"Ineffective (no key control)",INDEX('Residual Config'!$B$11:$B$14,M553)))</f>
        <v>Effective</v>
      </c>
      <c r="O553" s="36" t="n">
        <f aca="false">IF(NOT(ISNUMBER($G553)),"",IF(J553=0,0,SUMPRODUCT(('Control Mapping'!$C$5:$C$83=D553)*'Control Mapping'!$E$5:$E$83*(('Control Mapping'!$AH$5:$AH$83=1)*'Residual Config'!$D$11+('Control Mapping'!$AH$5:$AH$83=2)*'Residual Config'!$D$12+('Control Mapping'!$AH$5:$AH$83=3)*'Residual Config'!$D$13+('Control Mapping'!$AH$5:$AH$83=4)*'Residual Config'!$D$14))/SUMPRODUCT(('Control Mapping'!$C$5:$C$83=D553)*'Control Mapping'!$E$5:$E$83*('Control Mapping'!$AH$5:$AH$83&gt;0))))</f>
        <v>0.52</v>
      </c>
      <c r="P553" s="31" t="n">
        <f aca="false">IF(NOT(ISNUMBER($G553)),"",INDEX('Residual Config'!$B$19:$E$23,6-G553,M553))</f>
        <v>1</v>
      </c>
      <c r="Q553" s="29" t="n">
        <f aca="false">IF(NOT(ISNUMBER($G553)),"",MAX(1,F553*(1-O553)))</f>
        <v>1</v>
      </c>
      <c r="R553" s="31" t="n">
        <f aca="false">IF(NOT(ISNUMBER($G553)),"",MAX(MATCH(Q553,Config!$D$5:$D$9,1),G553-'Residual Config'!$C$6))</f>
        <v>1</v>
      </c>
      <c r="S553" s="34" t="n">
        <f aca="false">IF(NOT(ISNUMBER($G553)),"",IF('Residual Config'!$C$5="Numeric",R553,P553))</f>
        <v>1</v>
      </c>
      <c r="T553" s="7" t="str">
        <f aca="false">IF(G553="N/A","N/A",IF(S553="","No data",INDEX(Config!$B$5:$B$9,S553)))</f>
        <v>Low</v>
      </c>
      <c r="U553" s="32" t="n">
        <v>0</v>
      </c>
      <c r="V553" s="8"/>
      <c r="W553" s="33"/>
      <c r="X553" s="34" t="n">
        <f aca="false">IF(S553="","",IF(AND(W553="Y",U553&lt;&gt;0),MAX(1,MIN(5,S553+MAX(-Config!$C$27,MIN(Config!$C$27,U553)))),S553))</f>
        <v>1</v>
      </c>
      <c r="Y553" s="35" t="str">
        <f aca="false">IF(G553="N/A","N/A",IF(X553="","No data",INDEX(Config!$B$5:$B$9,X553)))</f>
        <v>Low</v>
      </c>
      <c r="Z553" s="7" t="str">
        <f aca="false">IF(U553=0,"None",IF(W553="Y","Applied","Pending HO approval"))</f>
        <v>None</v>
      </c>
      <c r="AA553" s="12" t="str">
        <f aca="false">INDEX('Risk Taxonomy'!$G$5:$G$24,MATCH(D553,'Risk Taxonomy'!$A$5:$A$24,0))</f>
        <v>Low</v>
      </c>
      <c r="AB553" s="7" t="str">
        <f aca="false">INDEX('Risk Taxonomy'!$H$5:$H$24,MATCH(D553,'Risk Taxonomy'!$A$5:$A$24,0))</f>
        <v>Medium</v>
      </c>
      <c r="AC553" s="35" t="str">
        <f aca="false">IF(NOT(ISNUMBER(X553)),"",IF(X553&lt;=MATCH(AB553,Config!$B$5:$B$9,0),"Within",IF(OR(X553-MATCH(AB553,Config!$B$5:$B$9,0)&gt;=2,AND('Residual Config'!$C$8="Y",ISNUMBER(SEARCH("Zero",AA553)))),"Red","Amber")))</f>
        <v>Within</v>
      </c>
      <c r="AD553" s="12" t="str">
        <f aca="false">IF(AC553="Red","Group CCO / CRO and Country CEO within 2 business days; action plan in 15 days; report to Board Risk &amp; Compliance Committee",IF(AC553="Amber","Country CO, risk owner and HO Administrator within 5 business days; action plan in 30 days",""))</f>
        <v/>
      </c>
    </row>
    <row r="554" customFormat="false" ht="15" hidden="false" customHeight="false" outlineLevel="0" collapsed="false">
      <c r="A554" s="26" t="str">
        <f aca="false">Entities!$A$32</f>
        <v>CN</v>
      </c>
      <c r="B554" s="12" t="str">
        <f aca="false">INDEX(Entities!$B$5:$B$34,MATCH(A554,Entities!$A$5:$A$34,0))</f>
        <v>Arab Bank – China</v>
      </c>
      <c r="C554" s="12" t="str">
        <f aca="false">INDEX(Entities!$D$5:$D$34,MATCH(A554,Entities!$A$5:$A$34,0))</f>
        <v>Asia-Pacific</v>
      </c>
      <c r="D554" s="12" t="s">
        <v>290</v>
      </c>
      <c r="E554" s="12" t="str">
        <f aca="false">INDEX('Risk Taxonomy'!$B$5:$B$24,MATCH(D554,'Risk Taxonomy'!$A$5:$A$24,0))</f>
        <v>Data protection and privacy</v>
      </c>
      <c r="F554" s="29" t="n">
        <f aca="false">IF(NOT(ISNUMBER(G554)),"",G554)</f>
        <v>2</v>
      </c>
      <c r="G554" s="34" t="n">
        <f aca="false">IF(COUNTIFS('LxI Assessment'!$A$5:$A$394,A554,'LxI Assessment'!$D$5:$D$394,D554,'LxI Assessment'!$F$5:$F$394,"N/A")&gt;0,"N/A",IF(COUNTIFS('LxI Assessment'!$A$5:$A$394,A554,'LxI Assessment'!$D$5:$D$394,D554,'LxI Assessment'!$S$5:$S$394,"&gt;0")=0,"",SUMIFS('LxI Assessment'!$S$5:$S$394,'LxI Assessment'!$A$5:$A$394,A554,'LxI Assessment'!$D$5:$D$394,D554)))</f>
        <v>2</v>
      </c>
      <c r="H554" s="7" t="str">
        <f aca="false">IF(G554="N/A","N/A",IF(G554="","No data",INDEX(Config!$B$5:$B$9,G554)))</f>
        <v>Medium-Low</v>
      </c>
      <c r="I554" s="31" t="n">
        <f aca="false">IF(NOT(ISNUMBER($G554)),"",SUMPRODUCT(('Control Mapping'!$C$5:$C$83=D554)*('Control Mapping'!$AH$5:$AH$83&gt;0)))</f>
        <v>2</v>
      </c>
      <c r="J554" s="31" t="n">
        <f aca="false">IF(NOT(ISNUMBER($G554)),"",SUMPRODUCT(('Control Mapping'!$C$5:$C$83=D554)*('Control Mapping'!$F$5:$F$83="Y")*('Control Mapping'!$AH$5:$AH$83&gt;0)))</f>
        <v>2</v>
      </c>
      <c r="K554" s="31" t="n">
        <f aca="false">IF(NOT(ISNUMBER($G554)),"",SUMPRODUCT(('Control Mapping'!$C$5:$C$83=D554)*('Control Mapping'!$F$5:$F$83="Y")*('Control Mapping'!$AH$5:$AH$83=4)))</f>
        <v>0</v>
      </c>
      <c r="L554" s="29" t="n">
        <f aca="false">IF(NOT(ISNUMBER($G554)),"",IFERROR(SUMPRODUCT(('Control Mapping'!$C$5:$C$83=D554)*'Control Mapping'!$E$5:$E$83*'Control Mapping'!$AH$5:$AH$83)/SUMPRODUCT(('Control Mapping'!$C$5:$C$83=D554)*'Control Mapping'!$E$5:$E$83*('Control Mapping'!$AH$5:$AH$83&gt;0)),""))</f>
        <v>1.5</v>
      </c>
      <c r="M554" s="34" t="n">
        <f aca="false">IF(NOT(ISNUMBER($G554)),"",IF(J554=0,4,MAX(MATCH(L554,'Residual Config'!$E$11:$E$14,1),IF(K554&gt;0,'Residual Config'!$C$7,1))))</f>
        <v>2</v>
      </c>
      <c r="N554" s="7" t="str">
        <f aca="false">IF(NOT(ISNUMBER($G554)),"",IF(J554=0,"Ineffective (no key control)",INDEX('Residual Config'!$B$11:$B$14,M554)))</f>
        <v>Largely effective</v>
      </c>
      <c r="O554" s="36" t="n">
        <f aca="false">IF(NOT(ISNUMBER($G554)),"",IF(J554=0,0,SUMPRODUCT(('Control Mapping'!$C$5:$C$83=D554)*'Control Mapping'!$E$5:$E$83*(('Control Mapping'!$AH$5:$AH$83=1)*'Residual Config'!$D$11+('Control Mapping'!$AH$5:$AH$83=2)*'Residual Config'!$D$12+('Control Mapping'!$AH$5:$AH$83=3)*'Residual Config'!$D$13+('Control Mapping'!$AH$5:$AH$83=4)*'Residual Config'!$D$14))/SUMPRODUCT(('Control Mapping'!$C$5:$C$83=D554)*'Control Mapping'!$E$5:$E$83*('Control Mapping'!$AH$5:$AH$83&gt;0))))</f>
        <v>0.5</v>
      </c>
      <c r="P554" s="31" t="n">
        <f aca="false">IF(NOT(ISNUMBER($G554)),"",INDEX('Residual Config'!$B$19:$E$23,6-G554,M554))</f>
        <v>1</v>
      </c>
      <c r="Q554" s="29" t="n">
        <f aca="false">IF(NOT(ISNUMBER($G554)),"",MAX(1,F554*(1-O554)))</f>
        <v>1</v>
      </c>
      <c r="R554" s="31" t="n">
        <f aca="false">IF(NOT(ISNUMBER($G554)),"",MAX(MATCH(Q554,Config!$D$5:$D$9,1),G554-'Residual Config'!$C$6))</f>
        <v>1</v>
      </c>
      <c r="S554" s="34" t="n">
        <f aca="false">IF(NOT(ISNUMBER($G554)),"",IF('Residual Config'!$C$5="Numeric",R554,P554))</f>
        <v>1</v>
      </c>
      <c r="T554" s="7" t="str">
        <f aca="false">IF(G554="N/A","N/A",IF(S554="","No data",INDEX(Config!$B$5:$B$9,S554)))</f>
        <v>Low</v>
      </c>
      <c r="U554" s="32" t="n">
        <v>0</v>
      </c>
      <c r="V554" s="8"/>
      <c r="W554" s="33"/>
      <c r="X554" s="34" t="n">
        <f aca="false">IF(S554="","",IF(AND(W554="Y",U554&lt;&gt;0),MAX(1,MIN(5,S554+MAX(-Config!$C$27,MIN(Config!$C$27,U554)))),S554))</f>
        <v>1</v>
      </c>
      <c r="Y554" s="35" t="str">
        <f aca="false">IF(G554="N/A","N/A",IF(X554="","No data",INDEX(Config!$B$5:$B$9,X554)))</f>
        <v>Low</v>
      </c>
      <c r="Z554" s="7" t="str">
        <f aca="false">IF(U554=0,"None",IF(W554="Y","Applied","Pending HO approval"))</f>
        <v>None</v>
      </c>
      <c r="AA554" s="12" t="str">
        <f aca="false">INDEX('Risk Taxonomy'!$G$5:$G$24,MATCH(D554,'Risk Taxonomy'!$A$5:$A$24,0))</f>
        <v>Very low</v>
      </c>
      <c r="AB554" s="7" t="str">
        <f aca="false">INDEX('Risk Taxonomy'!$H$5:$H$24,MATCH(D554,'Risk Taxonomy'!$A$5:$A$24,0))</f>
        <v>Medium-Low</v>
      </c>
      <c r="AC554" s="35" t="str">
        <f aca="false">IF(NOT(ISNUMBER(X554)),"",IF(X554&lt;=MATCH(AB554,Config!$B$5:$B$9,0),"Within",IF(OR(X554-MATCH(AB554,Config!$B$5:$B$9,0)&gt;=2,AND('Residual Config'!$C$8="Y",ISNUMBER(SEARCH("Zero",AA554)))),"Red","Amber")))</f>
        <v>Within</v>
      </c>
      <c r="AD554" s="12" t="str">
        <f aca="false">IF(AC554="Red","Group CCO / CRO and Country CEO within 2 business days; action plan in 15 days; report to Board Risk &amp; Compliance Committee",IF(AC554="Amber","Country CO, risk owner and HO Administrator within 5 business days; action plan in 30 days",""))</f>
        <v/>
      </c>
    </row>
    <row r="555" customFormat="false" ht="15" hidden="false" customHeight="false" outlineLevel="0" collapsed="false">
      <c r="A555" s="26" t="str">
        <f aca="false">Entities!$A$32</f>
        <v>CN</v>
      </c>
      <c r="B555" s="12" t="str">
        <f aca="false">INDEX(Entities!$B$5:$B$34,MATCH(A555,Entities!$A$5:$A$34,0))</f>
        <v>Arab Bank – China</v>
      </c>
      <c r="C555" s="12" t="str">
        <f aca="false">INDEX(Entities!$D$5:$D$34,MATCH(A555,Entities!$A$5:$A$34,0))</f>
        <v>Asia-Pacific</v>
      </c>
      <c r="D555" s="12" t="s">
        <v>293</v>
      </c>
      <c r="E555" s="12" t="str">
        <f aca="false">INDEX('Risk Taxonomy'!$B$5:$B$24,MATCH(D555,'Risk Taxonomy'!$A$5:$A$24,0))</f>
        <v>Shariah non-compliance</v>
      </c>
      <c r="F555" s="29" t="str">
        <f aca="false">IF(NOT(ISNUMBER(G555)),"",G555)</f>
        <v/>
      </c>
      <c r="G555" s="34" t="str">
        <f aca="false">IF(COUNTIFS('LxI Assessment'!$A$5:$A$394,A555,'LxI Assessment'!$D$5:$D$394,D555,'LxI Assessment'!$F$5:$F$394,"N/A")&gt;0,"N/A",IF(COUNTIFS('LxI Assessment'!$A$5:$A$394,A555,'LxI Assessment'!$D$5:$D$394,D555,'LxI Assessment'!$S$5:$S$394,"&gt;0")=0,"",SUMIFS('LxI Assessment'!$S$5:$S$394,'LxI Assessment'!$A$5:$A$394,A555,'LxI Assessment'!$D$5:$D$394,D555)))</f>
        <v>N/A</v>
      </c>
      <c r="H555" s="7" t="str">
        <f aca="false">IF(G555="N/A","N/A",IF(G555="","No data",INDEX(Config!$B$5:$B$9,G555)))</f>
        <v>N/A</v>
      </c>
      <c r="I555" s="31" t="str">
        <f aca="false">IF(NOT(ISNUMBER($G555)),"",SUMPRODUCT(('Control Mapping'!$C$5:$C$83=D555)*('Control Mapping'!$AH$5:$AH$83&gt;0)))</f>
        <v/>
      </c>
      <c r="J555" s="31" t="str">
        <f aca="false">IF(NOT(ISNUMBER($G555)),"",SUMPRODUCT(('Control Mapping'!$C$5:$C$83=D555)*('Control Mapping'!$F$5:$F$83="Y")*('Control Mapping'!$AH$5:$AH$83&gt;0)))</f>
        <v/>
      </c>
      <c r="K555" s="31" t="str">
        <f aca="false">IF(NOT(ISNUMBER($G555)),"",SUMPRODUCT(('Control Mapping'!$C$5:$C$83=D555)*('Control Mapping'!$F$5:$F$83="Y")*('Control Mapping'!$AH$5:$AH$83=4)))</f>
        <v/>
      </c>
      <c r="L555" s="29" t="str">
        <f aca="false">IF(NOT(ISNUMBER($G555)),"",IFERROR(SUMPRODUCT(('Control Mapping'!$C$5:$C$83=D555)*'Control Mapping'!$E$5:$E$83*'Control Mapping'!$AH$5:$AH$83)/SUMPRODUCT(('Control Mapping'!$C$5:$C$83=D555)*'Control Mapping'!$E$5:$E$83*('Control Mapping'!$AH$5:$AH$83&gt;0)),""))</f>
        <v/>
      </c>
      <c r="M555" s="34" t="str">
        <f aca="false">IF(NOT(ISNUMBER($G555)),"",IF(J555=0,4,MAX(MATCH(L555,'Residual Config'!$E$11:$E$14,1),IF(K555&gt;0,'Residual Config'!$C$7,1))))</f>
        <v/>
      </c>
      <c r="N555" s="7" t="str">
        <f aca="false">IF(NOT(ISNUMBER($G555)),"",IF(J555=0,"Ineffective (no key control)",INDEX('Residual Config'!$B$11:$B$14,M555)))</f>
        <v/>
      </c>
      <c r="O555" s="36" t="str">
        <f aca="false">IF(NOT(ISNUMBER($G555)),"",IF(J555=0,0,SUMPRODUCT(('Control Mapping'!$C$5:$C$83=D555)*'Control Mapping'!$E$5:$E$83*(('Control Mapping'!$AH$5:$AH$83=1)*'Residual Config'!$D$11+('Control Mapping'!$AH$5:$AH$83=2)*'Residual Config'!$D$12+('Control Mapping'!$AH$5:$AH$83=3)*'Residual Config'!$D$13+('Control Mapping'!$AH$5:$AH$83=4)*'Residual Config'!$D$14))/SUMPRODUCT(('Control Mapping'!$C$5:$C$83=D555)*'Control Mapping'!$E$5:$E$83*('Control Mapping'!$AH$5:$AH$83&gt;0))))</f>
        <v/>
      </c>
      <c r="P555" s="31" t="str">
        <f aca="false">IF(NOT(ISNUMBER($G555)),"",INDEX('Residual Config'!$B$19:$E$23,6-G555,M555))</f>
        <v/>
      </c>
      <c r="Q555" s="29" t="str">
        <f aca="false">IF(NOT(ISNUMBER($G555)),"",MAX(1,F555*(1-O555)))</f>
        <v/>
      </c>
      <c r="R555" s="31" t="str">
        <f aca="false">IF(NOT(ISNUMBER($G555)),"",MAX(MATCH(Q555,Config!$D$5:$D$9,1),G555-'Residual Config'!$C$6))</f>
        <v/>
      </c>
      <c r="S555" s="34" t="str">
        <f aca="false">IF(NOT(ISNUMBER($G555)),"",IF('Residual Config'!$C$5="Numeric",R555,P555))</f>
        <v/>
      </c>
      <c r="T555" s="7" t="str">
        <f aca="false">IF(G555="N/A","N/A",IF(S555="","No data",INDEX(Config!$B$5:$B$9,S555)))</f>
        <v>N/A</v>
      </c>
      <c r="U555" s="32" t="n">
        <v>0</v>
      </c>
      <c r="V555" s="8"/>
      <c r="W555" s="33"/>
      <c r="X555" s="34" t="str">
        <f aca="false">IF(S555="","",IF(AND(W555="Y",U555&lt;&gt;0),MAX(1,MIN(5,S555+MAX(-Config!$C$27,MIN(Config!$C$27,U555)))),S555))</f>
        <v/>
      </c>
      <c r="Y555" s="35" t="str">
        <f aca="false">IF(G555="N/A","N/A",IF(X555="","No data",INDEX(Config!$B$5:$B$9,X555)))</f>
        <v>N/A</v>
      </c>
      <c r="Z555" s="7" t="str">
        <f aca="false">IF(U555=0,"None",IF(W555="Y","Applied","Pending HO approval"))</f>
        <v>None</v>
      </c>
      <c r="AA555" s="12" t="str">
        <f aca="false">INDEX('Risk Taxonomy'!$G$5:$G$24,MATCH(D555,'Risk Taxonomy'!$A$5:$A$24,0))</f>
        <v>Very low</v>
      </c>
      <c r="AB555" s="7" t="str">
        <f aca="false">INDEX('Risk Taxonomy'!$H$5:$H$24,MATCH(D555,'Risk Taxonomy'!$A$5:$A$24,0))</f>
        <v>Medium-Low</v>
      </c>
      <c r="AC555" s="35" t="str">
        <f aca="false">IF(NOT(ISNUMBER(X555)),"",IF(X555&lt;=MATCH(AB555,Config!$B$5:$B$9,0),"Within",IF(OR(X555-MATCH(AB555,Config!$B$5:$B$9,0)&gt;=2,AND('Residual Config'!$C$8="Y",ISNUMBER(SEARCH("Zero",AA555)))),"Red","Amber")))</f>
        <v/>
      </c>
      <c r="AD555" s="12" t="str">
        <f aca="false">IF(AC555="Red","Group CCO / CRO and Country CEO within 2 business days; action plan in 15 days; report to Board Risk &amp; Compliance Committee",IF(AC555="Amber","Country CO, risk owner and HO Administrator within 5 business days; action plan in 30 days",""))</f>
        <v/>
      </c>
    </row>
    <row r="556" customFormat="false" ht="15" hidden="false" customHeight="false" outlineLevel="0" collapsed="false">
      <c r="A556" s="26" t="str">
        <f aca="false">Entities!$A$32</f>
        <v>CN</v>
      </c>
      <c r="B556" s="12" t="str">
        <f aca="false">INDEX(Entities!$B$5:$B$34,MATCH(A556,Entities!$A$5:$A$34,0))</f>
        <v>Arab Bank – China</v>
      </c>
      <c r="C556" s="12" t="str">
        <f aca="false">INDEX(Entities!$D$5:$D$34,MATCH(A556,Entities!$A$5:$A$34,0))</f>
        <v>Asia-Pacific</v>
      </c>
      <c r="D556" s="12" t="s">
        <v>297</v>
      </c>
      <c r="E556" s="12" t="str">
        <f aca="false">INDEX('Risk Taxonomy'!$B$5:$B$24,MATCH(D556,'Risk Taxonomy'!$A$5:$A$24,0))</f>
        <v>Credit risk</v>
      </c>
      <c r="F556" s="29" t="n">
        <f aca="false">IF(NOT(ISNUMBER(G556)),"",G556)</f>
        <v>2</v>
      </c>
      <c r="G556" s="34" t="n">
        <f aca="false">IF(COUNTIFS('LxI Assessment'!$A$5:$A$394,A556,'LxI Assessment'!$D$5:$D$394,D556,'LxI Assessment'!$F$5:$F$394,"N/A")&gt;0,"N/A",IF(COUNTIFS('LxI Assessment'!$A$5:$A$394,A556,'LxI Assessment'!$D$5:$D$394,D556,'LxI Assessment'!$S$5:$S$394,"&gt;0")=0,"",SUMIFS('LxI Assessment'!$S$5:$S$394,'LxI Assessment'!$A$5:$A$394,A556,'LxI Assessment'!$D$5:$D$394,D556)))</f>
        <v>2</v>
      </c>
      <c r="H556" s="7" t="str">
        <f aca="false">IF(G556="N/A","N/A",IF(G556="","No data",INDEX(Config!$B$5:$B$9,G556)))</f>
        <v>Medium-Low</v>
      </c>
      <c r="I556" s="31" t="n">
        <f aca="false">IF(NOT(ISNUMBER($G556)),"",SUMPRODUCT(('Control Mapping'!$C$5:$C$83=D556)*('Control Mapping'!$AH$5:$AH$83&gt;0)))</f>
        <v>2</v>
      </c>
      <c r="J556" s="31" t="n">
        <f aca="false">IF(NOT(ISNUMBER($G556)),"",SUMPRODUCT(('Control Mapping'!$C$5:$C$83=D556)*('Control Mapping'!$F$5:$F$83="Y")*('Control Mapping'!$AH$5:$AH$83&gt;0)))</f>
        <v>1</v>
      </c>
      <c r="K556" s="31" t="n">
        <f aca="false">IF(NOT(ISNUMBER($G556)),"",SUMPRODUCT(('Control Mapping'!$C$5:$C$83=D556)*('Control Mapping'!$F$5:$F$83="Y")*('Control Mapping'!$AH$5:$AH$83=4)))</f>
        <v>0</v>
      </c>
      <c r="L556" s="29" t="n">
        <f aca="false">IF(NOT(ISNUMBER($G556)),"",IFERROR(SUMPRODUCT(('Control Mapping'!$C$5:$C$83=D556)*'Control Mapping'!$E$5:$E$83*'Control Mapping'!$AH$5:$AH$83)/SUMPRODUCT(('Control Mapping'!$C$5:$C$83=D556)*'Control Mapping'!$E$5:$E$83*('Control Mapping'!$AH$5:$AH$83&gt;0)),""))</f>
        <v>1.4</v>
      </c>
      <c r="M556" s="34" t="n">
        <f aca="false">IF(NOT(ISNUMBER($G556)),"",IF(J556=0,4,MAX(MATCH(L556,'Residual Config'!$E$11:$E$14,1),IF(K556&gt;0,'Residual Config'!$C$7,1))))</f>
        <v>1</v>
      </c>
      <c r="N556" s="7" t="str">
        <f aca="false">IF(NOT(ISNUMBER($G556)),"",IF(J556=0,"Ineffective (no key control)",INDEX('Residual Config'!$B$11:$B$14,M556)))</f>
        <v>Effective</v>
      </c>
      <c r="O556" s="36" t="n">
        <f aca="false">IF(NOT(ISNUMBER($G556)),"",IF(J556=0,0,SUMPRODUCT(('Control Mapping'!$C$5:$C$83=D556)*'Control Mapping'!$E$5:$E$83*(('Control Mapping'!$AH$5:$AH$83=1)*'Residual Config'!$D$11+('Control Mapping'!$AH$5:$AH$83=2)*'Residual Config'!$D$12+('Control Mapping'!$AH$5:$AH$83=3)*'Residual Config'!$D$13+('Control Mapping'!$AH$5:$AH$83=4)*'Residual Config'!$D$14))/SUMPRODUCT(('Control Mapping'!$C$5:$C$83=D556)*'Control Mapping'!$E$5:$E$83*('Control Mapping'!$AH$5:$AH$83&gt;0))))</f>
        <v>0.52</v>
      </c>
      <c r="P556" s="31" t="n">
        <f aca="false">IF(NOT(ISNUMBER($G556)),"",INDEX('Residual Config'!$B$19:$E$23,6-G556,M556))</f>
        <v>1</v>
      </c>
      <c r="Q556" s="29" t="n">
        <f aca="false">IF(NOT(ISNUMBER($G556)),"",MAX(1,F556*(1-O556)))</f>
        <v>1</v>
      </c>
      <c r="R556" s="31" t="n">
        <f aca="false">IF(NOT(ISNUMBER($G556)),"",MAX(MATCH(Q556,Config!$D$5:$D$9,1),G556-'Residual Config'!$C$6))</f>
        <v>1</v>
      </c>
      <c r="S556" s="34" t="n">
        <f aca="false">IF(NOT(ISNUMBER($G556)),"",IF('Residual Config'!$C$5="Numeric",R556,P556))</f>
        <v>1</v>
      </c>
      <c r="T556" s="7" t="str">
        <f aca="false">IF(G556="N/A","N/A",IF(S556="","No data",INDEX(Config!$B$5:$B$9,S556)))</f>
        <v>Low</v>
      </c>
      <c r="U556" s="32" t="n">
        <v>0</v>
      </c>
      <c r="V556" s="8"/>
      <c r="W556" s="33"/>
      <c r="X556" s="34" t="n">
        <f aca="false">IF(S556="","",IF(AND(W556="Y",U556&lt;&gt;0),MAX(1,MIN(5,S556+MAX(-Config!$C$27,MIN(Config!$C$27,U556)))),S556))</f>
        <v>1</v>
      </c>
      <c r="Y556" s="35" t="str">
        <f aca="false">IF(G556="N/A","N/A",IF(X556="","No data",INDEX(Config!$B$5:$B$9,X556)))</f>
        <v>Low</v>
      </c>
      <c r="Z556" s="7" t="str">
        <f aca="false">IF(U556=0,"None",IF(W556="Y","Applied","Pending HO approval"))</f>
        <v>None</v>
      </c>
      <c r="AA556" s="12" t="str">
        <f aca="false">INDEX('Risk Taxonomy'!$G$5:$G$24,MATCH(D556,'Risk Taxonomy'!$A$5:$A$24,0))</f>
        <v>Moderate</v>
      </c>
      <c r="AB556" s="7" t="str">
        <f aca="false">INDEX('Risk Taxonomy'!$H$5:$H$24,MATCH(D556,'Risk Taxonomy'!$A$5:$A$24,0))</f>
        <v>Medium-High</v>
      </c>
      <c r="AC556" s="35" t="str">
        <f aca="false">IF(NOT(ISNUMBER(X556)),"",IF(X556&lt;=MATCH(AB556,Config!$B$5:$B$9,0),"Within",IF(OR(X556-MATCH(AB556,Config!$B$5:$B$9,0)&gt;=2,AND('Residual Config'!$C$8="Y",ISNUMBER(SEARCH("Zero",AA556)))),"Red","Amber")))</f>
        <v>Within</v>
      </c>
      <c r="AD556" s="12" t="str">
        <f aca="false">IF(AC556="Red","Group CCO / CRO and Country CEO within 2 business days; action plan in 15 days; report to Board Risk &amp; Compliance Committee",IF(AC556="Amber","Country CO, risk owner and HO Administrator within 5 business days; action plan in 30 days",""))</f>
        <v/>
      </c>
    </row>
    <row r="557" customFormat="false" ht="15" hidden="false" customHeight="false" outlineLevel="0" collapsed="false">
      <c r="A557" s="26" t="str">
        <f aca="false">Entities!$A$32</f>
        <v>CN</v>
      </c>
      <c r="B557" s="12" t="str">
        <f aca="false">INDEX(Entities!$B$5:$B$34,MATCH(A557,Entities!$A$5:$A$34,0))</f>
        <v>Arab Bank – China</v>
      </c>
      <c r="C557" s="12" t="str">
        <f aca="false">INDEX(Entities!$D$5:$D$34,MATCH(A557,Entities!$A$5:$A$34,0))</f>
        <v>Asia-Pacific</v>
      </c>
      <c r="D557" s="12" t="s">
        <v>302</v>
      </c>
      <c r="E557" s="12" t="str">
        <f aca="false">INDEX('Risk Taxonomy'!$B$5:$B$24,MATCH(D557,'Risk Taxonomy'!$A$5:$A$24,0))</f>
        <v>Market risk</v>
      </c>
      <c r="F557" s="29" t="n">
        <f aca="false">IF(NOT(ISNUMBER(G557)),"",G557)</f>
        <v>1</v>
      </c>
      <c r="G557" s="34" t="n">
        <f aca="false">IF(COUNTIFS('LxI Assessment'!$A$5:$A$394,A557,'LxI Assessment'!$D$5:$D$394,D557,'LxI Assessment'!$F$5:$F$394,"N/A")&gt;0,"N/A",IF(COUNTIFS('LxI Assessment'!$A$5:$A$394,A557,'LxI Assessment'!$D$5:$D$394,D557,'LxI Assessment'!$S$5:$S$394,"&gt;0")=0,"",SUMIFS('LxI Assessment'!$S$5:$S$394,'LxI Assessment'!$A$5:$A$394,A557,'LxI Assessment'!$D$5:$D$394,D557)))</f>
        <v>1</v>
      </c>
      <c r="H557" s="7" t="str">
        <f aca="false">IF(G557="N/A","N/A",IF(G557="","No data",INDEX(Config!$B$5:$B$9,G557)))</f>
        <v>Low</v>
      </c>
      <c r="I557" s="31" t="n">
        <f aca="false">IF(NOT(ISNUMBER($G557)),"",SUMPRODUCT(('Control Mapping'!$C$5:$C$83=D557)*('Control Mapping'!$AH$5:$AH$83&gt;0)))</f>
        <v>1</v>
      </c>
      <c r="J557" s="31" t="n">
        <f aca="false">IF(NOT(ISNUMBER($G557)),"",SUMPRODUCT(('Control Mapping'!$C$5:$C$83=D557)*('Control Mapping'!$F$5:$F$83="Y")*('Control Mapping'!$AH$5:$AH$83&gt;0)))</f>
        <v>1</v>
      </c>
      <c r="K557" s="31" t="n">
        <f aca="false">IF(NOT(ISNUMBER($G557)),"",SUMPRODUCT(('Control Mapping'!$C$5:$C$83=D557)*('Control Mapping'!$F$5:$F$83="Y")*('Control Mapping'!$AH$5:$AH$83=4)))</f>
        <v>0</v>
      </c>
      <c r="L557" s="29" t="n">
        <f aca="false">IF(NOT(ISNUMBER($G557)),"",IFERROR(SUMPRODUCT(('Control Mapping'!$C$5:$C$83=D557)*'Control Mapping'!$E$5:$E$83*'Control Mapping'!$AH$5:$AH$83)/SUMPRODUCT(('Control Mapping'!$C$5:$C$83=D557)*'Control Mapping'!$E$5:$E$83*('Control Mapping'!$AH$5:$AH$83&gt;0)),""))</f>
        <v>1</v>
      </c>
      <c r="M557" s="34" t="n">
        <f aca="false">IF(NOT(ISNUMBER($G557)),"",IF(J557=0,4,MAX(MATCH(L557,'Residual Config'!$E$11:$E$14,1),IF(K557&gt;0,'Residual Config'!$C$7,1))))</f>
        <v>1</v>
      </c>
      <c r="N557" s="7" t="str">
        <f aca="false">IF(NOT(ISNUMBER($G557)),"",IF(J557=0,"Ineffective (no key control)",INDEX('Residual Config'!$B$11:$B$14,M557)))</f>
        <v>Effective</v>
      </c>
      <c r="O557" s="36" t="n">
        <f aca="false">IF(NOT(ISNUMBER($G557)),"",IF(J557=0,0,SUMPRODUCT(('Control Mapping'!$C$5:$C$83=D557)*'Control Mapping'!$E$5:$E$83*(('Control Mapping'!$AH$5:$AH$83=1)*'Residual Config'!$D$11+('Control Mapping'!$AH$5:$AH$83=2)*'Residual Config'!$D$12+('Control Mapping'!$AH$5:$AH$83=3)*'Residual Config'!$D$13+('Control Mapping'!$AH$5:$AH$83=4)*'Residual Config'!$D$14))/SUMPRODUCT(('Control Mapping'!$C$5:$C$83=D557)*'Control Mapping'!$E$5:$E$83*('Control Mapping'!$AH$5:$AH$83&gt;0))))</f>
        <v>0.6</v>
      </c>
      <c r="P557" s="31" t="n">
        <f aca="false">IF(NOT(ISNUMBER($G557)),"",INDEX('Residual Config'!$B$19:$E$23,6-G557,M557))</f>
        <v>1</v>
      </c>
      <c r="Q557" s="29" t="n">
        <f aca="false">IF(NOT(ISNUMBER($G557)),"",MAX(1,F557*(1-O557)))</f>
        <v>1</v>
      </c>
      <c r="R557" s="31" t="n">
        <f aca="false">IF(NOT(ISNUMBER($G557)),"",MAX(MATCH(Q557,Config!$D$5:$D$9,1),G557-'Residual Config'!$C$6))</f>
        <v>1</v>
      </c>
      <c r="S557" s="34" t="n">
        <f aca="false">IF(NOT(ISNUMBER($G557)),"",IF('Residual Config'!$C$5="Numeric",R557,P557))</f>
        <v>1</v>
      </c>
      <c r="T557" s="7" t="str">
        <f aca="false">IF(G557="N/A","N/A",IF(S557="","No data",INDEX(Config!$B$5:$B$9,S557)))</f>
        <v>Low</v>
      </c>
      <c r="U557" s="32" t="n">
        <v>0</v>
      </c>
      <c r="V557" s="8"/>
      <c r="W557" s="33"/>
      <c r="X557" s="34" t="n">
        <f aca="false">IF(S557="","",IF(AND(W557="Y",U557&lt;&gt;0),MAX(1,MIN(5,S557+MAX(-Config!$C$27,MIN(Config!$C$27,U557)))),S557))</f>
        <v>1</v>
      </c>
      <c r="Y557" s="35" t="str">
        <f aca="false">IF(G557="N/A","N/A",IF(X557="","No data",INDEX(Config!$B$5:$B$9,X557)))</f>
        <v>Low</v>
      </c>
      <c r="Z557" s="7" t="str">
        <f aca="false">IF(U557=0,"None",IF(W557="Y","Applied","Pending HO approval"))</f>
        <v>None</v>
      </c>
      <c r="AA557" s="12" t="str">
        <f aca="false">INDEX('Risk Taxonomy'!$G$5:$G$24,MATCH(D557,'Risk Taxonomy'!$A$5:$A$24,0))</f>
        <v>Moderate</v>
      </c>
      <c r="AB557" s="7" t="str">
        <f aca="false">INDEX('Risk Taxonomy'!$H$5:$H$24,MATCH(D557,'Risk Taxonomy'!$A$5:$A$24,0))</f>
        <v>Medium-High</v>
      </c>
      <c r="AC557" s="35" t="str">
        <f aca="false">IF(NOT(ISNUMBER(X557)),"",IF(X557&lt;=MATCH(AB557,Config!$B$5:$B$9,0),"Within",IF(OR(X557-MATCH(AB557,Config!$B$5:$B$9,0)&gt;=2,AND('Residual Config'!$C$8="Y",ISNUMBER(SEARCH("Zero",AA557)))),"Red","Amber")))</f>
        <v>Within</v>
      </c>
      <c r="AD557" s="12" t="str">
        <f aca="false">IF(AC557="Red","Group CCO / CRO and Country CEO within 2 business days; action plan in 15 days; report to Board Risk &amp; Compliance Committee",IF(AC557="Amber","Country CO, risk owner and HO Administrator within 5 business days; action plan in 30 days",""))</f>
        <v/>
      </c>
    </row>
    <row r="558" customFormat="false" ht="15" hidden="false" customHeight="false" outlineLevel="0" collapsed="false">
      <c r="A558" s="26" t="str">
        <f aca="false">Entities!$A$32</f>
        <v>CN</v>
      </c>
      <c r="B558" s="12" t="str">
        <f aca="false">INDEX(Entities!$B$5:$B$34,MATCH(A558,Entities!$A$5:$A$34,0))</f>
        <v>Arab Bank – China</v>
      </c>
      <c r="C558" s="12" t="str">
        <f aca="false">INDEX(Entities!$D$5:$D$34,MATCH(A558,Entities!$A$5:$A$34,0))</f>
        <v>Asia-Pacific</v>
      </c>
      <c r="D558" s="12" t="s">
        <v>304</v>
      </c>
      <c r="E558" s="12" t="str">
        <f aca="false">INDEX('Risk Taxonomy'!$B$5:$B$24,MATCH(D558,'Risk Taxonomy'!$A$5:$A$24,0))</f>
        <v>Liquidity and funding risk</v>
      </c>
      <c r="F558" s="29" t="n">
        <f aca="false">IF(NOT(ISNUMBER(G558)),"",G558)</f>
        <v>1</v>
      </c>
      <c r="G558" s="34" t="n">
        <f aca="false">IF(COUNTIFS('LxI Assessment'!$A$5:$A$394,A558,'LxI Assessment'!$D$5:$D$394,D558,'LxI Assessment'!$F$5:$F$394,"N/A")&gt;0,"N/A",IF(COUNTIFS('LxI Assessment'!$A$5:$A$394,A558,'LxI Assessment'!$D$5:$D$394,D558,'LxI Assessment'!$S$5:$S$394,"&gt;0")=0,"",SUMIFS('LxI Assessment'!$S$5:$S$394,'LxI Assessment'!$A$5:$A$394,A558,'LxI Assessment'!$D$5:$D$394,D558)))</f>
        <v>1</v>
      </c>
      <c r="H558" s="7" t="str">
        <f aca="false">IF(G558="N/A","N/A",IF(G558="","No data",INDEX(Config!$B$5:$B$9,G558)))</f>
        <v>Low</v>
      </c>
      <c r="I558" s="31" t="n">
        <f aca="false">IF(NOT(ISNUMBER($G558)),"",SUMPRODUCT(('Control Mapping'!$C$5:$C$83=D558)*('Control Mapping'!$AH$5:$AH$83&gt;0)))</f>
        <v>1</v>
      </c>
      <c r="J558" s="31" t="n">
        <f aca="false">IF(NOT(ISNUMBER($G558)),"",SUMPRODUCT(('Control Mapping'!$C$5:$C$83=D558)*('Control Mapping'!$F$5:$F$83="Y")*('Control Mapping'!$AH$5:$AH$83&gt;0)))</f>
        <v>1</v>
      </c>
      <c r="K558" s="31" t="n">
        <f aca="false">IF(NOT(ISNUMBER($G558)),"",SUMPRODUCT(('Control Mapping'!$C$5:$C$83=D558)*('Control Mapping'!$F$5:$F$83="Y")*('Control Mapping'!$AH$5:$AH$83=4)))</f>
        <v>0</v>
      </c>
      <c r="L558" s="29" t="n">
        <f aca="false">IF(NOT(ISNUMBER($G558)),"",IFERROR(SUMPRODUCT(('Control Mapping'!$C$5:$C$83=D558)*'Control Mapping'!$E$5:$E$83*'Control Mapping'!$AH$5:$AH$83)/SUMPRODUCT(('Control Mapping'!$C$5:$C$83=D558)*'Control Mapping'!$E$5:$E$83*('Control Mapping'!$AH$5:$AH$83&gt;0)),""))</f>
        <v>2</v>
      </c>
      <c r="M558" s="34" t="n">
        <f aca="false">IF(NOT(ISNUMBER($G558)),"",IF(J558=0,4,MAX(MATCH(L558,'Residual Config'!$E$11:$E$14,1),IF(K558&gt;0,'Residual Config'!$C$7,1))))</f>
        <v>2</v>
      </c>
      <c r="N558" s="7" t="str">
        <f aca="false">IF(NOT(ISNUMBER($G558)),"",IF(J558=0,"Ineffective (no key control)",INDEX('Residual Config'!$B$11:$B$14,M558)))</f>
        <v>Largely effective</v>
      </c>
      <c r="O558" s="36" t="n">
        <f aca="false">IF(NOT(ISNUMBER($G558)),"",IF(J558=0,0,SUMPRODUCT(('Control Mapping'!$C$5:$C$83=D558)*'Control Mapping'!$E$5:$E$83*(('Control Mapping'!$AH$5:$AH$83=1)*'Residual Config'!$D$11+('Control Mapping'!$AH$5:$AH$83=2)*'Residual Config'!$D$12+('Control Mapping'!$AH$5:$AH$83=3)*'Residual Config'!$D$13+('Control Mapping'!$AH$5:$AH$83=4)*'Residual Config'!$D$14))/SUMPRODUCT(('Control Mapping'!$C$5:$C$83=D558)*'Control Mapping'!$E$5:$E$83*('Control Mapping'!$AH$5:$AH$83&gt;0))))</f>
        <v>0.4</v>
      </c>
      <c r="P558" s="31" t="n">
        <f aca="false">IF(NOT(ISNUMBER($G558)),"",INDEX('Residual Config'!$B$19:$E$23,6-G558,M558))</f>
        <v>1</v>
      </c>
      <c r="Q558" s="29" t="n">
        <f aca="false">IF(NOT(ISNUMBER($G558)),"",MAX(1,F558*(1-O558)))</f>
        <v>1</v>
      </c>
      <c r="R558" s="31" t="n">
        <f aca="false">IF(NOT(ISNUMBER($G558)),"",MAX(MATCH(Q558,Config!$D$5:$D$9,1),G558-'Residual Config'!$C$6))</f>
        <v>1</v>
      </c>
      <c r="S558" s="34" t="n">
        <f aca="false">IF(NOT(ISNUMBER($G558)),"",IF('Residual Config'!$C$5="Numeric",R558,P558))</f>
        <v>1</v>
      </c>
      <c r="T558" s="7" t="str">
        <f aca="false">IF(G558="N/A","N/A",IF(S558="","No data",INDEX(Config!$B$5:$B$9,S558)))</f>
        <v>Low</v>
      </c>
      <c r="U558" s="32" t="n">
        <v>0</v>
      </c>
      <c r="V558" s="8"/>
      <c r="W558" s="33"/>
      <c r="X558" s="34" t="n">
        <f aca="false">IF(S558="","",IF(AND(W558="Y",U558&lt;&gt;0),MAX(1,MIN(5,S558+MAX(-Config!$C$27,MIN(Config!$C$27,U558)))),S558))</f>
        <v>1</v>
      </c>
      <c r="Y558" s="35" t="str">
        <f aca="false">IF(G558="N/A","N/A",IF(X558="","No data",INDEX(Config!$B$5:$B$9,X558)))</f>
        <v>Low</v>
      </c>
      <c r="Z558" s="7" t="str">
        <f aca="false">IF(U558=0,"None",IF(W558="Y","Applied","Pending HO approval"))</f>
        <v>None</v>
      </c>
      <c r="AA558" s="12" t="str">
        <f aca="false">INDEX('Risk Taxonomy'!$G$5:$G$24,MATCH(D558,'Risk Taxonomy'!$A$5:$A$24,0))</f>
        <v>Low</v>
      </c>
      <c r="AB558" s="7" t="str">
        <f aca="false">INDEX('Risk Taxonomy'!$H$5:$H$24,MATCH(D558,'Risk Taxonomy'!$A$5:$A$24,0))</f>
        <v>Medium</v>
      </c>
      <c r="AC558" s="35" t="str">
        <f aca="false">IF(NOT(ISNUMBER(X558)),"",IF(X558&lt;=MATCH(AB558,Config!$B$5:$B$9,0),"Within",IF(OR(X558-MATCH(AB558,Config!$B$5:$B$9,0)&gt;=2,AND('Residual Config'!$C$8="Y",ISNUMBER(SEARCH("Zero",AA558)))),"Red","Amber")))</f>
        <v>Within</v>
      </c>
      <c r="AD558" s="12" t="str">
        <f aca="false">IF(AC558="Red","Group CCO / CRO and Country CEO within 2 business days; action plan in 15 days; report to Board Risk &amp; Compliance Committee",IF(AC558="Amber","Country CO, risk owner and HO Administrator within 5 business days; action plan in 30 days",""))</f>
        <v/>
      </c>
    </row>
    <row r="559" customFormat="false" ht="15" hidden="false" customHeight="false" outlineLevel="0" collapsed="false">
      <c r="A559" s="26" t="str">
        <f aca="false">Entities!$A$32</f>
        <v>CN</v>
      </c>
      <c r="B559" s="12" t="str">
        <f aca="false">INDEX(Entities!$B$5:$B$34,MATCH(A559,Entities!$A$5:$A$34,0))</f>
        <v>Arab Bank – China</v>
      </c>
      <c r="C559" s="12" t="str">
        <f aca="false">INDEX(Entities!$D$5:$D$34,MATCH(A559,Entities!$A$5:$A$34,0))</f>
        <v>Asia-Pacific</v>
      </c>
      <c r="D559" s="12" t="s">
        <v>307</v>
      </c>
      <c r="E559" s="12" t="str">
        <f aca="false">INDEX('Risk Taxonomy'!$B$5:$B$24,MATCH(D559,'Risk Taxonomy'!$A$5:$A$24,0))</f>
        <v>Operational risk</v>
      </c>
      <c r="F559" s="29" t="n">
        <f aca="false">IF(NOT(ISNUMBER(G559)),"",G559)</f>
        <v>1</v>
      </c>
      <c r="G559" s="34" t="n">
        <f aca="false">IF(COUNTIFS('LxI Assessment'!$A$5:$A$394,A559,'LxI Assessment'!$D$5:$D$394,D559,'LxI Assessment'!$F$5:$F$394,"N/A")&gt;0,"N/A",IF(COUNTIFS('LxI Assessment'!$A$5:$A$394,A559,'LxI Assessment'!$D$5:$D$394,D559,'LxI Assessment'!$S$5:$S$394,"&gt;0")=0,"",SUMIFS('LxI Assessment'!$S$5:$S$394,'LxI Assessment'!$A$5:$A$394,A559,'LxI Assessment'!$D$5:$D$394,D559)))</f>
        <v>1</v>
      </c>
      <c r="H559" s="7" t="str">
        <f aca="false">IF(G559="N/A","N/A",IF(G559="","No data",INDEX(Config!$B$5:$B$9,G559)))</f>
        <v>Low</v>
      </c>
      <c r="I559" s="31" t="n">
        <f aca="false">IF(NOT(ISNUMBER($G559)),"",SUMPRODUCT(('Control Mapping'!$C$5:$C$83=D559)*('Control Mapping'!$AH$5:$AH$83&gt;0)))</f>
        <v>3</v>
      </c>
      <c r="J559" s="31" t="n">
        <f aca="false">IF(NOT(ISNUMBER($G559)),"",SUMPRODUCT(('Control Mapping'!$C$5:$C$83=D559)*('Control Mapping'!$F$5:$F$83="Y")*('Control Mapping'!$AH$5:$AH$83&gt;0)))</f>
        <v>2</v>
      </c>
      <c r="K559" s="31" t="n">
        <f aca="false">IF(NOT(ISNUMBER($G559)),"",SUMPRODUCT(('Control Mapping'!$C$5:$C$83=D559)*('Control Mapping'!$F$5:$F$83="Y")*('Control Mapping'!$AH$5:$AH$83=4)))</f>
        <v>0</v>
      </c>
      <c r="L559" s="29" t="n">
        <f aca="false">IF(NOT(ISNUMBER($G559)),"",IFERROR(SUMPRODUCT(('Control Mapping'!$C$5:$C$83=D559)*'Control Mapping'!$E$5:$E$83*'Control Mapping'!$AH$5:$AH$83)/SUMPRODUCT(('Control Mapping'!$C$5:$C$83=D559)*'Control Mapping'!$E$5:$E$83*('Control Mapping'!$AH$5:$AH$83&gt;0)),""))</f>
        <v>1.33333333333333</v>
      </c>
      <c r="M559" s="34" t="n">
        <f aca="false">IF(NOT(ISNUMBER($G559)),"",IF(J559=0,4,MAX(MATCH(L559,'Residual Config'!$E$11:$E$14,1),IF(K559&gt;0,'Residual Config'!$C$7,1))))</f>
        <v>1</v>
      </c>
      <c r="N559" s="7" t="str">
        <f aca="false">IF(NOT(ISNUMBER($G559)),"",IF(J559=0,"Ineffective (no key control)",INDEX('Residual Config'!$B$11:$B$14,M559)))</f>
        <v>Effective</v>
      </c>
      <c r="O559" s="36" t="n">
        <f aca="false">IF(NOT(ISNUMBER($G559)),"",IF(J559=0,0,SUMPRODUCT(('Control Mapping'!$C$5:$C$83=D559)*'Control Mapping'!$E$5:$E$83*(('Control Mapping'!$AH$5:$AH$83=1)*'Residual Config'!$D$11+('Control Mapping'!$AH$5:$AH$83=2)*'Residual Config'!$D$12+('Control Mapping'!$AH$5:$AH$83=3)*'Residual Config'!$D$13+('Control Mapping'!$AH$5:$AH$83=4)*'Residual Config'!$D$14))/SUMPRODUCT(('Control Mapping'!$C$5:$C$83=D559)*'Control Mapping'!$E$5:$E$83*('Control Mapping'!$AH$5:$AH$83&gt;0))))</f>
        <v>0.533333333333333</v>
      </c>
      <c r="P559" s="31" t="n">
        <f aca="false">IF(NOT(ISNUMBER($G559)),"",INDEX('Residual Config'!$B$19:$E$23,6-G559,M559))</f>
        <v>1</v>
      </c>
      <c r="Q559" s="29" t="n">
        <f aca="false">IF(NOT(ISNUMBER($G559)),"",MAX(1,F559*(1-O559)))</f>
        <v>1</v>
      </c>
      <c r="R559" s="31" t="n">
        <f aca="false">IF(NOT(ISNUMBER($G559)),"",MAX(MATCH(Q559,Config!$D$5:$D$9,1),G559-'Residual Config'!$C$6))</f>
        <v>1</v>
      </c>
      <c r="S559" s="34" t="n">
        <f aca="false">IF(NOT(ISNUMBER($G559)),"",IF('Residual Config'!$C$5="Numeric",R559,P559))</f>
        <v>1</v>
      </c>
      <c r="T559" s="7" t="str">
        <f aca="false">IF(G559="N/A","N/A",IF(S559="","No data",INDEX(Config!$B$5:$B$9,S559)))</f>
        <v>Low</v>
      </c>
      <c r="U559" s="32" t="n">
        <v>0</v>
      </c>
      <c r="V559" s="8"/>
      <c r="W559" s="33"/>
      <c r="X559" s="34" t="n">
        <f aca="false">IF(S559="","",IF(AND(W559="Y",U559&lt;&gt;0),MAX(1,MIN(5,S559+MAX(-Config!$C$27,MIN(Config!$C$27,U559)))),S559))</f>
        <v>1</v>
      </c>
      <c r="Y559" s="35" t="str">
        <f aca="false">IF(G559="N/A","N/A",IF(X559="","No data",INDEX(Config!$B$5:$B$9,X559)))</f>
        <v>Low</v>
      </c>
      <c r="Z559" s="7" t="str">
        <f aca="false">IF(U559=0,"None",IF(W559="Y","Applied","Pending HO approval"))</f>
        <v>None</v>
      </c>
      <c r="AA559" s="12" t="str">
        <f aca="false">INDEX('Risk Taxonomy'!$G$5:$G$24,MATCH(D559,'Risk Taxonomy'!$A$5:$A$24,0))</f>
        <v>Low</v>
      </c>
      <c r="AB559" s="7" t="str">
        <f aca="false">INDEX('Risk Taxonomy'!$H$5:$H$24,MATCH(D559,'Risk Taxonomy'!$A$5:$A$24,0))</f>
        <v>Medium</v>
      </c>
      <c r="AC559" s="35" t="str">
        <f aca="false">IF(NOT(ISNUMBER(X559)),"",IF(X559&lt;=MATCH(AB559,Config!$B$5:$B$9,0),"Within",IF(OR(X559-MATCH(AB559,Config!$B$5:$B$9,0)&gt;=2,AND('Residual Config'!$C$8="Y",ISNUMBER(SEARCH("Zero",AA559)))),"Red","Amber")))</f>
        <v>Within</v>
      </c>
      <c r="AD559" s="12" t="str">
        <f aca="false">IF(AC559="Red","Group CCO / CRO and Country CEO within 2 business days; action plan in 15 days; report to Board Risk &amp; Compliance Committee",IF(AC559="Amber","Country CO, risk owner and HO Administrator within 5 business days; action plan in 30 days",""))</f>
        <v/>
      </c>
    </row>
    <row r="560" customFormat="false" ht="15" hidden="false" customHeight="false" outlineLevel="0" collapsed="false">
      <c r="A560" s="26" t="str">
        <f aca="false">Entities!$A$32</f>
        <v>CN</v>
      </c>
      <c r="B560" s="12" t="str">
        <f aca="false">INDEX(Entities!$B$5:$B$34,MATCH(A560,Entities!$A$5:$A$34,0))</f>
        <v>Arab Bank – China</v>
      </c>
      <c r="C560" s="12" t="str">
        <f aca="false">INDEX(Entities!$D$5:$D$34,MATCH(A560,Entities!$A$5:$A$34,0))</f>
        <v>Asia-Pacific</v>
      </c>
      <c r="D560" s="12" t="s">
        <v>310</v>
      </c>
      <c r="E560" s="12" t="str">
        <f aca="false">INDEX('Risk Taxonomy'!$B$5:$B$24,MATCH(D560,'Risk Taxonomy'!$A$5:$A$24,0))</f>
        <v>Cyber, information security and technology</v>
      </c>
      <c r="F560" s="29" t="n">
        <f aca="false">IF(NOT(ISNUMBER(G560)),"",G560)</f>
        <v>1</v>
      </c>
      <c r="G560" s="34" t="n">
        <f aca="false">IF(COUNTIFS('LxI Assessment'!$A$5:$A$394,A560,'LxI Assessment'!$D$5:$D$394,D560,'LxI Assessment'!$F$5:$F$394,"N/A")&gt;0,"N/A",IF(COUNTIFS('LxI Assessment'!$A$5:$A$394,A560,'LxI Assessment'!$D$5:$D$394,D560,'LxI Assessment'!$S$5:$S$394,"&gt;0")=0,"",SUMIFS('LxI Assessment'!$S$5:$S$394,'LxI Assessment'!$A$5:$A$394,A560,'LxI Assessment'!$D$5:$D$394,D560)))</f>
        <v>1</v>
      </c>
      <c r="H560" s="7" t="str">
        <f aca="false">IF(G560="N/A","N/A",IF(G560="","No data",INDEX(Config!$B$5:$B$9,G560)))</f>
        <v>Low</v>
      </c>
      <c r="I560" s="31" t="n">
        <f aca="false">IF(NOT(ISNUMBER($G560)),"",SUMPRODUCT(('Control Mapping'!$C$5:$C$83=D560)*('Control Mapping'!$AH$5:$AH$83&gt;0)))</f>
        <v>4</v>
      </c>
      <c r="J560" s="31" t="n">
        <f aca="false">IF(NOT(ISNUMBER($G560)),"",SUMPRODUCT(('Control Mapping'!$C$5:$C$83=D560)*('Control Mapping'!$F$5:$F$83="Y")*('Control Mapping'!$AH$5:$AH$83&gt;0)))</f>
        <v>4</v>
      </c>
      <c r="K560" s="31" t="n">
        <f aca="false">IF(NOT(ISNUMBER($G560)),"",SUMPRODUCT(('Control Mapping'!$C$5:$C$83=D560)*('Control Mapping'!$F$5:$F$83="Y")*('Control Mapping'!$AH$5:$AH$83=4)))</f>
        <v>0</v>
      </c>
      <c r="L560" s="29" t="n">
        <f aca="false">IF(NOT(ISNUMBER($G560)),"",IFERROR(SUMPRODUCT(('Control Mapping'!$C$5:$C$83=D560)*'Control Mapping'!$E$5:$E$83*'Control Mapping'!$AH$5:$AH$83)/SUMPRODUCT(('Control Mapping'!$C$5:$C$83=D560)*'Control Mapping'!$E$5:$E$83*('Control Mapping'!$AH$5:$AH$83&gt;0)),""))</f>
        <v>2</v>
      </c>
      <c r="M560" s="34" t="n">
        <f aca="false">IF(NOT(ISNUMBER($G560)),"",IF(J560=0,4,MAX(MATCH(L560,'Residual Config'!$E$11:$E$14,1),IF(K560&gt;0,'Residual Config'!$C$7,1))))</f>
        <v>2</v>
      </c>
      <c r="N560" s="7" t="str">
        <f aca="false">IF(NOT(ISNUMBER($G560)),"",IF(J560=0,"Ineffective (no key control)",INDEX('Residual Config'!$B$11:$B$14,M560)))</f>
        <v>Largely effective</v>
      </c>
      <c r="O560" s="36" t="n">
        <f aca="false">IF(NOT(ISNUMBER($G560)),"",IF(J560=0,0,SUMPRODUCT(('Control Mapping'!$C$5:$C$83=D560)*'Control Mapping'!$E$5:$E$83*(('Control Mapping'!$AH$5:$AH$83=1)*'Residual Config'!$D$11+('Control Mapping'!$AH$5:$AH$83=2)*'Residual Config'!$D$12+('Control Mapping'!$AH$5:$AH$83=3)*'Residual Config'!$D$13+('Control Mapping'!$AH$5:$AH$83=4)*'Residual Config'!$D$14))/SUMPRODUCT(('Control Mapping'!$C$5:$C$83=D560)*'Control Mapping'!$E$5:$E$83*('Control Mapping'!$AH$5:$AH$83&gt;0))))</f>
        <v>0.4</v>
      </c>
      <c r="P560" s="31" t="n">
        <f aca="false">IF(NOT(ISNUMBER($G560)),"",INDEX('Residual Config'!$B$19:$E$23,6-G560,M560))</f>
        <v>1</v>
      </c>
      <c r="Q560" s="29" t="n">
        <f aca="false">IF(NOT(ISNUMBER($G560)),"",MAX(1,F560*(1-O560)))</f>
        <v>1</v>
      </c>
      <c r="R560" s="31" t="n">
        <f aca="false">IF(NOT(ISNUMBER($G560)),"",MAX(MATCH(Q560,Config!$D$5:$D$9,1),G560-'Residual Config'!$C$6))</f>
        <v>1</v>
      </c>
      <c r="S560" s="34" t="n">
        <f aca="false">IF(NOT(ISNUMBER($G560)),"",IF('Residual Config'!$C$5="Numeric",R560,P560))</f>
        <v>1</v>
      </c>
      <c r="T560" s="7" t="str">
        <f aca="false">IF(G560="N/A","N/A",IF(S560="","No data",INDEX(Config!$B$5:$B$9,S560)))</f>
        <v>Low</v>
      </c>
      <c r="U560" s="32" t="n">
        <v>0</v>
      </c>
      <c r="V560" s="8"/>
      <c r="W560" s="33"/>
      <c r="X560" s="34" t="n">
        <f aca="false">IF(S560="","",IF(AND(W560="Y",U560&lt;&gt;0),MAX(1,MIN(5,S560+MAX(-Config!$C$27,MIN(Config!$C$27,U560)))),S560))</f>
        <v>1</v>
      </c>
      <c r="Y560" s="35" t="str">
        <f aca="false">IF(G560="N/A","N/A",IF(X560="","No data",INDEX(Config!$B$5:$B$9,X560)))</f>
        <v>Low</v>
      </c>
      <c r="Z560" s="7" t="str">
        <f aca="false">IF(U560=0,"None",IF(W560="Y","Applied","Pending HO approval"))</f>
        <v>None</v>
      </c>
      <c r="AA560" s="12" t="str">
        <f aca="false">INDEX('Risk Taxonomy'!$G$5:$G$24,MATCH(D560,'Risk Taxonomy'!$A$5:$A$24,0))</f>
        <v>Very low</v>
      </c>
      <c r="AB560" s="7" t="str">
        <f aca="false">INDEX('Risk Taxonomy'!$H$5:$H$24,MATCH(D560,'Risk Taxonomy'!$A$5:$A$24,0))</f>
        <v>Medium-Low</v>
      </c>
      <c r="AC560" s="35" t="str">
        <f aca="false">IF(NOT(ISNUMBER(X560)),"",IF(X560&lt;=MATCH(AB560,Config!$B$5:$B$9,0),"Within",IF(OR(X560-MATCH(AB560,Config!$B$5:$B$9,0)&gt;=2,AND('Residual Config'!$C$8="Y",ISNUMBER(SEARCH("Zero",AA560)))),"Red","Amber")))</f>
        <v>Within</v>
      </c>
      <c r="AD560" s="12" t="str">
        <f aca="false">IF(AC560="Red","Group CCO / CRO and Country CEO within 2 business days; action plan in 15 days; report to Board Risk &amp; Compliance Committee",IF(AC560="Amber","Country CO, risk owner and HO Administrator within 5 business days; action plan in 30 days",""))</f>
        <v/>
      </c>
    </row>
    <row r="561" customFormat="false" ht="15" hidden="false" customHeight="false" outlineLevel="0" collapsed="false">
      <c r="A561" s="26" t="str">
        <f aca="false">Entities!$A$32</f>
        <v>CN</v>
      </c>
      <c r="B561" s="12" t="str">
        <f aca="false">INDEX(Entities!$B$5:$B$34,MATCH(A561,Entities!$A$5:$A$34,0))</f>
        <v>Arab Bank – China</v>
      </c>
      <c r="C561" s="12" t="str">
        <f aca="false">INDEX(Entities!$D$5:$D$34,MATCH(A561,Entities!$A$5:$A$34,0))</f>
        <v>Asia-Pacific</v>
      </c>
      <c r="D561" s="12" t="s">
        <v>313</v>
      </c>
      <c r="E561" s="12" t="str">
        <f aca="false">INDEX('Risk Taxonomy'!$B$5:$B$24,MATCH(D561,'Risk Taxonomy'!$A$5:$A$24,0))</f>
        <v>Third-party and outsourcing</v>
      </c>
      <c r="F561" s="29" t="n">
        <f aca="false">IF(NOT(ISNUMBER(G561)),"",G561)</f>
        <v>1</v>
      </c>
      <c r="G561" s="34" t="n">
        <f aca="false">IF(COUNTIFS('LxI Assessment'!$A$5:$A$394,A561,'LxI Assessment'!$D$5:$D$394,D561,'LxI Assessment'!$F$5:$F$394,"N/A")&gt;0,"N/A",IF(COUNTIFS('LxI Assessment'!$A$5:$A$394,A561,'LxI Assessment'!$D$5:$D$394,D561,'LxI Assessment'!$S$5:$S$394,"&gt;0")=0,"",SUMIFS('LxI Assessment'!$S$5:$S$394,'LxI Assessment'!$A$5:$A$394,A561,'LxI Assessment'!$D$5:$D$394,D561)))</f>
        <v>1</v>
      </c>
      <c r="H561" s="7" t="str">
        <f aca="false">IF(G561="N/A","N/A",IF(G561="","No data",INDEX(Config!$B$5:$B$9,G561)))</f>
        <v>Low</v>
      </c>
      <c r="I561" s="31" t="n">
        <f aca="false">IF(NOT(ISNUMBER($G561)),"",SUMPRODUCT(('Control Mapping'!$C$5:$C$83=D561)*('Control Mapping'!$AH$5:$AH$83&gt;0)))</f>
        <v>2</v>
      </c>
      <c r="J561" s="31" t="n">
        <f aca="false">IF(NOT(ISNUMBER($G561)),"",SUMPRODUCT(('Control Mapping'!$C$5:$C$83=D561)*('Control Mapping'!$F$5:$F$83="Y")*('Control Mapping'!$AH$5:$AH$83&gt;0)))</f>
        <v>2</v>
      </c>
      <c r="K561" s="31" t="n">
        <f aca="false">IF(NOT(ISNUMBER($G561)),"",SUMPRODUCT(('Control Mapping'!$C$5:$C$83=D561)*('Control Mapping'!$F$5:$F$83="Y")*('Control Mapping'!$AH$5:$AH$83=4)))</f>
        <v>0</v>
      </c>
      <c r="L561" s="29" t="n">
        <f aca="false">IF(NOT(ISNUMBER($G561)),"",IFERROR(SUMPRODUCT(('Control Mapping'!$C$5:$C$83=D561)*'Control Mapping'!$E$5:$E$83*'Control Mapping'!$AH$5:$AH$83)/SUMPRODUCT(('Control Mapping'!$C$5:$C$83=D561)*'Control Mapping'!$E$5:$E$83*('Control Mapping'!$AH$5:$AH$83&gt;0)),""))</f>
        <v>1.75</v>
      </c>
      <c r="M561" s="34" t="n">
        <f aca="false">IF(NOT(ISNUMBER($G561)),"",IF(J561=0,4,MAX(MATCH(L561,'Residual Config'!$E$11:$E$14,1),IF(K561&gt;0,'Residual Config'!$C$7,1))))</f>
        <v>2</v>
      </c>
      <c r="N561" s="7" t="str">
        <f aca="false">IF(NOT(ISNUMBER($G561)),"",IF(J561=0,"Ineffective (no key control)",INDEX('Residual Config'!$B$11:$B$14,M561)))</f>
        <v>Largely effective</v>
      </c>
      <c r="O561" s="36" t="n">
        <f aca="false">IF(NOT(ISNUMBER($G561)),"",IF(J561=0,0,SUMPRODUCT(('Control Mapping'!$C$5:$C$83=D561)*'Control Mapping'!$E$5:$E$83*(('Control Mapping'!$AH$5:$AH$83=1)*'Residual Config'!$D$11+('Control Mapping'!$AH$5:$AH$83=2)*'Residual Config'!$D$12+('Control Mapping'!$AH$5:$AH$83=3)*'Residual Config'!$D$13+('Control Mapping'!$AH$5:$AH$83=4)*'Residual Config'!$D$14))/SUMPRODUCT(('Control Mapping'!$C$5:$C$83=D561)*'Control Mapping'!$E$5:$E$83*('Control Mapping'!$AH$5:$AH$83&gt;0))))</f>
        <v>0.45</v>
      </c>
      <c r="P561" s="31" t="n">
        <f aca="false">IF(NOT(ISNUMBER($G561)),"",INDEX('Residual Config'!$B$19:$E$23,6-G561,M561))</f>
        <v>1</v>
      </c>
      <c r="Q561" s="29" t="n">
        <f aca="false">IF(NOT(ISNUMBER($G561)),"",MAX(1,F561*(1-O561)))</f>
        <v>1</v>
      </c>
      <c r="R561" s="31" t="n">
        <f aca="false">IF(NOT(ISNUMBER($G561)),"",MAX(MATCH(Q561,Config!$D$5:$D$9,1),G561-'Residual Config'!$C$6))</f>
        <v>1</v>
      </c>
      <c r="S561" s="34" t="n">
        <f aca="false">IF(NOT(ISNUMBER($G561)),"",IF('Residual Config'!$C$5="Numeric",R561,P561))</f>
        <v>1</v>
      </c>
      <c r="T561" s="7" t="str">
        <f aca="false">IF(G561="N/A","N/A",IF(S561="","No data",INDEX(Config!$B$5:$B$9,S561)))</f>
        <v>Low</v>
      </c>
      <c r="U561" s="32" t="n">
        <v>0</v>
      </c>
      <c r="V561" s="8"/>
      <c r="W561" s="33"/>
      <c r="X561" s="34" t="n">
        <f aca="false">IF(S561="","",IF(AND(W561="Y",U561&lt;&gt;0),MAX(1,MIN(5,S561+MAX(-Config!$C$27,MIN(Config!$C$27,U561)))),S561))</f>
        <v>1</v>
      </c>
      <c r="Y561" s="35" t="str">
        <f aca="false">IF(G561="N/A","N/A",IF(X561="","No data",INDEX(Config!$B$5:$B$9,X561)))</f>
        <v>Low</v>
      </c>
      <c r="Z561" s="7" t="str">
        <f aca="false">IF(U561=0,"None",IF(W561="Y","Applied","Pending HO approval"))</f>
        <v>None</v>
      </c>
      <c r="AA561" s="12" t="str">
        <f aca="false">INDEX('Risk Taxonomy'!$G$5:$G$24,MATCH(D561,'Risk Taxonomy'!$A$5:$A$24,0))</f>
        <v>Low</v>
      </c>
      <c r="AB561" s="7" t="str">
        <f aca="false">INDEX('Risk Taxonomy'!$H$5:$H$24,MATCH(D561,'Risk Taxonomy'!$A$5:$A$24,0))</f>
        <v>Medium</v>
      </c>
      <c r="AC561" s="35" t="str">
        <f aca="false">IF(NOT(ISNUMBER(X561)),"",IF(X561&lt;=MATCH(AB561,Config!$B$5:$B$9,0),"Within",IF(OR(X561-MATCH(AB561,Config!$B$5:$B$9,0)&gt;=2,AND('Residual Config'!$C$8="Y",ISNUMBER(SEARCH("Zero",AA561)))),"Red","Amber")))</f>
        <v>Within</v>
      </c>
      <c r="AD561" s="12" t="str">
        <f aca="false">IF(AC561="Red","Group CCO / CRO and Country CEO within 2 business days; action plan in 15 days; report to Board Risk &amp; Compliance Committee",IF(AC561="Amber","Country CO, risk owner and HO Administrator within 5 business days; action plan in 30 days",""))</f>
        <v/>
      </c>
    </row>
    <row r="562" customFormat="false" ht="15" hidden="false" customHeight="false" outlineLevel="0" collapsed="false">
      <c r="A562" s="26" t="str">
        <f aca="false">Entities!$A$32</f>
        <v>CN</v>
      </c>
      <c r="B562" s="12" t="str">
        <f aca="false">INDEX(Entities!$B$5:$B$34,MATCH(A562,Entities!$A$5:$A$34,0))</f>
        <v>Arab Bank – China</v>
      </c>
      <c r="C562" s="12" t="str">
        <f aca="false">INDEX(Entities!$D$5:$D$34,MATCH(A562,Entities!$A$5:$A$34,0))</f>
        <v>Asia-Pacific</v>
      </c>
      <c r="D562" s="12" t="s">
        <v>316</v>
      </c>
      <c r="E562" s="12" t="str">
        <f aca="false">INDEX('Risk Taxonomy'!$B$5:$B$24,MATCH(D562,'Risk Taxonomy'!$A$5:$A$24,0))</f>
        <v>Legal and litigation</v>
      </c>
      <c r="F562" s="29" t="n">
        <f aca="false">IF(NOT(ISNUMBER(G562)),"",G562)</f>
        <v>3</v>
      </c>
      <c r="G562" s="34" t="n">
        <f aca="false">IF(COUNTIFS('LxI Assessment'!$A$5:$A$394,A562,'LxI Assessment'!$D$5:$D$394,D562,'LxI Assessment'!$F$5:$F$394,"N/A")&gt;0,"N/A",IF(COUNTIFS('LxI Assessment'!$A$5:$A$394,A562,'LxI Assessment'!$D$5:$D$394,D562,'LxI Assessment'!$S$5:$S$394,"&gt;0")=0,"",SUMIFS('LxI Assessment'!$S$5:$S$394,'LxI Assessment'!$A$5:$A$394,A562,'LxI Assessment'!$D$5:$D$394,D562)))</f>
        <v>3</v>
      </c>
      <c r="H562" s="7" t="str">
        <f aca="false">IF(G562="N/A","N/A",IF(G562="","No data",INDEX(Config!$B$5:$B$9,G562)))</f>
        <v>Medium</v>
      </c>
      <c r="I562" s="31" t="n">
        <f aca="false">IF(NOT(ISNUMBER($G562)),"",SUMPRODUCT(('Control Mapping'!$C$5:$C$83=D562)*('Control Mapping'!$AH$5:$AH$83&gt;0)))</f>
        <v>1</v>
      </c>
      <c r="J562" s="31" t="n">
        <f aca="false">IF(NOT(ISNUMBER($G562)),"",SUMPRODUCT(('Control Mapping'!$C$5:$C$83=D562)*('Control Mapping'!$F$5:$F$83="Y")*('Control Mapping'!$AH$5:$AH$83&gt;0)))</f>
        <v>1</v>
      </c>
      <c r="K562" s="31" t="n">
        <f aca="false">IF(NOT(ISNUMBER($G562)),"",SUMPRODUCT(('Control Mapping'!$C$5:$C$83=D562)*('Control Mapping'!$F$5:$F$83="Y")*('Control Mapping'!$AH$5:$AH$83=4)))</f>
        <v>0</v>
      </c>
      <c r="L562" s="29" t="n">
        <f aca="false">IF(NOT(ISNUMBER($G562)),"",IFERROR(SUMPRODUCT(('Control Mapping'!$C$5:$C$83=D562)*'Control Mapping'!$E$5:$E$83*'Control Mapping'!$AH$5:$AH$83)/SUMPRODUCT(('Control Mapping'!$C$5:$C$83=D562)*'Control Mapping'!$E$5:$E$83*('Control Mapping'!$AH$5:$AH$83&gt;0)),""))</f>
        <v>1</v>
      </c>
      <c r="M562" s="34" t="n">
        <f aca="false">IF(NOT(ISNUMBER($G562)),"",IF(J562=0,4,MAX(MATCH(L562,'Residual Config'!$E$11:$E$14,1),IF(K562&gt;0,'Residual Config'!$C$7,1))))</f>
        <v>1</v>
      </c>
      <c r="N562" s="7" t="str">
        <f aca="false">IF(NOT(ISNUMBER($G562)),"",IF(J562=0,"Ineffective (no key control)",INDEX('Residual Config'!$B$11:$B$14,M562)))</f>
        <v>Effective</v>
      </c>
      <c r="O562" s="36" t="n">
        <f aca="false">IF(NOT(ISNUMBER($G562)),"",IF(J562=0,0,SUMPRODUCT(('Control Mapping'!$C$5:$C$83=D562)*'Control Mapping'!$E$5:$E$83*(('Control Mapping'!$AH$5:$AH$83=1)*'Residual Config'!$D$11+('Control Mapping'!$AH$5:$AH$83=2)*'Residual Config'!$D$12+('Control Mapping'!$AH$5:$AH$83=3)*'Residual Config'!$D$13+('Control Mapping'!$AH$5:$AH$83=4)*'Residual Config'!$D$14))/SUMPRODUCT(('Control Mapping'!$C$5:$C$83=D562)*'Control Mapping'!$E$5:$E$83*('Control Mapping'!$AH$5:$AH$83&gt;0))))</f>
        <v>0.6</v>
      </c>
      <c r="P562" s="31" t="n">
        <f aca="false">IF(NOT(ISNUMBER($G562)),"",INDEX('Residual Config'!$B$19:$E$23,6-G562,M562))</f>
        <v>1</v>
      </c>
      <c r="Q562" s="29" t="n">
        <f aca="false">IF(NOT(ISNUMBER($G562)),"",MAX(1,F562*(1-O562)))</f>
        <v>1.2</v>
      </c>
      <c r="R562" s="31" t="n">
        <f aca="false">IF(NOT(ISNUMBER($G562)),"",MAX(MATCH(Q562,Config!$D$5:$D$9,1),G562-'Residual Config'!$C$6))</f>
        <v>1</v>
      </c>
      <c r="S562" s="34" t="n">
        <f aca="false">IF(NOT(ISNUMBER($G562)),"",IF('Residual Config'!$C$5="Numeric",R562,P562))</f>
        <v>1</v>
      </c>
      <c r="T562" s="7" t="str">
        <f aca="false">IF(G562="N/A","N/A",IF(S562="","No data",INDEX(Config!$B$5:$B$9,S562)))</f>
        <v>Low</v>
      </c>
      <c r="U562" s="32" t="n">
        <v>0</v>
      </c>
      <c r="V562" s="8"/>
      <c r="W562" s="33"/>
      <c r="X562" s="34" t="n">
        <f aca="false">IF(S562="","",IF(AND(W562="Y",U562&lt;&gt;0),MAX(1,MIN(5,S562+MAX(-Config!$C$27,MIN(Config!$C$27,U562)))),S562))</f>
        <v>1</v>
      </c>
      <c r="Y562" s="35" t="str">
        <f aca="false">IF(G562="N/A","N/A",IF(X562="","No data",INDEX(Config!$B$5:$B$9,X562)))</f>
        <v>Low</v>
      </c>
      <c r="Z562" s="7" t="str">
        <f aca="false">IF(U562=0,"None",IF(W562="Y","Applied","Pending HO approval"))</f>
        <v>None</v>
      </c>
      <c r="AA562" s="12" t="str">
        <f aca="false">INDEX('Risk Taxonomy'!$G$5:$G$24,MATCH(D562,'Risk Taxonomy'!$A$5:$A$24,0))</f>
        <v>Very low</v>
      </c>
      <c r="AB562" s="7" t="str">
        <f aca="false">INDEX('Risk Taxonomy'!$H$5:$H$24,MATCH(D562,'Risk Taxonomy'!$A$5:$A$24,0))</f>
        <v>Medium-Low</v>
      </c>
      <c r="AC562" s="35" t="str">
        <f aca="false">IF(NOT(ISNUMBER(X562)),"",IF(X562&lt;=MATCH(AB562,Config!$B$5:$B$9,0),"Within",IF(OR(X562-MATCH(AB562,Config!$B$5:$B$9,0)&gt;=2,AND('Residual Config'!$C$8="Y",ISNUMBER(SEARCH("Zero",AA562)))),"Red","Amber")))</f>
        <v>Within</v>
      </c>
      <c r="AD562" s="12" t="str">
        <f aca="false">IF(AC562="Red","Group CCO / CRO and Country CEO within 2 business days; action plan in 15 days; report to Board Risk &amp; Compliance Committee",IF(AC562="Amber","Country CO, risk owner and HO Administrator within 5 business days; action plan in 30 days",""))</f>
        <v/>
      </c>
    </row>
    <row r="563" customFormat="false" ht="15" hidden="false" customHeight="false" outlineLevel="0" collapsed="false">
      <c r="A563" s="26" t="str">
        <f aca="false">Entities!$A$32</f>
        <v>CN</v>
      </c>
      <c r="B563" s="12" t="str">
        <f aca="false">INDEX(Entities!$B$5:$B$34,MATCH(A563,Entities!$A$5:$A$34,0))</f>
        <v>Arab Bank – China</v>
      </c>
      <c r="C563" s="12" t="str">
        <f aca="false">INDEX(Entities!$D$5:$D$34,MATCH(A563,Entities!$A$5:$A$34,0))</f>
        <v>Asia-Pacific</v>
      </c>
      <c r="D563" s="12" t="s">
        <v>319</v>
      </c>
      <c r="E563" s="12" t="str">
        <f aca="false">INDEX('Risk Taxonomy'!$B$5:$B$24,MATCH(D563,'Risk Taxonomy'!$A$5:$A$24,0))</f>
        <v>Reputational</v>
      </c>
      <c r="F563" s="29" t="n">
        <f aca="false">IF(NOT(ISNUMBER(G563)),"",G563)</f>
        <v>2</v>
      </c>
      <c r="G563" s="34" t="n">
        <f aca="false">IF(COUNTIFS('LxI Assessment'!$A$5:$A$394,A563,'LxI Assessment'!$D$5:$D$394,D563,'LxI Assessment'!$F$5:$F$394,"N/A")&gt;0,"N/A",IF(COUNTIFS('LxI Assessment'!$A$5:$A$394,A563,'LxI Assessment'!$D$5:$D$394,D563,'LxI Assessment'!$S$5:$S$394,"&gt;0")=0,"",SUMIFS('LxI Assessment'!$S$5:$S$394,'LxI Assessment'!$A$5:$A$394,A563,'LxI Assessment'!$D$5:$D$394,D563)))</f>
        <v>2</v>
      </c>
      <c r="H563" s="7" t="str">
        <f aca="false">IF(G563="N/A","N/A",IF(G563="","No data",INDEX(Config!$B$5:$B$9,G563)))</f>
        <v>Medium-Low</v>
      </c>
      <c r="I563" s="31" t="n">
        <f aca="false">IF(NOT(ISNUMBER($G563)),"",SUMPRODUCT(('Control Mapping'!$C$5:$C$83=D563)*('Control Mapping'!$AH$5:$AH$83&gt;0)))</f>
        <v>2</v>
      </c>
      <c r="J563" s="31" t="n">
        <f aca="false">IF(NOT(ISNUMBER($G563)),"",SUMPRODUCT(('Control Mapping'!$C$5:$C$83=D563)*('Control Mapping'!$F$5:$F$83="Y")*('Control Mapping'!$AH$5:$AH$83&gt;0)))</f>
        <v>1</v>
      </c>
      <c r="K563" s="31" t="n">
        <f aca="false">IF(NOT(ISNUMBER($G563)),"",SUMPRODUCT(('Control Mapping'!$C$5:$C$83=D563)*('Control Mapping'!$F$5:$F$83="Y")*('Control Mapping'!$AH$5:$AH$83=4)))</f>
        <v>0</v>
      </c>
      <c r="L563" s="29" t="n">
        <f aca="false">IF(NOT(ISNUMBER($G563)),"",IFERROR(SUMPRODUCT(('Control Mapping'!$C$5:$C$83=D563)*'Control Mapping'!$E$5:$E$83*'Control Mapping'!$AH$5:$AH$83)/SUMPRODUCT(('Control Mapping'!$C$5:$C$83=D563)*'Control Mapping'!$E$5:$E$83*('Control Mapping'!$AH$5:$AH$83&gt;0)),""))</f>
        <v>1.33333333333333</v>
      </c>
      <c r="M563" s="34" t="n">
        <f aca="false">IF(NOT(ISNUMBER($G563)),"",IF(J563=0,4,MAX(MATCH(L563,'Residual Config'!$E$11:$E$14,1),IF(K563&gt;0,'Residual Config'!$C$7,1))))</f>
        <v>1</v>
      </c>
      <c r="N563" s="7" t="str">
        <f aca="false">IF(NOT(ISNUMBER($G563)),"",IF(J563=0,"Ineffective (no key control)",INDEX('Residual Config'!$B$11:$B$14,M563)))</f>
        <v>Effective</v>
      </c>
      <c r="O563" s="36" t="n">
        <f aca="false">IF(NOT(ISNUMBER($G563)),"",IF(J563=0,0,SUMPRODUCT(('Control Mapping'!$C$5:$C$83=D563)*'Control Mapping'!$E$5:$E$83*(('Control Mapping'!$AH$5:$AH$83=1)*'Residual Config'!$D$11+('Control Mapping'!$AH$5:$AH$83=2)*'Residual Config'!$D$12+('Control Mapping'!$AH$5:$AH$83=3)*'Residual Config'!$D$13+('Control Mapping'!$AH$5:$AH$83=4)*'Residual Config'!$D$14))/SUMPRODUCT(('Control Mapping'!$C$5:$C$83=D563)*'Control Mapping'!$E$5:$E$83*('Control Mapping'!$AH$5:$AH$83&gt;0))))</f>
        <v>0.533333333333333</v>
      </c>
      <c r="P563" s="31" t="n">
        <f aca="false">IF(NOT(ISNUMBER($G563)),"",INDEX('Residual Config'!$B$19:$E$23,6-G563,M563))</f>
        <v>1</v>
      </c>
      <c r="Q563" s="29" t="n">
        <f aca="false">IF(NOT(ISNUMBER($G563)),"",MAX(1,F563*(1-O563)))</f>
        <v>1</v>
      </c>
      <c r="R563" s="31" t="n">
        <f aca="false">IF(NOT(ISNUMBER($G563)),"",MAX(MATCH(Q563,Config!$D$5:$D$9,1),G563-'Residual Config'!$C$6))</f>
        <v>1</v>
      </c>
      <c r="S563" s="34" t="n">
        <f aca="false">IF(NOT(ISNUMBER($G563)),"",IF('Residual Config'!$C$5="Numeric",R563,P563))</f>
        <v>1</v>
      </c>
      <c r="T563" s="7" t="str">
        <f aca="false">IF(G563="N/A","N/A",IF(S563="","No data",INDEX(Config!$B$5:$B$9,S563)))</f>
        <v>Low</v>
      </c>
      <c r="U563" s="32" t="n">
        <v>0</v>
      </c>
      <c r="V563" s="8"/>
      <c r="W563" s="33"/>
      <c r="X563" s="34" t="n">
        <f aca="false">IF(S563="","",IF(AND(W563="Y",U563&lt;&gt;0),MAX(1,MIN(5,S563+MAX(-Config!$C$27,MIN(Config!$C$27,U563)))),S563))</f>
        <v>1</v>
      </c>
      <c r="Y563" s="35" t="str">
        <f aca="false">IF(G563="N/A","N/A",IF(X563="","No data",INDEX(Config!$B$5:$B$9,X563)))</f>
        <v>Low</v>
      </c>
      <c r="Z563" s="7" t="str">
        <f aca="false">IF(U563=0,"None",IF(W563="Y","Applied","Pending HO approval"))</f>
        <v>None</v>
      </c>
      <c r="AA563" s="12" t="str">
        <f aca="false">INDEX('Risk Taxonomy'!$G$5:$G$24,MATCH(D563,'Risk Taxonomy'!$A$5:$A$24,0))</f>
        <v>Low</v>
      </c>
      <c r="AB563" s="7" t="str">
        <f aca="false">INDEX('Risk Taxonomy'!$H$5:$H$24,MATCH(D563,'Risk Taxonomy'!$A$5:$A$24,0))</f>
        <v>Medium</v>
      </c>
      <c r="AC563" s="35" t="str">
        <f aca="false">IF(NOT(ISNUMBER(X563)),"",IF(X563&lt;=MATCH(AB563,Config!$B$5:$B$9,0),"Within",IF(OR(X563-MATCH(AB563,Config!$B$5:$B$9,0)&gt;=2,AND('Residual Config'!$C$8="Y",ISNUMBER(SEARCH("Zero",AA563)))),"Red","Amber")))</f>
        <v>Within</v>
      </c>
      <c r="AD563" s="12" t="str">
        <f aca="false">IF(AC563="Red","Group CCO / CRO and Country CEO within 2 business days; action plan in 15 days; report to Board Risk &amp; Compliance Committee",IF(AC563="Amber","Country CO, risk owner and HO Administrator within 5 business days; action plan in 30 days",""))</f>
        <v/>
      </c>
    </row>
    <row r="564" customFormat="false" ht="15" hidden="false" customHeight="false" outlineLevel="0" collapsed="false">
      <c r="A564" s="26" t="str">
        <f aca="false">Entities!$A$32</f>
        <v>CN</v>
      </c>
      <c r="B564" s="12" t="str">
        <f aca="false">INDEX(Entities!$B$5:$B$34,MATCH(A564,Entities!$A$5:$A$34,0))</f>
        <v>Arab Bank – China</v>
      </c>
      <c r="C564" s="12" t="str">
        <f aca="false">INDEX(Entities!$D$5:$D$34,MATCH(A564,Entities!$A$5:$A$34,0))</f>
        <v>Asia-Pacific</v>
      </c>
      <c r="D564" s="12" t="s">
        <v>322</v>
      </c>
      <c r="E564" s="12" t="str">
        <f aca="false">INDEX('Risk Taxonomy'!$B$5:$B$24,MATCH(D564,'Risk Taxonomy'!$A$5:$A$24,0))</f>
        <v>Strategic, business model and ESG</v>
      </c>
      <c r="F564" s="29" t="n">
        <f aca="false">IF(NOT(ISNUMBER(G564)),"",G564)</f>
        <v>1</v>
      </c>
      <c r="G564" s="34" t="n">
        <f aca="false">IF(COUNTIFS('LxI Assessment'!$A$5:$A$394,A564,'LxI Assessment'!$D$5:$D$394,D564,'LxI Assessment'!$F$5:$F$394,"N/A")&gt;0,"N/A",IF(COUNTIFS('LxI Assessment'!$A$5:$A$394,A564,'LxI Assessment'!$D$5:$D$394,D564,'LxI Assessment'!$S$5:$S$394,"&gt;0")=0,"",SUMIFS('LxI Assessment'!$S$5:$S$394,'LxI Assessment'!$A$5:$A$394,A564,'LxI Assessment'!$D$5:$D$394,D564)))</f>
        <v>1</v>
      </c>
      <c r="H564" s="7" t="str">
        <f aca="false">IF(G564="N/A","N/A",IF(G564="","No data",INDEX(Config!$B$5:$B$9,G564)))</f>
        <v>Low</v>
      </c>
      <c r="I564" s="31" t="n">
        <f aca="false">IF(NOT(ISNUMBER($G564)),"",SUMPRODUCT(('Control Mapping'!$C$5:$C$83=D564)*('Control Mapping'!$AH$5:$AH$83&gt;0)))</f>
        <v>1</v>
      </c>
      <c r="J564" s="31" t="n">
        <f aca="false">IF(NOT(ISNUMBER($G564)),"",SUMPRODUCT(('Control Mapping'!$C$5:$C$83=D564)*('Control Mapping'!$F$5:$F$83="Y")*('Control Mapping'!$AH$5:$AH$83&gt;0)))</f>
        <v>1</v>
      </c>
      <c r="K564" s="31" t="n">
        <f aca="false">IF(NOT(ISNUMBER($G564)),"",SUMPRODUCT(('Control Mapping'!$C$5:$C$83=D564)*('Control Mapping'!$F$5:$F$83="Y")*('Control Mapping'!$AH$5:$AH$83=4)))</f>
        <v>0</v>
      </c>
      <c r="L564" s="29" t="n">
        <f aca="false">IF(NOT(ISNUMBER($G564)),"",IFERROR(SUMPRODUCT(('Control Mapping'!$C$5:$C$83=D564)*'Control Mapping'!$E$5:$E$83*'Control Mapping'!$AH$5:$AH$83)/SUMPRODUCT(('Control Mapping'!$C$5:$C$83=D564)*'Control Mapping'!$E$5:$E$83*('Control Mapping'!$AH$5:$AH$83&gt;0)),""))</f>
        <v>1</v>
      </c>
      <c r="M564" s="34" t="n">
        <f aca="false">IF(NOT(ISNUMBER($G564)),"",IF(J564=0,4,MAX(MATCH(L564,'Residual Config'!$E$11:$E$14,1),IF(K564&gt;0,'Residual Config'!$C$7,1))))</f>
        <v>1</v>
      </c>
      <c r="N564" s="7" t="str">
        <f aca="false">IF(NOT(ISNUMBER($G564)),"",IF(J564=0,"Ineffective (no key control)",INDEX('Residual Config'!$B$11:$B$14,M564)))</f>
        <v>Effective</v>
      </c>
      <c r="O564" s="36" t="n">
        <f aca="false">IF(NOT(ISNUMBER($G564)),"",IF(J564=0,0,SUMPRODUCT(('Control Mapping'!$C$5:$C$83=D564)*'Control Mapping'!$E$5:$E$83*(('Control Mapping'!$AH$5:$AH$83=1)*'Residual Config'!$D$11+('Control Mapping'!$AH$5:$AH$83=2)*'Residual Config'!$D$12+('Control Mapping'!$AH$5:$AH$83=3)*'Residual Config'!$D$13+('Control Mapping'!$AH$5:$AH$83=4)*'Residual Config'!$D$14))/SUMPRODUCT(('Control Mapping'!$C$5:$C$83=D564)*'Control Mapping'!$E$5:$E$83*('Control Mapping'!$AH$5:$AH$83&gt;0))))</f>
        <v>0.6</v>
      </c>
      <c r="P564" s="31" t="n">
        <f aca="false">IF(NOT(ISNUMBER($G564)),"",INDEX('Residual Config'!$B$19:$E$23,6-G564,M564))</f>
        <v>1</v>
      </c>
      <c r="Q564" s="29" t="n">
        <f aca="false">IF(NOT(ISNUMBER($G564)),"",MAX(1,F564*(1-O564)))</f>
        <v>1</v>
      </c>
      <c r="R564" s="31" t="n">
        <f aca="false">IF(NOT(ISNUMBER($G564)),"",MAX(MATCH(Q564,Config!$D$5:$D$9,1),G564-'Residual Config'!$C$6))</f>
        <v>1</v>
      </c>
      <c r="S564" s="34" t="n">
        <f aca="false">IF(NOT(ISNUMBER($G564)),"",IF('Residual Config'!$C$5="Numeric",R564,P564))</f>
        <v>1</v>
      </c>
      <c r="T564" s="7" t="str">
        <f aca="false">IF(G564="N/A","N/A",IF(S564="","No data",INDEX(Config!$B$5:$B$9,S564)))</f>
        <v>Low</v>
      </c>
      <c r="U564" s="32" t="n">
        <v>0</v>
      </c>
      <c r="V564" s="8"/>
      <c r="W564" s="33"/>
      <c r="X564" s="34" t="n">
        <f aca="false">IF(S564="","",IF(AND(W564="Y",U564&lt;&gt;0),MAX(1,MIN(5,S564+MAX(-Config!$C$27,MIN(Config!$C$27,U564)))),S564))</f>
        <v>1</v>
      </c>
      <c r="Y564" s="35" t="str">
        <f aca="false">IF(G564="N/A","N/A",IF(X564="","No data",INDEX(Config!$B$5:$B$9,X564)))</f>
        <v>Low</v>
      </c>
      <c r="Z564" s="7" t="str">
        <f aca="false">IF(U564=0,"None",IF(W564="Y","Applied","Pending HO approval"))</f>
        <v>None</v>
      </c>
      <c r="AA564" s="12" t="str">
        <f aca="false">INDEX('Risk Taxonomy'!$G$5:$G$24,MATCH(D564,'Risk Taxonomy'!$A$5:$A$24,0))</f>
        <v>Moderate</v>
      </c>
      <c r="AB564" s="7" t="str">
        <f aca="false">INDEX('Risk Taxonomy'!$H$5:$H$24,MATCH(D564,'Risk Taxonomy'!$A$5:$A$24,0))</f>
        <v>Medium-High</v>
      </c>
      <c r="AC564" s="35" t="str">
        <f aca="false">IF(NOT(ISNUMBER(X564)),"",IF(X564&lt;=MATCH(AB564,Config!$B$5:$B$9,0),"Within",IF(OR(X564-MATCH(AB564,Config!$B$5:$B$9,0)&gt;=2,AND('Residual Config'!$C$8="Y",ISNUMBER(SEARCH("Zero",AA564)))),"Red","Amber")))</f>
        <v>Within</v>
      </c>
      <c r="AD564" s="12" t="str">
        <f aca="false">IF(AC564="Red","Group CCO / CRO and Country CEO within 2 business days; action plan in 15 days; report to Board Risk &amp; Compliance Committee",IF(AC564="Amber","Country CO, risk owner and HO Administrator within 5 business days; action plan in 30 days",""))</f>
        <v/>
      </c>
    </row>
    <row r="565" customFormat="false" ht="15" hidden="false" customHeight="false" outlineLevel="0" collapsed="false">
      <c r="A565" s="26" t="str">
        <f aca="false">Entities!$A$33</f>
        <v>AU</v>
      </c>
      <c r="B565" s="12" t="str">
        <f aca="false">INDEX(Entities!$B$5:$B$34,MATCH(A565,Entities!$A$5:$A$34,0))</f>
        <v>Arab Bank Australia</v>
      </c>
      <c r="C565" s="12" t="str">
        <f aca="false">INDEX(Entities!$D$5:$D$34,MATCH(A565,Entities!$A$5:$A$34,0))</f>
        <v>Asia-Pacific</v>
      </c>
      <c r="D565" s="12" t="s">
        <v>260</v>
      </c>
      <c r="E565" s="12" t="str">
        <f aca="false">INDEX('Risk Taxonomy'!$B$5:$B$24,MATCH(D565,'Risk Taxonomy'!$A$5:$A$24,0))</f>
        <v>Money laundering</v>
      </c>
      <c r="F565" s="29" t="n">
        <f aca="false">IF(NOT(ISNUMBER(G565)),"",IFERROR(IF(MATCH(SUMIFS('FC Calculation'!$N$5:$N$214,'FC Calculation'!$A$5:$A$214,A565,'FC Calculation'!$D$5:$D$214,D565),Config!$D$5:$D$9,1)=G565,SUMIFS('FC Calculation'!$N$5:$N$214,'FC Calculation'!$A$5:$A$214,A565,'FC Calculation'!$D$5:$D$214,D565),G565),G565))</f>
        <v>1.72865079365079</v>
      </c>
      <c r="G565" s="34" t="n">
        <f aca="false">IF(COUNTIFS('FC Calculation'!$A$5:$A$214,A565,'FC Calculation'!$D$5:$D$214,D565,'FC Calculation'!$T$5:$T$214,"&gt;0")=0,"",SUMIFS('FC Calculation'!$T$5:$T$214,'FC Calculation'!$A$5:$A$214,A565,'FC Calculation'!$D$5:$D$214,D565))</f>
        <v>1</v>
      </c>
      <c r="H565" s="7" t="str">
        <f aca="false">IF(G565="N/A","N/A",IF(G565="","No data",INDEX(Config!$B$5:$B$9,G565)))</f>
        <v>Low</v>
      </c>
      <c r="I565" s="31" t="n">
        <f aca="false">IF(NOT(ISNUMBER($G565)),"",SUMPRODUCT(('Control Mapping'!$C$5:$C$83=D565)*('Control Mapping'!$AI$5:$AI$83&gt;0)))</f>
        <v>12</v>
      </c>
      <c r="J565" s="31" t="n">
        <f aca="false">IF(NOT(ISNUMBER($G565)),"",SUMPRODUCT(('Control Mapping'!$C$5:$C$83=D565)*('Control Mapping'!$F$5:$F$83="Y")*('Control Mapping'!$AI$5:$AI$83&gt;0)))</f>
        <v>9</v>
      </c>
      <c r="K565" s="31" t="n">
        <f aca="false">IF(NOT(ISNUMBER($G565)),"",SUMPRODUCT(('Control Mapping'!$C$5:$C$83=D565)*('Control Mapping'!$F$5:$F$83="Y")*('Control Mapping'!$AI$5:$AI$83=4)))</f>
        <v>1</v>
      </c>
      <c r="L565" s="29" t="n">
        <f aca="false">IF(NOT(ISNUMBER($G565)),"",IFERROR(SUMPRODUCT(('Control Mapping'!$C$5:$C$83=D565)*'Control Mapping'!$E$5:$E$83*'Control Mapping'!$AI$5:$AI$83)/SUMPRODUCT(('Control Mapping'!$C$5:$C$83=D565)*'Control Mapping'!$E$5:$E$83*('Control Mapping'!$AI$5:$AI$83&gt;0)),""))</f>
        <v>1.82608695652174</v>
      </c>
      <c r="M565" s="34" t="n">
        <f aca="false">IF(NOT(ISNUMBER($G565)),"",IF(J565=0,4,MAX(MATCH(L565,'Residual Config'!$E$11:$E$14,1),IF(K565&gt;0,'Residual Config'!$C$7,1))))</f>
        <v>3</v>
      </c>
      <c r="N565" s="7" t="str">
        <f aca="false">IF(NOT(ISNUMBER($G565)),"",IF(J565=0,"Ineffective (no key control)",INDEX('Residual Config'!$B$11:$B$14,M565)))</f>
        <v>Partially effective</v>
      </c>
      <c r="O565" s="36" t="n">
        <f aca="false">IF(NOT(ISNUMBER($G565)),"",IF(J565=0,0,SUMPRODUCT(('Control Mapping'!$C$5:$C$83=D565)*'Control Mapping'!$E$5:$E$83*(('Control Mapping'!$AI$5:$AI$83=1)*'Residual Config'!$D$11+('Control Mapping'!$AI$5:$AI$83=2)*'Residual Config'!$D$12+('Control Mapping'!$AI$5:$AI$83=3)*'Residual Config'!$D$13+('Control Mapping'!$AI$5:$AI$83=4)*'Residual Config'!$D$14))/SUMPRODUCT(('Control Mapping'!$C$5:$C$83=D565)*'Control Mapping'!$E$5:$E$83*('Control Mapping'!$AI$5:$AI$83&gt;0))))</f>
        <v>0.434782608695652</v>
      </c>
      <c r="P565" s="31" t="n">
        <f aca="false">IF(NOT(ISNUMBER($G565)),"",INDEX('Residual Config'!$B$19:$E$23,6-G565,M565))</f>
        <v>1</v>
      </c>
      <c r="Q565" s="29" t="n">
        <f aca="false">IF(NOT(ISNUMBER($G565)),"",MAX(1,F565*(1-O565)))</f>
        <v>1</v>
      </c>
      <c r="R565" s="31" t="n">
        <f aca="false">IF(NOT(ISNUMBER($G565)),"",MAX(MATCH(Q565,Config!$D$5:$D$9,1),G565-'Residual Config'!$C$6))</f>
        <v>1</v>
      </c>
      <c r="S565" s="34" t="n">
        <f aca="false">IF(NOT(ISNUMBER($G565)),"",IF('Residual Config'!$C$5="Numeric",R565,P565))</f>
        <v>1</v>
      </c>
      <c r="T565" s="7" t="str">
        <f aca="false">IF(G565="N/A","N/A",IF(S565="","No data",INDEX(Config!$B$5:$B$9,S565)))</f>
        <v>Low</v>
      </c>
      <c r="U565" s="32" t="n">
        <v>0</v>
      </c>
      <c r="V565" s="8"/>
      <c r="W565" s="33"/>
      <c r="X565" s="34" t="n">
        <f aca="false">IF(S565="","",IF(AND(W565="Y",U565&lt;&gt;0),MAX(1,MIN(5,S565+MAX(-Config!$C$27,MIN(Config!$C$27,U565)))),S565))</f>
        <v>1</v>
      </c>
      <c r="Y565" s="35" t="str">
        <f aca="false">IF(G565="N/A","N/A",IF(X565="","No data",INDEX(Config!$B$5:$B$9,X565)))</f>
        <v>Low</v>
      </c>
      <c r="Z565" s="7" t="str">
        <f aca="false">IF(U565=0,"None",IF(W565="Y","Applied","Pending HO approval"))</f>
        <v>None</v>
      </c>
      <c r="AA565" s="12" t="str">
        <f aca="false">INDEX('Risk Taxonomy'!$G$5:$G$24,MATCH(D565,'Risk Taxonomy'!$A$5:$A$24,0))</f>
        <v>Very low</v>
      </c>
      <c r="AB565" s="7" t="str">
        <f aca="false">INDEX('Risk Taxonomy'!$H$5:$H$24,MATCH(D565,'Risk Taxonomy'!$A$5:$A$24,0))</f>
        <v>Medium-Low</v>
      </c>
      <c r="AC565" s="35" t="str">
        <f aca="false">IF(NOT(ISNUMBER(X565)),"",IF(X565&lt;=MATCH(AB565,Config!$B$5:$B$9,0),"Within",IF(OR(X565-MATCH(AB565,Config!$B$5:$B$9,0)&gt;=2,AND('Residual Config'!$C$8="Y",ISNUMBER(SEARCH("Zero",AA565)))),"Red","Amber")))</f>
        <v>Within</v>
      </c>
      <c r="AD565" s="12" t="str">
        <f aca="false">IF(AC565="Red","Group CCO / CRO and Country CEO within 2 business days; action plan in 15 days; report to Board Risk &amp; Compliance Committee",IF(AC565="Amber","Country CO, risk owner and HO Administrator within 5 business days; action plan in 30 days",""))</f>
        <v/>
      </c>
    </row>
    <row r="566" customFormat="false" ht="15" hidden="false" customHeight="false" outlineLevel="0" collapsed="false">
      <c r="A566" s="26" t="str">
        <f aca="false">Entities!$A$33</f>
        <v>AU</v>
      </c>
      <c r="B566" s="12" t="str">
        <f aca="false">INDEX(Entities!$B$5:$B$34,MATCH(A566,Entities!$A$5:$A$34,0))</f>
        <v>Arab Bank Australia</v>
      </c>
      <c r="C566" s="12" t="str">
        <f aca="false">INDEX(Entities!$D$5:$D$34,MATCH(A566,Entities!$A$5:$A$34,0))</f>
        <v>Asia-Pacific</v>
      </c>
      <c r="D566" s="12" t="s">
        <v>267</v>
      </c>
      <c r="E566" s="12" t="str">
        <f aca="false">INDEX('Risk Taxonomy'!$B$5:$B$24,MATCH(D566,'Risk Taxonomy'!$A$5:$A$24,0))</f>
        <v>Terrorist financing</v>
      </c>
      <c r="F566" s="29" t="n">
        <f aca="false">IF(NOT(ISNUMBER(G566)),"",IFERROR(IF(MATCH(SUMIFS('FC Calculation'!$N$5:$N$214,'FC Calculation'!$A$5:$A$214,A566,'FC Calculation'!$D$5:$D$214,D566),Config!$D$5:$D$9,1)=G566,SUMIFS('FC Calculation'!$N$5:$N$214,'FC Calculation'!$A$5:$A$214,A566,'FC Calculation'!$D$5:$D$214,D566),G566),G566))</f>
        <v>1.64047619047619</v>
      </c>
      <c r="G566" s="34" t="n">
        <f aca="false">IF(COUNTIFS('FC Calculation'!$A$5:$A$214,A566,'FC Calculation'!$D$5:$D$214,D566,'FC Calculation'!$T$5:$T$214,"&gt;0")=0,"",SUMIFS('FC Calculation'!$T$5:$T$214,'FC Calculation'!$A$5:$A$214,A566,'FC Calculation'!$D$5:$D$214,D566))</f>
        <v>1</v>
      </c>
      <c r="H566" s="7" t="str">
        <f aca="false">IF(G566="N/A","N/A",IF(G566="","No data",INDEX(Config!$B$5:$B$9,G566)))</f>
        <v>Low</v>
      </c>
      <c r="I566" s="31" t="n">
        <f aca="false">IF(NOT(ISNUMBER($G566)),"",SUMPRODUCT(('Control Mapping'!$C$5:$C$83=D566)*('Control Mapping'!$AI$5:$AI$83&gt;0)))</f>
        <v>12</v>
      </c>
      <c r="J566" s="31" t="n">
        <f aca="false">IF(NOT(ISNUMBER($G566)),"",SUMPRODUCT(('Control Mapping'!$C$5:$C$83=D566)*('Control Mapping'!$F$5:$F$83="Y")*('Control Mapping'!$AI$5:$AI$83&gt;0)))</f>
        <v>9</v>
      </c>
      <c r="K566" s="31" t="n">
        <f aca="false">IF(NOT(ISNUMBER($G566)),"",SUMPRODUCT(('Control Mapping'!$C$5:$C$83=D566)*('Control Mapping'!$F$5:$F$83="Y")*('Control Mapping'!$AI$5:$AI$83=4)))</f>
        <v>1</v>
      </c>
      <c r="L566" s="29" t="n">
        <f aca="false">IF(NOT(ISNUMBER($G566)),"",IFERROR(SUMPRODUCT(('Control Mapping'!$C$5:$C$83=D566)*'Control Mapping'!$E$5:$E$83*'Control Mapping'!$AI$5:$AI$83)/SUMPRODUCT(('Control Mapping'!$C$5:$C$83=D566)*'Control Mapping'!$E$5:$E$83*('Control Mapping'!$AI$5:$AI$83&gt;0)),""))</f>
        <v>1.68421052631579</v>
      </c>
      <c r="M566" s="34" t="n">
        <f aca="false">IF(NOT(ISNUMBER($G566)),"",IF(J566=0,4,MAX(MATCH(L566,'Residual Config'!$E$11:$E$14,1),IF(K566&gt;0,'Residual Config'!$C$7,1))))</f>
        <v>3</v>
      </c>
      <c r="N566" s="7" t="str">
        <f aca="false">IF(NOT(ISNUMBER($G566)),"",IF(J566=0,"Ineffective (no key control)",INDEX('Residual Config'!$B$11:$B$14,M566)))</f>
        <v>Partially effective</v>
      </c>
      <c r="O566" s="36" t="n">
        <f aca="false">IF(NOT(ISNUMBER($G566)),"",IF(J566=0,0,SUMPRODUCT(('Control Mapping'!$C$5:$C$83=D566)*'Control Mapping'!$E$5:$E$83*(('Control Mapping'!$AI$5:$AI$83=1)*'Residual Config'!$D$11+('Control Mapping'!$AI$5:$AI$83=2)*'Residual Config'!$D$12+('Control Mapping'!$AI$5:$AI$83=3)*'Residual Config'!$D$13+('Control Mapping'!$AI$5:$AI$83=4)*'Residual Config'!$D$14))/SUMPRODUCT(('Control Mapping'!$C$5:$C$83=D566)*'Control Mapping'!$E$5:$E$83*('Control Mapping'!$AI$5:$AI$83&gt;0))))</f>
        <v>0.463157894736842</v>
      </c>
      <c r="P566" s="31" t="n">
        <f aca="false">IF(NOT(ISNUMBER($G566)),"",INDEX('Residual Config'!$B$19:$E$23,6-G566,M566))</f>
        <v>1</v>
      </c>
      <c r="Q566" s="29" t="n">
        <f aca="false">IF(NOT(ISNUMBER($G566)),"",MAX(1,F566*(1-O566)))</f>
        <v>1</v>
      </c>
      <c r="R566" s="31" t="n">
        <f aca="false">IF(NOT(ISNUMBER($G566)),"",MAX(MATCH(Q566,Config!$D$5:$D$9,1),G566-'Residual Config'!$C$6))</f>
        <v>1</v>
      </c>
      <c r="S566" s="34" t="n">
        <f aca="false">IF(NOT(ISNUMBER($G566)),"",IF('Residual Config'!$C$5="Numeric",R566,P566))</f>
        <v>1</v>
      </c>
      <c r="T566" s="7" t="str">
        <f aca="false">IF(G566="N/A","N/A",IF(S566="","No data",INDEX(Config!$B$5:$B$9,S566)))</f>
        <v>Low</v>
      </c>
      <c r="U566" s="32" t="n">
        <v>0</v>
      </c>
      <c r="V566" s="8"/>
      <c r="W566" s="33"/>
      <c r="X566" s="34" t="n">
        <f aca="false">IF(S566="","",IF(AND(W566="Y",U566&lt;&gt;0),MAX(1,MIN(5,S566+MAX(-Config!$C$27,MIN(Config!$C$27,U566)))),S566))</f>
        <v>1</v>
      </c>
      <c r="Y566" s="35" t="str">
        <f aca="false">IF(G566="N/A","N/A",IF(X566="","No data",INDEX(Config!$B$5:$B$9,X566)))</f>
        <v>Low</v>
      </c>
      <c r="Z566" s="7" t="str">
        <f aca="false">IF(U566=0,"None",IF(W566="Y","Applied","Pending HO approval"))</f>
        <v>None</v>
      </c>
      <c r="AA566" s="12" t="str">
        <f aca="false">INDEX('Risk Taxonomy'!$G$5:$G$24,MATCH(D566,'Risk Taxonomy'!$A$5:$A$24,0))</f>
        <v>Zero tolerance</v>
      </c>
      <c r="AB566" s="7" t="str">
        <f aca="false">INDEX('Risk Taxonomy'!$H$5:$H$24,MATCH(D566,'Risk Taxonomy'!$A$5:$A$24,0))</f>
        <v>Low</v>
      </c>
      <c r="AC566" s="35" t="str">
        <f aca="false">IF(NOT(ISNUMBER(X566)),"",IF(X566&lt;=MATCH(AB566,Config!$B$5:$B$9,0),"Within",IF(OR(X566-MATCH(AB566,Config!$B$5:$B$9,0)&gt;=2,AND('Residual Config'!$C$8="Y",ISNUMBER(SEARCH("Zero",AA566)))),"Red","Amber")))</f>
        <v>Within</v>
      </c>
      <c r="AD566" s="12" t="str">
        <f aca="false">IF(AC566="Red","Group CCO / CRO and Country CEO within 2 business days; action plan in 15 days; report to Board Risk &amp; Compliance Committee",IF(AC566="Amber","Country CO, risk owner and HO Administrator within 5 business days; action plan in 30 days",""))</f>
        <v/>
      </c>
    </row>
    <row r="567" customFormat="false" ht="15" hidden="false" customHeight="false" outlineLevel="0" collapsed="false">
      <c r="A567" s="26" t="str">
        <f aca="false">Entities!$A$33</f>
        <v>AU</v>
      </c>
      <c r="B567" s="12" t="str">
        <f aca="false">INDEX(Entities!$B$5:$B$34,MATCH(A567,Entities!$A$5:$A$34,0))</f>
        <v>Arab Bank Australia</v>
      </c>
      <c r="C567" s="12" t="str">
        <f aca="false">INDEX(Entities!$D$5:$D$34,MATCH(A567,Entities!$A$5:$A$34,0))</f>
        <v>Asia-Pacific</v>
      </c>
      <c r="D567" s="12" t="s">
        <v>270</v>
      </c>
      <c r="E567" s="12" t="str">
        <f aca="false">INDEX('Risk Taxonomy'!$B$5:$B$24,MATCH(D567,'Risk Taxonomy'!$A$5:$A$24,0))</f>
        <v>Proliferation financing</v>
      </c>
      <c r="F567" s="29" t="n">
        <f aca="false">IF(NOT(ISNUMBER(G567)),"",IFERROR(IF(MATCH(SUMIFS('FC Calculation'!$N$5:$N$214,'FC Calculation'!$A$5:$A$214,A567,'FC Calculation'!$D$5:$D$214,D567),Config!$D$5:$D$9,1)=G567,SUMIFS('FC Calculation'!$N$5:$N$214,'FC Calculation'!$A$5:$A$214,A567,'FC Calculation'!$D$5:$D$214,D567),G567),G567))</f>
        <v>1.5</v>
      </c>
      <c r="G567" s="34" t="n">
        <f aca="false">IF(COUNTIFS('FC Calculation'!$A$5:$A$214,A567,'FC Calculation'!$D$5:$D$214,D567,'FC Calculation'!$T$5:$T$214,"&gt;0")=0,"",SUMIFS('FC Calculation'!$T$5:$T$214,'FC Calculation'!$A$5:$A$214,A567,'FC Calculation'!$D$5:$D$214,D567))</f>
        <v>1</v>
      </c>
      <c r="H567" s="7" t="str">
        <f aca="false">IF(G567="N/A","N/A",IF(G567="","No data",INDEX(Config!$B$5:$B$9,G567)))</f>
        <v>Low</v>
      </c>
      <c r="I567" s="31" t="n">
        <f aca="false">IF(NOT(ISNUMBER($G567)),"",SUMPRODUCT(('Control Mapping'!$C$5:$C$83=D567)*('Control Mapping'!$AI$5:$AI$83&gt;0)))</f>
        <v>5</v>
      </c>
      <c r="J567" s="31" t="n">
        <f aca="false">IF(NOT(ISNUMBER($G567)),"",SUMPRODUCT(('Control Mapping'!$C$5:$C$83=D567)*('Control Mapping'!$F$5:$F$83="Y")*('Control Mapping'!$AI$5:$AI$83&gt;0)))</f>
        <v>5</v>
      </c>
      <c r="K567" s="31" t="n">
        <f aca="false">IF(NOT(ISNUMBER($G567)),"",SUMPRODUCT(('Control Mapping'!$C$5:$C$83=D567)*('Control Mapping'!$F$5:$F$83="Y")*('Control Mapping'!$AI$5:$AI$83=4)))</f>
        <v>0</v>
      </c>
      <c r="L567" s="29" t="n">
        <f aca="false">IF(NOT(ISNUMBER($G567)),"",IFERROR(SUMPRODUCT(('Control Mapping'!$C$5:$C$83=D567)*'Control Mapping'!$E$5:$E$83*'Control Mapping'!$AI$5:$AI$83)/SUMPRODUCT(('Control Mapping'!$C$5:$C$83=D567)*'Control Mapping'!$E$5:$E$83*('Control Mapping'!$AI$5:$AI$83&gt;0)),""))</f>
        <v>1.6</v>
      </c>
      <c r="M567" s="34" t="n">
        <f aca="false">IF(NOT(ISNUMBER($G567)),"",IF(J567=0,4,MAX(MATCH(L567,'Residual Config'!$E$11:$E$14,1),IF(K567&gt;0,'Residual Config'!$C$7,1))))</f>
        <v>2</v>
      </c>
      <c r="N567" s="7" t="str">
        <f aca="false">IF(NOT(ISNUMBER($G567)),"",IF(J567=0,"Ineffective (no key control)",INDEX('Residual Config'!$B$11:$B$14,M567)))</f>
        <v>Largely effective</v>
      </c>
      <c r="O567" s="36" t="n">
        <f aca="false">IF(NOT(ISNUMBER($G567)),"",IF(J567=0,0,SUMPRODUCT(('Control Mapping'!$C$5:$C$83=D567)*'Control Mapping'!$E$5:$E$83*(('Control Mapping'!$AI$5:$AI$83=1)*'Residual Config'!$D$11+('Control Mapping'!$AI$5:$AI$83=2)*'Residual Config'!$D$12+('Control Mapping'!$AI$5:$AI$83=3)*'Residual Config'!$D$13+('Control Mapping'!$AI$5:$AI$83=4)*'Residual Config'!$D$14))/SUMPRODUCT(('Control Mapping'!$C$5:$C$83=D567)*'Control Mapping'!$E$5:$E$83*('Control Mapping'!$AI$5:$AI$83&gt;0))))</f>
        <v>0.48</v>
      </c>
      <c r="P567" s="31" t="n">
        <f aca="false">IF(NOT(ISNUMBER($G567)),"",INDEX('Residual Config'!$B$19:$E$23,6-G567,M567))</f>
        <v>1</v>
      </c>
      <c r="Q567" s="29" t="n">
        <f aca="false">IF(NOT(ISNUMBER($G567)),"",MAX(1,F567*(1-O567)))</f>
        <v>1</v>
      </c>
      <c r="R567" s="31" t="n">
        <f aca="false">IF(NOT(ISNUMBER($G567)),"",MAX(MATCH(Q567,Config!$D$5:$D$9,1),G567-'Residual Config'!$C$6))</f>
        <v>1</v>
      </c>
      <c r="S567" s="34" t="n">
        <f aca="false">IF(NOT(ISNUMBER($G567)),"",IF('Residual Config'!$C$5="Numeric",R567,P567))</f>
        <v>1</v>
      </c>
      <c r="T567" s="7" t="str">
        <f aca="false">IF(G567="N/A","N/A",IF(S567="","No data",INDEX(Config!$B$5:$B$9,S567)))</f>
        <v>Low</v>
      </c>
      <c r="U567" s="32" t="n">
        <v>0</v>
      </c>
      <c r="V567" s="8"/>
      <c r="W567" s="33"/>
      <c r="X567" s="34" t="n">
        <f aca="false">IF(S567="","",IF(AND(W567="Y",U567&lt;&gt;0),MAX(1,MIN(5,S567+MAX(-Config!$C$27,MIN(Config!$C$27,U567)))),S567))</f>
        <v>1</v>
      </c>
      <c r="Y567" s="35" t="str">
        <f aca="false">IF(G567="N/A","N/A",IF(X567="","No data",INDEX(Config!$B$5:$B$9,X567)))</f>
        <v>Low</v>
      </c>
      <c r="Z567" s="7" t="str">
        <f aca="false">IF(U567=0,"None",IF(W567="Y","Applied","Pending HO approval"))</f>
        <v>None</v>
      </c>
      <c r="AA567" s="12" t="str">
        <f aca="false">INDEX('Risk Taxonomy'!$G$5:$G$24,MATCH(D567,'Risk Taxonomy'!$A$5:$A$24,0))</f>
        <v>Zero tolerance</v>
      </c>
      <c r="AB567" s="7" t="str">
        <f aca="false">INDEX('Risk Taxonomy'!$H$5:$H$24,MATCH(D567,'Risk Taxonomy'!$A$5:$A$24,0))</f>
        <v>Low</v>
      </c>
      <c r="AC567" s="35" t="str">
        <f aca="false">IF(NOT(ISNUMBER(X567)),"",IF(X567&lt;=MATCH(AB567,Config!$B$5:$B$9,0),"Within",IF(OR(X567-MATCH(AB567,Config!$B$5:$B$9,0)&gt;=2,AND('Residual Config'!$C$8="Y",ISNUMBER(SEARCH("Zero",AA567)))),"Red","Amber")))</f>
        <v>Within</v>
      </c>
      <c r="AD567" s="12" t="str">
        <f aca="false">IF(AC567="Red","Group CCO / CRO and Country CEO within 2 business days; action plan in 15 days; report to Board Risk &amp; Compliance Committee",IF(AC567="Amber","Country CO, risk owner and HO Administrator within 5 business days; action plan in 30 days",""))</f>
        <v/>
      </c>
    </row>
    <row r="568" customFormat="false" ht="15" hidden="false" customHeight="false" outlineLevel="0" collapsed="false">
      <c r="A568" s="26" t="str">
        <f aca="false">Entities!$A$33</f>
        <v>AU</v>
      </c>
      <c r="B568" s="12" t="str">
        <f aca="false">INDEX(Entities!$B$5:$B$34,MATCH(A568,Entities!$A$5:$A$34,0))</f>
        <v>Arab Bank Australia</v>
      </c>
      <c r="C568" s="12" t="str">
        <f aca="false">INDEX(Entities!$D$5:$D$34,MATCH(A568,Entities!$A$5:$A$34,0))</f>
        <v>Asia-Pacific</v>
      </c>
      <c r="D568" s="12" t="s">
        <v>272</v>
      </c>
      <c r="E568" s="12" t="str">
        <f aca="false">INDEX('Risk Taxonomy'!$B$5:$B$24,MATCH(D568,'Risk Taxonomy'!$A$5:$A$24,0))</f>
        <v>Sanctions</v>
      </c>
      <c r="F568" s="29" t="n">
        <f aca="false">IF(NOT(ISNUMBER(G568)),"",IFERROR(IF(MATCH(SUMIFS('FC Calculation'!$N$5:$N$214,'FC Calculation'!$A$5:$A$214,A568,'FC Calculation'!$D$5:$D$214,D568),Config!$D$5:$D$9,1)=G568,SUMIFS('FC Calculation'!$N$5:$N$214,'FC Calculation'!$A$5:$A$214,A568,'FC Calculation'!$D$5:$D$214,D568),G568),G568))</f>
        <v>1.46785714285714</v>
      </c>
      <c r="G568" s="34" t="n">
        <f aca="false">IF(COUNTIFS('FC Calculation'!$A$5:$A$214,A568,'FC Calculation'!$D$5:$D$214,D568,'FC Calculation'!$T$5:$T$214,"&gt;0")=0,"",SUMIFS('FC Calculation'!$T$5:$T$214,'FC Calculation'!$A$5:$A$214,A568,'FC Calculation'!$D$5:$D$214,D568))</f>
        <v>1</v>
      </c>
      <c r="H568" s="7" t="str">
        <f aca="false">IF(G568="N/A","N/A",IF(G568="","No data",INDEX(Config!$B$5:$B$9,G568)))</f>
        <v>Low</v>
      </c>
      <c r="I568" s="31" t="n">
        <f aca="false">IF(NOT(ISNUMBER($G568)),"",SUMPRODUCT(('Control Mapping'!$C$5:$C$83=D568)*('Control Mapping'!$AI$5:$AI$83&gt;0)))</f>
        <v>8</v>
      </c>
      <c r="J568" s="31" t="n">
        <f aca="false">IF(NOT(ISNUMBER($G568)),"",SUMPRODUCT(('Control Mapping'!$C$5:$C$83=D568)*('Control Mapping'!$F$5:$F$83="Y")*('Control Mapping'!$AI$5:$AI$83&gt;0)))</f>
        <v>5</v>
      </c>
      <c r="K568" s="31" t="n">
        <f aca="false">IF(NOT(ISNUMBER($G568)),"",SUMPRODUCT(('Control Mapping'!$C$5:$C$83=D568)*('Control Mapping'!$F$5:$F$83="Y")*('Control Mapping'!$AI$5:$AI$83=4)))</f>
        <v>1</v>
      </c>
      <c r="L568" s="29" t="n">
        <f aca="false">IF(NOT(ISNUMBER($G568)),"",IFERROR(SUMPRODUCT(('Control Mapping'!$C$5:$C$83=D568)*'Control Mapping'!$E$5:$E$83*'Control Mapping'!$AI$5:$AI$83)/SUMPRODUCT(('Control Mapping'!$C$5:$C$83=D568)*'Control Mapping'!$E$5:$E$83*('Control Mapping'!$AI$5:$AI$83&gt;0)),""))</f>
        <v>1.81818181818182</v>
      </c>
      <c r="M568" s="34" t="n">
        <f aca="false">IF(NOT(ISNUMBER($G568)),"",IF(J568=0,4,MAX(MATCH(L568,'Residual Config'!$E$11:$E$14,1),IF(K568&gt;0,'Residual Config'!$C$7,1))))</f>
        <v>3</v>
      </c>
      <c r="N568" s="7" t="str">
        <f aca="false">IF(NOT(ISNUMBER($G568)),"",IF(J568=0,"Ineffective (no key control)",INDEX('Residual Config'!$B$11:$B$14,M568)))</f>
        <v>Partially effective</v>
      </c>
      <c r="O568" s="36" t="n">
        <f aca="false">IF(NOT(ISNUMBER($G568)),"",IF(J568=0,0,SUMPRODUCT(('Control Mapping'!$C$5:$C$83=D568)*'Control Mapping'!$E$5:$E$83*(('Control Mapping'!$AI$5:$AI$83=1)*'Residual Config'!$D$11+('Control Mapping'!$AI$5:$AI$83=2)*'Residual Config'!$D$12+('Control Mapping'!$AI$5:$AI$83=3)*'Residual Config'!$D$13+('Control Mapping'!$AI$5:$AI$83=4)*'Residual Config'!$D$14))/SUMPRODUCT(('Control Mapping'!$C$5:$C$83=D568)*'Control Mapping'!$E$5:$E$83*('Control Mapping'!$AI$5:$AI$83&gt;0))))</f>
        <v>0.436363636363636</v>
      </c>
      <c r="P568" s="31" t="n">
        <f aca="false">IF(NOT(ISNUMBER($G568)),"",INDEX('Residual Config'!$B$19:$E$23,6-G568,M568))</f>
        <v>1</v>
      </c>
      <c r="Q568" s="29" t="n">
        <f aca="false">IF(NOT(ISNUMBER($G568)),"",MAX(1,F568*(1-O568)))</f>
        <v>1</v>
      </c>
      <c r="R568" s="31" t="n">
        <f aca="false">IF(NOT(ISNUMBER($G568)),"",MAX(MATCH(Q568,Config!$D$5:$D$9,1),G568-'Residual Config'!$C$6))</f>
        <v>1</v>
      </c>
      <c r="S568" s="34" t="n">
        <f aca="false">IF(NOT(ISNUMBER($G568)),"",IF('Residual Config'!$C$5="Numeric",R568,P568))</f>
        <v>1</v>
      </c>
      <c r="T568" s="7" t="str">
        <f aca="false">IF(G568="N/A","N/A",IF(S568="","No data",INDEX(Config!$B$5:$B$9,S568)))</f>
        <v>Low</v>
      </c>
      <c r="U568" s="32" t="n">
        <v>0</v>
      </c>
      <c r="V568" s="8"/>
      <c r="W568" s="33"/>
      <c r="X568" s="34" t="n">
        <f aca="false">IF(S568="","",IF(AND(W568="Y",U568&lt;&gt;0),MAX(1,MIN(5,S568+MAX(-Config!$C$27,MIN(Config!$C$27,U568)))),S568))</f>
        <v>1</v>
      </c>
      <c r="Y568" s="35" t="str">
        <f aca="false">IF(G568="N/A","N/A",IF(X568="","No data",INDEX(Config!$B$5:$B$9,X568)))</f>
        <v>Low</v>
      </c>
      <c r="Z568" s="7" t="str">
        <f aca="false">IF(U568=0,"None",IF(W568="Y","Applied","Pending HO approval"))</f>
        <v>None</v>
      </c>
      <c r="AA568" s="12" t="str">
        <f aca="false">INDEX('Risk Taxonomy'!$G$5:$G$24,MATCH(D568,'Risk Taxonomy'!$A$5:$A$24,0))</f>
        <v>Zero tolerance</v>
      </c>
      <c r="AB568" s="7" t="str">
        <f aca="false">INDEX('Risk Taxonomy'!$H$5:$H$24,MATCH(D568,'Risk Taxonomy'!$A$5:$A$24,0))</f>
        <v>Low</v>
      </c>
      <c r="AC568" s="35" t="str">
        <f aca="false">IF(NOT(ISNUMBER(X568)),"",IF(X568&lt;=MATCH(AB568,Config!$B$5:$B$9,0),"Within",IF(OR(X568-MATCH(AB568,Config!$B$5:$B$9,0)&gt;=2,AND('Residual Config'!$C$8="Y",ISNUMBER(SEARCH("Zero",AA568)))),"Red","Amber")))</f>
        <v>Within</v>
      </c>
      <c r="AD568" s="12" t="str">
        <f aca="false">IF(AC568="Red","Group CCO / CRO and Country CEO within 2 business days; action plan in 15 days; report to Board Risk &amp; Compliance Committee",IF(AC568="Amber","Country CO, risk owner and HO Administrator within 5 business days; action plan in 30 days",""))</f>
        <v/>
      </c>
    </row>
    <row r="569" customFormat="false" ht="15" hidden="false" customHeight="false" outlineLevel="0" collapsed="false">
      <c r="A569" s="26" t="str">
        <f aca="false">Entities!$A$33</f>
        <v>AU</v>
      </c>
      <c r="B569" s="12" t="str">
        <f aca="false">INDEX(Entities!$B$5:$B$34,MATCH(A569,Entities!$A$5:$A$34,0))</f>
        <v>Arab Bank Australia</v>
      </c>
      <c r="C569" s="12" t="str">
        <f aca="false">INDEX(Entities!$D$5:$D$34,MATCH(A569,Entities!$A$5:$A$34,0))</f>
        <v>Asia-Pacific</v>
      </c>
      <c r="D569" s="12" t="s">
        <v>275</v>
      </c>
      <c r="E569" s="12" t="str">
        <f aca="false">INDEX('Risk Taxonomy'!$B$5:$B$24,MATCH(D569,'Risk Taxonomy'!$A$5:$A$24,0))</f>
        <v>Bribery and corruption</v>
      </c>
      <c r="F569" s="29" t="n">
        <f aca="false">IF(NOT(ISNUMBER(G569)),"",IFERROR(IF(MATCH(SUMIFS('FC Calculation'!$N$5:$N$214,'FC Calculation'!$A$5:$A$214,A569,'FC Calculation'!$D$5:$D$214,D569),Config!$D$5:$D$9,1)=G569,SUMIFS('FC Calculation'!$N$5:$N$214,'FC Calculation'!$A$5:$A$214,A569,'FC Calculation'!$D$5:$D$214,D569),G569),G569))</f>
        <v>1.46666666666667</v>
      </c>
      <c r="G569" s="34" t="n">
        <f aca="false">IF(COUNTIFS('FC Calculation'!$A$5:$A$214,A569,'FC Calculation'!$D$5:$D$214,D569,'FC Calculation'!$T$5:$T$214,"&gt;0")=0,"",SUMIFS('FC Calculation'!$T$5:$T$214,'FC Calculation'!$A$5:$A$214,A569,'FC Calculation'!$D$5:$D$214,D569))</f>
        <v>1</v>
      </c>
      <c r="H569" s="7" t="str">
        <f aca="false">IF(G569="N/A","N/A",IF(G569="","No data",INDEX(Config!$B$5:$B$9,G569)))</f>
        <v>Low</v>
      </c>
      <c r="I569" s="31" t="n">
        <f aca="false">IF(NOT(ISNUMBER($G569)),"",SUMPRODUCT(('Control Mapping'!$C$5:$C$83=D569)*('Control Mapping'!$AI$5:$AI$83&gt;0)))</f>
        <v>5</v>
      </c>
      <c r="J569" s="31" t="n">
        <f aca="false">IF(NOT(ISNUMBER($G569)),"",SUMPRODUCT(('Control Mapping'!$C$5:$C$83=D569)*('Control Mapping'!$F$5:$F$83="Y")*('Control Mapping'!$AI$5:$AI$83&gt;0)))</f>
        <v>2</v>
      </c>
      <c r="K569" s="31" t="n">
        <f aca="false">IF(NOT(ISNUMBER($G569)),"",SUMPRODUCT(('Control Mapping'!$C$5:$C$83=D569)*('Control Mapping'!$F$5:$F$83="Y")*('Control Mapping'!$AI$5:$AI$83=4)))</f>
        <v>0</v>
      </c>
      <c r="L569" s="29" t="n">
        <f aca="false">IF(NOT(ISNUMBER($G569)),"",IFERROR(SUMPRODUCT(('Control Mapping'!$C$5:$C$83=D569)*'Control Mapping'!$E$5:$E$83*'Control Mapping'!$AI$5:$AI$83)/SUMPRODUCT(('Control Mapping'!$C$5:$C$83=D569)*'Control Mapping'!$E$5:$E$83*('Control Mapping'!$AI$5:$AI$83&gt;0)),""))</f>
        <v>1.66666666666667</v>
      </c>
      <c r="M569" s="34" t="n">
        <f aca="false">IF(NOT(ISNUMBER($G569)),"",IF(J569=0,4,MAX(MATCH(L569,'Residual Config'!$E$11:$E$14,1),IF(K569&gt;0,'Residual Config'!$C$7,1))))</f>
        <v>2</v>
      </c>
      <c r="N569" s="7" t="str">
        <f aca="false">IF(NOT(ISNUMBER($G569)),"",IF(J569=0,"Ineffective (no key control)",INDEX('Residual Config'!$B$11:$B$14,M569)))</f>
        <v>Largely effective</v>
      </c>
      <c r="O569" s="36" t="n">
        <f aca="false">IF(NOT(ISNUMBER($G569)),"",IF(J569=0,0,SUMPRODUCT(('Control Mapping'!$C$5:$C$83=D569)*'Control Mapping'!$E$5:$E$83*(('Control Mapping'!$AI$5:$AI$83=1)*'Residual Config'!$D$11+('Control Mapping'!$AI$5:$AI$83=2)*'Residual Config'!$D$12+('Control Mapping'!$AI$5:$AI$83=3)*'Residual Config'!$D$13+('Control Mapping'!$AI$5:$AI$83=4)*'Residual Config'!$D$14))/SUMPRODUCT(('Control Mapping'!$C$5:$C$83=D569)*'Control Mapping'!$E$5:$E$83*('Control Mapping'!$AI$5:$AI$83&gt;0))))</f>
        <v>0.466666666666667</v>
      </c>
      <c r="P569" s="31" t="n">
        <f aca="false">IF(NOT(ISNUMBER($G569)),"",INDEX('Residual Config'!$B$19:$E$23,6-G569,M569))</f>
        <v>1</v>
      </c>
      <c r="Q569" s="29" t="n">
        <f aca="false">IF(NOT(ISNUMBER($G569)),"",MAX(1,F569*(1-O569)))</f>
        <v>1</v>
      </c>
      <c r="R569" s="31" t="n">
        <f aca="false">IF(NOT(ISNUMBER($G569)),"",MAX(MATCH(Q569,Config!$D$5:$D$9,1),G569-'Residual Config'!$C$6))</f>
        <v>1</v>
      </c>
      <c r="S569" s="34" t="n">
        <f aca="false">IF(NOT(ISNUMBER($G569)),"",IF('Residual Config'!$C$5="Numeric",R569,P569))</f>
        <v>1</v>
      </c>
      <c r="T569" s="7" t="str">
        <f aca="false">IF(G569="N/A","N/A",IF(S569="","No data",INDEX(Config!$B$5:$B$9,S569)))</f>
        <v>Low</v>
      </c>
      <c r="U569" s="32" t="n">
        <v>0</v>
      </c>
      <c r="V569" s="8"/>
      <c r="W569" s="33"/>
      <c r="X569" s="34" t="n">
        <f aca="false">IF(S569="","",IF(AND(W569="Y",U569&lt;&gt;0),MAX(1,MIN(5,S569+MAX(-Config!$C$27,MIN(Config!$C$27,U569)))),S569))</f>
        <v>1</v>
      </c>
      <c r="Y569" s="35" t="str">
        <f aca="false">IF(G569="N/A","N/A",IF(X569="","No data",INDEX(Config!$B$5:$B$9,X569)))</f>
        <v>Low</v>
      </c>
      <c r="Z569" s="7" t="str">
        <f aca="false">IF(U569=0,"None",IF(W569="Y","Applied","Pending HO approval"))</f>
        <v>None</v>
      </c>
      <c r="AA569" s="12" t="str">
        <f aca="false">INDEX('Risk Taxonomy'!$G$5:$G$24,MATCH(D569,'Risk Taxonomy'!$A$5:$A$24,0))</f>
        <v>Zero tolerance</v>
      </c>
      <c r="AB569" s="7" t="str">
        <f aca="false">INDEX('Risk Taxonomy'!$H$5:$H$24,MATCH(D569,'Risk Taxonomy'!$A$5:$A$24,0))</f>
        <v>Low</v>
      </c>
      <c r="AC569" s="35" t="str">
        <f aca="false">IF(NOT(ISNUMBER(X569)),"",IF(X569&lt;=MATCH(AB569,Config!$B$5:$B$9,0),"Within",IF(OR(X569-MATCH(AB569,Config!$B$5:$B$9,0)&gt;=2,AND('Residual Config'!$C$8="Y",ISNUMBER(SEARCH("Zero",AA569)))),"Red","Amber")))</f>
        <v>Within</v>
      </c>
      <c r="AD569" s="12" t="str">
        <f aca="false">IF(AC569="Red","Group CCO / CRO and Country CEO within 2 business days; action plan in 15 days; report to Board Risk &amp; Compliance Committee",IF(AC569="Amber","Country CO, risk owner and HO Administrator within 5 business days; action plan in 30 days",""))</f>
        <v/>
      </c>
    </row>
    <row r="570" customFormat="false" ht="15" hidden="false" customHeight="false" outlineLevel="0" collapsed="false">
      <c r="A570" s="26" t="str">
        <f aca="false">Entities!$A$33</f>
        <v>AU</v>
      </c>
      <c r="B570" s="12" t="str">
        <f aca="false">INDEX(Entities!$B$5:$B$34,MATCH(A570,Entities!$A$5:$A$34,0))</f>
        <v>Arab Bank Australia</v>
      </c>
      <c r="C570" s="12" t="str">
        <f aca="false">INDEX(Entities!$D$5:$D$34,MATCH(A570,Entities!$A$5:$A$34,0))</f>
        <v>Asia-Pacific</v>
      </c>
      <c r="D570" s="12" t="s">
        <v>278</v>
      </c>
      <c r="E570" s="12" t="str">
        <f aca="false">INDEX('Risk Taxonomy'!$B$5:$B$24,MATCH(D570,'Risk Taxonomy'!$A$5:$A$24,0))</f>
        <v>Fraud</v>
      </c>
      <c r="F570" s="29" t="n">
        <f aca="false">IF(NOT(ISNUMBER(G570)),"",IFERROR(IF(MATCH(SUMIFS('FC Calculation'!$N$5:$N$214,'FC Calculation'!$A$5:$A$214,A570,'FC Calculation'!$D$5:$D$214,D570),Config!$D$5:$D$9,1)=G570,SUMIFS('FC Calculation'!$N$5:$N$214,'FC Calculation'!$A$5:$A$214,A570,'FC Calculation'!$D$5:$D$214,D570),G570),G570))</f>
        <v>1.72666666666667</v>
      </c>
      <c r="G570" s="34" t="n">
        <f aca="false">IF(COUNTIFS('FC Calculation'!$A$5:$A$214,A570,'FC Calculation'!$D$5:$D$214,D570,'FC Calculation'!$T$5:$T$214,"&gt;0")=0,"",SUMIFS('FC Calculation'!$T$5:$T$214,'FC Calculation'!$A$5:$A$214,A570,'FC Calculation'!$D$5:$D$214,D570))</f>
        <v>1</v>
      </c>
      <c r="H570" s="7" t="str">
        <f aca="false">IF(G570="N/A","N/A",IF(G570="","No data",INDEX(Config!$B$5:$B$9,G570)))</f>
        <v>Low</v>
      </c>
      <c r="I570" s="31" t="n">
        <f aca="false">IF(NOT(ISNUMBER($G570)),"",SUMPRODUCT(('Control Mapping'!$C$5:$C$83=D570)*('Control Mapping'!$AI$5:$AI$83&gt;0)))</f>
        <v>6</v>
      </c>
      <c r="J570" s="31" t="n">
        <f aca="false">IF(NOT(ISNUMBER($G570)),"",SUMPRODUCT(('Control Mapping'!$C$5:$C$83=D570)*('Control Mapping'!$F$5:$F$83="Y")*('Control Mapping'!$AI$5:$AI$83&gt;0)))</f>
        <v>5</v>
      </c>
      <c r="K570" s="31" t="n">
        <f aca="false">IF(NOT(ISNUMBER($G570)),"",SUMPRODUCT(('Control Mapping'!$C$5:$C$83=D570)*('Control Mapping'!$F$5:$F$83="Y")*('Control Mapping'!$AI$5:$AI$83=4)))</f>
        <v>0</v>
      </c>
      <c r="L570" s="29" t="n">
        <f aca="false">IF(NOT(ISNUMBER($G570)),"",IFERROR(SUMPRODUCT(('Control Mapping'!$C$5:$C$83=D570)*'Control Mapping'!$E$5:$E$83*'Control Mapping'!$AI$5:$AI$83)/SUMPRODUCT(('Control Mapping'!$C$5:$C$83=D570)*'Control Mapping'!$E$5:$E$83*('Control Mapping'!$AI$5:$AI$83&gt;0)),""))</f>
        <v>1.6</v>
      </c>
      <c r="M570" s="34" t="n">
        <f aca="false">IF(NOT(ISNUMBER($G570)),"",IF(J570=0,4,MAX(MATCH(L570,'Residual Config'!$E$11:$E$14,1),IF(K570&gt;0,'Residual Config'!$C$7,1))))</f>
        <v>2</v>
      </c>
      <c r="N570" s="7" t="str">
        <f aca="false">IF(NOT(ISNUMBER($G570)),"",IF(J570=0,"Ineffective (no key control)",INDEX('Residual Config'!$B$11:$B$14,M570)))</f>
        <v>Largely effective</v>
      </c>
      <c r="O570" s="36" t="n">
        <f aca="false">IF(NOT(ISNUMBER($G570)),"",IF(J570=0,0,SUMPRODUCT(('Control Mapping'!$C$5:$C$83=D570)*'Control Mapping'!$E$5:$E$83*(('Control Mapping'!$AI$5:$AI$83=1)*'Residual Config'!$D$11+('Control Mapping'!$AI$5:$AI$83=2)*'Residual Config'!$D$12+('Control Mapping'!$AI$5:$AI$83=3)*'Residual Config'!$D$13+('Control Mapping'!$AI$5:$AI$83=4)*'Residual Config'!$D$14))/SUMPRODUCT(('Control Mapping'!$C$5:$C$83=D570)*'Control Mapping'!$E$5:$E$83*('Control Mapping'!$AI$5:$AI$83&gt;0))))</f>
        <v>0.48</v>
      </c>
      <c r="P570" s="31" t="n">
        <f aca="false">IF(NOT(ISNUMBER($G570)),"",INDEX('Residual Config'!$B$19:$E$23,6-G570,M570))</f>
        <v>1</v>
      </c>
      <c r="Q570" s="29" t="n">
        <f aca="false">IF(NOT(ISNUMBER($G570)),"",MAX(1,F570*(1-O570)))</f>
        <v>1</v>
      </c>
      <c r="R570" s="31" t="n">
        <f aca="false">IF(NOT(ISNUMBER($G570)),"",MAX(MATCH(Q570,Config!$D$5:$D$9,1),G570-'Residual Config'!$C$6))</f>
        <v>1</v>
      </c>
      <c r="S570" s="34" t="n">
        <f aca="false">IF(NOT(ISNUMBER($G570)),"",IF('Residual Config'!$C$5="Numeric",R570,P570))</f>
        <v>1</v>
      </c>
      <c r="T570" s="7" t="str">
        <f aca="false">IF(G570="N/A","N/A",IF(S570="","No data",INDEX(Config!$B$5:$B$9,S570)))</f>
        <v>Low</v>
      </c>
      <c r="U570" s="32" t="n">
        <v>0</v>
      </c>
      <c r="V570" s="8"/>
      <c r="W570" s="33"/>
      <c r="X570" s="34" t="n">
        <f aca="false">IF(S570="","",IF(AND(W570="Y",U570&lt;&gt;0),MAX(1,MIN(5,S570+MAX(-Config!$C$27,MIN(Config!$C$27,U570)))),S570))</f>
        <v>1</v>
      </c>
      <c r="Y570" s="35" t="str">
        <f aca="false">IF(G570="N/A","N/A",IF(X570="","No data",INDEX(Config!$B$5:$B$9,X570)))</f>
        <v>Low</v>
      </c>
      <c r="Z570" s="7" t="str">
        <f aca="false">IF(U570=0,"None",IF(W570="Y","Applied","Pending HO approval"))</f>
        <v>None</v>
      </c>
      <c r="AA570" s="12" t="str">
        <f aca="false">INDEX('Risk Taxonomy'!$G$5:$G$24,MATCH(D570,'Risk Taxonomy'!$A$5:$A$24,0))</f>
        <v>Low</v>
      </c>
      <c r="AB570" s="7" t="str">
        <f aca="false">INDEX('Risk Taxonomy'!$H$5:$H$24,MATCH(D570,'Risk Taxonomy'!$A$5:$A$24,0))</f>
        <v>Medium</v>
      </c>
      <c r="AC570" s="35" t="str">
        <f aca="false">IF(NOT(ISNUMBER(X570)),"",IF(X570&lt;=MATCH(AB570,Config!$B$5:$B$9,0),"Within",IF(OR(X570-MATCH(AB570,Config!$B$5:$B$9,0)&gt;=2,AND('Residual Config'!$C$8="Y",ISNUMBER(SEARCH("Zero",AA570)))),"Red","Amber")))</f>
        <v>Within</v>
      </c>
      <c r="AD570" s="12" t="str">
        <f aca="false">IF(AC570="Red","Group CCO / CRO and Country CEO within 2 business days; action plan in 15 days; report to Board Risk &amp; Compliance Committee",IF(AC570="Amber","Country CO, risk owner and HO Administrator within 5 business days; action plan in 30 days",""))</f>
        <v/>
      </c>
    </row>
    <row r="571" customFormat="false" ht="15" hidden="false" customHeight="false" outlineLevel="0" collapsed="false">
      <c r="A571" s="26" t="str">
        <f aca="false">Entities!$A$33</f>
        <v>AU</v>
      </c>
      <c r="B571" s="12" t="str">
        <f aca="false">INDEX(Entities!$B$5:$B$34,MATCH(A571,Entities!$A$5:$A$34,0))</f>
        <v>Arab Bank Australia</v>
      </c>
      <c r="C571" s="12" t="str">
        <f aca="false">INDEX(Entities!$D$5:$D$34,MATCH(A571,Entities!$A$5:$A$34,0))</f>
        <v>Asia-Pacific</v>
      </c>
      <c r="D571" s="12" t="s">
        <v>281</v>
      </c>
      <c r="E571" s="12" t="str">
        <f aca="false">INDEX('Risk Taxonomy'!$B$5:$B$24,MATCH(D571,'Risk Taxonomy'!$A$5:$A$24,0))</f>
        <v>Tax evasion and tax transparency</v>
      </c>
      <c r="F571" s="29" t="n">
        <f aca="false">IF(NOT(ISNUMBER(G571)),"",IFERROR(IF(MATCH(SUMIFS('FC Calculation'!$N$5:$N$214,'FC Calculation'!$A$5:$A$214,A571,'FC Calculation'!$D$5:$D$214,D571),Config!$D$5:$D$9,1)=G571,SUMIFS('FC Calculation'!$N$5:$N$214,'FC Calculation'!$A$5:$A$214,A571,'FC Calculation'!$D$5:$D$214,D571),G571),G571))</f>
        <v>1.78333333333333</v>
      </c>
      <c r="G571" s="34" t="n">
        <f aca="false">IF(COUNTIFS('FC Calculation'!$A$5:$A$214,A571,'FC Calculation'!$D$5:$D$214,D571,'FC Calculation'!$T$5:$T$214,"&gt;0")=0,"",SUMIFS('FC Calculation'!$T$5:$T$214,'FC Calculation'!$A$5:$A$214,A571,'FC Calculation'!$D$5:$D$214,D571))</f>
        <v>1</v>
      </c>
      <c r="H571" s="7" t="str">
        <f aca="false">IF(G571="N/A","N/A",IF(G571="","No data",INDEX(Config!$B$5:$B$9,G571)))</f>
        <v>Low</v>
      </c>
      <c r="I571" s="31" t="n">
        <f aca="false">IF(NOT(ISNUMBER($G571)),"",SUMPRODUCT(('Control Mapping'!$C$5:$C$83=D571)*('Control Mapping'!$AI$5:$AI$83&gt;0)))</f>
        <v>5</v>
      </c>
      <c r="J571" s="31" t="n">
        <f aca="false">IF(NOT(ISNUMBER($G571)),"",SUMPRODUCT(('Control Mapping'!$C$5:$C$83=D571)*('Control Mapping'!$F$5:$F$83="Y")*('Control Mapping'!$AI$5:$AI$83&gt;0)))</f>
        <v>4</v>
      </c>
      <c r="K571" s="31" t="n">
        <f aca="false">IF(NOT(ISNUMBER($G571)),"",SUMPRODUCT(('Control Mapping'!$C$5:$C$83=D571)*('Control Mapping'!$F$5:$F$83="Y")*('Control Mapping'!$AI$5:$AI$83=4)))</f>
        <v>0</v>
      </c>
      <c r="L571" s="29" t="n">
        <f aca="false">IF(NOT(ISNUMBER($G571)),"",IFERROR(SUMPRODUCT(('Control Mapping'!$C$5:$C$83=D571)*'Control Mapping'!$E$5:$E$83*'Control Mapping'!$AI$5:$AI$83)/SUMPRODUCT(('Control Mapping'!$C$5:$C$83=D571)*'Control Mapping'!$E$5:$E$83*('Control Mapping'!$AI$5:$AI$83&gt;0)),""))</f>
        <v>1.11111111111111</v>
      </c>
      <c r="M571" s="34" t="n">
        <f aca="false">IF(NOT(ISNUMBER($G571)),"",IF(J571=0,4,MAX(MATCH(L571,'Residual Config'!$E$11:$E$14,1),IF(K571&gt;0,'Residual Config'!$C$7,1))))</f>
        <v>1</v>
      </c>
      <c r="N571" s="7" t="str">
        <f aca="false">IF(NOT(ISNUMBER($G571)),"",IF(J571=0,"Ineffective (no key control)",INDEX('Residual Config'!$B$11:$B$14,M571)))</f>
        <v>Effective</v>
      </c>
      <c r="O571" s="36" t="n">
        <f aca="false">IF(NOT(ISNUMBER($G571)),"",IF(J571=0,0,SUMPRODUCT(('Control Mapping'!$C$5:$C$83=D571)*'Control Mapping'!$E$5:$E$83*(('Control Mapping'!$AI$5:$AI$83=1)*'Residual Config'!$D$11+('Control Mapping'!$AI$5:$AI$83=2)*'Residual Config'!$D$12+('Control Mapping'!$AI$5:$AI$83=3)*'Residual Config'!$D$13+('Control Mapping'!$AI$5:$AI$83=4)*'Residual Config'!$D$14))/SUMPRODUCT(('Control Mapping'!$C$5:$C$83=D571)*'Control Mapping'!$E$5:$E$83*('Control Mapping'!$AI$5:$AI$83&gt;0))))</f>
        <v>0.577777777777778</v>
      </c>
      <c r="P571" s="31" t="n">
        <f aca="false">IF(NOT(ISNUMBER($G571)),"",INDEX('Residual Config'!$B$19:$E$23,6-G571,M571))</f>
        <v>1</v>
      </c>
      <c r="Q571" s="29" t="n">
        <f aca="false">IF(NOT(ISNUMBER($G571)),"",MAX(1,F571*(1-O571)))</f>
        <v>1</v>
      </c>
      <c r="R571" s="31" t="n">
        <f aca="false">IF(NOT(ISNUMBER($G571)),"",MAX(MATCH(Q571,Config!$D$5:$D$9,1),G571-'Residual Config'!$C$6))</f>
        <v>1</v>
      </c>
      <c r="S571" s="34" t="n">
        <f aca="false">IF(NOT(ISNUMBER($G571)),"",IF('Residual Config'!$C$5="Numeric",R571,P571))</f>
        <v>1</v>
      </c>
      <c r="T571" s="7" t="str">
        <f aca="false">IF(G571="N/A","N/A",IF(S571="","No data",INDEX(Config!$B$5:$B$9,S571)))</f>
        <v>Low</v>
      </c>
      <c r="U571" s="32" t="n">
        <v>0</v>
      </c>
      <c r="V571" s="8"/>
      <c r="W571" s="33"/>
      <c r="X571" s="34" t="n">
        <f aca="false">IF(S571="","",IF(AND(W571="Y",U571&lt;&gt;0),MAX(1,MIN(5,S571+MAX(-Config!$C$27,MIN(Config!$C$27,U571)))),S571))</f>
        <v>1</v>
      </c>
      <c r="Y571" s="35" t="str">
        <f aca="false">IF(G571="N/A","N/A",IF(X571="","No data",INDEX(Config!$B$5:$B$9,X571)))</f>
        <v>Low</v>
      </c>
      <c r="Z571" s="7" t="str">
        <f aca="false">IF(U571=0,"None",IF(W571="Y","Applied","Pending HO approval"))</f>
        <v>None</v>
      </c>
      <c r="AA571" s="12" t="str">
        <f aca="false">INDEX('Risk Taxonomy'!$G$5:$G$24,MATCH(D571,'Risk Taxonomy'!$A$5:$A$24,0))</f>
        <v>Zero tolerance (facilitation)</v>
      </c>
      <c r="AB571" s="7" t="str">
        <f aca="false">INDEX('Risk Taxonomy'!$H$5:$H$24,MATCH(D571,'Risk Taxonomy'!$A$5:$A$24,0))</f>
        <v>Low</v>
      </c>
      <c r="AC571" s="35" t="str">
        <f aca="false">IF(NOT(ISNUMBER(X571)),"",IF(X571&lt;=MATCH(AB571,Config!$B$5:$B$9,0),"Within",IF(OR(X571-MATCH(AB571,Config!$B$5:$B$9,0)&gt;=2,AND('Residual Config'!$C$8="Y",ISNUMBER(SEARCH("Zero",AA571)))),"Red","Amber")))</f>
        <v>Within</v>
      </c>
      <c r="AD571" s="12" t="str">
        <f aca="false">IF(AC571="Red","Group CCO / CRO and Country CEO within 2 business days; action plan in 15 days; report to Board Risk &amp; Compliance Committee",IF(AC571="Amber","Country CO, risk owner and HO Administrator within 5 business days; action plan in 30 days",""))</f>
        <v/>
      </c>
    </row>
    <row r="572" customFormat="false" ht="15" hidden="false" customHeight="false" outlineLevel="0" collapsed="false">
      <c r="A572" s="26" t="str">
        <f aca="false">Entities!$A$33</f>
        <v>AU</v>
      </c>
      <c r="B572" s="12" t="str">
        <f aca="false">INDEX(Entities!$B$5:$B$34,MATCH(A572,Entities!$A$5:$A$34,0))</f>
        <v>Arab Bank Australia</v>
      </c>
      <c r="C572" s="12" t="str">
        <f aca="false">INDEX(Entities!$D$5:$D$34,MATCH(A572,Entities!$A$5:$A$34,0))</f>
        <v>Asia-Pacific</v>
      </c>
      <c r="D572" s="12" t="s">
        <v>284</v>
      </c>
      <c r="E572" s="12" t="str">
        <f aca="false">INDEX('Risk Taxonomy'!$B$5:$B$24,MATCH(D572,'Risk Taxonomy'!$A$5:$A$24,0))</f>
        <v>Regulatory compliance</v>
      </c>
      <c r="F572" s="29" t="n">
        <f aca="false">IF(NOT(ISNUMBER(G572)),"",G572)</f>
        <v>1</v>
      </c>
      <c r="G572" s="34" t="n">
        <f aca="false">IF(COUNTIFS('LxI Assessment'!$A$5:$A$394,A572,'LxI Assessment'!$D$5:$D$394,D572,'LxI Assessment'!$F$5:$F$394,"N/A")&gt;0,"N/A",IF(COUNTIFS('LxI Assessment'!$A$5:$A$394,A572,'LxI Assessment'!$D$5:$D$394,D572,'LxI Assessment'!$S$5:$S$394,"&gt;0")=0,"",SUMIFS('LxI Assessment'!$S$5:$S$394,'LxI Assessment'!$A$5:$A$394,A572,'LxI Assessment'!$D$5:$D$394,D572)))</f>
        <v>1</v>
      </c>
      <c r="H572" s="7" t="str">
        <f aca="false">IF(G572="N/A","N/A",IF(G572="","No data",INDEX(Config!$B$5:$B$9,G572)))</f>
        <v>Low</v>
      </c>
      <c r="I572" s="31" t="n">
        <f aca="false">IF(NOT(ISNUMBER($G572)),"",SUMPRODUCT(('Control Mapping'!$C$5:$C$83=D572)*('Control Mapping'!$AI$5:$AI$83&gt;0)))</f>
        <v>4</v>
      </c>
      <c r="J572" s="31" t="n">
        <f aca="false">IF(NOT(ISNUMBER($G572)),"",SUMPRODUCT(('Control Mapping'!$C$5:$C$83=D572)*('Control Mapping'!$F$5:$F$83="Y")*('Control Mapping'!$AI$5:$AI$83&gt;0)))</f>
        <v>3</v>
      </c>
      <c r="K572" s="31" t="n">
        <f aca="false">IF(NOT(ISNUMBER($G572)),"",SUMPRODUCT(('Control Mapping'!$C$5:$C$83=D572)*('Control Mapping'!$F$5:$F$83="Y")*('Control Mapping'!$AI$5:$AI$83=4)))</f>
        <v>0</v>
      </c>
      <c r="L572" s="29" t="n">
        <f aca="false">IF(NOT(ISNUMBER($G572)),"",IFERROR(SUMPRODUCT(('Control Mapping'!$C$5:$C$83=D572)*'Control Mapping'!$E$5:$E$83*'Control Mapping'!$AI$5:$AI$83)/SUMPRODUCT(('Control Mapping'!$C$5:$C$83=D572)*'Control Mapping'!$E$5:$E$83*('Control Mapping'!$AI$5:$AI$83&gt;0)),""))</f>
        <v>1.42857142857143</v>
      </c>
      <c r="M572" s="34" t="n">
        <f aca="false">IF(NOT(ISNUMBER($G572)),"",IF(J572=0,4,MAX(MATCH(L572,'Residual Config'!$E$11:$E$14,1),IF(K572&gt;0,'Residual Config'!$C$7,1))))</f>
        <v>1</v>
      </c>
      <c r="N572" s="7" t="str">
        <f aca="false">IF(NOT(ISNUMBER($G572)),"",IF(J572=0,"Ineffective (no key control)",INDEX('Residual Config'!$B$11:$B$14,M572)))</f>
        <v>Effective</v>
      </c>
      <c r="O572" s="36" t="n">
        <f aca="false">IF(NOT(ISNUMBER($G572)),"",IF(J572=0,0,SUMPRODUCT(('Control Mapping'!$C$5:$C$83=D572)*'Control Mapping'!$E$5:$E$83*(('Control Mapping'!$AI$5:$AI$83=1)*'Residual Config'!$D$11+('Control Mapping'!$AI$5:$AI$83=2)*'Residual Config'!$D$12+('Control Mapping'!$AI$5:$AI$83=3)*'Residual Config'!$D$13+('Control Mapping'!$AI$5:$AI$83=4)*'Residual Config'!$D$14))/SUMPRODUCT(('Control Mapping'!$C$5:$C$83=D572)*'Control Mapping'!$E$5:$E$83*('Control Mapping'!$AI$5:$AI$83&gt;0))))</f>
        <v>0.514285714285714</v>
      </c>
      <c r="P572" s="31" t="n">
        <f aca="false">IF(NOT(ISNUMBER($G572)),"",INDEX('Residual Config'!$B$19:$E$23,6-G572,M572))</f>
        <v>1</v>
      </c>
      <c r="Q572" s="29" t="n">
        <f aca="false">IF(NOT(ISNUMBER($G572)),"",MAX(1,F572*(1-O572)))</f>
        <v>1</v>
      </c>
      <c r="R572" s="31" t="n">
        <f aca="false">IF(NOT(ISNUMBER($G572)),"",MAX(MATCH(Q572,Config!$D$5:$D$9,1),G572-'Residual Config'!$C$6))</f>
        <v>1</v>
      </c>
      <c r="S572" s="34" t="n">
        <f aca="false">IF(NOT(ISNUMBER($G572)),"",IF('Residual Config'!$C$5="Numeric",R572,P572))</f>
        <v>1</v>
      </c>
      <c r="T572" s="7" t="str">
        <f aca="false">IF(G572="N/A","N/A",IF(S572="","No data",INDEX(Config!$B$5:$B$9,S572)))</f>
        <v>Low</v>
      </c>
      <c r="U572" s="32" t="n">
        <v>0</v>
      </c>
      <c r="V572" s="8"/>
      <c r="W572" s="33"/>
      <c r="X572" s="34" t="n">
        <f aca="false">IF(S572="","",IF(AND(W572="Y",U572&lt;&gt;0),MAX(1,MIN(5,S572+MAX(-Config!$C$27,MIN(Config!$C$27,U572)))),S572))</f>
        <v>1</v>
      </c>
      <c r="Y572" s="35" t="str">
        <f aca="false">IF(G572="N/A","N/A",IF(X572="","No data",INDEX(Config!$B$5:$B$9,X572)))</f>
        <v>Low</v>
      </c>
      <c r="Z572" s="7" t="str">
        <f aca="false">IF(U572=0,"None",IF(W572="Y","Applied","Pending HO approval"))</f>
        <v>None</v>
      </c>
      <c r="AA572" s="12" t="str">
        <f aca="false">INDEX('Risk Taxonomy'!$G$5:$G$24,MATCH(D572,'Risk Taxonomy'!$A$5:$A$24,0))</f>
        <v>Very low</v>
      </c>
      <c r="AB572" s="7" t="str">
        <f aca="false">INDEX('Risk Taxonomy'!$H$5:$H$24,MATCH(D572,'Risk Taxonomy'!$A$5:$A$24,0))</f>
        <v>Medium-Low</v>
      </c>
      <c r="AC572" s="35" t="str">
        <f aca="false">IF(NOT(ISNUMBER(X572)),"",IF(X572&lt;=MATCH(AB572,Config!$B$5:$B$9,0),"Within",IF(OR(X572-MATCH(AB572,Config!$B$5:$B$9,0)&gt;=2,AND('Residual Config'!$C$8="Y",ISNUMBER(SEARCH("Zero",AA572)))),"Red","Amber")))</f>
        <v>Within</v>
      </c>
      <c r="AD572" s="12" t="str">
        <f aca="false">IF(AC572="Red","Group CCO / CRO and Country CEO within 2 business days; action plan in 15 days; report to Board Risk &amp; Compliance Committee",IF(AC572="Amber","Country CO, risk owner and HO Administrator within 5 business days; action plan in 30 days",""))</f>
        <v/>
      </c>
    </row>
    <row r="573" customFormat="false" ht="15" hidden="false" customHeight="false" outlineLevel="0" collapsed="false">
      <c r="A573" s="26" t="str">
        <f aca="false">Entities!$A$33</f>
        <v>AU</v>
      </c>
      <c r="B573" s="12" t="str">
        <f aca="false">INDEX(Entities!$B$5:$B$34,MATCH(A573,Entities!$A$5:$A$34,0))</f>
        <v>Arab Bank Australia</v>
      </c>
      <c r="C573" s="12" t="str">
        <f aca="false">INDEX(Entities!$D$5:$D$34,MATCH(A573,Entities!$A$5:$A$34,0))</f>
        <v>Asia-Pacific</v>
      </c>
      <c r="D573" s="12" t="s">
        <v>288</v>
      </c>
      <c r="E573" s="12" t="str">
        <f aca="false">INDEX('Risk Taxonomy'!$B$5:$B$24,MATCH(D573,'Risk Taxonomy'!$A$5:$A$24,0))</f>
        <v>Conduct and consumer protection</v>
      </c>
      <c r="F573" s="29" t="n">
        <f aca="false">IF(NOT(ISNUMBER(G573)),"",G573)</f>
        <v>3</v>
      </c>
      <c r="G573" s="34" t="n">
        <f aca="false">IF(COUNTIFS('LxI Assessment'!$A$5:$A$394,A573,'LxI Assessment'!$D$5:$D$394,D573,'LxI Assessment'!$F$5:$F$394,"N/A")&gt;0,"N/A",IF(COUNTIFS('LxI Assessment'!$A$5:$A$394,A573,'LxI Assessment'!$D$5:$D$394,D573,'LxI Assessment'!$S$5:$S$394,"&gt;0")=0,"",SUMIFS('LxI Assessment'!$S$5:$S$394,'LxI Assessment'!$A$5:$A$394,A573,'LxI Assessment'!$D$5:$D$394,D573)))</f>
        <v>3</v>
      </c>
      <c r="H573" s="7" t="str">
        <f aca="false">IF(G573="N/A","N/A",IF(G573="","No data",INDEX(Config!$B$5:$B$9,G573)))</f>
        <v>Medium</v>
      </c>
      <c r="I573" s="31" t="n">
        <f aca="false">IF(NOT(ISNUMBER($G573)),"",SUMPRODUCT(('Control Mapping'!$C$5:$C$83=D573)*('Control Mapping'!$AI$5:$AI$83&gt;0)))</f>
        <v>2</v>
      </c>
      <c r="J573" s="31" t="n">
        <f aca="false">IF(NOT(ISNUMBER($G573)),"",SUMPRODUCT(('Control Mapping'!$C$5:$C$83=D573)*('Control Mapping'!$F$5:$F$83="Y")*('Control Mapping'!$AI$5:$AI$83&gt;0)))</f>
        <v>1</v>
      </c>
      <c r="K573" s="31" t="n">
        <f aca="false">IF(NOT(ISNUMBER($G573)),"",SUMPRODUCT(('Control Mapping'!$C$5:$C$83=D573)*('Control Mapping'!$F$5:$F$83="Y")*('Control Mapping'!$AI$5:$AI$83=4)))</f>
        <v>0</v>
      </c>
      <c r="L573" s="29" t="n">
        <f aca="false">IF(NOT(ISNUMBER($G573)),"",IFERROR(SUMPRODUCT(('Control Mapping'!$C$5:$C$83=D573)*'Control Mapping'!$E$5:$E$83*'Control Mapping'!$AI$5:$AI$83)/SUMPRODUCT(('Control Mapping'!$C$5:$C$83=D573)*'Control Mapping'!$E$5:$E$83*('Control Mapping'!$AI$5:$AI$83&gt;0)),""))</f>
        <v>1</v>
      </c>
      <c r="M573" s="34" t="n">
        <f aca="false">IF(NOT(ISNUMBER($G573)),"",IF(J573=0,4,MAX(MATCH(L573,'Residual Config'!$E$11:$E$14,1),IF(K573&gt;0,'Residual Config'!$C$7,1))))</f>
        <v>1</v>
      </c>
      <c r="N573" s="7" t="str">
        <f aca="false">IF(NOT(ISNUMBER($G573)),"",IF(J573=0,"Ineffective (no key control)",INDEX('Residual Config'!$B$11:$B$14,M573)))</f>
        <v>Effective</v>
      </c>
      <c r="O573" s="36" t="n">
        <f aca="false">IF(NOT(ISNUMBER($G573)),"",IF(J573=0,0,SUMPRODUCT(('Control Mapping'!$C$5:$C$83=D573)*'Control Mapping'!$E$5:$E$83*(('Control Mapping'!$AI$5:$AI$83=1)*'Residual Config'!$D$11+('Control Mapping'!$AI$5:$AI$83=2)*'Residual Config'!$D$12+('Control Mapping'!$AI$5:$AI$83=3)*'Residual Config'!$D$13+('Control Mapping'!$AI$5:$AI$83=4)*'Residual Config'!$D$14))/SUMPRODUCT(('Control Mapping'!$C$5:$C$83=D573)*'Control Mapping'!$E$5:$E$83*('Control Mapping'!$AI$5:$AI$83&gt;0))))</f>
        <v>0.6</v>
      </c>
      <c r="P573" s="31" t="n">
        <f aca="false">IF(NOT(ISNUMBER($G573)),"",INDEX('Residual Config'!$B$19:$E$23,6-G573,M573))</f>
        <v>1</v>
      </c>
      <c r="Q573" s="29" t="n">
        <f aca="false">IF(NOT(ISNUMBER($G573)),"",MAX(1,F573*(1-O573)))</f>
        <v>1.2</v>
      </c>
      <c r="R573" s="31" t="n">
        <f aca="false">IF(NOT(ISNUMBER($G573)),"",MAX(MATCH(Q573,Config!$D$5:$D$9,1),G573-'Residual Config'!$C$6))</f>
        <v>1</v>
      </c>
      <c r="S573" s="34" t="n">
        <f aca="false">IF(NOT(ISNUMBER($G573)),"",IF('Residual Config'!$C$5="Numeric",R573,P573))</f>
        <v>1</v>
      </c>
      <c r="T573" s="7" t="str">
        <f aca="false">IF(G573="N/A","N/A",IF(S573="","No data",INDEX(Config!$B$5:$B$9,S573)))</f>
        <v>Low</v>
      </c>
      <c r="U573" s="32" t="n">
        <v>0</v>
      </c>
      <c r="V573" s="8"/>
      <c r="W573" s="33"/>
      <c r="X573" s="34" t="n">
        <f aca="false">IF(S573="","",IF(AND(W573="Y",U573&lt;&gt;0),MAX(1,MIN(5,S573+MAX(-Config!$C$27,MIN(Config!$C$27,U573)))),S573))</f>
        <v>1</v>
      </c>
      <c r="Y573" s="35" t="str">
        <f aca="false">IF(G573="N/A","N/A",IF(X573="","No data",INDEX(Config!$B$5:$B$9,X573)))</f>
        <v>Low</v>
      </c>
      <c r="Z573" s="7" t="str">
        <f aca="false">IF(U573=0,"None",IF(W573="Y","Applied","Pending HO approval"))</f>
        <v>None</v>
      </c>
      <c r="AA573" s="12" t="str">
        <f aca="false">INDEX('Risk Taxonomy'!$G$5:$G$24,MATCH(D573,'Risk Taxonomy'!$A$5:$A$24,0))</f>
        <v>Low</v>
      </c>
      <c r="AB573" s="7" t="str">
        <f aca="false">INDEX('Risk Taxonomy'!$H$5:$H$24,MATCH(D573,'Risk Taxonomy'!$A$5:$A$24,0))</f>
        <v>Medium</v>
      </c>
      <c r="AC573" s="35" t="str">
        <f aca="false">IF(NOT(ISNUMBER(X573)),"",IF(X573&lt;=MATCH(AB573,Config!$B$5:$B$9,0),"Within",IF(OR(X573-MATCH(AB573,Config!$B$5:$B$9,0)&gt;=2,AND('Residual Config'!$C$8="Y",ISNUMBER(SEARCH("Zero",AA573)))),"Red","Amber")))</f>
        <v>Within</v>
      </c>
      <c r="AD573" s="12" t="str">
        <f aca="false">IF(AC573="Red","Group CCO / CRO and Country CEO within 2 business days; action plan in 15 days; report to Board Risk &amp; Compliance Committee",IF(AC573="Amber","Country CO, risk owner and HO Administrator within 5 business days; action plan in 30 days",""))</f>
        <v/>
      </c>
    </row>
    <row r="574" customFormat="false" ht="15" hidden="false" customHeight="false" outlineLevel="0" collapsed="false">
      <c r="A574" s="26" t="str">
        <f aca="false">Entities!$A$33</f>
        <v>AU</v>
      </c>
      <c r="B574" s="12" t="str">
        <f aca="false">INDEX(Entities!$B$5:$B$34,MATCH(A574,Entities!$A$5:$A$34,0))</f>
        <v>Arab Bank Australia</v>
      </c>
      <c r="C574" s="12" t="str">
        <f aca="false">INDEX(Entities!$D$5:$D$34,MATCH(A574,Entities!$A$5:$A$34,0))</f>
        <v>Asia-Pacific</v>
      </c>
      <c r="D574" s="12" t="s">
        <v>290</v>
      </c>
      <c r="E574" s="12" t="str">
        <f aca="false">INDEX('Risk Taxonomy'!$B$5:$B$24,MATCH(D574,'Risk Taxonomy'!$A$5:$A$24,0))</f>
        <v>Data protection and privacy</v>
      </c>
      <c r="F574" s="29" t="n">
        <f aca="false">IF(NOT(ISNUMBER(G574)),"",G574)</f>
        <v>2</v>
      </c>
      <c r="G574" s="34" t="n">
        <f aca="false">IF(COUNTIFS('LxI Assessment'!$A$5:$A$394,A574,'LxI Assessment'!$D$5:$D$394,D574,'LxI Assessment'!$F$5:$F$394,"N/A")&gt;0,"N/A",IF(COUNTIFS('LxI Assessment'!$A$5:$A$394,A574,'LxI Assessment'!$D$5:$D$394,D574,'LxI Assessment'!$S$5:$S$394,"&gt;0")=0,"",SUMIFS('LxI Assessment'!$S$5:$S$394,'LxI Assessment'!$A$5:$A$394,A574,'LxI Assessment'!$D$5:$D$394,D574)))</f>
        <v>2</v>
      </c>
      <c r="H574" s="7" t="str">
        <f aca="false">IF(G574="N/A","N/A",IF(G574="","No data",INDEX(Config!$B$5:$B$9,G574)))</f>
        <v>Medium-Low</v>
      </c>
      <c r="I574" s="31" t="n">
        <f aca="false">IF(NOT(ISNUMBER($G574)),"",SUMPRODUCT(('Control Mapping'!$C$5:$C$83=D574)*('Control Mapping'!$AI$5:$AI$83&gt;0)))</f>
        <v>2</v>
      </c>
      <c r="J574" s="31" t="n">
        <f aca="false">IF(NOT(ISNUMBER($G574)),"",SUMPRODUCT(('Control Mapping'!$C$5:$C$83=D574)*('Control Mapping'!$F$5:$F$83="Y")*('Control Mapping'!$AI$5:$AI$83&gt;0)))</f>
        <v>2</v>
      </c>
      <c r="K574" s="31" t="n">
        <f aca="false">IF(NOT(ISNUMBER($G574)),"",SUMPRODUCT(('Control Mapping'!$C$5:$C$83=D574)*('Control Mapping'!$F$5:$F$83="Y")*('Control Mapping'!$AI$5:$AI$83=4)))</f>
        <v>0</v>
      </c>
      <c r="L574" s="29" t="n">
        <f aca="false">IF(NOT(ISNUMBER($G574)),"",IFERROR(SUMPRODUCT(('Control Mapping'!$C$5:$C$83=D574)*'Control Mapping'!$E$5:$E$83*'Control Mapping'!$AI$5:$AI$83)/SUMPRODUCT(('Control Mapping'!$C$5:$C$83=D574)*'Control Mapping'!$E$5:$E$83*('Control Mapping'!$AI$5:$AI$83&gt;0)),""))</f>
        <v>2.5</v>
      </c>
      <c r="M574" s="34" t="n">
        <f aca="false">IF(NOT(ISNUMBER($G574)),"",IF(J574=0,4,MAX(MATCH(L574,'Residual Config'!$E$11:$E$14,1),IF(K574&gt;0,'Residual Config'!$C$7,1))))</f>
        <v>3</v>
      </c>
      <c r="N574" s="7" t="str">
        <f aca="false">IF(NOT(ISNUMBER($G574)),"",IF(J574=0,"Ineffective (no key control)",INDEX('Residual Config'!$B$11:$B$14,M574)))</f>
        <v>Partially effective</v>
      </c>
      <c r="O574" s="36" t="n">
        <f aca="false">IF(NOT(ISNUMBER($G574)),"",IF(J574=0,0,SUMPRODUCT(('Control Mapping'!$C$5:$C$83=D574)*'Control Mapping'!$E$5:$E$83*(('Control Mapping'!$AI$5:$AI$83=1)*'Residual Config'!$D$11+('Control Mapping'!$AI$5:$AI$83=2)*'Residual Config'!$D$12+('Control Mapping'!$AI$5:$AI$83=3)*'Residual Config'!$D$13+('Control Mapping'!$AI$5:$AI$83=4)*'Residual Config'!$D$14))/SUMPRODUCT(('Control Mapping'!$C$5:$C$83=D574)*'Control Mapping'!$E$5:$E$83*('Control Mapping'!$AI$5:$AI$83&gt;0))))</f>
        <v>0.3</v>
      </c>
      <c r="P574" s="31" t="n">
        <f aca="false">IF(NOT(ISNUMBER($G574)),"",INDEX('Residual Config'!$B$19:$E$23,6-G574,M574))</f>
        <v>2</v>
      </c>
      <c r="Q574" s="29" t="n">
        <f aca="false">IF(NOT(ISNUMBER($G574)),"",MAX(1,F574*(1-O574)))</f>
        <v>1.4</v>
      </c>
      <c r="R574" s="31" t="n">
        <f aca="false">IF(NOT(ISNUMBER($G574)),"",MAX(MATCH(Q574,Config!$D$5:$D$9,1),G574-'Residual Config'!$C$6))</f>
        <v>1</v>
      </c>
      <c r="S574" s="34" t="n">
        <f aca="false">IF(NOT(ISNUMBER($G574)),"",IF('Residual Config'!$C$5="Numeric",R574,P574))</f>
        <v>2</v>
      </c>
      <c r="T574" s="7" t="str">
        <f aca="false">IF(G574="N/A","N/A",IF(S574="","No data",INDEX(Config!$B$5:$B$9,S574)))</f>
        <v>Medium-Low</v>
      </c>
      <c r="U574" s="32" t="n">
        <v>0</v>
      </c>
      <c r="V574" s="8"/>
      <c r="W574" s="33"/>
      <c r="X574" s="34" t="n">
        <f aca="false">IF(S574="","",IF(AND(W574="Y",U574&lt;&gt;0),MAX(1,MIN(5,S574+MAX(-Config!$C$27,MIN(Config!$C$27,U574)))),S574))</f>
        <v>2</v>
      </c>
      <c r="Y574" s="35" t="str">
        <f aca="false">IF(G574="N/A","N/A",IF(X574="","No data",INDEX(Config!$B$5:$B$9,X574)))</f>
        <v>Medium-Low</v>
      </c>
      <c r="Z574" s="7" t="str">
        <f aca="false">IF(U574=0,"None",IF(W574="Y","Applied","Pending HO approval"))</f>
        <v>None</v>
      </c>
      <c r="AA574" s="12" t="str">
        <f aca="false">INDEX('Risk Taxonomy'!$G$5:$G$24,MATCH(D574,'Risk Taxonomy'!$A$5:$A$24,0))</f>
        <v>Very low</v>
      </c>
      <c r="AB574" s="7" t="str">
        <f aca="false">INDEX('Risk Taxonomy'!$H$5:$H$24,MATCH(D574,'Risk Taxonomy'!$A$5:$A$24,0))</f>
        <v>Medium-Low</v>
      </c>
      <c r="AC574" s="35" t="str">
        <f aca="false">IF(NOT(ISNUMBER(X574)),"",IF(X574&lt;=MATCH(AB574,Config!$B$5:$B$9,0),"Within",IF(OR(X574-MATCH(AB574,Config!$B$5:$B$9,0)&gt;=2,AND('Residual Config'!$C$8="Y",ISNUMBER(SEARCH("Zero",AA574)))),"Red","Amber")))</f>
        <v>Within</v>
      </c>
      <c r="AD574" s="12" t="str">
        <f aca="false">IF(AC574="Red","Group CCO / CRO and Country CEO within 2 business days; action plan in 15 days; report to Board Risk &amp; Compliance Committee",IF(AC574="Amber","Country CO, risk owner and HO Administrator within 5 business days; action plan in 30 days",""))</f>
        <v/>
      </c>
    </row>
    <row r="575" customFormat="false" ht="15" hidden="false" customHeight="false" outlineLevel="0" collapsed="false">
      <c r="A575" s="26" t="str">
        <f aca="false">Entities!$A$33</f>
        <v>AU</v>
      </c>
      <c r="B575" s="12" t="str">
        <f aca="false">INDEX(Entities!$B$5:$B$34,MATCH(A575,Entities!$A$5:$A$34,0))</f>
        <v>Arab Bank Australia</v>
      </c>
      <c r="C575" s="12" t="str">
        <f aca="false">INDEX(Entities!$D$5:$D$34,MATCH(A575,Entities!$A$5:$A$34,0))</f>
        <v>Asia-Pacific</v>
      </c>
      <c r="D575" s="12" t="s">
        <v>293</v>
      </c>
      <c r="E575" s="12" t="str">
        <f aca="false">INDEX('Risk Taxonomy'!$B$5:$B$24,MATCH(D575,'Risk Taxonomy'!$A$5:$A$24,0))</f>
        <v>Shariah non-compliance</v>
      </c>
      <c r="F575" s="29" t="str">
        <f aca="false">IF(NOT(ISNUMBER(G575)),"",G575)</f>
        <v/>
      </c>
      <c r="G575" s="34" t="str">
        <f aca="false">IF(COUNTIFS('LxI Assessment'!$A$5:$A$394,A575,'LxI Assessment'!$D$5:$D$394,D575,'LxI Assessment'!$F$5:$F$394,"N/A")&gt;0,"N/A",IF(COUNTIFS('LxI Assessment'!$A$5:$A$394,A575,'LxI Assessment'!$D$5:$D$394,D575,'LxI Assessment'!$S$5:$S$394,"&gt;0")=0,"",SUMIFS('LxI Assessment'!$S$5:$S$394,'LxI Assessment'!$A$5:$A$394,A575,'LxI Assessment'!$D$5:$D$394,D575)))</f>
        <v>N/A</v>
      </c>
      <c r="H575" s="7" t="str">
        <f aca="false">IF(G575="N/A","N/A",IF(G575="","No data",INDEX(Config!$B$5:$B$9,G575)))</f>
        <v>N/A</v>
      </c>
      <c r="I575" s="31" t="str">
        <f aca="false">IF(NOT(ISNUMBER($G575)),"",SUMPRODUCT(('Control Mapping'!$C$5:$C$83=D575)*('Control Mapping'!$AI$5:$AI$83&gt;0)))</f>
        <v/>
      </c>
      <c r="J575" s="31" t="str">
        <f aca="false">IF(NOT(ISNUMBER($G575)),"",SUMPRODUCT(('Control Mapping'!$C$5:$C$83=D575)*('Control Mapping'!$F$5:$F$83="Y")*('Control Mapping'!$AI$5:$AI$83&gt;0)))</f>
        <v/>
      </c>
      <c r="K575" s="31" t="str">
        <f aca="false">IF(NOT(ISNUMBER($G575)),"",SUMPRODUCT(('Control Mapping'!$C$5:$C$83=D575)*('Control Mapping'!$F$5:$F$83="Y")*('Control Mapping'!$AI$5:$AI$83=4)))</f>
        <v/>
      </c>
      <c r="L575" s="29" t="str">
        <f aca="false">IF(NOT(ISNUMBER($G575)),"",IFERROR(SUMPRODUCT(('Control Mapping'!$C$5:$C$83=D575)*'Control Mapping'!$E$5:$E$83*'Control Mapping'!$AI$5:$AI$83)/SUMPRODUCT(('Control Mapping'!$C$5:$C$83=D575)*'Control Mapping'!$E$5:$E$83*('Control Mapping'!$AI$5:$AI$83&gt;0)),""))</f>
        <v/>
      </c>
      <c r="M575" s="34" t="str">
        <f aca="false">IF(NOT(ISNUMBER($G575)),"",IF(J575=0,4,MAX(MATCH(L575,'Residual Config'!$E$11:$E$14,1),IF(K575&gt;0,'Residual Config'!$C$7,1))))</f>
        <v/>
      </c>
      <c r="N575" s="7" t="str">
        <f aca="false">IF(NOT(ISNUMBER($G575)),"",IF(J575=0,"Ineffective (no key control)",INDEX('Residual Config'!$B$11:$B$14,M575)))</f>
        <v/>
      </c>
      <c r="O575" s="36" t="str">
        <f aca="false">IF(NOT(ISNUMBER($G575)),"",IF(J575=0,0,SUMPRODUCT(('Control Mapping'!$C$5:$C$83=D575)*'Control Mapping'!$E$5:$E$83*(('Control Mapping'!$AI$5:$AI$83=1)*'Residual Config'!$D$11+('Control Mapping'!$AI$5:$AI$83=2)*'Residual Config'!$D$12+('Control Mapping'!$AI$5:$AI$83=3)*'Residual Config'!$D$13+('Control Mapping'!$AI$5:$AI$83=4)*'Residual Config'!$D$14))/SUMPRODUCT(('Control Mapping'!$C$5:$C$83=D575)*'Control Mapping'!$E$5:$E$83*('Control Mapping'!$AI$5:$AI$83&gt;0))))</f>
        <v/>
      </c>
      <c r="P575" s="31" t="str">
        <f aca="false">IF(NOT(ISNUMBER($G575)),"",INDEX('Residual Config'!$B$19:$E$23,6-G575,M575))</f>
        <v/>
      </c>
      <c r="Q575" s="29" t="str">
        <f aca="false">IF(NOT(ISNUMBER($G575)),"",MAX(1,F575*(1-O575)))</f>
        <v/>
      </c>
      <c r="R575" s="31" t="str">
        <f aca="false">IF(NOT(ISNUMBER($G575)),"",MAX(MATCH(Q575,Config!$D$5:$D$9,1),G575-'Residual Config'!$C$6))</f>
        <v/>
      </c>
      <c r="S575" s="34" t="str">
        <f aca="false">IF(NOT(ISNUMBER($G575)),"",IF('Residual Config'!$C$5="Numeric",R575,P575))</f>
        <v/>
      </c>
      <c r="T575" s="7" t="str">
        <f aca="false">IF(G575="N/A","N/A",IF(S575="","No data",INDEX(Config!$B$5:$B$9,S575)))</f>
        <v>N/A</v>
      </c>
      <c r="U575" s="32" t="n">
        <v>0</v>
      </c>
      <c r="V575" s="8"/>
      <c r="W575" s="33"/>
      <c r="X575" s="34" t="str">
        <f aca="false">IF(S575="","",IF(AND(W575="Y",U575&lt;&gt;0),MAX(1,MIN(5,S575+MAX(-Config!$C$27,MIN(Config!$C$27,U575)))),S575))</f>
        <v/>
      </c>
      <c r="Y575" s="35" t="str">
        <f aca="false">IF(G575="N/A","N/A",IF(X575="","No data",INDEX(Config!$B$5:$B$9,X575)))</f>
        <v>N/A</v>
      </c>
      <c r="Z575" s="7" t="str">
        <f aca="false">IF(U575=0,"None",IF(W575="Y","Applied","Pending HO approval"))</f>
        <v>None</v>
      </c>
      <c r="AA575" s="12" t="str">
        <f aca="false">INDEX('Risk Taxonomy'!$G$5:$G$24,MATCH(D575,'Risk Taxonomy'!$A$5:$A$24,0))</f>
        <v>Very low</v>
      </c>
      <c r="AB575" s="7" t="str">
        <f aca="false">INDEX('Risk Taxonomy'!$H$5:$H$24,MATCH(D575,'Risk Taxonomy'!$A$5:$A$24,0))</f>
        <v>Medium-Low</v>
      </c>
      <c r="AC575" s="35" t="str">
        <f aca="false">IF(NOT(ISNUMBER(X575)),"",IF(X575&lt;=MATCH(AB575,Config!$B$5:$B$9,0),"Within",IF(OR(X575-MATCH(AB575,Config!$B$5:$B$9,0)&gt;=2,AND('Residual Config'!$C$8="Y",ISNUMBER(SEARCH("Zero",AA575)))),"Red","Amber")))</f>
        <v/>
      </c>
      <c r="AD575" s="12" t="str">
        <f aca="false">IF(AC575="Red","Group CCO / CRO and Country CEO within 2 business days; action plan in 15 days; report to Board Risk &amp; Compliance Committee",IF(AC575="Amber","Country CO, risk owner and HO Administrator within 5 business days; action plan in 30 days",""))</f>
        <v/>
      </c>
    </row>
    <row r="576" customFormat="false" ht="15" hidden="false" customHeight="false" outlineLevel="0" collapsed="false">
      <c r="A576" s="26" t="str">
        <f aca="false">Entities!$A$33</f>
        <v>AU</v>
      </c>
      <c r="B576" s="12" t="str">
        <f aca="false">INDEX(Entities!$B$5:$B$34,MATCH(A576,Entities!$A$5:$A$34,0))</f>
        <v>Arab Bank Australia</v>
      </c>
      <c r="C576" s="12" t="str">
        <f aca="false">INDEX(Entities!$D$5:$D$34,MATCH(A576,Entities!$A$5:$A$34,0))</f>
        <v>Asia-Pacific</v>
      </c>
      <c r="D576" s="12" t="s">
        <v>297</v>
      </c>
      <c r="E576" s="12" t="str">
        <f aca="false">INDEX('Risk Taxonomy'!$B$5:$B$24,MATCH(D576,'Risk Taxonomy'!$A$5:$A$24,0))</f>
        <v>Credit risk</v>
      </c>
      <c r="F576" s="29" t="n">
        <f aca="false">IF(NOT(ISNUMBER(G576)),"",G576)</f>
        <v>1</v>
      </c>
      <c r="G576" s="34" t="n">
        <f aca="false">IF(COUNTIFS('LxI Assessment'!$A$5:$A$394,A576,'LxI Assessment'!$D$5:$D$394,D576,'LxI Assessment'!$F$5:$F$394,"N/A")&gt;0,"N/A",IF(COUNTIFS('LxI Assessment'!$A$5:$A$394,A576,'LxI Assessment'!$D$5:$D$394,D576,'LxI Assessment'!$S$5:$S$394,"&gt;0")=0,"",SUMIFS('LxI Assessment'!$S$5:$S$394,'LxI Assessment'!$A$5:$A$394,A576,'LxI Assessment'!$D$5:$D$394,D576)))</f>
        <v>1</v>
      </c>
      <c r="H576" s="7" t="str">
        <f aca="false">IF(G576="N/A","N/A",IF(G576="","No data",INDEX(Config!$B$5:$B$9,G576)))</f>
        <v>Low</v>
      </c>
      <c r="I576" s="31" t="n">
        <f aca="false">IF(NOT(ISNUMBER($G576)),"",SUMPRODUCT(('Control Mapping'!$C$5:$C$83=D576)*('Control Mapping'!$AI$5:$AI$83&gt;0)))</f>
        <v>2</v>
      </c>
      <c r="J576" s="31" t="n">
        <f aca="false">IF(NOT(ISNUMBER($G576)),"",SUMPRODUCT(('Control Mapping'!$C$5:$C$83=D576)*('Control Mapping'!$F$5:$F$83="Y")*('Control Mapping'!$AI$5:$AI$83&gt;0)))</f>
        <v>1</v>
      </c>
      <c r="K576" s="31" t="n">
        <f aca="false">IF(NOT(ISNUMBER($G576)),"",SUMPRODUCT(('Control Mapping'!$C$5:$C$83=D576)*('Control Mapping'!$F$5:$F$83="Y")*('Control Mapping'!$AI$5:$AI$83=4)))</f>
        <v>0</v>
      </c>
      <c r="L576" s="29" t="n">
        <f aca="false">IF(NOT(ISNUMBER($G576)),"",IFERROR(SUMPRODUCT(('Control Mapping'!$C$5:$C$83=D576)*'Control Mapping'!$E$5:$E$83*'Control Mapping'!$AI$5:$AI$83)/SUMPRODUCT(('Control Mapping'!$C$5:$C$83=D576)*'Control Mapping'!$E$5:$E$83*('Control Mapping'!$AI$5:$AI$83&gt;0)),""))</f>
        <v>1.4</v>
      </c>
      <c r="M576" s="34" t="n">
        <f aca="false">IF(NOT(ISNUMBER($G576)),"",IF(J576=0,4,MAX(MATCH(L576,'Residual Config'!$E$11:$E$14,1),IF(K576&gt;0,'Residual Config'!$C$7,1))))</f>
        <v>1</v>
      </c>
      <c r="N576" s="7" t="str">
        <f aca="false">IF(NOT(ISNUMBER($G576)),"",IF(J576=0,"Ineffective (no key control)",INDEX('Residual Config'!$B$11:$B$14,M576)))</f>
        <v>Effective</v>
      </c>
      <c r="O576" s="36" t="n">
        <f aca="false">IF(NOT(ISNUMBER($G576)),"",IF(J576=0,0,SUMPRODUCT(('Control Mapping'!$C$5:$C$83=D576)*'Control Mapping'!$E$5:$E$83*(('Control Mapping'!$AI$5:$AI$83=1)*'Residual Config'!$D$11+('Control Mapping'!$AI$5:$AI$83=2)*'Residual Config'!$D$12+('Control Mapping'!$AI$5:$AI$83=3)*'Residual Config'!$D$13+('Control Mapping'!$AI$5:$AI$83=4)*'Residual Config'!$D$14))/SUMPRODUCT(('Control Mapping'!$C$5:$C$83=D576)*'Control Mapping'!$E$5:$E$83*('Control Mapping'!$AI$5:$AI$83&gt;0))))</f>
        <v>0.52</v>
      </c>
      <c r="P576" s="31" t="n">
        <f aca="false">IF(NOT(ISNUMBER($G576)),"",INDEX('Residual Config'!$B$19:$E$23,6-G576,M576))</f>
        <v>1</v>
      </c>
      <c r="Q576" s="29" t="n">
        <f aca="false">IF(NOT(ISNUMBER($G576)),"",MAX(1,F576*(1-O576)))</f>
        <v>1</v>
      </c>
      <c r="R576" s="31" t="n">
        <f aca="false">IF(NOT(ISNUMBER($G576)),"",MAX(MATCH(Q576,Config!$D$5:$D$9,1),G576-'Residual Config'!$C$6))</f>
        <v>1</v>
      </c>
      <c r="S576" s="34" t="n">
        <f aca="false">IF(NOT(ISNUMBER($G576)),"",IF('Residual Config'!$C$5="Numeric",R576,P576))</f>
        <v>1</v>
      </c>
      <c r="T576" s="7" t="str">
        <f aca="false">IF(G576="N/A","N/A",IF(S576="","No data",INDEX(Config!$B$5:$B$9,S576)))</f>
        <v>Low</v>
      </c>
      <c r="U576" s="32" t="n">
        <v>0</v>
      </c>
      <c r="V576" s="8"/>
      <c r="W576" s="33"/>
      <c r="X576" s="34" t="n">
        <f aca="false">IF(S576="","",IF(AND(W576="Y",U576&lt;&gt;0),MAX(1,MIN(5,S576+MAX(-Config!$C$27,MIN(Config!$C$27,U576)))),S576))</f>
        <v>1</v>
      </c>
      <c r="Y576" s="35" t="str">
        <f aca="false">IF(G576="N/A","N/A",IF(X576="","No data",INDEX(Config!$B$5:$B$9,X576)))</f>
        <v>Low</v>
      </c>
      <c r="Z576" s="7" t="str">
        <f aca="false">IF(U576=0,"None",IF(W576="Y","Applied","Pending HO approval"))</f>
        <v>None</v>
      </c>
      <c r="AA576" s="12" t="str">
        <f aca="false">INDEX('Risk Taxonomy'!$G$5:$G$24,MATCH(D576,'Risk Taxonomy'!$A$5:$A$24,0))</f>
        <v>Moderate</v>
      </c>
      <c r="AB576" s="7" t="str">
        <f aca="false">INDEX('Risk Taxonomy'!$H$5:$H$24,MATCH(D576,'Risk Taxonomy'!$A$5:$A$24,0))</f>
        <v>Medium-High</v>
      </c>
      <c r="AC576" s="35" t="str">
        <f aca="false">IF(NOT(ISNUMBER(X576)),"",IF(X576&lt;=MATCH(AB576,Config!$B$5:$B$9,0),"Within",IF(OR(X576-MATCH(AB576,Config!$B$5:$B$9,0)&gt;=2,AND('Residual Config'!$C$8="Y",ISNUMBER(SEARCH("Zero",AA576)))),"Red","Amber")))</f>
        <v>Within</v>
      </c>
      <c r="AD576" s="12" t="str">
        <f aca="false">IF(AC576="Red","Group CCO / CRO and Country CEO within 2 business days; action plan in 15 days; report to Board Risk &amp; Compliance Committee",IF(AC576="Amber","Country CO, risk owner and HO Administrator within 5 business days; action plan in 30 days",""))</f>
        <v/>
      </c>
    </row>
    <row r="577" customFormat="false" ht="15" hidden="false" customHeight="false" outlineLevel="0" collapsed="false">
      <c r="A577" s="26" t="str">
        <f aca="false">Entities!$A$33</f>
        <v>AU</v>
      </c>
      <c r="B577" s="12" t="str">
        <f aca="false">INDEX(Entities!$B$5:$B$34,MATCH(A577,Entities!$A$5:$A$34,0))</f>
        <v>Arab Bank Australia</v>
      </c>
      <c r="C577" s="12" t="str">
        <f aca="false">INDEX(Entities!$D$5:$D$34,MATCH(A577,Entities!$A$5:$A$34,0))</f>
        <v>Asia-Pacific</v>
      </c>
      <c r="D577" s="12" t="s">
        <v>302</v>
      </c>
      <c r="E577" s="12" t="str">
        <f aca="false">INDEX('Risk Taxonomy'!$B$5:$B$24,MATCH(D577,'Risk Taxonomy'!$A$5:$A$24,0))</f>
        <v>Market risk</v>
      </c>
      <c r="F577" s="29" t="n">
        <f aca="false">IF(NOT(ISNUMBER(G577)),"",G577)</f>
        <v>2</v>
      </c>
      <c r="G577" s="34" t="n">
        <f aca="false">IF(COUNTIFS('LxI Assessment'!$A$5:$A$394,A577,'LxI Assessment'!$D$5:$D$394,D577,'LxI Assessment'!$F$5:$F$394,"N/A")&gt;0,"N/A",IF(COUNTIFS('LxI Assessment'!$A$5:$A$394,A577,'LxI Assessment'!$D$5:$D$394,D577,'LxI Assessment'!$S$5:$S$394,"&gt;0")=0,"",SUMIFS('LxI Assessment'!$S$5:$S$394,'LxI Assessment'!$A$5:$A$394,A577,'LxI Assessment'!$D$5:$D$394,D577)))</f>
        <v>2</v>
      </c>
      <c r="H577" s="7" t="str">
        <f aca="false">IF(G577="N/A","N/A",IF(G577="","No data",INDEX(Config!$B$5:$B$9,G577)))</f>
        <v>Medium-Low</v>
      </c>
      <c r="I577" s="31" t="n">
        <f aca="false">IF(NOT(ISNUMBER($G577)),"",SUMPRODUCT(('Control Mapping'!$C$5:$C$83=D577)*('Control Mapping'!$AI$5:$AI$83&gt;0)))</f>
        <v>1</v>
      </c>
      <c r="J577" s="31" t="n">
        <f aca="false">IF(NOT(ISNUMBER($G577)),"",SUMPRODUCT(('Control Mapping'!$C$5:$C$83=D577)*('Control Mapping'!$F$5:$F$83="Y")*('Control Mapping'!$AI$5:$AI$83&gt;0)))</f>
        <v>1</v>
      </c>
      <c r="K577" s="31" t="n">
        <f aca="false">IF(NOT(ISNUMBER($G577)),"",SUMPRODUCT(('Control Mapping'!$C$5:$C$83=D577)*('Control Mapping'!$F$5:$F$83="Y")*('Control Mapping'!$AI$5:$AI$83=4)))</f>
        <v>0</v>
      </c>
      <c r="L577" s="29" t="n">
        <f aca="false">IF(NOT(ISNUMBER($G577)),"",IFERROR(SUMPRODUCT(('Control Mapping'!$C$5:$C$83=D577)*'Control Mapping'!$E$5:$E$83*'Control Mapping'!$AI$5:$AI$83)/SUMPRODUCT(('Control Mapping'!$C$5:$C$83=D577)*'Control Mapping'!$E$5:$E$83*('Control Mapping'!$AI$5:$AI$83&gt;0)),""))</f>
        <v>1</v>
      </c>
      <c r="M577" s="34" t="n">
        <f aca="false">IF(NOT(ISNUMBER($G577)),"",IF(J577=0,4,MAX(MATCH(L577,'Residual Config'!$E$11:$E$14,1),IF(K577&gt;0,'Residual Config'!$C$7,1))))</f>
        <v>1</v>
      </c>
      <c r="N577" s="7" t="str">
        <f aca="false">IF(NOT(ISNUMBER($G577)),"",IF(J577=0,"Ineffective (no key control)",INDEX('Residual Config'!$B$11:$B$14,M577)))</f>
        <v>Effective</v>
      </c>
      <c r="O577" s="36" t="n">
        <f aca="false">IF(NOT(ISNUMBER($G577)),"",IF(J577=0,0,SUMPRODUCT(('Control Mapping'!$C$5:$C$83=D577)*'Control Mapping'!$E$5:$E$83*(('Control Mapping'!$AI$5:$AI$83=1)*'Residual Config'!$D$11+('Control Mapping'!$AI$5:$AI$83=2)*'Residual Config'!$D$12+('Control Mapping'!$AI$5:$AI$83=3)*'Residual Config'!$D$13+('Control Mapping'!$AI$5:$AI$83=4)*'Residual Config'!$D$14))/SUMPRODUCT(('Control Mapping'!$C$5:$C$83=D577)*'Control Mapping'!$E$5:$E$83*('Control Mapping'!$AI$5:$AI$83&gt;0))))</f>
        <v>0.6</v>
      </c>
      <c r="P577" s="31" t="n">
        <f aca="false">IF(NOT(ISNUMBER($G577)),"",INDEX('Residual Config'!$B$19:$E$23,6-G577,M577))</f>
        <v>1</v>
      </c>
      <c r="Q577" s="29" t="n">
        <f aca="false">IF(NOT(ISNUMBER($G577)),"",MAX(1,F577*(1-O577)))</f>
        <v>1</v>
      </c>
      <c r="R577" s="31" t="n">
        <f aca="false">IF(NOT(ISNUMBER($G577)),"",MAX(MATCH(Q577,Config!$D$5:$D$9,1),G577-'Residual Config'!$C$6))</f>
        <v>1</v>
      </c>
      <c r="S577" s="34" t="n">
        <f aca="false">IF(NOT(ISNUMBER($G577)),"",IF('Residual Config'!$C$5="Numeric",R577,P577))</f>
        <v>1</v>
      </c>
      <c r="T577" s="7" t="str">
        <f aca="false">IF(G577="N/A","N/A",IF(S577="","No data",INDEX(Config!$B$5:$B$9,S577)))</f>
        <v>Low</v>
      </c>
      <c r="U577" s="32" t="n">
        <v>0</v>
      </c>
      <c r="V577" s="8"/>
      <c r="W577" s="33"/>
      <c r="X577" s="34" t="n">
        <f aca="false">IF(S577="","",IF(AND(W577="Y",U577&lt;&gt;0),MAX(1,MIN(5,S577+MAX(-Config!$C$27,MIN(Config!$C$27,U577)))),S577))</f>
        <v>1</v>
      </c>
      <c r="Y577" s="35" t="str">
        <f aca="false">IF(G577="N/A","N/A",IF(X577="","No data",INDEX(Config!$B$5:$B$9,X577)))</f>
        <v>Low</v>
      </c>
      <c r="Z577" s="7" t="str">
        <f aca="false">IF(U577=0,"None",IF(W577="Y","Applied","Pending HO approval"))</f>
        <v>None</v>
      </c>
      <c r="AA577" s="12" t="str">
        <f aca="false">INDEX('Risk Taxonomy'!$G$5:$G$24,MATCH(D577,'Risk Taxonomy'!$A$5:$A$24,0))</f>
        <v>Moderate</v>
      </c>
      <c r="AB577" s="7" t="str">
        <f aca="false">INDEX('Risk Taxonomy'!$H$5:$H$24,MATCH(D577,'Risk Taxonomy'!$A$5:$A$24,0))</f>
        <v>Medium-High</v>
      </c>
      <c r="AC577" s="35" t="str">
        <f aca="false">IF(NOT(ISNUMBER(X577)),"",IF(X577&lt;=MATCH(AB577,Config!$B$5:$B$9,0),"Within",IF(OR(X577-MATCH(AB577,Config!$B$5:$B$9,0)&gt;=2,AND('Residual Config'!$C$8="Y",ISNUMBER(SEARCH("Zero",AA577)))),"Red","Amber")))</f>
        <v>Within</v>
      </c>
      <c r="AD577" s="12" t="str">
        <f aca="false">IF(AC577="Red","Group CCO / CRO and Country CEO within 2 business days; action plan in 15 days; report to Board Risk &amp; Compliance Committee",IF(AC577="Amber","Country CO, risk owner and HO Administrator within 5 business days; action plan in 30 days",""))</f>
        <v/>
      </c>
    </row>
    <row r="578" customFormat="false" ht="15" hidden="false" customHeight="false" outlineLevel="0" collapsed="false">
      <c r="A578" s="26" t="str">
        <f aca="false">Entities!$A$33</f>
        <v>AU</v>
      </c>
      <c r="B578" s="12" t="str">
        <f aca="false">INDEX(Entities!$B$5:$B$34,MATCH(A578,Entities!$A$5:$A$34,0))</f>
        <v>Arab Bank Australia</v>
      </c>
      <c r="C578" s="12" t="str">
        <f aca="false">INDEX(Entities!$D$5:$D$34,MATCH(A578,Entities!$A$5:$A$34,0))</f>
        <v>Asia-Pacific</v>
      </c>
      <c r="D578" s="12" t="s">
        <v>304</v>
      </c>
      <c r="E578" s="12" t="str">
        <f aca="false">INDEX('Risk Taxonomy'!$B$5:$B$24,MATCH(D578,'Risk Taxonomy'!$A$5:$A$24,0))</f>
        <v>Liquidity and funding risk</v>
      </c>
      <c r="F578" s="29" t="n">
        <f aca="false">IF(NOT(ISNUMBER(G578)),"",G578)</f>
        <v>3</v>
      </c>
      <c r="G578" s="34" t="n">
        <f aca="false">IF(COUNTIFS('LxI Assessment'!$A$5:$A$394,A578,'LxI Assessment'!$D$5:$D$394,D578,'LxI Assessment'!$F$5:$F$394,"N/A")&gt;0,"N/A",IF(COUNTIFS('LxI Assessment'!$A$5:$A$394,A578,'LxI Assessment'!$D$5:$D$394,D578,'LxI Assessment'!$S$5:$S$394,"&gt;0")=0,"",SUMIFS('LxI Assessment'!$S$5:$S$394,'LxI Assessment'!$A$5:$A$394,A578,'LxI Assessment'!$D$5:$D$394,D578)))</f>
        <v>3</v>
      </c>
      <c r="H578" s="7" t="str">
        <f aca="false">IF(G578="N/A","N/A",IF(G578="","No data",INDEX(Config!$B$5:$B$9,G578)))</f>
        <v>Medium</v>
      </c>
      <c r="I578" s="31" t="n">
        <f aca="false">IF(NOT(ISNUMBER($G578)),"",SUMPRODUCT(('Control Mapping'!$C$5:$C$83=D578)*('Control Mapping'!$AI$5:$AI$83&gt;0)))</f>
        <v>1</v>
      </c>
      <c r="J578" s="31" t="n">
        <f aca="false">IF(NOT(ISNUMBER($G578)),"",SUMPRODUCT(('Control Mapping'!$C$5:$C$83=D578)*('Control Mapping'!$F$5:$F$83="Y")*('Control Mapping'!$AI$5:$AI$83&gt;0)))</f>
        <v>1</v>
      </c>
      <c r="K578" s="31" t="n">
        <f aca="false">IF(NOT(ISNUMBER($G578)),"",SUMPRODUCT(('Control Mapping'!$C$5:$C$83=D578)*('Control Mapping'!$F$5:$F$83="Y")*('Control Mapping'!$AI$5:$AI$83=4)))</f>
        <v>0</v>
      </c>
      <c r="L578" s="29" t="n">
        <f aca="false">IF(NOT(ISNUMBER($G578)),"",IFERROR(SUMPRODUCT(('Control Mapping'!$C$5:$C$83=D578)*'Control Mapping'!$E$5:$E$83*'Control Mapping'!$AI$5:$AI$83)/SUMPRODUCT(('Control Mapping'!$C$5:$C$83=D578)*'Control Mapping'!$E$5:$E$83*('Control Mapping'!$AI$5:$AI$83&gt;0)),""))</f>
        <v>2</v>
      </c>
      <c r="M578" s="34" t="n">
        <f aca="false">IF(NOT(ISNUMBER($G578)),"",IF(J578=0,4,MAX(MATCH(L578,'Residual Config'!$E$11:$E$14,1),IF(K578&gt;0,'Residual Config'!$C$7,1))))</f>
        <v>2</v>
      </c>
      <c r="N578" s="7" t="str">
        <f aca="false">IF(NOT(ISNUMBER($G578)),"",IF(J578=0,"Ineffective (no key control)",INDEX('Residual Config'!$B$11:$B$14,M578)))</f>
        <v>Largely effective</v>
      </c>
      <c r="O578" s="36" t="n">
        <f aca="false">IF(NOT(ISNUMBER($G578)),"",IF(J578=0,0,SUMPRODUCT(('Control Mapping'!$C$5:$C$83=D578)*'Control Mapping'!$E$5:$E$83*(('Control Mapping'!$AI$5:$AI$83=1)*'Residual Config'!$D$11+('Control Mapping'!$AI$5:$AI$83=2)*'Residual Config'!$D$12+('Control Mapping'!$AI$5:$AI$83=3)*'Residual Config'!$D$13+('Control Mapping'!$AI$5:$AI$83=4)*'Residual Config'!$D$14))/SUMPRODUCT(('Control Mapping'!$C$5:$C$83=D578)*'Control Mapping'!$E$5:$E$83*('Control Mapping'!$AI$5:$AI$83&gt;0))))</f>
        <v>0.4</v>
      </c>
      <c r="P578" s="31" t="n">
        <f aca="false">IF(NOT(ISNUMBER($G578)),"",INDEX('Residual Config'!$B$19:$E$23,6-G578,M578))</f>
        <v>2</v>
      </c>
      <c r="Q578" s="29" t="n">
        <f aca="false">IF(NOT(ISNUMBER($G578)),"",MAX(1,F578*(1-O578)))</f>
        <v>1.8</v>
      </c>
      <c r="R578" s="31" t="n">
        <f aca="false">IF(NOT(ISNUMBER($G578)),"",MAX(MATCH(Q578,Config!$D$5:$D$9,1),G578-'Residual Config'!$C$6))</f>
        <v>1</v>
      </c>
      <c r="S578" s="34" t="n">
        <f aca="false">IF(NOT(ISNUMBER($G578)),"",IF('Residual Config'!$C$5="Numeric",R578,P578))</f>
        <v>2</v>
      </c>
      <c r="T578" s="7" t="str">
        <f aca="false">IF(G578="N/A","N/A",IF(S578="","No data",INDEX(Config!$B$5:$B$9,S578)))</f>
        <v>Medium-Low</v>
      </c>
      <c r="U578" s="32" t="n">
        <v>0</v>
      </c>
      <c r="V578" s="8"/>
      <c r="W578" s="33"/>
      <c r="X578" s="34" t="n">
        <f aca="false">IF(S578="","",IF(AND(W578="Y",U578&lt;&gt;0),MAX(1,MIN(5,S578+MAX(-Config!$C$27,MIN(Config!$C$27,U578)))),S578))</f>
        <v>2</v>
      </c>
      <c r="Y578" s="35" t="str">
        <f aca="false">IF(G578="N/A","N/A",IF(X578="","No data",INDEX(Config!$B$5:$B$9,X578)))</f>
        <v>Medium-Low</v>
      </c>
      <c r="Z578" s="7" t="str">
        <f aca="false">IF(U578=0,"None",IF(W578="Y","Applied","Pending HO approval"))</f>
        <v>None</v>
      </c>
      <c r="AA578" s="12" t="str">
        <f aca="false">INDEX('Risk Taxonomy'!$G$5:$G$24,MATCH(D578,'Risk Taxonomy'!$A$5:$A$24,0))</f>
        <v>Low</v>
      </c>
      <c r="AB578" s="7" t="str">
        <f aca="false">INDEX('Risk Taxonomy'!$H$5:$H$24,MATCH(D578,'Risk Taxonomy'!$A$5:$A$24,0))</f>
        <v>Medium</v>
      </c>
      <c r="AC578" s="35" t="str">
        <f aca="false">IF(NOT(ISNUMBER(X578)),"",IF(X578&lt;=MATCH(AB578,Config!$B$5:$B$9,0),"Within",IF(OR(X578-MATCH(AB578,Config!$B$5:$B$9,0)&gt;=2,AND('Residual Config'!$C$8="Y",ISNUMBER(SEARCH("Zero",AA578)))),"Red","Amber")))</f>
        <v>Within</v>
      </c>
      <c r="AD578" s="12" t="str">
        <f aca="false">IF(AC578="Red","Group CCO / CRO and Country CEO within 2 business days; action plan in 15 days; report to Board Risk &amp; Compliance Committee",IF(AC578="Amber","Country CO, risk owner and HO Administrator within 5 business days; action plan in 30 days",""))</f>
        <v/>
      </c>
    </row>
    <row r="579" customFormat="false" ht="15" hidden="false" customHeight="false" outlineLevel="0" collapsed="false">
      <c r="A579" s="26" t="str">
        <f aca="false">Entities!$A$33</f>
        <v>AU</v>
      </c>
      <c r="B579" s="12" t="str">
        <f aca="false">INDEX(Entities!$B$5:$B$34,MATCH(A579,Entities!$A$5:$A$34,0))</f>
        <v>Arab Bank Australia</v>
      </c>
      <c r="C579" s="12" t="str">
        <f aca="false">INDEX(Entities!$D$5:$D$34,MATCH(A579,Entities!$A$5:$A$34,0))</f>
        <v>Asia-Pacific</v>
      </c>
      <c r="D579" s="12" t="s">
        <v>307</v>
      </c>
      <c r="E579" s="12" t="str">
        <f aca="false">INDEX('Risk Taxonomy'!$B$5:$B$24,MATCH(D579,'Risk Taxonomy'!$A$5:$A$24,0))</f>
        <v>Operational risk</v>
      </c>
      <c r="F579" s="29" t="n">
        <f aca="false">IF(NOT(ISNUMBER(G579)),"",G579)</f>
        <v>4</v>
      </c>
      <c r="G579" s="34" t="n">
        <f aca="false">IF(COUNTIFS('LxI Assessment'!$A$5:$A$394,A579,'LxI Assessment'!$D$5:$D$394,D579,'LxI Assessment'!$F$5:$F$394,"N/A")&gt;0,"N/A",IF(COUNTIFS('LxI Assessment'!$A$5:$A$394,A579,'LxI Assessment'!$D$5:$D$394,D579,'LxI Assessment'!$S$5:$S$394,"&gt;0")=0,"",SUMIFS('LxI Assessment'!$S$5:$S$394,'LxI Assessment'!$A$5:$A$394,A579,'LxI Assessment'!$D$5:$D$394,D579)))</f>
        <v>4</v>
      </c>
      <c r="H579" s="7" t="str">
        <f aca="false">IF(G579="N/A","N/A",IF(G579="","No data",INDEX(Config!$B$5:$B$9,G579)))</f>
        <v>Medium-High</v>
      </c>
      <c r="I579" s="31" t="n">
        <f aca="false">IF(NOT(ISNUMBER($G579)),"",SUMPRODUCT(('Control Mapping'!$C$5:$C$83=D579)*('Control Mapping'!$AI$5:$AI$83&gt;0)))</f>
        <v>3</v>
      </c>
      <c r="J579" s="31" t="n">
        <f aca="false">IF(NOT(ISNUMBER($G579)),"",SUMPRODUCT(('Control Mapping'!$C$5:$C$83=D579)*('Control Mapping'!$F$5:$F$83="Y")*('Control Mapping'!$AI$5:$AI$83&gt;0)))</f>
        <v>2</v>
      </c>
      <c r="K579" s="31" t="n">
        <f aca="false">IF(NOT(ISNUMBER($G579)),"",SUMPRODUCT(('Control Mapping'!$C$5:$C$83=D579)*('Control Mapping'!$F$5:$F$83="Y")*('Control Mapping'!$AI$5:$AI$83=4)))</f>
        <v>0</v>
      </c>
      <c r="L579" s="29" t="n">
        <f aca="false">IF(NOT(ISNUMBER($G579)),"",IFERROR(SUMPRODUCT(('Control Mapping'!$C$5:$C$83=D579)*'Control Mapping'!$E$5:$E$83*'Control Mapping'!$AI$5:$AI$83)/SUMPRODUCT(('Control Mapping'!$C$5:$C$83=D579)*'Control Mapping'!$E$5:$E$83*('Control Mapping'!$AI$5:$AI$83&gt;0)),""))</f>
        <v>1.33333333333333</v>
      </c>
      <c r="M579" s="34" t="n">
        <f aca="false">IF(NOT(ISNUMBER($G579)),"",IF(J579=0,4,MAX(MATCH(L579,'Residual Config'!$E$11:$E$14,1),IF(K579&gt;0,'Residual Config'!$C$7,1))))</f>
        <v>1</v>
      </c>
      <c r="N579" s="7" t="str">
        <f aca="false">IF(NOT(ISNUMBER($G579)),"",IF(J579=0,"Ineffective (no key control)",INDEX('Residual Config'!$B$11:$B$14,M579)))</f>
        <v>Effective</v>
      </c>
      <c r="O579" s="36" t="n">
        <f aca="false">IF(NOT(ISNUMBER($G579)),"",IF(J579=0,0,SUMPRODUCT(('Control Mapping'!$C$5:$C$83=D579)*'Control Mapping'!$E$5:$E$83*(('Control Mapping'!$AI$5:$AI$83=1)*'Residual Config'!$D$11+('Control Mapping'!$AI$5:$AI$83=2)*'Residual Config'!$D$12+('Control Mapping'!$AI$5:$AI$83=3)*'Residual Config'!$D$13+('Control Mapping'!$AI$5:$AI$83=4)*'Residual Config'!$D$14))/SUMPRODUCT(('Control Mapping'!$C$5:$C$83=D579)*'Control Mapping'!$E$5:$E$83*('Control Mapping'!$AI$5:$AI$83&gt;0))))</f>
        <v>0.533333333333333</v>
      </c>
      <c r="P579" s="31" t="n">
        <f aca="false">IF(NOT(ISNUMBER($G579)),"",INDEX('Residual Config'!$B$19:$E$23,6-G579,M579))</f>
        <v>2</v>
      </c>
      <c r="Q579" s="29" t="n">
        <f aca="false">IF(NOT(ISNUMBER($G579)),"",MAX(1,F579*(1-O579)))</f>
        <v>1.86666666666667</v>
      </c>
      <c r="R579" s="31" t="n">
        <f aca="false">IF(NOT(ISNUMBER($G579)),"",MAX(MATCH(Q579,Config!$D$5:$D$9,1),G579-'Residual Config'!$C$6))</f>
        <v>2</v>
      </c>
      <c r="S579" s="34" t="n">
        <f aca="false">IF(NOT(ISNUMBER($G579)),"",IF('Residual Config'!$C$5="Numeric",R579,P579))</f>
        <v>2</v>
      </c>
      <c r="T579" s="7" t="str">
        <f aca="false">IF(G579="N/A","N/A",IF(S579="","No data",INDEX(Config!$B$5:$B$9,S579)))</f>
        <v>Medium-Low</v>
      </c>
      <c r="U579" s="32" t="n">
        <v>0</v>
      </c>
      <c r="V579" s="8"/>
      <c r="W579" s="33"/>
      <c r="X579" s="34" t="n">
        <f aca="false">IF(S579="","",IF(AND(W579="Y",U579&lt;&gt;0),MAX(1,MIN(5,S579+MAX(-Config!$C$27,MIN(Config!$C$27,U579)))),S579))</f>
        <v>2</v>
      </c>
      <c r="Y579" s="35" t="str">
        <f aca="false">IF(G579="N/A","N/A",IF(X579="","No data",INDEX(Config!$B$5:$B$9,X579)))</f>
        <v>Medium-Low</v>
      </c>
      <c r="Z579" s="7" t="str">
        <f aca="false">IF(U579=0,"None",IF(W579="Y","Applied","Pending HO approval"))</f>
        <v>None</v>
      </c>
      <c r="AA579" s="12" t="str">
        <f aca="false">INDEX('Risk Taxonomy'!$G$5:$G$24,MATCH(D579,'Risk Taxonomy'!$A$5:$A$24,0))</f>
        <v>Low</v>
      </c>
      <c r="AB579" s="7" t="str">
        <f aca="false">INDEX('Risk Taxonomy'!$H$5:$H$24,MATCH(D579,'Risk Taxonomy'!$A$5:$A$24,0))</f>
        <v>Medium</v>
      </c>
      <c r="AC579" s="35" t="str">
        <f aca="false">IF(NOT(ISNUMBER(X579)),"",IF(X579&lt;=MATCH(AB579,Config!$B$5:$B$9,0),"Within",IF(OR(X579-MATCH(AB579,Config!$B$5:$B$9,0)&gt;=2,AND('Residual Config'!$C$8="Y",ISNUMBER(SEARCH("Zero",AA579)))),"Red","Amber")))</f>
        <v>Within</v>
      </c>
      <c r="AD579" s="12" t="str">
        <f aca="false">IF(AC579="Red","Group CCO / CRO and Country CEO within 2 business days; action plan in 15 days; report to Board Risk &amp; Compliance Committee",IF(AC579="Amber","Country CO, risk owner and HO Administrator within 5 business days; action plan in 30 days",""))</f>
        <v/>
      </c>
    </row>
    <row r="580" customFormat="false" ht="15" hidden="false" customHeight="false" outlineLevel="0" collapsed="false">
      <c r="A580" s="26" t="str">
        <f aca="false">Entities!$A$33</f>
        <v>AU</v>
      </c>
      <c r="B580" s="12" t="str">
        <f aca="false">INDEX(Entities!$B$5:$B$34,MATCH(A580,Entities!$A$5:$A$34,0))</f>
        <v>Arab Bank Australia</v>
      </c>
      <c r="C580" s="12" t="str">
        <f aca="false">INDEX(Entities!$D$5:$D$34,MATCH(A580,Entities!$A$5:$A$34,0))</f>
        <v>Asia-Pacific</v>
      </c>
      <c r="D580" s="12" t="s">
        <v>310</v>
      </c>
      <c r="E580" s="12" t="str">
        <f aca="false">INDEX('Risk Taxonomy'!$B$5:$B$24,MATCH(D580,'Risk Taxonomy'!$A$5:$A$24,0))</f>
        <v>Cyber, information security and technology</v>
      </c>
      <c r="F580" s="29" t="n">
        <f aca="false">IF(NOT(ISNUMBER(G580)),"",G580)</f>
        <v>3</v>
      </c>
      <c r="G580" s="34" t="n">
        <f aca="false">IF(COUNTIFS('LxI Assessment'!$A$5:$A$394,A580,'LxI Assessment'!$D$5:$D$394,D580,'LxI Assessment'!$F$5:$F$394,"N/A")&gt;0,"N/A",IF(COUNTIFS('LxI Assessment'!$A$5:$A$394,A580,'LxI Assessment'!$D$5:$D$394,D580,'LxI Assessment'!$S$5:$S$394,"&gt;0")=0,"",SUMIFS('LxI Assessment'!$S$5:$S$394,'LxI Assessment'!$A$5:$A$394,A580,'LxI Assessment'!$D$5:$D$394,D580)))</f>
        <v>3</v>
      </c>
      <c r="H580" s="7" t="str">
        <f aca="false">IF(G580="N/A","N/A",IF(G580="","No data",INDEX(Config!$B$5:$B$9,G580)))</f>
        <v>Medium</v>
      </c>
      <c r="I580" s="31" t="n">
        <f aca="false">IF(NOT(ISNUMBER($G580)),"",SUMPRODUCT(('Control Mapping'!$C$5:$C$83=D580)*('Control Mapping'!$AI$5:$AI$83&gt;0)))</f>
        <v>4</v>
      </c>
      <c r="J580" s="31" t="n">
        <f aca="false">IF(NOT(ISNUMBER($G580)),"",SUMPRODUCT(('Control Mapping'!$C$5:$C$83=D580)*('Control Mapping'!$F$5:$F$83="Y")*('Control Mapping'!$AI$5:$AI$83&gt;0)))</f>
        <v>4</v>
      </c>
      <c r="K580" s="31" t="n">
        <f aca="false">IF(NOT(ISNUMBER($G580)),"",SUMPRODUCT(('Control Mapping'!$C$5:$C$83=D580)*('Control Mapping'!$F$5:$F$83="Y")*('Control Mapping'!$AI$5:$AI$83=4)))</f>
        <v>0</v>
      </c>
      <c r="L580" s="29" t="n">
        <f aca="false">IF(NOT(ISNUMBER($G580)),"",IFERROR(SUMPRODUCT(('Control Mapping'!$C$5:$C$83=D580)*'Control Mapping'!$E$5:$E$83*'Control Mapping'!$AI$5:$AI$83)/SUMPRODUCT(('Control Mapping'!$C$5:$C$83=D580)*'Control Mapping'!$E$5:$E$83*('Control Mapping'!$AI$5:$AI$83&gt;0)),""))</f>
        <v>1.42857142857143</v>
      </c>
      <c r="M580" s="34" t="n">
        <f aca="false">IF(NOT(ISNUMBER($G580)),"",IF(J580=0,4,MAX(MATCH(L580,'Residual Config'!$E$11:$E$14,1),IF(K580&gt;0,'Residual Config'!$C$7,1))))</f>
        <v>1</v>
      </c>
      <c r="N580" s="7" t="str">
        <f aca="false">IF(NOT(ISNUMBER($G580)),"",IF(J580=0,"Ineffective (no key control)",INDEX('Residual Config'!$B$11:$B$14,M580)))</f>
        <v>Effective</v>
      </c>
      <c r="O580" s="36" t="n">
        <f aca="false">IF(NOT(ISNUMBER($G580)),"",IF(J580=0,0,SUMPRODUCT(('Control Mapping'!$C$5:$C$83=D580)*'Control Mapping'!$E$5:$E$83*(('Control Mapping'!$AI$5:$AI$83=1)*'Residual Config'!$D$11+('Control Mapping'!$AI$5:$AI$83=2)*'Residual Config'!$D$12+('Control Mapping'!$AI$5:$AI$83=3)*'Residual Config'!$D$13+('Control Mapping'!$AI$5:$AI$83=4)*'Residual Config'!$D$14))/SUMPRODUCT(('Control Mapping'!$C$5:$C$83=D580)*'Control Mapping'!$E$5:$E$83*('Control Mapping'!$AI$5:$AI$83&gt;0))))</f>
        <v>0.514285714285714</v>
      </c>
      <c r="P580" s="31" t="n">
        <f aca="false">IF(NOT(ISNUMBER($G580)),"",INDEX('Residual Config'!$B$19:$E$23,6-G580,M580))</f>
        <v>1</v>
      </c>
      <c r="Q580" s="29" t="n">
        <f aca="false">IF(NOT(ISNUMBER($G580)),"",MAX(1,F580*(1-O580)))</f>
        <v>1.45714285714286</v>
      </c>
      <c r="R580" s="31" t="n">
        <f aca="false">IF(NOT(ISNUMBER($G580)),"",MAX(MATCH(Q580,Config!$D$5:$D$9,1),G580-'Residual Config'!$C$6))</f>
        <v>1</v>
      </c>
      <c r="S580" s="34" t="n">
        <f aca="false">IF(NOT(ISNUMBER($G580)),"",IF('Residual Config'!$C$5="Numeric",R580,P580))</f>
        <v>1</v>
      </c>
      <c r="T580" s="7" t="str">
        <f aca="false">IF(G580="N/A","N/A",IF(S580="","No data",INDEX(Config!$B$5:$B$9,S580)))</f>
        <v>Low</v>
      </c>
      <c r="U580" s="32" t="n">
        <v>0</v>
      </c>
      <c r="V580" s="8"/>
      <c r="W580" s="33"/>
      <c r="X580" s="34" t="n">
        <f aca="false">IF(S580="","",IF(AND(W580="Y",U580&lt;&gt;0),MAX(1,MIN(5,S580+MAX(-Config!$C$27,MIN(Config!$C$27,U580)))),S580))</f>
        <v>1</v>
      </c>
      <c r="Y580" s="35" t="str">
        <f aca="false">IF(G580="N/A","N/A",IF(X580="","No data",INDEX(Config!$B$5:$B$9,X580)))</f>
        <v>Low</v>
      </c>
      <c r="Z580" s="7" t="str">
        <f aca="false">IF(U580=0,"None",IF(W580="Y","Applied","Pending HO approval"))</f>
        <v>None</v>
      </c>
      <c r="AA580" s="12" t="str">
        <f aca="false">INDEX('Risk Taxonomy'!$G$5:$G$24,MATCH(D580,'Risk Taxonomy'!$A$5:$A$24,0))</f>
        <v>Very low</v>
      </c>
      <c r="AB580" s="7" t="str">
        <f aca="false">INDEX('Risk Taxonomy'!$H$5:$H$24,MATCH(D580,'Risk Taxonomy'!$A$5:$A$24,0))</f>
        <v>Medium-Low</v>
      </c>
      <c r="AC580" s="35" t="str">
        <f aca="false">IF(NOT(ISNUMBER(X580)),"",IF(X580&lt;=MATCH(AB580,Config!$B$5:$B$9,0),"Within",IF(OR(X580-MATCH(AB580,Config!$B$5:$B$9,0)&gt;=2,AND('Residual Config'!$C$8="Y",ISNUMBER(SEARCH("Zero",AA580)))),"Red","Amber")))</f>
        <v>Within</v>
      </c>
      <c r="AD580" s="12" t="str">
        <f aca="false">IF(AC580="Red","Group CCO / CRO and Country CEO within 2 business days; action plan in 15 days; report to Board Risk &amp; Compliance Committee",IF(AC580="Amber","Country CO, risk owner and HO Administrator within 5 business days; action plan in 30 days",""))</f>
        <v/>
      </c>
    </row>
    <row r="581" customFormat="false" ht="15" hidden="false" customHeight="false" outlineLevel="0" collapsed="false">
      <c r="A581" s="26" t="str">
        <f aca="false">Entities!$A$33</f>
        <v>AU</v>
      </c>
      <c r="B581" s="12" t="str">
        <f aca="false">INDEX(Entities!$B$5:$B$34,MATCH(A581,Entities!$A$5:$A$34,0))</f>
        <v>Arab Bank Australia</v>
      </c>
      <c r="C581" s="12" t="str">
        <f aca="false">INDEX(Entities!$D$5:$D$34,MATCH(A581,Entities!$A$5:$A$34,0))</f>
        <v>Asia-Pacific</v>
      </c>
      <c r="D581" s="12" t="s">
        <v>313</v>
      </c>
      <c r="E581" s="12" t="str">
        <f aca="false">INDEX('Risk Taxonomy'!$B$5:$B$24,MATCH(D581,'Risk Taxonomy'!$A$5:$A$24,0))</f>
        <v>Third-party and outsourcing</v>
      </c>
      <c r="F581" s="29" t="n">
        <f aca="false">IF(NOT(ISNUMBER(G581)),"",G581)</f>
        <v>2</v>
      </c>
      <c r="G581" s="34" t="n">
        <f aca="false">IF(COUNTIFS('LxI Assessment'!$A$5:$A$394,A581,'LxI Assessment'!$D$5:$D$394,D581,'LxI Assessment'!$F$5:$F$394,"N/A")&gt;0,"N/A",IF(COUNTIFS('LxI Assessment'!$A$5:$A$394,A581,'LxI Assessment'!$D$5:$D$394,D581,'LxI Assessment'!$S$5:$S$394,"&gt;0")=0,"",SUMIFS('LxI Assessment'!$S$5:$S$394,'LxI Assessment'!$A$5:$A$394,A581,'LxI Assessment'!$D$5:$D$394,D581)))</f>
        <v>2</v>
      </c>
      <c r="H581" s="7" t="str">
        <f aca="false">IF(G581="N/A","N/A",IF(G581="","No data",INDEX(Config!$B$5:$B$9,G581)))</f>
        <v>Medium-Low</v>
      </c>
      <c r="I581" s="31" t="n">
        <f aca="false">IF(NOT(ISNUMBER($G581)),"",SUMPRODUCT(('Control Mapping'!$C$5:$C$83=D581)*('Control Mapping'!$AI$5:$AI$83&gt;0)))</f>
        <v>2</v>
      </c>
      <c r="J581" s="31" t="n">
        <f aca="false">IF(NOT(ISNUMBER($G581)),"",SUMPRODUCT(('Control Mapping'!$C$5:$C$83=D581)*('Control Mapping'!$F$5:$F$83="Y")*('Control Mapping'!$AI$5:$AI$83&gt;0)))</f>
        <v>2</v>
      </c>
      <c r="K581" s="31" t="n">
        <f aca="false">IF(NOT(ISNUMBER($G581)),"",SUMPRODUCT(('Control Mapping'!$C$5:$C$83=D581)*('Control Mapping'!$F$5:$F$83="Y")*('Control Mapping'!$AI$5:$AI$83=4)))</f>
        <v>0</v>
      </c>
      <c r="L581" s="29" t="n">
        <f aca="false">IF(NOT(ISNUMBER($G581)),"",IFERROR(SUMPRODUCT(('Control Mapping'!$C$5:$C$83=D581)*'Control Mapping'!$E$5:$E$83*'Control Mapping'!$AI$5:$AI$83)/SUMPRODUCT(('Control Mapping'!$C$5:$C$83=D581)*'Control Mapping'!$E$5:$E$83*('Control Mapping'!$AI$5:$AI$83&gt;0)),""))</f>
        <v>1</v>
      </c>
      <c r="M581" s="34" t="n">
        <f aca="false">IF(NOT(ISNUMBER($G581)),"",IF(J581=0,4,MAX(MATCH(L581,'Residual Config'!$E$11:$E$14,1),IF(K581&gt;0,'Residual Config'!$C$7,1))))</f>
        <v>1</v>
      </c>
      <c r="N581" s="7" t="str">
        <f aca="false">IF(NOT(ISNUMBER($G581)),"",IF(J581=0,"Ineffective (no key control)",INDEX('Residual Config'!$B$11:$B$14,M581)))</f>
        <v>Effective</v>
      </c>
      <c r="O581" s="36" t="n">
        <f aca="false">IF(NOT(ISNUMBER($G581)),"",IF(J581=0,0,SUMPRODUCT(('Control Mapping'!$C$5:$C$83=D581)*'Control Mapping'!$E$5:$E$83*(('Control Mapping'!$AI$5:$AI$83=1)*'Residual Config'!$D$11+('Control Mapping'!$AI$5:$AI$83=2)*'Residual Config'!$D$12+('Control Mapping'!$AI$5:$AI$83=3)*'Residual Config'!$D$13+('Control Mapping'!$AI$5:$AI$83=4)*'Residual Config'!$D$14))/SUMPRODUCT(('Control Mapping'!$C$5:$C$83=D581)*'Control Mapping'!$E$5:$E$83*('Control Mapping'!$AI$5:$AI$83&gt;0))))</f>
        <v>0.6</v>
      </c>
      <c r="P581" s="31" t="n">
        <f aca="false">IF(NOT(ISNUMBER($G581)),"",INDEX('Residual Config'!$B$19:$E$23,6-G581,M581))</f>
        <v>1</v>
      </c>
      <c r="Q581" s="29" t="n">
        <f aca="false">IF(NOT(ISNUMBER($G581)),"",MAX(1,F581*(1-O581)))</f>
        <v>1</v>
      </c>
      <c r="R581" s="31" t="n">
        <f aca="false">IF(NOT(ISNUMBER($G581)),"",MAX(MATCH(Q581,Config!$D$5:$D$9,1),G581-'Residual Config'!$C$6))</f>
        <v>1</v>
      </c>
      <c r="S581" s="34" t="n">
        <f aca="false">IF(NOT(ISNUMBER($G581)),"",IF('Residual Config'!$C$5="Numeric",R581,P581))</f>
        <v>1</v>
      </c>
      <c r="T581" s="7" t="str">
        <f aca="false">IF(G581="N/A","N/A",IF(S581="","No data",INDEX(Config!$B$5:$B$9,S581)))</f>
        <v>Low</v>
      </c>
      <c r="U581" s="32" t="n">
        <v>0</v>
      </c>
      <c r="V581" s="8"/>
      <c r="W581" s="33"/>
      <c r="X581" s="34" t="n">
        <f aca="false">IF(S581="","",IF(AND(W581="Y",U581&lt;&gt;0),MAX(1,MIN(5,S581+MAX(-Config!$C$27,MIN(Config!$C$27,U581)))),S581))</f>
        <v>1</v>
      </c>
      <c r="Y581" s="35" t="str">
        <f aca="false">IF(G581="N/A","N/A",IF(X581="","No data",INDEX(Config!$B$5:$B$9,X581)))</f>
        <v>Low</v>
      </c>
      <c r="Z581" s="7" t="str">
        <f aca="false">IF(U581=0,"None",IF(W581="Y","Applied","Pending HO approval"))</f>
        <v>None</v>
      </c>
      <c r="AA581" s="12" t="str">
        <f aca="false">INDEX('Risk Taxonomy'!$G$5:$G$24,MATCH(D581,'Risk Taxonomy'!$A$5:$A$24,0))</f>
        <v>Low</v>
      </c>
      <c r="AB581" s="7" t="str">
        <f aca="false">INDEX('Risk Taxonomy'!$H$5:$H$24,MATCH(D581,'Risk Taxonomy'!$A$5:$A$24,0))</f>
        <v>Medium</v>
      </c>
      <c r="AC581" s="35" t="str">
        <f aca="false">IF(NOT(ISNUMBER(X581)),"",IF(X581&lt;=MATCH(AB581,Config!$B$5:$B$9,0),"Within",IF(OR(X581-MATCH(AB581,Config!$B$5:$B$9,0)&gt;=2,AND('Residual Config'!$C$8="Y",ISNUMBER(SEARCH("Zero",AA581)))),"Red","Amber")))</f>
        <v>Within</v>
      </c>
      <c r="AD581" s="12" t="str">
        <f aca="false">IF(AC581="Red","Group CCO / CRO and Country CEO within 2 business days; action plan in 15 days; report to Board Risk &amp; Compliance Committee",IF(AC581="Amber","Country CO, risk owner and HO Administrator within 5 business days; action plan in 30 days",""))</f>
        <v/>
      </c>
    </row>
    <row r="582" customFormat="false" ht="15" hidden="false" customHeight="false" outlineLevel="0" collapsed="false">
      <c r="A582" s="26" t="str">
        <f aca="false">Entities!$A$33</f>
        <v>AU</v>
      </c>
      <c r="B582" s="12" t="str">
        <f aca="false">INDEX(Entities!$B$5:$B$34,MATCH(A582,Entities!$A$5:$A$34,0))</f>
        <v>Arab Bank Australia</v>
      </c>
      <c r="C582" s="12" t="str">
        <f aca="false">INDEX(Entities!$D$5:$D$34,MATCH(A582,Entities!$A$5:$A$34,0))</f>
        <v>Asia-Pacific</v>
      </c>
      <c r="D582" s="12" t="s">
        <v>316</v>
      </c>
      <c r="E582" s="12" t="str">
        <f aca="false">INDEX('Risk Taxonomy'!$B$5:$B$24,MATCH(D582,'Risk Taxonomy'!$A$5:$A$24,0))</f>
        <v>Legal and litigation</v>
      </c>
      <c r="F582" s="29" t="n">
        <f aca="false">IF(NOT(ISNUMBER(G582)),"",G582)</f>
        <v>3</v>
      </c>
      <c r="G582" s="34" t="n">
        <f aca="false">IF(COUNTIFS('LxI Assessment'!$A$5:$A$394,A582,'LxI Assessment'!$D$5:$D$394,D582,'LxI Assessment'!$F$5:$F$394,"N/A")&gt;0,"N/A",IF(COUNTIFS('LxI Assessment'!$A$5:$A$394,A582,'LxI Assessment'!$D$5:$D$394,D582,'LxI Assessment'!$S$5:$S$394,"&gt;0")=0,"",SUMIFS('LxI Assessment'!$S$5:$S$394,'LxI Assessment'!$A$5:$A$394,A582,'LxI Assessment'!$D$5:$D$394,D582)))</f>
        <v>3</v>
      </c>
      <c r="H582" s="7" t="str">
        <f aca="false">IF(G582="N/A","N/A",IF(G582="","No data",INDEX(Config!$B$5:$B$9,G582)))</f>
        <v>Medium</v>
      </c>
      <c r="I582" s="31" t="n">
        <f aca="false">IF(NOT(ISNUMBER($G582)),"",SUMPRODUCT(('Control Mapping'!$C$5:$C$83=D582)*('Control Mapping'!$AI$5:$AI$83&gt;0)))</f>
        <v>1</v>
      </c>
      <c r="J582" s="31" t="n">
        <f aca="false">IF(NOT(ISNUMBER($G582)),"",SUMPRODUCT(('Control Mapping'!$C$5:$C$83=D582)*('Control Mapping'!$F$5:$F$83="Y")*('Control Mapping'!$AI$5:$AI$83&gt;0)))</f>
        <v>1</v>
      </c>
      <c r="K582" s="31" t="n">
        <f aca="false">IF(NOT(ISNUMBER($G582)),"",SUMPRODUCT(('Control Mapping'!$C$5:$C$83=D582)*('Control Mapping'!$F$5:$F$83="Y")*('Control Mapping'!$AI$5:$AI$83=4)))</f>
        <v>0</v>
      </c>
      <c r="L582" s="29" t="n">
        <f aca="false">IF(NOT(ISNUMBER($G582)),"",IFERROR(SUMPRODUCT(('Control Mapping'!$C$5:$C$83=D582)*'Control Mapping'!$E$5:$E$83*'Control Mapping'!$AI$5:$AI$83)/SUMPRODUCT(('Control Mapping'!$C$5:$C$83=D582)*'Control Mapping'!$E$5:$E$83*('Control Mapping'!$AI$5:$AI$83&gt;0)),""))</f>
        <v>2</v>
      </c>
      <c r="M582" s="34" t="n">
        <f aca="false">IF(NOT(ISNUMBER($G582)),"",IF(J582=0,4,MAX(MATCH(L582,'Residual Config'!$E$11:$E$14,1),IF(K582&gt;0,'Residual Config'!$C$7,1))))</f>
        <v>2</v>
      </c>
      <c r="N582" s="7" t="str">
        <f aca="false">IF(NOT(ISNUMBER($G582)),"",IF(J582=0,"Ineffective (no key control)",INDEX('Residual Config'!$B$11:$B$14,M582)))</f>
        <v>Largely effective</v>
      </c>
      <c r="O582" s="36" t="n">
        <f aca="false">IF(NOT(ISNUMBER($G582)),"",IF(J582=0,0,SUMPRODUCT(('Control Mapping'!$C$5:$C$83=D582)*'Control Mapping'!$E$5:$E$83*(('Control Mapping'!$AI$5:$AI$83=1)*'Residual Config'!$D$11+('Control Mapping'!$AI$5:$AI$83=2)*'Residual Config'!$D$12+('Control Mapping'!$AI$5:$AI$83=3)*'Residual Config'!$D$13+('Control Mapping'!$AI$5:$AI$83=4)*'Residual Config'!$D$14))/SUMPRODUCT(('Control Mapping'!$C$5:$C$83=D582)*'Control Mapping'!$E$5:$E$83*('Control Mapping'!$AI$5:$AI$83&gt;0))))</f>
        <v>0.4</v>
      </c>
      <c r="P582" s="31" t="n">
        <f aca="false">IF(NOT(ISNUMBER($G582)),"",INDEX('Residual Config'!$B$19:$E$23,6-G582,M582))</f>
        <v>2</v>
      </c>
      <c r="Q582" s="29" t="n">
        <f aca="false">IF(NOT(ISNUMBER($G582)),"",MAX(1,F582*(1-O582)))</f>
        <v>1.8</v>
      </c>
      <c r="R582" s="31" t="n">
        <f aca="false">IF(NOT(ISNUMBER($G582)),"",MAX(MATCH(Q582,Config!$D$5:$D$9,1),G582-'Residual Config'!$C$6))</f>
        <v>1</v>
      </c>
      <c r="S582" s="34" t="n">
        <f aca="false">IF(NOT(ISNUMBER($G582)),"",IF('Residual Config'!$C$5="Numeric",R582,P582))</f>
        <v>2</v>
      </c>
      <c r="T582" s="7" t="str">
        <f aca="false">IF(G582="N/A","N/A",IF(S582="","No data",INDEX(Config!$B$5:$B$9,S582)))</f>
        <v>Medium-Low</v>
      </c>
      <c r="U582" s="32" t="n">
        <v>0</v>
      </c>
      <c r="V582" s="8"/>
      <c r="W582" s="33"/>
      <c r="X582" s="34" t="n">
        <f aca="false">IF(S582="","",IF(AND(W582="Y",U582&lt;&gt;0),MAX(1,MIN(5,S582+MAX(-Config!$C$27,MIN(Config!$C$27,U582)))),S582))</f>
        <v>2</v>
      </c>
      <c r="Y582" s="35" t="str">
        <f aca="false">IF(G582="N/A","N/A",IF(X582="","No data",INDEX(Config!$B$5:$B$9,X582)))</f>
        <v>Medium-Low</v>
      </c>
      <c r="Z582" s="7" t="str">
        <f aca="false">IF(U582=0,"None",IF(W582="Y","Applied","Pending HO approval"))</f>
        <v>None</v>
      </c>
      <c r="AA582" s="12" t="str">
        <f aca="false">INDEX('Risk Taxonomy'!$G$5:$G$24,MATCH(D582,'Risk Taxonomy'!$A$5:$A$24,0))</f>
        <v>Very low</v>
      </c>
      <c r="AB582" s="7" t="str">
        <f aca="false">INDEX('Risk Taxonomy'!$H$5:$H$24,MATCH(D582,'Risk Taxonomy'!$A$5:$A$24,0))</f>
        <v>Medium-Low</v>
      </c>
      <c r="AC582" s="35" t="str">
        <f aca="false">IF(NOT(ISNUMBER(X582)),"",IF(X582&lt;=MATCH(AB582,Config!$B$5:$B$9,0),"Within",IF(OR(X582-MATCH(AB582,Config!$B$5:$B$9,0)&gt;=2,AND('Residual Config'!$C$8="Y",ISNUMBER(SEARCH("Zero",AA582)))),"Red","Amber")))</f>
        <v>Within</v>
      </c>
      <c r="AD582" s="12" t="str">
        <f aca="false">IF(AC582="Red","Group CCO / CRO and Country CEO within 2 business days; action plan in 15 days; report to Board Risk &amp; Compliance Committee",IF(AC582="Amber","Country CO, risk owner and HO Administrator within 5 business days; action plan in 30 days",""))</f>
        <v/>
      </c>
    </row>
    <row r="583" customFormat="false" ht="15" hidden="false" customHeight="false" outlineLevel="0" collapsed="false">
      <c r="A583" s="26" t="str">
        <f aca="false">Entities!$A$33</f>
        <v>AU</v>
      </c>
      <c r="B583" s="12" t="str">
        <f aca="false">INDEX(Entities!$B$5:$B$34,MATCH(A583,Entities!$A$5:$A$34,0))</f>
        <v>Arab Bank Australia</v>
      </c>
      <c r="C583" s="12" t="str">
        <f aca="false">INDEX(Entities!$D$5:$D$34,MATCH(A583,Entities!$A$5:$A$34,0))</f>
        <v>Asia-Pacific</v>
      </c>
      <c r="D583" s="12" t="s">
        <v>319</v>
      </c>
      <c r="E583" s="12" t="str">
        <f aca="false">INDEX('Risk Taxonomy'!$B$5:$B$24,MATCH(D583,'Risk Taxonomy'!$A$5:$A$24,0))</f>
        <v>Reputational</v>
      </c>
      <c r="F583" s="29" t="n">
        <f aca="false">IF(NOT(ISNUMBER(G583)),"",G583)</f>
        <v>2</v>
      </c>
      <c r="G583" s="34" t="n">
        <f aca="false">IF(COUNTIFS('LxI Assessment'!$A$5:$A$394,A583,'LxI Assessment'!$D$5:$D$394,D583,'LxI Assessment'!$F$5:$F$394,"N/A")&gt;0,"N/A",IF(COUNTIFS('LxI Assessment'!$A$5:$A$394,A583,'LxI Assessment'!$D$5:$D$394,D583,'LxI Assessment'!$S$5:$S$394,"&gt;0")=0,"",SUMIFS('LxI Assessment'!$S$5:$S$394,'LxI Assessment'!$A$5:$A$394,A583,'LxI Assessment'!$D$5:$D$394,D583)))</f>
        <v>2</v>
      </c>
      <c r="H583" s="7" t="str">
        <f aca="false">IF(G583="N/A","N/A",IF(G583="","No data",INDEX(Config!$B$5:$B$9,G583)))</f>
        <v>Medium-Low</v>
      </c>
      <c r="I583" s="31" t="n">
        <f aca="false">IF(NOT(ISNUMBER($G583)),"",SUMPRODUCT(('Control Mapping'!$C$5:$C$83=D583)*('Control Mapping'!$AI$5:$AI$83&gt;0)))</f>
        <v>2</v>
      </c>
      <c r="J583" s="31" t="n">
        <f aca="false">IF(NOT(ISNUMBER($G583)),"",SUMPRODUCT(('Control Mapping'!$C$5:$C$83=D583)*('Control Mapping'!$F$5:$F$83="Y")*('Control Mapping'!$AI$5:$AI$83&gt;0)))</f>
        <v>1</v>
      </c>
      <c r="K583" s="31" t="n">
        <f aca="false">IF(NOT(ISNUMBER($G583)),"",SUMPRODUCT(('Control Mapping'!$C$5:$C$83=D583)*('Control Mapping'!$F$5:$F$83="Y")*('Control Mapping'!$AI$5:$AI$83=4)))</f>
        <v>0</v>
      </c>
      <c r="L583" s="29" t="n">
        <f aca="false">IF(NOT(ISNUMBER($G583)),"",IFERROR(SUMPRODUCT(('Control Mapping'!$C$5:$C$83=D583)*'Control Mapping'!$E$5:$E$83*'Control Mapping'!$AI$5:$AI$83)/SUMPRODUCT(('Control Mapping'!$C$5:$C$83=D583)*'Control Mapping'!$E$5:$E$83*('Control Mapping'!$AI$5:$AI$83&gt;0)),""))</f>
        <v>1.66666666666667</v>
      </c>
      <c r="M583" s="34" t="n">
        <f aca="false">IF(NOT(ISNUMBER($G583)),"",IF(J583=0,4,MAX(MATCH(L583,'Residual Config'!$E$11:$E$14,1),IF(K583&gt;0,'Residual Config'!$C$7,1))))</f>
        <v>2</v>
      </c>
      <c r="N583" s="7" t="str">
        <f aca="false">IF(NOT(ISNUMBER($G583)),"",IF(J583=0,"Ineffective (no key control)",INDEX('Residual Config'!$B$11:$B$14,M583)))</f>
        <v>Largely effective</v>
      </c>
      <c r="O583" s="36" t="n">
        <f aca="false">IF(NOT(ISNUMBER($G583)),"",IF(J583=0,0,SUMPRODUCT(('Control Mapping'!$C$5:$C$83=D583)*'Control Mapping'!$E$5:$E$83*(('Control Mapping'!$AI$5:$AI$83=1)*'Residual Config'!$D$11+('Control Mapping'!$AI$5:$AI$83=2)*'Residual Config'!$D$12+('Control Mapping'!$AI$5:$AI$83=3)*'Residual Config'!$D$13+('Control Mapping'!$AI$5:$AI$83=4)*'Residual Config'!$D$14))/SUMPRODUCT(('Control Mapping'!$C$5:$C$83=D583)*'Control Mapping'!$E$5:$E$83*('Control Mapping'!$AI$5:$AI$83&gt;0))))</f>
        <v>0.466666666666667</v>
      </c>
      <c r="P583" s="31" t="n">
        <f aca="false">IF(NOT(ISNUMBER($G583)),"",INDEX('Residual Config'!$B$19:$E$23,6-G583,M583))</f>
        <v>1</v>
      </c>
      <c r="Q583" s="29" t="n">
        <f aca="false">IF(NOT(ISNUMBER($G583)),"",MAX(1,F583*(1-O583)))</f>
        <v>1.06666666666667</v>
      </c>
      <c r="R583" s="31" t="n">
        <f aca="false">IF(NOT(ISNUMBER($G583)),"",MAX(MATCH(Q583,Config!$D$5:$D$9,1),G583-'Residual Config'!$C$6))</f>
        <v>1</v>
      </c>
      <c r="S583" s="34" t="n">
        <f aca="false">IF(NOT(ISNUMBER($G583)),"",IF('Residual Config'!$C$5="Numeric",R583,P583))</f>
        <v>1</v>
      </c>
      <c r="T583" s="7" t="str">
        <f aca="false">IF(G583="N/A","N/A",IF(S583="","No data",INDEX(Config!$B$5:$B$9,S583)))</f>
        <v>Low</v>
      </c>
      <c r="U583" s="32" t="n">
        <v>0</v>
      </c>
      <c r="V583" s="8"/>
      <c r="W583" s="33"/>
      <c r="X583" s="34" t="n">
        <f aca="false">IF(S583="","",IF(AND(W583="Y",U583&lt;&gt;0),MAX(1,MIN(5,S583+MAX(-Config!$C$27,MIN(Config!$C$27,U583)))),S583))</f>
        <v>1</v>
      </c>
      <c r="Y583" s="35" t="str">
        <f aca="false">IF(G583="N/A","N/A",IF(X583="","No data",INDEX(Config!$B$5:$B$9,X583)))</f>
        <v>Low</v>
      </c>
      <c r="Z583" s="7" t="str">
        <f aca="false">IF(U583=0,"None",IF(W583="Y","Applied","Pending HO approval"))</f>
        <v>None</v>
      </c>
      <c r="AA583" s="12" t="str">
        <f aca="false">INDEX('Risk Taxonomy'!$G$5:$G$24,MATCH(D583,'Risk Taxonomy'!$A$5:$A$24,0))</f>
        <v>Low</v>
      </c>
      <c r="AB583" s="7" t="str">
        <f aca="false">INDEX('Risk Taxonomy'!$H$5:$H$24,MATCH(D583,'Risk Taxonomy'!$A$5:$A$24,0))</f>
        <v>Medium</v>
      </c>
      <c r="AC583" s="35" t="str">
        <f aca="false">IF(NOT(ISNUMBER(X583)),"",IF(X583&lt;=MATCH(AB583,Config!$B$5:$B$9,0),"Within",IF(OR(X583-MATCH(AB583,Config!$B$5:$B$9,0)&gt;=2,AND('Residual Config'!$C$8="Y",ISNUMBER(SEARCH("Zero",AA583)))),"Red","Amber")))</f>
        <v>Within</v>
      </c>
      <c r="AD583" s="12" t="str">
        <f aca="false">IF(AC583="Red","Group CCO / CRO and Country CEO within 2 business days; action plan in 15 days; report to Board Risk &amp; Compliance Committee",IF(AC583="Amber","Country CO, risk owner and HO Administrator within 5 business days; action plan in 30 days",""))</f>
        <v/>
      </c>
    </row>
    <row r="584" customFormat="false" ht="15" hidden="false" customHeight="false" outlineLevel="0" collapsed="false">
      <c r="A584" s="26" t="str">
        <f aca="false">Entities!$A$33</f>
        <v>AU</v>
      </c>
      <c r="B584" s="12" t="str">
        <f aca="false">INDEX(Entities!$B$5:$B$34,MATCH(A584,Entities!$A$5:$A$34,0))</f>
        <v>Arab Bank Australia</v>
      </c>
      <c r="C584" s="12" t="str">
        <f aca="false">INDEX(Entities!$D$5:$D$34,MATCH(A584,Entities!$A$5:$A$34,0))</f>
        <v>Asia-Pacific</v>
      </c>
      <c r="D584" s="12" t="s">
        <v>322</v>
      </c>
      <c r="E584" s="12" t="str">
        <f aca="false">INDEX('Risk Taxonomy'!$B$5:$B$24,MATCH(D584,'Risk Taxonomy'!$A$5:$A$24,0))</f>
        <v>Strategic, business model and ESG</v>
      </c>
      <c r="F584" s="29" t="n">
        <f aca="false">IF(NOT(ISNUMBER(G584)),"",G584)</f>
        <v>2</v>
      </c>
      <c r="G584" s="34" t="n">
        <f aca="false">IF(COUNTIFS('LxI Assessment'!$A$5:$A$394,A584,'LxI Assessment'!$D$5:$D$394,D584,'LxI Assessment'!$F$5:$F$394,"N/A")&gt;0,"N/A",IF(COUNTIFS('LxI Assessment'!$A$5:$A$394,A584,'LxI Assessment'!$D$5:$D$394,D584,'LxI Assessment'!$S$5:$S$394,"&gt;0")=0,"",SUMIFS('LxI Assessment'!$S$5:$S$394,'LxI Assessment'!$A$5:$A$394,A584,'LxI Assessment'!$D$5:$D$394,D584)))</f>
        <v>2</v>
      </c>
      <c r="H584" s="7" t="str">
        <f aca="false">IF(G584="N/A","N/A",IF(G584="","No data",INDEX(Config!$B$5:$B$9,G584)))</f>
        <v>Medium-Low</v>
      </c>
      <c r="I584" s="31" t="n">
        <f aca="false">IF(NOT(ISNUMBER($G584)),"",SUMPRODUCT(('Control Mapping'!$C$5:$C$83=D584)*('Control Mapping'!$AI$5:$AI$83&gt;0)))</f>
        <v>1</v>
      </c>
      <c r="J584" s="31" t="n">
        <f aca="false">IF(NOT(ISNUMBER($G584)),"",SUMPRODUCT(('Control Mapping'!$C$5:$C$83=D584)*('Control Mapping'!$F$5:$F$83="Y")*('Control Mapping'!$AI$5:$AI$83&gt;0)))</f>
        <v>1</v>
      </c>
      <c r="K584" s="31" t="n">
        <f aca="false">IF(NOT(ISNUMBER($G584)),"",SUMPRODUCT(('Control Mapping'!$C$5:$C$83=D584)*('Control Mapping'!$F$5:$F$83="Y")*('Control Mapping'!$AI$5:$AI$83=4)))</f>
        <v>0</v>
      </c>
      <c r="L584" s="29" t="n">
        <f aca="false">IF(NOT(ISNUMBER($G584)),"",IFERROR(SUMPRODUCT(('Control Mapping'!$C$5:$C$83=D584)*'Control Mapping'!$E$5:$E$83*'Control Mapping'!$AI$5:$AI$83)/SUMPRODUCT(('Control Mapping'!$C$5:$C$83=D584)*'Control Mapping'!$E$5:$E$83*('Control Mapping'!$AI$5:$AI$83&gt;0)),""))</f>
        <v>2</v>
      </c>
      <c r="M584" s="34" t="n">
        <f aca="false">IF(NOT(ISNUMBER($G584)),"",IF(J584=0,4,MAX(MATCH(L584,'Residual Config'!$E$11:$E$14,1),IF(K584&gt;0,'Residual Config'!$C$7,1))))</f>
        <v>2</v>
      </c>
      <c r="N584" s="7" t="str">
        <f aca="false">IF(NOT(ISNUMBER($G584)),"",IF(J584=0,"Ineffective (no key control)",INDEX('Residual Config'!$B$11:$B$14,M584)))</f>
        <v>Largely effective</v>
      </c>
      <c r="O584" s="36" t="n">
        <f aca="false">IF(NOT(ISNUMBER($G584)),"",IF(J584=0,0,SUMPRODUCT(('Control Mapping'!$C$5:$C$83=D584)*'Control Mapping'!$E$5:$E$83*(('Control Mapping'!$AI$5:$AI$83=1)*'Residual Config'!$D$11+('Control Mapping'!$AI$5:$AI$83=2)*'Residual Config'!$D$12+('Control Mapping'!$AI$5:$AI$83=3)*'Residual Config'!$D$13+('Control Mapping'!$AI$5:$AI$83=4)*'Residual Config'!$D$14))/SUMPRODUCT(('Control Mapping'!$C$5:$C$83=D584)*'Control Mapping'!$E$5:$E$83*('Control Mapping'!$AI$5:$AI$83&gt;0))))</f>
        <v>0.4</v>
      </c>
      <c r="P584" s="31" t="n">
        <f aca="false">IF(NOT(ISNUMBER($G584)),"",INDEX('Residual Config'!$B$19:$E$23,6-G584,M584))</f>
        <v>1</v>
      </c>
      <c r="Q584" s="29" t="n">
        <f aca="false">IF(NOT(ISNUMBER($G584)),"",MAX(1,F584*(1-O584)))</f>
        <v>1.2</v>
      </c>
      <c r="R584" s="31" t="n">
        <f aca="false">IF(NOT(ISNUMBER($G584)),"",MAX(MATCH(Q584,Config!$D$5:$D$9,1),G584-'Residual Config'!$C$6))</f>
        <v>1</v>
      </c>
      <c r="S584" s="34" t="n">
        <f aca="false">IF(NOT(ISNUMBER($G584)),"",IF('Residual Config'!$C$5="Numeric",R584,P584))</f>
        <v>1</v>
      </c>
      <c r="T584" s="7" t="str">
        <f aca="false">IF(G584="N/A","N/A",IF(S584="","No data",INDEX(Config!$B$5:$B$9,S584)))</f>
        <v>Low</v>
      </c>
      <c r="U584" s="32" t="n">
        <v>0</v>
      </c>
      <c r="V584" s="8"/>
      <c r="W584" s="33"/>
      <c r="X584" s="34" t="n">
        <f aca="false">IF(S584="","",IF(AND(W584="Y",U584&lt;&gt;0),MAX(1,MIN(5,S584+MAX(-Config!$C$27,MIN(Config!$C$27,U584)))),S584))</f>
        <v>1</v>
      </c>
      <c r="Y584" s="35" t="str">
        <f aca="false">IF(G584="N/A","N/A",IF(X584="","No data",INDEX(Config!$B$5:$B$9,X584)))</f>
        <v>Low</v>
      </c>
      <c r="Z584" s="7" t="str">
        <f aca="false">IF(U584=0,"None",IF(W584="Y","Applied","Pending HO approval"))</f>
        <v>None</v>
      </c>
      <c r="AA584" s="12" t="str">
        <f aca="false">INDEX('Risk Taxonomy'!$G$5:$G$24,MATCH(D584,'Risk Taxonomy'!$A$5:$A$24,0))</f>
        <v>Moderate</v>
      </c>
      <c r="AB584" s="7" t="str">
        <f aca="false">INDEX('Risk Taxonomy'!$H$5:$H$24,MATCH(D584,'Risk Taxonomy'!$A$5:$A$24,0))</f>
        <v>Medium-High</v>
      </c>
      <c r="AC584" s="35" t="str">
        <f aca="false">IF(NOT(ISNUMBER(X584)),"",IF(X584&lt;=MATCH(AB584,Config!$B$5:$B$9,0),"Within",IF(OR(X584-MATCH(AB584,Config!$B$5:$B$9,0)&gt;=2,AND('Residual Config'!$C$8="Y",ISNUMBER(SEARCH("Zero",AA584)))),"Red","Amber")))</f>
        <v>Within</v>
      </c>
      <c r="AD584" s="12" t="str">
        <f aca="false">IF(AC584="Red","Group CCO / CRO and Country CEO within 2 business days; action plan in 15 days; report to Board Risk &amp; Compliance Committee",IF(AC584="Amber","Country CO, risk owner and HO Administrator within 5 business days; action plan in 30 days",""))</f>
        <v/>
      </c>
    </row>
    <row r="585" customFormat="false" ht="15" hidden="false" customHeight="false" outlineLevel="0" collapsed="false">
      <c r="A585" s="26" t="str">
        <f aca="false">Entities!$A$34</f>
        <v>US</v>
      </c>
      <c r="B585" s="12" t="str">
        <f aca="false">INDEX(Entities!$B$5:$B$34,MATCH(A585,Entities!$A$5:$A$34,0))</f>
        <v>Arab Bank – United States (if retained)</v>
      </c>
      <c r="C585" s="12" t="str">
        <f aca="false">INDEX(Entities!$D$5:$D$34,MATCH(A585,Entities!$A$5:$A$34,0))</f>
        <v>Americas</v>
      </c>
      <c r="D585" s="12" t="s">
        <v>260</v>
      </c>
      <c r="E585" s="12" t="str">
        <f aca="false">INDEX('Risk Taxonomy'!$B$5:$B$24,MATCH(D585,'Risk Taxonomy'!$A$5:$A$24,0))</f>
        <v>Money laundering</v>
      </c>
      <c r="F585" s="29" t="n">
        <f aca="false">IF(NOT(ISNUMBER(G585)),"",IFERROR(IF(MATCH(SUMIFS('FC Calculation'!$N$5:$N$214,'FC Calculation'!$A$5:$A$214,A585,'FC Calculation'!$D$5:$D$214,D585),Config!$D$5:$D$9,1)=G585,SUMIFS('FC Calculation'!$N$5:$N$214,'FC Calculation'!$A$5:$A$214,A585,'FC Calculation'!$D$5:$D$214,D585),G585),G585))</f>
        <v>1.67944444444444</v>
      </c>
      <c r="G585" s="34" t="n">
        <f aca="false">IF(COUNTIFS('FC Calculation'!$A$5:$A$214,A585,'FC Calculation'!$D$5:$D$214,D585,'FC Calculation'!$T$5:$T$214,"&gt;0")=0,"",SUMIFS('FC Calculation'!$T$5:$T$214,'FC Calculation'!$A$5:$A$214,A585,'FC Calculation'!$D$5:$D$214,D585))</f>
        <v>1</v>
      </c>
      <c r="H585" s="7" t="str">
        <f aca="false">IF(G585="N/A","N/A",IF(G585="","No data",INDEX(Config!$B$5:$B$9,G585)))</f>
        <v>Low</v>
      </c>
      <c r="I585" s="31" t="n">
        <f aca="false">IF(NOT(ISNUMBER($G585)),"",SUMPRODUCT(('Control Mapping'!$C$5:$C$83=D585)*('Control Mapping'!$AJ$5:$AJ$83&gt;0)))</f>
        <v>12</v>
      </c>
      <c r="J585" s="31" t="n">
        <f aca="false">IF(NOT(ISNUMBER($G585)),"",SUMPRODUCT(('Control Mapping'!$C$5:$C$83=D585)*('Control Mapping'!$F$5:$F$83="Y")*('Control Mapping'!$AJ$5:$AJ$83&gt;0)))</f>
        <v>9</v>
      </c>
      <c r="K585" s="31" t="n">
        <f aca="false">IF(NOT(ISNUMBER($G585)),"",SUMPRODUCT(('Control Mapping'!$C$5:$C$83=D585)*('Control Mapping'!$F$5:$F$83="Y")*('Control Mapping'!$AJ$5:$AJ$83=4)))</f>
        <v>0</v>
      </c>
      <c r="L585" s="29" t="n">
        <f aca="false">IF(NOT(ISNUMBER($G585)),"",IFERROR(SUMPRODUCT(('Control Mapping'!$C$5:$C$83=D585)*'Control Mapping'!$E$5:$E$83*'Control Mapping'!$AJ$5:$AJ$83)/SUMPRODUCT(('Control Mapping'!$C$5:$C$83=D585)*'Control Mapping'!$E$5:$E$83*('Control Mapping'!$AJ$5:$AJ$83&gt;0)),""))</f>
        <v>1.69565217391304</v>
      </c>
      <c r="M585" s="34" t="n">
        <f aca="false">IF(NOT(ISNUMBER($G585)),"",IF(J585=0,4,MAX(MATCH(L585,'Residual Config'!$E$11:$E$14,1),IF(K585&gt;0,'Residual Config'!$C$7,1))))</f>
        <v>2</v>
      </c>
      <c r="N585" s="7" t="str">
        <f aca="false">IF(NOT(ISNUMBER($G585)),"",IF(J585=0,"Ineffective (no key control)",INDEX('Residual Config'!$B$11:$B$14,M585)))</f>
        <v>Largely effective</v>
      </c>
      <c r="O585" s="36" t="n">
        <f aca="false">IF(NOT(ISNUMBER($G585)),"",IF(J585=0,0,SUMPRODUCT(('Control Mapping'!$C$5:$C$83=D585)*'Control Mapping'!$E$5:$E$83*(('Control Mapping'!$AJ$5:$AJ$83=1)*'Residual Config'!$D$11+('Control Mapping'!$AJ$5:$AJ$83=2)*'Residual Config'!$D$12+('Control Mapping'!$AJ$5:$AJ$83=3)*'Residual Config'!$D$13+('Control Mapping'!$AJ$5:$AJ$83=4)*'Residual Config'!$D$14))/SUMPRODUCT(('Control Mapping'!$C$5:$C$83=D585)*'Control Mapping'!$E$5:$E$83*('Control Mapping'!$AJ$5:$AJ$83&gt;0))))</f>
        <v>0.460869565217391</v>
      </c>
      <c r="P585" s="31" t="n">
        <f aca="false">IF(NOT(ISNUMBER($G585)),"",INDEX('Residual Config'!$B$19:$E$23,6-G585,M585))</f>
        <v>1</v>
      </c>
      <c r="Q585" s="29" t="n">
        <f aca="false">IF(NOT(ISNUMBER($G585)),"",MAX(1,F585*(1-O585)))</f>
        <v>1</v>
      </c>
      <c r="R585" s="31" t="n">
        <f aca="false">IF(NOT(ISNUMBER($G585)),"",MAX(MATCH(Q585,Config!$D$5:$D$9,1),G585-'Residual Config'!$C$6))</f>
        <v>1</v>
      </c>
      <c r="S585" s="34" t="n">
        <f aca="false">IF(NOT(ISNUMBER($G585)),"",IF('Residual Config'!$C$5="Numeric",R585,P585))</f>
        <v>1</v>
      </c>
      <c r="T585" s="7" t="str">
        <f aca="false">IF(G585="N/A","N/A",IF(S585="","No data",INDEX(Config!$B$5:$B$9,S585)))</f>
        <v>Low</v>
      </c>
      <c r="U585" s="32" t="n">
        <v>0</v>
      </c>
      <c r="V585" s="8"/>
      <c r="W585" s="33"/>
      <c r="X585" s="34" t="n">
        <f aca="false">IF(S585="","",IF(AND(W585="Y",U585&lt;&gt;0),MAX(1,MIN(5,S585+MAX(-Config!$C$27,MIN(Config!$C$27,U585)))),S585))</f>
        <v>1</v>
      </c>
      <c r="Y585" s="35" t="str">
        <f aca="false">IF(G585="N/A","N/A",IF(X585="","No data",INDEX(Config!$B$5:$B$9,X585)))</f>
        <v>Low</v>
      </c>
      <c r="Z585" s="7" t="str">
        <f aca="false">IF(U585=0,"None",IF(W585="Y","Applied","Pending HO approval"))</f>
        <v>None</v>
      </c>
      <c r="AA585" s="12" t="str">
        <f aca="false">INDEX('Risk Taxonomy'!$G$5:$G$24,MATCH(D585,'Risk Taxonomy'!$A$5:$A$24,0))</f>
        <v>Very low</v>
      </c>
      <c r="AB585" s="7" t="str">
        <f aca="false">INDEX('Risk Taxonomy'!$H$5:$H$24,MATCH(D585,'Risk Taxonomy'!$A$5:$A$24,0))</f>
        <v>Medium-Low</v>
      </c>
      <c r="AC585" s="35" t="str">
        <f aca="false">IF(NOT(ISNUMBER(X585)),"",IF(X585&lt;=MATCH(AB585,Config!$B$5:$B$9,0),"Within",IF(OR(X585-MATCH(AB585,Config!$B$5:$B$9,0)&gt;=2,AND('Residual Config'!$C$8="Y",ISNUMBER(SEARCH("Zero",AA585)))),"Red","Amber")))</f>
        <v>Within</v>
      </c>
      <c r="AD585" s="12" t="str">
        <f aca="false">IF(AC585="Red","Group CCO / CRO and Country CEO within 2 business days; action plan in 15 days; report to Board Risk &amp; Compliance Committee",IF(AC585="Amber","Country CO, risk owner and HO Administrator within 5 business days; action plan in 30 days",""))</f>
        <v/>
      </c>
    </row>
    <row r="586" customFormat="false" ht="15" hidden="false" customHeight="false" outlineLevel="0" collapsed="false">
      <c r="A586" s="26" t="str">
        <f aca="false">Entities!$A$34</f>
        <v>US</v>
      </c>
      <c r="B586" s="12" t="str">
        <f aca="false">INDEX(Entities!$B$5:$B$34,MATCH(A586,Entities!$A$5:$A$34,0))</f>
        <v>Arab Bank – United States (if retained)</v>
      </c>
      <c r="C586" s="12" t="str">
        <f aca="false">INDEX(Entities!$D$5:$D$34,MATCH(A586,Entities!$A$5:$A$34,0))</f>
        <v>Americas</v>
      </c>
      <c r="D586" s="12" t="s">
        <v>267</v>
      </c>
      <c r="E586" s="12" t="str">
        <f aca="false">INDEX('Risk Taxonomy'!$B$5:$B$24,MATCH(D586,'Risk Taxonomy'!$A$5:$A$24,0))</f>
        <v>Terrorist financing</v>
      </c>
      <c r="F586" s="29" t="n">
        <f aca="false">IF(NOT(ISNUMBER(G586)),"",IFERROR(IF(MATCH(SUMIFS('FC Calculation'!$N$5:$N$214,'FC Calculation'!$A$5:$A$214,A586,'FC Calculation'!$D$5:$D$214,D586),Config!$D$5:$D$9,1)=G586,SUMIFS('FC Calculation'!$N$5:$N$214,'FC Calculation'!$A$5:$A$214,A586,'FC Calculation'!$D$5:$D$214,D586),G586),G586))</f>
        <v>1.68095238095238</v>
      </c>
      <c r="G586" s="34" t="n">
        <f aca="false">IF(COUNTIFS('FC Calculation'!$A$5:$A$214,A586,'FC Calculation'!$D$5:$D$214,D586,'FC Calculation'!$T$5:$T$214,"&gt;0")=0,"",SUMIFS('FC Calculation'!$T$5:$T$214,'FC Calculation'!$A$5:$A$214,A586,'FC Calculation'!$D$5:$D$214,D586))</f>
        <v>1</v>
      </c>
      <c r="H586" s="7" t="str">
        <f aca="false">IF(G586="N/A","N/A",IF(G586="","No data",INDEX(Config!$B$5:$B$9,G586)))</f>
        <v>Low</v>
      </c>
      <c r="I586" s="31" t="n">
        <f aca="false">IF(NOT(ISNUMBER($G586)),"",SUMPRODUCT(('Control Mapping'!$C$5:$C$83=D586)*('Control Mapping'!$AJ$5:$AJ$83&gt;0)))</f>
        <v>12</v>
      </c>
      <c r="J586" s="31" t="n">
        <f aca="false">IF(NOT(ISNUMBER($G586)),"",SUMPRODUCT(('Control Mapping'!$C$5:$C$83=D586)*('Control Mapping'!$F$5:$F$83="Y")*('Control Mapping'!$AJ$5:$AJ$83&gt;0)))</f>
        <v>9</v>
      </c>
      <c r="K586" s="31" t="n">
        <f aca="false">IF(NOT(ISNUMBER($G586)),"",SUMPRODUCT(('Control Mapping'!$C$5:$C$83=D586)*('Control Mapping'!$F$5:$F$83="Y")*('Control Mapping'!$AJ$5:$AJ$83=4)))</f>
        <v>0</v>
      </c>
      <c r="L586" s="29" t="n">
        <f aca="false">IF(NOT(ISNUMBER($G586)),"",IFERROR(SUMPRODUCT(('Control Mapping'!$C$5:$C$83=D586)*'Control Mapping'!$E$5:$E$83*'Control Mapping'!$AJ$5:$AJ$83)/SUMPRODUCT(('Control Mapping'!$C$5:$C$83=D586)*'Control Mapping'!$E$5:$E$83*('Control Mapping'!$AJ$5:$AJ$83&gt;0)),""))</f>
        <v>1.73684210526316</v>
      </c>
      <c r="M586" s="34" t="n">
        <f aca="false">IF(NOT(ISNUMBER($G586)),"",IF(J586=0,4,MAX(MATCH(L586,'Residual Config'!$E$11:$E$14,1),IF(K586&gt;0,'Residual Config'!$C$7,1))))</f>
        <v>2</v>
      </c>
      <c r="N586" s="7" t="str">
        <f aca="false">IF(NOT(ISNUMBER($G586)),"",IF(J586=0,"Ineffective (no key control)",INDEX('Residual Config'!$B$11:$B$14,M586)))</f>
        <v>Largely effective</v>
      </c>
      <c r="O586" s="36" t="n">
        <f aca="false">IF(NOT(ISNUMBER($G586)),"",IF(J586=0,0,SUMPRODUCT(('Control Mapping'!$C$5:$C$83=D586)*'Control Mapping'!$E$5:$E$83*(('Control Mapping'!$AJ$5:$AJ$83=1)*'Residual Config'!$D$11+('Control Mapping'!$AJ$5:$AJ$83=2)*'Residual Config'!$D$12+('Control Mapping'!$AJ$5:$AJ$83=3)*'Residual Config'!$D$13+('Control Mapping'!$AJ$5:$AJ$83=4)*'Residual Config'!$D$14))/SUMPRODUCT(('Control Mapping'!$C$5:$C$83=D586)*'Control Mapping'!$E$5:$E$83*('Control Mapping'!$AJ$5:$AJ$83&gt;0))))</f>
        <v>0.452631578947368</v>
      </c>
      <c r="P586" s="31" t="n">
        <f aca="false">IF(NOT(ISNUMBER($G586)),"",INDEX('Residual Config'!$B$19:$E$23,6-G586,M586))</f>
        <v>1</v>
      </c>
      <c r="Q586" s="29" t="n">
        <f aca="false">IF(NOT(ISNUMBER($G586)),"",MAX(1,F586*(1-O586)))</f>
        <v>1</v>
      </c>
      <c r="R586" s="31" t="n">
        <f aca="false">IF(NOT(ISNUMBER($G586)),"",MAX(MATCH(Q586,Config!$D$5:$D$9,1),G586-'Residual Config'!$C$6))</f>
        <v>1</v>
      </c>
      <c r="S586" s="34" t="n">
        <f aca="false">IF(NOT(ISNUMBER($G586)),"",IF('Residual Config'!$C$5="Numeric",R586,P586))</f>
        <v>1</v>
      </c>
      <c r="T586" s="7" t="str">
        <f aca="false">IF(G586="N/A","N/A",IF(S586="","No data",INDEX(Config!$B$5:$B$9,S586)))</f>
        <v>Low</v>
      </c>
      <c r="U586" s="32" t="n">
        <v>0</v>
      </c>
      <c r="V586" s="8"/>
      <c r="W586" s="33"/>
      <c r="X586" s="34" t="n">
        <f aca="false">IF(S586="","",IF(AND(W586="Y",U586&lt;&gt;0),MAX(1,MIN(5,S586+MAX(-Config!$C$27,MIN(Config!$C$27,U586)))),S586))</f>
        <v>1</v>
      </c>
      <c r="Y586" s="35" t="str">
        <f aca="false">IF(G586="N/A","N/A",IF(X586="","No data",INDEX(Config!$B$5:$B$9,X586)))</f>
        <v>Low</v>
      </c>
      <c r="Z586" s="7" t="str">
        <f aca="false">IF(U586=0,"None",IF(W586="Y","Applied","Pending HO approval"))</f>
        <v>None</v>
      </c>
      <c r="AA586" s="12" t="str">
        <f aca="false">INDEX('Risk Taxonomy'!$G$5:$G$24,MATCH(D586,'Risk Taxonomy'!$A$5:$A$24,0))</f>
        <v>Zero tolerance</v>
      </c>
      <c r="AB586" s="7" t="str">
        <f aca="false">INDEX('Risk Taxonomy'!$H$5:$H$24,MATCH(D586,'Risk Taxonomy'!$A$5:$A$24,0))</f>
        <v>Low</v>
      </c>
      <c r="AC586" s="35" t="str">
        <f aca="false">IF(NOT(ISNUMBER(X586)),"",IF(X586&lt;=MATCH(AB586,Config!$B$5:$B$9,0),"Within",IF(OR(X586-MATCH(AB586,Config!$B$5:$B$9,0)&gt;=2,AND('Residual Config'!$C$8="Y",ISNUMBER(SEARCH("Zero",AA586)))),"Red","Amber")))</f>
        <v>Within</v>
      </c>
      <c r="AD586" s="12" t="str">
        <f aca="false">IF(AC586="Red","Group CCO / CRO and Country CEO within 2 business days; action plan in 15 days; report to Board Risk &amp; Compliance Committee",IF(AC586="Amber","Country CO, risk owner and HO Administrator within 5 business days; action plan in 30 days",""))</f>
        <v/>
      </c>
    </row>
    <row r="587" customFormat="false" ht="15" hidden="false" customHeight="false" outlineLevel="0" collapsed="false">
      <c r="A587" s="26" t="str">
        <f aca="false">Entities!$A$34</f>
        <v>US</v>
      </c>
      <c r="B587" s="12" t="str">
        <f aca="false">INDEX(Entities!$B$5:$B$34,MATCH(A587,Entities!$A$5:$A$34,0))</f>
        <v>Arab Bank – United States (if retained)</v>
      </c>
      <c r="C587" s="12" t="str">
        <f aca="false">INDEX(Entities!$D$5:$D$34,MATCH(A587,Entities!$A$5:$A$34,0))</f>
        <v>Americas</v>
      </c>
      <c r="D587" s="12" t="s">
        <v>270</v>
      </c>
      <c r="E587" s="12" t="str">
        <f aca="false">INDEX('Risk Taxonomy'!$B$5:$B$24,MATCH(D587,'Risk Taxonomy'!$A$5:$A$24,0))</f>
        <v>Proliferation financing</v>
      </c>
      <c r="F587" s="29" t="n">
        <f aca="false">IF(NOT(ISNUMBER(G587)),"",IFERROR(IF(MATCH(SUMIFS('FC Calculation'!$N$5:$N$214,'FC Calculation'!$A$5:$A$214,A587,'FC Calculation'!$D$5:$D$214,D587),Config!$D$5:$D$9,1)=G587,SUMIFS('FC Calculation'!$N$5:$N$214,'FC Calculation'!$A$5:$A$214,A587,'FC Calculation'!$D$5:$D$214,D587),G587),G587))</f>
        <v>1.49166666666667</v>
      </c>
      <c r="G587" s="34" t="n">
        <f aca="false">IF(COUNTIFS('FC Calculation'!$A$5:$A$214,A587,'FC Calculation'!$D$5:$D$214,D587,'FC Calculation'!$T$5:$T$214,"&gt;0")=0,"",SUMIFS('FC Calculation'!$T$5:$T$214,'FC Calculation'!$A$5:$A$214,A587,'FC Calculation'!$D$5:$D$214,D587))</f>
        <v>1</v>
      </c>
      <c r="H587" s="7" t="str">
        <f aca="false">IF(G587="N/A","N/A",IF(G587="","No data",INDEX(Config!$B$5:$B$9,G587)))</f>
        <v>Low</v>
      </c>
      <c r="I587" s="31" t="n">
        <f aca="false">IF(NOT(ISNUMBER($G587)),"",SUMPRODUCT(('Control Mapping'!$C$5:$C$83=D587)*('Control Mapping'!$AJ$5:$AJ$83&gt;0)))</f>
        <v>5</v>
      </c>
      <c r="J587" s="31" t="n">
        <f aca="false">IF(NOT(ISNUMBER($G587)),"",SUMPRODUCT(('Control Mapping'!$C$5:$C$83=D587)*('Control Mapping'!$F$5:$F$83="Y")*('Control Mapping'!$AJ$5:$AJ$83&gt;0)))</f>
        <v>5</v>
      </c>
      <c r="K587" s="31" t="n">
        <f aca="false">IF(NOT(ISNUMBER($G587)),"",SUMPRODUCT(('Control Mapping'!$C$5:$C$83=D587)*('Control Mapping'!$F$5:$F$83="Y")*('Control Mapping'!$AJ$5:$AJ$83=4)))</f>
        <v>0</v>
      </c>
      <c r="L587" s="29" t="n">
        <f aca="false">IF(NOT(ISNUMBER($G587)),"",IFERROR(SUMPRODUCT(('Control Mapping'!$C$5:$C$83=D587)*'Control Mapping'!$E$5:$E$83*'Control Mapping'!$AJ$5:$AJ$83)/SUMPRODUCT(('Control Mapping'!$C$5:$C$83=D587)*'Control Mapping'!$E$5:$E$83*('Control Mapping'!$AJ$5:$AJ$83&gt;0)),""))</f>
        <v>1.4</v>
      </c>
      <c r="M587" s="34" t="n">
        <f aca="false">IF(NOT(ISNUMBER($G587)),"",IF(J587=0,4,MAX(MATCH(L587,'Residual Config'!$E$11:$E$14,1),IF(K587&gt;0,'Residual Config'!$C$7,1))))</f>
        <v>1</v>
      </c>
      <c r="N587" s="7" t="str">
        <f aca="false">IF(NOT(ISNUMBER($G587)),"",IF(J587=0,"Ineffective (no key control)",INDEX('Residual Config'!$B$11:$B$14,M587)))</f>
        <v>Effective</v>
      </c>
      <c r="O587" s="36" t="n">
        <f aca="false">IF(NOT(ISNUMBER($G587)),"",IF(J587=0,0,SUMPRODUCT(('Control Mapping'!$C$5:$C$83=D587)*'Control Mapping'!$E$5:$E$83*(('Control Mapping'!$AJ$5:$AJ$83=1)*'Residual Config'!$D$11+('Control Mapping'!$AJ$5:$AJ$83=2)*'Residual Config'!$D$12+('Control Mapping'!$AJ$5:$AJ$83=3)*'Residual Config'!$D$13+('Control Mapping'!$AJ$5:$AJ$83=4)*'Residual Config'!$D$14))/SUMPRODUCT(('Control Mapping'!$C$5:$C$83=D587)*'Control Mapping'!$E$5:$E$83*('Control Mapping'!$AJ$5:$AJ$83&gt;0))))</f>
        <v>0.52</v>
      </c>
      <c r="P587" s="31" t="n">
        <f aca="false">IF(NOT(ISNUMBER($G587)),"",INDEX('Residual Config'!$B$19:$E$23,6-G587,M587))</f>
        <v>1</v>
      </c>
      <c r="Q587" s="29" t="n">
        <f aca="false">IF(NOT(ISNUMBER($G587)),"",MAX(1,F587*(1-O587)))</f>
        <v>1</v>
      </c>
      <c r="R587" s="31" t="n">
        <f aca="false">IF(NOT(ISNUMBER($G587)),"",MAX(MATCH(Q587,Config!$D$5:$D$9,1),G587-'Residual Config'!$C$6))</f>
        <v>1</v>
      </c>
      <c r="S587" s="34" t="n">
        <f aca="false">IF(NOT(ISNUMBER($G587)),"",IF('Residual Config'!$C$5="Numeric",R587,P587))</f>
        <v>1</v>
      </c>
      <c r="T587" s="7" t="str">
        <f aca="false">IF(G587="N/A","N/A",IF(S587="","No data",INDEX(Config!$B$5:$B$9,S587)))</f>
        <v>Low</v>
      </c>
      <c r="U587" s="32" t="n">
        <v>0</v>
      </c>
      <c r="V587" s="8"/>
      <c r="W587" s="33"/>
      <c r="X587" s="34" t="n">
        <f aca="false">IF(S587="","",IF(AND(W587="Y",U587&lt;&gt;0),MAX(1,MIN(5,S587+MAX(-Config!$C$27,MIN(Config!$C$27,U587)))),S587))</f>
        <v>1</v>
      </c>
      <c r="Y587" s="35" t="str">
        <f aca="false">IF(G587="N/A","N/A",IF(X587="","No data",INDEX(Config!$B$5:$B$9,X587)))</f>
        <v>Low</v>
      </c>
      <c r="Z587" s="7" t="str">
        <f aca="false">IF(U587=0,"None",IF(W587="Y","Applied","Pending HO approval"))</f>
        <v>None</v>
      </c>
      <c r="AA587" s="12" t="str">
        <f aca="false">INDEX('Risk Taxonomy'!$G$5:$G$24,MATCH(D587,'Risk Taxonomy'!$A$5:$A$24,0))</f>
        <v>Zero tolerance</v>
      </c>
      <c r="AB587" s="7" t="str">
        <f aca="false">INDEX('Risk Taxonomy'!$H$5:$H$24,MATCH(D587,'Risk Taxonomy'!$A$5:$A$24,0))</f>
        <v>Low</v>
      </c>
      <c r="AC587" s="35" t="str">
        <f aca="false">IF(NOT(ISNUMBER(X587)),"",IF(X587&lt;=MATCH(AB587,Config!$B$5:$B$9,0),"Within",IF(OR(X587-MATCH(AB587,Config!$B$5:$B$9,0)&gt;=2,AND('Residual Config'!$C$8="Y",ISNUMBER(SEARCH("Zero",AA587)))),"Red","Amber")))</f>
        <v>Within</v>
      </c>
      <c r="AD587" s="12" t="str">
        <f aca="false">IF(AC587="Red","Group CCO / CRO and Country CEO within 2 business days; action plan in 15 days; report to Board Risk &amp; Compliance Committee",IF(AC587="Amber","Country CO, risk owner and HO Administrator within 5 business days; action plan in 30 days",""))</f>
        <v/>
      </c>
    </row>
    <row r="588" customFormat="false" ht="15" hidden="false" customHeight="false" outlineLevel="0" collapsed="false">
      <c r="A588" s="26" t="str">
        <f aca="false">Entities!$A$34</f>
        <v>US</v>
      </c>
      <c r="B588" s="12" t="str">
        <f aca="false">INDEX(Entities!$B$5:$B$34,MATCH(A588,Entities!$A$5:$A$34,0))</f>
        <v>Arab Bank – United States (if retained)</v>
      </c>
      <c r="C588" s="12" t="str">
        <f aca="false">INDEX(Entities!$D$5:$D$34,MATCH(A588,Entities!$A$5:$A$34,0))</f>
        <v>Americas</v>
      </c>
      <c r="D588" s="12" t="s">
        <v>272</v>
      </c>
      <c r="E588" s="12" t="str">
        <f aca="false">INDEX('Risk Taxonomy'!$B$5:$B$24,MATCH(D588,'Risk Taxonomy'!$A$5:$A$24,0))</f>
        <v>Sanctions</v>
      </c>
      <c r="F588" s="29" t="n">
        <f aca="false">IF(NOT(ISNUMBER(G588)),"",IFERROR(IF(MATCH(SUMIFS('FC Calculation'!$N$5:$N$214,'FC Calculation'!$A$5:$A$214,A588,'FC Calculation'!$D$5:$D$214,D588),Config!$D$5:$D$9,1)=G588,SUMIFS('FC Calculation'!$N$5:$N$214,'FC Calculation'!$A$5:$A$214,A588,'FC Calculation'!$D$5:$D$214,D588),G588),G588))</f>
        <v>1.56428571428571</v>
      </c>
      <c r="G588" s="34" t="n">
        <f aca="false">IF(COUNTIFS('FC Calculation'!$A$5:$A$214,A588,'FC Calculation'!$D$5:$D$214,D588,'FC Calculation'!$T$5:$T$214,"&gt;0")=0,"",SUMIFS('FC Calculation'!$T$5:$T$214,'FC Calculation'!$A$5:$A$214,A588,'FC Calculation'!$D$5:$D$214,D588))</f>
        <v>1</v>
      </c>
      <c r="H588" s="7" t="str">
        <f aca="false">IF(G588="N/A","N/A",IF(G588="","No data",INDEX(Config!$B$5:$B$9,G588)))</f>
        <v>Low</v>
      </c>
      <c r="I588" s="31" t="n">
        <f aca="false">IF(NOT(ISNUMBER($G588)),"",SUMPRODUCT(('Control Mapping'!$C$5:$C$83=D588)*('Control Mapping'!$AJ$5:$AJ$83&gt;0)))</f>
        <v>8</v>
      </c>
      <c r="J588" s="31" t="n">
        <f aca="false">IF(NOT(ISNUMBER($G588)),"",SUMPRODUCT(('Control Mapping'!$C$5:$C$83=D588)*('Control Mapping'!$F$5:$F$83="Y")*('Control Mapping'!$AJ$5:$AJ$83&gt;0)))</f>
        <v>5</v>
      </c>
      <c r="K588" s="31" t="n">
        <f aca="false">IF(NOT(ISNUMBER($G588)),"",SUMPRODUCT(('Control Mapping'!$C$5:$C$83=D588)*('Control Mapping'!$F$5:$F$83="Y")*('Control Mapping'!$AJ$5:$AJ$83=4)))</f>
        <v>0</v>
      </c>
      <c r="L588" s="29" t="n">
        <f aca="false">IF(NOT(ISNUMBER($G588)),"",IFERROR(SUMPRODUCT(('Control Mapping'!$C$5:$C$83=D588)*'Control Mapping'!$E$5:$E$83*'Control Mapping'!$AJ$5:$AJ$83)/SUMPRODUCT(('Control Mapping'!$C$5:$C$83=D588)*'Control Mapping'!$E$5:$E$83*('Control Mapping'!$AJ$5:$AJ$83&gt;0)),""))</f>
        <v>1.54545454545455</v>
      </c>
      <c r="M588" s="34" t="n">
        <f aca="false">IF(NOT(ISNUMBER($G588)),"",IF(J588=0,4,MAX(MATCH(L588,'Residual Config'!$E$11:$E$14,1),IF(K588&gt;0,'Residual Config'!$C$7,1))))</f>
        <v>2</v>
      </c>
      <c r="N588" s="7" t="str">
        <f aca="false">IF(NOT(ISNUMBER($G588)),"",IF(J588=0,"Ineffective (no key control)",INDEX('Residual Config'!$B$11:$B$14,M588)))</f>
        <v>Largely effective</v>
      </c>
      <c r="O588" s="36" t="n">
        <f aca="false">IF(NOT(ISNUMBER($G588)),"",IF(J588=0,0,SUMPRODUCT(('Control Mapping'!$C$5:$C$83=D588)*'Control Mapping'!$E$5:$E$83*(('Control Mapping'!$AJ$5:$AJ$83=1)*'Residual Config'!$D$11+('Control Mapping'!$AJ$5:$AJ$83=2)*'Residual Config'!$D$12+('Control Mapping'!$AJ$5:$AJ$83=3)*'Residual Config'!$D$13+('Control Mapping'!$AJ$5:$AJ$83=4)*'Residual Config'!$D$14))/SUMPRODUCT(('Control Mapping'!$C$5:$C$83=D588)*'Control Mapping'!$E$5:$E$83*('Control Mapping'!$AJ$5:$AJ$83&gt;0))))</f>
        <v>0.490909090909091</v>
      </c>
      <c r="P588" s="31" t="n">
        <f aca="false">IF(NOT(ISNUMBER($G588)),"",INDEX('Residual Config'!$B$19:$E$23,6-G588,M588))</f>
        <v>1</v>
      </c>
      <c r="Q588" s="29" t="n">
        <f aca="false">IF(NOT(ISNUMBER($G588)),"",MAX(1,F588*(1-O588)))</f>
        <v>1</v>
      </c>
      <c r="R588" s="31" t="n">
        <f aca="false">IF(NOT(ISNUMBER($G588)),"",MAX(MATCH(Q588,Config!$D$5:$D$9,1),G588-'Residual Config'!$C$6))</f>
        <v>1</v>
      </c>
      <c r="S588" s="34" t="n">
        <f aca="false">IF(NOT(ISNUMBER($G588)),"",IF('Residual Config'!$C$5="Numeric",R588,P588))</f>
        <v>1</v>
      </c>
      <c r="T588" s="7" t="str">
        <f aca="false">IF(G588="N/A","N/A",IF(S588="","No data",INDEX(Config!$B$5:$B$9,S588)))</f>
        <v>Low</v>
      </c>
      <c r="U588" s="32" t="n">
        <v>0</v>
      </c>
      <c r="V588" s="8"/>
      <c r="W588" s="33"/>
      <c r="X588" s="34" t="n">
        <f aca="false">IF(S588="","",IF(AND(W588="Y",U588&lt;&gt;0),MAX(1,MIN(5,S588+MAX(-Config!$C$27,MIN(Config!$C$27,U588)))),S588))</f>
        <v>1</v>
      </c>
      <c r="Y588" s="35" t="str">
        <f aca="false">IF(G588="N/A","N/A",IF(X588="","No data",INDEX(Config!$B$5:$B$9,X588)))</f>
        <v>Low</v>
      </c>
      <c r="Z588" s="7" t="str">
        <f aca="false">IF(U588=0,"None",IF(W588="Y","Applied","Pending HO approval"))</f>
        <v>None</v>
      </c>
      <c r="AA588" s="12" t="str">
        <f aca="false">INDEX('Risk Taxonomy'!$G$5:$G$24,MATCH(D588,'Risk Taxonomy'!$A$5:$A$24,0))</f>
        <v>Zero tolerance</v>
      </c>
      <c r="AB588" s="7" t="str">
        <f aca="false">INDEX('Risk Taxonomy'!$H$5:$H$24,MATCH(D588,'Risk Taxonomy'!$A$5:$A$24,0))</f>
        <v>Low</v>
      </c>
      <c r="AC588" s="35" t="str">
        <f aca="false">IF(NOT(ISNUMBER(X588)),"",IF(X588&lt;=MATCH(AB588,Config!$B$5:$B$9,0),"Within",IF(OR(X588-MATCH(AB588,Config!$B$5:$B$9,0)&gt;=2,AND('Residual Config'!$C$8="Y",ISNUMBER(SEARCH("Zero",AA588)))),"Red","Amber")))</f>
        <v>Within</v>
      </c>
      <c r="AD588" s="12" t="str">
        <f aca="false">IF(AC588="Red","Group CCO / CRO and Country CEO within 2 business days; action plan in 15 days; report to Board Risk &amp; Compliance Committee",IF(AC588="Amber","Country CO, risk owner and HO Administrator within 5 business days; action plan in 30 days",""))</f>
        <v/>
      </c>
    </row>
    <row r="589" customFormat="false" ht="15" hidden="false" customHeight="false" outlineLevel="0" collapsed="false">
      <c r="A589" s="26" t="str">
        <f aca="false">Entities!$A$34</f>
        <v>US</v>
      </c>
      <c r="B589" s="12" t="str">
        <f aca="false">INDEX(Entities!$B$5:$B$34,MATCH(A589,Entities!$A$5:$A$34,0))</f>
        <v>Arab Bank – United States (if retained)</v>
      </c>
      <c r="C589" s="12" t="str">
        <f aca="false">INDEX(Entities!$D$5:$D$34,MATCH(A589,Entities!$A$5:$A$34,0))</f>
        <v>Americas</v>
      </c>
      <c r="D589" s="12" t="s">
        <v>275</v>
      </c>
      <c r="E589" s="12" t="str">
        <f aca="false">INDEX('Risk Taxonomy'!$B$5:$B$24,MATCH(D589,'Risk Taxonomy'!$A$5:$A$24,0))</f>
        <v>Bribery and corruption</v>
      </c>
      <c r="F589" s="29" t="n">
        <f aca="false">IF(NOT(ISNUMBER(G589)),"",IFERROR(IF(MATCH(SUMIFS('FC Calculation'!$N$5:$N$214,'FC Calculation'!$A$5:$A$214,A589,'FC Calculation'!$D$5:$D$214,D589),Config!$D$5:$D$9,1)=G589,SUMIFS('FC Calculation'!$N$5:$N$214,'FC Calculation'!$A$5:$A$214,A589,'FC Calculation'!$D$5:$D$214,D589),G589),G589))</f>
        <v>1.45925925925926</v>
      </c>
      <c r="G589" s="34" t="n">
        <f aca="false">IF(COUNTIFS('FC Calculation'!$A$5:$A$214,A589,'FC Calculation'!$D$5:$D$214,D589,'FC Calculation'!$T$5:$T$214,"&gt;0")=0,"",SUMIFS('FC Calculation'!$T$5:$T$214,'FC Calculation'!$A$5:$A$214,A589,'FC Calculation'!$D$5:$D$214,D589))</f>
        <v>1</v>
      </c>
      <c r="H589" s="7" t="str">
        <f aca="false">IF(G589="N/A","N/A",IF(G589="","No data",INDEX(Config!$B$5:$B$9,G589)))</f>
        <v>Low</v>
      </c>
      <c r="I589" s="31" t="n">
        <f aca="false">IF(NOT(ISNUMBER($G589)),"",SUMPRODUCT(('Control Mapping'!$C$5:$C$83=D589)*('Control Mapping'!$AJ$5:$AJ$83&gt;0)))</f>
        <v>5</v>
      </c>
      <c r="J589" s="31" t="n">
        <f aca="false">IF(NOT(ISNUMBER($G589)),"",SUMPRODUCT(('Control Mapping'!$C$5:$C$83=D589)*('Control Mapping'!$F$5:$F$83="Y")*('Control Mapping'!$AJ$5:$AJ$83&gt;0)))</f>
        <v>2</v>
      </c>
      <c r="K589" s="31" t="n">
        <f aca="false">IF(NOT(ISNUMBER($G589)),"",SUMPRODUCT(('Control Mapping'!$C$5:$C$83=D589)*('Control Mapping'!$F$5:$F$83="Y")*('Control Mapping'!$AJ$5:$AJ$83=4)))</f>
        <v>1</v>
      </c>
      <c r="L589" s="29" t="n">
        <f aca="false">IF(NOT(ISNUMBER($G589)),"",IFERROR(SUMPRODUCT(('Control Mapping'!$C$5:$C$83=D589)*'Control Mapping'!$E$5:$E$83*'Control Mapping'!$AJ$5:$AJ$83)/SUMPRODUCT(('Control Mapping'!$C$5:$C$83=D589)*'Control Mapping'!$E$5:$E$83*('Control Mapping'!$AJ$5:$AJ$83&gt;0)),""))</f>
        <v>3</v>
      </c>
      <c r="M589" s="34" t="n">
        <f aca="false">IF(NOT(ISNUMBER($G589)),"",IF(J589=0,4,MAX(MATCH(L589,'Residual Config'!$E$11:$E$14,1),IF(K589&gt;0,'Residual Config'!$C$7,1))))</f>
        <v>3</v>
      </c>
      <c r="N589" s="7" t="str">
        <f aca="false">IF(NOT(ISNUMBER($G589)),"",IF(J589=0,"Ineffective (no key control)",INDEX('Residual Config'!$B$11:$B$14,M589)))</f>
        <v>Partially effective</v>
      </c>
      <c r="O589" s="36" t="n">
        <f aca="false">IF(NOT(ISNUMBER($G589)),"",IF(J589=0,0,SUMPRODUCT(('Control Mapping'!$C$5:$C$83=D589)*'Control Mapping'!$E$5:$E$83*(('Control Mapping'!$AJ$5:$AJ$83=1)*'Residual Config'!$D$11+('Control Mapping'!$AJ$5:$AJ$83=2)*'Residual Config'!$D$12+('Control Mapping'!$AJ$5:$AJ$83=3)*'Residual Config'!$D$13+('Control Mapping'!$AJ$5:$AJ$83=4)*'Residual Config'!$D$14))/SUMPRODUCT(('Control Mapping'!$C$5:$C$83=D589)*'Control Mapping'!$E$5:$E$83*('Control Mapping'!$AJ$5:$AJ$83&gt;0))))</f>
        <v>0.2</v>
      </c>
      <c r="P589" s="31" t="n">
        <f aca="false">IF(NOT(ISNUMBER($G589)),"",INDEX('Residual Config'!$B$19:$E$23,6-G589,M589))</f>
        <v>1</v>
      </c>
      <c r="Q589" s="29" t="n">
        <f aca="false">IF(NOT(ISNUMBER($G589)),"",MAX(1,F589*(1-O589)))</f>
        <v>1.16740740740741</v>
      </c>
      <c r="R589" s="31" t="n">
        <f aca="false">IF(NOT(ISNUMBER($G589)),"",MAX(MATCH(Q589,Config!$D$5:$D$9,1),G589-'Residual Config'!$C$6))</f>
        <v>1</v>
      </c>
      <c r="S589" s="34" t="n">
        <f aca="false">IF(NOT(ISNUMBER($G589)),"",IF('Residual Config'!$C$5="Numeric",R589,P589))</f>
        <v>1</v>
      </c>
      <c r="T589" s="7" t="str">
        <f aca="false">IF(G589="N/A","N/A",IF(S589="","No data",INDEX(Config!$B$5:$B$9,S589)))</f>
        <v>Low</v>
      </c>
      <c r="U589" s="32" t="n">
        <v>0</v>
      </c>
      <c r="V589" s="8"/>
      <c r="W589" s="33"/>
      <c r="X589" s="34" t="n">
        <f aca="false">IF(S589="","",IF(AND(W589="Y",U589&lt;&gt;0),MAX(1,MIN(5,S589+MAX(-Config!$C$27,MIN(Config!$C$27,U589)))),S589))</f>
        <v>1</v>
      </c>
      <c r="Y589" s="35" t="str">
        <f aca="false">IF(G589="N/A","N/A",IF(X589="","No data",INDEX(Config!$B$5:$B$9,X589)))</f>
        <v>Low</v>
      </c>
      <c r="Z589" s="7" t="str">
        <f aca="false">IF(U589=0,"None",IF(W589="Y","Applied","Pending HO approval"))</f>
        <v>None</v>
      </c>
      <c r="AA589" s="12" t="str">
        <f aca="false">INDEX('Risk Taxonomy'!$G$5:$G$24,MATCH(D589,'Risk Taxonomy'!$A$5:$A$24,0))</f>
        <v>Zero tolerance</v>
      </c>
      <c r="AB589" s="7" t="str">
        <f aca="false">INDEX('Risk Taxonomy'!$H$5:$H$24,MATCH(D589,'Risk Taxonomy'!$A$5:$A$24,0))</f>
        <v>Low</v>
      </c>
      <c r="AC589" s="35" t="str">
        <f aca="false">IF(NOT(ISNUMBER(X589)),"",IF(X589&lt;=MATCH(AB589,Config!$B$5:$B$9,0),"Within",IF(OR(X589-MATCH(AB589,Config!$B$5:$B$9,0)&gt;=2,AND('Residual Config'!$C$8="Y",ISNUMBER(SEARCH("Zero",AA589)))),"Red","Amber")))</f>
        <v>Within</v>
      </c>
      <c r="AD589" s="12" t="str">
        <f aca="false">IF(AC589="Red","Group CCO / CRO and Country CEO within 2 business days; action plan in 15 days; report to Board Risk &amp; Compliance Committee",IF(AC589="Amber","Country CO, risk owner and HO Administrator within 5 business days; action plan in 30 days",""))</f>
        <v/>
      </c>
    </row>
    <row r="590" customFormat="false" ht="15" hidden="false" customHeight="false" outlineLevel="0" collapsed="false">
      <c r="A590" s="26" t="str">
        <f aca="false">Entities!$A$34</f>
        <v>US</v>
      </c>
      <c r="B590" s="12" t="str">
        <f aca="false">INDEX(Entities!$B$5:$B$34,MATCH(A590,Entities!$A$5:$A$34,0))</f>
        <v>Arab Bank – United States (if retained)</v>
      </c>
      <c r="C590" s="12" t="str">
        <f aca="false">INDEX(Entities!$D$5:$D$34,MATCH(A590,Entities!$A$5:$A$34,0))</f>
        <v>Americas</v>
      </c>
      <c r="D590" s="12" t="s">
        <v>278</v>
      </c>
      <c r="E590" s="12" t="str">
        <f aca="false">INDEX('Risk Taxonomy'!$B$5:$B$24,MATCH(D590,'Risk Taxonomy'!$A$5:$A$24,0))</f>
        <v>Fraud</v>
      </c>
      <c r="F590" s="29" t="n">
        <f aca="false">IF(NOT(ISNUMBER(G590)),"",IFERROR(IF(MATCH(SUMIFS('FC Calculation'!$N$5:$N$214,'FC Calculation'!$A$5:$A$214,A590,'FC Calculation'!$D$5:$D$214,D590),Config!$D$5:$D$9,1)=G590,SUMIFS('FC Calculation'!$N$5:$N$214,'FC Calculation'!$A$5:$A$214,A590,'FC Calculation'!$D$5:$D$214,D590),G590),G590))</f>
        <v>1.97333333333333</v>
      </c>
      <c r="G590" s="34" t="n">
        <f aca="false">IF(COUNTIFS('FC Calculation'!$A$5:$A$214,A590,'FC Calculation'!$D$5:$D$214,D590,'FC Calculation'!$T$5:$T$214,"&gt;0")=0,"",SUMIFS('FC Calculation'!$T$5:$T$214,'FC Calculation'!$A$5:$A$214,A590,'FC Calculation'!$D$5:$D$214,D590))</f>
        <v>2</v>
      </c>
      <c r="H590" s="7" t="str">
        <f aca="false">IF(G590="N/A","N/A",IF(G590="","No data",INDEX(Config!$B$5:$B$9,G590)))</f>
        <v>Medium-Low</v>
      </c>
      <c r="I590" s="31" t="n">
        <f aca="false">IF(NOT(ISNUMBER($G590)),"",SUMPRODUCT(('Control Mapping'!$C$5:$C$83=D590)*('Control Mapping'!$AJ$5:$AJ$83&gt;0)))</f>
        <v>6</v>
      </c>
      <c r="J590" s="31" t="n">
        <f aca="false">IF(NOT(ISNUMBER($G590)),"",SUMPRODUCT(('Control Mapping'!$C$5:$C$83=D590)*('Control Mapping'!$F$5:$F$83="Y")*('Control Mapping'!$AJ$5:$AJ$83&gt;0)))</f>
        <v>5</v>
      </c>
      <c r="K590" s="31" t="n">
        <f aca="false">IF(NOT(ISNUMBER($G590)),"",SUMPRODUCT(('Control Mapping'!$C$5:$C$83=D590)*('Control Mapping'!$F$5:$F$83="Y")*('Control Mapping'!$AJ$5:$AJ$83=4)))</f>
        <v>2</v>
      </c>
      <c r="L590" s="29" t="n">
        <f aca="false">IF(NOT(ISNUMBER($G590)),"",IFERROR(SUMPRODUCT(('Control Mapping'!$C$5:$C$83=D590)*'Control Mapping'!$E$5:$E$83*'Control Mapping'!$AJ$5:$AJ$83)/SUMPRODUCT(('Control Mapping'!$C$5:$C$83=D590)*'Control Mapping'!$E$5:$E$83*('Control Mapping'!$AJ$5:$AJ$83&gt;0)),""))</f>
        <v>2.4</v>
      </c>
      <c r="M590" s="34" t="n">
        <f aca="false">IF(NOT(ISNUMBER($G590)),"",IF(J590=0,4,MAX(MATCH(L590,'Residual Config'!$E$11:$E$14,1),IF(K590&gt;0,'Residual Config'!$C$7,1))))</f>
        <v>3</v>
      </c>
      <c r="N590" s="7" t="str">
        <f aca="false">IF(NOT(ISNUMBER($G590)),"",IF(J590=0,"Ineffective (no key control)",INDEX('Residual Config'!$B$11:$B$14,M590)))</f>
        <v>Partially effective</v>
      </c>
      <c r="O590" s="36" t="n">
        <f aca="false">IF(NOT(ISNUMBER($G590)),"",IF(J590=0,0,SUMPRODUCT(('Control Mapping'!$C$5:$C$83=D590)*'Control Mapping'!$E$5:$E$83*(('Control Mapping'!$AJ$5:$AJ$83=1)*'Residual Config'!$D$11+('Control Mapping'!$AJ$5:$AJ$83=2)*'Residual Config'!$D$12+('Control Mapping'!$AJ$5:$AJ$83=3)*'Residual Config'!$D$13+('Control Mapping'!$AJ$5:$AJ$83=4)*'Residual Config'!$D$14))/SUMPRODUCT(('Control Mapping'!$C$5:$C$83=D590)*'Control Mapping'!$E$5:$E$83*('Control Mapping'!$AJ$5:$AJ$83&gt;0))))</f>
        <v>0.32</v>
      </c>
      <c r="P590" s="31" t="n">
        <f aca="false">IF(NOT(ISNUMBER($G590)),"",INDEX('Residual Config'!$B$19:$E$23,6-G590,M590))</f>
        <v>2</v>
      </c>
      <c r="Q590" s="29" t="n">
        <f aca="false">IF(NOT(ISNUMBER($G590)),"",MAX(1,F590*(1-O590)))</f>
        <v>1.34186666666667</v>
      </c>
      <c r="R590" s="31" t="n">
        <f aca="false">IF(NOT(ISNUMBER($G590)),"",MAX(MATCH(Q590,Config!$D$5:$D$9,1),G590-'Residual Config'!$C$6))</f>
        <v>1</v>
      </c>
      <c r="S590" s="34" t="n">
        <f aca="false">IF(NOT(ISNUMBER($G590)),"",IF('Residual Config'!$C$5="Numeric",R590,P590))</f>
        <v>2</v>
      </c>
      <c r="T590" s="7" t="str">
        <f aca="false">IF(G590="N/A","N/A",IF(S590="","No data",INDEX(Config!$B$5:$B$9,S590)))</f>
        <v>Medium-Low</v>
      </c>
      <c r="U590" s="32" t="n">
        <v>0</v>
      </c>
      <c r="V590" s="8"/>
      <c r="W590" s="33"/>
      <c r="X590" s="34" t="n">
        <f aca="false">IF(S590="","",IF(AND(W590="Y",U590&lt;&gt;0),MAX(1,MIN(5,S590+MAX(-Config!$C$27,MIN(Config!$C$27,U590)))),S590))</f>
        <v>2</v>
      </c>
      <c r="Y590" s="35" t="str">
        <f aca="false">IF(G590="N/A","N/A",IF(X590="","No data",INDEX(Config!$B$5:$B$9,X590)))</f>
        <v>Medium-Low</v>
      </c>
      <c r="Z590" s="7" t="str">
        <f aca="false">IF(U590=0,"None",IF(W590="Y","Applied","Pending HO approval"))</f>
        <v>None</v>
      </c>
      <c r="AA590" s="12" t="str">
        <f aca="false">INDEX('Risk Taxonomy'!$G$5:$G$24,MATCH(D590,'Risk Taxonomy'!$A$5:$A$24,0))</f>
        <v>Low</v>
      </c>
      <c r="AB590" s="7" t="str">
        <f aca="false">INDEX('Risk Taxonomy'!$H$5:$H$24,MATCH(D590,'Risk Taxonomy'!$A$5:$A$24,0))</f>
        <v>Medium</v>
      </c>
      <c r="AC590" s="35" t="str">
        <f aca="false">IF(NOT(ISNUMBER(X590)),"",IF(X590&lt;=MATCH(AB590,Config!$B$5:$B$9,0),"Within",IF(OR(X590-MATCH(AB590,Config!$B$5:$B$9,0)&gt;=2,AND('Residual Config'!$C$8="Y",ISNUMBER(SEARCH("Zero",AA590)))),"Red","Amber")))</f>
        <v>Within</v>
      </c>
      <c r="AD590" s="12" t="str">
        <f aca="false">IF(AC590="Red","Group CCO / CRO and Country CEO within 2 business days; action plan in 15 days; report to Board Risk &amp; Compliance Committee",IF(AC590="Amber","Country CO, risk owner and HO Administrator within 5 business days; action plan in 30 days",""))</f>
        <v/>
      </c>
    </row>
    <row r="591" customFormat="false" ht="15" hidden="false" customHeight="false" outlineLevel="0" collapsed="false">
      <c r="A591" s="26" t="str">
        <f aca="false">Entities!$A$34</f>
        <v>US</v>
      </c>
      <c r="B591" s="12" t="str">
        <f aca="false">INDEX(Entities!$B$5:$B$34,MATCH(A591,Entities!$A$5:$A$34,0))</f>
        <v>Arab Bank – United States (if retained)</v>
      </c>
      <c r="C591" s="12" t="str">
        <f aca="false">INDEX(Entities!$D$5:$D$34,MATCH(A591,Entities!$A$5:$A$34,0))</f>
        <v>Americas</v>
      </c>
      <c r="D591" s="12" t="s">
        <v>281</v>
      </c>
      <c r="E591" s="12" t="str">
        <f aca="false">INDEX('Risk Taxonomy'!$B$5:$B$24,MATCH(D591,'Risk Taxonomy'!$A$5:$A$24,0))</f>
        <v>Tax evasion and tax transparency</v>
      </c>
      <c r="F591" s="29" t="n">
        <f aca="false">IF(NOT(ISNUMBER(G591)),"",IFERROR(IF(MATCH(SUMIFS('FC Calculation'!$N$5:$N$214,'FC Calculation'!$A$5:$A$214,A591,'FC Calculation'!$D$5:$D$214,D591),Config!$D$5:$D$9,1)=G591,SUMIFS('FC Calculation'!$N$5:$N$214,'FC Calculation'!$A$5:$A$214,A591,'FC Calculation'!$D$5:$D$214,D591),G591),G591))</f>
        <v>1.64055555555556</v>
      </c>
      <c r="G591" s="34" t="n">
        <f aca="false">IF(COUNTIFS('FC Calculation'!$A$5:$A$214,A591,'FC Calculation'!$D$5:$D$214,D591,'FC Calculation'!$T$5:$T$214,"&gt;0")=0,"",SUMIFS('FC Calculation'!$T$5:$T$214,'FC Calculation'!$A$5:$A$214,A591,'FC Calculation'!$D$5:$D$214,D591))</f>
        <v>1</v>
      </c>
      <c r="H591" s="7" t="str">
        <f aca="false">IF(G591="N/A","N/A",IF(G591="","No data",INDEX(Config!$B$5:$B$9,G591)))</f>
        <v>Low</v>
      </c>
      <c r="I591" s="31" t="n">
        <f aca="false">IF(NOT(ISNUMBER($G591)),"",SUMPRODUCT(('Control Mapping'!$C$5:$C$83=D591)*('Control Mapping'!$AJ$5:$AJ$83&gt;0)))</f>
        <v>5</v>
      </c>
      <c r="J591" s="31" t="n">
        <f aca="false">IF(NOT(ISNUMBER($G591)),"",SUMPRODUCT(('Control Mapping'!$C$5:$C$83=D591)*('Control Mapping'!$F$5:$F$83="Y")*('Control Mapping'!$AJ$5:$AJ$83&gt;0)))</f>
        <v>4</v>
      </c>
      <c r="K591" s="31" t="n">
        <f aca="false">IF(NOT(ISNUMBER($G591)),"",SUMPRODUCT(('Control Mapping'!$C$5:$C$83=D591)*('Control Mapping'!$F$5:$F$83="Y")*('Control Mapping'!$AJ$5:$AJ$83=4)))</f>
        <v>0</v>
      </c>
      <c r="L591" s="29" t="n">
        <f aca="false">IF(NOT(ISNUMBER($G591)),"",IFERROR(SUMPRODUCT(('Control Mapping'!$C$5:$C$83=D591)*'Control Mapping'!$E$5:$E$83*'Control Mapping'!$AJ$5:$AJ$83)/SUMPRODUCT(('Control Mapping'!$C$5:$C$83=D591)*'Control Mapping'!$E$5:$E$83*('Control Mapping'!$AJ$5:$AJ$83&gt;0)),""))</f>
        <v>1.44444444444444</v>
      </c>
      <c r="M591" s="34" t="n">
        <f aca="false">IF(NOT(ISNUMBER($G591)),"",IF(J591=0,4,MAX(MATCH(L591,'Residual Config'!$E$11:$E$14,1),IF(K591&gt;0,'Residual Config'!$C$7,1))))</f>
        <v>1</v>
      </c>
      <c r="N591" s="7" t="str">
        <f aca="false">IF(NOT(ISNUMBER($G591)),"",IF(J591=0,"Ineffective (no key control)",INDEX('Residual Config'!$B$11:$B$14,M591)))</f>
        <v>Effective</v>
      </c>
      <c r="O591" s="36" t="n">
        <f aca="false">IF(NOT(ISNUMBER($G591)),"",IF(J591=0,0,SUMPRODUCT(('Control Mapping'!$C$5:$C$83=D591)*'Control Mapping'!$E$5:$E$83*(('Control Mapping'!$AJ$5:$AJ$83=1)*'Residual Config'!$D$11+('Control Mapping'!$AJ$5:$AJ$83=2)*'Residual Config'!$D$12+('Control Mapping'!$AJ$5:$AJ$83=3)*'Residual Config'!$D$13+('Control Mapping'!$AJ$5:$AJ$83=4)*'Residual Config'!$D$14))/SUMPRODUCT(('Control Mapping'!$C$5:$C$83=D591)*'Control Mapping'!$E$5:$E$83*('Control Mapping'!$AJ$5:$AJ$83&gt;0))))</f>
        <v>0.511111111111111</v>
      </c>
      <c r="P591" s="31" t="n">
        <f aca="false">IF(NOT(ISNUMBER($G591)),"",INDEX('Residual Config'!$B$19:$E$23,6-G591,M591))</f>
        <v>1</v>
      </c>
      <c r="Q591" s="29" t="n">
        <f aca="false">IF(NOT(ISNUMBER($G591)),"",MAX(1,F591*(1-O591)))</f>
        <v>1</v>
      </c>
      <c r="R591" s="31" t="n">
        <f aca="false">IF(NOT(ISNUMBER($G591)),"",MAX(MATCH(Q591,Config!$D$5:$D$9,1),G591-'Residual Config'!$C$6))</f>
        <v>1</v>
      </c>
      <c r="S591" s="34" t="n">
        <f aca="false">IF(NOT(ISNUMBER($G591)),"",IF('Residual Config'!$C$5="Numeric",R591,P591))</f>
        <v>1</v>
      </c>
      <c r="T591" s="7" t="str">
        <f aca="false">IF(G591="N/A","N/A",IF(S591="","No data",INDEX(Config!$B$5:$B$9,S591)))</f>
        <v>Low</v>
      </c>
      <c r="U591" s="32" t="n">
        <v>0</v>
      </c>
      <c r="V591" s="8"/>
      <c r="W591" s="33"/>
      <c r="X591" s="34" t="n">
        <f aca="false">IF(S591="","",IF(AND(W591="Y",U591&lt;&gt;0),MAX(1,MIN(5,S591+MAX(-Config!$C$27,MIN(Config!$C$27,U591)))),S591))</f>
        <v>1</v>
      </c>
      <c r="Y591" s="35" t="str">
        <f aca="false">IF(G591="N/A","N/A",IF(X591="","No data",INDEX(Config!$B$5:$B$9,X591)))</f>
        <v>Low</v>
      </c>
      <c r="Z591" s="7" t="str">
        <f aca="false">IF(U591=0,"None",IF(W591="Y","Applied","Pending HO approval"))</f>
        <v>None</v>
      </c>
      <c r="AA591" s="12" t="str">
        <f aca="false">INDEX('Risk Taxonomy'!$G$5:$G$24,MATCH(D591,'Risk Taxonomy'!$A$5:$A$24,0))</f>
        <v>Zero tolerance (facilitation)</v>
      </c>
      <c r="AB591" s="7" t="str">
        <f aca="false">INDEX('Risk Taxonomy'!$H$5:$H$24,MATCH(D591,'Risk Taxonomy'!$A$5:$A$24,0))</f>
        <v>Low</v>
      </c>
      <c r="AC591" s="35" t="str">
        <f aca="false">IF(NOT(ISNUMBER(X591)),"",IF(X591&lt;=MATCH(AB591,Config!$B$5:$B$9,0),"Within",IF(OR(X591-MATCH(AB591,Config!$B$5:$B$9,0)&gt;=2,AND('Residual Config'!$C$8="Y",ISNUMBER(SEARCH("Zero",AA591)))),"Red","Amber")))</f>
        <v>Within</v>
      </c>
      <c r="AD591" s="12" t="str">
        <f aca="false">IF(AC591="Red","Group CCO / CRO and Country CEO within 2 business days; action plan in 15 days; report to Board Risk &amp; Compliance Committee",IF(AC591="Amber","Country CO, risk owner and HO Administrator within 5 business days; action plan in 30 days",""))</f>
        <v/>
      </c>
    </row>
    <row r="592" customFormat="false" ht="15" hidden="false" customHeight="false" outlineLevel="0" collapsed="false">
      <c r="A592" s="26" t="str">
        <f aca="false">Entities!$A$34</f>
        <v>US</v>
      </c>
      <c r="B592" s="12" t="str">
        <f aca="false">INDEX(Entities!$B$5:$B$34,MATCH(A592,Entities!$A$5:$A$34,0))</f>
        <v>Arab Bank – United States (if retained)</v>
      </c>
      <c r="C592" s="12" t="str">
        <f aca="false">INDEX(Entities!$D$5:$D$34,MATCH(A592,Entities!$A$5:$A$34,0))</f>
        <v>Americas</v>
      </c>
      <c r="D592" s="12" t="s">
        <v>284</v>
      </c>
      <c r="E592" s="12" t="str">
        <f aca="false">INDEX('Risk Taxonomy'!$B$5:$B$24,MATCH(D592,'Risk Taxonomy'!$A$5:$A$24,0))</f>
        <v>Regulatory compliance</v>
      </c>
      <c r="F592" s="29" t="n">
        <f aca="false">IF(NOT(ISNUMBER(G592)),"",G592)</f>
        <v>1</v>
      </c>
      <c r="G592" s="34" t="n">
        <f aca="false">IF(COUNTIFS('LxI Assessment'!$A$5:$A$394,A592,'LxI Assessment'!$D$5:$D$394,D592,'LxI Assessment'!$F$5:$F$394,"N/A")&gt;0,"N/A",IF(COUNTIFS('LxI Assessment'!$A$5:$A$394,A592,'LxI Assessment'!$D$5:$D$394,D592,'LxI Assessment'!$S$5:$S$394,"&gt;0")=0,"",SUMIFS('LxI Assessment'!$S$5:$S$394,'LxI Assessment'!$A$5:$A$394,A592,'LxI Assessment'!$D$5:$D$394,D592)))</f>
        <v>1</v>
      </c>
      <c r="H592" s="7" t="str">
        <f aca="false">IF(G592="N/A","N/A",IF(G592="","No data",INDEX(Config!$B$5:$B$9,G592)))</f>
        <v>Low</v>
      </c>
      <c r="I592" s="31" t="n">
        <f aca="false">IF(NOT(ISNUMBER($G592)),"",SUMPRODUCT(('Control Mapping'!$C$5:$C$83=D592)*('Control Mapping'!$AJ$5:$AJ$83&gt;0)))</f>
        <v>4</v>
      </c>
      <c r="J592" s="31" t="n">
        <f aca="false">IF(NOT(ISNUMBER($G592)),"",SUMPRODUCT(('Control Mapping'!$C$5:$C$83=D592)*('Control Mapping'!$F$5:$F$83="Y")*('Control Mapping'!$AJ$5:$AJ$83&gt;0)))</f>
        <v>3</v>
      </c>
      <c r="K592" s="31" t="n">
        <f aca="false">IF(NOT(ISNUMBER($G592)),"",SUMPRODUCT(('Control Mapping'!$C$5:$C$83=D592)*('Control Mapping'!$F$5:$F$83="Y")*('Control Mapping'!$AJ$5:$AJ$83=4)))</f>
        <v>0</v>
      </c>
      <c r="L592" s="29" t="n">
        <f aca="false">IF(NOT(ISNUMBER($G592)),"",IFERROR(SUMPRODUCT(('Control Mapping'!$C$5:$C$83=D592)*'Control Mapping'!$E$5:$E$83*'Control Mapping'!$AJ$5:$AJ$83)/SUMPRODUCT(('Control Mapping'!$C$5:$C$83=D592)*'Control Mapping'!$E$5:$E$83*('Control Mapping'!$AJ$5:$AJ$83&gt;0)),""))</f>
        <v>1.71428571428571</v>
      </c>
      <c r="M592" s="34" t="n">
        <f aca="false">IF(NOT(ISNUMBER($G592)),"",IF(J592=0,4,MAX(MATCH(L592,'Residual Config'!$E$11:$E$14,1),IF(K592&gt;0,'Residual Config'!$C$7,1))))</f>
        <v>2</v>
      </c>
      <c r="N592" s="7" t="str">
        <f aca="false">IF(NOT(ISNUMBER($G592)),"",IF(J592=0,"Ineffective (no key control)",INDEX('Residual Config'!$B$11:$B$14,M592)))</f>
        <v>Largely effective</v>
      </c>
      <c r="O592" s="36" t="n">
        <f aca="false">IF(NOT(ISNUMBER($G592)),"",IF(J592=0,0,SUMPRODUCT(('Control Mapping'!$C$5:$C$83=D592)*'Control Mapping'!$E$5:$E$83*(('Control Mapping'!$AJ$5:$AJ$83=1)*'Residual Config'!$D$11+('Control Mapping'!$AJ$5:$AJ$83=2)*'Residual Config'!$D$12+('Control Mapping'!$AJ$5:$AJ$83=3)*'Residual Config'!$D$13+('Control Mapping'!$AJ$5:$AJ$83=4)*'Residual Config'!$D$14))/SUMPRODUCT(('Control Mapping'!$C$5:$C$83=D592)*'Control Mapping'!$E$5:$E$83*('Control Mapping'!$AJ$5:$AJ$83&gt;0))))</f>
        <v>0.457142857142857</v>
      </c>
      <c r="P592" s="31" t="n">
        <f aca="false">IF(NOT(ISNUMBER($G592)),"",INDEX('Residual Config'!$B$19:$E$23,6-G592,M592))</f>
        <v>1</v>
      </c>
      <c r="Q592" s="29" t="n">
        <f aca="false">IF(NOT(ISNUMBER($G592)),"",MAX(1,F592*(1-O592)))</f>
        <v>1</v>
      </c>
      <c r="R592" s="31" t="n">
        <f aca="false">IF(NOT(ISNUMBER($G592)),"",MAX(MATCH(Q592,Config!$D$5:$D$9,1),G592-'Residual Config'!$C$6))</f>
        <v>1</v>
      </c>
      <c r="S592" s="34" t="n">
        <f aca="false">IF(NOT(ISNUMBER($G592)),"",IF('Residual Config'!$C$5="Numeric",R592,P592))</f>
        <v>1</v>
      </c>
      <c r="T592" s="7" t="str">
        <f aca="false">IF(G592="N/A","N/A",IF(S592="","No data",INDEX(Config!$B$5:$B$9,S592)))</f>
        <v>Low</v>
      </c>
      <c r="U592" s="32" t="n">
        <v>0</v>
      </c>
      <c r="V592" s="8"/>
      <c r="W592" s="33"/>
      <c r="X592" s="34" t="n">
        <f aca="false">IF(S592="","",IF(AND(W592="Y",U592&lt;&gt;0),MAX(1,MIN(5,S592+MAX(-Config!$C$27,MIN(Config!$C$27,U592)))),S592))</f>
        <v>1</v>
      </c>
      <c r="Y592" s="35" t="str">
        <f aca="false">IF(G592="N/A","N/A",IF(X592="","No data",INDEX(Config!$B$5:$B$9,X592)))</f>
        <v>Low</v>
      </c>
      <c r="Z592" s="7" t="str">
        <f aca="false">IF(U592=0,"None",IF(W592="Y","Applied","Pending HO approval"))</f>
        <v>None</v>
      </c>
      <c r="AA592" s="12" t="str">
        <f aca="false">INDEX('Risk Taxonomy'!$G$5:$G$24,MATCH(D592,'Risk Taxonomy'!$A$5:$A$24,0))</f>
        <v>Very low</v>
      </c>
      <c r="AB592" s="7" t="str">
        <f aca="false">INDEX('Risk Taxonomy'!$H$5:$H$24,MATCH(D592,'Risk Taxonomy'!$A$5:$A$24,0))</f>
        <v>Medium-Low</v>
      </c>
      <c r="AC592" s="35" t="str">
        <f aca="false">IF(NOT(ISNUMBER(X592)),"",IF(X592&lt;=MATCH(AB592,Config!$B$5:$B$9,0),"Within",IF(OR(X592-MATCH(AB592,Config!$B$5:$B$9,0)&gt;=2,AND('Residual Config'!$C$8="Y",ISNUMBER(SEARCH("Zero",AA592)))),"Red","Amber")))</f>
        <v>Within</v>
      </c>
      <c r="AD592" s="12" t="str">
        <f aca="false">IF(AC592="Red","Group CCO / CRO and Country CEO within 2 business days; action plan in 15 days; report to Board Risk &amp; Compliance Committee",IF(AC592="Amber","Country CO, risk owner and HO Administrator within 5 business days; action plan in 30 days",""))</f>
        <v/>
      </c>
    </row>
    <row r="593" customFormat="false" ht="15" hidden="false" customHeight="false" outlineLevel="0" collapsed="false">
      <c r="A593" s="26" t="str">
        <f aca="false">Entities!$A$34</f>
        <v>US</v>
      </c>
      <c r="B593" s="12" t="str">
        <f aca="false">INDEX(Entities!$B$5:$B$34,MATCH(A593,Entities!$A$5:$A$34,0))</f>
        <v>Arab Bank – United States (if retained)</v>
      </c>
      <c r="C593" s="12" t="str">
        <f aca="false">INDEX(Entities!$D$5:$D$34,MATCH(A593,Entities!$A$5:$A$34,0))</f>
        <v>Americas</v>
      </c>
      <c r="D593" s="12" t="s">
        <v>288</v>
      </c>
      <c r="E593" s="12" t="str">
        <f aca="false">INDEX('Risk Taxonomy'!$B$5:$B$24,MATCH(D593,'Risk Taxonomy'!$A$5:$A$24,0))</f>
        <v>Conduct and consumer protection</v>
      </c>
      <c r="F593" s="29" t="n">
        <f aca="false">IF(NOT(ISNUMBER(G593)),"",G593)</f>
        <v>1</v>
      </c>
      <c r="G593" s="34" t="n">
        <f aca="false">IF(COUNTIFS('LxI Assessment'!$A$5:$A$394,A593,'LxI Assessment'!$D$5:$D$394,D593,'LxI Assessment'!$F$5:$F$394,"N/A")&gt;0,"N/A",IF(COUNTIFS('LxI Assessment'!$A$5:$A$394,A593,'LxI Assessment'!$D$5:$D$394,D593,'LxI Assessment'!$S$5:$S$394,"&gt;0")=0,"",SUMIFS('LxI Assessment'!$S$5:$S$394,'LxI Assessment'!$A$5:$A$394,A593,'LxI Assessment'!$D$5:$D$394,D593)))</f>
        <v>1</v>
      </c>
      <c r="H593" s="7" t="str">
        <f aca="false">IF(G593="N/A","N/A",IF(G593="","No data",INDEX(Config!$B$5:$B$9,G593)))</f>
        <v>Low</v>
      </c>
      <c r="I593" s="31" t="n">
        <f aca="false">IF(NOT(ISNUMBER($G593)),"",SUMPRODUCT(('Control Mapping'!$C$5:$C$83=D593)*('Control Mapping'!$AJ$5:$AJ$83&gt;0)))</f>
        <v>2</v>
      </c>
      <c r="J593" s="31" t="n">
        <f aca="false">IF(NOT(ISNUMBER($G593)),"",SUMPRODUCT(('Control Mapping'!$C$5:$C$83=D593)*('Control Mapping'!$F$5:$F$83="Y")*('Control Mapping'!$AJ$5:$AJ$83&gt;0)))</f>
        <v>1</v>
      </c>
      <c r="K593" s="31" t="n">
        <f aca="false">IF(NOT(ISNUMBER($G593)),"",SUMPRODUCT(('Control Mapping'!$C$5:$C$83=D593)*('Control Mapping'!$F$5:$F$83="Y")*('Control Mapping'!$AJ$5:$AJ$83=4)))</f>
        <v>0</v>
      </c>
      <c r="L593" s="29" t="n">
        <f aca="false">IF(NOT(ISNUMBER($G593)),"",IFERROR(SUMPRODUCT(('Control Mapping'!$C$5:$C$83=D593)*'Control Mapping'!$E$5:$E$83*'Control Mapping'!$AJ$5:$AJ$83)/SUMPRODUCT(('Control Mapping'!$C$5:$C$83=D593)*'Control Mapping'!$E$5:$E$83*('Control Mapping'!$AJ$5:$AJ$83&gt;0)),""))</f>
        <v>2.2</v>
      </c>
      <c r="M593" s="34" t="n">
        <f aca="false">IF(NOT(ISNUMBER($G593)),"",IF(J593=0,4,MAX(MATCH(L593,'Residual Config'!$E$11:$E$14,1),IF(K593&gt;0,'Residual Config'!$C$7,1))))</f>
        <v>2</v>
      </c>
      <c r="N593" s="7" t="str">
        <f aca="false">IF(NOT(ISNUMBER($G593)),"",IF(J593=0,"Ineffective (no key control)",INDEX('Residual Config'!$B$11:$B$14,M593)))</f>
        <v>Largely effective</v>
      </c>
      <c r="O593" s="36" t="n">
        <f aca="false">IF(NOT(ISNUMBER($G593)),"",IF(J593=0,0,SUMPRODUCT(('Control Mapping'!$C$5:$C$83=D593)*'Control Mapping'!$E$5:$E$83*(('Control Mapping'!$AJ$5:$AJ$83=1)*'Residual Config'!$D$11+('Control Mapping'!$AJ$5:$AJ$83=2)*'Residual Config'!$D$12+('Control Mapping'!$AJ$5:$AJ$83=3)*'Residual Config'!$D$13+('Control Mapping'!$AJ$5:$AJ$83=4)*'Residual Config'!$D$14))/SUMPRODUCT(('Control Mapping'!$C$5:$C$83=D593)*'Control Mapping'!$E$5:$E$83*('Control Mapping'!$AJ$5:$AJ$83&gt;0))))</f>
        <v>0.36</v>
      </c>
      <c r="P593" s="31" t="n">
        <f aca="false">IF(NOT(ISNUMBER($G593)),"",INDEX('Residual Config'!$B$19:$E$23,6-G593,M593))</f>
        <v>1</v>
      </c>
      <c r="Q593" s="29" t="n">
        <f aca="false">IF(NOT(ISNUMBER($G593)),"",MAX(1,F593*(1-O593)))</f>
        <v>1</v>
      </c>
      <c r="R593" s="31" t="n">
        <f aca="false">IF(NOT(ISNUMBER($G593)),"",MAX(MATCH(Q593,Config!$D$5:$D$9,1),G593-'Residual Config'!$C$6))</f>
        <v>1</v>
      </c>
      <c r="S593" s="34" t="n">
        <f aca="false">IF(NOT(ISNUMBER($G593)),"",IF('Residual Config'!$C$5="Numeric",R593,P593))</f>
        <v>1</v>
      </c>
      <c r="T593" s="7" t="str">
        <f aca="false">IF(G593="N/A","N/A",IF(S593="","No data",INDEX(Config!$B$5:$B$9,S593)))</f>
        <v>Low</v>
      </c>
      <c r="U593" s="32" t="n">
        <v>0</v>
      </c>
      <c r="V593" s="8"/>
      <c r="W593" s="33"/>
      <c r="X593" s="34" t="n">
        <f aca="false">IF(S593="","",IF(AND(W593="Y",U593&lt;&gt;0),MAX(1,MIN(5,S593+MAX(-Config!$C$27,MIN(Config!$C$27,U593)))),S593))</f>
        <v>1</v>
      </c>
      <c r="Y593" s="35" t="str">
        <f aca="false">IF(G593="N/A","N/A",IF(X593="","No data",INDEX(Config!$B$5:$B$9,X593)))</f>
        <v>Low</v>
      </c>
      <c r="Z593" s="7" t="str">
        <f aca="false">IF(U593=0,"None",IF(W593="Y","Applied","Pending HO approval"))</f>
        <v>None</v>
      </c>
      <c r="AA593" s="12" t="str">
        <f aca="false">INDEX('Risk Taxonomy'!$G$5:$G$24,MATCH(D593,'Risk Taxonomy'!$A$5:$A$24,0))</f>
        <v>Low</v>
      </c>
      <c r="AB593" s="7" t="str">
        <f aca="false">INDEX('Risk Taxonomy'!$H$5:$H$24,MATCH(D593,'Risk Taxonomy'!$A$5:$A$24,0))</f>
        <v>Medium</v>
      </c>
      <c r="AC593" s="35" t="str">
        <f aca="false">IF(NOT(ISNUMBER(X593)),"",IF(X593&lt;=MATCH(AB593,Config!$B$5:$B$9,0),"Within",IF(OR(X593-MATCH(AB593,Config!$B$5:$B$9,0)&gt;=2,AND('Residual Config'!$C$8="Y",ISNUMBER(SEARCH("Zero",AA593)))),"Red","Amber")))</f>
        <v>Within</v>
      </c>
      <c r="AD593" s="12" t="str">
        <f aca="false">IF(AC593="Red","Group CCO / CRO and Country CEO within 2 business days; action plan in 15 days; report to Board Risk &amp; Compliance Committee",IF(AC593="Amber","Country CO, risk owner and HO Administrator within 5 business days; action plan in 30 days",""))</f>
        <v/>
      </c>
    </row>
    <row r="594" customFormat="false" ht="15" hidden="false" customHeight="false" outlineLevel="0" collapsed="false">
      <c r="A594" s="26" t="str">
        <f aca="false">Entities!$A$34</f>
        <v>US</v>
      </c>
      <c r="B594" s="12" t="str">
        <f aca="false">INDEX(Entities!$B$5:$B$34,MATCH(A594,Entities!$A$5:$A$34,0))</f>
        <v>Arab Bank – United States (if retained)</v>
      </c>
      <c r="C594" s="12" t="str">
        <f aca="false">INDEX(Entities!$D$5:$D$34,MATCH(A594,Entities!$A$5:$A$34,0))</f>
        <v>Americas</v>
      </c>
      <c r="D594" s="12" t="s">
        <v>290</v>
      </c>
      <c r="E594" s="12" t="str">
        <f aca="false">INDEX('Risk Taxonomy'!$B$5:$B$24,MATCH(D594,'Risk Taxonomy'!$A$5:$A$24,0))</f>
        <v>Data protection and privacy</v>
      </c>
      <c r="F594" s="29" t="n">
        <f aca="false">IF(NOT(ISNUMBER(G594)),"",G594)</f>
        <v>1</v>
      </c>
      <c r="G594" s="34" t="n">
        <f aca="false">IF(COUNTIFS('LxI Assessment'!$A$5:$A$394,A594,'LxI Assessment'!$D$5:$D$394,D594,'LxI Assessment'!$F$5:$F$394,"N/A")&gt;0,"N/A",IF(COUNTIFS('LxI Assessment'!$A$5:$A$394,A594,'LxI Assessment'!$D$5:$D$394,D594,'LxI Assessment'!$S$5:$S$394,"&gt;0")=0,"",SUMIFS('LxI Assessment'!$S$5:$S$394,'LxI Assessment'!$A$5:$A$394,A594,'LxI Assessment'!$D$5:$D$394,D594)))</f>
        <v>1</v>
      </c>
      <c r="H594" s="7" t="str">
        <f aca="false">IF(G594="N/A","N/A",IF(G594="","No data",INDEX(Config!$B$5:$B$9,G594)))</f>
        <v>Low</v>
      </c>
      <c r="I594" s="31" t="n">
        <f aca="false">IF(NOT(ISNUMBER($G594)),"",SUMPRODUCT(('Control Mapping'!$C$5:$C$83=D594)*('Control Mapping'!$AJ$5:$AJ$83&gt;0)))</f>
        <v>2</v>
      </c>
      <c r="J594" s="31" t="n">
        <f aca="false">IF(NOT(ISNUMBER($G594)),"",SUMPRODUCT(('Control Mapping'!$C$5:$C$83=D594)*('Control Mapping'!$F$5:$F$83="Y")*('Control Mapping'!$AJ$5:$AJ$83&gt;0)))</f>
        <v>2</v>
      </c>
      <c r="K594" s="31" t="n">
        <f aca="false">IF(NOT(ISNUMBER($G594)),"",SUMPRODUCT(('Control Mapping'!$C$5:$C$83=D594)*('Control Mapping'!$F$5:$F$83="Y")*('Control Mapping'!$AJ$5:$AJ$83=4)))</f>
        <v>0</v>
      </c>
      <c r="L594" s="29" t="n">
        <f aca="false">IF(NOT(ISNUMBER($G594)),"",IFERROR(SUMPRODUCT(('Control Mapping'!$C$5:$C$83=D594)*'Control Mapping'!$E$5:$E$83*'Control Mapping'!$AJ$5:$AJ$83)/SUMPRODUCT(('Control Mapping'!$C$5:$C$83=D594)*'Control Mapping'!$E$5:$E$83*('Control Mapping'!$AJ$5:$AJ$83&gt;0)),""))</f>
        <v>1.5</v>
      </c>
      <c r="M594" s="34" t="n">
        <f aca="false">IF(NOT(ISNUMBER($G594)),"",IF(J594=0,4,MAX(MATCH(L594,'Residual Config'!$E$11:$E$14,1),IF(K594&gt;0,'Residual Config'!$C$7,1))))</f>
        <v>2</v>
      </c>
      <c r="N594" s="7" t="str">
        <f aca="false">IF(NOT(ISNUMBER($G594)),"",IF(J594=0,"Ineffective (no key control)",INDEX('Residual Config'!$B$11:$B$14,M594)))</f>
        <v>Largely effective</v>
      </c>
      <c r="O594" s="36" t="n">
        <f aca="false">IF(NOT(ISNUMBER($G594)),"",IF(J594=0,0,SUMPRODUCT(('Control Mapping'!$C$5:$C$83=D594)*'Control Mapping'!$E$5:$E$83*(('Control Mapping'!$AJ$5:$AJ$83=1)*'Residual Config'!$D$11+('Control Mapping'!$AJ$5:$AJ$83=2)*'Residual Config'!$D$12+('Control Mapping'!$AJ$5:$AJ$83=3)*'Residual Config'!$D$13+('Control Mapping'!$AJ$5:$AJ$83=4)*'Residual Config'!$D$14))/SUMPRODUCT(('Control Mapping'!$C$5:$C$83=D594)*'Control Mapping'!$E$5:$E$83*('Control Mapping'!$AJ$5:$AJ$83&gt;0))))</f>
        <v>0.5</v>
      </c>
      <c r="P594" s="31" t="n">
        <f aca="false">IF(NOT(ISNUMBER($G594)),"",INDEX('Residual Config'!$B$19:$E$23,6-G594,M594))</f>
        <v>1</v>
      </c>
      <c r="Q594" s="29" t="n">
        <f aca="false">IF(NOT(ISNUMBER($G594)),"",MAX(1,F594*(1-O594)))</f>
        <v>1</v>
      </c>
      <c r="R594" s="31" t="n">
        <f aca="false">IF(NOT(ISNUMBER($G594)),"",MAX(MATCH(Q594,Config!$D$5:$D$9,1),G594-'Residual Config'!$C$6))</f>
        <v>1</v>
      </c>
      <c r="S594" s="34" t="n">
        <f aca="false">IF(NOT(ISNUMBER($G594)),"",IF('Residual Config'!$C$5="Numeric",R594,P594))</f>
        <v>1</v>
      </c>
      <c r="T594" s="7" t="str">
        <f aca="false">IF(G594="N/A","N/A",IF(S594="","No data",INDEX(Config!$B$5:$B$9,S594)))</f>
        <v>Low</v>
      </c>
      <c r="U594" s="32" t="n">
        <v>0</v>
      </c>
      <c r="V594" s="8"/>
      <c r="W594" s="33"/>
      <c r="X594" s="34" t="n">
        <f aca="false">IF(S594="","",IF(AND(W594="Y",U594&lt;&gt;0),MAX(1,MIN(5,S594+MAX(-Config!$C$27,MIN(Config!$C$27,U594)))),S594))</f>
        <v>1</v>
      </c>
      <c r="Y594" s="35" t="str">
        <f aca="false">IF(G594="N/A","N/A",IF(X594="","No data",INDEX(Config!$B$5:$B$9,X594)))</f>
        <v>Low</v>
      </c>
      <c r="Z594" s="7" t="str">
        <f aca="false">IF(U594=0,"None",IF(W594="Y","Applied","Pending HO approval"))</f>
        <v>None</v>
      </c>
      <c r="AA594" s="12" t="str">
        <f aca="false">INDEX('Risk Taxonomy'!$G$5:$G$24,MATCH(D594,'Risk Taxonomy'!$A$5:$A$24,0))</f>
        <v>Very low</v>
      </c>
      <c r="AB594" s="7" t="str">
        <f aca="false">INDEX('Risk Taxonomy'!$H$5:$H$24,MATCH(D594,'Risk Taxonomy'!$A$5:$A$24,0))</f>
        <v>Medium-Low</v>
      </c>
      <c r="AC594" s="35" t="str">
        <f aca="false">IF(NOT(ISNUMBER(X594)),"",IF(X594&lt;=MATCH(AB594,Config!$B$5:$B$9,0),"Within",IF(OR(X594-MATCH(AB594,Config!$B$5:$B$9,0)&gt;=2,AND('Residual Config'!$C$8="Y",ISNUMBER(SEARCH("Zero",AA594)))),"Red","Amber")))</f>
        <v>Within</v>
      </c>
      <c r="AD594" s="12" t="str">
        <f aca="false">IF(AC594="Red","Group CCO / CRO and Country CEO within 2 business days; action plan in 15 days; report to Board Risk &amp; Compliance Committee",IF(AC594="Amber","Country CO, risk owner and HO Administrator within 5 business days; action plan in 30 days",""))</f>
        <v/>
      </c>
    </row>
    <row r="595" customFormat="false" ht="15" hidden="false" customHeight="false" outlineLevel="0" collapsed="false">
      <c r="A595" s="26" t="str">
        <f aca="false">Entities!$A$34</f>
        <v>US</v>
      </c>
      <c r="B595" s="12" t="str">
        <f aca="false">INDEX(Entities!$B$5:$B$34,MATCH(A595,Entities!$A$5:$A$34,0))</f>
        <v>Arab Bank – United States (if retained)</v>
      </c>
      <c r="C595" s="12" t="str">
        <f aca="false">INDEX(Entities!$D$5:$D$34,MATCH(A595,Entities!$A$5:$A$34,0))</f>
        <v>Americas</v>
      </c>
      <c r="D595" s="12" t="s">
        <v>293</v>
      </c>
      <c r="E595" s="12" t="str">
        <f aca="false">INDEX('Risk Taxonomy'!$B$5:$B$24,MATCH(D595,'Risk Taxonomy'!$A$5:$A$24,0))</f>
        <v>Shariah non-compliance</v>
      </c>
      <c r="F595" s="29" t="str">
        <f aca="false">IF(NOT(ISNUMBER(G595)),"",G595)</f>
        <v/>
      </c>
      <c r="G595" s="34" t="str">
        <f aca="false">IF(COUNTIFS('LxI Assessment'!$A$5:$A$394,A595,'LxI Assessment'!$D$5:$D$394,D595,'LxI Assessment'!$F$5:$F$394,"N/A")&gt;0,"N/A",IF(COUNTIFS('LxI Assessment'!$A$5:$A$394,A595,'LxI Assessment'!$D$5:$D$394,D595,'LxI Assessment'!$S$5:$S$394,"&gt;0")=0,"",SUMIFS('LxI Assessment'!$S$5:$S$394,'LxI Assessment'!$A$5:$A$394,A595,'LxI Assessment'!$D$5:$D$394,D595)))</f>
        <v>N/A</v>
      </c>
      <c r="H595" s="7" t="str">
        <f aca="false">IF(G595="N/A","N/A",IF(G595="","No data",INDEX(Config!$B$5:$B$9,G595)))</f>
        <v>N/A</v>
      </c>
      <c r="I595" s="31" t="str">
        <f aca="false">IF(NOT(ISNUMBER($G595)),"",SUMPRODUCT(('Control Mapping'!$C$5:$C$83=D595)*('Control Mapping'!$AJ$5:$AJ$83&gt;0)))</f>
        <v/>
      </c>
      <c r="J595" s="31" t="str">
        <f aca="false">IF(NOT(ISNUMBER($G595)),"",SUMPRODUCT(('Control Mapping'!$C$5:$C$83=D595)*('Control Mapping'!$F$5:$F$83="Y")*('Control Mapping'!$AJ$5:$AJ$83&gt;0)))</f>
        <v/>
      </c>
      <c r="K595" s="31" t="str">
        <f aca="false">IF(NOT(ISNUMBER($G595)),"",SUMPRODUCT(('Control Mapping'!$C$5:$C$83=D595)*('Control Mapping'!$F$5:$F$83="Y")*('Control Mapping'!$AJ$5:$AJ$83=4)))</f>
        <v/>
      </c>
      <c r="L595" s="29" t="str">
        <f aca="false">IF(NOT(ISNUMBER($G595)),"",IFERROR(SUMPRODUCT(('Control Mapping'!$C$5:$C$83=D595)*'Control Mapping'!$E$5:$E$83*'Control Mapping'!$AJ$5:$AJ$83)/SUMPRODUCT(('Control Mapping'!$C$5:$C$83=D595)*'Control Mapping'!$E$5:$E$83*('Control Mapping'!$AJ$5:$AJ$83&gt;0)),""))</f>
        <v/>
      </c>
      <c r="M595" s="34" t="str">
        <f aca="false">IF(NOT(ISNUMBER($G595)),"",IF(J595=0,4,MAX(MATCH(L595,'Residual Config'!$E$11:$E$14,1),IF(K595&gt;0,'Residual Config'!$C$7,1))))</f>
        <v/>
      </c>
      <c r="N595" s="7" t="str">
        <f aca="false">IF(NOT(ISNUMBER($G595)),"",IF(J595=0,"Ineffective (no key control)",INDEX('Residual Config'!$B$11:$B$14,M595)))</f>
        <v/>
      </c>
      <c r="O595" s="36" t="str">
        <f aca="false">IF(NOT(ISNUMBER($G595)),"",IF(J595=0,0,SUMPRODUCT(('Control Mapping'!$C$5:$C$83=D595)*'Control Mapping'!$E$5:$E$83*(('Control Mapping'!$AJ$5:$AJ$83=1)*'Residual Config'!$D$11+('Control Mapping'!$AJ$5:$AJ$83=2)*'Residual Config'!$D$12+('Control Mapping'!$AJ$5:$AJ$83=3)*'Residual Config'!$D$13+('Control Mapping'!$AJ$5:$AJ$83=4)*'Residual Config'!$D$14))/SUMPRODUCT(('Control Mapping'!$C$5:$C$83=D595)*'Control Mapping'!$E$5:$E$83*('Control Mapping'!$AJ$5:$AJ$83&gt;0))))</f>
        <v/>
      </c>
      <c r="P595" s="31" t="str">
        <f aca="false">IF(NOT(ISNUMBER($G595)),"",INDEX('Residual Config'!$B$19:$E$23,6-G595,M595))</f>
        <v/>
      </c>
      <c r="Q595" s="29" t="str">
        <f aca="false">IF(NOT(ISNUMBER($G595)),"",MAX(1,F595*(1-O595)))</f>
        <v/>
      </c>
      <c r="R595" s="31" t="str">
        <f aca="false">IF(NOT(ISNUMBER($G595)),"",MAX(MATCH(Q595,Config!$D$5:$D$9,1),G595-'Residual Config'!$C$6))</f>
        <v/>
      </c>
      <c r="S595" s="34" t="str">
        <f aca="false">IF(NOT(ISNUMBER($G595)),"",IF('Residual Config'!$C$5="Numeric",R595,P595))</f>
        <v/>
      </c>
      <c r="T595" s="7" t="str">
        <f aca="false">IF(G595="N/A","N/A",IF(S595="","No data",INDEX(Config!$B$5:$B$9,S595)))</f>
        <v>N/A</v>
      </c>
      <c r="U595" s="32" t="n">
        <v>0</v>
      </c>
      <c r="V595" s="8"/>
      <c r="W595" s="33"/>
      <c r="X595" s="34" t="str">
        <f aca="false">IF(S595="","",IF(AND(W595="Y",U595&lt;&gt;0),MAX(1,MIN(5,S595+MAX(-Config!$C$27,MIN(Config!$C$27,U595)))),S595))</f>
        <v/>
      </c>
      <c r="Y595" s="35" t="str">
        <f aca="false">IF(G595="N/A","N/A",IF(X595="","No data",INDEX(Config!$B$5:$B$9,X595)))</f>
        <v>N/A</v>
      </c>
      <c r="Z595" s="7" t="str">
        <f aca="false">IF(U595=0,"None",IF(W595="Y","Applied","Pending HO approval"))</f>
        <v>None</v>
      </c>
      <c r="AA595" s="12" t="str">
        <f aca="false">INDEX('Risk Taxonomy'!$G$5:$G$24,MATCH(D595,'Risk Taxonomy'!$A$5:$A$24,0))</f>
        <v>Very low</v>
      </c>
      <c r="AB595" s="7" t="str">
        <f aca="false">INDEX('Risk Taxonomy'!$H$5:$H$24,MATCH(D595,'Risk Taxonomy'!$A$5:$A$24,0))</f>
        <v>Medium-Low</v>
      </c>
      <c r="AC595" s="35" t="str">
        <f aca="false">IF(NOT(ISNUMBER(X595)),"",IF(X595&lt;=MATCH(AB595,Config!$B$5:$B$9,0),"Within",IF(OR(X595-MATCH(AB595,Config!$B$5:$B$9,0)&gt;=2,AND('Residual Config'!$C$8="Y",ISNUMBER(SEARCH("Zero",AA595)))),"Red","Amber")))</f>
        <v/>
      </c>
      <c r="AD595" s="12" t="str">
        <f aca="false">IF(AC595="Red","Group CCO / CRO and Country CEO within 2 business days; action plan in 15 days; report to Board Risk &amp; Compliance Committee",IF(AC595="Amber","Country CO, risk owner and HO Administrator within 5 business days; action plan in 30 days",""))</f>
        <v/>
      </c>
    </row>
    <row r="596" customFormat="false" ht="15" hidden="false" customHeight="false" outlineLevel="0" collapsed="false">
      <c r="A596" s="26" t="str">
        <f aca="false">Entities!$A$34</f>
        <v>US</v>
      </c>
      <c r="B596" s="12" t="str">
        <f aca="false">INDEX(Entities!$B$5:$B$34,MATCH(A596,Entities!$A$5:$A$34,0))</f>
        <v>Arab Bank – United States (if retained)</v>
      </c>
      <c r="C596" s="12" t="str">
        <f aca="false">INDEX(Entities!$D$5:$D$34,MATCH(A596,Entities!$A$5:$A$34,0))</f>
        <v>Americas</v>
      </c>
      <c r="D596" s="12" t="s">
        <v>297</v>
      </c>
      <c r="E596" s="12" t="str">
        <f aca="false">INDEX('Risk Taxonomy'!$B$5:$B$24,MATCH(D596,'Risk Taxonomy'!$A$5:$A$24,0))</f>
        <v>Credit risk</v>
      </c>
      <c r="F596" s="29" t="n">
        <f aca="false">IF(NOT(ISNUMBER(G596)),"",G596)</f>
        <v>1</v>
      </c>
      <c r="G596" s="34" t="n">
        <f aca="false">IF(COUNTIFS('LxI Assessment'!$A$5:$A$394,A596,'LxI Assessment'!$D$5:$D$394,D596,'LxI Assessment'!$F$5:$F$394,"N/A")&gt;0,"N/A",IF(COUNTIFS('LxI Assessment'!$A$5:$A$394,A596,'LxI Assessment'!$D$5:$D$394,D596,'LxI Assessment'!$S$5:$S$394,"&gt;0")=0,"",SUMIFS('LxI Assessment'!$S$5:$S$394,'LxI Assessment'!$A$5:$A$394,A596,'LxI Assessment'!$D$5:$D$394,D596)))</f>
        <v>1</v>
      </c>
      <c r="H596" s="7" t="str">
        <f aca="false">IF(G596="N/A","N/A",IF(G596="","No data",INDEX(Config!$B$5:$B$9,G596)))</f>
        <v>Low</v>
      </c>
      <c r="I596" s="31" t="n">
        <f aca="false">IF(NOT(ISNUMBER($G596)),"",SUMPRODUCT(('Control Mapping'!$C$5:$C$83=D596)*('Control Mapping'!$AJ$5:$AJ$83&gt;0)))</f>
        <v>2</v>
      </c>
      <c r="J596" s="31" t="n">
        <f aca="false">IF(NOT(ISNUMBER($G596)),"",SUMPRODUCT(('Control Mapping'!$C$5:$C$83=D596)*('Control Mapping'!$F$5:$F$83="Y")*('Control Mapping'!$AJ$5:$AJ$83&gt;0)))</f>
        <v>1</v>
      </c>
      <c r="K596" s="31" t="n">
        <f aca="false">IF(NOT(ISNUMBER($G596)),"",SUMPRODUCT(('Control Mapping'!$C$5:$C$83=D596)*('Control Mapping'!$F$5:$F$83="Y")*('Control Mapping'!$AJ$5:$AJ$83=4)))</f>
        <v>0</v>
      </c>
      <c r="L596" s="29" t="n">
        <f aca="false">IF(NOT(ISNUMBER($G596)),"",IFERROR(SUMPRODUCT(('Control Mapping'!$C$5:$C$83=D596)*'Control Mapping'!$E$5:$E$83*'Control Mapping'!$AJ$5:$AJ$83)/SUMPRODUCT(('Control Mapping'!$C$5:$C$83=D596)*'Control Mapping'!$E$5:$E$83*('Control Mapping'!$AJ$5:$AJ$83&gt;0)),""))</f>
        <v>1.4</v>
      </c>
      <c r="M596" s="34" t="n">
        <f aca="false">IF(NOT(ISNUMBER($G596)),"",IF(J596=0,4,MAX(MATCH(L596,'Residual Config'!$E$11:$E$14,1),IF(K596&gt;0,'Residual Config'!$C$7,1))))</f>
        <v>1</v>
      </c>
      <c r="N596" s="7" t="str">
        <f aca="false">IF(NOT(ISNUMBER($G596)),"",IF(J596=0,"Ineffective (no key control)",INDEX('Residual Config'!$B$11:$B$14,M596)))</f>
        <v>Effective</v>
      </c>
      <c r="O596" s="36" t="n">
        <f aca="false">IF(NOT(ISNUMBER($G596)),"",IF(J596=0,0,SUMPRODUCT(('Control Mapping'!$C$5:$C$83=D596)*'Control Mapping'!$E$5:$E$83*(('Control Mapping'!$AJ$5:$AJ$83=1)*'Residual Config'!$D$11+('Control Mapping'!$AJ$5:$AJ$83=2)*'Residual Config'!$D$12+('Control Mapping'!$AJ$5:$AJ$83=3)*'Residual Config'!$D$13+('Control Mapping'!$AJ$5:$AJ$83=4)*'Residual Config'!$D$14))/SUMPRODUCT(('Control Mapping'!$C$5:$C$83=D596)*'Control Mapping'!$E$5:$E$83*('Control Mapping'!$AJ$5:$AJ$83&gt;0))))</f>
        <v>0.52</v>
      </c>
      <c r="P596" s="31" t="n">
        <f aca="false">IF(NOT(ISNUMBER($G596)),"",INDEX('Residual Config'!$B$19:$E$23,6-G596,M596))</f>
        <v>1</v>
      </c>
      <c r="Q596" s="29" t="n">
        <f aca="false">IF(NOT(ISNUMBER($G596)),"",MAX(1,F596*(1-O596)))</f>
        <v>1</v>
      </c>
      <c r="R596" s="31" t="n">
        <f aca="false">IF(NOT(ISNUMBER($G596)),"",MAX(MATCH(Q596,Config!$D$5:$D$9,1),G596-'Residual Config'!$C$6))</f>
        <v>1</v>
      </c>
      <c r="S596" s="34" t="n">
        <f aca="false">IF(NOT(ISNUMBER($G596)),"",IF('Residual Config'!$C$5="Numeric",R596,P596))</f>
        <v>1</v>
      </c>
      <c r="T596" s="7" t="str">
        <f aca="false">IF(G596="N/A","N/A",IF(S596="","No data",INDEX(Config!$B$5:$B$9,S596)))</f>
        <v>Low</v>
      </c>
      <c r="U596" s="32" t="n">
        <v>0</v>
      </c>
      <c r="V596" s="8"/>
      <c r="W596" s="33"/>
      <c r="X596" s="34" t="n">
        <f aca="false">IF(S596="","",IF(AND(W596="Y",U596&lt;&gt;0),MAX(1,MIN(5,S596+MAX(-Config!$C$27,MIN(Config!$C$27,U596)))),S596))</f>
        <v>1</v>
      </c>
      <c r="Y596" s="35" t="str">
        <f aca="false">IF(G596="N/A","N/A",IF(X596="","No data",INDEX(Config!$B$5:$B$9,X596)))</f>
        <v>Low</v>
      </c>
      <c r="Z596" s="7" t="str">
        <f aca="false">IF(U596=0,"None",IF(W596="Y","Applied","Pending HO approval"))</f>
        <v>None</v>
      </c>
      <c r="AA596" s="12" t="str">
        <f aca="false">INDEX('Risk Taxonomy'!$G$5:$G$24,MATCH(D596,'Risk Taxonomy'!$A$5:$A$24,0))</f>
        <v>Moderate</v>
      </c>
      <c r="AB596" s="7" t="str">
        <f aca="false">INDEX('Risk Taxonomy'!$H$5:$H$24,MATCH(D596,'Risk Taxonomy'!$A$5:$A$24,0))</f>
        <v>Medium-High</v>
      </c>
      <c r="AC596" s="35" t="str">
        <f aca="false">IF(NOT(ISNUMBER(X596)),"",IF(X596&lt;=MATCH(AB596,Config!$B$5:$B$9,0),"Within",IF(OR(X596-MATCH(AB596,Config!$B$5:$B$9,0)&gt;=2,AND('Residual Config'!$C$8="Y",ISNUMBER(SEARCH("Zero",AA596)))),"Red","Amber")))</f>
        <v>Within</v>
      </c>
      <c r="AD596" s="12" t="str">
        <f aca="false">IF(AC596="Red","Group CCO / CRO and Country CEO within 2 business days; action plan in 15 days; report to Board Risk &amp; Compliance Committee",IF(AC596="Amber","Country CO, risk owner and HO Administrator within 5 business days; action plan in 30 days",""))</f>
        <v/>
      </c>
    </row>
    <row r="597" customFormat="false" ht="15" hidden="false" customHeight="false" outlineLevel="0" collapsed="false">
      <c r="A597" s="26" t="str">
        <f aca="false">Entities!$A$34</f>
        <v>US</v>
      </c>
      <c r="B597" s="12" t="str">
        <f aca="false">INDEX(Entities!$B$5:$B$34,MATCH(A597,Entities!$A$5:$A$34,0))</f>
        <v>Arab Bank – United States (if retained)</v>
      </c>
      <c r="C597" s="12" t="str">
        <f aca="false">INDEX(Entities!$D$5:$D$34,MATCH(A597,Entities!$A$5:$A$34,0))</f>
        <v>Americas</v>
      </c>
      <c r="D597" s="12" t="s">
        <v>302</v>
      </c>
      <c r="E597" s="12" t="str">
        <f aca="false">INDEX('Risk Taxonomy'!$B$5:$B$24,MATCH(D597,'Risk Taxonomy'!$A$5:$A$24,0))</f>
        <v>Market risk</v>
      </c>
      <c r="F597" s="29" t="n">
        <f aca="false">IF(NOT(ISNUMBER(G597)),"",G597)</f>
        <v>2</v>
      </c>
      <c r="G597" s="34" t="n">
        <f aca="false">IF(COUNTIFS('LxI Assessment'!$A$5:$A$394,A597,'LxI Assessment'!$D$5:$D$394,D597,'LxI Assessment'!$F$5:$F$394,"N/A")&gt;0,"N/A",IF(COUNTIFS('LxI Assessment'!$A$5:$A$394,A597,'LxI Assessment'!$D$5:$D$394,D597,'LxI Assessment'!$S$5:$S$394,"&gt;0")=0,"",SUMIFS('LxI Assessment'!$S$5:$S$394,'LxI Assessment'!$A$5:$A$394,A597,'LxI Assessment'!$D$5:$D$394,D597)))</f>
        <v>2</v>
      </c>
      <c r="H597" s="7" t="str">
        <f aca="false">IF(G597="N/A","N/A",IF(G597="","No data",INDEX(Config!$B$5:$B$9,G597)))</f>
        <v>Medium-Low</v>
      </c>
      <c r="I597" s="31" t="n">
        <f aca="false">IF(NOT(ISNUMBER($G597)),"",SUMPRODUCT(('Control Mapping'!$C$5:$C$83=D597)*('Control Mapping'!$AJ$5:$AJ$83&gt;0)))</f>
        <v>1</v>
      </c>
      <c r="J597" s="31" t="n">
        <f aca="false">IF(NOT(ISNUMBER($G597)),"",SUMPRODUCT(('Control Mapping'!$C$5:$C$83=D597)*('Control Mapping'!$F$5:$F$83="Y")*('Control Mapping'!$AJ$5:$AJ$83&gt;0)))</f>
        <v>1</v>
      </c>
      <c r="K597" s="31" t="n">
        <f aca="false">IF(NOT(ISNUMBER($G597)),"",SUMPRODUCT(('Control Mapping'!$C$5:$C$83=D597)*('Control Mapping'!$F$5:$F$83="Y")*('Control Mapping'!$AJ$5:$AJ$83=4)))</f>
        <v>0</v>
      </c>
      <c r="L597" s="29" t="n">
        <f aca="false">IF(NOT(ISNUMBER($G597)),"",IFERROR(SUMPRODUCT(('Control Mapping'!$C$5:$C$83=D597)*'Control Mapping'!$E$5:$E$83*'Control Mapping'!$AJ$5:$AJ$83)/SUMPRODUCT(('Control Mapping'!$C$5:$C$83=D597)*'Control Mapping'!$E$5:$E$83*('Control Mapping'!$AJ$5:$AJ$83&gt;0)),""))</f>
        <v>2</v>
      </c>
      <c r="M597" s="34" t="n">
        <f aca="false">IF(NOT(ISNUMBER($G597)),"",IF(J597=0,4,MAX(MATCH(L597,'Residual Config'!$E$11:$E$14,1),IF(K597&gt;0,'Residual Config'!$C$7,1))))</f>
        <v>2</v>
      </c>
      <c r="N597" s="7" t="str">
        <f aca="false">IF(NOT(ISNUMBER($G597)),"",IF(J597=0,"Ineffective (no key control)",INDEX('Residual Config'!$B$11:$B$14,M597)))</f>
        <v>Largely effective</v>
      </c>
      <c r="O597" s="36" t="n">
        <f aca="false">IF(NOT(ISNUMBER($G597)),"",IF(J597=0,0,SUMPRODUCT(('Control Mapping'!$C$5:$C$83=D597)*'Control Mapping'!$E$5:$E$83*(('Control Mapping'!$AJ$5:$AJ$83=1)*'Residual Config'!$D$11+('Control Mapping'!$AJ$5:$AJ$83=2)*'Residual Config'!$D$12+('Control Mapping'!$AJ$5:$AJ$83=3)*'Residual Config'!$D$13+('Control Mapping'!$AJ$5:$AJ$83=4)*'Residual Config'!$D$14))/SUMPRODUCT(('Control Mapping'!$C$5:$C$83=D597)*'Control Mapping'!$E$5:$E$83*('Control Mapping'!$AJ$5:$AJ$83&gt;0))))</f>
        <v>0.4</v>
      </c>
      <c r="P597" s="31" t="n">
        <f aca="false">IF(NOT(ISNUMBER($G597)),"",INDEX('Residual Config'!$B$19:$E$23,6-G597,M597))</f>
        <v>1</v>
      </c>
      <c r="Q597" s="29" t="n">
        <f aca="false">IF(NOT(ISNUMBER($G597)),"",MAX(1,F597*(1-O597)))</f>
        <v>1.2</v>
      </c>
      <c r="R597" s="31" t="n">
        <f aca="false">IF(NOT(ISNUMBER($G597)),"",MAX(MATCH(Q597,Config!$D$5:$D$9,1),G597-'Residual Config'!$C$6))</f>
        <v>1</v>
      </c>
      <c r="S597" s="34" t="n">
        <f aca="false">IF(NOT(ISNUMBER($G597)),"",IF('Residual Config'!$C$5="Numeric",R597,P597))</f>
        <v>1</v>
      </c>
      <c r="T597" s="7" t="str">
        <f aca="false">IF(G597="N/A","N/A",IF(S597="","No data",INDEX(Config!$B$5:$B$9,S597)))</f>
        <v>Low</v>
      </c>
      <c r="U597" s="32" t="n">
        <v>0</v>
      </c>
      <c r="V597" s="8"/>
      <c r="W597" s="33"/>
      <c r="X597" s="34" t="n">
        <f aca="false">IF(S597="","",IF(AND(W597="Y",U597&lt;&gt;0),MAX(1,MIN(5,S597+MAX(-Config!$C$27,MIN(Config!$C$27,U597)))),S597))</f>
        <v>1</v>
      </c>
      <c r="Y597" s="35" t="str">
        <f aca="false">IF(G597="N/A","N/A",IF(X597="","No data",INDEX(Config!$B$5:$B$9,X597)))</f>
        <v>Low</v>
      </c>
      <c r="Z597" s="7" t="str">
        <f aca="false">IF(U597=0,"None",IF(W597="Y","Applied","Pending HO approval"))</f>
        <v>None</v>
      </c>
      <c r="AA597" s="12" t="str">
        <f aca="false">INDEX('Risk Taxonomy'!$G$5:$G$24,MATCH(D597,'Risk Taxonomy'!$A$5:$A$24,0))</f>
        <v>Moderate</v>
      </c>
      <c r="AB597" s="7" t="str">
        <f aca="false">INDEX('Risk Taxonomy'!$H$5:$H$24,MATCH(D597,'Risk Taxonomy'!$A$5:$A$24,0))</f>
        <v>Medium-High</v>
      </c>
      <c r="AC597" s="35" t="str">
        <f aca="false">IF(NOT(ISNUMBER(X597)),"",IF(X597&lt;=MATCH(AB597,Config!$B$5:$B$9,0),"Within",IF(OR(X597-MATCH(AB597,Config!$B$5:$B$9,0)&gt;=2,AND('Residual Config'!$C$8="Y",ISNUMBER(SEARCH("Zero",AA597)))),"Red","Amber")))</f>
        <v>Within</v>
      </c>
      <c r="AD597" s="12" t="str">
        <f aca="false">IF(AC597="Red","Group CCO / CRO and Country CEO within 2 business days; action plan in 15 days; report to Board Risk &amp; Compliance Committee",IF(AC597="Amber","Country CO, risk owner and HO Administrator within 5 business days; action plan in 30 days",""))</f>
        <v/>
      </c>
    </row>
    <row r="598" customFormat="false" ht="15" hidden="false" customHeight="false" outlineLevel="0" collapsed="false">
      <c r="A598" s="26" t="str">
        <f aca="false">Entities!$A$34</f>
        <v>US</v>
      </c>
      <c r="B598" s="12" t="str">
        <f aca="false">INDEX(Entities!$B$5:$B$34,MATCH(A598,Entities!$A$5:$A$34,0))</f>
        <v>Arab Bank – United States (if retained)</v>
      </c>
      <c r="C598" s="12" t="str">
        <f aca="false">INDEX(Entities!$D$5:$D$34,MATCH(A598,Entities!$A$5:$A$34,0))</f>
        <v>Americas</v>
      </c>
      <c r="D598" s="12" t="s">
        <v>304</v>
      </c>
      <c r="E598" s="12" t="str">
        <f aca="false">INDEX('Risk Taxonomy'!$B$5:$B$24,MATCH(D598,'Risk Taxonomy'!$A$5:$A$24,0))</f>
        <v>Liquidity and funding risk</v>
      </c>
      <c r="F598" s="29" t="n">
        <f aca="false">IF(NOT(ISNUMBER(G598)),"",G598)</f>
        <v>1</v>
      </c>
      <c r="G598" s="34" t="n">
        <f aca="false">IF(COUNTIFS('LxI Assessment'!$A$5:$A$394,A598,'LxI Assessment'!$D$5:$D$394,D598,'LxI Assessment'!$F$5:$F$394,"N/A")&gt;0,"N/A",IF(COUNTIFS('LxI Assessment'!$A$5:$A$394,A598,'LxI Assessment'!$D$5:$D$394,D598,'LxI Assessment'!$S$5:$S$394,"&gt;0")=0,"",SUMIFS('LxI Assessment'!$S$5:$S$394,'LxI Assessment'!$A$5:$A$394,A598,'LxI Assessment'!$D$5:$D$394,D598)))</f>
        <v>1</v>
      </c>
      <c r="H598" s="7" t="str">
        <f aca="false">IF(G598="N/A","N/A",IF(G598="","No data",INDEX(Config!$B$5:$B$9,G598)))</f>
        <v>Low</v>
      </c>
      <c r="I598" s="31" t="n">
        <f aca="false">IF(NOT(ISNUMBER($G598)),"",SUMPRODUCT(('Control Mapping'!$C$5:$C$83=D598)*('Control Mapping'!$AJ$5:$AJ$83&gt;0)))</f>
        <v>1</v>
      </c>
      <c r="J598" s="31" t="n">
        <f aca="false">IF(NOT(ISNUMBER($G598)),"",SUMPRODUCT(('Control Mapping'!$C$5:$C$83=D598)*('Control Mapping'!$F$5:$F$83="Y")*('Control Mapping'!$AJ$5:$AJ$83&gt;0)))</f>
        <v>1</v>
      </c>
      <c r="K598" s="31" t="n">
        <f aca="false">IF(NOT(ISNUMBER($G598)),"",SUMPRODUCT(('Control Mapping'!$C$5:$C$83=D598)*('Control Mapping'!$F$5:$F$83="Y")*('Control Mapping'!$AJ$5:$AJ$83=4)))</f>
        <v>0</v>
      </c>
      <c r="L598" s="29" t="n">
        <f aca="false">IF(NOT(ISNUMBER($G598)),"",IFERROR(SUMPRODUCT(('Control Mapping'!$C$5:$C$83=D598)*'Control Mapping'!$E$5:$E$83*'Control Mapping'!$AJ$5:$AJ$83)/SUMPRODUCT(('Control Mapping'!$C$5:$C$83=D598)*'Control Mapping'!$E$5:$E$83*('Control Mapping'!$AJ$5:$AJ$83&gt;0)),""))</f>
        <v>2</v>
      </c>
      <c r="M598" s="34" t="n">
        <f aca="false">IF(NOT(ISNUMBER($G598)),"",IF(J598=0,4,MAX(MATCH(L598,'Residual Config'!$E$11:$E$14,1),IF(K598&gt;0,'Residual Config'!$C$7,1))))</f>
        <v>2</v>
      </c>
      <c r="N598" s="7" t="str">
        <f aca="false">IF(NOT(ISNUMBER($G598)),"",IF(J598=0,"Ineffective (no key control)",INDEX('Residual Config'!$B$11:$B$14,M598)))</f>
        <v>Largely effective</v>
      </c>
      <c r="O598" s="36" t="n">
        <f aca="false">IF(NOT(ISNUMBER($G598)),"",IF(J598=0,0,SUMPRODUCT(('Control Mapping'!$C$5:$C$83=D598)*'Control Mapping'!$E$5:$E$83*(('Control Mapping'!$AJ$5:$AJ$83=1)*'Residual Config'!$D$11+('Control Mapping'!$AJ$5:$AJ$83=2)*'Residual Config'!$D$12+('Control Mapping'!$AJ$5:$AJ$83=3)*'Residual Config'!$D$13+('Control Mapping'!$AJ$5:$AJ$83=4)*'Residual Config'!$D$14))/SUMPRODUCT(('Control Mapping'!$C$5:$C$83=D598)*'Control Mapping'!$E$5:$E$83*('Control Mapping'!$AJ$5:$AJ$83&gt;0))))</f>
        <v>0.4</v>
      </c>
      <c r="P598" s="31" t="n">
        <f aca="false">IF(NOT(ISNUMBER($G598)),"",INDEX('Residual Config'!$B$19:$E$23,6-G598,M598))</f>
        <v>1</v>
      </c>
      <c r="Q598" s="29" t="n">
        <f aca="false">IF(NOT(ISNUMBER($G598)),"",MAX(1,F598*(1-O598)))</f>
        <v>1</v>
      </c>
      <c r="R598" s="31" t="n">
        <f aca="false">IF(NOT(ISNUMBER($G598)),"",MAX(MATCH(Q598,Config!$D$5:$D$9,1),G598-'Residual Config'!$C$6))</f>
        <v>1</v>
      </c>
      <c r="S598" s="34" t="n">
        <f aca="false">IF(NOT(ISNUMBER($G598)),"",IF('Residual Config'!$C$5="Numeric",R598,P598))</f>
        <v>1</v>
      </c>
      <c r="T598" s="7" t="str">
        <f aca="false">IF(G598="N/A","N/A",IF(S598="","No data",INDEX(Config!$B$5:$B$9,S598)))</f>
        <v>Low</v>
      </c>
      <c r="U598" s="32" t="n">
        <v>0</v>
      </c>
      <c r="V598" s="8"/>
      <c r="W598" s="33"/>
      <c r="X598" s="34" t="n">
        <f aca="false">IF(S598="","",IF(AND(W598="Y",U598&lt;&gt;0),MAX(1,MIN(5,S598+MAX(-Config!$C$27,MIN(Config!$C$27,U598)))),S598))</f>
        <v>1</v>
      </c>
      <c r="Y598" s="35" t="str">
        <f aca="false">IF(G598="N/A","N/A",IF(X598="","No data",INDEX(Config!$B$5:$B$9,X598)))</f>
        <v>Low</v>
      </c>
      <c r="Z598" s="7" t="str">
        <f aca="false">IF(U598=0,"None",IF(W598="Y","Applied","Pending HO approval"))</f>
        <v>None</v>
      </c>
      <c r="AA598" s="12" t="str">
        <f aca="false">INDEX('Risk Taxonomy'!$G$5:$G$24,MATCH(D598,'Risk Taxonomy'!$A$5:$A$24,0))</f>
        <v>Low</v>
      </c>
      <c r="AB598" s="7" t="str">
        <f aca="false">INDEX('Risk Taxonomy'!$H$5:$H$24,MATCH(D598,'Risk Taxonomy'!$A$5:$A$24,0))</f>
        <v>Medium</v>
      </c>
      <c r="AC598" s="35" t="str">
        <f aca="false">IF(NOT(ISNUMBER(X598)),"",IF(X598&lt;=MATCH(AB598,Config!$B$5:$B$9,0),"Within",IF(OR(X598-MATCH(AB598,Config!$B$5:$B$9,0)&gt;=2,AND('Residual Config'!$C$8="Y",ISNUMBER(SEARCH("Zero",AA598)))),"Red","Amber")))</f>
        <v>Within</v>
      </c>
      <c r="AD598" s="12" t="str">
        <f aca="false">IF(AC598="Red","Group CCO / CRO and Country CEO within 2 business days; action plan in 15 days; report to Board Risk &amp; Compliance Committee",IF(AC598="Amber","Country CO, risk owner and HO Administrator within 5 business days; action plan in 30 days",""))</f>
        <v/>
      </c>
    </row>
    <row r="599" customFormat="false" ht="15" hidden="false" customHeight="false" outlineLevel="0" collapsed="false">
      <c r="A599" s="26" t="str">
        <f aca="false">Entities!$A$34</f>
        <v>US</v>
      </c>
      <c r="B599" s="12" t="str">
        <f aca="false">INDEX(Entities!$B$5:$B$34,MATCH(A599,Entities!$A$5:$A$34,0))</f>
        <v>Arab Bank – United States (if retained)</v>
      </c>
      <c r="C599" s="12" t="str">
        <f aca="false">INDEX(Entities!$D$5:$D$34,MATCH(A599,Entities!$A$5:$A$34,0))</f>
        <v>Americas</v>
      </c>
      <c r="D599" s="12" t="s">
        <v>307</v>
      </c>
      <c r="E599" s="12" t="str">
        <f aca="false">INDEX('Risk Taxonomy'!$B$5:$B$24,MATCH(D599,'Risk Taxonomy'!$A$5:$A$24,0))</f>
        <v>Operational risk</v>
      </c>
      <c r="F599" s="29" t="n">
        <f aca="false">IF(NOT(ISNUMBER(G599)),"",G599)</f>
        <v>1</v>
      </c>
      <c r="G599" s="34" t="n">
        <f aca="false">IF(COUNTIFS('LxI Assessment'!$A$5:$A$394,A599,'LxI Assessment'!$D$5:$D$394,D599,'LxI Assessment'!$F$5:$F$394,"N/A")&gt;0,"N/A",IF(COUNTIFS('LxI Assessment'!$A$5:$A$394,A599,'LxI Assessment'!$D$5:$D$394,D599,'LxI Assessment'!$S$5:$S$394,"&gt;0")=0,"",SUMIFS('LxI Assessment'!$S$5:$S$394,'LxI Assessment'!$A$5:$A$394,A599,'LxI Assessment'!$D$5:$D$394,D599)))</f>
        <v>1</v>
      </c>
      <c r="H599" s="7" t="str">
        <f aca="false">IF(G599="N/A","N/A",IF(G599="","No data",INDEX(Config!$B$5:$B$9,G599)))</f>
        <v>Low</v>
      </c>
      <c r="I599" s="31" t="n">
        <f aca="false">IF(NOT(ISNUMBER($G599)),"",SUMPRODUCT(('Control Mapping'!$C$5:$C$83=D599)*('Control Mapping'!$AJ$5:$AJ$83&gt;0)))</f>
        <v>3</v>
      </c>
      <c r="J599" s="31" t="n">
        <f aca="false">IF(NOT(ISNUMBER($G599)),"",SUMPRODUCT(('Control Mapping'!$C$5:$C$83=D599)*('Control Mapping'!$F$5:$F$83="Y")*('Control Mapping'!$AJ$5:$AJ$83&gt;0)))</f>
        <v>2</v>
      </c>
      <c r="K599" s="31" t="n">
        <f aca="false">IF(NOT(ISNUMBER($G599)),"",SUMPRODUCT(('Control Mapping'!$C$5:$C$83=D599)*('Control Mapping'!$F$5:$F$83="Y")*('Control Mapping'!$AJ$5:$AJ$83=4)))</f>
        <v>1</v>
      </c>
      <c r="L599" s="29" t="n">
        <f aca="false">IF(NOT(ISNUMBER($G599)),"",IFERROR(SUMPRODUCT(('Control Mapping'!$C$5:$C$83=D599)*'Control Mapping'!$E$5:$E$83*'Control Mapping'!$AJ$5:$AJ$83)/SUMPRODUCT(('Control Mapping'!$C$5:$C$83=D599)*'Control Mapping'!$E$5:$E$83*('Control Mapping'!$AJ$5:$AJ$83&gt;0)),""))</f>
        <v>2.33333333333333</v>
      </c>
      <c r="M599" s="34" t="n">
        <f aca="false">IF(NOT(ISNUMBER($G599)),"",IF(J599=0,4,MAX(MATCH(L599,'Residual Config'!$E$11:$E$14,1),IF(K599&gt;0,'Residual Config'!$C$7,1))))</f>
        <v>3</v>
      </c>
      <c r="N599" s="7" t="str">
        <f aca="false">IF(NOT(ISNUMBER($G599)),"",IF(J599=0,"Ineffective (no key control)",INDEX('Residual Config'!$B$11:$B$14,M599)))</f>
        <v>Partially effective</v>
      </c>
      <c r="O599" s="36" t="n">
        <f aca="false">IF(NOT(ISNUMBER($G599)),"",IF(J599=0,0,SUMPRODUCT(('Control Mapping'!$C$5:$C$83=D599)*'Control Mapping'!$E$5:$E$83*(('Control Mapping'!$AJ$5:$AJ$83=1)*'Residual Config'!$D$11+('Control Mapping'!$AJ$5:$AJ$83=2)*'Residual Config'!$D$12+('Control Mapping'!$AJ$5:$AJ$83=3)*'Residual Config'!$D$13+('Control Mapping'!$AJ$5:$AJ$83=4)*'Residual Config'!$D$14))/SUMPRODUCT(('Control Mapping'!$C$5:$C$83=D599)*'Control Mapping'!$E$5:$E$83*('Control Mapping'!$AJ$5:$AJ$83&gt;0))))</f>
        <v>0.333333333333333</v>
      </c>
      <c r="P599" s="31" t="n">
        <f aca="false">IF(NOT(ISNUMBER($G599)),"",INDEX('Residual Config'!$B$19:$E$23,6-G599,M599))</f>
        <v>1</v>
      </c>
      <c r="Q599" s="29" t="n">
        <f aca="false">IF(NOT(ISNUMBER($G599)),"",MAX(1,F599*(1-O599)))</f>
        <v>1</v>
      </c>
      <c r="R599" s="31" t="n">
        <f aca="false">IF(NOT(ISNUMBER($G599)),"",MAX(MATCH(Q599,Config!$D$5:$D$9,1),G599-'Residual Config'!$C$6))</f>
        <v>1</v>
      </c>
      <c r="S599" s="34" t="n">
        <f aca="false">IF(NOT(ISNUMBER($G599)),"",IF('Residual Config'!$C$5="Numeric",R599,P599))</f>
        <v>1</v>
      </c>
      <c r="T599" s="7" t="str">
        <f aca="false">IF(G599="N/A","N/A",IF(S599="","No data",INDEX(Config!$B$5:$B$9,S599)))</f>
        <v>Low</v>
      </c>
      <c r="U599" s="32" t="n">
        <v>0</v>
      </c>
      <c r="V599" s="8"/>
      <c r="W599" s="33"/>
      <c r="X599" s="34" t="n">
        <f aca="false">IF(S599="","",IF(AND(W599="Y",U599&lt;&gt;0),MAX(1,MIN(5,S599+MAX(-Config!$C$27,MIN(Config!$C$27,U599)))),S599))</f>
        <v>1</v>
      </c>
      <c r="Y599" s="35" t="str">
        <f aca="false">IF(G599="N/A","N/A",IF(X599="","No data",INDEX(Config!$B$5:$B$9,X599)))</f>
        <v>Low</v>
      </c>
      <c r="Z599" s="7" t="str">
        <f aca="false">IF(U599=0,"None",IF(W599="Y","Applied","Pending HO approval"))</f>
        <v>None</v>
      </c>
      <c r="AA599" s="12" t="str">
        <f aca="false">INDEX('Risk Taxonomy'!$G$5:$G$24,MATCH(D599,'Risk Taxonomy'!$A$5:$A$24,0))</f>
        <v>Low</v>
      </c>
      <c r="AB599" s="7" t="str">
        <f aca="false">INDEX('Risk Taxonomy'!$H$5:$H$24,MATCH(D599,'Risk Taxonomy'!$A$5:$A$24,0))</f>
        <v>Medium</v>
      </c>
      <c r="AC599" s="35" t="str">
        <f aca="false">IF(NOT(ISNUMBER(X599)),"",IF(X599&lt;=MATCH(AB599,Config!$B$5:$B$9,0),"Within",IF(OR(X599-MATCH(AB599,Config!$B$5:$B$9,0)&gt;=2,AND('Residual Config'!$C$8="Y",ISNUMBER(SEARCH("Zero",AA599)))),"Red","Amber")))</f>
        <v>Within</v>
      </c>
      <c r="AD599" s="12" t="str">
        <f aca="false">IF(AC599="Red","Group CCO / CRO and Country CEO within 2 business days; action plan in 15 days; report to Board Risk &amp; Compliance Committee",IF(AC599="Amber","Country CO, risk owner and HO Administrator within 5 business days; action plan in 30 days",""))</f>
        <v/>
      </c>
    </row>
    <row r="600" customFormat="false" ht="15" hidden="false" customHeight="false" outlineLevel="0" collapsed="false">
      <c r="A600" s="26" t="str">
        <f aca="false">Entities!$A$34</f>
        <v>US</v>
      </c>
      <c r="B600" s="12" t="str">
        <f aca="false">INDEX(Entities!$B$5:$B$34,MATCH(A600,Entities!$A$5:$A$34,0))</f>
        <v>Arab Bank – United States (if retained)</v>
      </c>
      <c r="C600" s="12" t="str">
        <f aca="false">INDEX(Entities!$D$5:$D$34,MATCH(A600,Entities!$A$5:$A$34,0))</f>
        <v>Americas</v>
      </c>
      <c r="D600" s="12" t="s">
        <v>310</v>
      </c>
      <c r="E600" s="12" t="str">
        <f aca="false">INDEX('Risk Taxonomy'!$B$5:$B$24,MATCH(D600,'Risk Taxonomy'!$A$5:$A$24,0))</f>
        <v>Cyber, information security and technology</v>
      </c>
      <c r="F600" s="29" t="n">
        <f aca="false">IF(NOT(ISNUMBER(G600)),"",G600)</f>
        <v>1</v>
      </c>
      <c r="G600" s="34" t="n">
        <f aca="false">IF(COUNTIFS('LxI Assessment'!$A$5:$A$394,A600,'LxI Assessment'!$D$5:$D$394,D600,'LxI Assessment'!$F$5:$F$394,"N/A")&gt;0,"N/A",IF(COUNTIFS('LxI Assessment'!$A$5:$A$394,A600,'LxI Assessment'!$D$5:$D$394,D600,'LxI Assessment'!$S$5:$S$394,"&gt;0")=0,"",SUMIFS('LxI Assessment'!$S$5:$S$394,'LxI Assessment'!$A$5:$A$394,A600,'LxI Assessment'!$D$5:$D$394,D600)))</f>
        <v>1</v>
      </c>
      <c r="H600" s="7" t="str">
        <f aca="false">IF(G600="N/A","N/A",IF(G600="","No data",INDEX(Config!$B$5:$B$9,G600)))</f>
        <v>Low</v>
      </c>
      <c r="I600" s="31" t="n">
        <f aca="false">IF(NOT(ISNUMBER($G600)),"",SUMPRODUCT(('Control Mapping'!$C$5:$C$83=D600)*('Control Mapping'!$AJ$5:$AJ$83&gt;0)))</f>
        <v>4</v>
      </c>
      <c r="J600" s="31" t="n">
        <f aca="false">IF(NOT(ISNUMBER($G600)),"",SUMPRODUCT(('Control Mapping'!$C$5:$C$83=D600)*('Control Mapping'!$F$5:$F$83="Y")*('Control Mapping'!$AJ$5:$AJ$83&gt;0)))</f>
        <v>4</v>
      </c>
      <c r="K600" s="31" t="n">
        <f aca="false">IF(NOT(ISNUMBER($G600)),"",SUMPRODUCT(('Control Mapping'!$C$5:$C$83=D600)*('Control Mapping'!$F$5:$F$83="Y")*('Control Mapping'!$AJ$5:$AJ$83=4)))</f>
        <v>1</v>
      </c>
      <c r="L600" s="29" t="n">
        <f aca="false">IF(NOT(ISNUMBER($G600)),"",IFERROR(SUMPRODUCT(('Control Mapping'!$C$5:$C$83=D600)*'Control Mapping'!$E$5:$E$83*'Control Mapping'!$AJ$5:$AJ$83)/SUMPRODUCT(('Control Mapping'!$C$5:$C$83=D600)*'Control Mapping'!$E$5:$E$83*('Control Mapping'!$AJ$5:$AJ$83&gt;0)),""))</f>
        <v>2</v>
      </c>
      <c r="M600" s="34" t="n">
        <f aca="false">IF(NOT(ISNUMBER($G600)),"",IF(J600=0,4,MAX(MATCH(L600,'Residual Config'!$E$11:$E$14,1),IF(K600&gt;0,'Residual Config'!$C$7,1))))</f>
        <v>3</v>
      </c>
      <c r="N600" s="7" t="str">
        <f aca="false">IF(NOT(ISNUMBER($G600)),"",IF(J600=0,"Ineffective (no key control)",INDEX('Residual Config'!$B$11:$B$14,M600)))</f>
        <v>Partially effective</v>
      </c>
      <c r="O600" s="36" t="n">
        <f aca="false">IF(NOT(ISNUMBER($G600)),"",IF(J600=0,0,SUMPRODUCT(('Control Mapping'!$C$5:$C$83=D600)*'Control Mapping'!$E$5:$E$83*(('Control Mapping'!$AJ$5:$AJ$83=1)*'Residual Config'!$D$11+('Control Mapping'!$AJ$5:$AJ$83=2)*'Residual Config'!$D$12+('Control Mapping'!$AJ$5:$AJ$83=3)*'Residual Config'!$D$13+('Control Mapping'!$AJ$5:$AJ$83=4)*'Residual Config'!$D$14))/SUMPRODUCT(('Control Mapping'!$C$5:$C$83=D600)*'Control Mapping'!$E$5:$E$83*('Control Mapping'!$AJ$5:$AJ$83&gt;0))))</f>
        <v>0.4</v>
      </c>
      <c r="P600" s="31" t="n">
        <f aca="false">IF(NOT(ISNUMBER($G600)),"",INDEX('Residual Config'!$B$19:$E$23,6-G600,M600))</f>
        <v>1</v>
      </c>
      <c r="Q600" s="29" t="n">
        <f aca="false">IF(NOT(ISNUMBER($G600)),"",MAX(1,F600*(1-O600)))</f>
        <v>1</v>
      </c>
      <c r="R600" s="31" t="n">
        <f aca="false">IF(NOT(ISNUMBER($G600)),"",MAX(MATCH(Q600,Config!$D$5:$D$9,1),G600-'Residual Config'!$C$6))</f>
        <v>1</v>
      </c>
      <c r="S600" s="34" t="n">
        <f aca="false">IF(NOT(ISNUMBER($G600)),"",IF('Residual Config'!$C$5="Numeric",R600,P600))</f>
        <v>1</v>
      </c>
      <c r="T600" s="7" t="str">
        <f aca="false">IF(G600="N/A","N/A",IF(S600="","No data",INDEX(Config!$B$5:$B$9,S600)))</f>
        <v>Low</v>
      </c>
      <c r="U600" s="32" t="n">
        <v>0</v>
      </c>
      <c r="V600" s="8"/>
      <c r="W600" s="33"/>
      <c r="X600" s="34" t="n">
        <f aca="false">IF(S600="","",IF(AND(W600="Y",U600&lt;&gt;0),MAX(1,MIN(5,S600+MAX(-Config!$C$27,MIN(Config!$C$27,U600)))),S600))</f>
        <v>1</v>
      </c>
      <c r="Y600" s="35" t="str">
        <f aca="false">IF(G600="N/A","N/A",IF(X600="","No data",INDEX(Config!$B$5:$B$9,X600)))</f>
        <v>Low</v>
      </c>
      <c r="Z600" s="7" t="str">
        <f aca="false">IF(U600=0,"None",IF(W600="Y","Applied","Pending HO approval"))</f>
        <v>None</v>
      </c>
      <c r="AA600" s="12" t="str">
        <f aca="false">INDEX('Risk Taxonomy'!$G$5:$G$24,MATCH(D600,'Risk Taxonomy'!$A$5:$A$24,0))</f>
        <v>Very low</v>
      </c>
      <c r="AB600" s="7" t="str">
        <f aca="false">INDEX('Risk Taxonomy'!$H$5:$H$24,MATCH(D600,'Risk Taxonomy'!$A$5:$A$24,0))</f>
        <v>Medium-Low</v>
      </c>
      <c r="AC600" s="35" t="str">
        <f aca="false">IF(NOT(ISNUMBER(X600)),"",IF(X600&lt;=MATCH(AB600,Config!$B$5:$B$9,0),"Within",IF(OR(X600-MATCH(AB600,Config!$B$5:$B$9,0)&gt;=2,AND('Residual Config'!$C$8="Y",ISNUMBER(SEARCH("Zero",AA600)))),"Red","Amber")))</f>
        <v>Within</v>
      </c>
      <c r="AD600" s="12" t="str">
        <f aca="false">IF(AC600="Red","Group CCO / CRO and Country CEO within 2 business days; action plan in 15 days; report to Board Risk &amp; Compliance Committee",IF(AC600="Amber","Country CO, risk owner and HO Administrator within 5 business days; action plan in 30 days",""))</f>
        <v/>
      </c>
    </row>
    <row r="601" customFormat="false" ht="15" hidden="false" customHeight="false" outlineLevel="0" collapsed="false">
      <c r="A601" s="26" t="str">
        <f aca="false">Entities!$A$34</f>
        <v>US</v>
      </c>
      <c r="B601" s="12" t="str">
        <f aca="false">INDEX(Entities!$B$5:$B$34,MATCH(A601,Entities!$A$5:$A$34,0))</f>
        <v>Arab Bank – United States (if retained)</v>
      </c>
      <c r="C601" s="12" t="str">
        <f aca="false">INDEX(Entities!$D$5:$D$34,MATCH(A601,Entities!$A$5:$A$34,0))</f>
        <v>Americas</v>
      </c>
      <c r="D601" s="12" t="s">
        <v>313</v>
      </c>
      <c r="E601" s="12" t="str">
        <f aca="false">INDEX('Risk Taxonomy'!$B$5:$B$24,MATCH(D601,'Risk Taxonomy'!$A$5:$A$24,0))</f>
        <v>Third-party and outsourcing</v>
      </c>
      <c r="F601" s="29" t="n">
        <f aca="false">IF(NOT(ISNUMBER(G601)),"",G601)</f>
        <v>3</v>
      </c>
      <c r="G601" s="34" t="n">
        <f aca="false">IF(COUNTIFS('LxI Assessment'!$A$5:$A$394,A601,'LxI Assessment'!$D$5:$D$394,D601,'LxI Assessment'!$F$5:$F$394,"N/A")&gt;0,"N/A",IF(COUNTIFS('LxI Assessment'!$A$5:$A$394,A601,'LxI Assessment'!$D$5:$D$394,D601,'LxI Assessment'!$S$5:$S$394,"&gt;0")=0,"",SUMIFS('LxI Assessment'!$S$5:$S$394,'LxI Assessment'!$A$5:$A$394,A601,'LxI Assessment'!$D$5:$D$394,D601)))</f>
        <v>3</v>
      </c>
      <c r="H601" s="7" t="str">
        <f aca="false">IF(G601="N/A","N/A",IF(G601="","No data",INDEX(Config!$B$5:$B$9,G601)))</f>
        <v>Medium</v>
      </c>
      <c r="I601" s="31" t="n">
        <f aca="false">IF(NOT(ISNUMBER($G601)),"",SUMPRODUCT(('Control Mapping'!$C$5:$C$83=D601)*('Control Mapping'!$AJ$5:$AJ$83&gt;0)))</f>
        <v>2</v>
      </c>
      <c r="J601" s="31" t="n">
        <f aca="false">IF(NOT(ISNUMBER($G601)),"",SUMPRODUCT(('Control Mapping'!$C$5:$C$83=D601)*('Control Mapping'!$F$5:$F$83="Y")*('Control Mapping'!$AJ$5:$AJ$83&gt;0)))</f>
        <v>2</v>
      </c>
      <c r="K601" s="31" t="n">
        <f aca="false">IF(NOT(ISNUMBER($G601)),"",SUMPRODUCT(('Control Mapping'!$C$5:$C$83=D601)*('Control Mapping'!$F$5:$F$83="Y")*('Control Mapping'!$AJ$5:$AJ$83=4)))</f>
        <v>1</v>
      </c>
      <c r="L601" s="29" t="n">
        <f aca="false">IF(NOT(ISNUMBER($G601)),"",IFERROR(SUMPRODUCT(('Control Mapping'!$C$5:$C$83=D601)*'Control Mapping'!$E$5:$E$83*'Control Mapping'!$AJ$5:$AJ$83)/SUMPRODUCT(('Control Mapping'!$C$5:$C$83=D601)*'Control Mapping'!$E$5:$E$83*('Control Mapping'!$AJ$5:$AJ$83&gt;0)),""))</f>
        <v>1.75</v>
      </c>
      <c r="M601" s="34" t="n">
        <f aca="false">IF(NOT(ISNUMBER($G601)),"",IF(J601=0,4,MAX(MATCH(L601,'Residual Config'!$E$11:$E$14,1),IF(K601&gt;0,'Residual Config'!$C$7,1))))</f>
        <v>3</v>
      </c>
      <c r="N601" s="7" t="str">
        <f aca="false">IF(NOT(ISNUMBER($G601)),"",IF(J601=0,"Ineffective (no key control)",INDEX('Residual Config'!$B$11:$B$14,M601)))</f>
        <v>Partially effective</v>
      </c>
      <c r="O601" s="36" t="n">
        <f aca="false">IF(NOT(ISNUMBER($G601)),"",IF(J601=0,0,SUMPRODUCT(('Control Mapping'!$C$5:$C$83=D601)*'Control Mapping'!$E$5:$E$83*(('Control Mapping'!$AJ$5:$AJ$83=1)*'Residual Config'!$D$11+('Control Mapping'!$AJ$5:$AJ$83=2)*'Residual Config'!$D$12+('Control Mapping'!$AJ$5:$AJ$83=3)*'Residual Config'!$D$13+('Control Mapping'!$AJ$5:$AJ$83=4)*'Residual Config'!$D$14))/SUMPRODUCT(('Control Mapping'!$C$5:$C$83=D601)*'Control Mapping'!$E$5:$E$83*('Control Mapping'!$AJ$5:$AJ$83&gt;0))))</f>
        <v>0.45</v>
      </c>
      <c r="P601" s="31" t="n">
        <f aca="false">IF(NOT(ISNUMBER($G601)),"",INDEX('Residual Config'!$B$19:$E$23,6-G601,M601))</f>
        <v>3</v>
      </c>
      <c r="Q601" s="29" t="n">
        <f aca="false">IF(NOT(ISNUMBER($G601)),"",MAX(1,F601*(1-O601)))</f>
        <v>1.65</v>
      </c>
      <c r="R601" s="31" t="n">
        <f aca="false">IF(NOT(ISNUMBER($G601)),"",MAX(MATCH(Q601,Config!$D$5:$D$9,1),G601-'Residual Config'!$C$6))</f>
        <v>1</v>
      </c>
      <c r="S601" s="34" t="n">
        <f aca="false">IF(NOT(ISNUMBER($G601)),"",IF('Residual Config'!$C$5="Numeric",R601,P601))</f>
        <v>3</v>
      </c>
      <c r="T601" s="7" t="str">
        <f aca="false">IF(G601="N/A","N/A",IF(S601="","No data",INDEX(Config!$B$5:$B$9,S601)))</f>
        <v>Medium</v>
      </c>
      <c r="U601" s="32" t="n">
        <v>0</v>
      </c>
      <c r="V601" s="8"/>
      <c r="W601" s="33"/>
      <c r="X601" s="34" t="n">
        <f aca="false">IF(S601="","",IF(AND(W601="Y",U601&lt;&gt;0),MAX(1,MIN(5,S601+MAX(-Config!$C$27,MIN(Config!$C$27,U601)))),S601))</f>
        <v>3</v>
      </c>
      <c r="Y601" s="35" t="str">
        <f aca="false">IF(G601="N/A","N/A",IF(X601="","No data",INDEX(Config!$B$5:$B$9,X601)))</f>
        <v>Medium</v>
      </c>
      <c r="Z601" s="7" t="str">
        <f aca="false">IF(U601=0,"None",IF(W601="Y","Applied","Pending HO approval"))</f>
        <v>None</v>
      </c>
      <c r="AA601" s="12" t="str">
        <f aca="false">INDEX('Risk Taxonomy'!$G$5:$G$24,MATCH(D601,'Risk Taxonomy'!$A$5:$A$24,0))</f>
        <v>Low</v>
      </c>
      <c r="AB601" s="7" t="str">
        <f aca="false">INDEX('Risk Taxonomy'!$H$5:$H$24,MATCH(D601,'Risk Taxonomy'!$A$5:$A$24,0))</f>
        <v>Medium</v>
      </c>
      <c r="AC601" s="35" t="str">
        <f aca="false">IF(NOT(ISNUMBER(X601)),"",IF(X601&lt;=MATCH(AB601,Config!$B$5:$B$9,0),"Within",IF(OR(X601-MATCH(AB601,Config!$B$5:$B$9,0)&gt;=2,AND('Residual Config'!$C$8="Y",ISNUMBER(SEARCH("Zero",AA601)))),"Red","Amber")))</f>
        <v>Within</v>
      </c>
      <c r="AD601" s="12" t="str">
        <f aca="false">IF(AC601="Red","Group CCO / CRO and Country CEO within 2 business days; action plan in 15 days; report to Board Risk &amp; Compliance Committee",IF(AC601="Amber","Country CO, risk owner and HO Administrator within 5 business days; action plan in 30 days",""))</f>
        <v/>
      </c>
    </row>
    <row r="602" customFormat="false" ht="15" hidden="false" customHeight="false" outlineLevel="0" collapsed="false">
      <c r="A602" s="26" t="str">
        <f aca="false">Entities!$A$34</f>
        <v>US</v>
      </c>
      <c r="B602" s="12" t="str">
        <f aca="false">INDEX(Entities!$B$5:$B$34,MATCH(A602,Entities!$A$5:$A$34,0))</f>
        <v>Arab Bank – United States (if retained)</v>
      </c>
      <c r="C602" s="12" t="str">
        <f aca="false">INDEX(Entities!$D$5:$D$34,MATCH(A602,Entities!$A$5:$A$34,0))</f>
        <v>Americas</v>
      </c>
      <c r="D602" s="12" t="s">
        <v>316</v>
      </c>
      <c r="E602" s="12" t="str">
        <f aca="false">INDEX('Risk Taxonomy'!$B$5:$B$24,MATCH(D602,'Risk Taxonomy'!$A$5:$A$24,0))</f>
        <v>Legal and litigation</v>
      </c>
      <c r="F602" s="29" t="n">
        <f aca="false">IF(NOT(ISNUMBER(G602)),"",G602)</f>
        <v>2</v>
      </c>
      <c r="G602" s="34" t="n">
        <f aca="false">IF(COUNTIFS('LxI Assessment'!$A$5:$A$394,A602,'LxI Assessment'!$D$5:$D$394,D602,'LxI Assessment'!$F$5:$F$394,"N/A")&gt;0,"N/A",IF(COUNTIFS('LxI Assessment'!$A$5:$A$394,A602,'LxI Assessment'!$D$5:$D$394,D602,'LxI Assessment'!$S$5:$S$394,"&gt;0")=0,"",SUMIFS('LxI Assessment'!$S$5:$S$394,'LxI Assessment'!$A$5:$A$394,A602,'LxI Assessment'!$D$5:$D$394,D602)))</f>
        <v>2</v>
      </c>
      <c r="H602" s="7" t="str">
        <f aca="false">IF(G602="N/A","N/A",IF(G602="","No data",INDEX(Config!$B$5:$B$9,G602)))</f>
        <v>Medium-Low</v>
      </c>
      <c r="I602" s="31" t="n">
        <f aca="false">IF(NOT(ISNUMBER($G602)),"",SUMPRODUCT(('Control Mapping'!$C$5:$C$83=D602)*('Control Mapping'!$AJ$5:$AJ$83&gt;0)))</f>
        <v>1</v>
      </c>
      <c r="J602" s="31" t="n">
        <f aca="false">IF(NOT(ISNUMBER($G602)),"",SUMPRODUCT(('Control Mapping'!$C$5:$C$83=D602)*('Control Mapping'!$F$5:$F$83="Y")*('Control Mapping'!$AJ$5:$AJ$83&gt;0)))</f>
        <v>1</v>
      </c>
      <c r="K602" s="31" t="n">
        <f aca="false">IF(NOT(ISNUMBER($G602)),"",SUMPRODUCT(('Control Mapping'!$C$5:$C$83=D602)*('Control Mapping'!$F$5:$F$83="Y")*('Control Mapping'!$AJ$5:$AJ$83=4)))</f>
        <v>0</v>
      </c>
      <c r="L602" s="29" t="n">
        <f aca="false">IF(NOT(ISNUMBER($G602)),"",IFERROR(SUMPRODUCT(('Control Mapping'!$C$5:$C$83=D602)*'Control Mapping'!$E$5:$E$83*'Control Mapping'!$AJ$5:$AJ$83)/SUMPRODUCT(('Control Mapping'!$C$5:$C$83=D602)*'Control Mapping'!$E$5:$E$83*('Control Mapping'!$AJ$5:$AJ$83&gt;0)),""))</f>
        <v>2</v>
      </c>
      <c r="M602" s="34" t="n">
        <f aca="false">IF(NOT(ISNUMBER($G602)),"",IF(J602=0,4,MAX(MATCH(L602,'Residual Config'!$E$11:$E$14,1),IF(K602&gt;0,'Residual Config'!$C$7,1))))</f>
        <v>2</v>
      </c>
      <c r="N602" s="7" t="str">
        <f aca="false">IF(NOT(ISNUMBER($G602)),"",IF(J602=0,"Ineffective (no key control)",INDEX('Residual Config'!$B$11:$B$14,M602)))</f>
        <v>Largely effective</v>
      </c>
      <c r="O602" s="36" t="n">
        <f aca="false">IF(NOT(ISNUMBER($G602)),"",IF(J602=0,0,SUMPRODUCT(('Control Mapping'!$C$5:$C$83=D602)*'Control Mapping'!$E$5:$E$83*(('Control Mapping'!$AJ$5:$AJ$83=1)*'Residual Config'!$D$11+('Control Mapping'!$AJ$5:$AJ$83=2)*'Residual Config'!$D$12+('Control Mapping'!$AJ$5:$AJ$83=3)*'Residual Config'!$D$13+('Control Mapping'!$AJ$5:$AJ$83=4)*'Residual Config'!$D$14))/SUMPRODUCT(('Control Mapping'!$C$5:$C$83=D602)*'Control Mapping'!$E$5:$E$83*('Control Mapping'!$AJ$5:$AJ$83&gt;0))))</f>
        <v>0.4</v>
      </c>
      <c r="P602" s="31" t="n">
        <f aca="false">IF(NOT(ISNUMBER($G602)),"",INDEX('Residual Config'!$B$19:$E$23,6-G602,M602))</f>
        <v>1</v>
      </c>
      <c r="Q602" s="29" t="n">
        <f aca="false">IF(NOT(ISNUMBER($G602)),"",MAX(1,F602*(1-O602)))</f>
        <v>1.2</v>
      </c>
      <c r="R602" s="31" t="n">
        <f aca="false">IF(NOT(ISNUMBER($G602)),"",MAX(MATCH(Q602,Config!$D$5:$D$9,1),G602-'Residual Config'!$C$6))</f>
        <v>1</v>
      </c>
      <c r="S602" s="34" t="n">
        <f aca="false">IF(NOT(ISNUMBER($G602)),"",IF('Residual Config'!$C$5="Numeric",R602,P602))</f>
        <v>1</v>
      </c>
      <c r="T602" s="7" t="str">
        <f aca="false">IF(G602="N/A","N/A",IF(S602="","No data",INDEX(Config!$B$5:$B$9,S602)))</f>
        <v>Low</v>
      </c>
      <c r="U602" s="32" t="n">
        <v>0</v>
      </c>
      <c r="V602" s="8"/>
      <c r="W602" s="33"/>
      <c r="X602" s="34" t="n">
        <f aca="false">IF(S602="","",IF(AND(W602="Y",U602&lt;&gt;0),MAX(1,MIN(5,S602+MAX(-Config!$C$27,MIN(Config!$C$27,U602)))),S602))</f>
        <v>1</v>
      </c>
      <c r="Y602" s="35" t="str">
        <f aca="false">IF(G602="N/A","N/A",IF(X602="","No data",INDEX(Config!$B$5:$B$9,X602)))</f>
        <v>Low</v>
      </c>
      <c r="Z602" s="7" t="str">
        <f aca="false">IF(U602=0,"None",IF(W602="Y","Applied","Pending HO approval"))</f>
        <v>None</v>
      </c>
      <c r="AA602" s="12" t="str">
        <f aca="false">INDEX('Risk Taxonomy'!$G$5:$G$24,MATCH(D602,'Risk Taxonomy'!$A$5:$A$24,0))</f>
        <v>Very low</v>
      </c>
      <c r="AB602" s="7" t="str">
        <f aca="false">INDEX('Risk Taxonomy'!$H$5:$H$24,MATCH(D602,'Risk Taxonomy'!$A$5:$A$24,0))</f>
        <v>Medium-Low</v>
      </c>
      <c r="AC602" s="35" t="str">
        <f aca="false">IF(NOT(ISNUMBER(X602)),"",IF(X602&lt;=MATCH(AB602,Config!$B$5:$B$9,0),"Within",IF(OR(X602-MATCH(AB602,Config!$B$5:$B$9,0)&gt;=2,AND('Residual Config'!$C$8="Y",ISNUMBER(SEARCH("Zero",AA602)))),"Red","Amber")))</f>
        <v>Within</v>
      </c>
      <c r="AD602" s="12" t="str">
        <f aca="false">IF(AC602="Red","Group CCO / CRO and Country CEO within 2 business days; action plan in 15 days; report to Board Risk &amp; Compliance Committee",IF(AC602="Amber","Country CO, risk owner and HO Administrator within 5 business days; action plan in 30 days",""))</f>
        <v/>
      </c>
    </row>
    <row r="603" customFormat="false" ht="15" hidden="false" customHeight="false" outlineLevel="0" collapsed="false">
      <c r="A603" s="26" t="str">
        <f aca="false">Entities!$A$34</f>
        <v>US</v>
      </c>
      <c r="B603" s="12" t="str">
        <f aca="false">INDEX(Entities!$B$5:$B$34,MATCH(A603,Entities!$A$5:$A$34,0))</f>
        <v>Arab Bank – United States (if retained)</v>
      </c>
      <c r="C603" s="12" t="str">
        <f aca="false">INDEX(Entities!$D$5:$D$34,MATCH(A603,Entities!$A$5:$A$34,0))</f>
        <v>Americas</v>
      </c>
      <c r="D603" s="12" t="s">
        <v>319</v>
      </c>
      <c r="E603" s="12" t="str">
        <f aca="false">INDEX('Risk Taxonomy'!$B$5:$B$24,MATCH(D603,'Risk Taxonomy'!$A$5:$A$24,0))</f>
        <v>Reputational</v>
      </c>
      <c r="F603" s="29" t="n">
        <f aca="false">IF(NOT(ISNUMBER(G603)),"",G603)</f>
        <v>2</v>
      </c>
      <c r="G603" s="34" t="n">
        <f aca="false">IF(COUNTIFS('LxI Assessment'!$A$5:$A$394,A603,'LxI Assessment'!$D$5:$D$394,D603,'LxI Assessment'!$F$5:$F$394,"N/A")&gt;0,"N/A",IF(COUNTIFS('LxI Assessment'!$A$5:$A$394,A603,'LxI Assessment'!$D$5:$D$394,D603,'LxI Assessment'!$S$5:$S$394,"&gt;0")=0,"",SUMIFS('LxI Assessment'!$S$5:$S$394,'LxI Assessment'!$A$5:$A$394,A603,'LxI Assessment'!$D$5:$D$394,D603)))</f>
        <v>2</v>
      </c>
      <c r="H603" s="7" t="str">
        <f aca="false">IF(G603="N/A","N/A",IF(G603="","No data",INDEX(Config!$B$5:$B$9,G603)))</f>
        <v>Medium-Low</v>
      </c>
      <c r="I603" s="31" t="n">
        <f aca="false">IF(NOT(ISNUMBER($G603)),"",SUMPRODUCT(('Control Mapping'!$C$5:$C$83=D603)*('Control Mapping'!$AJ$5:$AJ$83&gt;0)))</f>
        <v>2</v>
      </c>
      <c r="J603" s="31" t="n">
        <f aca="false">IF(NOT(ISNUMBER($G603)),"",SUMPRODUCT(('Control Mapping'!$C$5:$C$83=D603)*('Control Mapping'!$F$5:$F$83="Y")*('Control Mapping'!$AJ$5:$AJ$83&gt;0)))</f>
        <v>1</v>
      </c>
      <c r="K603" s="31" t="n">
        <f aca="false">IF(NOT(ISNUMBER($G603)),"",SUMPRODUCT(('Control Mapping'!$C$5:$C$83=D603)*('Control Mapping'!$F$5:$F$83="Y")*('Control Mapping'!$AJ$5:$AJ$83=4)))</f>
        <v>0</v>
      </c>
      <c r="L603" s="29" t="n">
        <f aca="false">IF(NOT(ISNUMBER($G603)),"",IFERROR(SUMPRODUCT(('Control Mapping'!$C$5:$C$83=D603)*'Control Mapping'!$E$5:$E$83*'Control Mapping'!$AJ$5:$AJ$83)/SUMPRODUCT(('Control Mapping'!$C$5:$C$83=D603)*'Control Mapping'!$E$5:$E$83*('Control Mapping'!$AJ$5:$AJ$83&gt;0)),""))</f>
        <v>2.66666666666667</v>
      </c>
      <c r="M603" s="34" t="n">
        <f aca="false">IF(NOT(ISNUMBER($G603)),"",IF(J603=0,4,MAX(MATCH(L603,'Residual Config'!$E$11:$E$14,1),IF(K603&gt;0,'Residual Config'!$C$7,1))))</f>
        <v>3</v>
      </c>
      <c r="N603" s="7" t="str">
        <f aca="false">IF(NOT(ISNUMBER($G603)),"",IF(J603=0,"Ineffective (no key control)",INDEX('Residual Config'!$B$11:$B$14,M603)))</f>
        <v>Partially effective</v>
      </c>
      <c r="O603" s="36" t="n">
        <f aca="false">IF(NOT(ISNUMBER($G603)),"",IF(J603=0,0,SUMPRODUCT(('Control Mapping'!$C$5:$C$83=D603)*'Control Mapping'!$E$5:$E$83*(('Control Mapping'!$AJ$5:$AJ$83=1)*'Residual Config'!$D$11+('Control Mapping'!$AJ$5:$AJ$83=2)*'Residual Config'!$D$12+('Control Mapping'!$AJ$5:$AJ$83=3)*'Residual Config'!$D$13+('Control Mapping'!$AJ$5:$AJ$83=4)*'Residual Config'!$D$14))/SUMPRODUCT(('Control Mapping'!$C$5:$C$83=D603)*'Control Mapping'!$E$5:$E$83*('Control Mapping'!$AJ$5:$AJ$83&gt;0))))</f>
        <v>0.266666666666667</v>
      </c>
      <c r="P603" s="31" t="n">
        <f aca="false">IF(NOT(ISNUMBER($G603)),"",INDEX('Residual Config'!$B$19:$E$23,6-G603,M603))</f>
        <v>2</v>
      </c>
      <c r="Q603" s="29" t="n">
        <f aca="false">IF(NOT(ISNUMBER($G603)),"",MAX(1,F603*(1-O603)))</f>
        <v>1.46666666666667</v>
      </c>
      <c r="R603" s="31" t="n">
        <f aca="false">IF(NOT(ISNUMBER($G603)),"",MAX(MATCH(Q603,Config!$D$5:$D$9,1),G603-'Residual Config'!$C$6))</f>
        <v>1</v>
      </c>
      <c r="S603" s="34" t="n">
        <f aca="false">IF(NOT(ISNUMBER($G603)),"",IF('Residual Config'!$C$5="Numeric",R603,P603))</f>
        <v>2</v>
      </c>
      <c r="T603" s="7" t="str">
        <f aca="false">IF(G603="N/A","N/A",IF(S603="","No data",INDEX(Config!$B$5:$B$9,S603)))</f>
        <v>Medium-Low</v>
      </c>
      <c r="U603" s="32" t="n">
        <v>0</v>
      </c>
      <c r="V603" s="8"/>
      <c r="W603" s="33"/>
      <c r="X603" s="34" t="n">
        <f aca="false">IF(S603="","",IF(AND(W603="Y",U603&lt;&gt;0),MAX(1,MIN(5,S603+MAX(-Config!$C$27,MIN(Config!$C$27,U603)))),S603))</f>
        <v>2</v>
      </c>
      <c r="Y603" s="35" t="str">
        <f aca="false">IF(G603="N/A","N/A",IF(X603="","No data",INDEX(Config!$B$5:$B$9,X603)))</f>
        <v>Medium-Low</v>
      </c>
      <c r="Z603" s="7" t="str">
        <f aca="false">IF(U603=0,"None",IF(W603="Y","Applied","Pending HO approval"))</f>
        <v>None</v>
      </c>
      <c r="AA603" s="12" t="str">
        <f aca="false">INDEX('Risk Taxonomy'!$G$5:$G$24,MATCH(D603,'Risk Taxonomy'!$A$5:$A$24,0))</f>
        <v>Low</v>
      </c>
      <c r="AB603" s="7" t="str">
        <f aca="false">INDEX('Risk Taxonomy'!$H$5:$H$24,MATCH(D603,'Risk Taxonomy'!$A$5:$A$24,0))</f>
        <v>Medium</v>
      </c>
      <c r="AC603" s="35" t="str">
        <f aca="false">IF(NOT(ISNUMBER(X603)),"",IF(X603&lt;=MATCH(AB603,Config!$B$5:$B$9,0),"Within",IF(OR(X603-MATCH(AB603,Config!$B$5:$B$9,0)&gt;=2,AND('Residual Config'!$C$8="Y",ISNUMBER(SEARCH("Zero",AA603)))),"Red","Amber")))</f>
        <v>Within</v>
      </c>
      <c r="AD603" s="12" t="str">
        <f aca="false">IF(AC603="Red","Group CCO / CRO and Country CEO within 2 business days; action plan in 15 days; report to Board Risk &amp; Compliance Committee",IF(AC603="Amber","Country CO, risk owner and HO Administrator within 5 business days; action plan in 30 days",""))</f>
        <v/>
      </c>
    </row>
    <row r="604" customFormat="false" ht="15" hidden="false" customHeight="false" outlineLevel="0" collapsed="false">
      <c r="A604" s="26" t="str">
        <f aca="false">Entities!$A$34</f>
        <v>US</v>
      </c>
      <c r="B604" s="12" t="str">
        <f aca="false">INDEX(Entities!$B$5:$B$34,MATCH(A604,Entities!$A$5:$A$34,0))</f>
        <v>Arab Bank – United States (if retained)</v>
      </c>
      <c r="C604" s="12" t="str">
        <f aca="false">INDEX(Entities!$D$5:$D$34,MATCH(A604,Entities!$A$5:$A$34,0))</f>
        <v>Americas</v>
      </c>
      <c r="D604" s="12" t="s">
        <v>322</v>
      </c>
      <c r="E604" s="12" t="str">
        <f aca="false">INDEX('Risk Taxonomy'!$B$5:$B$24,MATCH(D604,'Risk Taxonomy'!$A$5:$A$24,0))</f>
        <v>Strategic, business model and ESG</v>
      </c>
      <c r="F604" s="29" t="n">
        <f aca="false">IF(NOT(ISNUMBER(G604)),"",G604)</f>
        <v>1</v>
      </c>
      <c r="G604" s="34" t="n">
        <f aca="false">IF(COUNTIFS('LxI Assessment'!$A$5:$A$394,A604,'LxI Assessment'!$D$5:$D$394,D604,'LxI Assessment'!$F$5:$F$394,"N/A")&gt;0,"N/A",IF(COUNTIFS('LxI Assessment'!$A$5:$A$394,A604,'LxI Assessment'!$D$5:$D$394,D604,'LxI Assessment'!$S$5:$S$394,"&gt;0")=0,"",SUMIFS('LxI Assessment'!$S$5:$S$394,'LxI Assessment'!$A$5:$A$394,A604,'LxI Assessment'!$D$5:$D$394,D604)))</f>
        <v>1</v>
      </c>
      <c r="H604" s="7" t="str">
        <f aca="false">IF(G604="N/A","N/A",IF(G604="","No data",INDEX(Config!$B$5:$B$9,G604)))</f>
        <v>Low</v>
      </c>
      <c r="I604" s="31" t="n">
        <f aca="false">IF(NOT(ISNUMBER($G604)),"",SUMPRODUCT(('Control Mapping'!$C$5:$C$83=D604)*('Control Mapping'!$AJ$5:$AJ$83&gt;0)))</f>
        <v>1</v>
      </c>
      <c r="J604" s="31" t="n">
        <f aca="false">IF(NOT(ISNUMBER($G604)),"",SUMPRODUCT(('Control Mapping'!$C$5:$C$83=D604)*('Control Mapping'!$F$5:$F$83="Y")*('Control Mapping'!$AJ$5:$AJ$83&gt;0)))</f>
        <v>1</v>
      </c>
      <c r="K604" s="31" t="n">
        <f aca="false">IF(NOT(ISNUMBER($G604)),"",SUMPRODUCT(('Control Mapping'!$C$5:$C$83=D604)*('Control Mapping'!$F$5:$F$83="Y")*('Control Mapping'!$AJ$5:$AJ$83=4)))</f>
        <v>0</v>
      </c>
      <c r="L604" s="29" t="n">
        <f aca="false">IF(NOT(ISNUMBER($G604)),"",IFERROR(SUMPRODUCT(('Control Mapping'!$C$5:$C$83=D604)*'Control Mapping'!$E$5:$E$83*'Control Mapping'!$AJ$5:$AJ$83)/SUMPRODUCT(('Control Mapping'!$C$5:$C$83=D604)*'Control Mapping'!$E$5:$E$83*('Control Mapping'!$AJ$5:$AJ$83&gt;0)),""))</f>
        <v>2</v>
      </c>
      <c r="M604" s="34" t="n">
        <f aca="false">IF(NOT(ISNUMBER($G604)),"",IF(J604=0,4,MAX(MATCH(L604,'Residual Config'!$E$11:$E$14,1),IF(K604&gt;0,'Residual Config'!$C$7,1))))</f>
        <v>2</v>
      </c>
      <c r="N604" s="7" t="str">
        <f aca="false">IF(NOT(ISNUMBER($G604)),"",IF(J604=0,"Ineffective (no key control)",INDEX('Residual Config'!$B$11:$B$14,M604)))</f>
        <v>Largely effective</v>
      </c>
      <c r="O604" s="36" t="n">
        <f aca="false">IF(NOT(ISNUMBER($G604)),"",IF(J604=0,0,SUMPRODUCT(('Control Mapping'!$C$5:$C$83=D604)*'Control Mapping'!$E$5:$E$83*(('Control Mapping'!$AJ$5:$AJ$83=1)*'Residual Config'!$D$11+('Control Mapping'!$AJ$5:$AJ$83=2)*'Residual Config'!$D$12+('Control Mapping'!$AJ$5:$AJ$83=3)*'Residual Config'!$D$13+('Control Mapping'!$AJ$5:$AJ$83=4)*'Residual Config'!$D$14))/SUMPRODUCT(('Control Mapping'!$C$5:$C$83=D604)*'Control Mapping'!$E$5:$E$83*('Control Mapping'!$AJ$5:$AJ$83&gt;0))))</f>
        <v>0.4</v>
      </c>
      <c r="P604" s="31" t="n">
        <f aca="false">IF(NOT(ISNUMBER($G604)),"",INDEX('Residual Config'!$B$19:$E$23,6-G604,M604))</f>
        <v>1</v>
      </c>
      <c r="Q604" s="29" t="n">
        <f aca="false">IF(NOT(ISNUMBER($G604)),"",MAX(1,F604*(1-O604)))</f>
        <v>1</v>
      </c>
      <c r="R604" s="31" t="n">
        <f aca="false">IF(NOT(ISNUMBER($G604)),"",MAX(MATCH(Q604,Config!$D$5:$D$9,1),G604-'Residual Config'!$C$6))</f>
        <v>1</v>
      </c>
      <c r="S604" s="34" t="n">
        <f aca="false">IF(NOT(ISNUMBER($G604)),"",IF('Residual Config'!$C$5="Numeric",R604,P604))</f>
        <v>1</v>
      </c>
      <c r="T604" s="7" t="str">
        <f aca="false">IF(G604="N/A","N/A",IF(S604="","No data",INDEX(Config!$B$5:$B$9,S604)))</f>
        <v>Low</v>
      </c>
      <c r="U604" s="32" t="n">
        <v>0</v>
      </c>
      <c r="V604" s="8"/>
      <c r="W604" s="33"/>
      <c r="X604" s="34" t="n">
        <f aca="false">IF(S604="","",IF(AND(W604="Y",U604&lt;&gt;0),MAX(1,MIN(5,S604+MAX(-Config!$C$27,MIN(Config!$C$27,U604)))),S604))</f>
        <v>1</v>
      </c>
      <c r="Y604" s="35" t="str">
        <f aca="false">IF(G604="N/A","N/A",IF(X604="","No data",INDEX(Config!$B$5:$B$9,X604)))</f>
        <v>Low</v>
      </c>
      <c r="Z604" s="7" t="str">
        <f aca="false">IF(U604=0,"None",IF(W604="Y","Applied","Pending HO approval"))</f>
        <v>None</v>
      </c>
      <c r="AA604" s="12" t="str">
        <f aca="false">INDEX('Risk Taxonomy'!$G$5:$G$24,MATCH(D604,'Risk Taxonomy'!$A$5:$A$24,0))</f>
        <v>Moderate</v>
      </c>
      <c r="AB604" s="7" t="str">
        <f aca="false">INDEX('Risk Taxonomy'!$H$5:$H$24,MATCH(D604,'Risk Taxonomy'!$A$5:$A$24,0))</f>
        <v>Medium-High</v>
      </c>
      <c r="AC604" s="35" t="str">
        <f aca="false">IF(NOT(ISNUMBER(X604)),"",IF(X604&lt;=MATCH(AB604,Config!$B$5:$B$9,0),"Within",IF(OR(X604-MATCH(AB604,Config!$B$5:$B$9,0)&gt;=2,AND('Residual Config'!$C$8="Y",ISNUMBER(SEARCH("Zero",AA604)))),"Red","Amber")))</f>
        <v>Within</v>
      </c>
      <c r="AD604" s="12" t="str">
        <f aca="false">IF(AC604="Red","Group CCO / CRO and Country CEO within 2 business days; action plan in 15 days; report to Board Risk &amp; Compliance Committee",IF(AC604="Amber","Country CO, risk owner and HO Administrator within 5 business days; action plan in 30 days",""))</f>
        <v/>
      </c>
    </row>
  </sheetData>
  <autoFilter ref="A4:AD604"/>
  <conditionalFormatting sqref="G5:G604">
    <cfRule type="expression" priority="2" aboveAverage="0" equalAverage="0" bottom="0" percent="0" rank="0" text="" dxfId="0">
      <formula>G5=1</formula>
    </cfRule>
    <cfRule type="expression" priority="3" aboveAverage="0" equalAverage="0" bottom="0" percent="0" rank="0" text="" dxfId="1">
      <formula>G5=2</formula>
    </cfRule>
    <cfRule type="expression" priority="4" aboveAverage="0" equalAverage="0" bottom="0" percent="0" rank="0" text="" dxfId="2">
      <formula>G5=3</formula>
    </cfRule>
    <cfRule type="expression" priority="5" aboveAverage="0" equalAverage="0" bottom="0" percent="0" rank="0" text="" dxfId="3">
      <formula>G5=4</formula>
    </cfRule>
    <cfRule type="expression" priority="6" aboveAverage="0" equalAverage="0" bottom="0" percent="0" rank="0" text="" dxfId="4">
      <formula>G5=5</formula>
    </cfRule>
  </conditionalFormatting>
  <conditionalFormatting sqref="P5:P604">
    <cfRule type="expression" priority="7" aboveAverage="0" equalAverage="0" bottom="0" percent="0" rank="0" text="" dxfId="0">
      <formula>P5=1</formula>
    </cfRule>
    <cfRule type="expression" priority="8" aboveAverage="0" equalAverage="0" bottom="0" percent="0" rank="0" text="" dxfId="1">
      <formula>P5=2</formula>
    </cfRule>
    <cfRule type="expression" priority="9" aboveAverage="0" equalAverage="0" bottom="0" percent="0" rank="0" text="" dxfId="2">
      <formula>P5=3</formula>
    </cfRule>
    <cfRule type="expression" priority="10" aboveAverage="0" equalAverage="0" bottom="0" percent="0" rank="0" text="" dxfId="3">
      <formula>P5=4</formula>
    </cfRule>
    <cfRule type="expression" priority="11" aboveAverage="0" equalAverage="0" bottom="0" percent="0" rank="0" text="" dxfId="4">
      <formula>P5=5</formula>
    </cfRule>
  </conditionalFormatting>
  <conditionalFormatting sqref="S5:S604">
    <cfRule type="expression" priority="12" aboveAverage="0" equalAverage="0" bottom="0" percent="0" rank="0" text="" dxfId="0">
      <formula>S5=1</formula>
    </cfRule>
    <cfRule type="expression" priority="13" aboveAverage="0" equalAverage="0" bottom="0" percent="0" rank="0" text="" dxfId="1">
      <formula>S5=2</formula>
    </cfRule>
    <cfRule type="expression" priority="14" aboveAverage="0" equalAverage="0" bottom="0" percent="0" rank="0" text="" dxfId="2">
      <formula>S5=3</formula>
    </cfRule>
    <cfRule type="expression" priority="15" aboveAverage="0" equalAverage="0" bottom="0" percent="0" rank="0" text="" dxfId="3">
      <formula>S5=4</formula>
    </cfRule>
    <cfRule type="expression" priority="16" aboveAverage="0" equalAverage="0" bottom="0" percent="0" rank="0" text="" dxfId="4">
      <formula>S5=5</formula>
    </cfRule>
  </conditionalFormatting>
  <conditionalFormatting sqref="X5:X604">
    <cfRule type="expression" priority="17" aboveAverage="0" equalAverage="0" bottom="0" percent="0" rank="0" text="" dxfId="0">
      <formula>X5=1</formula>
    </cfRule>
    <cfRule type="expression" priority="18" aboveAverage="0" equalAverage="0" bottom="0" percent="0" rank="0" text="" dxfId="1">
      <formula>X5=2</formula>
    </cfRule>
    <cfRule type="expression" priority="19" aboveAverage="0" equalAverage="0" bottom="0" percent="0" rank="0" text="" dxfId="2">
      <formula>X5=3</formula>
    </cfRule>
    <cfRule type="expression" priority="20" aboveAverage="0" equalAverage="0" bottom="0" percent="0" rank="0" text="" dxfId="3">
      <formula>X5=4</formula>
    </cfRule>
    <cfRule type="expression" priority="21" aboveAverage="0" equalAverage="0" bottom="0" percent="0" rank="0" text="" dxfId="4">
      <formula>X5=5</formula>
    </cfRule>
  </conditionalFormatting>
  <conditionalFormatting sqref="M5:M604">
    <cfRule type="expression" priority="22" aboveAverage="0" equalAverage="0" bottom="0" percent="0" rank="0" text="" dxfId="0">
      <formula>M5=1</formula>
    </cfRule>
    <cfRule type="expression" priority="23" aboveAverage="0" equalAverage="0" bottom="0" percent="0" rank="0" text="" dxfId="1">
      <formula>M5=2</formula>
    </cfRule>
    <cfRule type="expression" priority="24" aboveAverage="0" equalAverage="0" bottom="0" percent="0" rank="0" text="" dxfId="3">
      <formula>M5=3</formula>
    </cfRule>
    <cfRule type="expression" priority="25" aboveAverage="0" equalAverage="0" bottom="0" percent="0" rank="0" text="" dxfId="4">
      <formula>M5=4</formula>
    </cfRule>
  </conditionalFormatting>
  <conditionalFormatting sqref="AC5:AC604">
    <cfRule type="expression" priority="26" aboveAverage="0" equalAverage="0" bottom="0" percent="0" rank="0" text="" dxfId="1">
      <formula>AC5="Within"</formula>
    </cfRule>
    <cfRule type="expression" priority="27" aboveAverage="0" equalAverage="0" bottom="0" percent="0" rank="0" text="" dxfId="18">
      <formula>AC5="Amber"</formula>
    </cfRule>
    <cfRule type="expression" priority="28" aboveAverage="0" equalAverage="0" bottom="0" percent="0" rank="0" text="" dxfId="4">
      <formula>AC5="Red"</formula>
    </cfRule>
  </conditionalFormatting>
  <dataValidations count="2">
    <dataValidation allowBlank="false" errorStyle="stop" operator="between" showDropDown="false" showErrorMessage="false" showInputMessage="false" sqref="W5:W604" type="list">
      <formula1>Config!$H$15:$H$16</formula1>
      <formula2>0</formula2>
    </dataValidation>
    <dataValidation allowBlank="false" errorStyle="stop" operator="between" showDropDown="false" showErrorMessage="false" showInputMessage="false" sqref="U5:U604" type="whole">
      <formula1>-4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22" min="3" style="0" width="9.51"/>
    <col collapsed="false" customWidth="true" hidden="false" outlineLevel="0" max="26" min="23" style="0" width="9"/>
  </cols>
  <sheetData>
    <row r="1" customFormat="false" ht="17.35" hidden="false" customHeight="false" outlineLevel="0" collapsed="false">
      <c r="A1" s="1" t="s">
        <v>3996</v>
      </c>
    </row>
    <row r="2" customFormat="false" ht="15" hidden="false" customHeight="false" outlineLevel="0" collapsed="false">
      <c r="A2" s="2" t="s">
        <v>3997</v>
      </c>
    </row>
    <row r="4" customFormat="false" ht="66" hidden="false" customHeight="true" outlineLevel="0" collapsed="false">
      <c r="A4" s="39"/>
      <c r="B4" s="39"/>
      <c r="C4" s="39" t="s">
        <v>261</v>
      </c>
      <c r="D4" s="39" t="s">
        <v>268</v>
      </c>
      <c r="E4" s="39" t="s">
        <v>271</v>
      </c>
      <c r="F4" s="39" t="s">
        <v>273</v>
      </c>
      <c r="G4" s="39" t="s">
        <v>276</v>
      </c>
      <c r="H4" s="39" t="s">
        <v>279</v>
      </c>
      <c r="I4" s="39" t="s">
        <v>282</v>
      </c>
      <c r="J4" s="39" t="s">
        <v>285</v>
      </c>
      <c r="K4" s="39" t="s">
        <v>289</v>
      </c>
      <c r="L4" s="39" t="s">
        <v>291</v>
      </c>
      <c r="M4" s="39" t="s">
        <v>294</v>
      </c>
      <c r="N4" s="39" t="s">
        <v>298</v>
      </c>
      <c r="O4" s="39" t="s">
        <v>303</v>
      </c>
      <c r="P4" s="39" t="s">
        <v>305</v>
      </c>
      <c r="Q4" s="39" t="s">
        <v>308</v>
      </c>
      <c r="R4" s="39" t="s">
        <v>311</v>
      </c>
      <c r="S4" s="39" t="s">
        <v>314</v>
      </c>
      <c r="T4" s="39" t="s">
        <v>317</v>
      </c>
      <c r="U4" s="39" t="s">
        <v>320</v>
      </c>
      <c r="V4" s="39" t="s">
        <v>323</v>
      </c>
      <c r="W4" s="39"/>
      <c r="X4" s="39"/>
      <c r="Y4" s="39"/>
      <c r="Z4" s="39"/>
    </row>
    <row r="5" customFormat="false" ht="23.85" hidden="false" customHeight="false" outlineLevel="0" collapsed="false">
      <c r="A5" s="5" t="s">
        <v>134</v>
      </c>
      <c r="B5" s="5" t="s">
        <v>135</v>
      </c>
      <c r="C5" s="5" t="s">
        <v>260</v>
      </c>
      <c r="D5" s="5" t="s">
        <v>267</v>
      </c>
      <c r="E5" s="5" t="s">
        <v>270</v>
      </c>
      <c r="F5" s="5" t="s">
        <v>272</v>
      </c>
      <c r="G5" s="5" t="s">
        <v>275</v>
      </c>
      <c r="H5" s="5" t="s">
        <v>278</v>
      </c>
      <c r="I5" s="5" t="s">
        <v>281</v>
      </c>
      <c r="J5" s="5" t="s">
        <v>284</v>
      </c>
      <c r="K5" s="5" t="s">
        <v>288</v>
      </c>
      <c r="L5" s="5" t="s">
        <v>290</v>
      </c>
      <c r="M5" s="5" t="s">
        <v>293</v>
      </c>
      <c r="N5" s="5" t="s">
        <v>297</v>
      </c>
      <c r="O5" s="5" t="s">
        <v>302</v>
      </c>
      <c r="P5" s="5" t="s">
        <v>304</v>
      </c>
      <c r="Q5" s="5" t="s">
        <v>307</v>
      </c>
      <c r="R5" s="5" t="s">
        <v>310</v>
      </c>
      <c r="S5" s="5" t="s">
        <v>313</v>
      </c>
      <c r="T5" s="5" t="s">
        <v>316</v>
      </c>
      <c r="U5" s="5" t="s">
        <v>319</v>
      </c>
      <c r="V5" s="5" t="s">
        <v>322</v>
      </c>
      <c r="W5" s="5" t="s">
        <v>475</v>
      </c>
      <c r="X5" s="5" t="s">
        <v>476</v>
      </c>
      <c r="Y5" s="5" t="s">
        <v>3998</v>
      </c>
      <c r="Z5" s="5" t="s">
        <v>3999</v>
      </c>
    </row>
    <row r="6" customFormat="false" ht="15" hidden="false" customHeight="false" outlineLevel="0" collapsed="false">
      <c r="A6" s="26" t="str">
        <f aca="false">Entities!A5</f>
        <v>JO-HO</v>
      </c>
      <c r="B6" s="26" t="str">
        <f aca="false">Entities!B5</f>
        <v>Arab Bank plc – Jordan (HO and domestic network)</v>
      </c>
      <c r="C6" s="31" t="n">
        <f aca="false">IF(COUNTIFS('Residual Calculation'!$A$5:$A$604,$A6,'Residual Calculation'!$D$5:$D$604,C$5,'Residual Calculation'!$G$5:$G$604,"N/A")&gt;0,"N/A",IF(COUNTIFS('Residual Calculation'!$A$5:$A$604,$A6,'Residual Calculation'!$D$5:$D$604,C$5,'Residual Calculation'!$X$5:$X$604,"&gt;0")=0,"",SUMIFS('Residual Calculation'!$X$5:$X$604,'Residual Calculation'!$A$5:$A$604,$A6,'Residual Calculation'!$D$5:$D$604,C$5)))</f>
        <v>3</v>
      </c>
      <c r="D6" s="31" t="n">
        <f aca="false">IF(COUNTIFS('Residual Calculation'!$A$5:$A$604,$A6,'Residual Calculation'!$D$5:$D$604,D$5,'Residual Calculation'!$G$5:$G$604,"N/A")&gt;0,"N/A",IF(COUNTIFS('Residual Calculation'!$A$5:$A$604,$A6,'Residual Calculation'!$D$5:$D$604,D$5,'Residual Calculation'!$X$5:$X$604,"&gt;0")=0,"",SUMIFS('Residual Calculation'!$X$5:$X$604,'Residual Calculation'!$A$5:$A$604,$A6,'Residual Calculation'!$D$5:$D$604,D$5)))</f>
        <v>3</v>
      </c>
      <c r="E6" s="31" t="n">
        <f aca="false">IF(COUNTIFS('Residual Calculation'!$A$5:$A$604,$A6,'Residual Calculation'!$D$5:$D$604,E$5,'Residual Calculation'!$G$5:$G$604,"N/A")&gt;0,"N/A",IF(COUNTIFS('Residual Calculation'!$A$5:$A$604,$A6,'Residual Calculation'!$D$5:$D$604,E$5,'Residual Calculation'!$X$5:$X$604,"&gt;0")=0,"",SUMIFS('Residual Calculation'!$X$5:$X$604,'Residual Calculation'!$A$5:$A$604,$A6,'Residual Calculation'!$D$5:$D$604,E$5)))</f>
        <v>2</v>
      </c>
      <c r="F6" s="31" t="n">
        <f aca="false">IF(COUNTIFS('Residual Calculation'!$A$5:$A$604,$A6,'Residual Calculation'!$D$5:$D$604,F$5,'Residual Calculation'!$G$5:$G$604,"N/A")&gt;0,"N/A",IF(COUNTIFS('Residual Calculation'!$A$5:$A$604,$A6,'Residual Calculation'!$D$5:$D$604,F$5,'Residual Calculation'!$X$5:$X$604,"&gt;0")=0,"",SUMIFS('Residual Calculation'!$X$5:$X$604,'Residual Calculation'!$A$5:$A$604,$A6,'Residual Calculation'!$D$5:$D$604,F$5)))</f>
        <v>3</v>
      </c>
      <c r="G6" s="31" t="n">
        <f aca="false">IF(COUNTIFS('Residual Calculation'!$A$5:$A$604,$A6,'Residual Calculation'!$D$5:$D$604,G$5,'Residual Calculation'!$G$5:$G$604,"N/A")&gt;0,"N/A",IF(COUNTIFS('Residual Calculation'!$A$5:$A$604,$A6,'Residual Calculation'!$D$5:$D$604,G$5,'Residual Calculation'!$X$5:$X$604,"&gt;0")=0,"",SUMIFS('Residual Calculation'!$X$5:$X$604,'Residual Calculation'!$A$5:$A$604,$A6,'Residual Calculation'!$D$5:$D$604,G$5)))</f>
        <v>2</v>
      </c>
      <c r="H6" s="31" t="n">
        <f aca="false">IF(COUNTIFS('Residual Calculation'!$A$5:$A$604,$A6,'Residual Calculation'!$D$5:$D$604,H$5,'Residual Calculation'!$G$5:$G$604,"N/A")&gt;0,"N/A",IF(COUNTIFS('Residual Calculation'!$A$5:$A$604,$A6,'Residual Calculation'!$D$5:$D$604,H$5,'Residual Calculation'!$X$5:$X$604,"&gt;0")=0,"",SUMIFS('Residual Calculation'!$X$5:$X$604,'Residual Calculation'!$A$5:$A$604,$A6,'Residual Calculation'!$D$5:$D$604,H$5)))</f>
        <v>2</v>
      </c>
      <c r="I6" s="31" t="n">
        <f aca="false">IF(COUNTIFS('Residual Calculation'!$A$5:$A$604,$A6,'Residual Calculation'!$D$5:$D$604,I$5,'Residual Calculation'!$G$5:$G$604,"N/A")&gt;0,"N/A",IF(COUNTIFS('Residual Calculation'!$A$5:$A$604,$A6,'Residual Calculation'!$D$5:$D$604,I$5,'Residual Calculation'!$X$5:$X$604,"&gt;0")=0,"",SUMIFS('Residual Calculation'!$X$5:$X$604,'Residual Calculation'!$A$5:$A$604,$A6,'Residual Calculation'!$D$5:$D$604,I$5)))</f>
        <v>2</v>
      </c>
      <c r="J6" s="31" t="n">
        <f aca="false">IF(COUNTIFS('Residual Calculation'!$A$5:$A$604,$A6,'Residual Calculation'!$D$5:$D$604,J$5,'Residual Calculation'!$G$5:$G$604,"N/A")&gt;0,"N/A",IF(COUNTIFS('Residual Calculation'!$A$5:$A$604,$A6,'Residual Calculation'!$D$5:$D$604,J$5,'Residual Calculation'!$X$5:$X$604,"&gt;0")=0,"",SUMIFS('Residual Calculation'!$X$5:$X$604,'Residual Calculation'!$A$5:$A$604,$A6,'Residual Calculation'!$D$5:$D$604,J$5)))</f>
        <v>3</v>
      </c>
      <c r="K6" s="31" t="n">
        <f aca="false">IF(COUNTIFS('Residual Calculation'!$A$5:$A$604,$A6,'Residual Calculation'!$D$5:$D$604,K$5,'Residual Calculation'!$G$5:$G$604,"N/A")&gt;0,"N/A",IF(COUNTIFS('Residual Calculation'!$A$5:$A$604,$A6,'Residual Calculation'!$D$5:$D$604,K$5,'Residual Calculation'!$X$5:$X$604,"&gt;0")=0,"",SUMIFS('Residual Calculation'!$X$5:$X$604,'Residual Calculation'!$A$5:$A$604,$A6,'Residual Calculation'!$D$5:$D$604,K$5)))</f>
        <v>1</v>
      </c>
      <c r="L6" s="31" t="n">
        <f aca="false">IF(COUNTIFS('Residual Calculation'!$A$5:$A$604,$A6,'Residual Calculation'!$D$5:$D$604,L$5,'Residual Calculation'!$G$5:$G$604,"N/A")&gt;0,"N/A",IF(COUNTIFS('Residual Calculation'!$A$5:$A$604,$A6,'Residual Calculation'!$D$5:$D$604,L$5,'Residual Calculation'!$X$5:$X$604,"&gt;0")=0,"",SUMIFS('Residual Calculation'!$X$5:$X$604,'Residual Calculation'!$A$5:$A$604,$A6,'Residual Calculation'!$D$5:$D$604,L$5)))</f>
        <v>2</v>
      </c>
      <c r="M6" s="31" t="str">
        <f aca="false">IF(COUNTIFS('Residual Calculation'!$A$5:$A$604,$A6,'Residual Calculation'!$D$5:$D$604,M$5,'Residual Calculation'!$G$5:$G$604,"N/A")&gt;0,"N/A",IF(COUNTIFS('Residual Calculation'!$A$5:$A$604,$A6,'Residual Calculation'!$D$5:$D$604,M$5,'Residual Calculation'!$X$5:$X$604,"&gt;0")=0,"",SUMIFS('Residual Calculation'!$X$5:$X$604,'Residual Calculation'!$A$5:$A$604,$A6,'Residual Calculation'!$D$5:$D$604,M$5)))</f>
        <v>N/A</v>
      </c>
      <c r="N6" s="31" t="n">
        <f aca="false">IF(COUNTIFS('Residual Calculation'!$A$5:$A$604,$A6,'Residual Calculation'!$D$5:$D$604,N$5,'Residual Calculation'!$G$5:$G$604,"N/A")&gt;0,"N/A",IF(COUNTIFS('Residual Calculation'!$A$5:$A$604,$A6,'Residual Calculation'!$D$5:$D$604,N$5,'Residual Calculation'!$X$5:$X$604,"&gt;0")=0,"",SUMIFS('Residual Calculation'!$X$5:$X$604,'Residual Calculation'!$A$5:$A$604,$A6,'Residual Calculation'!$D$5:$D$604,N$5)))</f>
        <v>1</v>
      </c>
      <c r="O6" s="31" t="n">
        <f aca="false">IF(COUNTIFS('Residual Calculation'!$A$5:$A$604,$A6,'Residual Calculation'!$D$5:$D$604,O$5,'Residual Calculation'!$G$5:$G$604,"N/A")&gt;0,"N/A",IF(COUNTIFS('Residual Calculation'!$A$5:$A$604,$A6,'Residual Calculation'!$D$5:$D$604,O$5,'Residual Calculation'!$X$5:$X$604,"&gt;0")=0,"",SUMIFS('Residual Calculation'!$X$5:$X$604,'Residual Calculation'!$A$5:$A$604,$A6,'Residual Calculation'!$D$5:$D$604,O$5)))</f>
        <v>2</v>
      </c>
      <c r="P6" s="31" t="n">
        <f aca="false">IF(COUNTIFS('Residual Calculation'!$A$5:$A$604,$A6,'Residual Calculation'!$D$5:$D$604,P$5,'Residual Calculation'!$G$5:$G$604,"N/A")&gt;0,"N/A",IF(COUNTIFS('Residual Calculation'!$A$5:$A$604,$A6,'Residual Calculation'!$D$5:$D$604,P$5,'Residual Calculation'!$X$5:$X$604,"&gt;0")=0,"",SUMIFS('Residual Calculation'!$X$5:$X$604,'Residual Calculation'!$A$5:$A$604,$A6,'Residual Calculation'!$D$5:$D$604,P$5)))</f>
        <v>2</v>
      </c>
      <c r="Q6" s="31" t="n">
        <f aca="false">IF(COUNTIFS('Residual Calculation'!$A$5:$A$604,$A6,'Residual Calculation'!$D$5:$D$604,Q$5,'Residual Calculation'!$G$5:$G$604,"N/A")&gt;0,"N/A",IF(COUNTIFS('Residual Calculation'!$A$5:$A$604,$A6,'Residual Calculation'!$D$5:$D$604,Q$5,'Residual Calculation'!$X$5:$X$604,"&gt;0")=0,"",SUMIFS('Residual Calculation'!$X$5:$X$604,'Residual Calculation'!$A$5:$A$604,$A6,'Residual Calculation'!$D$5:$D$604,Q$5)))</f>
        <v>2</v>
      </c>
      <c r="R6" s="31" t="n">
        <f aca="false">IF(COUNTIFS('Residual Calculation'!$A$5:$A$604,$A6,'Residual Calculation'!$D$5:$D$604,R$5,'Residual Calculation'!$G$5:$G$604,"N/A")&gt;0,"N/A",IF(COUNTIFS('Residual Calculation'!$A$5:$A$604,$A6,'Residual Calculation'!$D$5:$D$604,R$5,'Residual Calculation'!$X$5:$X$604,"&gt;0")=0,"",SUMIFS('Residual Calculation'!$X$5:$X$604,'Residual Calculation'!$A$5:$A$604,$A6,'Residual Calculation'!$D$5:$D$604,R$5)))</f>
        <v>2</v>
      </c>
      <c r="S6" s="31" t="n">
        <f aca="false">IF(COUNTIFS('Residual Calculation'!$A$5:$A$604,$A6,'Residual Calculation'!$D$5:$D$604,S$5,'Residual Calculation'!$G$5:$G$604,"N/A")&gt;0,"N/A",IF(COUNTIFS('Residual Calculation'!$A$5:$A$604,$A6,'Residual Calculation'!$D$5:$D$604,S$5,'Residual Calculation'!$X$5:$X$604,"&gt;0")=0,"",SUMIFS('Residual Calculation'!$X$5:$X$604,'Residual Calculation'!$A$5:$A$604,$A6,'Residual Calculation'!$D$5:$D$604,S$5)))</f>
        <v>2</v>
      </c>
      <c r="T6" s="31" t="n">
        <f aca="false">IF(COUNTIFS('Residual Calculation'!$A$5:$A$604,$A6,'Residual Calculation'!$D$5:$D$604,T$5,'Residual Calculation'!$G$5:$G$604,"N/A")&gt;0,"N/A",IF(COUNTIFS('Residual Calculation'!$A$5:$A$604,$A6,'Residual Calculation'!$D$5:$D$604,T$5,'Residual Calculation'!$X$5:$X$604,"&gt;0")=0,"",SUMIFS('Residual Calculation'!$X$5:$X$604,'Residual Calculation'!$A$5:$A$604,$A6,'Residual Calculation'!$D$5:$D$604,T$5)))</f>
        <v>2</v>
      </c>
      <c r="U6" s="31" t="n">
        <f aca="false">IF(COUNTIFS('Residual Calculation'!$A$5:$A$604,$A6,'Residual Calculation'!$D$5:$D$604,U$5,'Residual Calculation'!$G$5:$G$604,"N/A")&gt;0,"N/A",IF(COUNTIFS('Residual Calculation'!$A$5:$A$604,$A6,'Residual Calculation'!$D$5:$D$604,U$5,'Residual Calculation'!$X$5:$X$604,"&gt;0")=0,"",SUMIFS('Residual Calculation'!$X$5:$X$604,'Residual Calculation'!$A$5:$A$604,$A6,'Residual Calculation'!$D$5:$D$604,U$5)))</f>
        <v>3</v>
      </c>
      <c r="V6" s="31" t="n">
        <f aca="false">IF(COUNTIFS('Residual Calculation'!$A$5:$A$604,$A6,'Residual Calculation'!$D$5:$D$604,V$5,'Residual Calculation'!$G$5:$G$604,"N/A")&gt;0,"N/A",IF(COUNTIFS('Residual Calculation'!$A$5:$A$604,$A6,'Residual Calculation'!$D$5:$D$604,V$5,'Residual Calculation'!$X$5:$X$604,"&gt;0")=0,"",SUMIFS('Residual Calculation'!$X$5:$X$604,'Residual Calculation'!$A$5:$A$604,$A6,'Residual Calculation'!$D$5:$D$604,V$5)))</f>
        <v>2</v>
      </c>
      <c r="W6" s="34" t="n">
        <f aca="false">MAX(C6:V6)</f>
        <v>3</v>
      </c>
      <c r="X6" s="29" t="n">
        <f aca="false">IFERROR(AVERAGE(C6:V6),"")</f>
        <v>2.15789473684211</v>
      </c>
      <c r="Y6" s="31" t="n">
        <f aca="false">COUNTIFS('Residual Calculation'!$A$5:$A$604,$A6,'Residual Calculation'!$AC$5:$AC$604,"Amber")</f>
        <v>5</v>
      </c>
      <c r="Z6" s="31" t="n">
        <f aca="false">COUNTIFS('Residual Calculation'!$A$5:$A$604,$A6,'Residual Calculation'!$AC$5:$AC$604,"Red")</f>
        <v>2</v>
      </c>
    </row>
    <row r="7" customFormat="false" ht="15" hidden="false" customHeight="false" outlineLevel="0" collapsed="false">
      <c r="A7" s="26" t="str">
        <f aca="false">Entities!A6</f>
        <v>JO-IIAB</v>
      </c>
      <c r="B7" s="26" t="str">
        <f aca="false">Entities!B6</f>
        <v>Islamic International Arab Bank</v>
      </c>
      <c r="C7" s="31" t="n">
        <f aca="false">IF(COUNTIFS('Residual Calculation'!$A$5:$A$604,$A7,'Residual Calculation'!$D$5:$D$604,C$5,'Residual Calculation'!$G$5:$G$604,"N/A")&gt;0,"N/A",IF(COUNTIFS('Residual Calculation'!$A$5:$A$604,$A7,'Residual Calculation'!$D$5:$D$604,C$5,'Residual Calculation'!$X$5:$X$604,"&gt;0")=0,"",SUMIFS('Residual Calculation'!$X$5:$X$604,'Residual Calculation'!$A$5:$A$604,$A7,'Residual Calculation'!$D$5:$D$604,C$5)))</f>
        <v>3</v>
      </c>
      <c r="D7" s="31" t="n">
        <f aca="false">IF(COUNTIFS('Residual Calculation'!$A$5:$A$604,$A7,'Residual Calculation'!$D$5:$D$604,D$5,'Residual Calculation'!$G$5:$G$604,"N/A")&gt;0,"N/A",IF(COUNTIFS('Residual Calculation'!$A$5:$A$604,$A7,'Residual Calculation'!$D$5:$D$604,D$5,'Residual Calculation'!$X$5:$X$604,"&gt;0")=0,"",SUMIFS('Residual Calculation'!$X$5:$X$604,'Residual Calculation'!$A$5:$A$604,$A7,'Residual Calculation'!$D$5:$D$604,D$5)))</f>
        <v>3</v>
      </c>
      <c r="E7" s="31" t="n">
        <f aca="false">IF(COUNTIFS('Residual Calculation'!$A$5:$A$604,$A7,'Residual Calculation'!$D$5:$D$604,E$5,'Residual Calculation'!$G$5:$G$604,"N/A")&gt;0,"N/A",IF(COUNTIFS('Residual Calculation'!$A$5:$A$604,$A7,'Residual Calculation'!$D$5:$D$604,E$5,'Residual Calculation'!$X$5:$X$604,"&gt;0")=0,"",SUMIFS('Residual Calculation'!$X$5:$X$604,'Residual Calculation'!$A$5:$A$604,$A7,'Residual Calculation'!$D$5:$D$604,E$5)))</f>
        <v>3</v>
      </c>
      <c r="F7" s="31" t="n">
        <f aca="false">IF(COUNTIFS('Residual Calculation'!$A$5:$A$604,$A7,'Residual Calculation'!$D$5:$D$604,F$5,'Residual Calculation'!$G$5:$G$604,"N/A")&gt;0,"N/A",IF(COUNTIFS('Residual Calculation'!$A$5:$A$604,$A7,'Residual Calculation'!$D$5:$D$604,F$5,'Residual Calculation'!$X$5:$X$604,"&gt;0")=0,"",SUMIFS('Residual Calculation'!$X$5:$X$604,'Residual Calculation'!$A$5:$A$604,$A7,'Residual Calculation'!$D$5:$D$604,F$5)))</f>
        <v>3</v>
      </c>
      <c r="G7" s="31" t="n">
        <f aca="false">IF(COUNTIFS('Residual Calculation'!$A$5:$A$604,$A7,'Residual Calculation'!$D$5:$D$604,G$5,'Residual Calculation'!$G$5:$G$604,"N/A")&gt;0,"N/A",IF(COUNTIFS('Residual Calculation'!$A$5:$A$604,$A7,'Residual Calculation'!$D$5:$D$604,G$5,'Residual Calculation'!$X$5:$X$604,"&gt;0")=0,"",SUMIFS('Residual Calculation'!$X$5:$X$604,'Residual Calculation'!$A$5:$A$604,$A7,'Residual Calculation'!$D$5:$D$604,G$5)))</f>
        <v>2</v>
      </c>
      <c r="H7" s="31" t="n">
        <f aca="false">IF(COUNTIFS('Residual Calculation'!$A$5:$A$604,$A7,'Residual Calculation'!$D$5:$D$604,H$5,'Residual Calculation'!$G$5:$G$604,"N/A")&gt;0,"N/A",IF(COUNTIFS('Residual Calculation'!$A$5:$A$604,$A7,'Residual Calculation'!$D$5:$D$604,H$5,'Residual Calculation'!$X$5:$X$604,"&gt;0")=0,"",SUMIFS('Residual Calculation'!$X$5:$X$604,'Residual Calculation'!$A$5:$A$604,$A7,'Residual Calculation'!$D$5:$D$604,H$5)))</f>
        <v>2</v>
      </c>
      <c r="I7" s="31" t="n">
        <f aca="false">IF(COUNTIFS('Residual Calculation'!$A$5:$A$604,$A7,'Residual Calculation'!$D$5:$D$604,I$5,'Residual Calculation'!$G$5:$G$604,"N/A")&gt;0,"N/A",IF(COUNTIFS('Residual Calculation'!$A$5:$A$604,$A7,'Residual Calculation'!$D$5:$D$604,I$5,'Residual Calculation'!$X$5:$X$604,"&gt;0")=0,"",SUMIFS('Residual Calculation'!$X$5:$X$604,'Residual Calculation'!$A$5:$A$604,$A7,'Residual Calculation'!$D$5:$D$604,I$5)))</f>
        <v>3</v>
      </c>
      <c r="J7" s="31" t="n">
        <f aca="false">IF(COUNTIFS('Residual Calculation'!$A$5:$A$604,$A7,'Residual Calculation'!$D$5:$D$604,J$5,'Residual Calculation'!$G$5:$G$604,"N/A")&gt;0,"N/A",IF(COUNTIFS('Residual Calculation'!$A$5:$A$604,$A7,'Residual Calculation'!$D$5:$D$604,J$5,'Residual Calculation'!$X$5:$X$604,"&gt;0")=0,"",SUMIFS('Residual Calculation'!$X$5:$X$604,'Residual Calculation'!$A$5:$A$604,$A7,'Residual Calculation'!$D$5:$D$604,J$5)))</f>
        <v>4</v>
      </c>
      <c r="K7" s="31" t="n">
        <f aca="false">IF(COUNTIFS('Residual Calculation'!$A$5:$A$604,$A7,'Residual Calculation'!$D$5:$D$604,K$5,'Residual Calculation'!$G$5:$G$604,"N/A")&gt;0,"N/A",IF(COUNTIFS('Residual Calculation'!$A$5:$A$604,$A7,'Residual Calculation'!$D$5:$D$604,K$5,'Residual Calculation'!$X$5:$X$604,"&gt;0")=0,"",SUMIFS('Residual Calculation'!$X$5:$X$604,'Residual Calculation'!$A$5:$A$604,$A7,'Residual Calculation'!$D$5:$D$604,K$5)))</f>
        <v>2</v>
      </c>
      <c r="L7" s="31" t="n">
        <f aca="false">IF(COUNTIFS('Residual Calculation'!$A$5:$A$604,$A7,'Residual Calculation'!$D$5:$D$604,L$5,'Residual Calculation'!$G$5:$G$604,"N/A")&gt;0,"N/A",IF(COUNTIFS('Residual Calculation'!$A$5:$A$604,$A7,'Residual Calculation'!$D$5:$D$604,L$5,'Residual Calculation'!$X$5:$X$604,"&gt;0")=0,"",SUMIFS('Residual Calculation'!$X$5:$X$604,'Residual Calculation'!$A$5:$A$604,$A7,'Residual Calculation'!$D$5:$D$604,L$5)))</f>
        <v>1</v>
      </c>
      <c r="M7" s="31" t="n">
        <f aca="false">IF(COUNTIFS('Residual Calculation'!$A$5:$A$604,$A7,'Residual Calculation'!$D$5:$D$604,M$5,'Residual Calculation'!$G$5:$G$604,"N/A")&gt;0,"N/A",IF(COUNTIFS('Residual Calculation'!$A$5:$A$604,$A7,'Residual Calculation'!$D$5:$D$604,M$5,'Residual Calculation'!$X$5:$X$604,"&gt;0")=0,"",SUMIFS('Residual Calculation'!$X$5:$X$604,'Residual Calculation'!$A$5:$A$604,$A7,'Residual Calculation'!$D$5:$D$604,M$5)))</f>
        <v>1</v>
      </c>
      <c r="N7" s="31" t="n">
        <f aca="false">IF(COUNTIFS('Residual Calculation'!$A$5:$A$604,$A7,'Residual Calculation'!$D$5:$D$604,N$5,'Residual Calculation'!$G$5:$G$604,"N/A")&gt;0,"N/A",IF(COUNTIFS('Residual Calculation'!$A$5:$A$604,$A7,'Residual Calculation'!$D$5:$D$604,N$5,'Residual Calculation'!$X$5:$X$604,"&gt;0")=0,"",SUMIFS('Residual Calculation'!$X$5:$X$604,'Residual Calculation'!$A$5:$A$604,$A7,'Residual Calculation'!$D$5:$D$604,N$5)))</f>
        <v>2</v>
      </c>
      <c r="O7" s="31" t="n">
        <f aca="false">IF(COUNTIFS('Residual Calculation'!$A$5:$A$604,$A7,'Residual Calculation'!$D$5:$D$604,O$5,'Residual Calculation'!$G$5:$G$604,"N/A")&gt;0,"N/A",IF(COUNTIFS('Residual Calculation'!$A$5:$A$604,$A7,'Residual Calculation'!$D$5:$D$604,O$5,'Residual Calculation'!$X$5:$X$604,"&gt;0")=0,"",SUMIFS('Residual Calculation'!$X$5:$X$604,'Residual Calculation'!$A$5:$A$604,$A7,'Residual Calculation'!$D$5:$D$604,O$5)))</f>
        <v>3</v>
      </c>
      <c r="P7" s="31" t="n">
        <f aca="false">IF(COUNTIFS('Residual Calculation'!$A$5:$A$604,$A7,'Residual Calculation'!$D$5:$D$604,P$5,'Residual Calculation'!$G$5:$G$604,"N/A")&gt;0,"N/A",IF(COUNTIFS('Residual Calculation'!$A$5:$A$604,$A7,'Residual Calculation'!$D$5:$D$604,P$5,'Residual Calculation'!$X$5:$X$604,"&gt;0")=0,"",SUMIFS('Residual Calculation'!$X$5:$X$604,'Residual Calculation'!$A$5:$A$604,$A7,'Residual Calculation'!$D$5:$D$604,P$5)))</f>
        <v>1</v>
      </c>
      <c r="Q7" s="31" t="n">
        <f aca="false">IF(COUNTIFS('Residual Calculation'!$A$5:$A$604,$A7,'Residual Calculation'!$D$5:$D$604,Q$5,'Residual Calculation'!$G$5:$G$604,"N/A")&gt;0,"N/A",IF(COUNTIFS('Residual Calculation'!$A$5:$A$604,$A7,'Residual Calculation'!$D$5:$D$604,Q$5,'Residual Calculation'!$X$5:$X$604,"&gt;0")=0,"",SUMIFS('Residual Calculation'!$X$5:$X$604,'Residual Calculation'!$A$5:$A$604,$A7,'Residual Calculation'!$D$5:$D$604,Q$5)))</f>
        <v>1</v>
      </c>
      <c r="R7" s="31" t="n">
        <f aca="false">IF(COUNTIFS('Residual Calculation'!$A$5:$A$604,$A7,'Residual Calculation'!$D$5:$D$604,R$5,'Residual Calculation'!$G$5:$G$604,"N/A")&gt;0,"N/A",IF(COUNTIFS('Residual Calculation'!$A$5:$A$604,$A7,'Residual Calculation'!$D$5:$D$604,R$5,'Residual Calculation'!$X$5:$X$604,"&gt;0")=0,"",SUMIFS('Residual Calculation'!$X$5:$X$604,'Residual Calculation'!$A$5:$A$604,$A7,'Residual Calculation'!$D$5:$D$604,R$5)))</f>
        <v>2</v>
      </c>
      <c r="S7" s="31" t="n">
        <f aca="false">IF(COUNTIFS('Residual Calculation'!$A$5:$A$604,$A7,'Residual Calculation'!$D$5:$D$604,S$5,'Residual Calculation'!$G$5:$G$604,"N/A")&gt;0,"N/A",IF(COUNTIFS('Residual Calculation'!$A$5:$A$604,$A7,'Residual Calculation'!$D$5:$D$604,S$5,'Residual Calculation'!$X$5:$X$604,"&gt;0")=0,"",SUMIFS('Residual Calculation'!$X$5:$X$604,'Residual Calculation'!$A$5:$A$604,$A7,'Residual Calculation'!$D$5:$D$604,S$5)))</f>
        <v>2</v>
      </c>
      <c r="T7" s="31" t="n">
        <f aca="false">IF(COUNTIFS('Residual Calculation'!$A$5:$A$604,$A7,'Residual Calculation'!$D$5:$D$604,T$5,'Residual Calculation'!$G$5:$G$604,"N/A")&gt;0,"N/A",IF(COUNTIFS('Residual Calculation'!$A$5:$A$604,$A7,'Residual Calculation'!$D$5:$D$604,T$5,'Residual Calculation'!$X$5:$X$604,"&gt;0")=0,"",SUMIFS('Residual Calculation'!$X$5:$X$604,'Residual Calculation'!$A$5:$A$604,$A7,'Residual Calculation'!$D$5:$D$604,T$5)))</f>
        <v>1</v>
      </c>
      <c r="U7" s="31" t="n">
        <f aca="false">IF(COUNTIFS('Residual Calculation'!$A$5:$A$604,$A7,'Residual Calculation'!$D$5:$D$604,U$5,'Residual Calculation'!$G$5:$G$604,"N/A")&gt;0,"N/A",IF(COUNTIFS('Residual Calculation'!$A$5:$A$604,$A7,'Residual Calculation'!$D$5:$D$604,U$5,'Residual Calculation'!$X$5:$X$604,"&gt;0")=0,"",SUMIFS('Residual Calculation'!$X$5:$X$604,'Residual Calculation'!$A$5:$A$604,$A7,'Residual Calculation'!$D$5:$D$604,U$5)))</f>
        <v>1</v>
      </c>
      <c r="V7" s="31" t="n">
        <f aca="false">IF(COUNTIFS('Residual Calculation'!$A$5:$A$604,$A7,'Residual Calculation'!$D$5:$D$604,V$5,'Residual Calculation'!$G$5:$G$604,"N/A")&gt;0,"N/A",IF(COUNTIFS('Residual Calculation'!$A$5:$A$604,$A7,'Residual Calculation'!$D$5:$D$604,V$5,'Residual Calculation'!$X$5:$X$604,"&gt;0")=0,"",SUMIFS('Residual Calculation'!$X$5:$X$604,'Residual Calculation'!$A$5:$A$604,$A7,'Residual Calculation'!$D$5:$D$604,V$5)))</f>
        <v>2</v>
      </c>
      <c r="W7" s="34" t="n">
        <f aca="false">MAX(C7:V7)</f>
        <v>4</v>
      </c>
      <c r="X7" s="29" t="n">
        <f aca="false">IFERROR(AVERAGE(C7:V7),"")</f>
        <v>2.1</v>
      </c>
      <c r="Y7" s="31" t="n">
        <f aca="false">COUNTIFS('Residual Calculation'!$A$5:$A$604,$A7,'Residual Calculation'!$AC$5:$AC$604,"Amber")</f>
        <v>2</v>
      </c>
      <c r="Z7" s="31" t="n">
        <f aca="false">COUNTIFS('Residual Calculation'!$A$5:$A$604,$A7,'Residual Calculation'!$AC$5:$AC$604,"Red")</f>
        <v>5</v>
      </c>
    </row>
    <row r="8" customFormat="false" ht="15" hidden="false" customHeight="false" outlineLevel="0" collapsed="false">
      <c r="A8" s="26" t="str">
        <f aca="false">Entities!A7</f>
        <v>JO-INV</v>
      </c>
      <c r="B8" s="26" t="str">
        <f aca="false">Entities!B7</f>
        <v>Al-Arabi Investment Group (AB Invest)</v>
      </c>
      <c r="C8" s="31" t="n">
        <f aca="false">IF(COUNTIFS('Residual Calculation'!$A$5:$A$604,$A8,'Residual Calculation'!$D$5:$D$604,C$5,'Residual Calculation'!$G$5:$G$604,"N/A")&gt;0,"N/A",IF(COUNTIFS('Residual Calculation'!$A$5:$A$604,$A8,'Residual Calculation'!$D$5:$D$604,C$5,'Residual Calculation'!$X$5:$X$604,"&gt;0")=0,"",SUMIFS('Residual Calculation'!$X$5:$X$604,'Residual Calculation'!$A$5:$A$604,$A8,'Residual Calculation'!$D$5:$D$604,C$5)))</f>
        <v>1</v>
      </c>
      <c r="D8" s="31" t="n">
        <f aca="false">IF(COUNTIFS('Residual Calculation'!$A$5:$A$604,$A8,'Residual Calculation'!$D$5:$D$604,D$5,'Residual Calculation'!$G$5:$G$604,"N/A")&gt;0,"N/A",IF(COUNTIFS('Residual Calculation'!$A$5:$A$604,$A8,'Residual Calculation'!$D$5:$D$604,D$5,'Residual Calculation'!$X$5:$X$604,"&gt;0")=0,"",SUMIFS('Residual Calculation'!$X$5:$X$604,'Residual Calculation'!$A$5:$A$604,$A8,'Residual Calculation'!$D$5:$D$604,D$5)))</f>
        <v>2</v>
      </c>
      <c r="E8" s="31" t="n">
        <f aca="false">IF(COUNTIFS('Residual Calculation'!$A$5:$A$604,$A8,'Residual Calculation'!$D$5:$D$604,E$5,'Residual Calculation'!$G$5:$G$604,"N/A")&gt;0,"N/A",IF(COUNTIFS('Residual Calculation'!$A$5:$A$604,$A8,'Residual Calculation'!$D$5:$D$604,E$5,'Residual Calculation'!$X$5:$X$604,"&gt;0")=0,"",SUMIFS('Residual Calculation'!$X$5:$X$604,'Residual Calculation'!$A$5:$A$604,$A8,'Residual Calculation'!$D$5:$D$604,E$5)))</f>
        <v>2</v>
      </c>
      <c r="F8" s="31" t="n">
        <f aca="false">IF(COUNTIFS('Residual Calculation'!$A$5:$A$604,$A8,'Residual Calculation'!$D$5:$D$604,F$5,'Residual Calculation'!$G$5:$G$604,"N/A")&gt;0,"N/A",IF(COUNTIFS('Residual Calculation'!$A$5:$A$604,$A8,'Residual Calculation'!$D$5:$D$604,F$5,'Residual Calculation'!$X$5:$X$604,"&gt;0")=0,"",SUMIFS('Residual Calculation'!$X$5:$X$604,'Residual Calculation'!$A$5:$A$604,$A8,'Residual Calculation'!$D$5:$D$604,F$5)))</f>
        <v>2</v>
      </c>
      <c r="G8" s="31" t="n">
        <f aca="false">IF(COUNTIFS('Residual Calculation'!$A$5:$A$604,$A8,'Residual Calculation'!$D$5:$D$604,G$5,'Residual Calculation'!$G$5:$G$604,"N/A")&gt;0,"N/A",IF(COUNTIFS('Residual Calculation'!$A$5:$A$604,$A8,'Residual Calculation'!$D$5:$D$604,G$5,'Residual Calculation'!$X$5:$X$604,"&gt;0")=0,"",SUMIFS('Residual Calculation'!$X$5:$X$604,'Residual Calculation'!$A$5:$A$604,$A8,'Residual Calculation'!$D$5:$D$604,G$5)))</f>
        <v>1</v>
      </c>
      <c r="H8" s="31" t="n">
        <f aca="false">IF(COUNTIFS('Residual Calculation'!$A$5:$A$604,$A8,'Residual Calculation'!$D$5:$D$604,H$5,'Residual Calculation'!$G$5:$G$604,"N/A")&gt;0,"N/A",IF(COUNTIFS('Residual Calculation'!$A$5:$A$604,$A8,'Residual Calculation'!$D$5:$D$604,H$5,'Residual Calculation'!$X$5:$X$604,"&gt;0")=0,"",SUMIFS('Residual Calculation'!$X$5:$X$604,'Residual Calculation'!$A$5:$A$604,$A8,'Residual Calculation'!$D$5:$D$604,H$5)))</f>
        <v>1</v>
      </c>
      <c r="I8" s="31" t="n">
        <f aca="false">IF(COUNTIFS('Residual Calculation'!$A$5:$A$604,$A8,'Residual Calculation'!$D$5:$D$604,I$5,'Residual Calculation'!$G$5:$G$604,"N/A")&gt;0,"N/A",IF(COUNTIFS('Residual Calculation'!$A$5:$A$604,$A8,'Residual Calculation'!$D$5:$D$604,I$5,'Residual Calculation'!$X$5:$X$604,"&gt;0")=0,"",SUMIFS('Residual Calculation'!$X$5:$X$604,'Residual Calculation'!$A$5:$A$604,$A8,'Residual Calculation'!$D$5:$D$604,I$5)))</f>
        <v>2</v>
      </c>
      <c r="J8" s="31" t="n">
        <f aca="false">IF(COUNTIFS('Residual Calculation'!$A$5:$A$604,$A8,'Residual Calculation'!$D$5:$D$604,J$5,'Residual Calculation'!$G$5:$G$604,"N/A")&gt;0,"N/A",IF(COUNTIFS('Residual Calculation'!$A$5:$A$604,$A8,'Residual Calculation'!$D$5:$D$604,J$5,'Residual Calculation'!$X$5:$X$604,"&gt;0")=0,"",SUMIFS('Residual Calculation'!$X$5:$X$604,'Residual Calculation'!$A$5:$A$604,$A8,'Residual Calculation'!$D$5:$D$604,J$5)))</f>
        <v>2</v>
      </c>
      <c r="K8" s="31" t="n">
        <f aca="false">IF(COUNTIFS('Residual Calculation'!$A$5:$A$604,$A8,'Residual Calculation'!$D$5:$D$604,K$5,'Residual Calculation'!$G$5:$G$604,"N/A")&gt;0,"N/A",IF(COUNTIFS('Residual Calculation'!$A$5:$A$604,$A8,'Residual Calculation'!$D$5:$D$604,K$5,'Residual Calculation'!$X$5:$X$604,"&gt;0")=0,"",SUMIFS('Residual Calculation'!$X$5:$X$604,'Residual Calculation'!$A$5:$A$604,$A8,'Residual Calculation'!$D$5:$D$604,K$5)))</f>
        <v>2</v>
      </c>
      <c r="L8" s="31" t="n">
        <f aca="false">IF(COUNTIFS('Residual Calculation'!$A$5:$A$604,$A8,'Residual Calculation'!$D$5:$D$604,L$5,'Residual Calculation'!$G$5:$G$604,"N/A")&gt;0,"N/A",IF(COUNTIFS('Residual Calculation'!$A$5:$A$604,$A8,'Residual Calculation'!$D$5:$D$604,L$5,'Residual Calculation'!$X$5:$X$604,"&gt;0")=0,"",SUMIFS('Residual Calculation'!$X$5:$X$604,'Residual Calculation'!$A$5:$A$604,$A8,'Residual Calculation'!$D$5:$D$604,L$5)))</f>
        <v>1</v>
      </c>
      <c r="M8" s="31" t="str">
        <f aca="false">IF(COUNTIFS('Residual Calculation'!$A$5:$A$604,$A8,'Residual Calculation'!$D$5:$D$604,M$5,'Residual Calculation'!$G$5:$G$604,"N/A")&gt;0,"N/A",IF(COUNTIFS('Residual Calculation'!$A$5:$A$604,$A8,'Residual Calculation'!$D$5:$D$604,M$5,'Residual Calculation'!$X$5:$X$604,"&gt;0")=0,"",SUMIFS('Residual Calculation'!$X$5:$X$604,'Residual Calculation'!$A$5:$A$604,$A8,'Residual Calculation'!$D$5:$D$604,M$5)))</f>
        <v>N/A</v>
      </c>
      <c r="N8" s="31" t="n">
        <f aca="false">IF(COUNTIFS('Residual Calculation'!$A$5:$A$604,$A8,'Residual Calculation'!$D$5:$D$604,N$5,'Residual Calculation'!$G$5:$G$604,"N/A")&gt;0,"N/A",IF(COUNTIFS('Residual Calculation'!$A$5:$A$604,$A8,'Residual Calculation'!$D$5:$D$604,N$5,'Residual Calculation'!$X$5:$X$604,"&gt;0")=0,"",SUMIFS('Residual Calculation'!$X$5:$X$604,'Residual Calculation'!$A$5:$A$604,$A8,'Residual Calculation'!$D$5:$D$604,N$5)))</f>
        <v>2</v>
      </c>
      <c r="O8" s="31" t="n">
        <f aca="false">IF(COUNTIFS('Residual Calculation'!$A$5:$A$604,$A8,'Residual Calculation'!$D$5:$D$604,O$5,'Residual Calculation'!$G$5:$G$604,"N/A")&gt;0,"N/A",IF(COUNTIFS('Residual Calculation'!$A$5:$A$604,$A8,'Residual Calculation'!$D$5:$D$604,O$5,'Residual Calculation'!$X$5:$X$604,"&gt;0")=0,"",SUMIFS('Residual Calculation'!$X$5:$X$604,'Residual Calculation'!$A$5:$A$604,$A8,'Residual Calculation'!$D$5:$D$604,O$5)))</f>
        <v>1</v>
      </c>
      <c r="P8" s="31" t="n">
        <f aca="false">IF(COUNTIFS('Residual Calculation'!$A$5:$A$604,$A8,'Residual Calculation'!$D$5:$D$604,P$5,'Residual Calculation'!$G$5:$G$604,"N/A")&gt;0,"N/A",IF(COUNTIFS('Residual Calculation'!$A$5:$A$604,$A8,'Residual Calculation'!$D$5:$D$604,P$5,'Residual Calculation'!$X$5:$X$604,"&gt;0")=0,"",SUMIFS('Residual Calculation'!$X$5:$X$604,'Residual Calculation'!$A$5:$A$604,$A8,'Residual Calculation'!$D$5:$D$604,P$5)))</f>
        <v>3</v>
      </c>
      <c r="Q8" s="31" t="n">
        <f aca="false">IF(COUNTIFS('Residual Calculation'!$A$5:$A$604,$A8,'Residual Calculation'!$D$5:$D$604,Q$5,'Residual Calculation'!$G$5:$G$604,"N/A")&gt;0,"N/A",IF(COUNTIFS('Residual Calculation'!$A$5:$A$604,$A8,'Residual Calculation'!$D$5:$D$604,Q$5,'Residual Calculation'!$X$5:$X$604,"&gt;0")=0,"",SUMIFS('Residual Calculation'!$X$5:$X$604,'Residual Calculation'!$A$5:$A$604,$A8,'Residual Calculation'!$D$5:$D$604,Q$5)))</f>
        <v>2</v>
      </c>
      <c r="R8" s="31" t="n">
        <f aca="false">IF(COUNTIFS('Residual Calculation'!$A$5:$A$604,$A8,'Residual Calculation'!$D$5:$D$604,R$5,'Residual Calculation'!$G$5:$G$604,"N/A")&gt;0,"N/A",IF(COUNTIFS('Residual Calculation'!$A$5:$A$604,$A8,'Residual Calculation'!$D$5:$D$604,R$5,'Residual Calculation'!$X$5:$X$604,"&gt;0")=0,"",SUMIFS('Residual Calculation'!$X$5:$X$604,'Residual Calculation'!$A$5:$A$604,$A8,'Residual Calculation'!$D$5:$D$604,R$5)))</f>
        <v>2</v>
      </c>
      <c r="S8" s="31" t="n">
        <f aca="false">IF(COUNTIFS('Residual Calculation'!$A$5:$A$604,$A8,'Residual Calculation'!$D$5:$D$604,S$5,'Residual Calculation'!$G$5:$G$604,"N/A")&gt;0,"N/A",IF(COUNTIFS('Residual Calculation'!$A$5:$A$604,$A8,'Residual Calculation'!$D$5:$D$604,S$5,'Residual Calculation'!$X$5:$X$604,"&gt;0")=0,"",SUMIFS('Residual Calculation'!$X$5:$X$604,'Residual Calculation'!$A$5:$A$604,$A8,'Residual Calculation'!$D$5:$D$604,S$5)))</f>
        <v>2</v>
      </c>
      <c r="T8" s="31" t="n">
        <f aca="false">IF(COUNTIFS('Residual Calculation'!$A$5:$A$604,$A8,'Residual Calculation'!$D$5:$D$604,T$5,'Residual Calculation'!$G$5:$G$604,"N/A")&gt;0,"N/A",IF(COUNTIFS('Residual Calculation'!$A$5:$A$604,$A8,'Residual Calculation'!$D$5:$D$604,T$5,'Residual Calculation'!$X$5:$X$604,"&gt;0")=0,"",SUMIFS('Residual Calculation'!$X$5:$X$604,'Residual Calculation'!$A$5:$A$604,$A8,'Residual Calculation'!$D$5:$D$604,T$5)))</f>
        <v>1</v>
      </c>
      <c r="U8" s="31" t="n">
        <f aca="false">IF(COUNTIFS('Residual Calculation'!$A$5:$A$604,$A8,'Residual Calculation'!$D$5:$D$604,U$5,'Residual Calculation'!$G$5:$G$604,"N/A")&gt;0,"N/A",IF(COUNTIFS('Residual Calculation'!$A$5:$A$604,$A8,'Residual Calculation'!$D$5:$D$604,U$5,'Residual Calculation'!$X$5:$X$604,"&gt;0")=0,"",SUMIFS('Residual Calculation'!$X$5:$X$604,'Residual Calculation'!$A$5:$A$604,$A8,'Residual Calculation'!$D$5:$D$604,U$5)))</f>
        <v>2</v>
      </c>
      <c r="V8" s="31" t="n">
        <f aca="false">IF(COUNTIFS('Residual Calculation'!$A$5:$A$604,$A8,'Residual Calculation'!$D$5:$D$604,V$5,'Residual Calculation'!$G$5:$G$604,"N/A")&gt;0,"N/A",IF(COUNTIFS('Residual Calculation'!$A$5:$A$604,$A8,'Residual Calculation'!$D$5:$D$604,V$5,'Residual Calculation'!$X$5:$X$604,"&gt;0")=0,"",SUMIFS('Residual Calculation'!$X$5:$X$604,'Residual Calculation'!$A$5:$A$604,$A8,'Residual Calculation'!$D$5:$D$604,V$5)))</f>
        <v>1</v>
      </c>
      <c r="W8" s="34" t="n">
        <f aca="false">MAX(C8:V8)</f>
        <v>3</v>
      </c>
      <c r="X8" s="29" t="n">
        <f aca="false">IFERROR(AVERAGE(C8:V8),"")</f>
        <v>1.68421052631579</v>
      </c>
      <c r="Y8" s="31" t="n">
        <f aca="false">COUNTIFS('Residual Calculation'!$A$5:$A$604,$A8,'Residual Calculation'!$AC$5:$AC$604,"Amber")</f>
        <v>4</v>
      </c>
      <c r="Z8" s="31" t="n">
        <f aca="false">COUNTIFS('Residual Calculation'!$A$5:$A$604,$A8,'Residual Calculation'!$AC$5:$AC$604,"Red")</f>
        <v>0</v>
      </c>
    </row>
    <row r="9" customFormat="false" ht="15" hidden="false" customHeight="false" outlineLevel="0" collapsed="false">
      <c r="A9" s="26" t="str">
        <f aca="false">Entities!A8</f>
        <v>JO-INS</v>
      </c>
      <c r="B9" s="26" t="str">
        <f aca="false">Entities!B8</f>
        <v>Insurance subsidiary – Jordan</v>
      </c>
      <c r="C9" s="31" t="n">
        <f aca="false">IF(COUNTIFS('Residual Calculation'!$A$5:$A$604,$A9,'Residual Calculation'!$D$5:$D$604,C$5,'Residual Calculation'!$G$5:$G$604,"N/A")&gt;0,"N/A",IF(COUNTIFS('Residual Calculation'!$A$5:$A$604,$A9,'Residual Calculation'!$D$5:$D$604,C$5,'Residual Calculation'!$X$5:$X$604,"&gt;0")=0,"",SUMIFS('Residual Calculation'!$X$5:$X$604,'Residual Calculation'!$A$5:$A$604,$A9,'Residual Calculation'!$D$5:$D$604,C$5)))</f>
        <v>3</v>
      </c>
      <c r="D9" s="31" t="n">
        <f aca="false">IF(COUNTIFS('Residual Calculation'!$A$5:$A$604,$A9,'Residual Calculation'!$D$5:$D$604,D$5,'Residual Calculation'!$G$5:$G$604,"N/A")&gt;0,"N/A",IF(COUNTIFS('Residual Calculation'!$A$5:$A$604,$A9,'Residual Calculation'!$D$5:$D$604,D$5,'Residual Calculation'!$X$5:$X$604,"&gt;0")=0,"",SUMIFS('Residual Calculation'!$X$5:$X$604,'Residual Calculation'!$A$5:$A$604,$A9,'Residual Calculation'!$D$5:$D$604,D$5)))</f>
        <v>2</v>
      </c>
      <c r="E9" s="31" t="n">
        <f aca="false">IF(COUNTIFS('Residual Calculation'!$A$5:$A$604,$A9,'Residual Calculation'!$D$5:$D$604,E$5,'Residual Calculation'!$G$5:$G$604,"N/A")&gt;0,"N/A",IF(COUNTIFS('Residual Calculation'!$A$5:$A$604,$A9,'Residual Calculation'!$D$5:$D$604,E$5,'Residual Calculation'!$X$5:$X$604,"&gt;0")=0,"",SUMIFS('Residual Calculation'!$X$5:$X$604,'Residual Calculation'!$A$5:$A$604,$A9,'Residual Calculation'!$D$5:$D$604,E$5)))</f>
        <v>2</v>
      </c>
      <c r="F9" s="31" t="n">
        <f aca="false">IF(COUNTIFS('Residual Calculation'!$A$5:$A$604,$A9,'Residual Calculation'!$D$5:$D$604,F$5,'Residual Calculation'!$G$5:$G$604,"N/A")&gt;0,"N/A",IF(COUNTIFS('Residual Calculation'!$A$5:$A$604,$A9,'Residual Calculation'!$D$5:$D$604,F$5,'Residual Calculation'!$X$5:$X$604,"&gt;0")=0,"",SUMIFS('Residual Calculation'!$X$5:$X$604,'Residual Calculation'!$A$5:$A$604,$A9,'Residual Calculation'!$D$5:$D$604,F$5)))</f>
        <v>2</v>
      </c>
      <c r="G9" s="31" t="n">
        <f aca="false">IF(COUNTIFS('Residual Calculation'!$A$5:$A$604,$A9,'Residual Calculation'!$D$5:$D$604,G$5,'Residual Calculation'!$G$5:$G$604,"N/A")&gt;0,"N/A",IF(COUNTIFS('Residual Calculation'!$A$5:$A$604,$A9,'Residual Calculation'!$D$5:$D$604,G$5,'Residual Calculation'!$X$5:$X$604,"&gt;0")=0,"",SUMIFS('Residual Calculation'!$X$5:$X$604,'Residual Calculation'!$A$5:$A$604,$A9,'Residual Calculation'!$D$5:$D$604,G$5)))</f>
        <v>3</v>
      </c>
      <c r="H9" s="31" t="n">
        <f aca="false">IF(COUNTIFS('Residual Calculation'!$A$5:$A$604,$A9,'Residual Calculation'!$D$5:$D$604,H$5,'Residual Calculation'!$G$5:$G$604,"N/A")&gt;0,"N/A",IF(COUNTIFS('Residual Calculation'!$A$5:$A$604,$A9,'Residual Calculation'!$D$5:$D$604,H$5,'Residual Calculation'!$X$5:$X$604,"&gt;0")=0,"",SUMIFS('Residual Calculation'!$X$5:$X$604,'Residual Calculation'!$A$5:$A$604,$A9,'Residual Calculation'!$D$5:$D$604,H$5)))</f>
        <v>1</v>
      </c>
      <c r="I9" s="31" t="n">
        <f aca="false">IF(COUNTIFS('Residual Calculation'!$A$5:$A$604,$A9,'Residual Calculation'!$D$5:$D$604,I$5,'Residual Calculation'!$G$5:$G$604,"N/A")&gt;0,"N/A",IF(COUNTIFS('Residual Calculation'!$A$5:$A$604,$A9,'Residual Calculation'!$D$5:$D$604,I$5,'Residual Calculation'!$X$5:$X$604,"&gt;0")=0,"",SUMIFS('Residual Calculation'!$X$5:$X$604,'Residual Calculation'!$A$5:$A$604,$A9,'Residual Calculation'!$D$5:$D$604,I$5)))</f>
        <v>3</v>
      </c>
      <c r="J9" s="31" t="n">
        <f aca="false">IF(COUNTIFS('Residual Calculation'!$A$5:$A$604,$A9,'Residual Calculation'!$D$5:$D$604,J$5,'Residual Calculation'!$G$5:$G$604,"N/A")&gt;0,"N/A",IF(COUNTIFS('Residual Calculation'!$A$5:$A$604,$A9,'Residual Calculation'!$D$5:$D$604,J$5,'Residual Calculation'!$X$5:$X$604,"&gt;0")=0,"",SUMIFS('Residual Calculation'!$X$5:$X$604,'Residual Calculation'!$A$5:$A$604,$A9,'Residual Calculation'!$D$5:$D$604,J$5)))</f>
        <v>3</v>
      </c>
      <c r="K9" s="31" t="n">
        <f aca="false">IF(COUNTIFS('Residual Calculation'!$A$5:$A$604,$A9,'Residual Calculation'!$D$5:$D$604,K$5,'Residual Calculation'!$G$5:$G$604,"N/A")&gt;0,"N/A",IF(COUNTIFS('Residual Calculation'!$A$5:$A$604,$A9,'Residual Calculation'!$D$5:$D$604,K$5,'Residual Calculation'!$X$5:$X$604,"&gt;0")=0,"",SUMIFS('Residual Calculation'!$X$5:$X$604,'Residual Calculation'!$A$5:$A$604,$A9,'Residual Calculation'!$D$5:$D$604,K$5)))</f>
        <v>2</v>
      </c>
      <c r="L9" s="31" t="n">
        <f aca="false">IF(COUNTIFS('Residual Calculation'!$A$5:$A$604,$A9,'Residual Calculation'!$D$5:$D$604,L$5,'Residual Calculation'!$G$5:$G$604,"N/A")&gt;0,"N/A",IF(COUNTIFS('Residual Calculation'!$A$5:$A$604,$A9,'Residual Calculation'!$D$5:$D$604,L$5,'Residual Calculation'!$X$5:$X$604,"&gt;0")=0,"",SUMIFS('Residual Calculation'!$X$5:$X$604,'Residual Calculation'!$A$5:$A$604,$A9,'Residual Calculation'!$D$5:$D$604,L$5)))</f>
        <v>3</v>
      </c>
      <c r="M9" s="31" t="str">
        <f aca="false">IF(COUNTIFS('Residual Calculation'!$A$5:$A$604,$A9,'Residual Calculation'!$D$5:$D$604,M$5,'Residual Calculation'!$G$5:$G$604,"N/A")&gt;0,"N/A",IF(COUNTIFS('Residual Calculation'!$A$5:$A$604,$A9,'Residual Calculation'!$D$5:$D$604,M$5,'Residual Calculation'!$X$5:$X$604,"&gt;0")=0,"",SUMIFS('Residual Calculation'!$X$5:$X$604,'Residual Calculation'!$A$5:$A$604,$A9,'Residual Calculation'!$D$5:$D$604,M$5)))</f>
        <v>N/A</v>
      </c>
      <c r="N9" s="31" t="n">
        <f aca="false">IF(COUNTIFS('Residual Calculation'!$A$5:$A$604,$A9,'Residual Calculation'!$D$5:$D$604,N$5,'Residual Calculation'!$G$5:$G$604,"N/A")&gt;0,"N/A",IF(COUNTIFS('Residual Calculation'!$A$5:$A$604,$A9,'Residual Calculation'!$D$5:$D$604,N$5,'Residual Calculation'!$X$5:$X$604,"&gt;0")=0,"",SUMIFS('Residual Calculation'!$X$5:$X$604,'Residual Calculation'!$A$5:$A$604,$A9,'Residual Calculation'!$D$5:$D$604,N$5)))</f>
        <v>2</v>
      </c>
      <c r="O9" s="31" t="n">
        <f aca="false">IF(COUNTIFS('Residual Calculation'!$A$5:$A$604,$A9,'Residual Calculation'!$D$5:$D$604,O$5,'Residual Calculation'!$G$5:$G$604,"N/A")&gt;0,"N/A",IF(COUNTIFS('Residual Calculation'!$A$5:$A$604,$A9,'Residual Calculation'!$D$5:$D$604,O$5,'Residual Calculation'!$X$5:$X$604,"&gt;0")=0,"",SUMIFS('Residual Calculation'!$X$5:$X$604,'Residual Calculation'!$A$5:$A$604,$A9,'Residual Calculation'!$D$5:$D$604,O$5)))</f>
        <v>2</v>
      </c>
      <c r="P9" s="31" t="n">
        <f aca="false">IF(COUNTIFS('Residual Calculation'!$A$5:$A$604,$A9,'Residual Calculation'!$D$5:$D$604,P$5,'Residual Calculation'!$G$5:$G$604,"N/A")&gt;0,"N/A",IF(COUNTIFS('Residual Calculation'!$A$5:$A$604,$A9,'Residual Calculation'!$D$5:$D$604,P$5,'Residual Calculation'!$X$5:$X$604,"&gt;0")=0,"",SUMIFS('Residual Calculation'!$X$5:$X$604,'Residual Calculation'!$A$5:$A$604,$A9,'Residual Calculation'!$D$5:$D$604,P$5)))</f>
        <v>1</v>
      </c>
      <c r="Q9" s="31" t="n">
        <f aca="false">IF(COUNTIFS('Residual Calculation'!$A$5:$A$604,$A9,'Residual Calculation'!$D$5:$D$604,Q$5,'Residual Calculation'!$G$5:$G$604,"N/A")&gt;0,"N/A",IF(COUNTIFS('Residual Calculation'!$A$5:$A$604,$A9,'Residual Calculation'!$D$5:$D$604,Q$5,'Residual Calculation'!$X$5:$X$604,"&gt;0")=0,"",SUMIFS('Residual Calculation'!$X$5:$X$604,'Residual Calculation'!$A$5:$A$604,$A9,'Residual Calculation'!$D$5:$D$604,Q$5)))</f>
        <v>2</v>
      </c>
      <c r="R9" s="31" t="n">
        <f aca="false">IF(COUNTIFS('Residual Calculation'!$A$5:$A$604,$A9,'Residual Calculation'!$D$5:$D$604,R$5,'Residual Calculation'!$G$5:$G$604,"N/A")&gt;0,"N/A",IF(COUNTIFS('Residual Calculation'!$A$5:$A$604,$A9,'Residual Calculation'!$D$5:$D$604,R$5,'Residual Calculation'!$X$5:$X$604,"&gt;0")=0,"",SUMIFS('Residual Calculation'!$X$5:$X$604,'Residual Calculation'!$A$5:$A$604,$A9,'Residual Calculation'!$D$5:$D$604,R$5)))</f>
        <v>2</v>
      </c>
      <c r="S9" s="31" t="n">
        <f aca="false">IF(COUNTIFS('Residual Calculation'!$A$5:$A$604,$A9,'Residual Calculation'!$D$5:$D$604,S$5,'Residual Calculation'!$G$5:$G$604,"N/A")&gt;0,"N/A",IF(COUNTIFS('Residual Calculation'!$A$5:$A$604,$A9,'Residual Calculation'!$D$5:$D$604,S$5,'Residual Calculation'!$X$5:$X$604,"&gt;0")=0,"",SUMIFS('Residual Calculation'!$X$5:$X$604,'Residual Calculation'!$A$5:$A$604,$A9,'Residual Calculation'!$D$5:$D$604,S$5)))</f>
        <v>2</v>
      </c>
      <c r="T9" s="31" t="n">
        <f aca="false">IF(COUNTIFS('Residual Calculation'!$A$5:$A$604,$A9,'Residual Calculation'!$D$5:$D$604,T$5,'Residual Calculation'!$G$5:$G$604,"N/A")&gt;0,"N/A",IF(COUNTIFS('Residual Calculation'!$A$5:$A$604,$A9,'Residual Calculation'!$D$5:$D$604,T$5,'Residual Calculation'!$X$5:$X$604,"&gt;0")=0,"",SUMIFS('Residual Calculation'!$X$5:$X$604,'Residual Calculation'!$A$5:$A$604,$A9,'Residual Calculation'!$D$5:$D$604,T$5)))</f>
        <v>2</v>
      </c>
      <c r="U9" s="31" t="n">
        <f aca="false">IF(COUNTIFS('Residual Calculation'!$A$5:$A$604,$A9,'Residual Calculation'!$D$5:$D$604,U$5,'Residual Calculation'!$G$5:$G$604,"N/A")&gt;0,"N/A",IF(COUNTIFS('Residual Calculation'!$A$5:$A$604,$A9,'Residual Calculation'!$D$5:$D$604,U$5,'Residual Calculation'!$X$5:$X$604,"&gt;0")=0,"",SUMIFS('Residual Calculation'!$X$5:$X$604,'Residual Calculation'!$A$5:$A$604,$A9,'Residual Calculation'!$D$5:$D$604,U$5)))</f>
        <v>2</v>
      </c>
      <c r="V9" s="31" t="n">
        <f aca="false">IF(COUNTIFS('Residual Calculation'!$A$5:$A$604,$A9,'Residual Calculation'!$D$5:$D$604,V$5,'Residual Calculation'!$G$5:$G$604,"N/A")&gt;0,"N/A",IF(COUNTIFS('Residual Calculation'!$A$5:$A$604,$A9,'Residual Calculation'!$D$5:$D$604,V$5,'Residual Calculation'!$X$5:$X$604,"&gt;0")=0,"",SUMIFS('Residual Calculation'!$X$5:$X$604,'Residual Calculation'!$A$5:$A$604,$A9,'Residual Calculation'!$D$5:$D$604,V$5)))</f>
        <v>1</v>
      </c>
      <c r="W9" s="34" t="n">
        <f aca="false">MAX(C9:V9)</f>
        <v>3</v>
      </c>
      <c r="X9" s="29" t="n">
        <f aca="false">IFERROR(AVERAGE(C9:V9),"")</f>
        <v>2.10526315789474</v>
      </c>
      <c r="Y9" s="31" t="n">
        <f aca="false">COUNTIFS('Residual Calculation'!$A$5:$A$604,$A9,'Residual Calculation'!$AC$5:$AC$604,"Amber")</f>
        <v>6</v>
      </c>
      <c r="Z9" s="31" t="n">
        <f aca="false">COUNTIFS('Residual Calculation'!$A$5:$A$604,$A9,'Residual Calculation'!$AC$5:$AC$604,"Red")</f>
        <v>2</v>
      </c>
    </row>
    <row r="10" customFormat="false" ht="15" hidden="false" customHeight="false" outlineLevel="0" collapsed="false">
      <c r="A10" s="26" t="str">
        <f aca="false">Entities!A9</f>
        <v>JO-LSG</v>
      </c>
      <c r="B10" s="26" t="str">
        <f aca="false">Entities!B9</f>
        <v>Leasing subsidiary – Jordan</v>
      </c>
      <c r="C10" s="31" t="n">
        <f aca="false">IF(COUNTIFS('Residual Calculation'!$A$5:$A$604,$A10,'Residual Calculation'!$D$5:$D$604,C$5,'Residual Calculation'!$G$5:$G$604,"N/A")&gt;0,"N/A",IF(COUNTIFS('Residual Calculation'!$A$5:$A$604,$A10,'Residual Calculation'!$D$5:$D$604,C$5,'Residual Calculation'!$X$5:$X$604,"&gt;0")=0,"",SUMIFS('Residual Calculation'!$X$5:$X$604,'Residual Calculation'!$A$5:$A$604,$A10,'Residual Calculation'!$D$5:$D$604,C$5)))</f>
        <v>2</v>
      </c>
      <c r="D10" s="31" t="n">
        <f aca="false">IF(COUNTIFS('Residual Calculation'!$A$5:$A$604,$A10,'Residual Calculation'!$D$5:$D$604,D$5,'Residual Calculation'!$G$5:$G$604,"N/A")&gt;0,"N/A",IF(COUNTIFS('Residual Calculation'!$A$5:$A$604,$A10,'Residual Calculation'!$D$5:$D$604,D$5,'Residual Calculation'!$X$5:$X$604,"&gt;0")=0,"",SUMIFS('Residual Calculation'!$X$5:$X$604,'Residual Calculation'!$A$5:$A$604,$A10,'Residual Calculation'!$D$5:$D$604,D$5)))</f>
        <v>1</v>
      </c>
      <c r="E10" s="31" t="n">
        <f aca="false">IF(COUNTIFS('Residual Calculation'!$A$5:$A$604,$A10,'Residual Calculation'!$D$5:$D$604,E$5,'Residual Calculation'!$G$5:$G$604,"N/A")&gt;0,"N/A",IF(COUNTIFS('Residual Calculation'!$A$5:$A$604,$A10,'Residual Calculation'!$D$5:$D$604,E$5,'Residual Calculation'!$X$5:$X$604,"&gt;0")=0,"",SUMIFS('Residual Calculation'!$X$5:$X$604,'Residual Calculation'!$A$5:$A$604,$A10,'Residual Calculation'!$D$5:$D$604,E$5)))</f>
        <v>1</v>
      </c>
      <c r="F10" s="31" t="n">
        <f aca="false">IF(COUNTIFS('Residual Calculation'!$A$5:$A$604,$A10,'Residual Calculation'!$D$5:$D$604,F$5,'Residual Calculation'!$G$5:$G$604,"N/A")&gt;0,"N/A",IF(COUNTIFS('Residual Calculation'!$A$5:$A$604,$A10,'Residual Calculation'!$D$5:$D$604,F$5,'Residual Calculation'!$X$5:$X$604,"&gt;0")=0,"",SUMIFS('Residual Calculation'!$X$5:$X$604,'Residual Calculation'!$A$5:$A$604,$A10,'Residual Calculation'!$D$5:$D$604,F$5)))</f>
        <v>2</v>
      </c>
      <c r="G10" s="31" t="n">
        <f aca="false">IF(COUNTIFS('Residual Calculation'!$A$5:$A$604,$A10,'Residual Calculation'!$D$5:$D$604,G$5,'Residual Calculation'!$G$5:$G$604,"N/A")&gt;0,"N/A",IF(COUNTIFS('Residual Calculation'!$A$5:$A$604,$A10,'Residual Calculation'!$D$5:$D$604,G$5,'Residual Calculation'!$X$5:$X$604,"&gt;0")=0,"",SUMIFS('Residual Calculation'!$X$5:$X$604,'Residual Calculation'!$A$5:$A$604,$A10,'Residual Calculation'!$D$5:$D$604,G$5)))</f>
        <v>1</v>
      </c>
      <c r="H10" s="31" t="n">
        <f aca="false">IF(COUNTIFS('Residual Calculation'!$A$5:$A$604,$A10,'Residual Calculation'!$D$5:$D$604,H$5,'Residual Calculation'!$G$5:$G$604,"N/A")&gt;0,"N/A",IF(COUNTIFS('Residual Calculation'!$A$5:$A$604,$A10,'Residual Calculation'!$D$5:$D$604,H$5,'Residual Calculation'!$X$5:$X$604,"&gt;0")=0,"",SUMIFS('Residual Calculation'!$X$5:$X$604,'Residual Calculation'!$A$5:$A$604,$A10,'Residual Calculation'!$D$5:$D$604,H$5)))</f>
        <v>2</v>
      </c>
      <c r="I10" s="31" t="n">
        <f aca="false">IF(COUNTIFS('Residual Calculation'!$A$5:$A$604,$A10,'Residual Calculation'!$D$5:$D$604,I$5,'Residual Calculation'!$G$5:$G$604,"N/A")&gt;0,"N/A",IF(COUNTIFS('Residual Calculation'!$A$5:$A$604,$A10,'Residual Calculation'!$D$5:$D$604,I$5,'Residual Calculation'!$X$5:$X$604,"&gt;0")=0,"",SUMIFS('Residual Calculation'!$X$5:$X$604,'Residual Calculation'!$A$5:$A$604,$A10,'Residual Calculation'!$D$5:$D$604,I$5)))</f>
        <v>2</v>
      </c>
      <c r="J10" s="31" t="n">
        <f aca="false">IF(COUNTIFS('Residual Calculation'!$A$5:$A$604,$A10,'Residual Calculation'!$D$5:$D$604,J$5,'Residual Calculation'!$G$5:$G$604,"N/A")&gt;0,"N/A",IF(COUNTIFS('Residual Calculation'!$A$5:$A$604,$A10,'Residual Calculation'!$D$5:$D$604,J$5,'Residual Calculation'!$X$5:$X$604,"&gt;0")=0,"",SUMIFS('Residual Calculation'!$X$5:$X$604,'Residual Calculation'!$A$5:$A$604,$A10,'Residual Calculation'!$D$5:$D$604,J$5)))</f>
        <v>2</v>
      </c>
      <c r="K10" s="31" t="n">
        <f aca="false">IF(COUNTIFS('Residual Calculation'!$A$5:$A$604,$A10,'Residual Calculation'!$D$5:$D$604,K$5,'Residual Calculation'!$G$5:$G$604,"N/A")&gt;0,"N/A",IF(COUNTIFS('Residual Calculation'!$A$5:$A$604,$A10,'Residual Calculation'!$D$5:$D$604,K$5,'Residual Calculation'!$X$5:$X$604,"&gt;0")=0,"",SUMIFS('Residual Calculation'!$X$5:$X$604,'Residual Calculation'!$A$5:$A$604,$A10,'Residual Calculation'!$D$5:$D$604,K$5)))</f>
        <v>1</v>
      </c>
      <c r="L10" s="31" t="n">
        <f aca="false">IF(COUNTIFS('Residual Calculation'!$A$5:$A$604,$A10,'Residual Calculation'!$D$5:$D$604,L$5,'Residual Calculation'!$G$5:$G$604,"N/A")&gt;0,"N/A",IF(COUNTIFS('Residual Calculation'!$A$5:$A$604,$A10,'Residual Calculation'!$D$5:$D$604,L$5,'Residual Calculation'!$X$5:$X$604,"&gt;0")=0,"",SUMIFS('Residual Calculation'!$X$5:$X$604,'Residual Calculation'!$A$5:$A$604,$A10,'Residual Calculation'!$D$5:$D$604,L$5)))</f>
        <v>2</v>
      </c>
      <c r="M10" s="31" t="str">
        <f aca="false">IF(COUNTIFS('Residual Calculation'!$A$5:$A$604,$A10,'Residual Calculation'!$D$5:$D$604,M$5,'Residual Calculation'!$G$5:$G$604,"N/A")&gt;0,"N/A",IF(COUNTIFS('Residual Calculation'!$A$5:$A$604,$A10,'Residual Calculation'!$D$5:$D$604,M$5,'Residual Calculation'!$X$5:$X$604,"&gt;0")=0,"",SUMIFS('Residual Calculation'!$X$5:$X$604,'Residual Calculation'!$A$5:$A$604,$A10,'Residual Calculation'!$D$5:$D$604,M$5)))</f>
        <v>N/A</v>
      </c>
      <c r="N10" s="31" t="n">
        <f aca="false">IF(COUNTIFS('Residual Calculation'!$A$5:$A$604,$A10,'Residual Calculation'!$D$5:$D$604,N$5,'Residual Calculation'!$G$5:$G$604,"N/A")&gt;0,"N/A",IF(COUNTIFS('Residual Calculation'!$A$5:$A$604,$A10,'Residual Calculation'!$D$5:$D$604,N$5,'Residual Calculation'!$X$5:$X$604,"&gt;0")=0,"",SUMIFS('Residual Calculation'!$X$5:$X$604,'Residual Calculation'!$A$5:$A$604,$A10,'Residual Calculation'!$D$5:$D$604,N$5)))</f>
        <v>3</v>
      </c>
      <c r="O10" s="31" t="n">
        <f aca="false">IF(COUNTIFS('Residual Calculation'!$A$5:$A$604,$A10,'Residual Calculation'!$D$5:$D$604,O$5,'Residual Calculation'!$G$5:$G$604,"N/A")&gt;0,"N/A",IF(COUNTIFS('Residual Calculation'!$A$5:$A$604,$A10,'Residual Calculation'!$D$5:$D$604,O$5,'Residual Calculation'!$X$5:$X$604,"&gt;0")=0,"",SUMIFS('Residual Calculation'!$X$5:$X$604,'Residual Calculation'!$A$5:$A$604,$A10,'Residual Calculation'!$D$5:$D$604,O$5)))</f>
        <v>2</v>
      </c>
      <c r="P10" s="31" t="n">
        <f aca="false">IF(COUNTIFS('Residual Calculation'!$A$5:$A$604,$A10,'Residual Calculation'!$D$5:$D$604,P$5,'Residual Calculation'!$G$5:$G$604,"N/A")&gt;0,"N/A",IF(COUNTIFS('Residual Calculation'!$A$5:$A$604,$A10,'Residual Calculation'!$D$5:$D$604,P$5,'Residual Calculation'!$X$5:$X$604,"&gt;0")=0,"",SUMIFS('Residual Calculation'!$X$5:$X$604,'Residual Calculation'!$A$5:$A$604,$A10,'Residual Calculation'!$D$5:$D$604,P$5)))</f>
        <v>2</v>
      </c>
      <c r="Q10" s="31" t="n">
        <f aca="false">IF(COUNTIFS('Residual Calculation'!$A$5:$A$604,$A10,'Residual Calculation'!$D$5:$D$604,Q$5,'Residual Calculation'!$G$5:$G$604,"N/A")&gt;0,"N/A",IF(COUNTIFS('Residual Calculation'!$A$5:$A$604,$A10,'Residual Calculation'!$D$5:$D$604,Q$5,'Residual Calculation'!$X$5:$X$604,"&gt;0")=0,"",SUMIFS('Residual Calculation'!$X$5:$X$604,'Residual Calculation'!$A$5:$A$604,$A10,'Residual Calculation'!$D$5:$D$604,Q$5)))</f>
        <v>2</v>
      </c>
      <c r="R10" s="31" t="n">
        <f aca="false">IF(COUNTIFS('Residual Calculation'!$A$5:$A$604,$A10,'Residual Calculation'!$D$5:$D$604,R$5,'Residual Calculation'!$G$5:$G$604,"N/A")&gt;0,"N/A",IF(COUNTIFS('Residual Calculation'!$A$5:$A$604,$A10,'Residual Calculation'!$D$5:$D$604,R$5,'Residual Calculation'!$X$5:$X$604,"&gt;0")=0,"",SUMIFS('Residual Calculation'!$X$5:$X$604,'Residual Calculation'!$A$5:$A$604,$A10,'Residual Calculation'!$D$5:$D$604,R$5)))</f>
        <v>3</v>
      </c>
      <c r="S10" s="31" t="n">
        <f aca="false">IF(COUNTIFS('Residual Calculation'!$A$5:$A$604,$A10,'Residual Calculation'!$D$5:$D$604,S$5,'Residual Calculation'!$G$5:$G$604,"N/A")&gt;0,"N/A",IF(COUNTIFS('Residual Calculation'!$A$5:$A$604,$A10,'Residual Calculation'!$D$5:$D$604,S$5,'Residual Calculation'!$X$5:$X$604,"&gt;0")=0,"",SUMIFS('Residual Calculation'!$X$5:$X$604,'Residual Calculation'!$A$5:$A$604,$A10,'Residual Calculation'!$D$5:$D$604,S$5)))</f>
        <v>4</v>
      </c>
      <c r="T10" s="31" t="n">
        <f aca="false">IF(COUNTIFS('Residual Calculation'!$A$5:$A$604,$A10,'Residual Calculation'!$D$5:$D$604,T$5,'Residual Calculation'!$G$5:$G$604,"N/A")&gt;0,"N/A",IF(COUNTIFS('Residual Calculation'!$A$5:$A$604,$A10,'Residual Calculation'!$D$5:$D$604,T$5,'Residual Calculation'!$X$5:$X$604,"&gt;0")=0,"",SUMIFS('Residual Calculation'!$X$5:$X$604,'Residual Calculation'!$A$5:$A$604,$A10,'Residual Calculation'!$D$5:$D$604,T$5)))</f>
        <v>1</v>
      </c>
      <c r="U10" s="31" t="n">
        <f aca="false">IF(COUNTIFS('Residual Calculation'!$A$5:$A$604,$A10,'Residual Calculation'!$D$5:$D$604,U$5,'Residual Calculation'!$G$5:$G$604,"N/A")&gt;0,"N/A",IF(COUNTIFS('Residual Calculation'!$A$5:$A$604,$A10,'Residual Calculation'!$D$5:$D$604,U$5,'Residual Calculation'!$X$5:$X$604,"&gt;0")=0,"",SUMIFS('Residual Calculation'!$X$5:$X$604,'Residual Calculation'!$A$5:$A$604,$A10,'Residual Calculation'!$D$5:$D$604,U$5)))</f>
        <v>1</v>
      </c>
      <c r="V10" s="31" t="n">
        <f aca="false">IF(COUNTIFS('Residual Calculation'!$A$5:$A$604,$A10,'Residual Calculation'!$D$5:$D$604,V$5,'Residual Calculation'!$G$5:$G$604,"N/A")&gt;0,"N/A",IF(COUNTIFS('Residual Calculation'!$A$5:$A$604,$A10,'Residual Calculation'!$D$5:$D$604,V$5,'Residual Calculation'!$X$5:$X$604,"&gt;0")=0,"",SUMIFS('Residual Calculation'!$X$5:$X$604,'Residual Calculation'!$A$5:$A$604,$A10,'Residual Calculation'!$D$5:$D$604,V$5)))</f>
        <v>1</v>
      </c>
      <c r="W10" s="34" t="n">
        <f aca="false">MAX(C10:V10)</f>
        <v>4</v>
      </c>
      <c r="X10" s="29" t="n">
        <f aca="false">IFERROR(AVERAGE(C10:V10),"")</f>
        <v>1.84210526315789</v>
      </c>
      <c r="Y10" s="31" t="n">
        <f aca="false">COUNTIFS('Residual Calculation'!$A$5:$A$604,$A10,'Residual Calculation'!$AC$5:$AC$604,"Amber")</f>
        <v>4</v>
      </c>
      <c r="Z10" s="31" t="n">
        <f aca="false">COUNTIFS('Residual Calculation'!$A$5:$A$604,$A10,'Residual Calculation'!$AC$5:$AC$604,"Red")</f>
        <v>0</v>
      </c>
    </row>
    <row r="11" customFormat="false" ht="15" hidden="false" customHeight="false" outlineLevel="0" collapsed="false">
      <c r="A11" s="26" t="str">
        <f aca="false">Entities!A10</f>
        <v>PS</v>
      </c>
      <c r="B11" s="26" t="str">
        <f aca="false">Entities!B10</f>
        <v>Arab Bank – Palestine</v>
      </c>
      <c r="C11" s="31" t="n">
        <f aca="false">IF(COUNTIFS('Residual Calculation'!$A$5:$A$604,$A11,'Residual Calculation'!$D$5:$D$604,C$5,'Residual Calculation'!$G$5:$G$604,"N/A")&gt;0,"N/A",IF(COUNTIFS('Residual Calculation'!$A$5:$A$604,$A11,'Residual Calculation'!$D$5:$D$604,C$5,'Residual Calculation'!$X$5:$X$604,"&gt;0")=0,"",SUMIFS('Residual Calculation'!$X$5:$X$604,'Residual Calculation'!$A$5:$A$604,$A11,'Residual Calculation'!$D$5:$D$604,C$5)))</f>
        <v>3</v>
      </c>
      <c r="D11" s="31" t="n">
        <f aca="false">IF(COUNTIFS('Residual Calculation'!$A$5:$A$604,$A11,'Residual Calculation'!$D$5:$D$604,D$5,'Residual Calculation'!$G$5:$G$604,"N/A")&gt;0,"N/A",IF(COUNTIFS('Residual Calculation'!$A$5:$A$604,$A11,'Residual Calculation'!$D$5:$D$604,D$5,'Residual Calculation'!$X$5:$X$604,"&gt;0")=0,"",SUMIFS('Residual Calculation'!$X$5:$X$604,'Residual Calculation'!$A$5:$A$604,$A11,'Residual Calculation'!$D$5:$D$604,D$5)))</f>
        <v>3</v>
      </c>
      <c r="E11" s="31" t="n">
        <f aca="false">IF(COUNTIFS('Residual Calculation'!$A$5:$A$604,$A11,'Residual Calculation'!$D$5:$D$604,E$5,'Residual Calculation'!$G$5:$G$604,"N/A")&gt;0,"N/A",IF(COUNTIFS('Residual Calculation'!$A$5:$A$604,$A11,'Residual Calculation'!$D$5:$D$604,E$5,'Residual Calculation'!$X$5:$X$604,"&gt;0")=0,"",SUMIFS('Residual Calculation'!$X$5:$X$604,'Residual Calculation'!$A$5:$A$604,$A11,'Residual Calculation'!$D$5:$D$604,E$5)))</f>
        <v>3</v>
      </c>
      <c r="F11" s="31" t="n">
        <f aca="false">IF(COUNTIFS('Residual Calculation'!$A$5:$A$604,$A11,'Residual Calculation'!$D$5:$D$604,F$5,'Residual Calculation'!$G$5:$G$604,"N/A")&gt;0,"N/A",IF(COUNTIFS('Residual Calculation'!$A$5:$A$604,$A11,'Residual Calculation'!$D$5:$D$604,F$5,'Residual Calculation'!$X$5:$X$604,"&gt;0")=0,"",SUMIFS('Residual Calculation'!$X$5:$X$604,'Residual Calculation'!$A$5:$A$604,$A11,'Residual Calculation'!$D$5:$D$604,F$5)))</f>
        <v>3</v>
      </c>
      <c r="G11" s="31" t="n">
        <f aca="false">IF(COUNTIFS('Residual Calculation'!$A$5:$A$604,$A11,'Residual Calculation'!$D$5:$D$604,G$5,'Residual Calculation'!$G$5:$G$604,"N/A")&gt;0,"N/A",IF(COUNTIFS('Residual Calculation'!$A$5:$A$604,$A11,'Residual Calculation'!$D$5:$D$604,G$5,'Residual Calculation'!$X$5:$X$604,"&gt;0")=0,"",SUMIFS('Residual Calculation'!$X$5:$X$604,'Residual Calculation'!$A$5:$A$604,$A11,'Residual Calculation'!$D$5:$D$604,G$5)))</f>
        <v>4</v>
      </c>
      <c r="H11" s="31" t="n">
        <f aca="false">IF(COUNTIFS('Residual Calculation'!$A$5:$A$604,$A11,'Residual Calculation'!$D$5:$D$604,H$5,'Residual Calculation'!$G$5:$G$604,"N/A")&gt;0,"N/A",IF(COUNTIFS('Residual Calculation'!$A$5:$A$604,$A11,'Residual Calculation'!$D$5:$D$604,H$5,'Residual Calculation'!$X$5:$X$604,"&gt;0")=0,"",SUMIFS('Residual Calculation'!$X$5:$X$604,'Residual Calculation'!$A$5:$A$604,$A11,'Residual Calculation'!$D$5:$D$604,H$5)))</f>
        <v>3</v>
      </c>
      <c r="I11" s="31" t="n">
        <f aca="false">IF(COUNTIFS('Residual Calculation'!$A$5:$A$604,$A11,'Residual Calculation'!$D$5:$D$604,I$5,'Residual Calculation'!$G$5:$G$604,"N/A")&gt;0,"N/A",IF(COUNTIFS('Residual Calculation'!$A$5:$A$604,$A11,'Residual Calculation'!$D$5:$D$604,I$5,'Residual Calculation'!$X$5:$X$604,"&gt;0")=0,"",SUMIFS('Residual Calculation'!$X$5:$X$604,'Residual Calculation'!$A$5:$A$604,$A11,'Residual Calculation'!$D$5:$D$604,I$5)))</f>
        <v>4</v>
      </c>
      <c r="J11" s="31" t="n">
        <f aca="false">IF(COUNTIFS('Residual Calculation'!$A$5:$A$604,$A11,'Residual Calculation'!$D$5:$D$604,J$5,'Residual Calculation'!$G$5:$G$604,"N/A")&gt;0,"N/A",IF(COUNTIFS('Residual Calculation'!$A$5:$A$604,$A11,'Residual Calculation'!$D$5:$D$604,J$5,'Residual Calculation'!$X$5:$X$604,"&gt;0")=0,"",SUMIFS('Residual Calculation'!$X$5:$X$604,'Residual Calculation'!$A$5:$A$604,$A11,'Residual Calculation'!$D$5:$D$604,J$5)))</f>
        <v>4</v>
      </c>
      <c r="K11" s="31" t="n">
        <f aca="false">IF(COUNTIFS('Residual Calculation'!$A$5:$A$604,$A11,'Residual Calculation'!$D$5:$D$604,K$5,'Residual Calculation'!$G$5:$G$604,"N/A")&gt;0,"N/A",IF(COUNTIFS('Residual Calculation'!$A$5:$A$604,$A11,'Residual Calculation'!$D$5:$D$604,K$5,'Residual Calculation'!$X$5:$X$604,"&gt;0")=0,"",SUMIFS('Residual Calculation'!$X$5:$X$604,'Residual Calculation'!$A$5:$A$604,$A11,'Residual Calculation'!$D$5:$D$604,K$5)))</f>
        <v>2</v>
      </c>
      <c r="L11" s="31" t="n">
        <f aca="false">IF(COUNTIFS('Residual Calculation'!$A$5:$A$604,$A11,'Residual Calculation'!$D$5:$D$604,L$5,'Residual Calculation'!$G$5:$G$604,"N/A")&gt;0,"N/A",IF(COUNTIFS('Residual Calculation'!$A$5:$A$604,$A11,'Residual Calculation'!$D$5:$D$604,L$5,'Residual Calculation'!$X$5:$X$604,"&gt;0")=0,"",SUMIFS('Residual Calculation'!$X$5:$X$604,'Residual Calculation'!$A$5:$A$604,$A11,'Residual Calculation'!$D$5:$D$604,L$5)))</f>
        <v>4</v>
      </c>
      <c r="M11" s="31" t="str">
        <f aca="false">IF(COUNTIFS('Residual Calculation'!$A$5:$A$604,$A11,'Residual Calculation'!$D$5:$D$604,M$5,'Residual Calculation'!$G$5:$G$604,"N/A")&gt;0,"N/A",IF(COUNTIFS('Residual Calculation'!$A$5:$A$604,$A11,'Residual Calculation'!$D$5:$D$604,M$5,'Residual Calculation'!$X$5:$X$604,"&gt;0")=0,"",SUMIFS('Residual Calculation'!$X$5:$X$604,'Residual Calculation'!$A$5:$A$604,$A11,'Residual Calculation'!$D$5:$D$604,M$5)))</f>
        <v>N/A</v>
      </c>
      <c r="N11" s="31" t="n">
        <f aca="false">IF(COUNTIFS('Residual Calculation'!$A$5:$A$604,$A11,'Residual Calculation'!$D$5:$D$604,N$5,'Residual Calculation'!$G$5:$G$604,"N/A")&gt;0,"N/A",IF(COUNTIFS('Residual Calculation'!$A$5:$A$604,$A11,'Residual Calculation'!$D$5:$D$604,N$5,'Residual Calculation'!$X$5:$X$604,"&gt;0")=0,"",SUMIFS('Residual Calculation'!$X$5:$X$604,'Residual Calculation'!$A$5:$A$604,$A11,'Residual Calculation'!$D$5:$D$604,N$5)))</f>
        <v>4</v>
      </c>
      <c r="O11" s="31" t="n">
        <f aca="false">IF(COUNTIFS('Residual Calculation'!$A$5:$A$604,$A11,'Residual Calculation'!$D$5:$D$604,O$5,'Residual Calculation'!$G$5:$G$604,"N/A")&gt;0,"N/A",IF(COUNTIFS('Residual Calculation'!$A$5:$A$604,$A11,'Residual Calculation'!$D$5:$D$604,O$5,'Residual Calculation'!$X$5:$X$604,"&gt;0")=0,"",SUMIFS('Residual Calculation'!$X$5:$X$604,'Residual Calculation'!$A$5:$A$604,$A11,'Residual Calculation'!$D$5:$D$604,O$5)))</f>
        <v>4</v>
      </c>
      <c r="P11" s="31" t="n">
        <f aca="false">IF(COUNTIFS('Residual Calculation'!$A$5:$A$604,$A11,'Residual Calculation'!$D$5:$D$604,P$5,'Residual Calculation'!$G$5:$G$604,"N/A")&gt;0,"N/A",IF(COUNTIFS('Residual Calculation'!$A$5:$A$604,$A11,'Residual Calculation'!$D$5:$D$604,P$5,'Residual Calculation'!$X$5:$X$604,"&gt;0")=0,"",SUMIFS('Residual Calculation'!$X$5:$X$604,'Residual Calculation'!$A$5:$A$604,$A11,'Residual Calculation'!$D$5:$D$604,P$5)))</f>
        <v>4</v>
      </c>
      <c r="Q11" s="31" t="n">
        <f aca="false">IF(COUNTIFS('Residual Calculation'!$A$5:$A$604,$A11,'Residual Calculation'!$D$5:$D$604,Q$5,'Residual Calculation'!$G$5:$G$604,"N/A")&gt;0,"N/A",IF(COUNTIFS('Residual Calculation'!$A$5:$A$604,$A11,'Residual Calculation'!$D$5:$D$604,Q$5,'Residual Calculation'!$X$5:$X$604,"&gt;0")=0,"",SUMIFS('Residual Calculation'!$X$5:$X$604,'Residual Calculation'!$A$5:$A$604,$A11,'Residual Calculation'!$D$5:$D$604,Q$5)))</f>
        <v>4</v>
      </c>
      <c r="R11" s="31" t="n">
        <f aca="false">IF(COUNTIFS('Residual Calculation'!$A$5:$A$604,$A11,'Residual Calculation'!$D$5:$D$604,R$5,'Residual Calculation'!$G$5:$G$604,"N/A")&gt;0,"N/A",IF(COUNTIFS('Residual Calculation'!$A$5:$A$604,$A11,'Residual Calculation'!$D$5:$D$604,R$5,'Residual Calculation'!$X$5:$X$604,"&gt;0")=0,"",SUMIFS('Residual Calculation'!$X$5:$X$604,'Residual Calculation'!$A$5:$A$604,$A11,'Residual Calculation'!$D$5:$D$604,R$5)))</f>
        <v>5</v>
      </c>
      <c r="S11" s="31" t="n">
        <f aca="false">IF(COUNTIFS('Residual Calculation'!$A$5:$A$604,$A11,'Residual Calculation'!$D$5:$D$604,S$5,'Residual Calculation'!$G$5:$G$604,"N/A")&gt;0,"N/A",IF(COUNTIFS('Residual Calculation'!$A$5:$A$604,$A11,'Residual Calculation'!$D$5:$D$604,S$5,'Residual Calculation'!$X$5:$X$604,"&gt;0")=0,"",SUMIFS('Residual Calculation'!$X$5:$X$604,'Residual Calculation'!$A$5:$A$604,$A11,'Residual Calculation'!$D$5:$D$604,S$5)))</f>
        <v>4</v>
      </c>
      <c r="T11" s="31" t="n">
        <f aca="false">IF(COUNTIFS('Residual Calculation'!$A$5:$A$604,$A11,'Residual Calculation'!$D$5:$D$604,T$5,'Residual Calculation'!$G$5:$G$604,"N/A")&gt;0,"N/A",IF(COUNTIFS('Residual Calculation'!$A$5:$A$604,$A11,'Residual Calculation'!$D$5:$D$604,T$5,'Residual Calculation'!$X$5:$X$604,"&gt;0")=0,"",SUMIFS('Residual Calculation'!$X$5:$X$604,'Residual Calculation'!$A$5:$A$604,$A11,'Residual Calculation'!$D$5:$D$604,T$5)))</f>
        <v>5</v>
      </c>
      <c r="U11" s="31" t="n">
        <f aca="false">IF(COUNTIFS('Residual Calculation'!$A$5:$A$604,$A11,'Residual Calculation'!$D$5:$D$604,U$5,'Residual Calculation'!$G$5:$G$604,"N/A")&gt;0,"N/A",IF(COUNTIFS('Residual Calculation'!$A$5:$A$604,$A11,'Residual Calculation'!$D$5:$D$604,U$5,'Residual Calculation'!$X$5:$X$604,"&gt;0")=0,"",SUMIFS('Residual Calculation'!$X$5:$X$604,'Residual Calculation'!$A$5:$A$604,$A11,'Residual Calculation'!$D$5:$D$604,U$5)))</f>
        <v>4</v>
      </c>
      <c r="V11" s="31" t="n">
        <f aca="false">IF(COUNTIFS('Residual Calculation'!$A$5:$A$604,$A11,'Residual Calculation'!$D$5:$D$604,V$5,'Residual Calculation'!$G$5:$G$604,"N/A")&gt;0,"N/A",IF(COUNTIFS('Residual Calculation'!$A$5:$A$604,$A11,'Residual Calculation'!$D$5:$D$604,V$5,'Residual Calculation'!$X$5:$X$604,"&gt;0")=0,"",SUMIFS('Residual Calculation'!$X$5:$X$604,'Residual Calculation'!$A$5:$A$604,$A11,'Residual Calculation'!$D$5:$D$604,V$5)))</f>
        <v>4</v>
      </c>
      <c r="W11" s="34" t="n">
        <f aca="false">MAX(C11:V11)</f>
        <v>5</v>
      </c>
      <c r="X11" s="29" t="n">
        <f aca="false">IFERROR(AVERAGE(C11:V11),"")</f>
        <v>3.73684210526316</v>
      </c>
      <c r="Y11" s="31" t="n">
        <f aca="false">COUNTIFS('Residual Calculation'!$A$5:$A$604,$A11,'Residual Calculation'!$AC$5:$AC$604,"Amber")</f>
        <v>5</v>
      </c>
      <c r="Z11" s="31" t="n">
        <f aca="false">COUNTIFS('Residual Calculation'!$A$5:$A$604,$A11,'Residual Calculation'!$AC$5:$AC$604,"Red")</f>
        <v>9</v>
      </c>
    </row>
    <row r="12" customFormat="false" ht="15" hidden="false" customHeight="false" outlineLevel="0" collapsed="false">
      <c r="A12" s="26" t="str">
        <f aca="false">Entities!A11</f>
        <v>PS-INV</v>
      </c>
      <c r="B12" s="26" t="str">
        <f aca="false">Entities!B11</f>
        <v>Al-Arabi Investment Group – Palestine</v>
      </c>
      <c r="C12" s="31" t="n">
        <f aca="false">IF(COUNTIFS('Residual Calculation'!$A$5:$A$604,$A12,'Residual Calculation'!$D$5:$D$604,C$5,'Residual Calculation'!$G$5:$G$604,"N/A")&gt;0,"N/A",IF(COUNTIFS('Residual Calculation'!$A$5:$A$604,$A12,'Residual Calculation'!$D$5:$D$604,C$5,'Residual Calculation'!$X$5:$X$604,"&gt;0")=0,"",SUMIFS('Residual Calculation'!$X$5:$X$604,'Residual Calculation'!$A$5:$A$604,$A12,'Residual Calculation'!$D$5:$D$604,C$5)))</f>
        <v>4</v>
      </c>
      <c r="D12" s="31" t="n">
        <f aca="false">IF(COUNTIFS('Residual Calculation'!$A$5:$A$604,$A12,'Residual Calculation'!$D$5:$D$604,D$5,'Residual Calculation'!$G$5:$G$604,"N/A")&gt;0,"N/A",IF(COUNTIFS('Residual Calculation'!$A$5:$A$604,$A12,'Residual Calculation'!$D$5:$D$604,D$5,'Residual Calculation'!$X$5:$X$604,"&gt;0")=0,"",SUMIFS('Residual Calculation'!$X$5:$X$604,'Residual Calculation'!$A$5:$A$604,$A12,'Residual Calculation'!$D$5:$D$604,D$5)))</f>
        <v>3</v>
      </c>
      <c r="E12" s="31" t="n">
        <f aca="false">IF(COUNTIFS('Residual Calculation'!$A$5:$A$604,$A12,'Residual Calculation'!$D$5:$D$604,E$5,'Residual Calculation'!$G$5:$G$604,"N/A")&gt;0,"N/A",IF(COUNTIFS('Residual Calculation'!$A$5:$A$604,$A12,'Residual Calculation'!$D$5:$D$604,E$5,'Residual Calculation'!$X$5:$X$604,"&gt;0")=0,"",SUMIFS('Residual Calculation'!$X$5:$X$604,'Residual Calculation'!$A$5:$A$604,$A12,'Residual Calculation'!$D$5:$D$604,E$5)))</f>
        <v>3</v>
      </c>
      <c r="F12" s="31" t="n">
        <f aca="false">IF(COUNTIFS('Residual Calculation'!$A$5:$A$604,$A12,'Residual Calculation'!$D$5:$D$604,F$5,'Residual Calculation'!$G$5:$G$604,"N/A")&gt;0,"N/A",IF(COUNTIFS('Residual Calculation'!$A$5:$A$604,$A12,'Residual Calculation'!$D$5:$D$604,F$5,'Residual Calculation'!$X$5:$X$604,"&gt;0")=0,"",SUMIFS('Residual Calculation'!$X$5:$X$604,'Residual Calculation'!$A$5:$A$604,$A12,'Residual Calculation'!$D$5:$D$604,F$5)))</f>
        <v>3</v>
      </c>
      <c r="G12" s="31" t="n">
        <f aca="false">IF(COUNTIFS('Residual Calculation'!$A$5:$A$604,$A12,'Residual Calculation'!$D$5:$D$604,G$5,'Residual Calculation'!$G$5:$G$604,"N/A")&gt;0,"N/A",IF(COUNTIFS('Residual Calculation'!$A$5:$A$604,$A12,'Residual Calculation'!$D$5:$D$604,G$5,'Residual Calculation'!$X$5:$X$604,"&gt;0")=0,"",SUMIFS('Residual Calculation'!$X$5:$X$604,'Residual Calculation'!$A$5:$A$604,$A12,'Residual Calculation'!$D$5:$D$604,G$5)))</f>
        <v>4</v>
      </c>
      <c r="H12" s="31" t="n">
        <f aca="false">IF(COUNTIFS('Residual Calculation'!$A$5:$A$604,$A12,'Residual Calculation'!$D$5:$D$604,H$5,'Residual Calculation'!$G$5:$G$604,"N/A")&gt;0,"N/A",IF(COUNTIFS('Residual Calculation'!$A$5:$A$604,$A12,'Residual Calculation'!$D$5:$D$604,H$5,'Residual Calculation'!$X$5:$X$604,"&gt;0")=0,"",SUMIFS('Residual Calculation'!$X$5:$X$604,'Residual Calculation'!$A$5:$A$604,$A12,'Residual Calculation'!$D$5:$D$604,H$5)))</f>
        <v>3</v>
      </c>
      <c r="I12" s="31" t="n">
        <f aca="false">IF(COUNTIFS('Residual Calculation'!$A$5:$A$604,$A12,'Residual Calculation'!$D$5:$D$604,I$5,'Residual Calculation'!$G$5:$G$604,"N/A")&gt;0,"N/A",IF(COUNTIFS('Residual Calculation'!$A$5:$A$604,$A12,'Residual Calculation'!$D$5:$D$604,I$5,'Residual Calculation'!$X$5:$X$604,"&gt;0")=0,"",SUMIFS('Residual Calculation'!$X$5:$X$604,'Residual Calculation'!$A$5:$A$604,$A12,'Residual Calculation'!$D$5:$D$604,I$5)))</f>
        <v>4</v>
      </c>
      <c r="J12" s="31" t="n">
        <f aca="false">IF(COUNTIFS('Residual Calculation'!$A$5:$A$604,$A12,'Residual Calculation'!$D$5:$D$604,J$5,'Residual Calculation'!$G$5:$G$604,"N/A")&gt;0,"N/A",IF(COUNTIFS('Residual Calculation'!$A$5:$A$604,$A12,'Residual Calculation'!$D$5:$D$604,J$5,'Residual Calculation'!$X$5:$X$604,"&gt;0")=0,"",SUMIFS('Residual Calculation'!$X$5:$X$604,'Residual Calculation'!$A$5:$A$604,$A12,'Residual Calculation'!$D$5:$D$604,J$5)))</f>
        <v>5</v>
      </c>
      <c r="K12" s="31" t="n">
        <f aca="false">IF(COUNTIFS('Residual Calculation'!$A$5:$A$604,$A12,'Residual Calculation'!$D$5:$D$604,K$5,'Residual Calculation'!$G$5:$G$604,"N/A")&gt;0,"N/A",IF(COUNTIFS('Residual Calculation'!$A$5:$A$604,$A12,'Residual Calculation'!$D$5:$D$604,K$5,'Residual Calculation'!$X$5:$X$604,"&gt;0")=0,"",SUMIFS('Residual Calculation'!$X$5:$X$604,'Residual Calculation'!$A$5:$A$604,$A12,'Residual Calculation'!$D$5:$D$604,K$5)))</f>
        <v>5</v>
      </c>
      <c r="L12" s="31" t="n">
        <f aca="false">IF(COUNTIFS('Residual Calculation'!$A$5:$A$604,$A12,'Residual Calculation'!$D$5:$D$604,L$5,'Residual Calculation'!$G$5:$G$604,"N/A")&gt;0,"N/A",IF(COUNTIFS('Residual Calculation'!$A$5:$A$604,$A12,'Residual Calculation'!$D$5:$D$604,L$5,'Residual Calculation'!$X$5:$X$604,"&gt;0")=0,"",SUMIFS('Residual Calculation'!$X$5:$X$604,'Residual Calculation'!$A$5:$A$604,$A12,'Residual Calculation'!$D$5:$D$604,L$5)))</f>
        <v>4</v>
      </c>
      <c r="M12" s="31" t="str">
        <f aca="false">IF(COUNTIFS('Residual Calculation'!$A$5:$A$604,$A12,'Residual Calculation'!$D$5:$D$604,M$5,'Residual Calculation'!$G$5:$G$604,"N/A")&gt;0,"N/A",IF(COUNTIFS('Residual Calculation'!$A$5:$A$604,$A12,'Residual Calculation'!$D$5:$D$604,M$5,'Residual Calculation'!$X$5:$X$604,"&gt;0")=0,"",SUMIFS('Residual Calculation'!$X$5:$X$604,'Residual Calculation'!$A$5:$A$604,$A12,'Residual Calculation'!$D$5:$D$604,M$5)))</f>
        <v>N/A</v>
      </c>
      <c r="N12" s="31" t="n">
        <f aca="false">IF(COUNTIFS('Residual Calculation'!$A$5:$A$604,$A12,'Residual Calculation'!$D$5:$D$604,N$5,'Residual Calculation'!$G$5:$G$604,"N/A")&gt;0,"N/A",IF(COUNTIFS('Residual Calculation'!$A$5:$A$604,$A12,'Residual Calculation'!$D$5:$D$604,N$5,'Residual Calculation'!$X$5:$X$604,"&gt;0")=0,"",SUMIFS('Residual Calculation'!$X$5:$X$604,'Residual Calculation'!$A$5:$A$604,$A12,'Residual Calculation'!$D$5:$D$604,N$5)))</f>
        <v>4</v>
      </c>
      <c r="O12" s="31" t="n">
        <f aca="false">IF(COUNTIFS('Residual Calculation'!$A$5:$A$604,$A12,'Residual Calculation'!$D$5:$D$604,O$5,'Residual Calculation'!$G$5:$G$604,"N/A")&gt;0,"N/A",IF(COUNTIFS('Residual Calculation'!$A$5:$A$604,$A12,'Residual Calculation'!$D$5:$D$604,O$5,'Residual Calculation'!$X$5:$X$604,"&gt;0")=0,"",SUMIFS('Residual Calculation'!$X$5:$X$604,'Residual Calculation'!$A$5:$A$604,$A12,'Residual Calculation'!$D$5:$D$604,O$5)))</f>
        <v>3</v>
      </c>
      <c r="P12" s="31" t="n">
        <f aca="false">IF(COUNTIFS('Residual Calculation'!$A$5:$A$604,$A12,'Residual Calculation'!$D$5:$D$604,P$5,'Residual Calculation'!$G$5:$G$604,"N/A")&gt;0,"N/A",IF(COUNTIFS('Residual Calculation'!$A$5:$A$604,$A12,'Residual Calculation'!$D$5:$D$604,P$5,'Residual Calculation'!$X$5:$X$604,"&gt;0")=0,"",SUMIFS('Residual Calculation'!$X$5:$X$604,'Residual Calculation'!$A$5:$A$604,$A12,'Residual Calculation'!$D$5:$D$604,P$5)))</f>
        <v>2</v>
      </c>
      <c r="Q12" s="31" t="n">
        <f aca="false">IF(COUNTIFS('Residual Calculation'!$A$5:$A$604,$A12,'Residual Calculation'!$D$5:$D$604,Q$5,'Residual Calculation'!$G$5:$G$604,"N/A")&gt;0,"N/A",IF(COUNTIFS('Residual Calculation'!$A$5:$A$604,$A12,'Residual Calculation'!$D$5:$D$604,Q$5,'Residual Calculation'!$X$5:$X$604,"&gt;0")=0,"",SUMIFS('Residual Calculation'!$X$5:$X$604,'Residual Calculation'!$A$5:$A$604,$A12,'Residual Calculation'!$D$5:$D$604,Q$5)))</f>
        <v>4</v>
      </c>
      <c r="R12" s="31" t="n">
        <f aca="false">IF(COUNTIFS('Residual Calculation'!$A$5:$A$604,$A12,'Residual Calculation'!$D$5:$D$604,R$5,'Residual Calculation'!$G$5:$G$604,"N/A")&gt;0,"N/A",IF(COUNTIFS('Residual Calculation'!$A$5:$A$604,$A12,'Residual Calculation'!$D$5:$D$604,R$5,'Residual Calculation'!$X$5:$X$604,"&gt;0")=0,"",SUMIFS('Residual Calculation'!$X$5:$X$604,'Residual Calculation'!$A$5:$A$604,$A12,'Residual Calculation'!$D$5:$D$604,R$5)))</f>
        <v>4</v>
      </c>
      <c r="S12" s="31" t="n">
        <f aca="false">IF(COUNTIFS('Residual Calculation'!$A$5:$A$604,$A12,'Residual Calculation'!$D$5:$D$604,S$5,'Residual Calculation'!$G$5:$G$604,"N/A")&gt;0,"N/A",IF(COUNTIFS('Residual Calculation'!$A$5:$A$604,$A12,'Residual Calculation'!$D$5:$D$604,S$5,'Residual Calculation'!$X$5:$X$604,"&gt;0")=0,"",SUMIFS('Residual Calculation'!$X$5:$X$604,'Residual Calculation'!$A$5:$A$604,$A12,'Residual Calculation'!$D$5:$D$604,S$5)))</f>
        <v>4</v>
      </c>
      <c r="T12" s="31" t="n">
        <f aca="false">IF(COUNTIFS('Residual Calculation'!$A$5:$A$604,$A12,'Residual Calculation'!$D$5:$D$604,T$5,'Residual Calculation'!$G$5:$G$604,"N/A")&gt;0,"N/A",IF(COUNTIFS('Residual Calculation'!$A$5:$A$604,$A12,'Residual Calculation'!$D$5:$D$604,T$5,'Residual Calculation'!$X$5:$X$604,"&gt;0")=0,"",SUMIFS('Residual Calculation'!$X$5:$X$604,'Residual Calculation'!$A$5:$A$604,$A12,'Residual Calculation'!$D$5:$D$604,T$5)))</f>
        <v>4</v>
      </c>
      <c r="U12" s="31" t="n">
        <f aca="false">IF(COUNTIFS('Residual Calculation'!$A$5:$A$604,$A12,'Residual Calculation'!$D$5:$D$604,U$5,'Residual Calculation'!$G$5:$G$604,"N/A")&gt;0,"N/A",IF(COUNTIFS('Residual Calculation'!$A$5:$A$604,$A12,'Residual Calculation'!$D$5:$D$604,U$5,'Residual Calculation'!$X$5:$X$604,"&gt;0")=0,"",SUMIFS('Residual Calculation'!$X$5:$X$604,'Residual Calculation'!$A$5:$A$604,$A12,'Residual Calculation'!$D$5:$D$604,U$5)))</f>
        <v>4</v>
      </c>
      <c r="V12" s="31" t="n">
        <f aca="false">IF(COUNTIFS('Residual Calculation'!$A$5:$A$604,$A12,'Residual Calculation'!$D$5:$D$604,V$5,'Residual Calculation'!$G$5:$G$604,"N/A")&gt;0,"N/A",IF(COUNTIFS('Residual Calculation'!$A$5:$A$604,$A12,'Residual Calculation'!$D$5:$D$604,V$5,'Residual Calculation'!$X$5:$X$604,"&gt;0")=0,"",SUMIFS('Residual Calculation'!$X$5:$X$604,'Residual Calculation'!$A$5:$A$604,$A12,'Residual Calculation'!$D$5:$D$604,V$5)))</f>
        <v>5</v>
      </c>
      <c r="W12" s="34" t="n">
        <f aca="false">MAX(C12:V12)</f>
        <v>5</v>
      </c>
      <c r="X12" s="29" t="n">
        <f aca="false">IFERROR(AVERAGE(C12:V12),"")</f>
        <v>3.78947368421053</v>
      </c>
      <c r="Y12" s="31" t="n">
        <f aca="false">COUNTIFS('Residual Calculation'!$A$5:$A$604,$A12,'Residual Calculation'!$AC$5:$AC$604,"Amber")</f>
        <v>4</v>
      </c>
      <c r="Z12" s="31" t="n">
        <f aca="false">COUNTIFS('Residual Calculation'!$A$5:$A$604,$A12,'Residual Calculation'!$AC$5:$AC$604,"Red")</f>
        <v>11</v>
      </c>
    </row>
    <row r="13" customFormat="false" ht="15" hidden="false" customHeight="false" outlineLevel="0" collapsed="false">
      <c r="A13" s="26" t="str">
        <f aca="false">Entities!A12</f>
        <v>LB</v>
      </c>
      <c r="B13" s="26" t="str">
        <f aca="false">Entities!B12</f>
        <v>Arab Bank – Lebanon</v>
      </c>
      <c r="C13" s="31" t="n">
        <f aca="false">IF(COUNTIFS('Residual Calculation'!$A$5:$A$604,$A13,'Residual Calculation'!$D$5:$D$604,C$5,'Residual Calculation'!$G$5:$G$604,"N/A")&gt;0,"N/A",IF(COUNTIFS('Residual Calculation'!$A$5:$A$604,$A13,'Residual Calculation'!$D$5:$D$604,C$5,'Residual Calculation'!$X$5:$X$604,"&gt;0")=0,"",SUMIFS('Residual Calculation'!$X$5:$X$604,'Residual Calculation'!$A$5:$A$604,$A13,'Residual Calculation'!$D$5:$D$604,C$5)))</f>
        <v>4</v>
      </c>
      <c r="D13" s="31" t="n">
        <f aca="false">IF(COUNTIFS('Residual Calculation'!$A$5:$A$604,$A13,'Residual Calculation'!$D$5:$D$604,D$5,'Residual Calculation'!$G$5:$G$604,"N/A")&gt;0,"N/A",IF(COUNTIFS('Residual Calculation'!$A$5:$A$604,$A13,'Residual Calculation'!$D$5:$D$604,D$5,'Residual Calculation'!$X$5:$X$604,"&gt;0")=0,"",SUMIFS('Residual Calculation'!$X$5:$X$604,'Residual Calculation'!$A$5:$A$604,$A13,'Residual Calculation'!$D$5:$D$604,D$5)))</f>
        <v>4</v>
      </c>
      <c r="E13" s="31" t="n">
        <f aca="false">IF(COUNTIFS('Residual Calculation'!$A$5:$A$604,$A13,'Residual Calculation'!$D$5:$D$604,E$5,'Residual Calculation'!$G$5:$G$604,"N/A")&gt;0,"N/A",IF(COUNTIFS('Residual Calculation'!$A$5:$A$604,$A13,'Residual Calculation'!$D$5:$D$604,E$5,'Residual Calculation'!$X$5:$X$604,"&gt;0")=0,"",SUMIFS('Residual Calculation'!$X$5:$X$604,'Residual Calculation'!$A$5:$A$604,$A13,'Residual Calculation'!$D$5:$D$604,E$5)))</f>
        <v>4</v>
      </c>
      <c r="F13" s="31" t="n">
        <f aca="false">IF(COUNTIFS('Residual Calculation'!$A$5:$A$604,$A13,'Residual Calculation'!$D$5:$D$604,F$5,'Residual Calculation'!$G$5:$G$604,"N/A")&gt;0,"N/A",IF(COUNTIFS('Residual Calculation'!$A$5:$A$604,$A13,'Residual Calculation'!$D$5:$D$604,F$5,'Residual Calculation'!$X$5:$X$604,"&gt;0")=0,"",SUMIFS('Residual Calculation'!$X$5:$X$604,'Residual Calculation'!$A$5:$A$604,$A13,'Residual Calculation'!$D$5:$D$604,F$5)))</f>
        <v>4</v>
      </c>
      <c r="G13" s="31" t="n">
        <f aca="false">IF(COUNTIFS('Residual Calculation'!$A$5:$A$604,$A13,'Residual Calculation'!$D$5:$D$604,G$5,'Residual Calculation'!$G$5:$G$604,"N/A")&gt;0,"N/A",IF(COUNTIFS('Residual Calculation'!$A$5:$A$604,$A13,'Residual Calculation'!$D$5:$D$604,G$5,'Residual Calculation'!$X$5:$X$604,"&gt;0")=0,"",SUMIFS('Residual Calculation'!$X$5:$X$604,'Residual Calculation'!$A$5:$A$604,$A13,'Residual Calculation'!$D$5:$D$604,G$5)))</f>
        <v>3</v>
      </c>
      <c r="H13" s="31" t="n">
        <f aca="false">IF(COUNTIFS('Residual Calculation'!$A$5:$A$604,$A13,'Residual Calculation'!$D$5:$D$604,H$5,'Residual Calculation'!$G$5:$G$604,"N/A")&gt;0,"N/A",IF(COUNTIFS('Residual Calculation'!$A$5:$A$604,$A13,'Residual Calculation'!$D$5:$D$604,H$5,'Residual Calculation'!$X$5:$X$604,"&gt;0")=0,"",SUMIFS('Residual Calculation'!$X$5:$X$604,'Residual Calculation'!$A$5:$A$604,$A13,'Residual Calculation'!$D$5:$D$604,H$5)))</f>
        <v>3</v>
      </c>
      <c r="I13" s="31" t="n">
        <f aca="false">IF(COUNTIFS('Residual Calculation'!$A$5:$A$604,$A13,'Residual Calculation'!$D$5:$D$604,I$5,'Residual Calculation'!$G$5:$G$604,"N/A")&gt;0,"N/A",IF(COUNTIFS('Residual Calculation'!$A$5:$A$604,$A13,'Residual Calculation'!$D$5:$D$604,I$5,'Residual Calculation'!$X$5:$X$604,"&gt;0")=0,"",SUMIFS('Residual Calculation'!$X$5:$X$604,'Residual Calculation'!$A$5:$A$604,$A13,'Residual Calculation'!$D$5:$D$604,I$5)))</f>
        <v>4</v>
      </c>
      <c r="J13" s="31" t="n">
        <f aca="false">IF(COUNTIFS('Residual Calculation'!$A$5:$A$604,$A13,'Residual Calculation'!$D$5:$D$604,J$5,'Residual Calculation'!$G$5:$G$604,"N/A")&gt;0,"N/A",IF(COUNTIFS('Residual Calculation'!$A$5:$A$604,$A13,'Residual Calculation'!$D$5:$D$604,J$5,'Residual Calculation'!$X$5:$X$604,"&gt;0")=0,"",SUMIFS('Residual Calculation'!$X$5:$X$604,'Residual Calculation'!$A$5:$A$604,$A13,'Residual Calculation'!$D$5:$D$604,J$5)))</f>
        <v>4</v>
      </c>
      <c r="K13" s="31" t="n">
        <f aca="false">IF(COUNTIFS('Residual Calculation'!$A$5:$A$604,$A13,'Residual Calculation'!$D$5:$D$604,K$5,'Residual Calculation'!$G$5:$G$604,"N/A")&gt;0,"N/A",IF(COUNTIFS('Residual Calculation'!$A$5:$A$604,$A13,'Residual Calculation'!$D$5:$D$604,K$5,'Residual Calculation'!$X$5:$X$604,"&gt;0")=0,"",SUMIFS('Residual Calculation'!$X$5:$X$604,'Residual Calculation'!$A$5:$A$604,$A13,'Residual Calculation'!$D$5:$D$604,K$5)))</f>
        <v>4</v>
      </c>
      <c r="L13" s="31" t="n">
        <f aca="false">IF(COUNTIFS('Residual Calculation'!$A$5:$A$604,$A13,'Residual Calculation'!$D$5:$D$604,L$5,'Residual Calculation'!$G$5:$G$604,"N/A")&gt;0,"N/A",IF(COUNTIFS('Residual Calculation'!$A$5:$A$604,$A13,'Residual Calculation'!$D$5:$D$604,L$5,'Residual Calculation'!$X$5:$X$604,"&gt;0")=0,"",SUMIFS('Residual Calculation'!$X$5:$X$604,'Residual Calculation'!$A$5:$A$604,$A13,'Residual Calculation'!$D$5:$D$604,L$5)))</f>
        <v>5</v>
      </c>
      <c r="M13" s="31" t="str">
        <f aca="false">IF(COUNTIFS('Residual Calculation'!$A$5:$A$604,$A13,'Residual Calculation'!$D$5:$D$604,M$5,'Residual Calculation'!$G$5:$G$604,"N/A")&gt;0,"N/A",IF(COUNTIFS('Residual Calculation'!$A$5:$A$604,$A13,'Residual Calculation'!$D$5:$D$604,M$5,'Residual Calculation'!$X$5:$X$604,"&gt;0")=0,"",SUMIFS('Residual Calculation'!$X$5:$X$604,'Residual Calculation'!$A$5:$A$604,$A13,'Residual Calculation'!$D$5:$D$604,M$5)))</f>
        <v>N/A</v>
      </c>
      <c r="N13" s="31" t="n">
        <f aca="false">IF(COUNTIFS('Residual Calculation'!$A$5:$A$604,$A13,'Residual Calculation'!$D$5:$D$604,N$5,'Residual Calculation'!$G$5:$G$604,"N/A")&gt;0,"N/A",IF(COUNTIFS('Residual Calculation'!$A$5:$A$604,$A13,'Residual Calculation'!$D$5:$D$604,N$5,'Residual Calculation'!$X$5:$X$604,"&gt;0")=0,"",SUMIFS('Residual Calculation'!$X$5:$X$604,'Residual Calculation'!$A$5:$A$604,$A13,'Residual Calculation'!$D$5:$D$604,N$5)))</f>
        <v>4</v>
      </c>
      <c r="O13" s="31" t="n">
        <f aca="false">IF(COUNTIFS('Residual Calculation'!$A$5:$A$604,$A13,'Residual Calculation'!$D$5:$D$604,O$5,'Residual Calculation'!$G$5:$G$604,"N/A")&gt;0,"N/A",IF(COUNTIFS('Residual Calculation'!$A$5:$A$604,$A13,'Residual Calculation'!$D$5:$D$604,O$5,'Residual Calculation'!$X$5:$X$604,"&gt;0")=0,"",SUMIFS('Residual Calculation'!$X$5:$X$604,'Residual Calculation'!$A$5:$A$604,$A13,'Residual Calculation'!$D$5:$D$604,O$5)))</f>
        <v>4</v>
      </c>
      <c r="P13" s="31" t="n">
        <f aca="false">IF(COUNTIFS('Residual Calculation'!$A$5:$A$604,$A13,'Residual Calculation'!$D$5:$D$604,P$5,'Residual Calculation'!$G$5:$G$604,"N/A")&gt;0,"N/A",IF(COUNTIFS('Residual Calculation'!$A$5:$A$604,$A13,'Residual Calculation'!$D$5:$D$604,P$5,'Residual Calculation'!$X$5:$X$604,"&gt;0")=0,"",SUMIFS('Residual Calculation'!$X$5:$X$604,'Residual Calculation'!$A$5:$A$604,$A13,'Residual Calculation'!$D$5:$D$604,P$5)))</f>
        <v>5</v>
      </c>
      <c r="Q13" s="31" t="n">
        <f aca="false">IF(COUNTIFS('Residual Calculation'!$A$5:$A$604,$A13,'Residual Calculation'!$D$5:$D$604,Q$5,'Residual Calculation'!$G$5:$G$604,"N/A")&gt;0,"N/A",IF(COUNTIFS('Residual Calculation'!$A$5:$A$604,$A13,'Residual Calculation'!$D$5:$D$604,Q$5,'Residual Calculation'!$X$5:$X$604,"&gt;0")=0,"",SUMIFS('Residual Calculation'!$X$5:$X$604,'Residual Calculation'!$A$5:$A$604,$A13,'Residual Calculation'!$D$5:$D$604,Q$5)))</f>
        <v>4</v>
      </c>
      <c r="R13" s="31" t="n">
        <f aca="false">IF(COUNTIFS('Residual Calculation'!$A$5:$A$604,$A13,'Residual Calculation'!$D$5:$D$604,R$5,'Residual Calculation'!$G$5:$G$604,"N/A")&gt;0,"N/A",IF(COUNTIFS('Residual Calculation'!$A$5:$A$604,$A13,'Residual Calculation'!$D$5:$D$604,R$5,'Residual Calculation'!$X$5:$X$604,"&gt;0")=0,"",SUMIFS('Residual Calculation'!$X$5:$X$604,'Residual Calculation'!$A$5:$A$604,$A13,'Residual Calculation'!$D$5:$D$604,R$5)))</f>
        <v>3</v>
      </c>
      <c r="S13" s="31" t="n">
        <f aca="false">IF(COUNTIFS('Residual Calculation'!$A$5:$A$604,$A13,'Residual Calculation'!$D$5:$D$604,S$5,'Residual Calculation'!$G$5:$G$604,"N/A")&gt;0,"N/A",IF(COUNTIFS('Residual Calculation'!$A$5:$A$604,$A13,'Residual Calculation'!$D$5:$D$604,S$5,'Residual Calculation'!$X$5:$X$604,"&gt;0")=0,"",SUMIFS('Residual Calculation'!$X$5:$X$604,'Residual Calculation'!$A$5:$A$604,$A13,'Residual Calculation'!$D$5:$D$604,S$5)))</f>
        <v>5</v>
      </c>
      <c r="T13" s="31" t="n">
        <f aca="false">IF(COUNTIFS('Residual Calculation'!$A$5:$A$604,$A13,'Residual Calculation'!$D$5:$D$604,T$5,'Residual Calculation'!$G$5:$G$604,"N/A")&gt;0,"N/A",IF(COUNTIFS('Residual Calculation'!$A$5:$A$604,$A13,'Residual Calculation'!$D$5:$D$604,T$5,'Residual Calculation'!$X$5:$X$604,"&gt;0")=0,"",SUMIFS('Residual Calculation'!$X$5:$X$604,'Residual Calculation'!$A$5:$A$604,$A13,'Residual Calculation'!$D$5:$D$604,T$5)))</f>
        <v>4</v>
      </c>
      <c r="U13" s="31" t="n">
        <f aca="false">IF(COUNTIFS('Residual Calculation'!$A$5:$A$604,$A13,'Residual Calculation'!$D$5:$D$604,U$5,'Residual Calculation'!$G$5:$G$604,"N/A")&gt;0,"N/A",IF(COUNTIFS('Residual Calculation'!$A$5:$A$604,$A13,'Residual Calculation'!$D$5:$D$604,U$5,'Residual Calculation'!$X$5:$X$604,"&gt;0")=0,"",SUMIFS('Residual Calculation'!$X$5:$X$604,'Residual Calculation'!$A$5:$A$604,$A13,'Residual Calculation'!$D$5:$D$604,U$5)))</f>
        <v>5</v>
      </c>
      <c r="V13" s="31" t="n">
        <f aca="false">IF(COUNTIFS('Residual Calculation'!$A$5:$A$604,$A13,'Residual Calculation'!$D$5:$D$604,V$5,'Residual Calculation'!$G$5:$G$604,"N/A")&gt;0,"N/A",IF(COUNTIFS('Residual Calculation'!$A$5:$A$604,$A13,'Residual Calculation'!$D$5:$D$604,V$5,'Residual Calculation'!$X$5:$X$604,"&gt;0")=0,"",SUMIFS('Residual Calculation'!$X$5:$X$604,'Residual Calculation'!$A$5:$A$604,$A13,'Residual Calculation'!$D$5:$D$604,V$5)))</f>
        <v>4</v>
      </c>
      <c r="W13" s="34" t="n">
        <f aca="false">MAX(C13:V13)</f>
        <v>5</v>
      </c>
      <c r="X13" s="29" t="n">
        <f aca="false">IFERROR(AVERAGE(C13:V13),"")</f>
        <v>4.05263157894737</v>
      </c>
      <c r="Y13" s="31" t="n">
        <f aca="false">COUNTIFS('Residual Calculation'!$A$5:$A$604,$A13,'Residual Calculation'!$AC$5:$AC$604,"Amber")</f>
        <v>3</v>
      </c>
      <c r="Z13" s="31" t="n">
        <f aca="false">COUNTIFS('Residual Calculation'!$A$5:$A$604,$A13,'Residual Calculation'!$AC$5:$AC$604,"Red")</f>
        <v>12</v>
      </c>
    </row>
    <row r="14" customFormat="false" ht="15" hidden="false" customHeight="false" outlineLevel="0" collapsed="false">
      <c r="A14" s="26" t="str">
        <f aca="false">Entities!A13</f>
        <v>SY</v>
      </c>
      <c r="B14" s="26" t="str">
        <f aca="false">Entities!B13</f>
        <v>Arab Bank – Syria</v>
      </c>
      <c r="C14" s="31" t="n">
        <f aca="false">IF(COUNTIFS('Residual Calculation'!$A$5:$A$604,$A14,'Residual Calculation'!$D$5:$D$604,C$5,'Residual Calculation'!$G$5:$G$604,"N/A")&gt;0,"N/A",IF(COUNTIFS('Residual Calculation'!$A$5:$A$604,$A14,'Residual Calculation'!$D$5:$D$604,C$5,'Residual Calculation'!$X$5:$X$604,"&gt;0")=0,"",SUMIFS('Residual Calculation'!$X$5:$X$604,'Residual Calculation'!$A$5:$A$604,$A14,'Residual Calculation'!$D$5:$D$604,C$5)))</f>
        <v>3</v>
      </c>
      <c r="D14" s="31" t="n">
        <f aca="false">IF(COUNTIFS('Residual Calculation'!$A$5:$A$604,$A14,'Residual Calculation'!$D$5:$D$604,D$5,'Residual Calculation'!$G$5:$G$604,"N/A")&gt;0,"N/A",IF(COUNTIFS('Residual Calculation'!$A$5:$A$604,$A14,'Residual Calculation'!$D$5:$D$604,D$5,'Residual Calculation'!$X$5:$X$604,"&gt;0")=0,"",SUMIFS('Residual Calculation'!$X$5:$X$604,'Residual Calculation'!$A$5:$A$604,$A14,'Residual Calculation'!$D$5:$D$604,D$5)))</f>
        <v>3</v>
      </c>
      <c r="E14" s="31" t="n">
        <f aca="false">IF(COUNTIFS('Residual Calculation'!$A$5:$A$604,$A14,'Residual Calculation'!$D$5:$D$604,E$5,'Residual Calculation'!$G$5:$G$604,"N/A")&gt;0,"N/A",IF(COUNTIFS('Residual Calculation'!$A$5:$A$604,$A14,'Residual Calculation'!$D$5:$D$604,E$5,'Residual Calculation'!$X$5:$X$604,"&gt;0")=0,"",SUMIFS('Residual Calculation'!$X$5:$X$604,'Residual Calculation'!$A$5:$A$604,$A14,'Residual Calculation'!$D$5:$D$604,E$5)))</f>
        <v>3</v>
      </c>
      <c r="F14" s="31" t="n">
        <f aca="false">IF(COUNTIFS('Residual Calculation'!$A$5:$A$604,$A14,'Residual Calculation'!$D$5:$D$604,F$5,'Residual Calculation'!$G$5:$G$604,"N/A")&gt;0,"N/A",IF(COUNTIFS('Residual Calculation'!$A$5:$A$604,$A14,'Residual Calculation'!$D$5:$D$604,F$5,'Residual Calculation'!$X$5:$X$604,"&gt;0")=0,"",SUMIFS('Residual Calculation'!$X$5:$X$604,'Residual Calculation'!$A$5:$A$604,$A14,'Residual Calculation'!$D$5:$D$604,F$5)))</f>
        <v>3</v>
      </c>
      <c r="G14" s="31" t="n">
        <f aca="false">IF(COUNTIFS('Residual Calculation'!$A$5:$A$604,$A14,'Residual Calculation'!$D$5:$D$604,G$5,'Residual Calculation'!$G$5:$G$604,"N/A")&gt;0,"N/A",IF(COUNTIFS('Residual Calculation'!$A$5:$A$604,$A14,'Residual Calculation'!$D$5:$D$604,G$5,'Residual Calculation'!$X$5:$X$604,"&gt;0")=0,"",SUMIFS('Residual Calculation'!$X$5:$X$604,'Residual Calculation'!$A$5:$A$604,$A14,'Residual Calculation'!$D$5:$D$604,G$5)))</f>
        <v>3</v>
      </c>
      <c r="H14" s="31" t="n">
        <f aca="false">IF(COUNTIFS('Residual Calculation'!$A$5:$A$604,$A14,'Residual Calculation'!$D$5:$D$604,H$5,'Residual Calculation'!$G$5:$G$604,"N/A")&gt;0,"N/A",IF(COUNTIFS('Residual Calculation'!$A$5:$A$604,$A14,'Residual Calculation'!$D$5:$D$604,H$5,'Residual Calculation'!$X$5:$X$604,"&gt;0")=0,"",SUMIFS('Residual Calculation'!$X$5:$X$604,'Residual Calculation'!$A$5:$A$604,$A14,'Residual Calculation'!$D$5:$D$604,H$5)))</f>
        <v>3</v>
      </c>
      <c r="I14" s="31" t="n">
        <f aca="false">IF(COUNTIFS('Residual Calculation'!$A$5:$A$604,$A14,'Residual Calculation'!$D$5:$D$604,I$5,'Residual Calculation'!$G$5:$G$604,"N/A")&gt;0,"N/A",IF(COUNTIFS('Residual Calculation'!$A$5:$A$604,$A14,'Residual Calculation'!$D$5:$D$604,I$5,'Residual Calculation'!$X$5:$X$604,"&gt;0")=0,"",SUMIFS('Residual Calculation'!$X$5:$X$604,'Residual Calculation'!$A$5:$A$604,$A14,'Residual Calculation'!$D$5:$D$604,I$5)))</f>
        <v>4</v>
      </c>
      <c r="J14" s="31" t="n">
        <f aca="false">IF(COUNTIFS('Residual Calculation'!$A$5:$A$604,$A14,'Residual Calculation'!$D$5:$D$604,J$5,'Residual Calculation'!$G$5:$G$604,"N/A")&gt;0,"N/A",IF(COUNTIFS('Residual Calculation'!$A$5:$A$604,$A14,'Residual Calculation'!$D$5:$D$604,J$5,'Residual Calculation'!$X$5:$X$604,"&gt;0")=0,"",SUMIFS('Residual Calculation'!$X$5:$X$604,'Residual Calculation'!$A$5:$A$604,$A14,'Residual Calculation'!$D$5:$D$604,J$5)))</f>
        <v>5</v>
      </c>
      <c r="K14" s="31" t="n">
        <f aca="false">IF(COUNTIFS('Residual Calculation'!$A$5:$A$604,$A14,'Residual Calculation'!$D$5:$D$604,K$5,'Residual Calculation'!$G$5:$G$604,"N/A")&gt;0,"N/A",IF(COUNTIFS('Residual Calculation'!$A$5:$A$604,$A14,'Residual Calculation'!$D$5:$D$604,K$5,'Residual Calculation'!$X$5:$X$604,"&gt;0")=0,"",SUMIFS('Residual Calculation'!$X$5:$X$604,'Residual Calculation'!$A$5:$A$604,$A14,'Residual Calculation'!$D$5:$D$604,K$5)))</f>
        <v>4</v>
      </c>
      <c r="L14" s="31" t="n">
        <f aca="false">IF(COUNTIFS('Residual Calculation'!$A$5:$A$604,$A14,'Residual Calculation'!$D$5:$D$604,L$5,'Residual Calculation'!$G$5:$G$604,"N/A")&gt;0,"N/A",IF(COUNTIFS('Residual Calculation'!$A$5:$A$604,$A14,'Residual Calculation'!$D$5:$D$604,L$5,'Residual Calculation'!$X$5:$X$604,"&gt;0")=0,"",SUMIFS('Residual Calculation'!$X$5:$X$604,'Residual Calculation'!$A$5:$A$604,$A14,'Residual Calculation'!$D$5:$D$604,L$5)))</f>
        <v>3</v>
      </c>
      <c r="M14" s="31" t="str">
        <f aca="false">IF(COUNTIFS('Residual Calculation'!$A$5:$A$604,$A14,'Residual Calculation'!$D$5:$D$604,M$5,'Residual Calculation'!$G$5:$G$604,"N/A")&gt;0,"N/A",IF(COUNTIFS('Residual Calculation'!$A$5:$A$604,$A14,'Residual Calculation'!$D$5:$D$604,M$5,'Residual Calculation'!$X$5:$X$604,"&gt;0")=0,"",SUMIFS('Residual Calculation'!$X$5:$X$604,'Residual Calculation'!$A$5:$A$604,$A14,'Residual Calculation'!$D$5:$D$604,M$5)))</f>
        <v>N/A</v>
      </c>
      <c r="N14" s="31" t="n">
        <f aca="false">IF(COUNTIFS('Residual Calculation'!$A$5:$A$604,$A14,'Residual Calculation'!$D$5:$D$604,N$5,'Residual Calculation'!$G$5:$G$604,"N/A")&gt;0,"N/A",IF(COUNTIFS('Residual Calculation'!$A$5:$A$604,$A14,'Residual Calculation'!$D$5:$D$604,N$5,'Residual Calculation'!$X$5:$X$604,"&gt;0")=0,"",SUMIFS('Residual Calculation'!$X$5:$X$604,'Residual Calculation'!$A$5:$A$604,$A14,'Residual Calculation'!$D$5:$D$604,N$5)))</f>
        <v>4</v>
      </c>
      <c r="O14" s="31" t="n">
        <f aca="false">IF(COUNTIFS('Residual Calculation'!$A$5:$A$604,$A14,'Residual Calculation'!$D$5:$D$604,O$5,'Residual Calculation'!$G$5:$G$604,"N/A")&gt;0,"N/A",IF(COUNTIFS('Residual Calculation'!$A$5:$A$604,$A14,'Residual Calculation'!$D$5:$D$604,O$5,'Residual Calculation'!$X$5:$X$604,"&gt;0")=0,"",SUMIFS('Residual Calculation'!$X$5:$X$604,'Residual Calculation'!$A$5:$A$604,$A14,'Residual Calculation'!$D$5:$D$604,O$5)))</f>
        <v>3</v>
      </c>
      <c r="P14" s="31" t="n">
        <f aca="false">IF(COUNTIFS('Residual Calculation'!$A$5:$A$604,$A14,'Residual Calculation'!$D$5:$D$604,P$5,'Residual Calculation'!$G$5:$G$604,"N/A")&gt;0,"N/A",IF(COUNTIFS('Residual Calculation'!$A$5:$A$604,$A14,'Residual Calculation'!$D$5:$D$604,P$5,'Residual Calculation'!$X$5:$X$604,"&gt;0")=0,"",SUMIFS('Residual Calculation'!$X$5:$X$604,'Residual Calculation'!$A$5:$A$604,$A14,'Residual Calculation'!$D$5:$D$604,P$5)))</f>
        <v>4</v>
      </c>
      <c r="Q14" s="31" t="n">
        <f aca="false">IF(COUNTIFS('Residual Calculation'!$A$5:$A$604,$A14,'Residual Calculation'!$D$5:$D$604,Q$5,'Residual Calculation'!$G$5:$G$604,"N/A")&gt;0,"N/A",IF(COUNTIFS('Residual Calculation'!$A$5:$A$604,$A14,'Residual Calculation'!$D$5:$D$604,Q$5,'Residual Calculation'!$X$5:$X$604,"&gt;0")=0,"",SUMIFS('Residual Calculation'!$X$5:$X$604,'Residual Calculation'!$A$5:$A$604,$A14,'Residual Calculation'!$D$5:$D$604,Q$5)))</f>
        <v>4</v>
      </c>
      <c r="R14" s="31" t="n">
        <f aca="false">IF(COUNTIFS('Residual Calculation'!$A$5:$A$604,$A14,'Residual Calculation'!$D$5:$D$604,R$5,'Residual Calculation'!$G$5:$G$604,"N/A")&gt;0,"N/A",IF(COUNTIFS('Residual Calculation'!$A$5:$A$604,$A14,'Residual Calculation'!$D$5:$D$604,R$5,'Residual Calculation'!$X$5:$X$604,"&gt;0")=0,"",SUMIFS('Residual Calculation'!$X$5:$X$604,'Residual Calculation'!$A$5:$A$604,$A14,'Residual Calculation'!$D$5:$D$604,R$5)))</f>
        <v>5</v>
      </c>
      <c r="S14" s="31" t="n">
        <f aca="false">IF(COUNTIFS('Residual Calculation'!$A$5:$A$604,$A14,'Residual Calculation'!$D$5:$D$604,S$5,'Residual Calculation'!$G$5:$G$604,"N/A")&gt;0,"N/A",IF(COUNTIFS('Residual Calculation'!$A$5:$A$604,$A14,'Residual Calculation'!$D$5:$D$604,S$5,'Residual Calculation'!$X$5:$X$604,"&gt;0")=0,"",SUMIFS('Residual Calculation'!$X$5:$X$604,'Residual Calculation'!$A$5:$A$604,$A14,'Residual Calculation'!$D$5:$D$604,S$5)))</f>
        <v>4</v>
      </c>
      <c r="T14" s="31" t="n">
        <f aca="false">IF(COUNTIFS('Residual Calculation'!$A$5:$A$604,$A14,'Residual Calculation'!$D$5:$D$604,T$5,'Residual Calculation'!$G$5:$G$604,"N/A")&gt;0,"N/A",IF(COUNTIFS('Residual Calculation'!$A$5:$A$604,$A14,'Residual Calculation'!$D$5:$D$604,T$5,'Residual Calculation'!$X$5:$X$604,"&gt;0")=0,"",SUMIFS('Residual Calculation'!$X$5:$X$604,'Residual Calculation'!$A$5:$A$604,$A14,'Residual Calculation'!$D$5:$D$604,T$5)))</f>
        <v>2</v>
      </c>
      <c r="U14" s="31" t="n">
        <f aca="false">IF(COUNTIFS('Residual Calculation'!$A$5:$A$604,$A14,'Residual Calculation'!$D$5:$D$604,U$5,'Residual Calculation'!$G$5:$G$604,"N/A")&gt;0,"N/A",IF(COUNTIFS('Residual Calculation'!$A$5:$A$604,$A14,'Residual Calculation'!$D$5:$D$604,U$5,'Residual Calculation'!$X$5:$X$604,"&gt;0")=0,"",SUMIFS('Residual Calculation'!$X$5:$X$604,'Residual Calculation'!$A$5:$A$604,$A14,'Residual Calculation'!$D$5:$D$604,U$5)))</f>
        <v>3</v>
      </c>
      <c r="V14" s="31" t="n">
        <f aca="false">IF(COUNTIFS('Residual Calculation'!$A$5:$A$604,$A14,'Residual Calculation'!$D$5:$D$604,V$5,'Residual Calculation'!$G$5:$G$604,"N/A")&gt;0,"N/A",IF(COUNTIFS('Residual Calculation'!$A$5:$A$604,$A14,'Residual Calculation'!$D$5:$D$604,V$5,'Residual Calculation'!$X$5:$X$604,"&gt;0")=0,"",SUMIFS('Residual Calculation'!$X$5:$X$604,'Residual Calculation'!$A$5:$A$604,$A14,'Residual Calculation'!$D$5:$D$604,V$5)))</f>
        <v>4</v>
      </c>
      <c r="W14" s="34" t="n">
        <f aca="false">MAX(C14:V14)</f>
        <v>5</v>
      </c>
      <c r="X14" s="29" t="n">
        <f aca="false">IFERROR(AVERAGE(C14:V14),"")</f>
        <v>3.52631578947368</v>
      </c>
      <c r="Y14" s="31" t="n">
        <f aca="false">COUNTIFS('Residual Calculation'!$A$5:$A$604,$A14,'Residual Calculation'!$AC$5:$AC$604,"Amber")</f>
        <v>6</v>
      </c>
      <c r="Z14" s="31" t="n">
        <f aca="false">COUNTIFS('Residual Calculation'!$A$5:$A$604,$A14,'Residual Calculation'!$AC$5:$AC$604,"Red")</f>
        <v>7</v>
      </c>
    </row>
    <row r="15" customFormat="false" ht="15" hidden="false" customHeight="false" outlineLevel="0" collapsed="false">
      <c r="A15" s="26" t="str">
        <f aca="false">Entities!A14</f>
        <v>AE</v>
      </c>
      <c r="B15" s="26" t="str">
        <f aca="false">Entities!B14</f>
        <v>Arab Bank – UAE</v>
      </c>
      <c r="C15" s="31" t="n">
        <f aca="false">IF(COUNTIFS('Residual Calculation'!$A$5:$A$604,$A15,'Residual Calculation'!$D$5:$D$604,C$5,'Residual Calculation'!$G$5:$G$604,"N/A")&gt;0,"N/A",IF(COUNTIFS('Residual Calculation'!$A$5:$A$604,$A15,'Residual Calculation'!$D$5:$D$604,C$5,'Residual Calculation'!$X$5:$X$604,"&gt;0")=0,"",SUMIFS('Residual Calculation'!$X$5:$X$604,'Residual Calculation'!$A$5:$A$604,$A15,'Residual Calculation'!$D$5:$D$604,C$5)))</f>
        <v>3</v>
      </c>
      <c r="D15" s="31" t="n">
        <f aca="false">IF(COUNTIFS('Residual Calculation'!$A$5:$A$604,$A15,'Residual Calculation'!$D$5:$D$604,D$5,'Residual Calculation'!$G$5:$G$604,"N/A")&gt;0,"N/A",IF(COUNTIFS('Residual Calculation'!$A$5:$A$604,$A15,'Residual Calculation'!$D$5:$D$604,D$5,'Residual Calculation'!$X$5:$X$604,"&gt;0")=0,"",SUMIFS('Residual Calculation'!$X$5:$X$604,'Residual Calculation'!$A$5:$A$604,$A15,'Residual Calculation'!$D$5:$D$604,D$5)))</f>
        <v>3</v>
      </c>
      <c r="E15" s="31" t="n">
        <f aca="false">IF(COUNTIFS('Residual Calculation'!$A$5:$A$604,$A15,'Residual Calculation'!$D$5:$D$604,E$5,'Residual Calculation'!$G$5:$G$604,"N/A")&gt;0,"N/A",IF(COUNTIFS('Residual Calculation'!$A$5:$A$604,$A15,'Residual Calculation'!$D$5:$D$604,E$5,'Residual Calculation'!$X$5:$X$604,"&gt;0")=0,"",SUMIFS('Residual Calculation'!$X$5:$X$604,'Residual Calculation'!$A$5:$A$604,$A15,'Residual Calculation'!$D$5:$D$604,E$5)))</f>
        <v>2</v>
      </c>
      <c r="F15" s="31" t="n">
        <f aca="false">IF(COUNTIFS('Residual Calculation'!$A$5:$A$604,$A15,'Residual Calculation'!$D$5:$D$604,F$5,'Residual Calculation'!$G$5:$G$604,"N/A")&gt;0,"N/A",IF(COUNTIFS('Residual Calculation'!$A$5:$A$604,$A15,'Residual Calculation'!$D$5:$D$604,F$5,'Residual Calculation'!$X$5:$X$604,"&gt;0")=0,"",SUMIFS('Residual Calculation'!$X$5:$X$604,'Residual Calculation'!$A$5:$A$604,$A15,'Residual Calculation'!$D$5:$D$604,F$5)))</f>
        <v>3</v>
      </c>
      <c r="G15" s="31" t="n">
        <f aca="false">IF(COUNTIFS('Residual Calculation'!$A$5:$A$604,$A15,'Residual Calculation'!$D$5:$D$604,G$5,'Residual Calculation'!$G$5:$G$604,"N/A")&gt;0,"N/A",IF(COUNTIFS('Residual Calculation'!$A$5:$A$604,$A15,'Residual Calculation'!$D$5:$D$604,G$5,'Residual Calculation'!$X$5:$X$604,"&gt;0")=0,"",SUMIFS('Residual Calculation'!$X$5:$X$604,'Residual Calculation'!$A$5:$A$604,$A15,'Residual Calculation'!$D$5:$D$604,G$5)))</f>
        <v>3</v>
      </c>
      <c r="H15" s="31" t="n">
        <f aca="false">IF(COUNTIFS('Residual Calculation'!$A$5:$A$604,$A15,'Residual Calculation'!$D$5:$D$604,H$5,'Residual Calculation'!$G$5:$G$604,"N/A")&gt;0,"N/A",IF(COUNTIFS('Residual Calculation'!$A$5:$A$604,$A15,'Residual Calculation'!$D$5:$D$604,H$5,'Residual Calculation'!$X$5:$X$604,"&gt;0")=0,"",SUMIFS('Residual Calculation'!$X$5:$X$604,'Residual Calculation'!$A$5:$A$604,$A15,'Residual Calculation'!$D$5:$D$604,H$5)))</f>
        <v>2</v>
      </c>
      <c r="I15" s="31" t="n">
        <f aca="false">IF(COUNTIFS('Residual Calculation'!$A$5:$A$604,$A15,'Residual Calculation'!$D$5:$D$604,I$5,'Residual Calculation'!$G$5:$G$604,"N/A")&gt;0,"N/A",IF(COUNTIFS('Residual Calculation'!$A$5:$A$604,$A15,'Residual Calculation'!$D$5:$D$604,I$5,'Residual Calculation'!$X$5:$X$604,"&gt;0")=0,"",SUMIFS('Residual Calculation'!$X$5:$X$604,'Residual Calculation'!$A$5:$A$604,$A15,'Residual Calculation'!$D$5:$D$604,I$5)))</f>
        <v>1</v>
      </c>
      <c r="J15" s="31" t="n">
        <f aca="false">IF(COUNTIFS('Residual Calculation'!$A$5:$A$604,$A15,'Residual Calculation'!$D$5:$D$604,J$5,'Residual Calculation'!$G$5:$G$604,"N/A")&gt;0,"N/A",IF(COUNTIFS('Residual Calculation'!$A$5:$A$604,$A15,'Residual Calculation'!$D$5:$D$604,J$5,'Residual Calculation'!$X$5:$X$604,"&gt;0")=0,"",SUMIFS('Residual Calculation'!$X$5:$X$604,'Residual Calculation'!$A$5:$A$604,$A15,'Residual Calculation'!$D$5:$D$604,J$5)))</f>
        <v>3</v>
      </c>
      <c r="K15" s="31" t="n">
        <f aca="false">IF(COUNTIFS('Residual Calculation'!$A$5:$A$604,$A15,'Residual Calculation'!$D$5:$D$604,K$5,'Residual Calculation'!$G$5:$G$604,"N/A")&gt;0,"N/A",IF(COUNTIFS('Residual Calculation'!$A$5:$A$604,$A15,'Residual Calculation'!$D$5:$D$604,K$5,'Residual Calculation'!$X$5:$X$604,"&gt;0")=0,"",SUMIFS('Residual Calculation'!$X$5:$X$604,'Residual Calculation'!$A$5:$A$604,$A15,'Residual Calculation'!$D$5:$D$604,K$5)))</f>
        <v>3</v>
      </c>
      <c r="L15" s="31" t="n">
        <f aca="false">IF(COUNTIFS('Residual Calculation'!$A$5:$A$604,$A15,'Residual Calculation'!$D$5:$D$604,L$5,'Residual Calculation'!$G$5:$G$604,"N/A")&gt;0,"N/A",IF(COUNTIFS('Residual Calculation'!$A$5:$A$604,$A15,'Residual Calculation'!$D$5:$D$604,L$5,'Residual Calculation'!$X$5:$X$604,"&gt;0")=0,"",SUMIFS('Residual Calculation'!$X$5:$X$604,'Residual Calculation'!$A$5:$A$604,$A15,'Residual Calculation'!$D$5:$D$604,L$5)))</f>
        <v>5</v>
      </c>
      <c r="M15" s="31" t="str">
        <f aca="false">IF(COUNTIFS('Residual Calculation'!$A$5:$A$604,$A15,'Residual Calculation'!$D$5:$D$604,M$5,'Residual Calculation'!$G$5:$G$604,"N/A")&gt;0,"N/A",IF(COUNTIFS('Residual Calculation'!$A$5:$A$604,$A15,'Residual Calculation'!$D$5:$D$604,M$5,'Residual Calculation'!$X$5:$X$604,"&gt;0")=0,"",SUMIFS('Residual Calculation'!$X$5:$X$604,'Residual Calculation'!$A$5:$A$604,$A15,'Residual Calculation'!$D$5:$D$604,M$5)))</f>
        <v>N/A</v>
      </c>
      <c r="N15" s="31" t="n">
        <f aca="false">IF(COUNTIFS('Residual Calculation'!$A$5:$A$604,$A15,'Residual Calculation'!$D$5:$D$604,N$5,'Residual Calculation'!$G$5:$G$604,"N/A")&gt;0,"N/A",IF(COUNTIFS('Residual Calculation'!$A$5:$A$604,$A15,'Residual Calculation'!$D$5:$D$604,N$5,'Residual Calculation'!$X$5:$X$604,"&gt;0")=0,"",SUMIFS('Residual Calculation'!$X$5:$X$604,'Residual Calculation'!$A$5:$A$604,$A15,'Residual Calculation'!$D$5:$D$604,N$5)))</f>
        <v>1</v>
      </c>
      <c r="O15" s="31" t="n">
        <f aca="false">IF(COUNTIFS('Residual Calculation'!$A$5:$A$604,$A15,'Residual Calculation'!$D$5:$D$604,O$5,'Residual Calculation'!$G$5:$G$604,"N/A")&gt;0,"N/A",IF(COUNTIFS('Residual Calculation'!$A$5:$A$604,$A15,'Residual Calculation'!$D$5:$D$604,O$5,'Residual Calculation'!$X$5:$X$604,"&gt;0")=0,"",SUMIFS('Residual Calculation'!$X$5:$X$604,'Residual Calculation'!$A$5:$A$604,$A15,'Residual Calculation'!$D$5:$D$604,O$5)))</f>
        <v>2</v>
      </c>
      <c r="P15" s="31" t="n">
        <f aca="false">IF(COUNTIFS('Residual Calculation'!$A$5:$A$604,$A15,'Residual Calculation'!$D$5:$D$604,P$5,'Residual Calculation'!$G$5:$G$604,"N/A")&gt;0,"N/A",IF(COUNTIFS('Residual Calculation'!$A$5:$A$604,$A15,'Residual Calculation'!$D$5:$D$604,P$5,'Residual Calculation'!$X$5:$X$604,"&gt;0")=0,"",SUMIFS('Residual Calculation'!$X$5:$X$604,'Residual Calculation'!$A$5:$A$604,$A15,'Residual Calculation'!$D$5:$D$604,P$5)))</f>
        <v>1</v>
      </c>
      <c r="Q15" s="31" t="n">
        <f aca="false">IF(COUNTIFS('Residual Calculation'!$A$5:$A$604,$A15,'Residual Calculation'!$D$5:$D$604,Q$5,'Residual Calculation'!$G$5:$G$604,"N/A")&gt;0,"N/A",IF(COUNTIFS('Residual Calculation'!$A$5:$A$604,$A15,'Residual Calculation'!$D$5:$D$604,Q$5,'Residual Calculation'!$X$5:$X$604,"&gt;0")=0,"",SUMIFS('Residual Calculation'!$X$5:$X$604,'Residual Calculation'!$A$5:$A$604,$A15,'Residual Calculation'!$D$5:$D$604,Q$5)))</f>
        <v>1</v>
      </c>
      <c r="R15" s="31" t="n">
        <f aca="false">IF(COUNTIFS('Residual Calculation'!$A$5:$A$604,$A15,'Residual Calculation'!$D$5:$D$604,R$5,'Residual Calculation'!$G$5:$G$604,"N/A")&gt;0,"N/A",IF(COUNTIFS('Residual Calculation'!$A$5:$A$604,$A15,'Residual Calculation'!$D$5:$D$604,R$5,'Residual Calculation'!$X$5:$X$604,"&gt;0")=0,"",SUMIFS('Residual Calculation'!$X$5:$X$604,'Residual Calculation'!$A$5:$A$604,$A15,'Residual Calculation'!$D$5:$D$604,R$5)))</f>
        <v>3</v>
      </c>
      <c r="S15" s="31" t="n">
        <f aca="false">IF(COUNTIFS('Residual Calculation'!$A$5:$A$604,$A15,'Residual Calculation'!$D$5:$D$604,S$5,'Residual Calculation'!$G$5:$G$604,"N/A")&gt;0,"N/A",IF(COUNTIFS('Residual Calculation'!$A$5:$A$604,$A15,'Residual Calculation'!$D$5:$D$604,S$5,'Residual Calculation'!$X$5:$X$604,"&gt;0")=0,"",SUMIFS('Residual Calculation'!$X$5:$X$604,'Residual Calculation'!$A$5:$A$604,$A15,'Residual Calculation'!$D$5:$D$604,S$5)))</f>
        <v>4</v>
      </c>
      <c r="T15" s="31" t="n">
        <f aca="false">IF(COUNTIFS('Residual Calculation'!$A$5:$A$604,$A15,'Residual Calculation'!$D$5:$D$604,T$5,'Residual Calculation'!$G$5:$G$604,"N/A")&gt;0,"N/A",IF(COUNTIFS('Residual Calculation'!$A$5:$A$604,$A15,'Residual Calculation'!$D$5:$D$604,T$5,'Residual Calculation'!$X$5:$X$604,"&gt;0")=0,"",SUMIFS('Residual Calculation'!$X$5:$X$604,'Residual Calculation'!$A$5:$A$604,$A15,'Residual Calculation'!$D$5:$D$604,T$5)))</f>
        <v>2</v>
      </c>
      <c r="U15" s="31" t="n">
        <f aca="false">IF(COUNTIFS('Residual Calculation'!$A$5:$A$604,$A15,'Residual Calculation'!$D$5:$D$604,U$5,'Residual Calculation'!$G$5:$G$604,"N/A")&gt;0,"N/A",IF(COUNTIFS('Residual Calculation'!$A$5:$A$604,$A15,'Residual Calculation'!$D$5:$D$604,U$5,'Residual Calculation'!$X$5:$X$604,"&gt;0")=0,"",SUMIFS('Residual Calculation'!$X$5:$X$604,'Residual Calculation'!$A$5:$A$604,$A15,'Residual Calculation'!$D$5:$D$604,U$5)))</f>
        <v>2</v>
      </c>
      <c r="V15" s="31" t="n">
        <f aca="false">IF(COUNTIFS('Residual Calculation'!$A$5:$A$604,$A15,'Residual Calculation'!$D$5:$D$604,V$5,'Residual Calculation'!$G$5:$G$604,"N/A")&gt;0,"N/A",IF(COUNTIFS('Residual Calculation'!$A$5:$A$604,$A15,'Residual Calculation'!$D$5:$D$604,V$5,'Residual Calculation'!$X$5:$X$604,"&gt;0")=0,"",SUMIFS('Residual Calculation'!$X$5:$X$604,'Residual Calculation'!$A$5:$A$604,$A15,'Residual Calculation'!$D$5:$D$604,V$5)))</f>
        <v>1</v>
      </c>
      <c r="W15" s="34" t="n">
        <f aca="false">MAX(C15:V15)</f>
        <v>5</v>
      </c>
      <c r="X15" s="29" t="n">
        <f aca="false">IFERROR(AVERAGE(C15:V15),"")</f>
        <v>2.36842105263158</v>
      </c>
      <c r="Y15" s="31" t="n">
        <f aca="false">COUNTIFS('Residual Calculation'!$A$5:$A$604,$A15,'Residual Calculation'!$AC$5:$AC$604,"Amber")</f>
        <v>5</v>
      </c>
      <c r="Z15" s="31" t="n">
        <f aca="false">COUNTIFS('Residual Calculation'!$A$5:$A$604,$A15,'Residual Calculation'!$AC$5:$AC$604,"Red")</f>
        <v>4</v>
      </c>
    </row>
    <row r="16" customFormat="false" ht="15" hidden="false" customHeight="false" outlineLevel="0" collapsed="false">
      <c r="A16" s="26" t="str">
        <f aca="false">Entities!A15</f>
        <v>BH</v>
      </c>
      <c r="B16" s="26" t="str">
        <f aca="false">Entities!B15</f>
        <v>Arab Bank – Bahrain</v>
      </c>
      <c r="C16" s="31" t="n">
        <f aca="false">IF(COUNTIFS('Residual Calculation'!$A$5:$A$604,$A16,'Residual Calculation'!$D$5:$D$604,C$5,'Residual Calculation'!$G$5:$G$604,"N/A")&gt;0,"N/A",IF(COUNTIFS('Residual Calculation'!$A$5:$A$604,$A16,'Residual Calculation'!$D$5:$D$604,C$5,'Residual Calculation'!$X$5:$X$604,"&gt;0")=0,"",SUMIFS('Residual Calculation'!$X$5:$X$604,'Residual Calculation'!$A$5:$A$604,$A16,'Residual Calculation'!$D$5:$D$604,C$5)))</f>
        <v>2</v>
      </c>
      <c r="D16" s="31" t="n">
        <f aca="false">IF(COUNTIFS('Residual Calculation'!$A$5:$A$604,$A16,'Residual Calculation'!$D$5:$D$604,D$5,'Residual Calculation'!$G$5:$G$604,"N/A")&gt;0,"N/A",IF(COUNTIFS('Residual Calculation'!$A$5:$A$604,$A16,'Residual Calculation'!$D$5:$D$604,D$5,'Residual Calculation'!$X$5:$X$604,"&gt;0")=0,"",SUMIFS('Residual Calculation'!$X$5:$X$604,'Residual Calculation'!$A$5:$A$604,$A16,'Residual Calculation'!$D$5:$D$604,D$5)))</f>
        <v>2</v>
      </c>
      <c r="E16" s="31" t="n">
        <f aca="false">IF(COUNTIFS('Residual Calculation'!$A$5:$A$604,$A16,'Residual Calculation'!$D$5:$D$604,E$5,'Residual Calculation'!$G$5:$G$604,"N/A")&gt;0,"N/A",IF(COUNTIFS('Residual Calculation'!$A$5:$A$604,$A16,'Residual Calculation'!$D$5:$D$604,E$5,'Residual Calculation'!$X$5:$X$604,"&gt;0")=0,"",SUMIFS('Residual Calculation'!$X$5:$X$604,'Residual Calculation'!$A$5:$A$604,$A16,'Residual Calculation'!$D$5:$D$604,E$5)))</f>
        <v>2</v>
      </c>
      <c r="F16" s="31" t="n">
        <f aca="false">IF(COUNTIFS('Residual Calculation'!$A$5:$A$604,$A16,'Residual Calculation'!$D$5:$D$604,F$5,'Residual Calculation'!$G$5:$G$604,"N/A")&gt;0,"N/A",IF(COUNTIFS('Residual Calculation'!$A$5:$A$604,$A16,'Residual Calculation'!$D$5:$D$604,F$5,'Residual Calculation'!$X$5:$X$604,"&gt;0")=0,"",SUMIFS('Residual Calculation'!$X$5:$X$604,'Residual Calculation'!$A$5:$A$604,$A16,'Residual Calculation'!$D$5:$D$604,F$5)))</f>
        <v>2</v>
      </c>
      <c r="G16" s="31" t="n">
        <f aca="false">IF(COUNTIFS('Residual Calculation'!$A$5:$A$604,$A16,'Residual Calculation'!$D$5:$D$604,G$5,'Residual Calculation'!$G$5:$G$604,"N/A")&gt;0,"N/A",IF(COUNTIFS('Residual Calculation'!$A$5:$A$604,$A16,'Residual Calculation'!$D$5:$D$604,G$5,'Residual Calculation'!$X$5:$X$604,"&gt;0")=0,"",SUMIFS('Residual Calculation'!$X$5:$X$604,'Residual Calculation'!$A$5:$A$604,$A16,'Residual Calculation'!$D$5:$D$604,G$5)))</f>
        <v>3</v>
      </c>
      <c r="H16" s="31" t="n">
        <f aca="false">IF(COUNTIFS('Residual Calculation'!$A$5:$A$604,$A16,'Residual Calculation'!$D$5:$D$604,H$5,'Residual Calculation'!$G$5:$G$604,"N/A")&gt;0,"N/A",IF(COUNTIFS('Residual Calculation'!$A$5:$A$604,$A16,'Residual Calculation'!$D$5:$D$604,H$5,'Residual Calculation'!$X$5:$X$604,"&gt;0")=0,"",SUMIFS('Residual Calculation'!$X$5:$X$604,'Residual Calculation'!$A$5:$A$604,$A16,'Residual Calculation'!$D$5:$D$604,H$5)))</f>
        <v>2</v>
      </c>
      <c r="I16" s="31" t="n">
        <f aca="false">IF(COUNTIFS('Residual Calculation'!$A$5:$A$604,$A16,'Residual Calculation'!$D$5:$D$604,I$5,'Residual Calculation'!$G$5:$G$604,"N/A")&gt;0,"N/A",IF(COUNTIFS('Residual Calculation'!$A$5:$A$604,$A16,'Residual Calculation'!$D$5:$D$604,I$5,'Residual Calculation'!$X$5:$X$604,"&gt;0")=0,"",SUMIFS('Residual Calculation'!$X$5:$X$604,'Residual Calculation'!$A$5:$A$604,$A16,'Residual Calculation'!$D$5:$D$604,I$5)))</f>
        <v>2</v>
      </c>
      <c r="J16" s="31" t="n">
        <f aca="false">IF(COUNTIFS('Residual Calculation'!$A$5:$A$604,$A16,'Residual Calculation'!$D$5:$D$604,J$5,'Residual Calculation'!$G$5:$G$604,"N/A")&gt;0,"N/A",IF(COUNTIFS('Residual Calculation'!$A$5:$A$604,$A16,'Residual Calculation'!$D$5:$D$604,J$5,'Residual Calculation'!$X$5:$X$604,"&gt;0")=0,"",SUMIFS('Residual Calculation'!$X$5:$X$604,'Residual Calculation'!$A$5:$A$604,$A16,'Residual Calculation'!$D$5:$D$604,J$5)))</f>
        <v>2</v>
      </c>
      <c r="K16" s="31" t="n">
        <f aca="false">IF(COUNTIFS('Residual Calculation'!$A$5:$A$604,$A16,'Residual Calculation'!$D$5:$D$604,K$5,'Residual Calculation'!$G$5:$G$604,"N/A")&gt;0,"N/A",IF(COUNTIFS('Residual Calculation'!$A$5:$A$604,$A16,'Residual Calculation'!$D$5:$D$604,K$5,'Residual Calculation'!$X$5:$X$604,"&gt;0")=0,"",SUMIFS('Residual Calculation'!$X$5:$X$604,'Residual Calculation'!$A$5:$A$604,$A16,'Residual Calculation'!$D$5:$D$604,K$5)))</f>
        <v>3</v>
      </c>
      <c r="L16" s="31" t="n">
        <f aca="false">IF(COUNTIFS('Residual Calculation'!$A$5:$A$604,$A16,'Residual Calculation'!$D$5:$D$604,L$5,'Residual Calculation'!$G$5:$G$604,"N/A")&gt;0,"N/A",IF(COUNTIFS('Residual Calculation'!$A$5:$A$604,$A16,'Residual Calculation'!$D$5:$D$604,L$5,'Residual Calculation'!$X$5:$X$604,"&gt;0")=0,"",SUMIFS('Residual Calculation'!$X$5:$X$604,'Residual Calculation'!$A$5:$A$604,$A16,'Residual Calculation'!$D$5:$D$604,L$5)))</f>
        <v>2</v>
      </c>
      <c r="M16" s="31" t="str">
        <f aca="false">IF(COUNTIFS('Residual Calculation'!$A$5:$A$604,$A16,'Residual Calculation'!$D$5:$D$604,M$5,'Residual Calculation'!$G$5:$G$604,"N/A")&gt;0,"N/A",IF(COUNTIFS('Residual Calculation'!$A$5:$A$604,$A16,'Residual Calculation'!$D$5:$D$604,M$5,'Residual Calculation'!$X$5:$X$604,"&gt;0")=0,"",SUMIFS('Residual Calculation'!$X$5:$X$604,'Residual Calculation'!$A$5:$A$604,$A16,'Residual Calculation'!$D$5:$D$604,M$5)))</f>
        <v>N/A</v>
      </c>
      <c r="N16" s="31" t="n">
        <f aca="false">IF(COUNTIFS('Residual Calculation'!$A$5:$A$604,$A16,'Residual Calculation'!$D$5:$D$604,N$5,'Residual Calculation'!$G$5:$G$604,"N/A")&gt;0,"N/A",IF(COUNTIFS('Residual Calculation'!$A$5:$A$604,$A16,'Residual Calculation'!$D$5:$D$604,N$5,'Residual Calculation'!$X$5:$X$604,"&gt;0")=0,"",SUMIFS('Residual Calculation'!$X$5:$X$604,'Residual Calculation'!$A$5:$A$604,$A16,'Residual Calculation'!$D$5:$D$604,N$5)))</f>
        <v>2</v>
      </c>
      <c r="O16" s="31" t="n">
        <f aca="false">IF(COUNTIFS('Residual Calculation'!$A$5:$A$604,$A16,'Residual Calculation'!$D$5:$D$604,O$5,'Residual Calculation'!$G$5:$G$604,"N/A")&gt;0,"N/A",IF(COUNTIFS('Residual Calculation'!$A$5:$A$604,$A16,'Residual Calculation'!$D$5:$D$604,O$5,'Residual Calculation'!$X$5:$X$604,"&gt;0")=0,"",SUMIFS('Residual Calculation'!$X$5:$X$604,'Residual Calculation'!$A$5:$A$604,$A16,'Residual Calculation'!$D$5:$D$604,O$5)))</f>
        <v>3</v>
      </c>
      <c r="P16" s="31" t="n">
        <f aca="false">IF(COUNTIFS('Residual Calculation'!$A$5:$A$604,$A16,'Residual Calculation'!$D$5:$D$604,P$5,'Residual Calculation'!$G$5:$G$604,"N/A")&gt;0,"N/A",IF(COUNTIFS('Residual Calculation'!$A$5:$A$604,$A16,'Residual Calculation'!$D$5:$D$604,P$5,'Residual Calculation'!$X$5:$X$604,"&gt;0")=0,"",SUMIFS('Residual Calculation'!$X$5:$X$604,'Residual Calculation'!$A$5:$A$604,$A16,'Residual Calculation'!$D$5:$D$604,P$5)))</f>
        <v>1</v>
      </c>
      <c r="Q16" s="31" t="n">
        <f aca="false">IF(COUNTIFS('Residual Calculation'!$A$5:$A$604,$A16,'Residual Calculation'!$D$5:$D$604,Q$5,'Residual Calculation'!$G$5:$G$604,"N/A")&gt;0,"N/A",IF(COUNTIFS('Residual Calculation'!$A$5:$A$604,$A16,'Residual Calculation'!$D$5:$D$604,Q$5,'Residual Calculation'!$X$5:$X$604,"&gt;0")=0,"",SUMIFS('Residual Calculation'!$X$5:$X$604,'Residual Calculation'!$A$5:$A$604,$A16,'Residual Calculation'!$D$5:$D$604,Q$5)))</f>
        <v>2</v>
      </c>
      <c r="R16" s="31" t="n">
        <f aca="false">IF(COUNTIFS('Residual Calculation'!$A$5:$A$604,$A16,'Residual Calculation'!$D$5:$D$604,R$5,'Residual Calculation'!$G$5:$G$604,"N/A")&gt;0,"N/A",IF(COUNTIFS('Residual Calculation'!$A$5:$A$604,$A16,'Residual Calculation'!$D$5:$D$604,R$5,'Residual Calculation'!$X$5:$X$604,"&gt;0")=0,"",SUMIFS('Residual Calculation'!$X$5:$X$604,'Residual Calculation'!$A$5:$A$604,$A16,'Residual Calculation'!$D$5:$D$604,R$5)))</f>
        <v>1</v>
      </c>
      <c r="S16" s="31" t="n">
        <f aca="false">IF(COUNTIFS('Residual Calculation'!$A$5:$A$604,$A16,'Residual Calculation'!$D$5:$D$604,S$5,'Residual Calculation'!$G$5:$G$604,"N/A")&gt;0,"N/A",IF(COUNTIFS('Residual Calculation'!$A$5:$A$604,$A16,'Residual Calculation'!$D$5:$D$604,S$5,'Residual Calculation'!$X$5:$X$604,"&gt;0")=0,"",SUMIFS('Residual Calculation'!$X$5:$X$604,'Residual Calculation'!$A$5:$A$604,$A16,'Residual Calculation'!$D$5:$D$604,S$5)))</f>
        <v>3</v>
      </c>
      <c r="T16" s="31" t="n">
        <f aca="false">IF(COUNTIFS('Residual Calculation'!$A$5:$A$604,$A16,'Residual Calculation'!$D$5:$D$604,T$5,'Residual Calculation'!$G$5:$G$604,"N/A")&gt;0,"N/A",IF(COUNTIFS('Residual Calculation'!$A$5:$A$604,$A16,'Residual Calculation'!$D$5:$D$604,T$5,'Residual Calculation'!$X$5:$X$604,"&gt;0")=0,"",SUMIFS('Residual Calculation'!$X$5:$X$604,'Residual Calculation'!$A$5:$A$604,$A16,'Residual Calculation'!$D$5:$D$604,T$5)))</f>
        <v>2</v>
      </c>
      <c r="U16" s="31" t="n">
        <f aca="false">IF(COUNTIFS('Residual Calculation'!$A$5:$A$604,$A16,'Residual Calculation'!$D$5:$D$604,U$5,'Residual Calculation'!$G$5:$G$604,"N/A")&gt;0,"N/A",IF(COUNTIFS('Residual Calculation'!$A$5:$A$604,$A16,'Residual Calculation'!$D$5:$D$604,U$5,'Residual Calculation'!$X$5:$X$604,"&gt;0")=0,"",SUMIFS('Residual Calculation'!$X$5:$X$604,'Residual Calculation'!$A$5:$A$604,$A16,'Residual Calculation'!$D$5:$D$604,U$5)))</f>
        <v>1</v>
      </c>
      <c r="V16" s="31" t="n">
        <f aca="false">IF(COUNTIFS('Residual Calculation'!$A$5:$A$604,$A16,'Residual Calculation'!$D$5:$D$604,V$5,'Residual Calculation'!$G$5:$G$604,"N/A")&gt;0,"N/A",IF(COUNTIFS('Residual Calculation'!$A$5:$A$604,$A16,'Residual Calculation'!$D$5:$D$604,V$5,'Residual Calculation'!$X$5:$X$604,"&gt;0")=0,"",SUMIFS('Residual Calculation'!$X$5:$X$604,'Residual Calculation'!$A$5:$A$604,$A16,'Residual Calculation'!$D$5:$D$604,V$5)))</f>
        <v>2</v>
      </c>
      <c r="W16" s="34" t="n">
        <f aca="false">MAX(C16:V16)</f>
        <v>3</v>
      </c>
      <c r="X16" s="29" t="n">
        <f aca="false">IFERROR(AVERAGE(C16:V16),"")</f>
        <v>2.05263157894737</v>
      </c>
      <c r="Y16" s="31" t="n">
        <f aca="false">COUNTIFS('Residual Calculation'!$A$5:$A$604,$A16,'Residual Calculation'!$AC$5:$AC$604,"Amber")</f>
        <v>4</v>
      </c>
      <c r="Z16" s="31" t="n">
        <f aca="false">COUNTIFS('Residual Calculation'!$A$5:$A$604,$A16,'Residual Calculation'!$AC$5:$AC$604,"Red")</f>
        <v>1</v>
      </c>
    </row>
    <row r="17" customFormat="false" ht="15" hidden="false" customHeight="false" outlineLevel="0" collapsed="false">
      <c r="A17" s="26" t="str">
        <f aca="false">Entities!A16</f>
        <v>QA</v>
      </c>
      <c r="B17" s="26" t="str">
        <f aca="false">Entities!B16</f>
        <v>Arab Bank – Qatar</v>
      </c>
      <c r="C17" s="31" t="n">
        <f aca="false">IF(COUNTIFS('Residual Calculation'!$A$5:$A$604,$A17,'Residual Calculation'!$D$5:$D$604,C$5,'Residual Calculation'!$G$5:$G$604,"N/A")&gt;0,"N/A",IF(COUNTIFS('Residual Calculation'!$A$5:$A$604,$A17,'Residual Calculation'!$D$5:$D$604,C$5,'Residual Calculation'!$X$5:$X$604,"&gt;0")=0,"",SUMIFS('Residual Calculation'!$X$5:$X$604,'Residual Calculation'!$A$5:$A$604,$A17,'Residual Calculation'!$D$5:$D$604,C$5)))</f>
        <v>3</v>
      </c>
      <c r="D17" s="31" t="n">
        <f aca="false">IF(COUNTIFS('Residual Calculation'!$A$5:$A$604,$A17,'Residual Calculation'!$D$5:$D$604,D$5,'Residual Calculation'!$G$5:$G$604,"N/A")&gt;0,"N/A",IF(COUNTIFS('Residual Calculation'!$A$5:$A$604,$A17,'Residual Calculation'!$D$5:$D$604,D$5,'Residual Calculation'!$X$5:$X$604,"&gt;0")=0,"",SUMIFS('Residual Calculation'!$X$5:$X$604,'Residual Calculation'!$A$5:$A$604,$A17,'Residual Calculation'!$D$5:$D$604,D$5)))</f>
        <v>3</v>
      </c>
      <c r="E17" s="31" t="n">
        <f aca="false">IF(COUNTIFS('Residual Calculation'!$A$5:$A$604,$A17,'Residual Calculation'!$D$5:$D$604,E$5,'Residual Calculation'!$G$5:$G$604,"N/A")&gt;0,"N/A",IF(COUNTIFS('Residual Calculation'!$A$5:$A$604,$A17,'Residual Calculation'!$D$5:$D$604,E$5,'Residual Calculation'!$X$5:$X$604,"&gt;0")=0,"",SUMIFS('Residual Calculation'!$X$5:$X$604,'Residual Calculation'!$A$5:$A$604,$A17,'Residual Calculation'!$D$5:$D$604,E$5)))</f>
        <v>3</v>
      </c>
      <c r="F17" s="31" t="n">
        <f aca="false">IF(COUNTIFS('Residual Calculation'!$A$5:$A$604,$A17,'Residual Calculation'!$D$5:$D$604,F$5,'Residual Calculation'!$G$5:$G$604,"N/A")&gt;0,"N/A",IF(COUNTIFS('Residual Calculation'!$A$5:$A$604,$A17,'Residual Calculation'!$D$5:$D$604,F$5,'Residual Calculation'!$X$5:$X$604,"&gt;0")=0,"",SUMIFS('Residual Calculation'!$X$5:$X$604,'Residual Calculation'!$A$5:$A$604,$A17,'Residual Calculation'!$D$5:$D$604,F$5)))</f>
        <v>3</v>
      </c>
      <c r="G17" s="31" t="n">
        <f aca="false">IF(COUNTIFS('Residual Calculation'!$A$5:$A$604,$A17,'Residual Calculation'!$D$5:$D$604,G$5,'Residual Calculation'!$G$5:$G$604,"N/A")&gt;0,"N/A",IF(COUNTIFS('Residual Calculation'!$A$5:$A$604,$A17,'Residual Calculation'!$D$5:$D$604,G$5,'Residual Calculation'!$X$5:$X$604,"&gt;0")=0,"",SUMIFS('Residual Calculation'!$X$5:$X$604,'Residual Calculation'!$A$5:$A$604,$A17,'Residual Calculation'!$D$5:$D$604,G$5)))</f>
        <v>1</v>
      </c>
      <c r="H17" s="31" t="n">
        <f aca="false">IF(COUNTIFS('Residual Calculation'!$A$5:$A$604,$A17,'Residual Calculation'!$D$5:$D$604,H$5,'Residual Calculation'!$G$5:$G$604,"N/A")&gt;0,"N/A",IF(COUNTIFS('Residual Calculation'!$A$5:$A$604,$A17,'Residual Calculation'!$D$5:$D$604,H$5,'Residual Calculation'!$X$5:$X$604,"&gt;0")=0,"",SUMIFS('Residual Calculation'!$X$5:$X$604,'Residual Calculation'!$A$5:$A$604,$A17,'Residual Calculation'!$D$5:$D$604,H$5)))</f>
        <v>3</v>
      </c>
      <c r="I17" s="31" t="n">
        <f aca="false">IF(COUNTIFS('Residual Calculation'!$A$5:$A$604,$A17,'Residual Calculation'!$D$5:$D$604,I$5,'Residual Calculation'!$G$5:$G$604,"N/A")&gt;0,"N/A",IF(COUNTIFS('Residual Calculation'!$A$5:$A$604,$A17,'Residual Calculation'!$D$5:$D$604,I$5,'Residual Calculation'!$X$5:$X$604,"&gt;0")=0,"",SUMIFS('Residual Calculation'!$X$5:$X$604,'Residual Calculation'!$A$5:$A$604,$A17,'Residual Calculation'!$D$5:$D$604,I$5)))</f>
        <v>3</v>
      </c>
      <c r="J17" s="31" t="n">
        <f aca="false">IF(COUNTIFS('Residual Calculation'!$A$5:$A$604,$A17,'Residual Calculation'!$D$5:$D$604,J$5,'Residual Calculation'!$G$5:$G$604,"N/A")&gt;0,"N/A",IF(COUNTIFS('Residual Calculation'!$A$5:$A$604,$A17,'Residual Calculation'!$D$5:$D$604,J$5,'Residual Calculation'!$X$5:$X$604,"&gt;0")=0,"",SUMIFS('Residual Calculation'!$X$5:$X$604,'Residual Calculation'!$A$5:$A$604,$A17,'Residual Calculation'!$D$5:$D$604,J$5)))</f>
        <v>2</v>
      </c>
      <c r="K17" s="31" t="n">
        <f aca="false">IF(COUNTIFS('Residual Calculation'!$A$5:$A$604,$A17,'Residual Calculation'!$D$5:$D$604,K$5,'Residual Calculation'!$G$5:$G$604,"N/A")&gt;0,"N/A",IF(COUNTIFS('Residual Calculation'!$A$5:$A$604,$A17,'Residual Calculation'!$D$5:$D$604,K$5,'Residual Calculation'!$X$5:$X$604,"&gt;0")=0,"",SUMIFS('Residual Calculation'!$X$5:$X$604,'Residual Calculation'!$A$5:$A$604,$A17,'Residual Calculation'!$D$5:$D$604,K$5)))</f>
        <v>1</v>
      </c>
      <c r="L17" s="31" t="n">
        <f aca="false">IF(COUNTIFS('Residual Calculation'!$A$5:$A$604,$A17,'Residual Calculation'!$D$5:$D$604,L$5,'Residual Calculation'!$G$5:$G$604,"N/A")&gt;0,"N/A",IF(COUNTIFS('Residual Calculation'!$A$5:$A$604,$A17,'Residual Calculation'!$D$5:$D$604,L$5,'Residual Calculation'!$X$5:$X$604,"&gt;0")=0,"",SUMIFS('Residual Calculation'!$X$5:$X$604,'Residual Calculation'!$A$5:$A$604,$A17,'Residual Calculation'!$D$5:$D$604,L$5)))</f>
        <v>3</v>
      </c>
      <c r="M17" s="31" t="str">
        <f aca="false">IF(COUNTIFS('Residual Calculation'!$A$5:$A$604,$A17,'Residual Calculation'!$D$5:$D$604,M$5,'Residual Calculation'!$G$5:$G$604,"N/A")&gt;0,"N/A",IF(COUNTIFS('Residual Calculation'!$A$5:$A$604,$A17,'Residual Calculation'!$D$5:$D$604,M$5,'Residual Calculation'!$X$5:$X$604,"&gt;0")=0,"",SUMIFS('Residual Calculation'!$X$5:$X$604,'Residual Calculation'!$A$5:$A$604,$A17,'Residual Calculation'!$D$5:$D$604,M$5)))</f>
        <v>N/A</v>
      </c>
      <c r="N17" s="31" t="n">
        <f aca="false">IF(COUNTIFS('Residual Calculation'!$A$5:$A$604,$A17,'Residual Calculation'!$D$5:$D$604,N$5,'Residual Calculation'!$G$5:$G$604,"N/A")&gt;0,"N/A",IF(COUNTIFS('Residual Calculation'!$A$5:$A$604,$A17,'Residual Calculation'!$D$5:$D$604,N$5,'Residual Calculation'!$X$5:$X$604,"&gt;0")=0,"",SUMIFS('Residual Calculation'!$X$5:$X$604,'Residual Calculation'!$A$5:$A$604,$A17,'Residual Calculation'!$D$5:$D$604,N$5)))</f>
        <v>2</v>
      </c>
      <c r="O17" s="31" t="n">
        <f aca="false">IF(COUNTIFS('Residual Calculation'!$A$5:$A$604,$A17,'Residual Calculation'!$D$5:$D$604,O$5,'Residual Calculation'!$G$5:$G$604,"N/A")&gt;0,"N/A",IF(COUNTIFS('Residual Calculation'!$A$5:$A$604,$A17,'Residual Calculation'!$D$5:$D$604,O$5,'Residual Calculation'!$X$5:$X$604,"&gt;0")=0,"",SUMIFS('Residual Calculation'!$X$5:$X$604,'Residual Calculation'!$A$5:$A$604,$A17,'Residual Calculation'!$D$5:$D$604,O$5)))</f>
        <v>2</v>
      </c>
      <c r="P17" s="31" t="n">
        <f aca="false">IF(COUNTIFS('Residual Calculation'!$A$5:$A$604,$A17,'Residual Calculation'!$D$5:$D$604,P$5,'Residual Calculation'!$G$5:$G$604,"N/A")&gt;0,"N/A",IF(COUNTIFS('Residual Calculation'!$A$5:$A$604,$A17,'Residual Calculation'!$D$5:$D$604,P$5,'Residual Calculation'!$X$5:$X$604,"&gt;0")=0,"",SUMIFS('Residual Calculation'!$X$5:$X$604,'Residual Calculation'!$A$5:$A$604,$A17,'Residual Calculation'!$D$5:$D$604,P$5)))</f>
        <v>2</v>
      </c>
      <c r="Q17" s="31" t="n">
        <f aca="false">IF(COUNTIFS('Residual Calculation'!$A$5:$A$604,$A17,'Residual Calculation'!$D$5:$D$604,Q$5,'Residual Calculation'!$G$5:$G$604,"N/A")&gt;0,"N/A",IF(COUNTIFS('Residual Calculation'!$A$5:$A$604,$A17,'Residual Calculation'!$D$5:$D$604,Q$5,'Residual Calculation'!$X$5:$X$604,"&gt;0")=0,"",SUMIFS('Residual Calculation'!$X$5:$X$604,'Residual Calculation'!$A$5:$A$604,$A17,'Residual Calculation'!$D$5:$D$604,Q$5)))</f>
        <v>2</v>
      </c>
      <c r="R17" s="31" t="n">
        <f aca="false">IF(COUNTIFS('Residual Calculation'!$A$5:$A$604,$A17,'Residual Calculation'!$D$5:$D$604,R$5,'Residual Calculation'!$G$5:$G$604,"N/A")&gt;0,"N/A",IF(COUNTIFS('Residual Calculation'!$A$5:$A$604,$A17,'Residual Calculation'!$D$5:$D$604,R$5,'Residual Calculation'!$X$5:$X$604,"&gt;0")=0,"",SUMIFS('Residual Calculation'!$X$5:$X$604,'Residual Calculation'!$A$5:$A$604,$A17,'Residual Calculation'!$D$5:$D$604,R$5)))</f>
        <v>3</v>
      </c>
      <c r="S17" s="31" t="n">
        <f aca="false">IF(COUNTIFS('Residual Calculation'!$A$5:$A$604,$A17,'Residual Calculation'!$D$5:$D$604,S$5,'Residual Calculation'!$G$5:$G$604,"N/A")&gt;0,"N/A",IF(COUNTIFS('Residual Calculation'!$A$5:$A$604,$A17,'Residual Calculation'!$D$5:$D$604,S$5,'Residual Calculation'!$X$5:$X$604,"&gt;0")=0,"",SUMIFS('Residual Calculation'!$X$5:$X$604,'Residual Calculation'!$A$5:$A$604,$A17,'Residual Calculation'!$D$5:$D$604,S$5)))</f>
        <v>1</v>
      </c>
      <c r="T17" s="31" t="n">
        <f aca="false">IF(COUNTIFS('Residual Calculation'!$A$5:$A$604,$A17,'Residual Calculation'!$D$5:$D$604,T$5,'Residual Calculation'!$G$5:$G$604,"N/A")&gt;0,"N/A",IF(COUNTIFS('Residual Calculation'!$A$5:$A$604,$A17,'Residual Calculation'!$D$5:$D$604,T$5,'Residual Calculation'!$X$5:$X$604,"&gt;0")=0,"",SUMIFS('Residual Calculation'!$X$5:$X$604,'Residual Calculation'!$A$5:$A$604,$A17,'Residual Calculation'!$D$5:$D$604,T$5)))</f>
        <v>1</v>
      </c>
      <c r="U17" s="31" t="n">
        <f aca="false">IF(COUNTIFS('Residual Calculation'!$A$5:$A$604,$A17,'Residual Calculation'!$D$5:$D$604,U$5,'Residual Calculation'!$G$5:$G$604,"N/A")&gt;0,"N/A",IF(COUNTIFS('Residual Calculation'!$A$5:$A$604,$A17,'Residual Calculation'!$D$5:$D$604,U$5,'Residual Calculation'!$X$5:$X$604,"&gt;0")=0,"",SUMIFS('Residual Calculation'!$X$5:$X$604,'Residual Calculation'!$A$5:$A$604,$A17,'Residual Calculation'!$D$5:$D$604,U$5)))</f>
        <v>3</v>
      </c>
      <c r="V17" s="31" t="n">
        <f aca="false">IF(COUNTIFS('Residual Calculation'!$A$5:$A$604,$A17,'Residual Calculation'!$D$5:$D$604,V$5,'Residual Calculation'!$G$5:$G$604,"N/A")&gt;0,"N/A",IF(COUNTIFS('Residual Calculation'!$A$5:$A$604,$A17,'Residual Calculation'!$D$5:$D$604,V$5,'Residual Calculation'!$X$5:$X$604,"&gt;0")=0,"",SUMIFS('Residual Calculation'!$X$5:$X$604,'Residual Calculation'!$A$5:$A$604,$A17,'Residual Calculation'!$D$5:$D$604,V$5)))</f>
        <v>1</v>
      </c>
      <c r="W17" s="34" t="n">
        <f aca="false">MAX(C17:V17)</f>
        <v>3</v>
      </c>
      <c r="X17" s="29" t="n">
        <f aca="false">IFERROR(AVERAGE(C17:V17),"")</f>
        <v>2.21052631578947</v>
      </c>
      <c r="Y17" s="31" t="n">
        <f aca="false">COUNTIFS('Residual Calculation'!$A$5:$A$604,$A17,'Residual Calculation'!$AC$5:$AC$604,"Amber")</f>
        <v>3</v>
      </c>
      <c r="Z17" s="31" t="n">
        <f aca="false">COUNTIFS('Residual Calculation'!$A$5:$A$604,$A17,'Residual Calculation'!$AC$5:$AC$604,"Red")</f>
        <v>4</v>
      </c>
    </row>
    <row r="18" customFormat="false" ht="15" hidden="false" customHeight="false" outlineLevel="0" collapsed="false">
      <c r="A18" s="26" t="str">
        <f aca="false">Entities!A17</f>
        <v>SA</v>
      </c>
      <c r="B18" s="26" t="str">
        <f aca="false">Entities!B17</f>
        <v>Arab National Bank (affiliate)</v>
      </c>
      <c r="C18" s="31" t="n">
        <f aca="false">IF(COUNTIFS('Residual Calculation'!$A$5:$A$604,$A18,'Residual Calculation'!$D$5:$D$604,C$5,'Residual Calculation'!$G$5:$G$604,"N/A")&gt;0,"N/A",IF(COUNTIFS('Residual Calculation'!$A$5:$A$604,$A18,'Residual Calculation'!$D$5:$D$604,C$5,'Residual Calculation'!$X$5:$X$604,"&gt;0")=0,"",SUMIFS('Residual Calculation'!$X$5:$X$604,'Residual Calculation'!$A$5:$A$604,$A18,'Residual Calculation'!$D$5:$D$604,C$5)))</f>
        <v>2</v>
      </c>
      <c r="D18" s="31" t="n">
        <f aca="false">IF(COUNTIFS('Residual Calculation'!$A$5:$A$604,$A18,'Residual Calculation'!$D$5:$D$604,D$5,'Residual Calculation'!$G$5:$G$604,"N/A")&gt;0,"N/A",IF(COUNTIFS('Residual Calculation'!$A$5:$A$604,$A18,'Residual Calculation'!$D$5:$D$604,D$5,'Residual Calculation'!$X$5:$X$604,"&gt;0")=0,"",SUMIFS('Residual Calculation'!$X$5:$X$604,'Residual Calculation'!$A$5:$A$604,$A18,'Residual Calculation'!$D$5:$D$604,D$5)))</f>
        <v>3</v>
      </c>
      <c r="E18" s="31" t="n">
        <f aca="false">IF(COUNTIFS('Residual Calculation'!$A$5:$A$604,$A18,'Residual Calculation'!$D$5:$D$604,E$5,'Residual Calculation'!$G$5:$G$604,"N/A")&gt;0,"N/A",IF(COUNTIFS('Residual Calculation'!$A$5:$A$604,$A18,'Residual Calculation'!$D$5:$D$604,E$5,'Residual Calculation'!$X$5:$X$604,"&gt;0")=0,"",SUMIFS('Residual Calculation'!$X$5:$X$604,'Residual Calculation'!$A$5:$A$604,$A18,'Residual Calculation'!$D$5:$D$604,E$5)))</f>
        <v>3</v>
      </c>
      <c r="F18" s="31" t="n">
        <f aca="false">IF(COUNTIFS('Residual Calculation'!$A$5:$A$604,$A18,'Residual Calculation'!$D$5:$D$604,F$5,'Residual Calculation'!$G$5:$G$604,"N/A")&gt;0,"N/A",IF(COUNTIFS('Residual Calculation'!$A$5:$A$604,$A18,'Residual Calculation'!$D$5:$D$604,F$5,'Residual Calculation'!$X$5:$X$604,"&gt;0")=0,"",SUMIFS('Residual Calculation'!$X$5:$X$604,'Residual Calculation'!$A$5:$A$604,$A18,'Residual Calculation'!$D$5:$D$604,F$5)))</f>
        <v>3</v>
      </c>
      <c r="G18" s="31" t="n">
        <f aca="false">IF(COUNTIFS('Residual Calculation'!$A$5:$A$604,$A18,'Residual Calculation'!$D$5:$D$604,G$5,'Residual Calculation'!$G$5:$G$604,"N/A")&gt;0,"N/A",IF(COUNTIFS('Residual Calculation'!$A$5:$A$604,$A18,'Residual Calculation'!$D$5:$D$604,G$5,'Residual Calculation'!$X$5:$X$604,"&gt;0")=0,"",SUMIFS('Residual Calculation'!$X$5:$X$604,'Residual Calculation'!$A$5:$A$604,$A18,'Residual Calculation'!$D$5:$D$604,G$5)))</f>
        <v>2</v>
      </c>
      <c r="H18" s="31" t="n">
        <f aca="false">IF(COUNTIFS('Residual Calculation'!$A$5:$A$604,$A18,'Residual Calculation'!$D$5:$D$604,H$5,'Residual Calculation'!$G$5:$G$604,"N/A")&gt;0,"N/A",IF(COUNTIFS('Residual Calculation'!$A$5:$A$604,$A18,'Residual Calculation'!$D$5:$D$604,H$5,'Residual Calculation'!$X$5:$X$604,"&gt;0")=0,"",SUMIFS('Residual Calculation'!$X$5:$X$604,'Residual Calculation'!$A$5:$A$604,$A18,'Residual Calculation'!$D$5:$D$604,H$5)))</f>
        <v>3</v>
      </c>
      <c r="I18" s="31" t="n">
        <f aca="false">IF(COUNTIFS('Residual Calculation'!$A$5:$A$604,$A18,'Residual Calculation'!$D$5:$D$604,I$5,'Residual Calculation'!$G$5:$G$604,"N/A")&gt;0,"N/A",IF(COUNTIFS('Residual Calculation'!$A$5:$A$604,$A18,'Residual Calculation'!$D$5:$D$604,I$5,'Residual Calculation'!$X$5:$X$604,"&gt;0")=0,"",SUMIFS('Residual Calculation'!$X$5:$X$604,'Residual Calculation'!$A$5:$A$604,$A18,'Residual Calculation'!$D$5:$D$604,I$5)))</f>
        <v>2</v>
      </c>
      <c r="J18" s="31" t="n">
        <f aca="false">IF(COUNTIFS('Residual Calculation'!$A$5:$A$604,$A18,'Residual Calculation'!$D$5:$D$604,J$5,'Residual Calculation'!$G$5:$G$604,"N/A")&gt;0,"N/A",IF(COUNTIFS('Residual Calculation'!$A$5:$A$604,$A18,'Residual Calculation'!$D$5:$D$604,J$5,'Residual Calculation'!$X$5:$X$604,"&gt;0")=0,"",SUMIFS('Residual Calculation'!$X$5:$X$604,'Residual Calculation'!$A$5:$A$604,$A18,'Residual Calculation'!$D$5:$D$604,J$5)))</f>
        <v>3</v>
      </c>
      <c r="K18" s="31" t="n">
        <f aca="false">IF(COUNTIFS('Residual Calculation'!$A$5:$A$604,$A18,'Residual Calculation'!$D$5:$D$604,K$5,'Residual Calculation'!$G$5:$G$604,"N/A")&gt;0,"N/A",IF(COUNTIFS('Residual Calculation'!$A$5:$A$604,$A18,'Residual Calculation'!$D$5:$D$604,K$5,'Residual Calculation'!$X$5:$X$604,"&gt;0")=0,"",SUMIFS('Residual Calculation'!$X$5:$X$604,'Residual Calculation'!$A$5:$A$604,$A18,'Residual Calculation'!$D$5:$D$604,K$5)))</f>
        <v>4</v>
      </c>
      <c r="L18" s="31" t="n">
        <f aca="false">IF(COUNTIFS('Residual Calculation'!$A$5:$A$604,$A18,'Residual Calculation'!$D$5:$D$604,L$5,'Residual Calculation'!$G$5:$G$604,"N/A")&gt;0,"N/A",IF(COUNTIFS('Residual Calculation'!$A$5:$A$604,$A18,'Residual Calculation'!$D$5:$D$604,L$5,'Residual Calculation'!$X$5:$X$604,"&gt;0")=0,"",SUMIFS('Residual Calculation'!$X$5:$X$604,'Residual Calculation'!$A$5:$A$604,$A18,'Residual Calculation'!$D$5:$D$604,L$5)))</f>
        <v>1</v>
      </c>
      <c r="M18" s="31" t="str">
        <f aca="false">IF(COUNTIFS('Residual Calculation'!$A$5:$A$604,$A18,'Residual Calculation'!$D$5:$D$604,M$5,'Residual Calculation'!$G$5:$G$604,"N/A")&gt;0,"N/A",IF(COUNTIFS('Residual Calculation'!$A$5:$A$604,$A18,'Residual Calculation'!$D$5:$D$604,M$5,'Residual Calculation'!$X$5:$X$604,"&gt;0")=0,"",SUMIFS('Residual Calculation'!$X$5:$X$604,'Residual Calculation'!$A$5:$A$604,$A18,'Residual Calculation'!$D$5:$D$604,M$5)))</f>
        <v>N/A</v>
      </c>
      <c r="N18" s="31" t="n">
        <f aca="false">IF(COUNTIFS('Residual Calculation'!$A$5:$A$604,$A18,'Residual Calculation'!$D$5:$D$604,N$5,'Residual Calculation'!$G$5:$G$604,"N/A")&gt;0,"N/A",IF(COUNTIFS('Residual Calculation'!$A$5:$A$604,$A18,'Residual Calculation'!$D$5:$D$604,N$5,'Residual Calculation'!$X$5:$X$604,"&gt;0")=0,"",SUMIFS('Residual Calculation'!$X$5:$X$604,'Residual Calculation'!$A$5:$A$604,$A18,'Residual Calculation'!$D$5:$D$604,N$5)))</f>
        <v>1</v>
      </c>
      <c r="O18" s="31" t="n">
        <f aca="false">IF(COUNTIFS('Residual Calculation'!$A$5:$A$604,$A18,'Residual Calculation'!$D$5:$D$604,O$5,'Residual Calculation'!$G$5:$G$604,"N/A")&gt;0,"N/A",IF(COUNTIFS('Residual Calculation'!$A$5:$A$604,$A18,'Residual Calculation'!$D$5:$D$604,O$5,'Residual Calculation'!$X$5:$X$604,"&gt;0")=0,"",SUMIFS('Residual Calculation'!$X$5:$X$604,'Residual Calculation'!$A$5:$A$604,$A18,'Residual Calculation'!$D$5:$D$604,O$5)))</f>
        <v>2</v>
      </c>
      <c r="P18" s="31" t="n">
        <f aca="false">IF(COUNTIFS('Residual Calculation'!$A$5:$A$604,$A18,'Residual Calculation'!$D$5:$D$604,P$5,'Residual Calculation'!$G$5:$G$604,"N/A")&gt;0,"N/A",IF(COUNTIFS('Residual Calculation'!$A$5:$A$604,$A18,'Residual Calculation'!$D$5:$D$604,P$5,'Residual Calculation'!$X$5:$X$604,"&gt;0")=0,"",SUMIFS('Residual Calculation'!$X$5:$X$604,'Residual Calculation'!$A$5:$A$604,$A18,'Residual Calculation'!$D$5:$D$604,P$5)))</f>
        <v>2</v>
      </c>
      <c r="Q18" s="31" t="n">
        <f aca="false">IF(COUNTIFS('Residual Calculation'!$A$5:$A$604,$A18,'Residual Calculation'!$D$5:$D$604,Q$5,'Residual Calculation'!$G$5:$G$604,"N/A")&gt;0,"N/A",IF(COUNTIFS('Residual Calculation'!$A$5:$A$604,$A18,'Residual Calculation'!$D$5:$D$604,Q$5,'Residual Calculation'!$X$5:$X$604,"&gt;0")=0,"",SUMIFS('Residual Calculation'!$X$5:$X$604,'Residual Calculation'!$A$5:$A$604,$A18,'Residual Calculation'!$D$5:$D$604,Q$5)))</f>
        <v>2</v>
      </c>
      <c r="R18" s="31" t="n">
        <f aca="false">IF(COUNTIFS('Residual Calculation'!$A$5:$A$604,$A18,'Residual Calculation'!$D$5:$D$604,R$5,'Residual Calculation'!$G$5:$G$604,"N/A")&gt;0,"N/A",IF(COUNTIFS('Residual Calculation'!$A$5:$A$604,$A18,'Residual Calculation'!$D$5:$D$604,R$5,'Residual Calculation'!$X$5:$X$604,"&gt;0")=0,"",SUMIFS('Residual Calculation'!$X$5:$X$604,'Residual Calculation'!$A$5:$A$604,$A18,'Residual Calculation'!$D$5:$D$604,R$5)))</f>
        <v>2</v>
      </c>
      <c r="S18" s="31" t="n">
        <f aca="false">IF(COUNTIFS('Residual Calculation'!$A$5:$A$604,$A18,'Residual Calculation'!$D$5:$D$604,S$5,'Residual Calculation'!$G$5:$G$604,"N/A")&gt;0,"N/A",IF(COUNTIFS('Residual Calculation'!$A$5:$A$604,$A18,'Residual Calculation'!$D$5:$D$604,S$5,'Residual Calculation'!$X$5:$X$604,"&gt;0")=0,"",SUMIFS('Residual Calculation'!$X$5:$X$604,'Residual Calculation'!$A$5:$A$604,$A18,'Residual Calculation'!$D$5:$D$604,S$5)))</f>
        <v>2</v>
      </c>
      <c r="T18" s="31" t="n">
        <f aca="false">IF(COUNTIFS('Residual Calculation'!$A$5:$A$604,$A18,'Residual Calculation'!$D$5:$D$604,T$5,'Residual Calculation'!$G$5:$G$604,"N/A")&gt;0,"N/A",IF(COUNTIFS('Residual Calculation'!$A$5:$A$604,$A18,'Residual Calculation'!$D$5:$D$604,T$5,'Residual Calculation'!$X$5:$X$604,"&gt;0")=0,"",SUMIFS('Residual Calculation'!$X$5:$X$604,'Residual Calculation'!$A$5:$A$604,$A18,'Residual Calculation'!$D$5:$D$604,T$5)))</f>
        <v>1</v>
      </c>
      <c r="U18" s="31" t="n">
        <f aca="false">IF(COUNTIFS('Residual Calculation'!$A$5:$A$604,$A18,'Residual Calculation'!$D$5:$D$604,U$5,'Residual Calculation'!$G$5:$G$604,"N/A")&gt;0,"N/A",IF(COUNTIFS('Residual Calculation'!$A$5:$A$604,$A18,'Residual Calculation'!$D$5:$D$604,U$5,'Residual Calculation'!$X$5:$X$604,"&gt;0")=0,"",SUMIFS('Residual Calculation'!$X$5:$X$604,'Residual Calculation'!$A$5:$A$604,$A18,'Residual Calculation'!$D$5:$D$604,U$5)))</f>
        <v>1</v>
      </c>
      <c r="V18" s="31" t="n">
        <f aca="false">IF(COUNTIFS('Residual Calculation'!$A$5:$A$604,$A18,'Residual Calculation'!$D$5:$D$604,V$5,'Residual Calculation'!$G$5:$G$604,"N/A")&gt;0,"N/A",IF(COUNTIFS('Residual Calculation'!$A$5:$A$604,$A18,'Residual Calculation'!$D$5:$D$604,V$5,'Residual Calculation'!$X$5:$X$604,"&gt;0")=0,"",SUMIFS('Residual Calculation'!$X$5:$X$604,'Residual Calculation'!$A$5:$A$604,$A18,'Residual Calculation'!$D$5:$D$604,V$5)))</f>
        <v>2</v>
      </c>
      <c r="W18" s="34" t="n">
        <f aca="false">MAX(C18:V18)</f>
        <v>4</v>
      </c>
      <c r="X18" s="29" t="n">
        <f aca="false">IFERROR(AVERAGE(C18:V18),"")</f>
        <v>2.15789473684211</v>
      </c>
      <c r="Y18" s="31" t="n">
        <f aca="false">COUNTIFS('Residual Calculation'!$A$5:$A$604,$A18,'Residual Calculation'!$AC$5:$AC$604,"Amber")</f>
        <v>4</v>
      </c>
      <c r="Z18" s="31" t="n">
        <f aca="false">COUNTIFS('Residual Calculation'!$A$5:$A$604,$A18,'Residual Calculation'!$AC$5:$AC$604,"Red")</f>
        <v>3</v>
      </c>
    </row>
    <row r="19" customFormat="false" ht="15" hidden="false" customHeight="false" outlineLevel="0" collapsed="false">
      <c r="A19" s="26" t="str">
        <f aca="false">Entities!A18</f>
        <v>OM</v>
      </c>
      <c r="B19" s="26" t="str">
        <f aca="false">Entities!B18</f>
        <v>Oman Arab Bank (affiliate)</v>
      </c>
      <c r="C19" s="31" t="n">
        <f aca="false">IF(COUNTIFS('Residual Calculation'!$A$5:$A$604,$A19,'Residual Calculation'!$D$5:$D$604,C$5,'Residual Calculation'!$G$5:$G$604,"N/A")&gt;0,"N/A",IF(COUNTIFS('Residual Calculation'!$A$5:$A$604,$A19,'Residual Calculation'!$D$5:$D$604,C$5,'Residual Calculation'!$X$5:$X$604,"&gt;0")=0,"",SUMIFS('Residual Calculation'!$X$5:$X$604,'Residual Calculation'!$A$5:$A$604,$A19,'Residual Calculation'!$D$5:$D$604,C$5)))</f>
        <v>2</v>
      </c>
      <c r="D19" s="31" t="n">
        <f aca="false">IF(COUNTIFS('Residual Calculation'!$A$5:$A$604,$A19,'Residual Calculation'!$D$5:$D$604,D$5,'Residual Calculation'!$G$5:$G$604,"N/A")&gt;0,"N/A",IF(COUNTIFS('Residual Calculation'!$A$5:$A$604,$A19,'Residual Calculation'!$D$5:$D$604,D$5,'Residual Calculation'!$X$5:$X$604,"&gt;0")=0,"",SUMIFS('Residual Calculation'!$X$5:$X$604,'Residual Calculation'!$A$5:$A$604,$A19,'Residual Calculation'!$D$5:$D$604,D$5)))</f>
        <v>2</v>
      </c>
      <c r="E19" s="31" t="n">
        <f aca="false">IF(COUNTIFS('Residual Calculation'!$A$5:$A$604,$A19,'Residual Calculation'!$D$5:$D$604,E$5,'Residual Calculation'!$G$5:$G$604,"N/A")&gt;0,"N/A",IF(COUNTIFS('Residual Calculation'!$A$5:$A$604,$A19,'Residual Calculation'!$D$5:$D$604,E$5,'Residual Calculation'!$X$5:$X$604,"&gt;0")=0,"",SUMIFS('Residual Calculation'!$X$5:$X$604,'Residual Calculation'!$A$5:$A$604,$A19,'Residual Calculation'!$D$5:$D$604,E$5)))</f>
        <v>2</v>
      </c>
      <c r="F19" s="31" t="n">
        <f aca="false">IF(COUNTIFS('Residual Calculation'!$A$5:$A$604,$A19,'Residual Calculation'!$D$5:$D$604,F$5,'Residual Calculation'!$G$5:$G$604,"N/A")&gt;0,"N/A",IF(COUNTIFS('Residual Calculation'!$A$5:$A$604,$A19,'Residual Calculation'!$D$5:$D$604,F$5,'Residual Calculation'!$X$5:$X$604,"&gt;0")=0,"",SUMIFS('Residual Calculation'!$X$5:$X$604,'Residual Calculation'!$A$5:$A$604,$A19,'Residual Calculation'!$D$5:$D$604,F$5)))</f>
        <v>2</v>
      </c>
      <c r="G19" s="31" t="n">
        <f aca="false">IF(COUNTIFS('Residual Calculation'!$A$5:$A$604,$A19,'Residual Calculation'!$D$5:$D$604,G$5,'Residual Calculation'!$G$5:$G$604,"N/A")&gt;0,"N/A",IF(COUNTIFS('Residual Calculation'!$A$5:$A$604,$A19,'Residual Calculation'!$D$5:$D$604,G$5,'Residual Calculation'!$X$5:$X$604,"&gt;0")=0,"",SUMIFS('Residual Calculation'!$X$5:$X$604,'Residual Calculation'!$A$5:$A$604,$A19,'Residual Calculation'!$D$5:$D$604,G$5)))</f>
        <v>2</v>
      </c>
      <c r="H19" s="31" t="n">
        <f aca="false">IF(COUNTIFS('Residual Calculation'!$A$5:$A$604,$A19,'Residual Calculation'!$D$5:$D$604,H$5,'Residual Calculation'!$G$5:$G$604,"N/A")&gt;0,"N/A",IF(COUNTIFS('Residual Calculation'!$A$5:$A$604,$A19,'Residual Calculation'!$D$5:$D$604,H$5,'Residual Calculation'!$X$5:$X$604,"&gt;0")=0,"",SUMIFS('Residual Calculation'!$X$5:$X$604,'Residual Calculation'!$A$5:$A$604,$A19,'Residual Calculation'!$D$5:$D$604,H$5)))</f>
        <v>3</v>
      </c>
      <c r="I19" s="31" t="n">
        <f aca="false">IF(COUNTIFS('Residual Calculation'!$A$5:$A$604,$A19,'Residual Calculation'!$D$5:$D$604,I$5,'Residual Calculation'!$G$5:$G$604,"N/A")&gt;0,"N/A",IF(COUNTIFS('Residual Calculation'!$A$5:$A$604,$A19,'Residual Calculation'!$D$5:$D$604,I$5,'Residual Calculation'!$X$5:$X$604,"&gt;0")=0,"",SUMIFS('Residual Calculation'!$X$5:$X$604,'Residual Calculation'!$A$5:$A$604,$A19,'Residual Calculation'!$D$5:$D$604,I$5)))</f>
        <v>2</v>
      </c>
      <c r="J19" s="31" t="n">
        <f aca="false">IF(COUNTIFS('Residual Calculation'!$A$5:$A$604,$A19,'Residual Calculation'!$D$5:$D$604,J$5,'Residual Calculation'!$G$5:$G$604,"N/A")&gt;0,"N/A",IF(COUNTIFS('Residual Calculation'!$A$5:$A$604,$A19,'Residual Calculation'!$D$5:$D$604,J$5,'Residual Calculation'!$X$5:$X$604,"&gt;0")=0,"",SUMIFS('Residual Calculation'!$X$5:$X$604,'Residual Calculation'!$A$5:$A$604,$A19,'Residual Calculation'!$D$5:$D$604,J$5)))</f>
        <v>2</v>
      </c>
      <c r="K19" s="31" t="n">
        <f aca="false">IF(COUNTIFS('Residual Calculation'!$A$5:$A$604,$A19,'Residual Calculation'!$D$5:$D$604,K$5,'Residual Calculation'!$G$5:$G$604,"N/A")&gt;0,"N/A",IF(COUNTIFS('Residual Calculation'!$A$5:$A$604,$A19,'Residual Calculation'!$D$5:$D$604,K$5,'Residual Calculation'!$X$5:$X$604,"&gt;0")=0,"",SUMIFS('Residual Calculation'!$X$5:$X$604,'Residual Calculation'!$A$5:$A$604,$A19,'Residual Calculation'!$D$5:$D$604,K$5)))</f>
        <v>2</v>
      </c>
      <c r="L19" s="31" t="n">
        <f aca="false">IF(COUNTIFS('Residual Calculation'!$A$5:$A$604,$A19,'Residual Calculation'!$D$5:$D$604,L$5,'Residual Calculation'!$G$5:$G$604,"N/A")&gt;0,"N/A",IF(COUNTIFS('Residual Calculation'!$A$5:$A$604,$A19,'Residual Calculation'!$D$5:$D$604,L$5,'Residual Calculation'!$X$5:$X$604,"&gt;0")=0,"",SUMIFS('Residual Calculation'!$X$5:$X$604,'Residual Calculation'!$A$5:$A$604,$A19,'Residual Calculation'!$D$5:$D$604,L$5)))</f>
        <v>2</v>
      </c>
      <c r="M19" s="31" t="str">
        <f aca="false">IF(COUNTIFS('Residual Calculation'!$A$5:$A$604,$A19,'Residual Calculation'!$D$5:$D$604,M$5,'Residual Calculation'!$G$5:$G$604,"N/A")&gt;0,"N/A",IF(COUNTIFS('Residual Calculation'!$A$5:$A$604,$A19,'Residual Calculation'!$D$5:$D$604,M$5,'Residual Calculation'!$X$5:$X$604,"&gt;0")=0,"",SUMIFS('Residual Calculation'!$X$5:$X$604,'Residual Calculation'!$A$5:$A$604,$A19,'Residual Calculation'!$D$5:$D$604,M$5)))</f>
        <v>N/A</v>
      </c>
      <c r="N19" s="31" t="n">
        <f aca="false">IF(COUNTIFS('Residual Calculation'!$A$5:$A$604,$A19,'Residual Calculation'!$D$5:$D$604,N$5,'Residual Calculation'!$G$5:$G$604,"N/A")&gt;0,"N/A",IF(COUNTIFS('Residual Calculation'!$A$5:$A$604,$A19,'Residual Calculation'!$D$5:$D$604,N$5,'Residual Calculation'!$X$5:$X$604,"&gt;0")=0,"",SUMIFS('Residual Calculation'!$X$5:$X$604,'Residual Calculation'!$A$5:$A$604,$A19,'Residual Calculation'!$D$5:$D$604,N$5)))</f>
        <v>1</v>
      </c>
      <c r="O19" s="31" t="n">
        <f aca="false">IF(COUNTIFS('Residual Calculation'!$A$5:$A$604,$A19,'Residual Calculation'!$D$5:$D$604,O$5,'Residual Calculation'!$G$5:$G$604,"N/A")&gt;0,"N/A",IF(COUNTIFS('Residual Calculation'!$A$5:$A$604,$A19,'Residual Calculation'!$D$5:$D$604,O$5,'Residual Calculation'!$X$5:$X$604,"&gt;0")=0,"",SUMIFS('Residual Calculation'!$X$5:$X$604,'Residual Calculation'!$A$5:$A$604,$A19,'Residual Calculation'!$D$5:$D$604,O$5)))</f>
        <v>1</v>
      </c>
      <c r="P19" s="31" t="n">
        <f aca="false">IF(COUNTIFS('Residual Calculation'!$A$5:$A$604,$A19,'Residual Calculation'!$D$5:$D$604,P$5,'Residual Calculation'!$G$5:$G$604,"N/A")&gt;0,"N/A",IF(COUNTIFS('Residual Calculation'!$A$5:$A$604,$A19,'Residual Calculation'!$D$5:$D$604,P$5,'Residual Calculation'!$X$5:$X$604,"&gt;0")=0,"",SUMIFS('Residual Calculation'!$X$5:$X$604,'Residual Calculation'!$A$5:$A$604,$A19,'Residual Calculation'!$D$5:$D$604,P$5)))</f>
        <v>2</v>
      </c>
      <c r="Q19" s="31" t="n">
        <f aca="false">IF(COUNTIFS('Residual Calculation'!$A$5:$A$604,$A19,'Residual Calculation'!$D$5:$D$604,Q$5,'Residual Calculation'!$G$5:$G$604,"N/A")&gt;0,"N/A",IF(COUNTIFS('Residual Calculation'!$A$5:$A$604,$A19,'Residual Calculation'!$D$5:$D$604,Q$5,'Residual Calculation'!$X$5:$X$604,"&gt;0")=0,"",SUMIFS('Residual Calculation'!$X$5:$X$604,'Residual Calculation'!$A$5:$A$604,$A19,'Residual Calculation'!$D$5:$D$604,Q$5)))</f>
        <v>3</v>
      </c>
      <c r="R19" s="31" t="n">
        <f aca="false">IF(COUNTIFS('Residual Calculation'!$A$5:$A$604,$A19,'Residual Calculation'!$D$5:$D$604,R$5,'Residual Calculation'!$G$5:$G$604,"N/A")&gt;0,"N/A",IF(COUNTIFS('Residual Calculation'!$A$5:$A$604,$A19,'Residual Calculation'!$D$5:$D$604,R$5,'Residual Calculation'!$X$5:$X$604,"&gt;0")=0,"",SUMIFS('Residual Calculation'!$X$5:$X$604,'Residual Calculation'!$A$5:$A$604,$A19,'Residual Calculation'!$D$5:$D$604,R$5)))</f>
        <v>3</v>
      </c>
      <c r="S19" s="31" t="n">
        <f aca="false">IF(COUNTIFS('Residual Calculation'!$A$5:$A$604,$A19,'Residual Calculation'!$D$5:$D$604,S$5,'Residual Calculation'!$G$5:$G$604,"N/A")&gt;0,"N/A",IF(COUNTIFS('Residual Calculation'!$A$5:$A$604,$A19,'Residual Calculation'!$D$5:$D$604,S$5,'Residual Calculation'!$X$5:$X$604,"&gt;0")=0,"",SUMIFS('Residual Calculation'!$X$5:$X$604,'Residual Calculation'!$A$5:$A$604,$A19,'Residual Calculation'!$D$5:$D$604,S$5)))</f>
        <v>1</v>
      </c>
      <c r="T19" s="31" t="n">
        <f aca="false">IF(COUNTIFS('Residual Calculation'!$A$5:$A$604,$A19,'Residual Calculation'!$D$5:$D$604,T$5,'Residual Calculation'!$G$5:$G$604,"N/A")&gt;0,"N/A",IF(COUNTIFS('Residual Calculation'!$A$5:$A$604,$A19,'Residual Calculation'!$D$5:$D$604,T$5,'Residual Calculation'!$X$5:$X$604,"&gt;0")=0,"",SUMIFS('Residual Calculation'!$X$5:$X$604,'Residual Calculation'!$A$5:$A$604,$A19,'Residual Calculation'!$D$5:$D$604,T$5)))</f>
        <v>2</v>
      </c>
      <c r="U19" s="31" t="n">
        <f aca="false">IF(COUNTIFS('Residual Calculation'!$A$5:$A$604,$A19,'Residual Calculation'!$D$5:$D$604,U$5,'Residual Calculation'!$G$5:$G$604,"N/A")&gt;0,"N/A",IF(COUNTIFS('Residual Calculation'!$A$5:$A$604,$A19,'Residual Calculation'!$D$5:$D$604,U$5,'Residual Calculation'!$X$5:$X$604,"&gt;0")=0,"",SUMIFS('Residual Calculation'!$X$5:$X$604,'Residual Calculation'!$A$5:$A$604,$A19,'Residual Calculation'!$D$5:$D$604,U$5)))</f>
        <v>2</v>
      </c>
      <c r="V19" s="31" t="n">
        <f aca="false">IF(COUNTIFS('Residual Calculation'!$A$5:$A$604,$A19,'Residual Calculation'!$D$5:$D$604,V$5,'Residual Calculation'!$G$5:$G$604,"N/A")&gt;0,"N/A",IF(COUNTIFS('Residual Calculation'!$A$5:$A$604,$A19,'Residual Calculation'!$D$5:$D$604,V$5,'Residual Calculation'!$X$5:$X$604,"&gt;0")=0,"",SUMIFS('Residual Calculation'!$X$5:$X$604,'Residual Calculation'!$A$5:$A$604,$A19,'Residual Calculation'!$D$5:$D$604,V$5)))</f>
        <v>2</v>
      </c>
      <c r="W19" s="34" t="n">
        <f aca="false">MAX(C19:V19)</f>
        <v>3</v>
      </c>
      <c r="X19" s="29" t="n">
        <f aca="false">IFERROR(AVERAGE(C19:V19),"")</f>
        <v>2</v>
      </c>
      <c r="Y19" s="31" t="n">
        <f aca="false">COUNTIFS('Residual Calculation'!$A$5:$A$604,$A19,'Residual Calculation'!$AC$5:$AC$604,"Amber")</f>
        <v>6</v>
      </c>
      <c r="Z19" s="31" t="n">
        <f aca="false">COUNTIFS('Residual Calculation'!$A$5:$A$604,$A19,'Residual Calculation'!$AC$5:$AC$604,"Red")</f>
        <v>0</v>
      </c>
    </row>
    <row r="20" customFormat="false" ht="15" hidden="false" customHeight="false" outlineLevel="0" collapsed="false">
      <c r="A20" s="26" t="str">
        <f aca="false">Entities!A19</f>
        <v>IQ</v>
      </c>
      <c r="B20" s="26" t="str">
        <f aca="false">Entities!B19</f>
        <v>Arab Bank Iraq</v>
      </c>
      <c r="C20" s="31" t="n">
        <f aca="false">IF(COUNTIFS('Residual Calculation'!$A$5:$A$604,$A20,'Residual Calculation'!$D$5:$D$604,C$5,'Residual Calculation'!$G$5:$G$604,"N/A")&gt;0,"N/A",IF(COUNTIFS('Residual Calculation'!$A$5:$A$604,$A20,'Residual Calculation'!$D$5:$D$604,C$5,'Residual Calculation'!$X$5:$X$604,"&gt;0")=0,"",SUMIFS('Residual Calculation'!$X$5:$X$604,'Residual Calculation'!$A$5:$A$604,$A20,'Residual Calculation'!$D$5:$D$604,C$5)))</f>
        <v>4</v>
      </c>
      <c r="D20" s="31" t="n">
        <f aca="false">IF(COUNTIFS('Residual Calculation'!$A$5:$A$604,$A20,'Residual Calculation'!$D$5:$D$604,D$5,'Residual Calculation'!$G$5:$G$604,"N/A")&gt;0,"N/A",IF(COUNTIFS('Residual Calculation'!$A$5:$A$604,$A20,'Residual Calculation'!$D$5:$D$604,D$5,'Residual Calculation'!$X$5:$X$604,"&gt;0")=0,"",SUMIFS('Residual Calculation'!$X$5:$X$604,'Residual Calculation'!$A$5:$A$604,$A20,'Residual Calculation'!$D$5:$D$604,D$5)))</f>
        <v>3</v>
      </c>
      <c r="E20" s="31" t="n">
        <f aca="false">IF(COUNTIFS('Residual Calculation'!$A$5:$A$604,$A20,'Residual Calculation'!$D$5:$D$604,E$5,'Residual Calculation'!$G$5:$G$604,"N/A")&gt;0,"N/A",IF(COUNTIFS('Residual Calculation'!$A$5:$A$604,$A20,'Residual Calculation'!$D$5:$D$604,E$5,'Residual Calculation'!$X$5:$X$604,"&gt;0")=0,"",SUMIFS('Residual Calculation'!$X$5:$X$604,'Residual Calculation'!$A$5:$A$604,$A20,'Residual Calculation'!$D$5:$D$604,E$5)))</f>
        <v>4</v>
      </c>
      <c r="F20" s="31" t="n">
        <f aca="false">IF(COUNTIFS('Residual Calculation'!$A$5:$A$604,$A20,'Residual Calculation'!$D$5:$D$604,F$5,'Residual Calculation'!$G$5:$G$604,"N/A")&gt;0,"N/A",IF(COUNTIFS('Residual Calculation'!$A$5:$A$604,$A20,'Residual Calculation'!$D$5:$D$604,F$5,'Residual Calculation'!$X$5:$X$604,"&gt;0")=0,"",SUMIFS('Residual Calculation'!$X$5:$X$604,'Residual Calculation'!$A$5:$A$604,$A20,'Residual Calculation'!$D$5:$D$604,F$5)))</f>
        <v>3</v>
      </c>
      <c r="G20" s="31" t="n">
        <f aca="false">IF(COUNTIFS('Residual Calculation'!$A$5:$A$604,$A20,'Residual Calculation'!$D$5:$D$604,G$5,'Residual Calculation'!$G$5:$G$604,"N/A")&gt;0,"N/A",IF(COUNTIFS('Residual Calculation'!$A$5:$A$604,$A20,'Residual Calculation'!$D$5:$D$604,G$5,'Residual Calculation'!$X$5:$X$604,"&gt;0")=0,"",SUMIFS('Residual Calculation'!$X$5:$X$604,'Residual Calculation'!$A$5:$A$604,$A20,'Residual Calculation'!$D$5:$D$604,G$5)))</f>
        <v>3</v>
      </c>
      <c r="H20" s="31" t="n">
        <f aca="false">IF(COUNTIFS('Residual Calculation'!$A$5:$A$604,$A20,'Residual Calculation'!$D$5:$D$604,H$5,'Residual Calculation'!$G$5:$G$604,"N/A")&gt;0,"N/A",IF(COUNTIFS('Residual Calculation'!$A$5:$A$604,$A20,'Residual Calculation'!$D$5:$D$604,H$5,'Residual Calculation'!$X$5:$X$604,"&gt;0")=0,"",SUMIFS('Residual Calculation'!$X$5:$X$604,'Residual Calculation'!$A$5:$A$604,$A20,'Residual Calculation'!$D$5:$D$604,H$5)))</f>
        <v>4</v>
      </c>
      <c r="I20" s="31" t="n">
        <f aca="false">IF(COUNTIFS('Residual Calculation'!$A$5:$A$604,$A20,'Residual Calculation'!$D$5:$D$604,I$5,'Residual Calculation'!$G$5:$G$604,"N/A")&gt;0,"N/A",IF(COUNTIFS('Residual Calculation'!$A$5:$A$604,$A20,'Residual Calculation'!$D$5:$D$604,I$5,'Residual Calculation'!$X$5:$X$604,"&gt;0")=0,"",SUMIFS('Residual Calculation'!$X$5:$X$604,'Residual Calculation'!$A$5:$A$604,$A20,'Residual Calculation'!$D$5:$D$604,I$5)))</f>
        <v>4</v>
      </c>
      <c r="J20" s="31" t="n">
        <f aca="false">IF(COUNTIFS('Residual Calculation'!$A$5:$A$604,$A20,'Residual Calculation'!$D$5:$D$604,J$5,'Residual Calculation'!$G$5:$G$604,"N/A")&gt;0,"N/A",IF(COUNTIFS('Residual Calculation'!$A$5:$A$604,$A20,'Residual Calculation'!$D$5:$D$604,J$5,'Residual Calculation'!$X$5:$X$604,"&gt;0")=0,"",SUMIFS('Residual Calculation'!$X$5:$X$604,'Residual Calculation'!$A$5:$A$604,$A20,'Residual Calculation'!$D$5:$D$604,J$5)))</f>
        <v>4</v>
      </c>
      <c r="K20" s="31" t="n">
        <f aca="false">IF(COUNTIFS('Residual Calculation'!$A$5:$A$604,$A20,'Residual Calculation'!$D$5:$D$604,K$5,'Residual Calculation'!$G$5:$G$604,"N/A")&gt;0,"N/A",IF(COUNTIFS('Residual Calculation'!$A$5:$A$604,$A20,'Residual Calculation'!$D$5:$D$604,K$5,'Residual Calculation'!$X$5:$X$604,"&gt;0")=0,"",SUMIFS('Residual Calculation'!$X$5:$X$604,'Residual Calculation'!$A$5:$A$604,$A20,'Residual Calculation'!$D$5:$D$604,K$5)))</f>
        <v>2</v>
      </c>
      <c r="L20" s="31" t="n">
        <f aca="false">IF(COUNTIFS('Residual Calculation'!$A$5:$A$604,$A20,'Residual Calculation'!$D$5:$D$604,L$5,'Residual Calculation'!$G$5:$G$604,"N/A")&gt;0,"N/A",IF(COUNTIFS('Residual Calculation'!$A$5:$A$604,$A20,'Residual Calculation'!$D$5:$D$604,L$5,'Residual Calculation'!$X$5:$X$604,"&gt;0")=0,"",SUMIFS('Residual Calculation'!$X$5:$X$604,'Residual Calculation'!$A$5:$A$604,$A20,'Residual Calculation'!$D$5:$D$604,L$5)))</f>
        <v>5</v>
      </c>
      <c r="M20" s="31" t="str">
        <f aca="false">IF(COUNTIFS('Residual Calculation'!$A$5:$A$604,$A20,'Residual Calculation'!$D$5:$D$604,M$5,'Residual Calculation'!$G$5:$G$604,"N/A")&gt;0,"N/A",IF(COUNTIFS('Residual Calculation'!$A$5:$A$604,$A20,'Residual Calculation'!$D$5:$D$604,M$5,'Residual Calculation'!$X$5:$X$604,"&gt;0")=0,"",SUMIFS('Residual Calculation'!$X$5:$X$604,'Residual Calculation'!$A$5:$A$604,$A20,'Residual Calculation'!$D$5:$D$604,M$5)))</f>
        <v>N/A</v>
      </c>
      <c r="N20" s="31" t="n">
        <f aca="false">IF(COUNTIFS('Residual Calculation'!$A$5:$A$604,$A20,'Residual Calculation'!$D$5:$D$604,N$5,'Residual Calculation'!$G$5:$G$604,"N/A")&gt;0,"N/A",IF(COUNTIFS('Residual Calculation'!$A$5:$A$604,$A20,'Residual Calculation'!$D$5:$D$604,N$5,'Residual Calculation'!$X$5:$X$604,"&gt;0")=0,"",SUMIFS('Residual Calculation'!$X$5:$X$604,'Residual Calculation'!$A$5:$A$604,$A20,'Residual Calculation'!$D$5:$D$604,N$5)))</f>
        <v>4</v>
      </c>
      <c r="O20" s="31" t="n">
        <f aca="false">IF(COUNTIFS('Residual Calculation'!$A$5:$A$604,$A20,'Residual Calculation'!$D$5:$D$604,O$5,'Residual Calculation'!$G$5:$G$604,"N/A")&gt;0,"N/A",IF(COUNTIFS('Residual Calculation'!$A$5:$A$604,$A20,'Residual Calculation'!$D$5:$D$604,O$5,'Residual Calculation'!$X$5:$X$604,"&gt;0")=0,"",SUMIFS('Residual Calculation'!$X$5:$X$604,'Residual Calculation'!$A$5:$A$604,$A20,'Residual Calculation'!$D$5:$D$604,O$5)))</f>
        <v>4</v>
      </c>
      <c r="P20" s="31" t="n">
        <f aca="false">IF(COUNTIFS('Residual Calculation'!$A$5:$A$604,$A20,'Residual Calculation'!$D$5:$D$604,P$5,'Residual Calculation'!$G$5:$G$604,"N/A")&gt;0,"N/A",IF(COUNTIFS('Residual Calculation'!$A$5:$A$604,$A20,'Residual Calculation'!$D$5:$D$604,P$5,'Residual Calculation'!$X$5:$X$604,"&gt;0")=0,"",SUMIFS('Residual Calculation'!$X$5:$X$604,'Residual Calculation'!$A$5:$A$604,$A20,'Residual Calculation'!$D$5:$D$604,P$5)))</f>
        <v>4</v>
      </c>
      <c r="Q20" s="31" t="n">
        <f aca="false">IF(COUNTIFS('Residual Calculation'!$A$5:$A$604,$A20,'Residual Calculation'!$D$5:$D$604,Q$5,'Residual Calculation'!$G$5:$G$604,"N/A")&gt;0,"N/A",IF(COUNTIFS('Residual Calculation'!$A$5:$A$604,$A20,'Residual Calculation'!$D$5:$D$604,Q$5,'Residual Calculation'!$X$5:$X$604,"&gt;0")=0,"",SUMIFS('Residual Calculation'!$X$5:$X$604,'Residual Calculation'!$A$5:$A$604,$A20,'Residual Calculation'!$D$5:$D$604,Q$5)))</f>
        <v>5</v>
      </c>
      <c r="R20" s="31" t="n">
        <f aca="false">IF(COUNTIFS('Residual Calculation'!$A$5:$A$604,$A20,'Residual Calculation'!$D$5:$D$604,R$5,'Residual Calculation'!$G$5:$G$604,"N/A")&gt;0,"N/A",IF(COUNTIFS('Residual Calculation'!$A$5:$A$604,$A20,'Residual Calculation'!$D$5:$D$604,R$5,'Residual Calculation'!$X$5:$X$604,"&gt;0")=0,"",SUMIFS('Residual Calculation'!$X$5:$X$604,'Residual Calculation'!$A$5:$A$604,$A20,'Residual Calculation'!$D$5:$D$604,R$5)))</f>
        <v>4</v>
      </c>
      <c r="S20" s="31" t="n">
        <f aca="false">IF(COUNTIFS('Residual Calculation'!$A$5:$A$604,$A20,'Residual Calculation'!$D$5:$D$604,S$5,'Residual Calculation'!$G$5:$G$604,"N/A")&gt;0,"N/A",IF(COUNTIFS('Residual Calculation'!$A$5:$A$604,$A20,'Residual Calculation'!$D$5:$D$604,S$5,'Residual Calculation'!$X$5:$X$604,"&gt;0")=0,"",SUMIFS('Residual Calculation'!$X$5:$X$604,'Residual Calculation'!$A$5:$A$604,$A20,'Residual Calculation'!$D$5:$D$604,S$5)))</f>
        <v>3</v>
      </c>
      <c r="T20" s="31" t="n">
        <f aca="false">IF(COUNTIFS('Residual Calculation'!$A$5:$A$604,$A20,'Residual Calculation'!$D$5:$D$604,T$5,'Residual Calculation'!$G$5:$G$604,"N/A")&gt;0,"N/A",IF(COUNTIFS('Residual Calculation'!$A$5:$A$604,$A20,'Residual Calculation'!$D$5:$D$604,T$5,'Residual Calculation'!$X$5:$X$604,"&gt;0")=0,"",SUMIFS('Residual Calculation'!$X$5:$X$604,'Residual Calculation'!$A$5:$A$604,$A20,'Residual Calculation'!$D$5:$D$604,T$5)))</f>
        <v>3</v>
      </c>
      <c r="U20" s="31" t="n">
        <f aca="false">IF(COUNTIFS('Residual Calculation'!$A$5:$A$604,$A20,'Residual Calculation'!$D$5:$D$604,U$5,'Residual Calculation'!$G$5:$G$604,"N/A")&gt;0,"N/A",IF(COUNTIFS('Residual Calculation'!$A$5:$A$604,$A20,'Residual Calculation'!$D$5:$D$604,U$5,'Residual Calculation'!$X$5:$X$604,"&gt;0")=0,"",SUMIFS('Residual Calculation'!$X$5:$X$604,'Residual Calculation'!$A$5:$A$604,$A20,'Residual Calculation'!$D$5:$D$604,U$5)))</f>
        <v>5</v>
      </c>
      <c r="V20" s="31" t="n">
        <f aca="false">IF(COUNTIFS('Residual Calculation'!$A$5:$A$604,$A20,'Residual Calculation'!$D$5:$D$604,V$5,'Residual Calculation'!$G$5:$G$604,"N/A")&gt;0,"N/A",IF(COUNTIFS('Residual Calculation'!$A$5:$A$604,$A20,'Residual Calculation'!$D$5:$D$604,V$5,'Residual Calculation'!$X$5:$X$604,"&gt;0")=0,"",SUMIFS('Residual Calculation'!$X$5:$X$604,'Residual Calculation'!$A$5:$A$604,$A20,'Residual Calculation'!$D$5:$D$604,V$5)))</f>
        <v>4</v>
      </c>
      <c r="W20" s="34" t="n">
        <f aca="false">MAX(C20:V20)</f>
        <v>5</v>
      </c>
      <c r="X20" s="29" t="n">
        <f aca="false">IFERROR(AVERAGE(C20:V20),"")</f>
        <v>3.78947368421053</v>
      </c>
      <c r="Y20" s="31" t="n">
        <f aca="false">COUNTIFS('Residual Calculation'!$A$5:$A$604,$A20,'Residual Calculation'!$AC$5:$AC$604,"Amber")</f>
        <v>3</v>
      </c>
      <c r="Z20" s="31" t="n">
        <f aca="false">COUNTIFS('Residual Calculation'!$A$5:$A$604,$A20,'Residual Calculation'!$AC$5:$AC$604,"Red")</f>
        <v>11</v>
      </c>
    </row>
    <row r="21" customFormat="false" ht="15" hidden="false" customHeight="false" outlineLevel="0" collapsed="false">
      <c r="A21" s="26" t="str">
        <f aca="false">Entities!A20</f>
        <v>YE</v>
      </c>
      <c r="B21" s="26" t="str">
        <f aca="false">Entities!B20</f>
        <v>Arab Bank – Yemen</v>
      </c>
      <c r="C21" s="31" t="n">
        <f aca="false">IF(COUNTIFS('Residual Calculation'!$A$5:$A$604,$A21,'Residual Calculation'!$D$5:$D$604,C$5,'Residual Calculation'!$G$5:$G$604,"N/A")&gt;0,"N/A",IF(COUNTIFS('Residual Calculation'!$A$5:$A$604,$A21,'Residual Calculation'!$D$5:$D$604,C$5,'Residual Calculation'!$X$5:$X$604,"&gt;0")=0,"",SUMIFS('Residual Calculation'!$X$5:$X$604,'Residual Calculation'!$A$5:$A$604,$A21,'Residual Calculation'!$D$5:$D$604,C$5)))</f>
        <v>4</v>
      </c>
      <c r="D21" s="31" t="n">
        <f aca="false">IF(COUNTIFS('Residual Calculation'!$A$5:$A$604,$A21,'Residual Calculation'!$D$5:$D$604,D$5,'Residual Calculation'!$G$5:$G$604,"N/A")&gt;0,"N/A",IF(COUNTIFS('Residual Calculation'!$A$5:$A$604,$A21,'Residual Calculation'!$D$5:$D$604,D$5,'Residual Calculation'!$X$5:$X$604,"&gt;0")=0,"",SUMIFS('Residual Calculation'!$X$5:$X$604,'Residual Calculation'!$A$5:$A$604,$A21,'Residual Calculation'!$D$5:$D$604,D$5)))</f>
        <v>4</v>
      </c>
      <c r="E21" s="31" t="n">
        <f aca="false">IF(COUNTIFS('Residual Calculation'!$A$5:$A$604,$A21,'Residual Calculation'!$D$5:$D$604,E$5,'Residual Calculation'!$G$5:$G$604,"N/A")&gt;0,"N/A",IF(COUNTIFS('Residual Calculation'!$A$5:$A$604,$A21,'Residual Calculation'!$D$5:$D$604,E$5,'Residual Calculation'!$X$5:$X$604,"&gt;0")=0,"",SUMIFS('Residual Calculation'!$X$5:$X$604,'Residual Calculation'!$A$5:$A$604,$A21,'Residual Calculation'!$D$5:$D$604,E$5)))</f>
        <v>4</v>
      </c>
      <c r="F21" s="31" t="n">
        <f aca="false">IF(COUNTIFS('Residual Calculation'!$A$5:$A$604,$A21,'Residual Calculation'!$D$5:$D$604,F$5,'Residual Calculation'!$G$5:$G$604,"N/A")&gt;0,"N/A",IF(COUNTIFS('Residual Calculation'!$A$5:$A$604,$A21,'Residual Calculation'!$D$5:$D$604,F$5,'Residual Calculation'!$X$5:$X$604,"&gt;0")=0,"",SUMIFS('Residual Calculation'!$X$5:$X$604,'Residual Calculation'!$A$5:$A$604,$A21,'Residual Calculation'!$D$5:$D$604,F$5)))</f>
        <v>4</v>
      </c>
      <c r="G21" s="31" t="n">
        <f aca="false">IF(COUNTIFS('Residual Calculation'!$A$5:$A$604,$A21,'Residual Calculation'!$D$5:$D$604,G$5,'Residual Calculation'!$G$5:$G$604,"N/A")&gt;0,"N/A",IF(COUNTIFS('Residual Calculation'!$A$5:$A$604,$A21,'Residual Calculation'!$D$5:$D$604,G$5,'Residual Calculation'!$X$5:$X$604,"&gt;0")=0,"",SUMIFS('Residual Calculation'!$X$5:$X$604,'Residual Calculation'!$A$5:$A$604,$A21,'Residual Calculation'!$D$5:$D$604,G$5)))</f>
        <v>4</v>
      </c>
      <c r="H21" s="31" t="n">
        <f aca="false">IF(COUNTIFS('Residual Calculation'!$A$5:$A$604,$A21,'Residual Calculation'!$D$5:$D$604,H$5,'Residual Calculation'!$G$5:$G$604,"N/A")&gt;0,"N/A",IF(COUNTIFS('Residual Calculation'!$A$5:$A$604,$A21,'Residual Calculation'!$D$5:$D$604,H$5,'Residual Calculation'!$X$5:$X$604,"&gt;0")=0,"",SUMIFS('Residual Calculation'!$X$5:$X$604,'Residual Calculation'!$A$5:$A$604,$A21,'Residual Calculation'!$D$5:$D$604,H$5)))</f>
        <v>4</v>
      </c>
      <c r="I21" s="31" t="n">
        <f aca="false">IF(COUNTIFS('Residual Calculation'!$A$5:$A$604,$A21,'Residual Calculation'!$D$5:$D$604,I$5,'Residual Calculation'!$G$5:$G$604,"N/A")&gt;0,"N/A",IF(COUNTIFS('Residual Calculation'!$A$5:$A$604,$A21,'Residual Calculation'!$D$5:$D$604,I$5,'Residual Calculation'!$X$5:$X$604,"&gt;0")=0,"",SUMIFS('Residual Calculation'!$X$5:$X$604,'Residual Calculation'!$A$5:$A$604,$A21,'Residual Calculation'!$D$5:$D$604,I$5)))</f>
        <v>4</v>
      </c>
      <c r="J21" s="31" t="n">
        <f aca="false">IF(COUNTIFS('Residual Calculation'!$A$5:$A$604,$A21,'Residual Calculation'!$D$5:$D$604,J$5,'Residual Calculation'!$G$5:$G$604,"N/A")&gt;0,"N/A",IF(COUNTIFS('Residual Calculation'!$A$5:$A$604,$A21,'Residual Calculation'!$D$5:$D$604,J$5,'Residual Calculation'!$X$5:$X$604,"&gt;0")=0,"",SUMIFS('Residual Calculation'!$X$5:$X$604,'Residual Calculation'!$A$5:$A$604,$A21,'Residual Calculation'!$D$5:$D$604,J$5)))</f>
        <v>5</v>
      </c>
      <c r="K21" s="31" t="n">
        <f aca="false">IF(COUNTIFS('Residual Calculation'!$A$5:$A$604,$A21,'Residual Calculation'!$D$5:$D$604,K$5,'Residual Calculation'!$G$5:$G$604,"N/A")&gt;0,"N/A",IF(COUNTIFS('Residual Calculation'!$A$5:$A$604,$A21,'Residual Calculation'!$D$5:$D$604,K$5,'Residual Calculation'!$X$5:$X$604,"&gt;0")=0,"",SUMIFS('Residual Calculation'!$X$5:$X$604,'Residual Calculation'!$A$5:$A$604,$A21,'Residual Calculation'!$D$5:$D$604,K$5)))</f>
        <v>2</v>
      </c>
      <c r="L21" s="31" t="n">
        <f aca="false">IF(COUNTIFS('Residual Calculation'!$A$5:$A$604,$A21,'Residual Calculation'!$D$5:$D$604,L$5,'Residual Calculation'!$G$5:$G$604,"N/A")&gt;0,"N/A",IF(COUNTIFS('Residual Calculation'!$A$5:$A$604,$A21,'Residual Calculation'!$D$5:$D$604,L$5,'Residual Calculation'!$X$5:$X$604,"&gt;0")=0,"",SUMIFS('Residual Calculation'!$X$5:$X$604,'Residual Calculation'!$A$5:$A$604,$A21,'Residual Calculation'!$D$5:$D$604,L$5)))</f>
        <v>4</v>
      </c>
      <c r="M21" s="31" t="str">
        <f aca="false">IF(COUNTIFS('Residual Calculation'!$A$5:$A$604,$A21,'Residual Calculation'!$D$5:$D$604,M$5,'Residual Calculation'!$G$5:$G$604,"N/A")&gt;0,"N/A",IF(COUNTIFS('Residual Calculation'!$A$5:$A$604,$A21,'Residual Calculation'!$D$5:$D$604,M$5,'Residual Calculation'!$X$5:$X$604,"&gt;0")=0,"",SUMIFS('Residual Calculation'!$X$5:$X$604,'Residual Calculation'!$A$5:$A$604,$A21,'Residual Calculation'!$D$5:$D$604,M$5)))</f>
        <v>N/A</v>
      </c>
      <c r="N21" s="31" t="n">
        <f aca="false">IF(COUNTIFS('Residual Calculation'!$A$5:$A$604,$A21,'Residual Calculation'!$D$5:$D$604,N$5,'Residual Calculation'!$G$5:$G$604,"N/A")&gt;0,"N/A",IF(COUNTIFS('Residual Calculation'!$A$5:$A$604,$A21,'Residual Calculation'!$D$5:$D$604,N$5,'Residual Calculation'!$X$5:$X$604,"&gt;0")=0,"",SUMIFS('Residual Calculation'!$X$5:$X$604,'Residual Calculation'!$A$5:$A$604,$A21,'Residual Calculation'!$D$5:$D$604,N$5)))</f>
        <v>5</v>
      </c>
      <c r="O21" s="31" t="n">
        <f aca="false">IF(COUNTIFS('Residual Calculation'!$A$5:$A$604,$A21,'Residual Calculation'!$D$5:$D$604,O$5,'Residual Calculation'!$G$5:$G$604,"N/A")&gt;0,"N/A",IF(COUNTIFS('Residual Calculation'!$A$5:$A$604,$A21,'Residual Calculation'!$D$5:$D$604,O$5,'Residual Calculation'!$X$5:$X$604,"&gt;0")=0,"",SUMIFS('Residual Calculation'!$X$5:$X$604,'Residual Calculation'!$A$5:$A$604,$A21,'Residual Calculation'!$D$5:$D$604,O$5)))</f>
        <v>5</v>
      </c>
      <c r="P21" s="31" t="n">
        <f aca="false">IF(COUNTIFS('Residual Calculation'!$A$5:$A$604,$A21,'Residual Calculation'!$D$5:$D$604,P$5,'Residual Calculation'!$G$5:$G$604,"N/A")&gt;0,"N/A",IF(COUNTIFS('Residual Calculation'!$A$5:$A$604,$A21,'Residual Calculation'!$D$5:$D$604,P$5,'Residual Calculation'!$X$5:$X$604,"&gt;0")=0,"",SUMIFS('Residual Calculation'!$X$5:$X$604,'Residual Calculation'!$A$5:$A$604,$A21,'Residual Calculation'!$D$5:$D$604,P$5)))</f>
        <v>4</v>
      </c>
      <c r="Q21" s="31" t="n">
        <f aca="false">IF(COUNTIFS('Residual Calculation'!$A$5:$A$604,$A21,'Residual Calculation'!$D$5:$D$604,Q$5,'Residual Calculation'!$G$5:$G$604,"N/A")&gt;0,"N/A",IF(COUNTIFS('Residual Calculation'!$A$5:$A$604,$A21,'Residual Calculation'!$D$5:$D$604,Q$5,'Residual Calculation'!$X$5:$X$604,"&gt;0")=0,"",SUMIFS('Residual Calculation'!$X$5:$X$604,'Residual Calculation'!$A$5:$A$604,$A21,'Residual Calculation'!$D$5:$D$604,Q$5)))</f>
        <v>3</v>
      </c>
      <c r="R21" s="31" t="n">
        <f aca="false">IF(COUNTIFS('Residual Calculation'!$A$5:$A$604,$A21,'Residual Calculation'!$D$5:$D$604,R$5,'Residual Calculation'!$G$5:$G$604,"N/A")&gt;0,"N/A",IF(COUNTIFS('Residual Calculation'!$A$5:$A$604,$A21,'Residual Calculation'!$D$5:$D$604,R$5,'Residual Calculation'!$X$5:$X$604,"&gt;0")=0,"",SUMIFS('Residual Calculation'!$X$5:$X$604,'Residual Calculation'!$A$5:$A$604,$A21,'Residual Calculation'!$D$5:$D$604,R$5)))</f>
        <v>5</v>
      </c>
      <c r="S21" s="31" t="n">
        <f aca="false">IF(COUNTIFS('Residual Calculation'!$A$5:$A$604,$A21,'Residual Calculation'!$D$5:$D$604,S$5,'Residual Calculation'!$G$5:$G$604,"N/A")&gt;0,"N/A",IF(COUNTIFS('Residual Calculation'!$A$5:$A$604,$A21,'Residual Calculation'!$D$5:$D$604,S$5,'Residual Calculation'!$X$5:$X$604,"&gt;0")=0,"",SUMIFS('Residual Calculation'!$X$5:$X$604,'Residual Calculation'!$A$5:$A$604,$A21,'Residual Calculation'!$D$5:$D$604,S$5)))</f>
        <v>5</v>
      </c>
      <c r="T21" s="31" t="n">
        <f aca="false">IF(COUNTIFS('Residual Calculation'!$A$5:$A$604,$A21,'Residual Calculation'!$D$5:$D$604,T$5,'Residual Calculation'!$G$5:$G$604,"N/A")&gt;0,"N/A",IF(COUNTIFS('Residual Calculation'!$A$5:$A$604,$A21,'Residual Calculation'!$D$5:$D$604,T$5,'Residual Calculation'!$X$5:$X$604,"&gt;0")=0,"",SUMIFS('Residual Calculation'!$X$5:$X$604,'Residual Calculation'!$A$5:$A$604,$A21,'Residual Calculation'!$D$5:$D$604,T$5)))</f>
        <v>3</v>
      </c>
      <c r="U21" s="31" t="n">
        <f aca="false">IF(COUNTIFS('Residual Calculation'!$A$5:$A$604,$A21,'Residual Calculation'!$D$5:$D$604,U$5,'Residual Calculation'!$G$5:$G$604,"N/A")&gt;0,"N/A",IF(COUNTIFS('Residual Calculation'!$A$5:$A$604,$A21,'Residual Calculation'!$D$5:$D$604,U$5,'Residual Calculation'!$X$5:$X$604,"&gt;0")=0,"",SUMIFS('Residual Calculation'!$X$5:$X$604,'Residual Calculation'!$A$5:$A$604,$A21,'Residual Calculation'!$D$5:$D$604,U$5)))</f>
        <v>2</v>
      </c>
      <c r="V21" s="31" t="n">
        <f aca="false">IF(COUNTIFS('Residual Calculation'!$A$5:$A$604,$A21,'Residual Calculation'!$D$5:$D$604,V$5,'Residual Calculation'!$G$5:$G$604,"N/A")&gt;0,"N/A",IF(COUNTIFS('Residual Calculation'!$A$5:$A$604,$A21,'Residual Calculation'!$D$5:$D$604,V$5,'Residual Calculation'!$X$5:$X$604,"&gt;0")=0,"",SUMIFS('Residual Calculation'!$X$5:$X$604,'Residual Calculation'!$A$5:$A$604,$A21,'Residual Calculation'!$D$5:$D$604,V$5)))</f>
        <v>4</v>
      </c>
      <c r="W21" s="34" t="n">
        <f aca="false">MAX(C21:V21)</f>
        <v>5</v>
      </c>
      <c r="X21" s="29" t="n">
        <f aca="false">IFERROR(AVERAGE(C21:V21),"")</f>
        <v>3.94736842105263</v>
      </c>
      <c r="Y21" s="31" t="n">
        <f aca="false">COUNTIFS('Residual Calculation'!$A$5:$A$604,$A21,'Residual Calculation'!$AC$5:$AC$604,"Amber")</f>
        <v>5</v>
      </c>
      <c r="Z21" s="31" t="n">
        <f aca="false">COUNTIFS('Residual Calculation'!$A$5:$A$604,$A21,'Residual Calculation'!$AC$5:$AC$604,"Red")</f>
        <v>10</v>
      </c>
    </row>
    <row r="22" customFormat="false" ht="15" hidden="false" customHeight="false" outlineLevel="0" collapsed="false">
      <c r="A22" s="26" t="str">
        <f aca="false">Entities!A21</f>
        <v>EG</v>
      </c>
      <c r="B22" s="26" t="str">
        <f aca="false">Entities!B21</f>
        <v>Arab Bank – Egypt</v>
      </c>
      <c r="C22" s="31" t="n">
        <f aca="false">IF(COUNTIFS('Residual Calculation'!$A$5:$A$604,$A22,'Residual Calculation'!$D$5:$D$604,C$5,'Residual Calculation'!$G$5:$G$604,"N/A")&gt;0,"N/A",IF(COUNTIFS('Residual Calculation'!$A$5:$A$604,$A22,'Residual Calculation'!$D$5:$D$604,C$5,'Residual Calculation'!$X$5:$X$604,"&gt;0")=0,"",SUMIFS('Residual Calculation'!$X$5:$X$604,'Residual Calculation'!$A$5:$A$604,$A22,'Residual Calculation'!$D$5:$D$604,C$5)))</f>
        <v>1</v>
      </c>
      <c r="D22" s="31" t="n">
        <f aca="false">IF(COUNTIFS('Residual Calculation'!$A$5:$A$604,$A22,'Residual Calculation'!$D$5:$D$604,D$5,'Residual Calculation'!$G$5:$G$604,"N/A")&gt;0,"N/A",IF(COUNTIFS('Residual Calculation'!$A$5:$A$604,$A22,'Residual Calculation'!$D$5:$D$604,D$5,'Residual Calculation'!$X$5:$X$604,"&gt;0")=0,"",SUMIFS('Residual Calculation'!$X$5:$X$604,'Residual Calculation'!$A$5:$A$604,$A22,'Residual Calculation'!$D$5:$D$604,D$5)))</f>
        <v>2</v>
      </c>
      <c r="E22" s="31" t="n">
        <f aca="false">IF(COUNTIFS('Residual Calculation'!$A$5:$A$604,$A22,'Residual Calculation'!$D$5:$D$604,E$5,'Residual Calculation'!$G$5:$G$604,"N/A")&gt;0,"N/A",IF(COUNTIFS('Residual Calculation'!$A$5:$A$604,$A22,'Residual Calculation'!$D$5:$D$604,E$5,'Residual Calculation'!$X$5:$X$604,"&gt;0")=0,"",SUMIFS('Residual Calculation'!$X$5:$X$604,'Residual Calculation'!$A$5:$A$604,$A22,'Residual Calculation'!$D$5:$D$604,E$5)))</f>
        <v>1</v>
      </c>
      <c r="F22" s="31" t="n">
        <f aca="false">IF(COUNTIFS('Residual Calculation'!$A$5:$A$604,$A22,'Residual Calculation'!$D$5:$D$604,F$5,'Residual Calculation'!$G$5:$G$604,"N/A")&gt;0,"N/A",IF(COUNTIFS('Residual Calculation'!$A$5:$A$604,$A22,'Residual Calculation'!$D$5:$D$604,F$5,'Residual Calculation'!$X$5:$X$604,"&gt;0")=0,"",SUMIFS('Residual Calculation'!$X$5:$X$604,'Residual Calculation'!$A$5:$A$604,$A22,'Residual Calculation'!$D$5:$D$604,F$5)))</f>
        <v>1</v>
      </c>
      <c r="G22" s="31" t="n">
        <f aca="false">IF(COUNTIFS('Residual Calculation'!$A$5:$A$604,$A22,'Residual Calculation'!$D$5:$D$604,G$5,'Residual Calculation'!$G$5:$G$604,"N/A")&gt;0,"N/A",IF(COUNTIFS('Residual Calculation'!$A$5:$A$604,$A22,'Residual Calculation'!$D$5:$D$604,G$5,'Residual Calculation'!$X$5:$X$604,"&gt;0")=0,"",SUMIFS('Residual Calculation'!$X$5:$X$604,'Residual Calculation'!$A$5:$A$604,$A22,'Residual Calculation'!$D$5:$D$604,G$5)))</f>
        <v>1</v>
      </c>
      <c r="H22" s="31" t="n">
        <f aca="false">IF(COUNTIFS('Residual Calculation'!$A$5:$A$604,$A22,'Residual Calculation'!$D$5:$D$604,H$5,'Residual Calculation'!$G$5:$G$604,"N/A")&gt;0,"N/A",IF(COUNTIFS('Residual Calculation'!$A$5:$A$604,$A22,'Residual Calculation'!$D$5:$D$604,H$5,'Residual Calculation'!$X$5:$X$604,"&gt;0")=0,"",SUMIFS('Residual Calculation'!$X$5:$X$604,'Residual Calculation'!$A$5:$A$604,$A22,'Residual Calculation'!$D$5:$D$604,H$5)))</f>
        <v>3</v>
      </c>
      <c r="I22" s="31" t="n">
        <f aca="false">IF(COUNTIFS('Residual Calculation'!$A$5:$A$604,$A22,'Residual Calculation'!$D$5:$D$604,I$5,'Residual Calculation'!$G$5:$G$604,"N/A")&gt;0,"N/A",IF(COUNTIFS('Residual Calculation'!$A$5:$A$604,$A22,'Residual Calculation'!$D$5:$D$604,I$5,'Residual Calculation'!$X$5:$X$604,"&gt;0")=0,"",SUMIFS('Residual Calculation'!$X$5:$X$604,'Residual Calculation'!$A$5:$A$604,$A22,'Residual Calculation'!$D$5:$D$604,I$5)))</f>
        <v>1</v>
      </c>
      <c r="J22" s="31" t="n">
        <f aca="false">IF(COUNTIFS('Residual Calculation'!$A$5:$A$604,$A22,'Residual Calculation'!$D$5:$D$604,J$5,'Residual Calculation'!$G$5:$G$604,"N/A")&gt;0,"N/A",IF(COUNTIFS('Residual Calculation'!$A$5:$A$604,$A22,'Residual Calculation'!$D$5:$D$604,J$5,'Residual Calculation'!$X$5:$X$604,"&gt;0")=0,"",SUMIFS('Residual Calculation'!$X$5:$X$604,'Residual Calculation'!$A$5:$A$604,$A22,'Residual Calculation'!$D$5:$D$604,J$5)))</f>
        <v>1</v>
      </c>
      <c r="K22" s="31" t="n">
        <f aca="false">IF(COUNTIFS('Residual Calculation'!$A$5:$A$604,$A22,'Residual Calculation'!$D$5:$D$604,K$5,'Residual Calculation'!$G$5:$G$604,"N/A")&gt;0,"N/A",IF(COUNTIFS('Residual Calculation'!$A$5:$A$604,$A22,'Residual Calculation'!$D$5:$D$604,K$5,'Residual Calculation'!$X$5:$X$604,"&gt;0")=0,"",SUMIFS('Residual Calculation'!$X$5:$X$604,'Residual Calculation'!$A$5:$A$604,$A22,'Residual Calculation'!$D$5:$D$604,K$5)))</f>
        <v>1</v>
      </c>
      <c r="L22" s="31" t="n">
        <f aca="false">IF(COUNTIFS('Residual Calculation'!$A$5:$A$604,$A22,'Residual Calculation'!$D$5:$D$604,L$5,'Residual Calculation'!$G$5:$G$604,"N/A")&gt;0,"N/A",IF(COUNTIFS('Residual Calculation'!$A$5:$A$604,$A22,'Residual Calculation'!$D$5:$D$604,L$5,'Residual Calculation'!$X$5:$X$604,"&gt;0")=0,"",SUMIFS('Residual Calculation'!$X$5:$X$604,'Residual Calculation'!$A$5:$A$604,$A22,'Residual Calculation'!$D$5:$D$604,L$5)))</f>
        <v>2</v>
      </c>
      <c r="M22" s="31" t="str">
        <f aca="false">IF(COUNTIFS('Residual Calculation'!$A$5:$A$604,$A22,'Residual Calculation'!$D$5:$D$604,M$5,'Residual Calculation'!$G$5:$G$604,"N/A")&gt;0,"N/A",IF(COUNTIFS('Residual Calculation'!$A$5:$A$604,$A22,'Residual Calculation'!$D$5:$D$604,M$5,'Residual Calculation'!$X$5:$X$604,"&gt;0")=0,"",SUMIFS('Residual Calculation'!$X$5:$X$604,'Residual Calculation'!$A$5:$A$604,$A22,'Residual Calculation'!$D$5:$D$604,M$5)))</f>
        <v>N/A</v>
      </c>
      <c r="N22" s="31" t="n">
        <f aca="false">IF(COUNTIFS('Residual Calculation'!$A$5:$A$604,$A22,'Residual Calculation'!$D$5:$D$604,N$5,'Residual Calculation'!$G$5:$G$604,"N/A")&gt;0,"N/A",IF(COUNTIFS('Residual Calculation'!$A$5:$A$604,$A22,'Residual Calculation'!$D$5:$D$604,N$5,'Residual Calculation'!$X$5:$X$604,"&gt;0")=0,"",SUMIFS('Residual Calculation'!$X$5:$X$604,'Residual Calculation'!$A$5:$A$604,$A22,'Residual Calculation'!$D$5:$D$604,N$5)))</f>
        <v>2</v>
      </c>
      <c r="O22" s="31" t="n">
        <f aca="false">IF(COUNTIFS('Residual Calculation'!$A$5:$A$604,$A22,'Residual Calculation'!$D$5:$D$604,O$5,'Residual Calculation'!$G$5:$G$604,"N/A")&gt;0,"N/A",IF(COUNTIFS('Residual Calculation'!$A$5:$A$604,$A22,'Residual Calculation'!$D$5:$D$604,O$5,'Residual Calculation'!$X$5:$X$604,"&gt;0")=0,"",SUMIFS('Residual Calculation'!$X$5:$X$604,'Residual Calculation'!$A$5:$A$604,$A22,'Residual Calculation'!$D$5:$D$604,O$5)))</f>
        <v>2</v>
      </c>
      <c r="P22" s="31" t="n">
        <f aca="false">IF(COUNTIFS('Residual Calculation'!$A$5:$A$604,$A22,'Residual Calculation'!$D$5:$D$604,P$5,'Residual Calculation'!$G$5:$G$604,"N/A")&gt;0,"N/A",IF(COUNTIFS('Residual Calculation'!$A$5:$A$604,$A22,'Residual Calculation'!$D$5:$D$604,P$5,'Residual Calculation'!$X$5:$X$604,"&gt;0")=0,"",SUMIFS('Residual Calculation'!$X$5:$X$604,'Residual Calculation'!$A$5:$A$604,$A22,'Residual Calculation'!$D$5:$D$604,P$5)))</f>
        <v>1</v>
      </c>
      <c r="Q22" s="31" t="n">
        <f aca="false">IF(COUNTIFS('Residual Calculation'!$A$5:$A$604,$A22,'Residual Calculation'!$D$5:$D$604,Q$5,'Residual Calculation'!$G$5:$G$604,"N/A")&gt;0,"N/A",IF(COUNTIFS('Residual Calculation'!$A$5:$A$604,$A22,'Residual Calculation'!$D$5:$D$604,Q$5,'Residual Calculation'!$X$5:$X$604,"&gt;0")=0,"",SUMIFS('Residual Calculation'!$X$5:$X$604,'Residual Calculation'!$A$5:$A$604,$A22,'Residual Calculation'!$D$5:$D$604,Q$5)))</f>
        <v>3</v>
      </c>
      <c r="R22" s="31" t="n">
        <f aca="false">IF(COUNTIFS('Residual Calculation'!$A$5:$A$604,$A22,'Residual Calculation'!$D$5:$D$604,R$5,'Residual Calculation'!$G$5:$G$604,"N/A")&gt;0,"N/A",IF(COUNTIFS('Residual Calculation'!$A$5:$A$604,$A22,'Residual Calculation'!$D$5:$D$604,R$5,'Residual Calculation'!$X$5:$X$604,"&gt;0")=0,"",SUMIFS('Residual Calculation'!$X$5:$X$604,'Residual Calculation'!$A$5:$A$604,$A22,'Residual Calculation'!$D$5:$D$604,R$5)))</f>
        <v>2</v>
      </c>
      <c r="S22" s="31" t="n">
        <f aca="false">IF(COUNTIFS('Residual Calculation'!$A$5:$A$604,$A22,'Residual Calculation'!$D$5:$D$604,S$5,'Residual Calculation'!$G$5:$G$604,"N/A")&gt;0,"N/A",IF(COUNTIFS('Residual Calculation'!$A$5:$A$604,$A22,'Residual Calculation'!$D$5:$D$604,S$5,'Residual Calculation'!$X$5:$X$604,"&gt;0")=0,"",SUMIFS('Residual Calculation'!$X$5:$X$604,'Residual Calculation'!$A$5:$A$604,$A22,'Residual Calculation'!$D$5:$D$604,S$5)))</f>
        <v>1</v>
      </c>
      <c r="T22" s="31" t="n">
        <f aca="false">IF(COUNTIFS('Residual Calculation'!$A$5:$A$604,$A22,'Residual Calculation'!$D$5:$D$604,T$5,'Residual Calculation'!$G$5:$G$604,"N/A")&gt;0,"N/A",IF(COUNTIFS('Residual Calculation'!$A$5:$A$604,$A22,'Residual Calculation'!$D$5:$D$604,T$5,'Residual Calculation'!$X$5:$X$604,"&gt;0")=0,"",SUMIFS('Residual Calculation'!$X$5:$X$604,'Residual Calculation'!$A$5:$A$604,$A22,'Residual Calculation'!$D$5:$D$604,T$5)))</f>
        <v>1</v>
      </c>
      <c r="U22" s="31" t="n">
        <f aca="false">IF(COUNTIFS('Residual Calculation'!$A$5:$A$604,$A22,'Residual Calculation'!$D$5:$D$604,U$5,'Residual Calculation'!$G$5:$G$604,"N/A")&gt;0,"N/A",IF(COUNTIFS('Residual Calculation'!$A$5:$A$604,$A22,'Residual Calculation'!$D$5:$D$604,U$5,'Residual Calculation'!$X$5:$X$604,"&gt;0")=0,"",SUMIFS('Residual Calculation'!$X$5:$X$604,'Residual Calculation'!$A$5:$A$604,$A22,'Residual Calculation'!$D$5:$D$604,U$5)))</f>
        <v>1</v>
      </c>
      <c r="V22" s="31" t="n">
        <f aca="false">IF(COUNTIFS('Residual Calculation'!$A$5:$A$604,$A22,'Residual Calculation'!$D$5:$D$604,V$5,'Residual Calculation'!$G$5:$G$604,"N/A")&gt;0,"N/A",IF(COUNTIFS('Residual Calculation'!$A$5:$A$604,$A22,'Residual Calculation'!$D$5:$D$604,V$5,'Residual Calculation'!$X$5:$X$604,"&gt;0")=0,"",SUMIFS('Residual Calculation'!$X$5:$X$604,'Residual Calculation'!$A$5:$A$604,$A22,'Residual Calculation'!$D$5:$D$604,V$5)))</f>
        <v>2</v>
      </c>
      <c r="W22" s="34" t="n">
        <f aca="false">MAX(C22:V22)</f>
        <v>3</v>
      </c>
      <c r="X22" s="29" t="n">
        <f aca="false">IFERROR(AVERAGE(C22:V22),"")</f>
        <v>1.52631578947368</v>
      </c>
      <c r="Y22" s="31" t="n">
        <f aca="false">COUNTIFS('Residual Calculation'!$A$5:$A$604,$A22,'Residual Calculation'!$AC$5:$AC$604,"Amber")</f>
        <v>1</v>
      </c>
      <c r="Z22" s="31" t="n">
        <f aca="false">COUNTIFS('Residual Calculation'!$A$5:$A$604,$A22,'Residual Calculation'!$AC$5:$AC$604,"Red")</f>
        <v>0</v>
      </c>
    </row>
    <row r="23" customFormat="false" ht="15" hidden="false" customHeight="false" outlineLevel="0" collapsed="false">
      <c r="A23" s="26" t="str">
        <f aca="false">Entities!A22</f>
        <v>DZ</v>
      </c>
      <c r="B23" s="26" t="str">
        <f aca="false">Entities!B22</f>
        <v>Arab Bank – Algeria</v>
      </c>
      <c r="C23" s="31" t="n">
        <f aca="false">IF(COUNTIFS('Residual Calculation'!$A$5:$A$604,$A23,'Residual Calculation'!$D$5:$D$604,C$5,'Residual Calculation'!$G$5:$G$604,"N/A")&gt;0,"N/A",IF(COUNTIFS('Residual Calculation'!$A$5:$A$604,$A23,'Residual Calculation'!$D$5:$D$604,C$5,'Residual Calculation'!$X$5:$X$604,"&gt;0")=0,"",SUMIFS('Residual Calculation'!$X$5:$X$604,'Residual Calculation'!$A$5:$A$604,$A23,'Residual Calculation'!$D$5:$D$604,C$5)))</f>
        <v>2</v>
      </c>
      <c r="D23" s="31" t="n">
        <f aca="false">IF(COUNTIFS('Residual Calculation'!$A$5:$A$604,$A23,'Residual Calculation'!$D$5:$D$604,D$5,'Residual Calculation'!$G$5:$G$604,"N/A")&gt;0,"N/A",IF(COUNTIFS('Residual Calculation'!$A$5:$A$604,$A23,'Residual Calculation'!$D$5:$D$604,D$5,'Residual Calculation'!$X$5:$X$604,"&gt;0")=0,"",SUMIFS('Residual Calculation'!$X$5:$X$604,'Residual Calculation'!$A$5:$A$604,$A23,'Residual Calculation'!$D$5:$D$604,D$5)))</f>
        <v>2</v>
      </c>
      <c r="E23" s="31" t="n">
        <f aca="false">IF(COUNTIFS('Residual Calculation'!$A$5:$A$604,$A23,'Residual Calculation'!$D$5:$D$604,E$5,'Residual Calculation'!$G$5:$G$604,"N/A")&gt;0,"N/A",IF(COUNTIFS('Residual Calculation'!$A$5:$A$604,$A23,'Residual Calculation'!$D$5:$D$604,E$5,'Residual Calculation'!$X$5:$X$604,"&gt;0")=0,"",SUMIFS('Residual Calculation'!$X$5:$X$604,'Residual Calculation'!$A$5:$A$604,$A23,'Residual Calculation'!$D$5:$D$604,E$5)))</f>
        <v>3</v>
      </c>
      <c r="F23" s="31" t="n">
        <f aca="false">IF(COUNTIFS('Residual Calculation'!$A$5:$A$604,$A23,'Residual Calculation'!$D$5:$D$604,F$5,'Residual Calculation'!$G$5:$G$604,"N/A")&gt;0,"N/A",IF(COUNTIFS('Residual Calculation'!$A$5:$A$604,$A23,'Residual Calculation'!$D$5:$D$604,F$5,'Residual Calculation'!$X$5:$X$604,"&gt;0")=0,"",SUMIFS('Residual Calculation'!$X$5:$X$604,'Residual Calculation'!$A$5:$A$604,$A23,'Residual Calculation'!$D$5:$D$604,F$5)))</f>
        <v>3</v>
      </c>
      <c r="G23" s="31" t="n">
        <f aca="false">IF(COUNTIFS('Residual Calculation'!$A$5:$A$604,$A23,'Residual Calculation'!$D$5:$D$604,G$5,'Residual Calculation'!$G$5:$G$604,"N/A")&gt;0,"N/A",IF(COUNTIFS('Residual Calculation'!$A$5:$A$604,$A23,'Residual Calculation'!$D$5:$D$604,G$5,'Residual Calculation'!$X$5:$X$604,"&gt;0")=0,"",SUMIFS('Residual Calculation'!$X$5:$X$604,'Residual Calculation'!$A$5:$A$604,$A23,'Residual Calculation'!$D$5:$D$604,G$5)))</f>
        <v>2</v>
      </c>
      <c r="H23" s="31" t="n">
        <f aca="false">IF(COUNTIFS('Residual Calculation'!$A$5:$A$604,$A23,'Residual Calculation'!$D$5:$D$604,H$5,'Residual Calculation'!$G$5:$G$604,"N/A")&gt;0,"N/A",IF(COUNTIFS('Residual Calculation'!$A$5:$A$604,$A23,'Residual Calculation'!$D$5:$D$604,H$5,'Residual Calculation'!$X$5:$X$604,"&gt;0")=0,"",SUMIFS('Residual Calculation'!$X$5:$X$604,'Residual Calculation'!$A$5:$A$604,$A23,'Residual Calculation'!$D$5:$D$604,H$5)))</f>
        <v>3</v>
      </c>
      <c r="I23" s="31" t="n">
        <f aca="false">IF(COUNTIFS('Residual Calculation'!$A$5:$A$604,$A23,'Residual Calculation'!$D$5:$D$604,I$5,'Residual Calculation'!$G$5:$G$604,"N/A")&gt;0,"N/A",IF(COUNTIFS('Residual Calculation'!$A$5:$A$604,$A23,'Residual Calculation'!$D$5:$D$604,I$5,'Residual Calculation'!$X$5:$X$604,"&gt;0")=0,"",SUMIFS('Residual Calculation'!$X$5:$X$604,'Residual Calculation'!$A$5:$A$604,$A23,'Residual Calculation'!$D$5:$D$604,I$5)))</f>
        <v>2</v>
      </c>
      <c r="J23" s="31" t="n">
        <f aca="false">IF(COUNTIFS('Residual Calculation'!$A$5:$A$604,$A23,'Residual Calculation'!$D$5:$D$604,J$5,'Residual Calculation'!$G$5:$G$604,"N/A")&gt;0,"N/A",IF(COUNTIFS('Residual Calculation'!$A$5:$A$604,$A23,'Residual Calculation'!$D$5:$D$604,J$5,'Residual Calculation'!$X$5:$X$604,"&gt;0")=0,"",SUMIFS('Residual Calculation'!$X$5:$X$604,'Residual Calculation'!$A$5:$A$604,$A23,'Residual Calculation'!$D$5:$D$604,J$5)))</f>
        <v>2</v>
      </c>
      <c r="K23" s="31" t="n">
        <f aca="false">IF(COUNTIFS('Residual Calculation'!$A$5:$A$604,$A23,'Residual Calculation'!$D$5:$D$604,K$5,'Residual Calculation'!$G$5:$G$604,"N/A")&gt;0,"N/A",IF(COUNTIFS('Residual Calculation'!$A$5:$A$604,$A23,'Residual Calculation'!$D$5:$D$604,K$5,'Residual Calculation'!$X$5:$X$604,"&gt;0")=0,"",SUMIFS('Residual Calculation'!$X$5:$X$604,'Residual Calculation'!$A$5:$A$604,$A23,'Residual Calculation'!$D$5:$D$604,K$5)))</f>
        <v>2</v>
      </c>
      <c r="L23" s="31" t="n">
        <f aca="false">IF(COUNTIFS('Residual Calculation'!$A$5:$A$604,$A23,'Residual Calculation'!$D$5:$D$604,L$5,'Residual Calculation'!$G$5:$G$604,"N/A")&gt;0,"N/A",IF(COUNTIFS('Residual Calculation'!$A$5:$A$604,$A23,'Residual Calculation'!$D$5:$D$604,L$5,'Residual Calculation'!$X$5:$X$604,"&gt;0")=0,"",SUMIFS('Residual Calculation'!$X$5:$X$604,'Residual Calculation'!$A$5:$A$604,$A23,'Residual Calculation'!$D$5:$D$604,L$5)))</f>
        <v>3</v>
      </c>
      <c r="M23" s="31" t="str">
        <f aca="false">IF(COUNTIFS('Residual Calculation'!$A$5:$A$604,$A23,'Residual Calculation'!$D$5:$D$604,M$5,'Residual Calculation'!$G$5:$G$604,"N/A")&gt;0,"N/A",IF(COUNTIFS('Residual Calculation'!$A$5:$A$604,$A23,'Residual Calculation'!$D$5:$D$604,M$5,'Residual Calculation'!$X$5:$X$604,"&gt;0")=0,"",SUMIFS('Residual Calculation'!$X$5:$X$604,'Residual Calculation'!$A$5:$A$604,$A23,'Residual Calculation'!$D$5:$D$604,M$5)))</f>
        <v>N/A</v>
      </c>
      <c r="N23" s="31" t="n">
        <f aca="false">IF(COUNTIFS('Residual Calculation'!$A$5:$A$604,$A23,'Residual Calculation'!$D$5:$D$604,N$5,'Residual Calculation'!$G$5:$G$604,"N/A")&gt;0,"N/A",IF(COUNTIFS('Residual Calculation'!$A$5:$A$604,$A23,'Residual Calculation'!$D$5:$D$604,N$5,'Residual Calculation'!$X$5:$X$604,"&gt;0")=0,"",SUMIFS('Residual Calculation'!$X$5:$X$604,'Residual Calculation'!$A$5:$A$604,$A23,'Residual Calculation'!$D$5:$D$604,N$5)))</f>
        <v>2</v>
      </c>
      <c r="O23" s="31" t="n">
        <f aca="false">IF(COUNTIFS('Residual Calculation'!$A$5:$A$604,$A23,'Residual Calculation'!$D$5:$D$604,O$5,'Residual Calculation'!$G$5:$G$604,"N/A")&gt;0,"N/A",IF(COUNTIFS('Residual Calculation'!$A$5:$A$604,$A23,'Residual Calculation'!$D$5:$D$604,O$5,'Residual Calculation'!$X$5:$X$604,"&gt;0")=0,"",SUMIFS('Residual Calculation'!$X$5:$X$604,'Residual Calculation'!$A$5:$A$604,$A23,'Residual Calculation'!$D$5:$D$604,O$5)))</f>
        <v>4</v>
      </c>
      <c r="P23" s="31" t="n">
        <f aca="false">IF(COUNTIFS('Residual Calculation'!$A$5:$A$604,$A23,'Residual Calculation'!$D$5:$D$604,P$5,'Residual Calculation'!$G$5:$G$604,"N/A")&gt;0,"N/A",IF(COUNTIFS('Residual Calculation'!$A$5:$A$604,$A23,'Residual Calculation'!$D$5:$D$604,P$5,'Residual Calculation'!$X$5:$X$604,"&gt;0")=0,"",SUMIFS('Residual Calculation'!$X$5:$X$604,'Residual Calculation'!$A$5:$A$604,$A23,'Residual Calculation'!$D$5:$D$604,P$5)))</f>
        <v>3</v>
      </c>
      <c r="Q23" s="31" t="n">
        <f aca="false">IF(COUNTIFS('Residual Calculation'!$A$5:$A$604,$A23,'Residual Calculation'!$D$5:$D$604,Q$5,'Residual Calculation'!$G$5:$G$604,"N/A")&gt;0,"N/A",IF(COUNTIFS('Residual Calculation'!$A$5:$A$604,$A23,'Residual Calculation'!$D$5:$D$604,Q$5,'Residual Calculation'!$X$5:$X$604,"&gt;0")=0,"",SUMIFS('Residual Calculation'!$X$5:$X$604,'Residual Calculation'!$A$5:$A$604,$A23,'Residual Calculation'!$D$5:$D$604,Q$5)))</f>
        <v>3</v>
      </c>
      <c r="R23" s="31" t="n">
        <f aca="false">IF(COUNTIFS('Residual Calculation'!$A$5:$A$604,$A23,'Residual Calculation'!$D$5:$D$604,R$5,'Residual Calculation'!$G$5:$G$604,"N/A")&gt;0,"N/A",IF(COUNTIFS('Residual Calculation'!$A$5:$A$604,$A23,'Residual Calculation'!$D$5:$D$604,R$5,'Residual Calculation'!$X$5:$X$604,"&gt;0")=0,"",SUMIFS('Residual Calculation'!$X$5:$X$604,'Residual Calculation'!$A$5:$A$604,$A23,'Residual Calculation'!$D$5:$D$604,R$5)))</f>
        <v>3</v>
      </c>
      <c r="S23" s="31" t="n">
        <f aca="false">IF(COUNTIFS('Residual Calculation'!$A$5:$A$604,$A23,'Residual Calculation'!$D$5:$D$604,S$5,'Residual Calculation'!$G$5:$G$604,"N/A")&gt;0,"N/A",IF(COUNTIFS('Residual Calculation'!$A$5:$A$604,$A23,'Residual Calculation'!$D$5:$D$604,S$5,'Residual Calculation'!$X$5:$X$604,"&gt;0")=0,"",SUMIFS('Residual Calculation'!$X$5:$X$604,'Residual Calculation'!$A$5:$A$604,$A23,'Residual Calculation'!$D$5:$D$604,S$5)))</f>
        <v>3</v>
      </c>
      <c r="T23" s="31" t="n">
        <f aca="false">IF(COUNTIFS('Residual Calculation'!$A$5:$A$604,$A23,'Residual Calculation'!$D$5:$D$604,T$5,'Residual Calculation'!$G$5:$G$604,"N/A")&gt;0,"N/A",IF(COUNTIFS('Residual Calculation'!$A$5:$A$604,$A23,'Residual Calculation'!$D$5:$D$604,T$5,'Residual Calculation'!$X$5:$X$604,"&gt;0")=0,"",SUMIFS('Residual Calculation'!$X$5:$X$604,'Residual Calculation'!$A$5:$A$604,$A23,'Residual Calculation'!$D$5:$D$604,T$5)))</f>
        <v>2</v>
      </c>
      <c r="U23" s="31" t="n">
        <f aca="false">IF(COUNTIFS('Residual Calculation'!$A$5:$A$604,$A23,'Residual Calculation'!$D$5:$D$604,U$5,'Residual Calculation'!$G$5:$G$604,"N/A")&gt;0,"N/A",IF(COUNTIFS('Residual Calculation'!$A$5:$A$604,$A23,'Residual Calculation'!$D$5:$D$604,U$5,'Residual Calculation'!$X$5:$X$604,"&gt;0")=0,"",SUMIFS('Residual Calculation'!$X$5:$X$604,'Residual Calculation'!$A$5:$A$604,$A23,'Residual Calculation'!$D$5:$D$604,U$5)))</f>
        <v>2</v>
      </c>
      <c r="V23" s="31" t="n">
        <f aca="false">IF(COUNTIFS('Residual Calculation'!$A$5:$A$604,$A23,'Residual Calculation'!$D$5:$D$604,V$5,'Residual Calculation'!$G$5:$G$604,"N/A")&gt;0,"N/A",IF(COUNTIFS('Residual Calculation'!$A$5:$A$604,$A23,'Residual Calculation'!$D$5:$D$604,V$5,'Residual Calculation'!$X$5:$X$604,"&gt;0")=0,"",SUMIFS('Residual Calculation'!$X$5:$X$604,'Residual Calculation'!$A$5:$A$604,$A23,'Residual Calculation'!$D$5:$D$604,V$5)))</f>
        <v>3</v>
      </c>
      <c r="W23" s="34" t="n">
        <f aca="false">MAX(C23:V23)</f>
        <v>4</v>
      </c>
      <c r="X23" s="29" t="n">
        <f aca="false">IFERROR(AVERAGE(C23:V23),"")</f>
        <v>2.57894736842105</v>
      </c>
      <c r="Y23" s="31" t="n">
        <f aca="false">COUNTIFS('Residual Calculation'!$A$5:$A$604,$A23,'Residual Calculation'!$AC$5:$AC$604,"Amber")</f>
        <v>5</v>
      </c>
      <c r="Z23" s="31" t="n">
        <f aca="false">COUNTIFS('Residual Calculation'!$A$5:$A$604,$A23,'Residual Calculation'!$AC$5:$AC$604,"Red")</f>
        <v>2</v>
      </c>
    </row>
    <row r="24" customFormat="false" ht="15" hidden="false" customHeight="false" outlineLevel="0" collapsed="false">
      <c r="A24" s="26" t="str">
        <f aca="false">Entities!A23</f>
        <v>MA</v>
      </c>
      <c r="B24" s="26" t="str">
        <f aca="false">Entities!B23</f>
        <v>Arab Bank – Morocco</v>
      </c>
      <c r="C24" s="31" t="n">
        <f aca="false">IF(COUNTIFS('Residual Calculation'!$A$5:$A$604,$A24,'Residual Calculation'!$D$5:$D$604,C$5,'Residual Calculation'!$G$5:$G$604,"N/A")&gt;0,"N/A",IF(COUNTIFS('Residual Calculation'!$A$5:$A$604,$A24,'Residual Calculation'!$D$5:$D$604,C$5,'Residual Calculation'!$X$5:$X$604,"&gt;0")=0,"",SUMIFS('Residual Calculation'!$X$5:$X$604,'Residual Calculation'!$A$5:$A$604,$A24,'Residual Calculation'!$D$5:$D$604,C$5)))</f>
        <v>3</v>
      </c>
      <c r="D24" s="31" t="n">
        <f aca="false">IF(COUNTIFS('Residual Calculation'!$A$5:$A$604,$A24,'Residual Calculation'!$D$5:$D$604,D$5,'Residual Calculation'!$G$5:$G$604,"N/A")&gt;0,"N/A",IF(COUNTIFS('Residual Calculation'!$A$5:$A$604,$A24,'Residual Calculation'!$D$5:$D$604,D$5,'Residual Calculation'!$X$5:$X$604,"&gt;0")=0,"",SUMIFS('Residual Calculation'!$X$5:$X$604,'Residual Calculation'!$A$5:$A$604,$A24,'Residual Calculation'!$D$5:$D$604,D$5)))</f>
        <v>3</v>
      </c>
      <c r="E24" s="31" t="n">
        <f aca="false">IF(COUNTIFS('Residual Calculation'!$A$5:$A$604,$A24,'Residual Calculation'!$D$5:$D$604,E$5,'Residual Calculation'!$G$5:$G$604,"N/A")&gt;0,"N/A",IF(COUNTIFS('Residual Calculation'!$A$5:$A$604,$A24,'Residual Calculation'!$D$5:$D$604,E$5,'Residual Calculation'!$X$5:$X$604,"&gt;0")=0,"",SUMIFS('Residual Calculation'!$X$5:$X$604,'Residual Calculation'!$A$5:$A$604,$A24,'Residual Calculation'!$D$5:$D$604,E$5)))</f>
        <v>3</v>
      </c>
      <c r="F24" s="31" t="n">
        <f aca="false">IF(COUNTIFS('Residual Calculation'!$A$5:$A$604,$A24,'Residual Calculation'!$D$5:$D$604,F$5,'Residual Calculation'!$G$5:$G$604,"N/A")&gt;0,"N/A",IF(COUNTIFS('Residual Calculation'!$A$5:$A$604,$A24,'Residual Calculation'!$D$5:$D$604,F$5,'Residual Calculation'!$X$5:$X$604,"&gt;0")=0,"",SUMIFS('Residual Calculation'!$X$5:$X$604,'Residual Calculation'!$A$5:$A$604,$A24,'Residual Calculation'!$D$5:$D$604,F$5)))</f>
        <v>3</v>
      </c>
      <c r="G24" s="31" t="n">
        <f aca="false">IF(COUNTIFS('Residual Calculation'!$A$5:$A$604,$A24,'Residual Calculation'!$D$5:$D$604,G$5,'Residual Calculation'!$G$5:$G$604,"N/A")&gt;0,"N/A",IF(COUNTIFS('Residual Calculation'!$A$5:$A$604,$A24,'Residual Calculation'!$D$5:$D$604,G$5,'Residual Calculation'!$X$5:$X$604,"&gt;0")=0,"",SUMIFS('Residual Calculation'!$X$5:$X$604,'Residual Calculation'!$A$5:$A$604,$A24,'Residual Calculation'!$D$5:$D$604,G$5)))</f>
        <v>3</v>
      </c>
      <c r="H24" s="31" t="n">
        <f aca="false">IF(COUNTIFS('Residual Calculation'!$A$5:$A$604,$A24,'Residual Calculation'!$D$5:$D$604,H$5,'Residual Calculation'!$G$5:$G$604,"N/A")&gt;0,"N/A",IF(COUNTIFS('Residual Calculation'!$A$5:$A$604,$A24,'Residual Calculation'!$D$5:$D$604,H$5,'Residual Calculation'!$X$5:$X$604,"&gt;0")=0,"",SUMIFS('Residual Calculation'!$X$5:$X$604,'Residual Calculation'!$A$5:$A$604,$A24,'Residual Calculation'!$D$5:$D$604,H$5)))</f>
        <v>2</v>
      </c>
      <c r="I24" s="31" t="n">
        <f aca="false">IF(COUNTIFS('Residual Calculation'!$A$5:$A$604,$A24,'Residual Calculation'!$D$5:$D$604,I$5,'Residual Calculation'!$G$5:$G$604,"N/A")&gt;0,"N/A",IF(COUNTIFS('Residual Calculation'!$A$5:$A$604,$A24,'Residual Calculation'!$D$5:$D$604,I$5,'Residual Calculation'!$X$5:$X$604,"&gt;0")=0,"",SUMIFS('Residual Calculation'!$X$5:$X$604,'Residual Calculation'!$A$5:$A$604,$A24,'Residual Calculation'!$D$5:$D$604,I$5)))</f>
        <v>2</v>
      </c>
      <c r="J24" s="31" t="n">
        <f aca="false">IF(COUNTIFS('Residual Calculation'!$A$5:$A$604,$A24,'Residual Calculation'!$D$5:$D$604,J$5,'Residual Calculation'!$G$5:$G$604,"N/A")&gt;0,"N/A",IF(COUNTIFS('Residual Calculation'!$A$5:$A$604,$A24,'Residual Calculation'!$D$5:$D$604,J$5,'Residual Calculation'!$X$5:$X$604,"&gt;0")=0,"",SUMIFS('Residual Calculation'!$X$5:$X$604,'Residual Calculation'!$A$5:$A$604,$A24,'Residual Calculation'!$D$5:$D$604,J$5)))</f>
        <v>3</v>
      </c>
      <c r="K24" s="31" t="n">
        <f aca="false">IF(COUNTIFS('Residual Calculation'!$A$5:$A$604,$A24,'Residual Calculation'!$D$5:$D$604,K$5,'Residual Calculation'!$G$5:$G$604,"N/A")&gt;0,"N/A",IF(COUNTIFS('Residual Calculation'!$A$5:$A$604,$A24,'Residual Calculation'!$D$5:$D$604,K$5,'Residual Calculation'!$X$5:$X$604,"&gt;0")=0,"",SUMIFS('Residual Calculation'!$X$5:$X$604,'Residual Calculation'!$A$5:$A$604,$A24,'Residual Calculation'!$D$5:$D$604,K$5)))</f>
        <v>1</v>
      </c>
      <c r="L24" s="31" t="n">
        <f aca="false">IF(COUNTIFS('Residual Calculation'!$A$5:$A$604,$A24,'Residual Calculation'!$D$5:$D$604,L$5,'Residual Calculation'!$G$5:$G$604,"N/A")&gt;0,"N/A",IF(COUNTIFS('Residual Calculation'!$A$5:$A$604,$A24,'Residual Calculation'!$D$5:$D$604,L$5,'Residual Calculation'!$X$5:$X$604,"&gt;0")=0,"",SUMIFS('Residual Calculation'!$X$5:$X$604,'Residual Calculation'!$A$5:$A$604,$A24,'Residual Calculation'!$D$5:$D$604,L$5)))</f>
        <v>1</v>
      </c>
      <c r="M24" s="31" t="str">
        <f aca="false">IF(COUNTIFS('Residual Calculation'!$A$5:$A$604,$A24,'Residual Calculation'!$D$5:$D$604,M$5,'Residual Calculation'!$G$5:$G$604,"N/A")&gt;0,"N/A",IF(COUNTIFS('Residual Calculation'!$A$5:$A$604,$A24,'Residual Calculation'!$D$5:$D$604,M$5,'Residual Calculation'!$X$5:$X$604,"&gt;0")=0,"",SUMIFS('Residual Calculation'!$X$5:$X$604,'Residual Calculation'!$A$5:$A$604,$A24,'Residual Calculation'!$D$5:$D$604,M$5)))</f>
        <v>N/A</v>
      </c>
      <c r="N24" s="31" t="n">
        <f aca="false">IF(COUNTIFS('Residual Calculation'!$A$5:$A$604,$A24,'Residual Calculation'!$D$5:$D$604,N$5,'Residual Calculation'!$G$5:$G$604,"N/A")&gt;0,"N/A",IF(COUNTIFS('Residual Calculation'!$A$5:$A$604,$A24,'Residual Calculation'!$D$5:$D$604,N$5,'Residual Calculation'!$X$5:$X$604,"&gt;0")=0,"",SUMIFS('Residual Calculation'!$X$5:$X$604,'Residual Calculation'!$A$5:$A$604,$A24,'Residual Calculation'!$D$5:$D$604,N$5)))</f>
        <v>3</v>
      </c>
      <c r="O24" s="31" t="n">
        <f aca="false">IF(COUNTIFS('Residual Calculation'!$A$5:$A$604,$A24,'Residual Calculation'!$D$5:$D$604,O$5,'Residual Calculation'!$G$5:$G$604,"N/A")&gt;0,"N/A",IF(COUNTIFS('Residual Calculation'!$A$5:$A$604,$A24,'Residual Calculation'!$D$5:$D$604,O$5,'Residual Calculation'!$X$5:$X$604,"&gt;0")=0,"",SUMIFS('Residual Calculation'!$X$5:$X$604,'Residual Calculation'!$A$5:$A$604,$A24,'Residual Calculation'!$D$5:$D$604,O$5)))</f>
        <v>2</v>
      </c>
      <c r="P24" s="31" t="n">
        <f aca="false">IF(COUNTIFS('Residual Calculation'!$A$5:$A$604,$A24,'Residual Calculation'!$D$5:$D$604,P$5,'Residual Calculation'!$G$5:$G$604,"N/A")&gt;0,"N/A",IF(COUNTIFS('Residual Calculation'!$A$5:$A$604,$A24,'Residual Calculation'!$D$5:$D$604,P$5,'Residual Calculation'!$X$5:$X$604,"&gt;0")=0,"",SUMIFS('Residual Calculation'!$X$5:$X$604,'Residual Calculation'!$A$5:$A$604,$A24,'Residual Calculation'!$D$5:$D$604,P$5)))</f>
        <v>2</v>
      </c>
      <c r="Q24" s="31" t="n">
        <f aca="false">IF(COUNTIFS('Residual Calculation'!$A$5:$A$604,$A24,'Residual Calculation'!$D$5:$D$604,Q$5,'Residual Calculation'!$G$5:$G$604,"N/A")&gt;0,"N/A",IF(COUNTIFS('Residual Calculation'!$A$5:$A$604,$A24,'Residual Calculation'!$D$5:$D$604,Q$5,'Residual Calculation'!$X$5:$X$604,"&gt;0")=0,"",SUMIFS('Residual Calculation'!$X$5:$X$604,'Residual Calculation'!$A$5:$A$604,$A24,'Residual Calculation'!$D$5:$D$604,Q$5)))</f>
        <v>1</v>
      </c>
      <c r="R24" s="31" t="n">
        <f aca="false">IF(COUNTIFS('Residual Calculation'!$A$5:$A$604,$A24,'Residual Calculation'!$D$5:$D$604,R$5,'Residual Calculation'!$G$5:$G$604,"N/A")&gt;0,"N/A",IF(COUNTIFS('Residual Calculation'!$A$5:$A$604,$A24,'Residual Calculation'!$D$5:$D$604,R$5,'Residual Calculation'!$X$5:$X$604,"&gt;0")=0,"",SUMIFS('Residual Calculation'!$X$5:$X$604,'Residual Calculation'!$A$5:$A$604,$A24,'Residual Calculation'!$D$5:$D$604,R$5)))</f>
        <v>2</v>
      </c>
      <c r="S24" s="31" t="n">
        <f aca="false">IF(COUNTIFS('Residual Calculation'!$A$5:$A$604,$A24,'Residual Calculation'!$D$5:$D$604,S$5,'Residual Calculation'!$G$5:$G$604,"N/A")&gt;0,"N/A",IF(COUNTIFS('Residual Calculation'!$A$5:$A$604,$A24,'Residual Calculation'!$D$5:$D$604,S$5,'Residual Calculation'!$X$5:$X$604,"&gt;0")=0,"",SUMIFS('Residual Calculation'!$X$5:$X$604,'Residual Calculation'!$A$5:$A$604,$A24,'Residual Calculation'!$D$5:$D$604,S$5)))</f>
        <v>3</v>
      </c>
      <c r="T24" s="31" t="n">
        <f aca="false">IF(COUNTIFS('Residual Calculation'!$A$5:$A$604,$A24,'Residual Calculation'!$D$5:$D$604,T$5,'Residual Calculation'!$G$5:$G$604,"N/A")&gt;0,"N/A",IF(COUNTIFS('Residual Calculation'!$A$5:$A$604,$A24,'Residual Calculation'!$D$5:$D$604,T$5,'Residual Calculation'!$X$5:$X$604,"&gt;0")=0,"",SUMIFS('Residual Calculation'!$X$5:$X$604,'Residual Calculation'!$A$5:$A$604,$A24,'Residual Calculation'!$D$5:$D$604,T$5)))</f>
        <v>2</v>
      </c>
      <c r="U24" s="31" t="n">
        <f aca="false">IF(COUNTIFS('Residual Calculation'!$A$5:$A$604,$A24,'Residual Calculation'!$D$5:$D$604,U$5,'Residual Calculation'!$G$5:$G$604,"N/A")&gt;0,"N/A",IF(COUNTIFS('Residual Calculation'!$A$5:$A$604,$A24,'Residual Calculation'!$D$5:$D$604,U$5,'Residual Calculation'!$X$5:$X$604,"&gt;0")=0,"",SUMIFS('Residual Calculation'!$X$5:$X$604,'Residual Calculation'!$A$5:$A$604,$A24,'Residual Calculation'!$D$5:$D$604,U$5)))</f>
        <v>3</v>
      </c>
      <c r="V24" s="31" t="n">
        <f aca="false">IF(COUNTIFS('Residual Calculation'!$A$5:$A$604,$A24,'Residual Calculation'!$D$5:$D$604,V$5,'Residual Calculation'!$G$5:$G$604,"N/A")&gt;0,"N/A",IF(COUNTIFS('Residual Calculation'!$A$5:$A$604,$A24,'Residual Calculation'!$D$5:$D$604,V$5,'Residual Calculation'!$X$5:$X$604,"&gt;0")=0,"",SUMIFS('Residual Calculation'!$X$5:$X$604,'Residual Calculation'!$A$5:$A$604,$A24,'Residual Calculation'!$D$5:$D$604,V$5)))</f>
        <v>2</v>
      </c>
      <c r="W24" s="34" t="n">
        <f aca="false">MAX(C24:V24)</f>
        <v>3</v>
      </c>
      <c r="X24" s="29" t="n">
        <f aca="false">IFERROR(AVERAGE(C24:V24),"")</f>
        <v>2.31578947368421</v>
      </c>
      <c r="Y24" s="31" t="n">
        <f aca="false">COUNTIFS('Residual Calculation'!$A$5:$A$604,$A24,'Residual Calculation'!$AC$5:$AC$604,"Amber")</f>
        <v>3</v>
      </c>
      <c r="Z24" s="31" t="n">
        <f aca="false">COUNTIFS('Residual Calculation'!$A$5:$A$604,$A24,'Residual Calculation'!$AC$5:$AC$604,"Red")</f>
        <v>4</v>
      </c>
    </row>
    <row r="25" customFormat="false" ht="15" hidden="false" customHeight="false" outlineLevel="0" collapsed="false">
      <c r="A25" s="26" t="str">
        <f aca="false">Entities!A24</f>
        <v>TN</v>
      </c>
      <c r="B25" s="26" t="str">
        <f aca="false">Entities!B24</f>
        <v>Arab Tunisian Bank</v>
      </c>
      <c r="C25" s="31" t="n">
        <f aca="false">IF(COUNTIFS('Residual Calculation'!$A$5:$A$604,$A25,'Residual Calculation'!$D$5:$D$604,C$5,'Residual Calculation'!$G$5:$G$604,"N/A")&gt;0,"N/A",IF(COUNTIFS('Residual Calculation'!$A$5:$A$604,$A25,'Residual Calculation'!$D$5:$D$604,C$5,'Residual Calculation'!$X$5:$X$604,"&gt;0")=0,"",SUMIFS('Residual Calculation'!$X$5:$X$604,'Residual Calculation'!$A$5:$A$604,$A25,'Residual Calculation'!$D$5:$D$604,C$5)))</f>
        <v>3</v>
      </c>
      <c r="D25" s="31" t="n">
        <f aca="false">IF(COUNTIFS('Residual Calculation'!$A$5:$A$604,$A25,'Residual Calculation'!$D$5:$D$604,D$5,'Residual Calculation'!$G$5:$G$604,"N/A")&gt;0,"N/A",IF(COUNTIFS('Residual Calculation'!$A$5:$A$604,$A25,'Residual Calculation'!$D$5:$D$604,D$5,'Residual Calculation'!$X$5:$X$604,"&gt;0")=0,"",SUMIFS('Residual Calculation'!$X$5:$X$604,'Residual Calculation'!$A$5:$A$604,$A25,'Residual Calculation'!$D$5:$D$604,D$5)))</f>
        <v>3</v>
      </c>
      <c r="E25" s="31" t="n">
        <f aca="false">IF(COUNTIFS('Residual Calculation'!$A$5:$A$604,$A25,'Residual Calculation'!$D$5:$D$604,E$5,'Residual Calculation'!$G$5:$G$604,"N/A")&gt;0,"N/A",IF(COUNTIFS('Residual Calculation'!$A$5:$A$604,$A25,'Residual Calculation'!$D$5:$D$604,E$5,'Residual Calculation'!$X$5:$X$604,"&gt;0")=0,"",SUMIFS('Residual Calculation'!$X$5:$X$604,'Residual Calculation'!$A$5:$A$604,$A25,'Residual Calculation'!$D$5:$D$604,E$5)))</f>
        <v>3</v>
      </c>
      <c r="F25" s="31" t="n">
        <f aca="false">IF(COUNTIFS('Residual Calculation'!$A$5:$A$604,$A25,'Residual Calculation'!$D$5:$D$604,F$5,'Residual Calculation'!$G$5:$G$604,"N/A")&gt;0,"N/A",IF(COUNTIFS('Residual Calculation'!$A$5:$A$604,$A25,'Residual Calculation'!$D$5:$D$604,F$5,'Residual Calculation'!$X$5:$X$604,"&gt;0")=0,"",SUMIFS('Residual Calculation'!$X$5:$X$604,'Residual Calculation'!$A$5:$A$604,$A25,'Residual Calculation'!$D$5:$D$604,F$5)))</f>
        <v>3</v>
      </c>
      <c r="G25" s="31" t="n">
        <f aca="false">IF(COUNTIFS('Residual Calculation'!$A$5:$A$604,$A25,'Residual Calculation'!$D$5:$D$604,G$5,'Residual Calculation'!$G$5:$G$604,"N/A")&gt;0,"N/A",IF(COUNTIFS('Residual Calculation'!$A$5:$A$604,$A25,'Residual Calculation'!$D$5:$D$604,G$5,'Residual Calculation'!$X$5:$X$604,"&gt;0")=0,"",SUMIFS('Residual Calculation'!$X$5:$X$604,'Residual Calculation'!$A$5:$A$604,$A25,'Residual Calculation'!$D$5:$D$604,G$5)))</f>
        <v>2</v>
      </c>
      <c r="H25" s="31" t="n">
        <f aca="false">IF(COUNTIFS('Residual Calculation'!$A$5:$A$604,$A25,'Residual Calculation'!$D$5:$D$604,H$5,'Residual Calculation'!$G$5:$G$604,"N/A")&gt;0,"N/A",IF(COUNTIFS('Residual Calculation'!$A$5:$A$604,$A25,'Residual Calculation'!$D$5:$D$604,H$5,'Residual Calculation'!$X$5:$X$604,"&gt;0")=0,"",SUMIFS('Residual Calculation'!$X$5:$X$604,'Residual Calculation'!$A$5:$A$604,$A25,'Residual Calculation'!$D$5:$D$604,H$5)))</f>
        <v>2</v>
      </c>
      <c r="I25" s="31" t="n">
        <f aca="false">IF(COUNTIFS('Residual Calculation'!$A$5:$A$604,$A25,'Residual Calculation'!$D$5:$D$604,I$5,'Residual Calculation'!$G$5:$G$604,"N/A")&gt;0,"N/A",IF(COUNTIFS('Residual Calculation'!$A$5:$A$604,$A25,'Residual Calculation'!$D$5:$D$604,I$5,'Residual Calculation'!$X$5:$X$604,"&gt;0")=0,"",SUMIFS('Residual Calculation'!$X$5:$X$604,'Residual Calculation'!$A$5:$A$604,$A25,'Residual Calculation'!$D$5:$D$604,I$5)))</f>
        <v>3</v>
      </c>
      <c r="J25" s="31" t="n">
        <f aca="false">IF(COUNTIFS('Residual Calculation'!$A$5:$A$604,$A25,'Residual Calculation'!$D$5:$D$604,J$5,'Residual Calculation'!$G$5:$G$604,"N/A")&gt;0,"N/A",IF(COUNTIFS('Residual Calculation'!$A$5:$A$604,$A25,'Residual Calculation'!$D$5:$D$604,J$5,'Residual Calculation'!$X$5:$X$604,"&gt;0")=0,"",SUMIFS('Residual Calculation'!$X$5:$X$604,'Residual Calculation'!$A$5:$A$604,$A25,'Residual Calculation'!$D$5:$D$604,J$5)))</f>
        <v>3</v>
      </c>
      <c r="K25" s="31" t="n">
        <f aca="false">IF(COUNTIFS('Residual Calculation'!$A$5:$A$604,$A25,'Residual Calculation'!$D$5:$D$604,K$5,'Residual Calculation'!$G$5:$G$604,"N/A")&gt;0,"N/A",IF(COUNTIFS('Residual Calculation'!$A$5:$A$604,$A25,'Residual Calculation'!$D$5:$D$604,K$5,'Residual Calculation'!$X$5:$X$604,"&gt;0")=0,"",SUMIFS('Residual Calculation'!$X$5:$X$604,'Residual Calculation'!$A$5:$A$604,$A25,'Residual Calculation'!$D$5:$D$604,K$5)))</f>
        <v>2</v>
      </c>
      <c r="L25" s="31" t="n">
        <f aca="false">IF(COUNTIFS('Residual Calculation'!$A$5:$A$604,$A25,'Residual Calculation'!$D$5:$D$604,L$5,'Residual Calculation'!$G$5:$G$604,"N/A")&gt;0,"N/A",IF(COUNTIFS('Residual Calculation'!$A$5:$A$604,$A25,'Residual Calculation'!$D$5:$D$604,L$5,'Residual Calculation'!$X$5:$X$604,"&gt;0")=0,"",SUMIFS('Residual Calculation'!$X$5:$X$604,'Residual Calculation'!$A$5:$A$604,$A25,'Residual Calculation'!$D$5:$D$604,L$5)))</f>
        <v>1</v>
      </c>
      <c r="M25" s="31" t="str">
        <f aca="false">IF(COUNTIFS('Residual Calculation'!$A$5:$A$604,$A25,'Residual Calculation'!$D$5:$D$604,M$5,'Residual Calculation'!$G$5:$G$604,"N/A")&gt;0,"N/A",IF(COUNTIFS('Residual Calculation'!$A$5:$A$604,$A25,'Residual Calculation'!$D$5:$D$604,M$5,'Residual Calculation'!$X$5:$X$604,"&gt;0")=0,"",SUMIFS('Residual Calculation'!$X$5:$X$604,'Residual Calculation'!$A$5:$A$604,$A25,'Residual Calculation'!$D$5:$D$604,M$5)))</f>
        <v>N/A</v>
      </c>
      <c r="N25" s="31" t="n">
        <f aca="false">IF(COUNTIFS('Residual Calculation'!$A$5:$A$604,$A25,'Residual Calculation'!$D$5:$D$604,N$5,'Residual Calculation'!$G$5:$G$604,"N/A")&gt;0,"N/A",IF(COUNTIFS('Residual Calculation'!$A$5:$A$604,$A25,'Residual Calculation'!$D$5:$D$604,N$5,'Residual Calculation'!$X$5:$X$604,"&gt;0")=0,"",SUMIFS('Residual Calculation'!$X$5:$X$604,'Residual Calculation'!$A$5:$A$604,$A25,'Residual Calculation'!$D$5:$D$604,N$5)))</f>
        <v>3</v>
      </c>
      <c r="O25" s="31" t="n">
        <f aca="false">IF(COUNTIFS('Residual Calculation'!$A$5:$A$604,$A25,'Residual Calculation'!$D$5:$D$604,O$5,'Residual Calculation'!$G$5:$G$604,"N/A")&gt;0,"N/A",IF(COUNTIFS('Residual Calculation'!$A$5:$A$604,$A25,'Residual Calculation'!$D$5:$D$604,O$5,'Residual Calculation'!$X$5:$X$604,"&gt;0")=0,"",SUMIFS('Residual Calculation'!$X$5:$X$604,'Residual Calculation'!$A$5:$A$604,$A25,'Residual Calculation'!$D$5:$D$604,O$5)))</f>
        <v>2</v>
      </c>
      <c r="P25" s="31" t="n">
        <f aca="false">IF(COUNTIFS('Residual Calculation'!$A$5:$A$604,$A25,'Residual Calculation'!$D$5:$D$604,P$5,'Residual Calculation'!$G$5:$G$604,"N/A")&gt;0,"N/A",IF(COUNTIFS('Residual Calculation'!$A$5:$A$604,$A25,'Residual Calculation'!$D$5:$D$604,P$5,'Residual Calculation'!$X$5:$X$604,"&gt;0")=0,"",SUMIFS('Residual Calculation'!$X$5:$X$604,'Residual Calculation'!$A$5:$A$604,$A25,'Residual Calculation'!$D$5:$D$604,P$5)))</f>
        <v>1</v>
      </c>
      <c r="Q25" s="31" t="n">
        <f aca="false">IF(COUNTIFS('Residual Calculation'!$A$5:$A$604,$A25,'Residual Calculation'!$D$5:$D$604,Q$5,'Residual Calculation'!$G$5:$G$604,"N/A")&gt;0,"N/A",IF(COUNTIFS('Residual Calculation'!$A$5:$A$604,$A25,'Residual Calculation'!$D$5:$D$604,Q$5,'Residual Calculation'!$X$5:$X$604,"&gt;0")=0,"",SUMIFS('Residual Calculation'!$X$5:$X$604,'Residual Calculation'!$A$5:$A$604,$A25,'Residual Calculation'!$D$5:$D$604,Q$5)))</f>
        <v>2</v>
      </c>
      <c r="R25" s="31" t="n">
        <f aca="false">IF(COUNTIFS('Residual Calculation'!$A$5:$A$604,$A25,'Residual Calculation'!$D$5:$D$604,R$5,'Residual Calculation'!$G$5:$G$604,"N/A")&gt;0,"N/A",IF(COUNTIFS('Residual Calculation'!$A$5:$A$604,$A25,'Residual Calculation'!$D$5:$D$604,R$5,'Residual Calculation'!$X$5:$X$604,"&gt;0")=0,"",SUMIFS('Residual Calculation'!$X$5:$X$604,'Residual Calculation'!$A$5:$A$604,$A25,'Residual Calculation'!$D$5:$D$604,R$5)))</f>
        <v>2</v>
      </c>
      <c r="S25" s="31" t="n">
        <f aca="false">IF(COUNTIFS('Residual Calculation'!$A$5:$A$604,$A25,'Residual Calculation'!$D$5:$D$604,S$5,'Residual Calculation'!$G$5:$G$604,"N/A")&gt;0,"N/A",IF(COUNTIFS('Residual Calculation'!$A$5:$A$604,$A25,'Residual Calculation'!$D$5:$D$604,S$5,'Residual Calculation'!$X$5:$X$604,"&gt;0")=0,"",SUMIFS('Residual Calculation'!$X$5:$X$604,'Residual Calculation'!$A$5:$A$604,$A25,'Residual Calculation'!$D$5:$D$604,S$5)))</f>
        <v>3</v>
      </c>
      <c r="T25" s="31" t="n">
        <f aca="false">IF(COUNTIFS('Residual Calculation'!$A$5:$A$604,$A25,'Residual Calculation'!$D$5:$D$604,T$5,'Residual Calculation'!$G$5:$G$604,"N/A")&gt;0,"N/A",IF(COUNTIFS('Residual Calculation'!$A$5:$A$604,$A25,'Residual Calculation'!$D$5:$D$604,T$5,'Residual Calculation'!$X$5:$X$604,"&gt;0")=0,"",SUMIFS('Residual Calculation'!$X$5:$X$604,'Residual Calculation'!$A$5:$A$604,$A25,'Residual Calculation'!$D$5:$D$604,T$5)))</f>
        <v>1</v>
      </c>
      <c r="U25" s="31" t="n">
        <f aca="false">IF(COUNTIFS('Residual Calculation'!$A$5:$A$604,$A25,'Residual Calculation'!$D$5:$D$604,U$5,'Residual Calculation'!$G$5:$G$604,"N/A")&gt;0,"N/A",IF(COUNTIFS('Residual Calculation'!$A$5:$A$604,$A25,'Residual Calculation'!$D$5:$D$604,U$5,'Residual Calculation'!$X$5:$X$604,"&gt;0")=0,"",SUMIFS('Residual Calculation'!$X$5:$X$604,'Residual Calculation'!$A$5:$A$604,$A25,'Residual Calculation'!$D$5:$D$604,U$5)))</f>
        <v>2</v>
      </c>
      <c r="V25" s="31" t="n">
        <f aca="false">IF(COUNTIFS('Residual Calculation'!$A$5:$A$604,$A25,'Residual Calculation'!$D$5:$D$604,V$5,'Residual Calculation'!$G$5:$G$604,"N/A")&gt;0,"N/A",IF(COUNTIFS('Residual Calculation'!$A$5:$A$604,$A25,'Residual Calculation'!$D$5:$D$604,V$5,'Residual Calculation'!$X$5:$X$604,"&gt;0")=0,"",SUMIFS('Residual Calculation'!$X$5:$X$604,'Residual Calculation'!$A$5:$A$604,$A25,'Residual Calculation'!$D$5:$D$604,V$5)))</f>
        <v>2</v>
      </c>
      <c r="W25" s="34" t="n">
        <f aca="false">MAX(C25:V25)</f>
        <v>3</v>
      </c>
      <c r="X25" s="29" t="n">
        <f aca="false">IFERROR(AVERAGE(C25:V25),"")</f>
        <v>2.26315789473684</v>
      </c>
      <c r="Y25" s="31" t="n">
        <f aca="false">COUNTIFS('Residual Calculation'!$A$5:$A$604,$A25,'Residual Calculation'!$AC$5:$AC$604,"Amber")</f>
        <v>3</v>
      </c>
      <c r="Z25" s="31" t="n">
        <f aca="false">COUNTIFS('Residual Calculation'!$A$5:$A$604,$A25,'Residual Calculation'!$AC$5:$AC$604,"Red")</f>
        <v>4</v>
      </c>
    </row>
    <row r="26" customFormat="false" ht="15" hidden="false" customHeight="false" outlineLevel="0" collapsed="false">
      <c r="A26" s="26" t="str">
        <f aca="false">Entities!A25</f>
        <v>SD</v>
      </c>
      <c r="B26" s="26" t="str">
        <f aca="false">Entities!B25</f>
        <v>Arab Sudanese Bank</v>
      </c>
      <c r="C26" s="31" t="n">
        <f aca="false">IF(COUNTIFS('Residual Calculation'!$A$5:$A$604,$A26,'Residual Calculation'!$D$5:$D$604,C$5,'Residual Calculation'!$G$5:$G$604,"N/A")&gt;0,"N/A",IF(COUNTIFS('Residual Calculation'!$A$5:$A$604,$A26,'Residual Calculation'!$D$5:$D$604,C$5,'Residual Calculation'!$X$5:$X$604,"&gt;0")=0,"",SUMIFS('Residual Calculation'!$X$5:$X$604,'Residual Calculation'!$A$5:$A$604,$A26,'Residual Calculation'!$D$5:$D$604,C$5)))</f>
        <v>5</v>
      </c>
      <c r="D26" s="31" t="n">
        <f aca="false">IF(COUNTIFS('Residual Calculation'!$A$5:$A$604,$A26,'Residual Calculation'!$D$5:$D$604,D$5,'Residual Calculation'!$G$5:$G$604,"N/A")&gt;0,"N/A",IF(COUNTIFS('Residual Calculation'!$A$5:$A$604,$A26,'Residual Calculation'!$D$5:$D$604,D$5,'Residual Calculation'!$X$5:$X$604,"&gt;0")=0,"",SUMIFS('Residual Calculation'!$X$5:$X$604,'Residual Calculation'!$A$5:$A$604,$A26,'Residual Calculation'!$D$5:$D$604,D$5)))</f>
        <v>5</v>
      </c>
      <c r="E26" s="31" t="n">
        <f aca="false">IF(COUNTIFS('Residual Calculation'!$A$5:$A$604,$A26,'Residual Calculation'!$D$5:$D$604,E$5,'Residual Calculation'!$G$5:$G$604,"N/A")&gt;0,"N/A",IF(COUNTIFS('Residual Calculation'!$A$5:$A$604,$A26,'Residual Calculation'!$D$5:$D$604,E$5,'Residual Calculation'!$X$5:$X$604,"&gt;0")=0,"",SUMIFS('Residual Calculation'!$X$5:$X$604,'Residual Calculation'!$A$5:$A$604,$A26,'Residual Calculation'!$D$5:$D$604,E$5)))</f>
        <v>3</v>
      </c>
      <c r="F26" s="31" t="n">
        <f aca="false">IF(COUNTIFS('Residual Calculation'!$A$5:$A$604,$A26,'Residual Calculation'!$D$5:$D$604,F$5,'Residual Calculation'!$G$5:$G$604,"N/A")&gt;0,"N/A",IF(COUNTIFS('Residual Calculation'!$A$5:$A$604,$A26,'Residual Calculation'!$D$5:$D$604,F$5,'Residual Calculation'!$X$5:$X$604,"&gt;0")=0,"",SUMIFS('Residual Calculation'!$X$5:$X$604,'Residual Calculation'!$A$5:$A$604,$A26,'Residual Calculation'!$D$5:$D$604,F$5)))</f>
        <v>3</v>
      </c>
      <c r="G26" s="31" t="n">
        <f aca="false">IF(COUNTIFS('Residual Calculation'!$A$5:$A$604,$A26,'Residual Calculation'!$D$5:$D$604,G$5,'Residual Calculation'!$G$5:$G$604,"N/A")&gt;0,"N/A",IF(COUNTIFS('Residual Calculation'!$A$5:$A$604,$A26,'Residual Calculation'!$D$5:$D$604,G$5,'Residual Calculation'!$X$5:$X$604,"&gt;0")=0,"",SUMIFS('Residual Calculation'!$X$5:$X$604,'Residual Calculation'!$A$5:$A$604,$A26,'Residual Calculation'!$D$5:$D$604,G$5)))</f>
        <v>3</v>
      </c>
      <c r="H26" s="31" t="n">
        <f aca="false">IF(COUNTIFS('Residual Calculation'!$A$5:$A$604,$A26,'Residual Calculation'!$D$5:$D$604,H$5,'Residual Calculation'!$G$5:$G$604,"N/A")&gt;0,"N/A",IF(COUNTIFS('Residual Calculation'!$A$5:$A$604,$A26,'Residual Calculation'!$D$5:$D$604,H$5,'Residual Calculation'!$X$5:$X$604,"&gt;0")=0,"",SUMIFS('Residual Calculation'!$X$5:$X$604,'Residual Calculation'!$A$5:$A$604,$A26,'Residual Calculation'!$D$5:$D$604,H$5)))</f>
        <v>5</v>
      </c>
      <c r="I26" s="31" t="n">
        <f aca="false">IF(COUNTIFS('Residual Calculation'!$A$5:$A$604,$A26,'Residual Calculation'!$D$5:$D$604,I$5,'Residual Calculation'!$G$5:$G$604,"N/A")&gt;0,"N/A",IF(COUNTIFS('Residual Calculation'!$A$5:$A$604,$A26,'Residual Calculation'!$D$5:$D$604,I$5,'Residual Calculation'!$X$5:$X$604,"&gt;0")=0,"",SUMIFS('Residual Calculation'!$X$5:$X$604,'Residual Calculation'!$A$5:$A$604,$A26,'Residual Calculation'!$D$5:$D$604,I$5)))</f>
        <v>3</v>
      </c>
      <c r="J26" s="31" t="n">
        <f aca="false">IF(COUNTIFS('Residual Calculation'!$A$5:$A$604,$A26,'Residual Calculation'!$D$5:$D$604,J$5,'Residual Calculation'!$G$5:$G$604,"N/A")&gt;0,"N/A",IF(COUNTIFS('Residual Calculation'!$A$5:$A$604,$A26,'Residual Calculation'!$D$5:$D$604,J$5,'Residual Calculation'!$X$5:$X$604,"&gt;0")=0,"",SUMIFS('Residual Calculation'!$X$5:$X$604,'Residual Calculation'!$A$5:$A$604,$A26,'Residual Calculation'!$D$5:$D$604,J$5)))</f>
        <v>4</v>
      </c>
      <c r="K26" s="31" t="n">
        <f aca="false">IF(COUNTIFS('Residual Calculation'!$A$5:$A$604,$A26,'Residual Calculation'!$D$5:$D$604,K$5,'Residual Calculation'!$G$5:$G$604,"N/A")&gt;0,"N/A",IF(COUNTIFS('Residual Calculation'!$A$5:$A$604,$A26,'Residual Calculation'!$D$5:$D$604,K$5,'Residual Calculation'!$X$5:$X$604,"&gt;0")=0,"",SUMIFS('Residual Calculation'!$X$5:$X$604,'Residual Calculation'!$A$5:$A$604,$A26,'Residual Calculation'!$D$5:$D$604,K$5)))</f>
        <v>4</v>
      </c>
      <c r="L26" s="31" t="n">
        <f aca="false">IF(COUNTIFS('Residual Calculation'!$A$5:$A$604,$A26,'Residual Calculation'!$D$5:$D$604,L$5,'Residual Calculation'!$G$5:$G$604,"N/A")&gt;0,"N/A",IF(COUNTIFS('Residual Calculation'!$A$5:$A$604,$A26,'Residual Calculation'!$D$5:$D$604,L$5,'Residual Calculation'!$X$5:$X$604,"&gt;0")=0,"",SUMIFS('Residual Calculation'!$X$5:$X$604,'Residual Calculation'!$A$5:$A$604,$A26,'Residual Calculation'!$D$5:$D$604,L$5)))</f>
        <v>4</v>
      </c>
      <c r="M26" s="31" t="str">
        <f aca="false">IF(COUNTIFS('Residual Calculation'!$A$5:$A$604,$A26,'Residual Calculation'!$D$5:$D$604,M$5,'Residual Calculation'!$G$5:$G$604,"N/A")&gt;0,"N/A",IF(COUNTIFS('Residual Calculation'!$A$5:$A$604,$A26,'Residual Calculation'!$D$5:$D$604,M$5,'Residual Calculation'!$X$5:$X$604,"&gt;0")=0,"",SUMIFS('Residual Calculation'!$X$5:$X$604,'Residual Calculation'!$A$5:$A$604,$A26,'Residual Calculation'!$D$5:$D$604,M$5)))</f>
        <v>N/A</v>
      </c>
      <c r="N26" s="31" t="n">
        <f aca="false">IF(COUNTIFS('Residual Calculation'!$A$5:$A$604,$A26,'Residual Calculation'!$D$5:$D$604,N$5,'Residual Calculation'!$G$5:$G$604,"N/A")&gt;0,"N/A",IF(COUNTIFS('Residual Calculation'!$A$5:$A$604,$A26,'Residual Calculation'!$D$5:$D$604,N$5,'Residual Calculation'!$X$5:$X$604,"&gt;0")=0,"",SUMIFS('Residual Calculation'!$X$5:$X$604,'Residual Calculation'!$A$5:$A$604,$A26,'Residual Calculation'!$D$5:$D$604,N$5)))</f>
        <v>5</v>
      </c>
      <c r="O26" s="31" t="n">
        <f aca="false">IF(COUNTIFS('Residual Calculation'!$A$5:$A$604,$A26,'Residual Calculation'!$D$5:$D$604,O$5,'Residual Calculation'!$G$5:$G$604,"N/A")&gt;0,"N/A",IF(COUNTIFS('Residual Calculation'!$A$5:$A$604,$A26,'Residual Calculation'!$D$5:$D$604,O$5,'Residual Calculation'!$X$5:$X$604,"&gt;0")=0,"",SUMIFS('Residual Calculation'!$X$5:$X$604,'Residual Calculation'!$A$5:$A$604,$A26,'Residual Calculation'!$D$5:$D$604,O$5)))</f>
        <v>1</v>
      </c>
      <c r="P26" s="31" t="n">
        <f aca="false">IF(COUNTIFS('Residual Calculation'!$A$5:$A$604,$A26,'Residual Calculation'!$D$5:$D$604,P$5,'Residual Calculation'!$G$5:$G$604,"N/A")&gt;0,"N/A",IF(COUNTIFS('Residual Calculation'!$A$5:$A$604,$A26,'Residual Calculation'!$D$5:$D$604,P$5,'Residual Calculation'!$X$5:$X$604,"&gt;0")=0,"",SUMIFS('Residual Calculation'!$X$5:$X$604,'Residual Calculation'!$A$5:$A$604,$A26,'Residual Calculation'!$D$5:$D$604,P$5)))</f>
        <v>3</v>
      </c>
      <c r="Q26" s="31" t="n">
        <f aca="false">IF(COUNTIFS('Residual Calculation'!$A$5:$A$604,$A26,'Residual Calculation'!$D$5:$D$604,Q$5,'Residual Calculation'!$G$5:$G$604,"N/A")&gt;0,"N/A",IF(COUNTIFS('Residual Calculation'!$A$5:$A$604,$A26,'Residual Calculation'!$D$5:$D$604,Q$5,'Residual Calculation'!$X$5:$X$604,"&gt;0")=0,"",SUMIFS('Residual Calculation'!$X$5:$X$604,'Residual Calculation'!$A$5:$A$604,$A26,'Residual Calculation'!$D$5:$D$604,Q$5)))</f>
        <v>4</v>
      </c>
      <c r="R26" s="31" t="n">
        <f aca="false">IF(COUNTIFS('Residual Calculation'!$A$5:$A$604,$A26,'Residual Calculation'!$D$5:$D$604,R$5,'Residual Calculation'!$G$5:$G$604,"N/A")&gt;0,"N/A",IF(COUNTIFS('Residual Calculation'!$A$5:$A$604,$A26,'Residual Calculation'!$D$5:$D$604,R$5,'Residual Calculation'!$X$5:$X$604,"&gt;0")=0,"",SUMIFS('Residual Calculation'!$X$5:$X$604,'Residual Calculation'!$A$5:$A$604,$A26,'Residual Calculation'!$D$5:$D$604,R$5)))</f>
        <v>4</v>
      </c>
      <c r="S26" s="31" t="n">
        <f aca="false">IF(COUNTIFS('Residual Calculation'!$A$5:$A$604,$A26,'Residual Calculation'!$D$5:$D$604,S$5,'Residual Calculation'!$G$5:$G$604,"N/A")&gt;0,"N/A",IF(COUNTIFS('Residual Calculation'!$A$5:$A$604,$A26,'Residual Calculation'!$D$5:$D$604,S$5,'Residual Calculation'!$X$5:$X$604,"&gt;0")=0,"",SUMIFS('Residual Calculation'!$X$5:$X$604,'Residual Calculation'!$A$5:$A$604,$A26,'Residual Calculation'!$D$5:$D$604,S$5)))</f>
        <v>4</v>
      </c>
      <c r="T26" s="31" t="n">
        <f aca="false">IF(COUNTIFS('Residual Calculation'!$A$5:$A$604,$A26,'Residual Calculation'!$D$5:$D$604,T$5,'Residual Calculation'!$G$5:$G$604,"N/A")&gt;0,"N/A",IF(COUNTIFS('Residual Calculation'!$A$5:$A$604,$A26,'Residual Calculation'!$D$5:$D$604,T$5,'Residual Calculation'!$X$5:$X$604,"&gt;0")=0,"",SUMIFS('Residual Calculation'!$X$5:$X$604,'Residual Calculation'!$A$5:$A$604,$A26,'Residual Calculation'!$D$5:$D$604,T$5)))</f>
        <v>3</v>
      </c>
      <c r="U26" s="31" t="n">
        <f aca="false">IF(COUNTIFS('Residual Calculation'!$A$5:$A$604,$A26,'Residual Calculation'!$D$5:$D$604,U$5,'Residual Calculation'!$G$5:$G$604,"N/A")&gt;0,"N/A",IF(COUNTIFS('Residual Calculation'!$A$5:$A$604,$A26,'Residual Calculation'!$D$5:$D$604,U$5,'Residual Calculation'!$X$5:$X$604,"&gt;0")=0,"",SUMIFS('Residual Calculation'!$X$5:$X$604,'Residual Calculation'!$A$5:$A$604,$A26,'Residual Calculation'!$D$5:$D$604,U$5)))</f>
        <v>4</v>
      </c>
      <c r="V26" s="31" t="n">
        <f aca="false">IF(COUNTIFS('Residual Calculation'!$A$5:$A$604,$A26,'Residual Calculation'!$D$5:$D$604,V$5,'Residual Calculation'!$G$5:$G$604,"N/A")&gt;0,"N/A",IF(COUNTIFS('Residual Calculation'!$A$5:$A$604,$A26,'Residual Calculation'!$D$5:$D$604,V$5,'Residual Calculation'!$X$5:$X$604,"&gt;0")=0,"",SUMIFS('Residual Calculation'!$X$5:$X$604,'Residual Calculation'!$A$5:$A$604,$A26,'Residual Calculation'!$D$5:$D$604,V$5)))</f>
        <v>3</v>
      </c>
      <c r="W26" s="34" t="n">
        <f aca="false">MAX(C26:V26)</f>
        <v>5</v>
      </c>
      <c r="X26" s="29" t="n">
        <f aca="false">IFERROR(AVERAGE(C26:V26),"")</f>
        <v>3.68421052631579</v>
      </c>
      <c r="Y26" s="31" t="n">
        <f aca="false">COUNTIFS('Residual Calculation'!$A$5:$A$604,$A26,'Residual Calculation'!$AC$5:$AC$604,"Amber")</f>
        <v>6</v>
      </c>
      <c r="Z26" s="31" t="n">
        <f aca="false">COUNTIFS('Residual Calculation'!$A$5:$A$604,$A26,'Residual Calculation'!$AC$5:$AC$604,"Red")</f>
        <v>10</v>
      </c>
    </row>
    <row r="27" customFormat="false" ht="15" hidden="false" customHeight="false" outlineLevel="0" collapsed="false">
      <c r="A27" s="26" t="str">
        <f aca="false">Entities!A26</f>
        <v>GB</v>
      </c>
      <c r="B27" s="26" t="str">
        <f aca="false">Entities!B26</f>
        <v>Europe Arab Bank – United Kingdom</v>
      </c>
      <c r="C27" s="31" t="n">
        <f aca="false">IF(COUNTIFS('Residual Calculation'!$A$5:$A$604,$A27,'Residual Calculation'!$D$5:$D$604,C$5,'Residual Calculation'!$G$5:$G$604,"N/A")&gt;0,"N/A",IF(COUNTIFS('Residual Calculation'!$A$5:$A$604,$A27,'Residual Calculation'!$D$5:$D$604,C$5,'Residual Calculation'!$X$5:$X$604,"&gt;0")=0,"",SUMIFS('Residual Calculation'!$X$5:$X$604,'Residual Calculation'!$A$5:$A$604,$A27,'Residual Calculation'!$D$5:$D$604,C$5)))</f>
        <v>1</v>
      </c>
      <c r="D27" s="31" t="n">
        <f aca="false">IF(COUNTIFS('Residual Calculation'!$A$5:$A$604,$A27,'Residual Calculation'!$D$5:$D$604,D$5,'Residual Calculation'!$G$5:$G$604,"N/A")&gt;0,"N/A",IF(COUNTIFS('Residual Calculation'!$A$5:$A$604,$A27,'Residual Calculation'!$D$5:$D$604,D$5,'Residual Calculation'!$X$5:$X$604,"&gt;0")=0,"",SUMIFS('Residual Calculation'!$X$5:$X$604,'Residual Calculation'!$A$5:$A$604,$A27,'Residual Calculation'!$D$5:$D$604,D$5)))</f>
        <v>1</v>
      </c>
      <c r="E27" s="31" t="n">
        <f aca="false">IF(COUNTIFS('Residual Calculation'!$A$5:$A$604,$A27,'Residual Calculation'!$D$5:$D$604,E$5,'Residual Calculation'!$G$5:$G$604,"N/A")&gt;0,"N/A",IF(COUNTIFS('Residual Calculation'!$A$5:$A$604,$A27,'Residual Calculation'!$D$5:$D$604,E$5,'Residual Calculation'!$X$5:$X$604,"&gt;0")=0,"",SUMIFS('Residual Calculation'!$X$5:$X$604,'Residual Calculation'!$A$5:$A$604,$A27,'Residual Calculation'!$D$5:$D$604,E$5)))</f>
        <v>1</v>
      </c>
      <c r="F27" s="31" t="n">
        <f aca="false">IF(COUNTIFS('Residual Calculation'!$A$5:$A$604,$A27,'Residual Calculation'!$D$5:$D$604,F$5,'Residual Calculation'!$G$5:$G$604,"N/A")&gt;0,"N/A",IF(COUNTIFS('Residual Calculation'!$A$5:$A$604,$A27,'Residual Calculation'!$D$5:$D$604,F$5,'Residual Calculation'!$X$5:$X$604,"&gt;0")=0,"",SUMIFS('Residual Calculation'!$X$5:$X$604,'Residual Calculation'!$A$5:$A$604,$A27,'Residual Calculation'!$D$5:$D$604,F$5)))</f>
        <v>1</v>
      </c>
      <c r="G27" s="31" t="n">
        <f aca="false">IF(COUNTIFS('Residual Calculation'!$A$5:$A$604,$A27,'Residual Calculation'!$D$5:$D$604,G$5,'Residual Calculation'!$G$5:$G$604,"N/A")&gt;0,"N/A",IF(COUNTIFS('Residual Calculation'!$A$5:$A$604,$A27,'Residual Calculation'!$D$5:$D$604,G$5,'Residual Calculation'!$X$5:$X$604,"&gt;0")=0,"",SUMIFS('Residual Calculation'!$X$5:$X$604,'Residual Calculation'!$A$5:$A$604,$A27,'Residual Calculation'!$D$5:$D$604,G$5)))</f>
        <v>1</v>
      </c>
      <c r="H27" s="31" t="n">
        <f aca="false">IF(COUNTIFS('Residual Calculation'!$A$5:$A$604,$A27,'Residual Calculation'!$D$5:$D$604,H$5,'Residual Calculation'!$G$5:$G$604,"N/A")&gt;0,"N/A",IF(COUNTIFS('Residual Calculation'!$A$5:$A$604,$A27,'Residual Calculation'!$D$5:$D$604,H$5,'Residual Calculation'!$X$5:$X$604,"&gt;0")=0,"",SUMIFS('Residual Calculation'!$X$5:$X$604,'Residual Calculation'!$A$5:$A$604,$A27,'Residual Calculation'!$D$5:$D$604,H$5)))</f>
        <v>1</v>
      </c>
      <c r="I27" s="31" t="n">
        <f aca="false">IF(COUNTIFS('Residual Calculation'!$A$5:$A$604,$A27,'Residual Calculation'!$D$5:$D$604,I$5,'Residual Calculation'!$G$5:$G$604,"N/A")&gt;0,"N/A",IF(COUNTIFS('Residual Calculation'!$A$5:$A$604,$A27,'Residual Calculation'!$D$5:$D$604,I$5,'Residual Calculation'!$X$5:$X$604,"&gt;0")=0,"",SUMIFS('Residual Calculation'!$X$5:$X$604,'Residual Calculation'!$A$5:$A$604,$A27,'Residual Calculation'!$D$5:$D$604,I$5)))</f>
        <v>1</v>
      </c>
      <c r="J27" s="31" t="n">
        <f aca="false">IF(COUNTIFS('Residual Calculation'!$A$5:$A$604,$A27,'Residual Calculation'!$D$5:$D$604,J$5,'Residual Calculation'!$G$5:$G$604,"N/A")&gt;0,"N/A",IF(COUNTIFS('Residual Calculation'!$A$5:$A$604,$A27,'Residual Calculation'!$D$5:$D$604,J$5,'Residual Calculation'!$X$5:$X$604,"&gt;0")=0,"",SUMIFS('Residual Calculation'!$X$5:$X$604,'Residual Calculation'!$A$5:$A$604,$A27,'Residual Calculation'!$D$5:$D$604,J$5)))</f>
        <v>1</v>
      </c>
      <c r="K27" s="31" t="n">
        <f aca="false">IF(COUNTIFS('Residual Calculation'!$A$5:$A$604,$A27,'Residual Calculation'!$D$5:$D$604,K$5,'Residual Calculation'!$G$5:$G$604,"N/A")&gt;0,"N/A",IF(COUNTIFS('Residual Calculation'!$A$5:$A$604,$A27,'Residual Calculation'!$D$5:$D$604,K$5,'Residual Calculation'!$X$5:$X$604,"&gt;0")=0,"",SUMIFS('Residual Calculation'!$X$5:$X$604,'Residual Calculation'!$A$5:$A$604,$A27,'Residual Calculation'!$D$5:$D$604,K$5)))</f>
        <v>1</v>
      </c>
      <c r="L27" s="31" t="n">
        <f aca="false">IF(COUNTIFS('Residual Calculation'!$A$5:$A$604,$A27,'Residual Calculation'!$D$5:$D$604,L$5,'Residual Calculation'!$G$5:$G$604,"N/A")&gt;0,"N/A",IF(COUNTIFS('Residual Calculation'!$A$5:$A$604,$A27,'Residual Calculation'!$D$5:$D$604,L$5,'Residual Calculation'!$X$5:$X$604,"&gt;0")=0,"",SUMIFS('Residual Calculation'!$X$5:$X$604,'Residual Calculation'!$A$5:$A$604,$A27,'Residual Calculation'!$D$5:$D$604,L$5)))</f>
        <v>1</v>
      </c>
      <c r="M27" s="31" t="str">
        <f aca="false">IF(COUNTIFS('Residual Calculation'!$A$5:$A$604,$A27,'Residual Calculation'!$D$5:$D$604,M$5,'Residual Calculation'!$G$5:$G$604,"N/A")&gt;0,"N/A",IF(COUNTIFS('Residual Calculation'!$A$5:$A$604,$A27,'Residual Calculation'!$D$5:$D$604,M$5,'Residual Calculation'!$X$5:$X$604,"&gt;0")=0,"",SUMIFS('Residual Calculation'!$X$5:$X$604,'Residual Calculation'!$A$5:$A$604,$A27,'Residual Calculation'!$D$5:$D$604,M$5)))</f>
        <v>N/A</v>
      </c>
      <c r="N27" s="31" t="n">
        <f aca="false">IF(COUNTIFS('Residual Calculation'!$A$5:$A$604,$A27,'Residual Calculation'!$D$5:$D$604,N$5,'Residual Calculation'!$G$5:$G$604,"N/A")&gt;0,"N/A",IF(COUNTIFS('Residual Calculation'!$A$5:$A$604,$A27,'Residual Calculation'!$D$5:$D$604,N$5,'Residual Calculation'!$X$5:$X$604,"&gt;0")=0,"",SUMIFS('Residual Calculation'!$X$5:$X$604,'Residual Calculation'!$A$5:$A$604,$A27,'Residual Calculation'!$D$5:$D$604,N$5)))</f>
        <v>1</v>
      </c>
      <c r="O27" s="31" t="n">
        <f aca="false">IF(COUNTIFS('Residual Calculation'!$A$5:$A$604,$A27,'Residual Calculation'!$D$5:$D$604,O$5,'Residual Calculation'!$G$5:$G$604,"N/A")&gt;0,"N/A",IF(COUNTIFS('Residual Calculation'!$A$5:$A$604,$A27,'Residual Calculation'!$D$5:$D$604,O$5,'Residual Calculation'!$X$5:$X$604,"&gt;0")=0,"",SUMIFS('Residual Calculation'!$X$5:$X$604,'Residual Calculation'!$A$5:$A$604,$A27,'Residual Calculation'!$D$5:$D$604,O$5)))</f>
        <v>1</v>
      </c>
      <c r="P27" s="31" t="n">
        <f aca="false">IF(COUNTIFS('Residual Calculation'!$A$5:$A$604,$A27,'Residual Calculation'!$D$5:$D$604,P$5,'Residual Calculation'!$G$5:$G$604,"N/A")&gt;0,"N/A",IF(COUNTIFS('Residual Calculation'!$A$5:$A$604,$A27,'Residual Calculation'!$D$5:$D$604,P$5,'Residual Calculation'!$X$5:$X$604,"&gt;0")=0,"",SUMIFS('Residual Calculation'!$X$5:$X$604,'Residual Calculation'!$A$5:$A$604,$A27,'Residual Calculation'!$D$5:$D$604,P$5)))</f>
        <v>1</v>
      </c>
      <c r="Q27" s="31" t="n">
        <f aca="false">IF(COUNTIFS('Residual Calculation'!$A$5:$A$604,$A27,'Residual Calculation'!$D$5:$D$604,Q$5,'Residual Calculation'!$G$5:$G$604,"N/A")&gt;0,"N/A",IF(COUNTIFS('Residual Calculation'!$A$5:$A$604,$A27,'Residual Calculation'!$D$5:$D$604,Q$5,'Residual Calculation'!$X$5:$X$604,"&gt;0")=0,"",SUMIFS('Residual Calculation'!$X$5:$X$604,'Residual Calculation'!$A$5:$A$604,$A27,'Residual Calculation'!$D$5:$D$604,Q$5)))</f>
        <v>1</v>
      </c>
      <c r="R27" s="31" t="n">
        <f aca="false">IF(COUNTIFS('Residual Calculation'!$A$5:$A$604,$A27,'Residual Calculation'!$D$5:$D$604,R$5,'Residual Calculation'!$G$5:$G$604,"N/A")&gt;0,"N/A",IF(COUNTIFS('Residual Calculation'!$A$5:$A$604,$A27,'Residual Calculation'!$D$5:$D$604,R$5,'Residual Calculation'!$X$5:$X$604,"&gt;0")=0,"",SUMIFS('Residual Calculation'!$X$5:$X$604,'Residual Calculation'!$A$5:$A$604,$A27,'Residual Calculation'!$D$5:$D$604,R$5)))</f>
        <v>1</v>
      </c>
      <c r="S27" s="31" t="n">
        <f aca="false">IF(COUNTIFS('Residual Calculation'!$A$5:$A$604,$A27,'Residual Calculation'!$D$5:$D$604,S$5,'Residual Calculation'!$G$5:$G$604,"N/A")&gt;0,"N/A",IF(COUNTIFS('Residual Calculation'!$A$5:$A$604,$A27,'Residual Calculation'!$D$5:$D$604,S$5,'Residual Calculation'!$X$5:$X$604,"&gt;0")=0,"",SUMIFS('Residual Calculation'!$X$5:$X$604,'Residual Calculation'!$A$5:$A$604,$A27,'Residual Calculation'!$D$5:$D$604,S$5)))</f>
        <v>1</v>
      </c>
      <c r="T27" s="31" t="n">
        <f aca="false">IF(COUNTIFS('Residual Calculation'!$A$5:$A$604,$A27,'Residual Calculation'!$D$5:$D$604,T$5,'Residual Calculation'!$G$5:$G$604,"N/A")&gt;0,"N/A",IF(COUNTIFS('Residual Calculation'!$A$5:$A$604,$A27,'Residual Calculation'!$D$5:$D$604,T$5,'Residual Calculation'!$X$5:$X$604,"&gt;0")=0,"",SUMIFS('Residual Calculation'!$X$5:$X$604,'Residual Calculation'!$A$5:$A$604,$A27,'Residual Calculation'!$D$5:$D$604,T$5)))</f>
        <v>1</v>
      </c>
      <c r="U27" s="31" t="n">
        <f aca="false">IF(COUNTIFS('Residual Calculation'!$A$5:$A$604,$A27,'Residual Calculation'!$D$5:$D$604,U$5,'Residual Calculation'!$G$5:$G$604,"N/A")&gt;0,"N/A",IF(COUNTIFS('Residual Calculation'!$A$5:$A$604,$A27,'Residual Calculation'!$D$5:$D$604,U$5,'Residual Calculation'!$X$5:$X$604,"&gt;0")=0,"",SUMIFS('Residual Calculation'!$X$5:$X$604,'Residual Calculation'!$A$5:$A$604,$A27,'Residual Calculation'!$D$5:$D$604,U$5)))</f>
        <v>1</v>
      </c>
      <c r="V27" s="31" t="n">
        <f aca="false">IF(COUNTIFS('Residual Calculation'!$A$5:$A$604,$A27,'Residual Calculation'!$D$5:$D$604,V$5,'Residual Calculation'!$G$5:$G$604,"N/A")&gt;0,"N/A",IF(COUNTIFS('Residual Calculation'!$A$5:$A$604,$A27,'Residual Calculation'!$D$5:$D$604,V$5,'Residual Calculation'!$X$5:$X$604,"&gt;0")=0,"",SUMIFS('Residual Calculation'!$X$5:$X$604,'Residual Calculation'!$A$5:$A$604,$A27,'Residual Calculation'!$D$5:$D$604,V$5)))</f>
        <v>1</v>
      </c>
      <c r="W27" s="34" t="n">
        <f aca="false">MAX(C27:V27)</f>
        <v>1</v>
      </c>
      <c r="X27" s="29" t="n">
        <f aca="false">IFERROR(AVERAGE(C27:V27),"")</f>
        <v>1</v>
      </c>
      <c r="Y27" s="31" t="n">
        <f aca="false">COUNTIFS('Residual Calculation'!$A$5:$A$604,$A27,'Residual Calculation'!$AC$5:$AC$604,"Amber")</f>
        <v>0</v>
      </c>
      <c r="Z27" s="31" t="n">
        <f aca="false">COUNTIFS('Residual Calculation'!$A$5:$A$604,$A27,'Residual Calculation'!$AC$5:$AC$604,"Red")</f>
        <v>0</v>
      </c>
    </row>
    <row r="28" customFormat="false" ht="15" hidden="false" customHeight="false" outlineLevel="0" collapsed="false">
      <c r="A28" s="26" t="str">
        <f aca="false">Entities!A27</f>
        <v>FR</v>
      </c>
      <c r="B28" s="26" t="str">
        <f aca="false">Entities!B27</f>
        <v>Arab Bank – France</v>
      </c>
      <c r="C28" s="31" t="n">
        <f aca="false">IF(COUNTIFS('Residual Calculation'!$A$5:$A$604,$A28,'Residual Calculation'!$D$5:$D$604,C$5,'Residual Calculation'!$G$5:$G$604,"N/A")&gt;0,"N/A",IF(COUNTIFS('Residual Calculation'!$A$5:$A$604,$A28,'Residual Calculation'!$D$5:$D$604,C$5,'Residual Calculation'!$X$5:$X$604,"&gt;0")=0,"",SUMIFS('Residual Calculation'!$X$5:$X$604,'Residual Calculation'!$A$5:$A$604,$A28,'Residual Calculation'!$D$5:$D$604,C$5)))</f>
        <v>1</v>
      </c>
      <c r="D28" s="31" t="n">
        <f aca="false">IF(COUNTIFS('Residual Calculation'!$A$5:$A$604,$A28,'Residual Calculation'!$D$5:$D$604,D$5,'Residual Calculation'!$G$5:$G$604,"N/A")&gt;0,"N/A",IF(COUNTIFS('Residual Calculation'!$A$5:$A$604,$A28,'Residual Calculation'!$D$5:$D$604,D$5,'Residual Calculation'!$X$5:$X$604,"&gt;0")=0,"",SUMIFS('Residual Calculation'!$X$5:$X$604,'Residual Calculation'!$A$5:$A$604,$A28,'Residual Calculation'!$D$5:$D$604,D$5)))</f>
        <v>1</v>
      </c>
      <c r="E28" s="31" t="n">
        <f aca="false">IF(COUNTIFS('Residual Calculation'!$A$5:$A$604,$A28,'Residual Calculation'!$D$5:$D$604,E$5,'Residual Calculation'!$G$5:$G$604,"N/A")&gt;0,"N/A",IF(COUNTIFS('Residual Calculation'!$A$5:$A$604,$A28,'Residual Calculation'!$D$5:$D$604,E$5,'Residual Calculation'!$X$5:$X$604,"&gt;0")=0,"",SUMIFS('Residual Calculation'!$X$5:$X$604,'Residual Calculation'!$A$5:$A$604,$A28,'Residual Calculation'!$D$5:$D$604,E$5)))</f>
        <v>1</v>
      </c>
      <c r="F28" s="31" t="n">
        <f aca="false">IF(COUNTIFS('Residual Calculation'!$A$5:$A$604,$A28,'Residual Calculation'!$D$5:$D$604,F$5,'Residual Calculation'!$G$5:$G$604,"N/A")&gt;0,"N/A",IF(COUNTIFS('Residual Calculation'!$A$5:$A$604,$A28,'Residual Calculation'!$D$5:$D$604,F$5,'Residual Calculation'!$X$5:$X$604,"&gt;0")=0,"",SUMIFS('Residual Calculation'!$X$5:$X$604,'Residual Calculation'!$A$5:$A$604,$A28,'Residual Calculation'!$D$5:$D$604,F$5)))</f>
        <v>1</v>
      </c>
      <c r="G28" s="31" t="n">
        <f aca="false">IF(COUNTIFS('Residual Calculation'!$A$5:$A$604,$A28,'Residual Calculation'!$D$5:$D$604,G$5,'Residual Calculation'!$G$5:$G$604,"N/A")&gt;0,"N/A",IF(COUNTIFS('Residual Calculation'!$A$5:$A$604,$A28,'Residual Calculation'!$D$5:$D$604,G$5,'Residual Calculation'!$X$5:$X$604,"&gt;0")=0,"",SUMIFS('Residual Calculation'!$X$5:$X$604,'Residual Calculation'!$A$5:$A$604,$A28,'Residual Calculation'!$D$5:$D$604,G$5)))</f>
        <v>2</v>
      </c>
      <c r="H28" s="31" t="n">
        <f aca="false">IF(COUNTIFS('Residual Calculation'!$A$5:$A$604,$A28,'Residual Calculation'!$D$5:$D$604,H$5,'Residual Calculation'!$G$5:$G$604,"N/A")&gt;0,"N/A",IF(COUNTIFS('Residual Calculation'!$A$5:$A$604,$A28,'Residual Calculation'!$D$5:$D$604,H$5,'Residual Calculation'!$X$5:$X$604,"&gt;0")=0,"",SUMIFS('Residual Calculation'!$X$5:$X$604,'Residual Calculation'!$A$5:$A$604,$A28,'Residual Calculation'!$D$5:$D$604,H$5)))</f>
        <v>2</v>
      </c>
      <c r="I28" s="31" t="n">
        <f aca="false">IF(COUNTIFS('Residual Calculation'!$A$5:$A$604,$A28,'Residual Calculation'!$D$5:$D$604,I$5,'Residual Calculation'!$G$5:$G$604,"N/A")&gt;0,"N/A",IF(COUNTIFS('Residual Calculation'!$A$5:$A$604,$A28,'Residual Calculation'!$D$5:$D$604,I$5,'Residual Calculation'!$X$5:$X$604,"&gt;0")=0,"",SUMIFS('Residual Calculation'!$X$5:$X$604,'Residual Calculation'!$A$5:$A$604,$A28,'Residual Calculation'!$D$5:$D$604,I$5)))</f>
        <v>2</v>
      </c>
      <c r="J28" s="31" t="n">
        <f aca="false">IF(COUNTIFS('Residual Calculation'!$A$5:$A$604,$A28,'Residual Calculation'!$D$5:$D$604,J$5,'Residual Calculation'!$G$5:$G$604,"N/A")&gt;0,"N/A",IF(COUNTIFS('Residual Calculation'!$A$5:$A$604,$A28,'Residual Calculation'!$D$5:$D$604,J$5,'Residual Calculation'!$X$5:$X$604,"&gt;0")=0,"",SUMIFS('Residual Calculation'!$X$5:$X$604,'Residual Calculation'!$A$5:$A$604,$A28,'Residual Calculation'!$D$5:$D$604,J$5)))</f>
        <v>1</v>
      </c>
      <c r="K28" s="31" t="n">
        <f aca="false">IF(COUNTIFS('Residual Calculation'!$A$5:$A$604,$A28,'Residual Calculation'!$D$5:$D$604,K$5,'Residual Calculation'!$G$5:$G$604,"N/A")&gt;0,"N/A",IF(COUNTIFS('Residual Calculation'!$A$5:$A$604,$A28,'Residual Calculation'!$D$5:$D$604,K$5,'Residual Calculation'!$X$5:$X$604,"&gt;0")=0,"",SUMIFS('Residual Calculation'!$X$5:$X$604,'Residual Calculation'!$A$5:$A$604,$A28,'Residual Calculation'!$D$5:$D$604,K$5)))</f>
        <v>1</v>
      </c>
      <c r="L28" s="31" t="n">
        <f aca="false">IF(COUNTIFS('Residual Calculation'!$A$5:$A$604,$A28,'Residual Calculation'!$D$5:$D$604,L$5,'Residual Calculation'!$G$5:$G$604,"N/A")&gt;0,"N/A",IF(COUNTIFS('Residual Calculation'!$A$5:$A$604,$A28,'Residual Calculation'!$D$5:$D$604,L$5,'Residual Calculation'!$X$5:$X$604,"&gt;0")=0,"",SUMIFS('Residual Calculation'!$X$5:$X$604,'Residual Calculation'!$A$5:$A$604,$A28,'Residual Calculation'!$D$5:$D$604,L$5)))</f>
        <v>2</v>
      </c>
      <c r="M28" s="31" t="str">
        <f aca="false">IF(COUNTIFS('Residual Calculation'!$A$5:$A$604,$A28,'Residual Calculation'!$D$5:$D$604,M$5,'Residual Calculation'!$G$5:$G$604,"N/A")&gt;0,"N/A",IF(COUNTIFS('Residual Calculation'!$A$5:$A$604,$A28,'Residual Calculation'!$D$5:$D$604,M$5,'Residual Calculation'!$X$5:$X$604,"&gt;0")=0,"",SUMIFS('Residual Calculation'!$X$5:$X$604,'Residual Calculation'!$A$5:$A$604,$A28,'Residual Calculation'!$D$5:$D$604,M$5)))</f>
        <v>N/A</v>
      </c>
      <c r="N28" s="31" t="n">
        <f aca="false">IF(COUNTIFS('Residual Calculation'!$A$5:$A$604,$A28,'Residual Calculation'!$D$5:$D$604,N$5,'Residual Calculation'!$G$5:$G$604,"N/A")&gt;0,"N/A",IF(COUNTIFS('Residual Calculation'!$A$5:$A$604,$A28,'Residual Calculation'!$D$5:$D$604,N$5,'Residual Calculation'!$X$5:$X$604,"&gt;0")=0,"",SUMIFS('Residual Calculation'!$X$5:$X$604,'Residual Calculation'!$A$5:$A$604,$A28,'Residual Calculation'!$D$5:$D$604,N$5)))</f>
        <v>1</v>
      </c>
      <c r="O28" s="31" t="n">
        <f aca="false">IF(COUNTIFS('Residual Calculation'!$A$5:$A$604,$A28,'Residual Calculation'!$D$5:$D$604,O$5,'Residual Calculation'!$G$5:$G$604,"N/A")&gt;0,"N/A",IF(COUNTIFS('Residual Calculation'!$A$5:$A$604,$A28,'Residual Calculation'!$D$5:$D$604,O$5,'Residual Calculation'!$X$5:$X$604,"&gt;0")=0,"",SUMIFS('Residual Calculation'!$X$5:$X$604,'Residual Calculation'!$A$5:$A$604,$A28,'Residual Calculation'!$D$5:$D$604,O$5)))</f>
        <v>1</v>
      </c>
      <c r="P28" s="31" t="n">
        <f aca="false">IF(COUNTIFS('Residual Calculation'!$A$5:$A$604,$A28,'Residual Calculation'!$D$5:$D$604,P$5,'Residual Calculation'!$G$5:$G$604,"N/A")&gt;0,"N/A",IF(COUNTIFS('Residual Calculation'!$A$5:$A$604,$A28,'Residual Calculation'!$D$5:$D$604,P$5,'Residual Calculation'!$X$5:$X$604,"&gt;0")=0,"",SUMIFS('Residual Calculation'!$X$5:$X$604,'Residual Calculation'!$A$5:$A$604,$A28,'Residual Calculation'!$D$5:$D$604,P$5)))</f>
        <v>2</v>
      </c>
      <c r="Q28" s="31" t="n">
        <f aca="false">IF(COUNTIFS('Residual Calculation'!$A$5:$A$604,$A28,'Residual Calculation'!$D$5:$D$604,Q$5,'Residual Calculation'!$G$5:$G$604,"N/A")&gt;0,"N/A",IF(COUNTIFS('Residual Calculation'!$A$5:$A$604,$A28,'Residual Calculation'!$D$5:$D$604,Q$5,'Residual Calculation'!$X$5:$X$604,"&gt;0")=0,"",SUMIFS('Residual Calculation'!$X$5:$X$604,'Residual Calculation'!$A$5:$A$604,$A28,'Residual Calculation'!$D$5:$D$604,Q$5)))</f>
        <v>2</v>
      </c>
      <c r="R28" s="31" t="n">
        <f aca="false">IF(COUNTIFS('Residual Calculation'!$A$5:$A$604,$A28,'Residual Calculation'!$D$5:$D$604,R$5,'Residual Calculation'!$G$5:$G$604,"N/A")&gt;0,"N/A",IF(COUNTIFS('Residual Calculation'!$A$5:$A$604,$A28,'Residual Calculation'!$D$5:$D$604,R$5,'Residual Calculation'!$X$5:$X$604,"&gt;0")=0,"",SUMIFS('Residual Calculation'!$X$5:$X$604,'Residual Calculation'!$A$5:$A$604,$A28,'Residual Calculation'!$D$5:$D$604,R$5)))</f>
        <v>2</v>
      </c>
      <c r="S28" s="31" t="n">
        <f aca="false">IF(COUNTIFS('Residual Calculation'!$A$5:$A$604,$A28,'Residual Calculation'!$D$5:$D$604,S$5,'Residual Calculation'!$G$5:$G$604,"N/A")&gt;0,"N/A",IF(COUNTIFS('Residual Calculation'!$A$5:$A$604,$A28,'Residual Calculation'!$D$5:$D$604,S$5,'Residual Calculation'!$X$5:$X$604,"&gt;0")=0,"",SUMIFS('Residual Calculation'!$X$5:$X$604,'Residual Calculation'!$A$5:$A$604,$A28,'Residual Calculation'!$D$5:$D$604,S$5)))</f>
        <v>1</v>
      </c>
      <c r="T28" s="31" t="n">
        <f aca="false">IF(COUNTIFS('Residual Calculation'!$A$5:$A$604,$A28,'Residual Calculation'!$D$5:$D$604,T$5,'Residual Calculation'!$G$5:$G$604,"N/A")&gt;0,"N/A",IF(COUNTIFS('Residual Calculation'!$A$5:$A$604,$A28,'Residual Calculation'!$D$5:$D$604,T$5,'Residual Calculation'!$X$5:$X$604,"&gt;0")=0,"",SUMIFS('Residual Calculation'!$X$5:$X$604,'Residual Calculation'!$A$5:$A$604,$A28,'Residual Calculation'!$D$5:$D$604,T$5)))</f>
        <v>1</v>
      </c>
      <c r="U28" s="31" t="n">
        <f aca="false">IF(COUNTIFS('Residual Calculation'!$A$5:$A$604,$A28,'Residual Calculation'!$D$5:$D$604,U$5,'Residual Calculation'!$G$5:$G$604,"N/A")&gt;0,"N/A",IF(COUNTIFS('Residual Calculation'!$A$5:$A$604,$A28,'Residual Calculation'!$D$5:$D$604,U$5,'Residual Calculation'!$X$5:$X$604,"&gt;0")=0,"",SUMIFS('Residual Calculation'!$X$5:$X$604,'Residual Calculation'!$A$5:$A$604,$A28,'Residual Calculation'!$D$5:$D$604,U$5)))</f>
        <v>1</v>
      </c>
      <c r="V28" s="31" t="n">
        <f aca="false">IF(COUNTIFS('Residual Calculation'!$A$5:$A$604,$A28,'Residual Calculation'!$D$5:$D$604,V$5,'Residual Calculation'!$G$5:$G$604,"N/A")&gt;0,"N/A",IF(COUNTIFS('Residual Calculation'!$A$5:$A$604,$A28,'Residual Calculation'!$D$5:$D$604,V$5,'Residual Calculation'!$X$5:$X$604,"&gt;0")=0,"",SUMIFS('Residual Calculation'!$X$5:$X$604,'Residual Calculation'!$A$5:$A$604,$A28,'Residual Calculation'!$D$5:$D$604,V$5)))</f>
        <v>1</v>
      </c>
      <c r="W28" s="34" t="n">
        <f aca="false">MAX(C28:V28)</f>
        <v>2</v>
      </c>
      <c r="X28" s="29" t="n">
        <f aca="false">IFERROR(AVERAGE(C28:V28),"")</f>
        <v>1.36842105263158</v>
      </c>
      <c r="Y28" s="31" t="n">
        <f aca="false">COUNTIFS('Residual Calculation'!$A$5:$A$604,$A28,'Residual Calculation'!$AC$5:$AC$604,"Amber")</f>
        <v>2</v>
      </c>
      <c r="Z28" s="31" t="n">
        <f aca="false">COUNTIFS('Residual Calculation'!$A$5:$A$604,$A28,'Residual Calculation'!$AC$5:$AC$604,"Red")</f>
        <v>0</v>
      </c>
    </row>
    <row r="29" customFormat="false" ht="15" hidden="false" customHeight="false" outlineLevel="0" collapsed="false">
      <c r="A29" s="26" t="str">
        <f aca="false">Entities!A28</f>
        <v>DE</v>
      </c>
      <c r="B29" s="26" t="str">
        <f aca="false">Entities!B28</f>
        <v>Arab Bank – Germany</v>
      </c>
      <c r="C29" s="31" t="n">
        <f aca="false">IF(COUNTIFS('Residual Calculation'!$A$5:$A$604,$A29,'Residual Calculation'!$D$5:$D$604,C$5,'Residual Calculation'!$G$5:$G$604,"N/A")&gt;0,"N/A",IF(COUNTIFS('Residual Calculation'!$A$5:$A$604,$A29,'Residual Calculation'!$D$5:$D$604,C$5,'Residual Calculation'!$X$5:$X$604,"&gt;0")=0,"",SUMIFS('Residual Calculation'!$X$5:$X$604,'Residual Calculation'!$A$5:$A$604,$A29,'Residual Calculation'!$D$5:$D$604,C$5)))</f>
        <v>1</v>
      </c>
      <c r="D29" s="31" t="n">
        <f aca="false">IF(COUNTIFS('Residual Calculation'!$A$5:$A$604,$A29,'Residual Calculation'!$D$5:$D$604,D$5,'Residual Calculation'!$G$5:$G$604,"N/A")&gt;0,"N/A",IF(COUNTIFS('Residual Calculation'!$A$5:$A$604,$A29,'Residual Calculation'!$D$5:$D$604,D$5,'Residual Calculation'!$X$5:$X$604,"&gt;0")=0,"",SUMIFS('Residual Calculation'!$X$5:$X$604,'Residual Calculation'!$A$5:$A$604,$A29,'Residual Calculation'!$D$5:$D$604,D$5)))</f>
        <v>1</v>
      </c>
      <c r="E29" s="31" t="n">
        <f aca="false">IF(COUNTIFS('Residual Calculation'!$A$5:$A$604,$A29,'Residual Calculation'!$D$5:$D$604,E$5,'Residual Calculation'!$G$5:$G$604,"N/A")&gt;0,"N/A",IF(COUNTIFS('Residual Calculation'!$A$5:$A$604,$A29,'Residual Calculation'!$D$5:$D$604,E$5,'Residual Calculation'!$X$5:$X$604,"&gt;0")=0,"",SUMIFS('Residual Calculation'!$X$5:$X$604,'Residual Calculation'!$A$5:$A$604,$A29,'Residual Calculation'!$D$5:$D$604,E$5)))</f>
        <v>1</v>
      </c>
      <c r="F29" s="31" t="n">
        <f aca="false">IF(COUNTIFS('Residual Calculation'!$A$5:$A$604,$A29,'Residual Calculation'!$D$5:$D$604,F$5,'Residual Calculation'!$G$5:$G$604,"N/A")&gt;0,"N/A",IF(COUNTIFS('Residual Calculation'!$A$5:$A$604,$A29,'Residual Calculation'!$D$5:$D$604,F$5,'Residual Calculation'!$X$5:$X$604,"&gt;0")=0,"",SUMIFS('Residual Calculation'!$X$5:$X$604,'Residual Calculation'!$A$5:$A$604,$A29,'Residual Calculation'!$D$5:$D$604,F$5)))</f>
        <v>1</v>
      </c>
      <c r="G29" s="31" t="n">
        <f aca="false">IF(COUNTIFS('Residual Calculation'!$A$5:$A$604,$A29,'Residual Calculation'!$D$5:$D$604,G$5,'Residual Calculation'!$G$5:$G$604,"N/A")&gt;0,"N/A",IF(COUNTIFS('Residual Calculation'!$A$5:$A$604,$A29,'Residual Calculation'!$D$5:$D$604,G$5,'Residual Calculation'!$X$5:$X$604,"&gt;0")=0,"",SUMIFS('Residual Calculation'!$X$5:$X$604,'Residual Calculation'!$A$5:$A$604,$A29,'Residual Calculation'!$D$5:$D$604,G$5)))</f>
        <v>1</v>
      </c>
      <c r="H29" s="31" t="n">
        <f aca="false">IF(COUNTIFS('Residual Calculation'!$A$5:$A$604,$A29,'Residual Calculation'!$D$5:$D$604,H$5,'Residual Calculation'!$G$5:$G$604,"N/A")&gt;0,"N/A",IF(COUNTIFS('Residual Calculation'!$A$5:$A$604,$A29,'Residual Calculation'!$D$5:$D$604,H$5,'Residual Calculation'!$X$5:$X$604,"&gt;0")=0,"",SUMIFS('Residual Calculation'!$X$5:$X$604,'Residual Calculation'!$A$5:$A$604,$A29,'Residual Calculation'!$D$5:$D$604,H$5)))</f>
        <v>1</v>
      </c>
      <c r="I29" s="31" t="n">
        <f aca="false">IF(COUNTIFS('Residual Calculation'!$A$5:$A$604,$A29,'Residual Calculation'!$D$5:$D$604,I$5,'Residual Calculation'!$G$5:$G$604,"N/A")&gt;0,"N/A",IF(COUNTIFS('Residual Calculation'!$A$5:$A$604,$A29,'Residual Calculation'!$D$5:$D$604,I$5,'Residual Calculation'!$X$5:$X$604,"&gt;0")=0,"",SUMIFS('Residual Calculation'!$X$5:$X$604,'Residual Calculation'!$A$5:$A$604,$A29,'Residual Calculation'!$D$5:$D$604,I$5)))</f>
        <v>1</v>
      </c>
      <c r="J29" s="31" t="n">
        <f aca="false">IF(COUNTIFS('Residual Calculation'!$A$5:$A$604,$A29,'Residual Calculation'!$D$5:$D$604,J$5,'Residual Calculation'!$G$5:$G$604,"N/A")&gt;0,"N/A",IF(COUNTIFS('Residual Calculation'!$A$5:$A$604,$A29,'Residual Calculation'!$D$5:$D$604,J$5,'Residual Calculation'!$X$5:$X$604,"&gt;0")=0,"",SUMIFS('Residual Calculation'!$X$5:$X$604,'Residual Calculation'!$A$5:$A$604,$A29,'Residual Calculation'!$D$5:$D$604,J$5)))</f>
        <v>1</v>
      </c>
      <c r="K29" s="31" t="n">
        <f aca="false">IF(COUNTIFS('Residual Calculation'!$A$5:$A$604,$A29,'Residual Calculation'!$D$5:$D$604,K$5,'Residual Calculation'!$G$5:$G$604,"N/A")&gt;0,"N/A",IF(COUNTIFS('Residual Calculation'!$A$5:$A$604,$A29,'Residual Calculation'!$D$5:$D$604,K$5,'Residual Calculation'!$X$5:$X$604,"&gt;0")=0,"",SUMIFS('Residual Calculation'!$X$5:$X$604,'Residual Calculation'!$A$5:$A$604,$A29,'Residual Calculation'!$D$5:$D$604,K$5)))</f>
        <v>1</v>
      </c>
      <c r="L29" s="31" t="n">
        <f aca="false">IF(COUNTIFS('Residual Calculation'!$A$5:$A$604,$A29,'Residual Calculation'!$D$5:$D$604,L$5,'Residual Calculation'!$G$5:$G$604,"N/A")&gt;0,"N/A",IF(COUNTIFS('Residual Calculation'!$A$5:$A$604,$A29,'Residual Calculation'!$D$5:$D$604,L$5,'Residual Calculation'!$X$5:$X$604,"&gt;0")=0,"",SUMIFS('Residual Calculation'!$X$5:$X$604,'Residual Calculation'!$A$5:$A$604,$A29,'Residual Calculation'!$D$5:$D$604,L$5)))</f>
        <v>1</v>
      </c>
      <c r="M29" s="31" t="str">
        <f aca="false">IF(COUNTIFS('Residual Calculation'!$A$5:$A$604,$A29,'Residual Calculation'!$D$5:$D$604,M$5,'Residual Calculation'!$G$5:$G$604,"N/A")&gt;0,"N/A",IF(COUNTIFS('Residual Calculation'!$A$5:$A$604,$A29,'Residual Calculation'!$D$5:$D$604,M$5,'Residual Calculation'!$X$5:$X$604,"&gt;0")=0,"",SUMIFS('Residual Calculation'!$X$5:$X$604,'Residual Calculation'!$A$5:$A$604,$A29,'Residual Calculation'!$D$5:$D$604,M$5)))</f>
        <v>N/A</v>
      </c>
      <c r="N29" s="31" t="n">
        <f aca="false">IF(COUNTIFS('Residual Calculation'!$A$5:$A$604,$A29,'Residual Calculation'!$D$5:$D$604,N$5,'Residual Calculation'!$G$5:$G$604,"N/A")&gt;0,"N/A",IF(COUNTIFS('Residual Calculation'!$A$5:$A$604,$A29,'Residual Calculation'!$D$5:$D$604,N$5,'Residual Calculation'!$X$5:$X$604,"&gt;0")=0,"",SUMIFS('Residual Calculation'!$X$5:$X$604,'Residual Calculation'!$A$5:$A$604,$A29,'Residual Calculation'!$D$5:$D$604,N$5)))</f>
        <v>2</v>
      </c>
      <c r="O29" s="31" t="n">
        <f aca="false">IF(COUNTIFS('Residual Calculation'!$A$5:$A$604,$A29,'Residual Calculation'!$D$5:$D$604,O$5,'Residual Calculation'!$G$5:$G$604,"N/A")&gt;0,"N/A",IF(COUNTIFS('Residual Calculation'!$A$5:$A$604,$A29,'Residual Calculation'!$D$5:$D$604,O$5,'Residual Calculation'!$X$5:$X$604,"&gt;0")=0,"",SUMIFS('Residual Calculation'!$X$5:$X$604,'Residual Calculation'!$A$5:$A$604,$A29,'Residual Calculation'!$D$5:$D$604,O$5)))</f>
        <v>1</v>
      </c>
      <c r="P29" s="31" t="n">
        <f aca="false">IF(COUNTIFS('Residual Calculation'!$A$5:$A$604,$A29,'Residual Calculation'!$D$5:$D$604,P$5,'Residual Calculation'!$G$5:$G$604,"N/A")&gt;0,"N/A",IF(COUNTIFS('Residual Calculation'!$A$5:$A$604,$A29,'Residual Calculation'!$D$5:$D$604,P$5,'Residual Calculation'!$X$5:$X$604,"&gt;0")=0,"",SUMIFS('Residual Calculation'!$X$5:$X$604,'Residual Calculation'!$A$5:$A$604,$A29,'Residual Calculation'!$D$5:$D$604,P$5)))</f>
        <v>1</v>
      </c>
      <c r="Q29" s="31" t="n">
        <f aca="false">IF(COUNTIFS('Residual Calculation'!$A$5:$A$604,$A29,'Residual Calculation'!$D$5:$D$604,Q$5,'Residual Calculation'!$G$5:$G$604,"N/A")&gt;0,"N/A",IF(COUNTIFS('Residual Calculation'!$A$5:$A$604,$A29,'Residual Calculation'!$D$5:$D$604,Q$5,'Residual Calculation'!$X$5:$X$604,"&gt;0")=0,"",SUMIFS('Residual Calculation'!$X$5:$X$604,'Residual Calculation'!$A$5:$A$604,$A29,'Residual Calculation'!$D$5:$D$604,Q$5)))</f>
        <v>1</v>
      </c>
      <c r="R29" s="31" t="n">
        <f aca="false">IF(COUNTIFS('Residual Calculation'!$A$5:$A$604,$A29,'Residual Calculation'!$D$5:$D$604,R$5,'Residual Calculation'!$G$5:$G$604,"N/A")&gt;0,"N/A",IF(COUNTIFS('Residual Calculation'!$A$5:$A$604,$A29,'Residual Calculation'!$D$5:$D$604,R$5,'Residual Calculation'!$X$5:$X$604,"&gt;0")=0,"",SUMIFS('Residual Calculation'!$X$5:$X$604,'Residual Calculation'!$A$5:$A$604,$A29,'Residual Calculation'!$D$5:$D$604,R$5)))</f>
        <v>1</v>
      </c>
      <c r="S29" s="31" t="n">
        <f aca="false">IF(COUNTIFS('Residual Calculation'!$A$5:$A$604,$A29,'Residual Calculation'!$D$5:$D$604,S$5,'Residual Calculation'!$G$5:$G$604,"N/A")&gt;0,"N/A",IF(COUNTIFS('Residual Calculation'!$A$5:$A$604,$A29,'Residual Calculation'!$D$5:$D$604,S$5,'Residual Calculation'!$X$5:$X$604,"&gt;0")=0,"",SUMIFS('Residual Calculation'!$X$5:$X$604,'Residual Calculation'!$A$5:$A$604,$A29,'Residual Calculation'!$D$5:$D$604,S$5)))</f>
        <v>1</v>
      </c>
      <c r="T29" s="31" t="n">
        <f aca="false">IF(COUNTIFS('Residual Calculation'!$A$5:$A$604,$A29,'Residual Calculation'!$D$5:$D$604,T$5,'Residual Calculation'!$G$5:$G$604,"N/A")&gt;0,"N/A",IF(COUNTIFS('Residual Calculation'!$A$5:$A$604,$A29,'Residual Calculation'!$D$5:$D$604,T$5,'Residual Calculation'!$X$5:$X$604,"&gt;0")=0,"",SUMIFS('Residual Calculation'!$X$5:$X$604,'Residual Calculation'!$A$5:$A$604,$A29,'Residual Calculation'!$D$5:$D$604,T$5)))</f>
        <v>1</v>
      </c>
      <c r="U29" s="31" t="n">
        <f aca="false">IF(COUNTIFS('Residual Calculation'!$A$5:$A$604,$A29,'Residual Calculation'!$D$5:$D$604,U$5,'Residual Calculation'!$G$5:$G$604,"N/A")&gt;0,"N/A",IF(COUNTIFS('Residual Calculation'!$A$5:$A$604,$A29,'Residual Calculation'!$D$5:$D$604,U$5,'Residual Calculation'!$X$5:$X$604,"&gt;0")=0,"",SUMIFS('Residual Calculation'!$X$5:$X$604,'Residual Calculation'!$A$5:$A$604,$A29,'Residual Calculation'!$D$5:$D$604,U$5)))</f>
        <v>1</v>
      </c>
      <c r="V29" s="31" t="n">
        <f aca="false">IF(COUNTIFS('Residual Calculation'!$A$5:$A$604,$A29,'Residual Calculation'!$D$5:$D$604,V$5,'Residual Calculation'!$G$5:$G$604,"N/A")&gt;0,"N/A",IF(COUNTIFS('Residual Calculation'!$A$5:$A$604,$A29,'Residual Calculation'!$D$5:$D$604,V$5,'Residual Calculation'!$X$5:$X$604,"&gt;0")=0,"",SUMIFS('Residual Calculation'!$X$5:$X$604,'Residual Calculation'!$A$5:$A$604,$A29,'Residual Calculation'!$D$5:$D$604,V$5)))</f>
        <v>1</v>
      </c>
      <c r="W29" s="34" t="n">
        <f aca="false">MAX(C29:V29)</f>
        <v>2</v>
      </c>
      <c r="X29" s="29" t="n">
        <f aca="false">IFERROR(AVERAGE(C29:V29),"")</f>
        <v>1.05263157894737</v>
      </c>
      <c r="Y29" s="31" t="n">
        <f aca="false">COUNTIFS('Residual Calculation'!$A$5:$A$604,$A29,'Residual Calculation'!$AC$5:$AC$604,"Amber")</f>
        <v>0</v>
      </c>
      <c r="Z29" s="31" t="n">
        <f aca="false">COUNTIFS('Residual Calculation'!$A$5:$A$604,$A29,'Residual Calculation'!$AC$5:$AC$604,"Red")</f>
        <v>0</v>
      </c>
    </row>
    <row r="30" customFormat="false" ht="15" hidden="false" customHeight="false" outlineLevel="0" collapsed="false">
      <c r="A30" s="26" t="str">
        <f aca="false">Entities!A29</f>
        <v>IT</v>
      </c>
      <c r="B30" s="26" t="str">
        <f aca="false">Entities!B29</f>
        <v>Arab Bank – Italy</v>
      </c>
      <c r="C30" s="31" t="n">
        <f aca="false">IF(COUNTIFS('Residual Calculation'!$A$5:$A$604,$A30,'Residual Calculation'!$D$5:$D$604,C$5,'Residual Calculation'!$G$5:$G$604,"N/A")&gt;0,"N/A",IF(COUNTIFS('Residual Calculation'!$A$5:$A$604,$A30,'Residual Calculation'!$D$5:$D$604,C$5,'Residual Calculation'!$X$5:$X$604,"&gt;0")=0,"",SUMIFS('Residual Calculation'!$X$5:$X$604,'Residual Calculation'!$A$5:$A$604,$A30,'Residual Calculation'!$D$5:$D$604,C$5)))</f>
        <v>1</v>
      </c>
      <c r="D30" s="31" t="n">
        <f aca="false">IF(COUNTIFS('Residual Calculation'!$A$5:$A$604,$A30,'Residual Calculation'!$D$5:$D$604,D$5,'Residual Calculation'!$G$5:$G$604,"N/A")&gt;0,"N/A",IF(COUNTIFS('Residual Calculation'!$A$5:$A$604,$A30,'Residual Calculation'!$D$5:$D$604,D$5,'Residual Calculation'!$X$5:$X$604,"&gt;0")=0,"",SUMIFS('Residual Calculation'!$X$5:$X$604,'Residual Calculation'!$A$5:$A$604,$A30,'Residual Calculation'!$D$5:$D$604,D$5)))</f>
        <v>1</v>
      </c>
      <c r="E30" s="31" t="n">
        <f aca="false">IF(COUNTIFS('Residual Calculation'!$A$5:$A$604,$A30,'Residual Calculation'!$D$5:$D$604,E$5,'Residual Calculation'!$G$5:$G$604,"N/A")&gt;0,"N/A",IF(COUNTIFS('Residual Calculation'!$A$5:$A$604,$A30,'Residual Calculation'!$D$5:$D$604,E$5,'Residual Calculation'!$X$5:$X$604,"&gt;0")=0,"",SUMIFS('Residual Calculation'!$X$5:$X$604,'Residual Calculation'!$A$5:$A$604,$A30,'Residual Calculation'!$D$5:$D$604,E$5)))</f>
        <v>1</v>
      </c>
      <c r="F30" s="31" t="n">
        <f aca="false">IF(COUNTIFS('Residual Calculation'!$A$5:$A$604,$A30,'Residual Calculation'!$D$5:$D$604,F$5,'Residual Calculation'!$G$5:$G$604,"N/A")&gt;0,"N/A",IF(COUNTIFS('Residual Calculation'!$A$5:$A$604,$A30,'Residual Calculation'!$D$5:$D$604,F$5,'Residual Calculation'!$X$5:$X$604,"&gt;0")=0,"",SUMIFS('Residual Calculation'!$X$5:$X$604,'Residual Calculation'!$A$5:$A$604,$A30,'Residual Calculation'!$D$5:$D$604,F$5)))</f>
        <v>1</v>
      </c>
      <c r="G30" s="31" t="n">
        <f aca="false">IF(COUNTIFS('Residual Calculation'!$A$5:$A$604,$A30,'Residual Calculation'!$D$5:$D$604,G$5,'Residual Calculation'!$G$5:$G$604,"N/A")&gt;0,"N/A",IF(COUNTIFS('Residual Calculation'!$A$5:$A$604,$A30,'Residual Calculation'!$D$5:$D$604,G$5,'Residual Calculation'!$X$5:$X$604,"&gt;0")=0,"",SUMIFS('Residual Calculation'!$X$5:$X$604,'Residual Calculation'!$A$5:$A$604,$A30,'Residual Calculation'!$D$5:$D$604,G$5)))</f>
        <v>2</v>
      </c>
      <c r="H30" s="31" t="n">
        <f aca="false">IF(COUNTIFS('Residual Calculation'!$A$5:$A$604,$A30,'Residual Calculation'!$D$5:$D$604,H$5,'Residual Calculation'!$G$5:$G$604,"N/A")&gt;0,"N/A",IF(COUNTIFS('Residual Calculation'!$A$5:$A$604,$A30,'Residual Calculation'!$D$5:$D$604,H$5,'Residual Calculation'!$X$5:$X$604,"&gt;0")=0,"",SUMIFS('Residual Calculation'!$X$5:$X$604,'Residual Calculation'!$A$5:$A$604,$A30,'Residual Calculation'!$D$5:$D$604,H$5)))</f>
        <v>1</v>
      </c>
      <c r="I30" s="31" t="n">
        <f aca="false">IF(COUNTIFS('Residual Calculation'!$A$5:$A$604,$A30,'Residual Calculation'!$D$5:$D$604,I$5,'Residual Calculation'!$G$5:$G$604,"N/A")&gt;0,"N/A",IF(COUNTIFS('Residual Calculation'!$A$5:$A$604,$A30,'Residual Calculation'!$D$5:$D$604,I$5,'Residual Calculation'!$X$5:$X$604,"&gt;0")=0,"",SUMIFS('Residual Calculation'!$X$5:$X$604,'Residual Calculation'!$A$5:$A$604,$A30,'Residual Calculation'!$D$5:$D$604,I$5)))</f>
        <v>2</v>
      </c>
      <c r="J30" s="31" t="n">
        <f aca="false">IF(COUNTIFS('Residual Calculation'!$A$5:$A$604,$A30,'Residual Calculation'!$D$5:$D$604,J$5,'Residual Calculation'!$G$5:$G$604,"N/A")&gt;0,"N/A",IF(COUNTIFS('Residual Calculation'!$A$5:$A$604,$A30,'Residual Calculation'!$D$5:$D$604,J$5,'Residual Calculation'!$X$5:$X$604,"&gt;0")=0,"",SUMIFS('Residual Calculation'!$X$5:$X$604,'Residual Calculation'!$A$5:$A$604,$A30,'Residual Calculation'!$D$5:$D$604,J$5)))</f>
        <v>3</v>
      </c>
      <c r="K30" s="31" t="n">
        <f aca="false">IF(COUNTIFS('Residual Calculation'!$A$5:$A$604,$A30,'Residual Calculation'!$D$5:$D$604,K$5,'Residual Calculation'!$G$5:$G$604,"N/A")&gt;0,"N/A",IF(COUNTIFS('Residual Calculation'!$A$5:$A$604,$A30,'Residual Calculation'!$D$5:$D$604,K$5,'Residual Calculation'!$X$5:$X$604,"&gt;0")=0,"",SUMIFS('Residual Calculation'!$X$5:$X$604,'Residual Calculation'!$A$5:$A$604,$A30,'Residual Calculation'!$D$5:$D$604,K$5)))</f>
        <v>1</v>
      </c>
      <c r="L30" s="31" t="n">
        <f aca="false">IF(COUNTIFS('Residual Calculation'!$A$5:$A$604,$A30,'Residual Calculation'!$D$5:$D$604,L$5,'Residual Calculation'!$G$5:$G$604,"N/A")&gt;0,"N/A",IF(COUNTIFS('Residual Calculation'!$A$5:$A$604,$A30,'Residual Calculation'!$D$5:$D$604,L$5,'Residual Calculation'!$X$5:$X$604,"&gt;0")=0,"",SUMIFS('Residual Calculation'!$X$5:$X$604,'Residual Calculation'!$A$5:$A$604,$A30,'Residual Calculation'!$D$5:$D$604,L$5)))</f>
        <v>3</v>
      </c>
      <c r="M30" s="31" t="str">
        <f aca="false">IF(COUNTIFS('Residual Calculation'!$A$5:$A$604,$A30,'Residual Calculation'!$D$5:$D$604,M$5,'Residual Calculation'!$G$5:$G$604,"N/A")&gt;0,"N/A",IF(COUNTIFS('Residual Calculation'!$A$5:$A$604,$A30,'Residual Calculation'!$D$5:$D$604,M$5,'Residual Calculation'!$X$5:$X$604,"&gt;0")=0,"",SUMIFS('Residual Calculation'!$X$5:$X$604,'Residual Calculation'!$A$5:$A$604,$A30,'Residual Calculation'!$D$5:$D$604,M$5)))</f>
        <v>N/A</v>
      </c>
      <c r="N30" s="31" t="n">
        <f aca="false">IF(COUNTIFS('Residual Calculation'!$A$5:$A$604,$A30,'Residual Calculation'!$D$5:$D$604,N$5,'Residual Calculation'!$G$5:$G$604,"N/A")&gt;0,"N/A",IF(COUNTIFS('Residual Calculation'!$A$5:$A$604,$A30,'Residual Calculation'!$D$5:$D$604,N$5,'Residual Calculation'!$X$5:$X$604,"&gt;0")=0,"",SUMIFS('Residual Calculation'!$X$5:$X$604,'Residual Calculation'!$A$5:$A$604,$A30,'Residual Calculation'!$D$5:$D$604,N$5)))</f>
        <v>1</v>
      </c>
      <c r="O30" s="31" t="n">
        <f aca="false">IF(COUNTIFS('Residual Calculation'!$A$5:$A$604,$A30,'Residual Calculation'!$D$5:$D$604,O$5,'Residual Calculation'!$G$5:$G$604,"N/A")&gt;0,"N/A",IF(COUNTIFS('Residual Calculation'!$A$5:$A$604,$A30,'Residual Calculation'!$D$5:$D$604,O$5,'Residual Calculation'!$X$5:$X$604,"&gt;0")=0,"",SUMIFS('Residual Calculation'!$X$5:$X$604,'Residual Calculation'!$A$5:$A$604,$A30,'Residual Calculation'!$D$5:$D$604,O$5)))</f>
        <v>1</v>
      </c>
      <c r="P30" s="31" t="n">
        <f aca="false">IF(COUNTIFS('Residual Calculation'!$A$5:$A$604,$A30,'Residual Calculation'!$D$5:$D$604,P$5,'Residual Calculation'!$G$5:$G$604,"N/A")&gt;0,"N/A",IF(COUNTIFS('Residual Calculation'!$A$5:$A$604,$A30,'Residual Calculation'!$D$5:$D$604,P$5,'Residual Calculation'!$X$5:$X$604,"&gt;0")=0,"",SUMIFS('Residual Calculation'!$X$5:$X$604,'Residual Calculation'!$A$5:$A$604,$A30,'Residual Calculation'!$D$5:$D$604,P$5)))</f>
        <v>2</v>
      </c>
      <c r="Q30" s="31" t="n">
        <f aca="false">IF(COUNTIFS('Residual Calculation'!$A$5:$A$604,$A30,'Residual Calculation'!$D$5:$D$604,Q$5,'Residual Calculation'!$G$5:$G$604,"N/A")&gt;0,"N/A",IF(COUNTIFS('Residual Calculation'!$A$5:$A$604,$A30,'Residual Calculation'!$D$5:$D$604,Q$5,'Residual Calculation'!$X$5:$X$604,"&gt;0")=0,"",SUMIFS('Residual Calculation'!$X$5:$X$604,'Residual Calculation'!$A$5:$A$604,$A30,'Residual Calculation'!$D$5:$D$604,Q$5)))</f>
        <v>2</v>
      </c>
      <c r="R30" s="31" t="n">
        <f aca="false">IF(COUNTIFS('Residual Calculation'!$A$5:$A$604,$A30,'Residual Calculation'!$D$5:$D$604,R$5,'Residual Calculation'!$G$5:$G$604,"N/A")&gt;0,"N/A",IF(COUNTIFS('Residual Calculation'!$A$5:$A$604,$A30,'Residual Calculation'!$D$5:$D$604,R$5,'Residual Calculation'!$X$5:$X$604,"&gt;0")=0,"",SUMIFS('Residual Calculation'!$X$5:$X$604,'Residual Calculation'!$A$5:$A$604,$A30,'Residual Calculation'!$D$5:$D$604,R$5)))</f>
        <v>1</v>
      </c>
      <c r="S30" s="31" t="n">
        <f aca="false">IF(COUNTIFS('Residual Calculation'!$A$5:$A$604,$A30,'Residual Calculation'!$D$5:$D$604,S$5,'Residual Calculation'!$G$5:$G$604,"N/A")&gt;0,"N/A",IF(COUNTIFS('Residual Calculation'!$A$5:$A$604,$A30,'Residual Calculation'!$D$5:$D$604,S$5,'Residual Calculation'!$X$5:$X$604,"&gt;0")=0,"",SUMIFS('Residual Calculation'!$X$5:$X$604,'Residual Calculation'!$A$5:$A$604,$A30,'Residual Calculation'!$D$5:$D$604,S$5)))</f>
        <v>1</v>
      </c>
      <c r="T30" s="31" t="n">
        <f aca="false">IF(COUNTIFS('Residual Calculation'!$A$5:$A$604,$A30,'Residual Calculation'!$D$5:$D$604,T$5,'Residual Calculation'!$G$5:$G$604,"N/A")&gt;0,"N/A",IF(COUNTIFS('Residual Calculation'!$A$5:$A$604,$A30,'Residual Calculation'!$D$5:$D$604,T$5,'Residual Calculation'!$X$5:$X$604,"&gt;0")=0,"",SUMIFS('Residual Calculation'!$X$5:$X$604,'Residual Calculation'!$A$5:$A$604,$A30,'Residual Calculation'!$D$5:$D$604,T$5)))</f>
        <v>1</v>
      </c>
      <c r="U30" s="31" t="n">
        <f aca="false">IF(COUNTIFS('Residual Calculation'!$A$5:$A$604,$A30,'Residual Calculation'!$D$5:$D$604,U$5,'Residual Calculation'!$G$5:$G$604,"N/A")&gt;0,"N/A",IF(COUNTIFS('Residual Calculation'!$A$5:$A$604,$A30,'Residual Calculation'!$D$5:$D$604,U$5,'Residual Calculation'!$X$5:$X$604,"&gt;0")=0,"",SUMIFS('Residual Calculation'!$X$5:$X$604,'Residual Calculation'!$A$5:$A$604,$A30,'Residual Calculation'!$D$5:$D$604,U$5)))</f>
        <v>2</v>
      </c>
      <c r="V30" s="31" t="n">
        <f aca="false">IF(COUNTIFS('Residual Calculation'!$A$5:$A$604,$A30,'Residual Calculation'!$D$5:$D$604,V$5,'Residual Calculation'!$G$5:$G$604,"N/A")&gt;0,"N/A",IF(COUNTIFS('Residual Calculation'!$A$5:$A$604,$A30,'Residual Calculation'!$D$5:$D$604,V$5,'Residual Calculation'!$X$5:$X$604,"&gt;0")=0,"",SUMIFS('Residual Calculation'!$X$5:$X$604,'Residual Calculation'!$A$5:$A$604,$A30,'Residual Calculation'!$D$5:$D$604,V$5)))</f>
        <v>1</v>
      </c>
      <c r="W30" s="34" t="n">
        <f aca="false">MAX(C30:V30)</f>
        <v>3</v>
      </c>
      <c r="X30" s="29" t="n">
        <f aca="false">IFERROR(AVERAGE(C30:V30),"")</f>
        <v>1.47368421052632</v>
      </c>
      <c r="Y30" s="31" t="n">
        <f aca="false">COUNTIFS('Residual Calculation'!$A$5:$A$604,$A30,'Residual Calculation'!$AC$5:$AC$604,"Amber")</f>
        <v>4</v>
      </c>
      <c r="Z30" s="31" t="n">
        <f aca="false">COUNTIFS('Residual Calculation'!$A$5:$A$604,$A30,'Residual Calculation'!$AC$5:$AC$604,"Red")</f>
        <v>0</v>
      </c>
    </row>
    <row r="31" customFormat="false" ht="15" hidden="false" customHeight="false" outlineLevel="0" collapsed="false">
      <c r="A31" s="26" t="str">
        <f aca="false">Entities!A30</f>
        <v>CH</v>
      </c>
      <c r="B31" s="26" t="str">
        <f aca="false">Entities!B30</f>
        <v>Arab Bank (Switzerland) – sister company</v>
      </c>
      <c r="C31" s="31" t="n">
        <f aca="false">IF(COUNTIFS('Residual Calculation'!$A$5:$A$604,$A31,'Residual Calculation'!$D$5:$D$604,C$5,'Residual Calculation'!$G$5:$G$604,"N/A")&gt;0,"N/A",IF(COUNTIFS('Residual Calculation'!$A$5:$A$604,$A31,'Residual Calculation'!$D$5:$D$604,C$5,'Residual Calculation'!$X$5:$X$604,"&gt;0")=0,"",SUMIFS('Residual Calculation'!$X$5:$X$604,'Residual Calculation'!$A$5:$A$604,$A31,'Residual Calculation'!$D$5:$D$604,C$5)))</f>
        <v>1</v>
      </c>
      <c r="D31" s="31" t="n">
        <f aca="false">IF(COUNTIFS('Residual Calculation'!$A$5:$A$604,$A31,'Residual Calculation'!$D$5:$D$604,D$5,'Residual Calculation'!$G$5:$G$604,"N/A")&gt;0,"N/A",IF(COUNTIFS('Residual Calculation'!$A$5:$A$604,$A31,'Residual Calculation'!$D$5:$D$604,D$5,'Residual Calculation'!$X$5:$X$604,"&gt;0")=0,"",SUMIFS('Residual Calculation'!$X$5:$X$604,'Residual Calculation'!$A$5:$A$604,$A31,'Residual Calculation'!$D$5:$D$604,D$5)))</f>
        <v>2</v>
      </c>
      <c r="E31" s="31" t="n">
        <f aca="false">IF(COUNTIFS('Residual Calculation'!$A$5:$A$604,$A31,'Residual Calculation'!$D$5:$D$604,E$5,'Residual Calculation'!$G$5:$G$604,"N/A")&gt;0,"N/A",IF(COUNTIFS('Residual Calculation'!$A$5:$A$604,$A31,'Residual Calculation'!$D$5:$D$604,E$5,'Residual Calculation'!$X$5:$X$604,"&gt;0")=0,"",SUMIFS('Residual Calculation'!$X$5:$X$604,'Residual Calculation'!$A$5:$A$604,$A31,'Residual Calculation'!$D$5:$D$604,E$5)))</f>
        <v>2</v>
      </c>
      <c r="F31" s="31" t="n">
        <f aca="false">IF(COUNTIFS('Residual Calculation'!$A$5:$A$604,$A31,'Residual Calculation'!$D$5:$D$604,F$5,'Residual Calculation'!$G$5:$G$604,"N/A")&gt;0,"N/A",IF(COUNTIFS('Residual Calculation'!$A$5:$A$604,$A31,'Residual Calculation'!$D$5:$D$604,F$5,'Residual Calculation'!$X$5:$X$604,"&gt;0")=0,"",SUMIFS('Residual Calculation'!$X$5:$X$604,'Residual Calculation'!$A$5:$A$604,$A31,'Residual Calculation'!$D$5:$D$604,F$5)))</f>
        <v>2</v>
      </c>
      <c r="G31" s="31" t="n">
        <f aca="false">IF(COUNTIFS('Residual Calculation'!$A$5:$A$604,$A31,'Residual Calculation'!$D$5:$D$604,G$5,'Residual Calculation'!$G$5:$G$604,"N/A")&gt;0,"N/A",IF(COUNTIFS('Residual Calculation'!$A$5:$A$604,$A31,'Residual Calculation'!$D$5:$D$604,G$5,'Residual Calculation'!$X$5:$X$604,"&gt;0")=0,"",SUMIFS('Residual Calculation'!$X$5:$X$604,'Residual Calculation'!$A$5:$A$604,$A31,'Residual Calculation'!$D$5:$D$604,G$5)))</f>
        <v>1</v>
      </c>
      <c r="H31" s="31" t="n">
        <f aca="false">IF(COUNTIFS('Residual Calculation'!$A$5:$A$604,$A31,'Residual Calculation'!$D$5:$D$604,H$5,'Residual Calculation'!$G$5:$G$604,"N/A")&gt;0,"N/A",IF(COUNTIFS('Residual Calculation'!$A$5:$A$604,$A31,'Residual Calculation'!$D$5:$D$604,H$5,'Residual Calculation'!$X$5:$X$604,"&gt;0")=0,"",SUMIFS('Residual Calculation'!$X$5:$X$604,'Residual Calculation'!$A$5:$A$604,$A31,'Residual Calculation'!$D$5:$D$604,H$5)))</f>
        <v>1</v>
      </c>
      <c r="I31" s="31" t="n">
        <f aca="false">IF(COUNTIFS('Residual Calculation'!$A$5:$A$604,$A31,'Residual Calculation'!$D$5:$D$604,I$5,'Residual Calculation'!$G$5:$G$604,"N/A")&gt;0,"N/A",IF(COUNTIFS('Residual Calculation'!$A$5:$A$604,$A31,'Residual Calculation'!$D$5:$D$604,I$5,'Residual Calculation'!$X$5:$X$604,"&gt;0")=0,"",SUMIFS('Residual Calculation'!$X$5:$X$604,'Residual Calculation'!$A$5:$A$604,$A31,'Residual Calculation'!$D$5:$D$604,I$5)))</f>
        <v>1</v>
      </c>
      <c r="J31" s="31" t="n">
        <f aca="false">IF(COUNTIFS('Residual Calculation'!$A$5:$A$604,$A31,'Residual Calculation'!$D$5:$D$604,J$5,'Residual Calculation'!$G$5:$G$604,"N/A")&gt;0,"N/A",IF(COUNTIFS('Residual Calculation'!$A$5:$A$604,$A31,'Residual Calculation'!$D$5:$D$604,J$5,'Residual Calculation'!$X$5:$X$604,"&gt;0")=0,"",SUMIFS('Residual Calculation'!$X$5:$X$604,'Residual Calculation'!$A$5:$A$604,$A31,'Residual Calculation'!$D$5:$D$604,J$5)))</f>
        <v>2</v>
      </c>
      <c r="K31" s="31" t="n">
        <f aca="false">IF(COUNTIFS('Residual Calculation'!$A$5:$A$604,$A31,'Residual Calculation'!$D$5:$D$604,K$5,'Residual Calculation'!$G$5:$G$604,"N/A")&gt;0,"N/A",IF(COUNTIFS('Residual Calculation'!$A$5:$A$604,$A31,'Residual Calculation'!$D$5:$D$604,K$5,'Residual Calculation'!$X$5:$X$604,"&gt;0")=0,"",SUMIFS('Residual Calculation'!$X$5:$X$604,'Residual Calculation'!$A$5:$A$604,$A31,'Residual Calculation'!$D$5:$D$604,K$5)))</f>
        <v>1</v>
      </c>
      <c r="L31" s="31" t="n">
        <f aca="false">IF(COUNTIFS('Residual Calculation'!$A$5:$A$604,$A31,'Residual Calculation'!$D$5:$D$604,L$5,'Residual Calculation'!$G$5:$G$604,"N/A")&gt;0,"N/A",IF(COUNTIFS('Residual Calculation'!$A$5:$A$604,$A31,'Residual Calculation'!$D$5:$D$604,L$5,'Residual Calculation'!$X$5:$X$604,"&gt;0")=0,"",SUMIFS('Residual Calculation'!$X$5:$X$604,'Residual Calculation'!$A$5:$A$604,$A31,'Residual Calculation'!$D$5:$D$604,L$5)))</f>
        <v>1</v>
      </c>
      <c r="M31" s="31" t="str">
        <f aca="false">IF(COUNTIFS('Residual Calculation'!$A$5:$A$604,$A31,'Residual Calculation'!$D$5:$D$604,M$5,'Residual Calculation'!$G$5:$G$604,"N/A")&gt;0,"N/A",IF(COUNTIFS('Residual Calculation'!$A$5:$A$604,$A31,'Residual Calculation'!$D$5:$D$604,M$5,'Residual Calculation'!$X$5:$X$604,"&gt;0")=0,"",SUMIFS('Residual Calculation'!$X$5:$X$604,'Residual Calculation'!$A$5:$A$604,$A31,'Residual Calculation'!$D$5:$D$604,M$5)))</f>
        <v>N/A</v>
      </c>
      <c r="N31" s="31" t="n">
        <f aca="false">IF(COUNTIFS('Residual Calculation'!$A$5:$A$604,$A31,'Residual Calculation'!$D$5:$D$604,N$5,'Residual Calculation'!$G$5:$G$604,"N/A")&gt;0,"N/A",IF(COUNTIFS('Residual Calculation'!$A$5:$A$604,$A31,'Residual Calculation'!$D$5:$D$604,N$5,'Residual Calculation'!$X$5:$X$604,"&gt;0")=0,"",SUMIFS('Residual Calculation'!$X$5:$X$604,'Residual Calculation'!$A$5:$A$604,$A31,'Residual Calculation'!$D$5:$D$604,N$5)))</f>
        <v>1</v>
      </c>
      <c r="O31" s="31" t="n">
        <f aca="false">IF(COUNTIFS('Residual Calculation'!$A$5:$A$604,$A31,'Residual Calculation'!$D$5:$D$604,O$5,'Residual Calculation'!$G$5:$G$604,"N/A")&gt;0,"N/A",IF(COUNTIFS('Residual Calculation'!$A$5:$A$604,$A31,'Residual Calculation'!$D$5:$D$604,O$5,'Residual Calculation'!$X$5:$X$604,"&gt;0")=0,"",SUMIFS('Residual Calculation'!$X$5:$X$604,'Residual Calculation'!$A$5:$A$604,$A31,'Residual Calculation'!$D$5:$D$604,O$5)))</f>
        <v>1</v>
      </c>
      <c r="P31" s="31" t="n">
        <f aca="false">IF(COUNTIFS('Residual Calculation'!$A$5:$A$604,$A31,'Residual Calculation'!$D$5:$D$604,P$5,'Residual Calculation'!$G$5:$G$604,"N/A")&gt;0,"N/A",IF(COUNTIFS('Residual Calculation'!$A$5:$A$604,$A31,'Residual Calculation'!$D$5:$D$604,P$5,'Residual Calculation'!$X$5:$X$604,"&gt;0")=0,"",SUMIFS('Residual Calculation'!$X$5:$X$604,'Residual Calculation'!$A$5:$A$604,$A31,'Residual Calculation'!$D$5:$D$604,P$5)))</f>
        <v>1</v>
      </c>
      <c r="Q31" s="31" t="n">
        <f aca="false">IF(COUNTIFS('Residual Calculation'!$A$5:$A$604,$A31,'Residual Calculation'!$D$5:$D$604,Q$5,'Residual Calculation'!$G$5:$G$604,"N/A")&gt;0,"N/A",IF(COUNTIFS('Residual Calculation'!$A$5:$A$604,$A31,'Residual Calculation'!$D$5:$D$604,Q$5,'Residual Calculation'!$X$5:$X$604,"&gt;0")=0,"",SUMIFS('Residual Calculation'!$X$5:$X$604,'Residual Calculation'!$A$5:$A$604,$A31,'Residual Calculation'!$D$5:$D$604,Q$5)))</f>
        <v>1</v>
      </c>
      <c r="R31" s="31" t="n">
        <f aca="false">IF(COUNTIFS('Residual Calculation'!$A$5:$A$604,$A31,'Residual Calculation'!$D$5:$D$604,R$5,'Residual Calculation'!$G$5:$G$604,"N/A")&gt;0,"N/A",IF(COUNTIFS('Residual Calculation'!$A$5:$A$604,$A31,'Residual Calculation'!$D$5:$D$604,R$5,'Residual Calculation'!$X$5:$X$604,"&gt;0")=0,"",SUMIFS('Residual Calculation'!$X$5:$X$604,'Residual Calculation'!$A$5:$A$604,$A31,'Residual Calculation'!$D$5:$D$604,R$5)))</f>
        <v>2</v>
      </c>
      <c r="S31" s="31" t="n">
        <f aca="false">IF(COUNTIFS('Residual Calculation'!$A$5:$A$604,$A31,'Residual Calculation'!$D$5:$D$604,S$5,'Residual Calculation'!$G$5:$G$604,"N/A")&gt;0,"N/A",IF(COUNTIFS('Residual Calculation'!$A$5:$A$604,$A31,'Residual Calculation'!$D$5:$D$604,S$5,'Residual Calculation'!$X$5:$X$604,"&gt;0")=0,"",SUMIFS('Residual Calculation'!$X$5:$X$604,'Residual Calculation'!$A$5:$A$604,$A31,'Residual Calculation'!$D$5:$D$604,S$5)))</f>
        <v>1</v>
      </c>
      <c r="T31" s="31" t="n">
        <f aca="false">IF(COUNTIFS('Residual Calculation'!$A$5:$A$604,$A31,'Residual Calculation'!$D$5:$D$604,T$5,'Residual Calculation'!$G$5:$G$604,"N/A")&gt;0,"N/A",IF(COUNTIFS('Residual Calculation'!$A$5:$A$604,$A31,'Residual Calculation'!$D$5:$D$604,T$5,'Residual Calculation'!$X$5:$X$604,"&gt;0")=0,"",SUMIFS('Residual Calculation'!$X$5:$X$604,'Residual Calculation'!$A$5:$A$604,$A31,'Residual Calculation'!$D$5:$D$604,T$5)))</f>
        <v>1</v>
      </c>
      <c r="U31" s="31" t="n">
        <f aca="false">IF(COUNTIFS('Residual Calculation'!$A$5:$A$604,$A31,'Residual Calculation'!$D$5:$D$604,U$5,'Residual Calculation'!$G$5:$G$604,"N/A")&gt;0,"N/A",IF(COUNTIFS('Residual Calculation'!$A$5:$A$604,$A31,'Residual Calculation'!$D$5:$D$604,U$5,'Residual Calculation'!$X$5:$X$604,"&gt;0")=0,"",SUMIFS('Residual Calculation'!$X$5:$X$604,'Residual Calculation'!$A$5:$A$604,$A31,'Residual Calculation'!$D$5:$D$604,U$5)))</f>
        <v>1</v>
      </c>
      <c r="V31" s="31" t="n">
        <f aca="false">IF(COUNTIFS('Residual Calculation'!$A$5:$A$604,$A31,'Residual Calculation'!$D$5:$D$604,V$5,'Residual Calculation'!$G$5:$G$604,"N/A")&gt;0,"N/A",IF(COUNTIFS('Residual Calculation'!$A$5:$A$604,$A31,'Residual Calculation'!$D$5:$D$604,V$5,'Residual Calculation'!$X$5:$X$604,"&gt;0")=0,"",SUMIFS('Residual Calculation'!$X$5:$X$604,'Residual Calculation'!$A$5:$A$604,$A31,'Residual Calculation'!$D$5:$D$604,V$5)))</f>
        <v>1</v>
      </c>
      <c r="W31" s="34" t="n">
        <f aca="false">MAX(C31:V31)</f>
        <v>2</v>
      </c>
      <c r="X31" s="29" t="n">
        <f aca="false">IFERROR(AVERAGE(C31:V31),"")</f>
        <v>1.26315789473684</v>
      </c>
      <c r="Y31" s="31" t="n">
        <f aca="false">COUNTIFS('Residual Calculation'!$A$5:$A$604,$A31,'Residual Calculation'!$AC$5:$AC$604,"Amber")</f>
        <v>3</v>
      </c>
      <c r="Z31" s="31" t="n">
        <f aca="false">COUNTIFS('Residual Calculation'!$A$5:$A$604,$A31,'Residual Calculation'!$AC$5:$AC$604,"Red")</f>
        <v>0</v>
      </c>
    </row>
    <row r="32" customFormat="false" ht="15" hidden="false" customHeight="false" outlineLevel="0" collapsed="false">
      <c r="A32" s="26" t="str">
        <f aca="false">Entities!A31</f>
        <v>SG</v>
      </c>
      <c r="B32" s="26" t="str">
        <f aca="false">Entities!B31</f>
        <v>Arab Bank – Singapore</v>
      </c>
      <c r="C32" s="31" t="n">
        <f aca="false">IF(COUNTIFS('Residual Calculation'!$A$5:$A$604,$A32,'Residual Calculation'!$D$5:$D$604,C$5,'Residual Calculation'!$G$5:$G$604,"N/A")&gt;0,"N/A",IF(COUNTIFS('Residual Calculation'!$A$5:$A$604,$A32,'Residual Calculation'!$D$5:$D$604,C$5,'Residual Calculation'!$X$5:$X$604,"&gt;0")=0,"",SUMIFS('Residual Calculation'!$X$5:$X$604,'Residual Calculation'!$A$5:$A$604,$A32,'Residual Calculation'!$D$5:$D$604,C$5)))</f>
        <v>1</v>
      </c>
      <c r="D32" s="31" t="n">
        <f aca="false">IF(COUNTIFS('Residual Calculation'!$A$5:$A$604,$A32,'Residual Calculation'!$D$5:$D$604,D$5,'Residual Calculation'!$G$5:$G$604,"N/A")&gt;0,"N/A",IF(COUNTIFS('Residual Calculation'!$A$5:$A$604,$A32,'Residual Calculation'!$D$5:$D$604,D$5,'Residual Calculation'!$X$5:$X$604,"&gt;0")=0,"",SUMIFS('Residual Calculation'!$X$5:$X$604,'Residual Calculation'!$A$5:$A$604,$A32,'Residual Calculation'!$D$5:$D$604,D$5)))</f>
        <v>1</v>
      </c>
      <c r="E32" s="31" t="n">
        <f aca="false">IF(COUNTIFS('Residual Calculation'!$A$5:$A$604,$A32,'Residual Calculation'!$D$5:$D$604,E$5,'Residual Calculation'!$G$5:$G$604,"N/A")&gt;0,"N/A",IF(COUNTIFS('Residual Calculation'!$A$5:$A$604,$A32,'Residual Calculation'!$D$5:$D$604,E$5,'Residual Calculation'!$X$5:$X$604,"&gt;0")=0,"",SUMIFS('Residual Calculation'!$X$5:$X$604,'Residual Calculation'!$A$5:$A$604,$A32,'Residual Calculation'!$D$5:$D$604,E$5)))</f>
        <v>1</v>
      </c>
      <c r="F32" s="31" t="n">
        <f aca="false">IF(COUNTIFS('Residual Calculation'!$A$5:$A$604,$A32,'Residual Calculation'!$D$5:$D$604,F$5,'Residual Calculation'!$G$5:$G$604,"N/A")&gt;0,"N/A",IF(COUNTIFS('Residual Calculation'!$A$5:$A$604,$A32,'Residual Calculation'!$D$5:$D$604,F$5,'Residual Calculation'!$X$5:$X$604,"&gt;0")=0,"",SUMIFS('Residual Calculation'!$X$5:$X$604,'Residual Calculation'!$A$5:$A$604,$A32,'Residual Calculation'!$D$5:$D$604,F$5)))</f>
        <v>1</v>
      </c>
      <c r="G32" s="31" t="n">
        <f aca="false">IF(COUNTIFS('Residual Calculation'!$A$5:$A$604,$A32,'Residual Calculation'!$D$5:$D$604,G$5,'Residual Calculation'!$G$5:$G$604,"N/A")&gt;0,"N/A",IF(COUNTIFS('Residual Calculation'!$A$5:$A$604,$A32,'Residual Calculation'!$D$5:$D$604,G$5,'Residual Calculation'!$X$5:$X$604,"&gt;0")=0,"",SUMIFS('Residual Calculation'!$X$5:$X$604,'Residual Calculation'!$A$5:$A$604,$A32,'Residual Calculation'!$D$5:$D$604,G$5)))</f>
        <v>1</v>
      </c>
      <c r="H32" s="31" t="n">
        <f aca="false">IF(COUNTIFS('Residual Calculation'!$A$5:$A$604,$A32,'Residual Calculation'!$D$5:$D$604,H$5,'Residual Calculation'!$G$5:$G$604,"N/A")&gt;0,"N/A",IF(COUNTIFS('Residual Calculation'!$A$5:$A$604,$A32,'Residual Calculation'!$D$5:$D$604,H$5,'Residual Calculation'!$X$5:$X$604,"&gt;0")=0,"",SUMIFS('Residual Calculation'!$X$5:$X$604,'Residual Calculation'!$A$5:$A$604,$A32,'Residual Calculation'!$D$5:$D$604,H$5)))</f>
        <v>1</v>
      </c>
      <c r="I32" s="31" t="n">
        <f aca="false">IF(COUNTIFS('Residual Calculation'!$A$5:$A$604,$A32,'Residual Calculation'!$D$5:$D$604,I$5,'Residual Calculation'!$G$5:$G$604,"N/A")&gt;0,"N/A",IF(COUNTIFS('Residual Calculation'!$A$5:$A$604,$A32,'Residual Calculation'!$D$5:$D$604,I$5,'Residual Calculation'!$X$5:$X$604,"&gt;0")=0,"",SUMIFS('Residual Calculation'!$X$5:$X$604,'Residual Calculation'!$A$5:$A$604,$A32,'Residual Calculation'!$D$5:$D$604,I$5)))</f>
        <v>1</v>
      </c>
      <c r="J32" s="31" t="n">
        <f aca="false">IF(COUNTIFS('Residual Calculation'!$A$5:$A$604,$A32,'Residual Calculation'!$D$5:$D$604,J$5,'Residual Calculation'!$G$5:$G$604,"N/A")&gt;0,"N/A",IF(COUNTIFS('Residual Calculation'!$A$5:$A$604,$A32,'Residual Calculation'!$D$5:$D$604,J$5,'Residual Calculation'!$X$5:$X$604,"&gt;0")=0,"",SUMIFS('Residual Calculation'!$X$5:$X$604,'Residual Calculation'!$A$5:$A$604,$A32,'Residual Calculation'!$D$5:$D$604,J$5)))</f>
        <v>1</v>
      </c>
      <c r="K32" s="31" t="n">
        <f aca="false">IF(COUNTIFS('Residual Calculation'!$A$5:$A$604,$A32,'Residual Calculation'!$D$5:$D$604,K$5,'Residual Calculation'!$G$5:$G$604,"N/A")&gt;0,"N/A",IF(COUNTIFS('Residual Calculation'!$A$5:$A$604,$A32,'Residual Calculation'!$D$5:$D$604,K$5,'Residual Calculation'!$X$5:$X$604,"&gt;0")=0,"",SUMIFS('Residual Calculation'!$X$5:$X$604,'Residual Calculation'!$A$5:$A$604,$A32,'Residual Calculation'!$D$5:$D$604,K$5)))</f>
        <v>1</v>
      </c>
      <c r="L32" s="31" t="n">
        <f aca="false">IF(COUNTIFS('Residual Calculation'!$A$5:$A$604,$A32,'Residual Calculation'!$D$5:$D$604,L$5,'Residual Calculation'!$G$5:$G$604,"N/A")&gt;0,"N/A",IF(COUNTIFS('Residual Calculation'!$A$5:$A$604,$A32,'Residual Calculation'!$D$5:$D$604,L$5,'Residual Calculation'!$X$5:$X$604,"&gt;0")=0,"",SUMIFS('Residual Calculation'!$X$5:$X$604,'Residual Calculation'!$A$5:$A$604,$A32,'Residual Calculation'!$D$5:$D$604,L$5)))</f>
        <v>1</v>
      </c>
      <c r="M32" s="31" t="str">
        <f aca="false">IF(COUNTIFS('Residual Calculation'!$A$5:$A$604,$A32,'Residual Calculation'!$D$5:$D$604,M$5,'Residual Calculation'!$G$5:$G$604,"N/A")&gt;0,"N/A",IF(COUNTIFS('Residual Calculation'!$A$5:$A$604,$A32,'Residual Calculation'!$D$5:$D$604,M$5,'Residual Calculation'!$X$5:$X$604,"&gt;0")=0,"",SUMIFS('Residual Calculation'!$X$5:$X$604,'Residual Calculation'!$A$5:$A$604,$A32,'Residual Calculation'!$D$5:$D$604,M$5)))</f>
        <v>N/A</v>
      </c>
      <c r="N32" s="31" t="n">
        <f aca="false">IF(COUNTIFS('Residual Calculation'!$A$5:$A$604,$A32,'Residual Calculation'!$D$5:$D$604,N$5,'Residual Calculation'!$G$5:$G$604,"N/A")&gt;0,"N/A",IF(COUNTIFS('Residual Calculation'!$A$5:$A$604,$A32,'Residual Calculation'!$D$5:$D$604,N$5,'Residual Calculation'!$X$5:$X$604,"&gt;0")=0,"",SUMIFS('Residual Calculation'!$X$5:$X$604,'Residual Calculation'!$A$5:$A$604,$A32,'Residual Calculation'!$D$5:$D$604,N$5)))</f>
        <v>1</v>
      </c>
      <c r="O32" s="31" t="n">
        <f aca="false">IF(COUNTIFS('Residual Calculation'!$A$5:$A$604,$A32,'Residual Calculation'!$D$5:$D$604,O$5,'Residual Calculation'!$G$5:$G$604,"N/A")&gt;0,"N/A",IF(COUNTIFS('Residual Calculation'!$A$5:$A$604,$A32,'Residual Calculation'!$D$5:$D$604,O$5,'Residual Calculation'!$X$5:$X$604,"&gt;0")=0,"",SUMIFS('Residual Calculation'!$X$5:$X$604,'Residual Calculation'!$A$5:$A$604,$A32,'Residual Calculation'!$D$5:$D$604,O$5)))</f>
        <v>2</v>
      </c>
      <c r="P32" s="31" t="n">
        <f aca="false">IF(COUNTIFS('Residual Calculation'!$A$5:$A$604,$A32,'Residual Calculation'!$D$5:$D$604,P$5,'Residual Calculation'!$G$5:$G$604,"N/A")&gt;0,"N/A",IF(COUNTIFS('Residual Calculation'!$A$5:$A$604,$A32,'Residual Calculation'!$D$5:$D$604,P$5,'Residual Calculation'!$X$5:$X$604,"&gt;0")=0,"",SUMIFS('Residual Calculation'!$X$5:$X$604,'Residual Calculation'!$A$5:$A$604,$A32,'Residual Calculation'!$D$5:$D$604,P$5)))</f>
        <v>1</v>
      </c>
      <c r="Q32" s="31" t="n">
        <f aca="false">IF(COUNTIFS('Residual Calculation'!$A$5:$A$604,$A32,'Residual Calculation'!$D$5:$D$604,Q$5,'Residual Calculation'!$G$5:$G$604,"N/A")&gt;0,"N/A",IF(COUNTIFS('Residual Calculation'!$A$5:$A$604,$A32,'Residual Calculation'!$D$5:$D$604,Q$5,'Residual Calculation'!$X$5:$X$604,"&gt;0")=0,"",SUMIFS('Residual Calculation'!$X$5:$X$604,'Residual Calculation'!$A$5:$A$604,$A32,'Residual Calculation'!$D$5:$D$604,Q$5)))</f>
        <v>1</v>
      </c>
      <c r="R32" s="31" t="n">
        <f aca="false">IF(COUNTIFS('Residual Calculation'!$A$5:$A$604,$A32,'Residual Calculation'!$D$5:$D$604,R$5,'Residual Calculation'!$G$5:$G$604,"N/A")&gt;0,"N/A",IF(COUNTIFS('Residual Calculation'!$A$5:$A$604,$A32,'Residual Calculation'!$D$5:$D$604,R$5,'Residual Calculation'!$X$5:$X$604,"&gt;0")=0,"",SUMIFS('Residual Calculation'!$X$5:$X$604,'Residual Calculation'!$A$5:$A$604,$A32,'Residual Calculation'!$D$5:$D$604,R$5)))</f>
        <v>2</v>
      </c>
      <c r="S32" s="31" t="n">
        <f aca="false">IF(COUNTIFS('Residual Calculation'!$A$5:$A$604,$A32,'Residual Calculation'!$D$5:$D$604,S$5,'Residual Calculation'!$G$5:$G$604,"N/A")&gt;0,"N/A",IF(COUNTIFS('Residual Calculation'!$A$5:$A$604,$A32,'Residual Calculation'!$D$5:$D$604,S$5,'Residual Calculation'!$X$5:$X$604,"&gt;0")=0,"",SUMIFS('Residual Calculation'!$X$5:$X$604,'Residual Calculation'!$A$5:$A$604,$A32,'Residual Calculation'!$D$5:$D$604,S$5)))</f>
        <v>1</v>
      </c>
      <c r="T32" s="31" t="n">
        <f aca="false">IF(COUNTIFS('Residual Calculation'!$A$5:$A$604,$A32,'Residual Calculation'!$D$5:$D$604,T$5,'Residual Calculation'!$G$5:$G$604,"N/A")&gt;0,"N/A",IF(COUNTIFS('Residual Calculation'!$A$5:$A$604,$A32,'Residual Calculation'!$D$5:$D$604,T$5,'Residual Calculation'!$X$5:$X$604,"&gt;0")=0,"",SUMIFS('Residual Calculation'!$X$5:$X$604,'Residual Calculation'!$A$5:$A$604,$A32,'Residual Calculation'!$D$5:$D$604,T$5)))</f>
        <v>1</v>
      </c>
      <c r="U32" s="31" t="n">
        <f aca="false">IF(COUNTIFS('Residual Calculation'!$A$5:$A$604,$A32,'Residual Calculation'!$D$5:$D$604,U$5,'Residual Calculation'!$G$5:$G$604,"N/A")&gt;0,"N/A",IF(COUNTIFS('Residual Calculation'!$A$5:$A$604,$A32,'Residual Calculation'!$D$5:$D$604,U$5,'Residual Calculation'!$X$5:$X$604,"&gt;0")=0,"",SUMIFS('Residual Calculation'!$X$5:$X$604,'Residual Calculation'!$A$5:$A$604,$A32,'Residual Calculation'!$D$5:$D$604,U$5)))</f>
        <v>1</v>
      </c>
      <c r="V32" s="31" t="n">
        <f aca="false">IF(COUNTIFS('Residual Calculation'!$A$5:$A$604,$A32,'Residual Calculation'!$D$5:$D$604,V$5,'Residual Calculation'!$G$5:$G$604,"N/A")&gt;0,"N/A",IF(COUNTIFS('Residual Calculation'!$A$5:$A$604,$A32,'Residual Calculation'!$D$5:$D$604,V$5,'Residual Calculation'!$X$5:$X$604,"&gt;0")=0,"",SUMIFS('Residual Calculation'!$X$5:$X$604,'Residual Calculation'!$A$5:$A$604,$A32,'Residual Calculation'!$D$5:$D$604,V$5)))</f>
        <v>1</v>
      </c>
      <c r="W32" s="34" t="n">
        <f aca="false">MAX(C32:V32)</f>
        <v>2</v>
      </c>
      <c r="X32" s="29" t="n">
        <f aca="false">IFERROR(AVERAGE(C32:V32),"")</f>
        <v>1.10526315789474</v>
      </c>
      <c r="Y32" s="31" t="n">
        <f aca="false">COUNTIFS('Residual Calculation'!$A$5:$A$604,$A32,'Residual Calculation'!$AC$5:$AC$604,"Amber")</f>
        <v>0</v>
      </c>
      <c r="Z32" s="31" t="n">
        <f aca="false">COUNTIFS('Residual Calculation'!$A$5:$A$604,$A32,'Residual Calculation'!$AC$5:$AC$604,"Red")</f>
        <v>0</v>
      </c>
    </row>
    <row r="33" customFormat="false" ht="15" hidden="false" customHeight="false" outlineLevel="0" collapsed="false">
      <c r="A33" s="26" t="str">
        <f aca="false">Entities!A32</f>
        <v>CN</v>
      </c>
      <c r="B33" s="26" t="str">
        <f aca="false">Entities!B32</f>
        <v>Arab Bank – China</v>
      </c>
      <c r="C33" s="31" t="n">
        <f aca="false">IF(COUNTIFS('Residual Calculation'!$A$5:$A$604,$A33,'Residual Calculation'!$D$5:$D$604,C$5,'Residual Calculation'!$G$5:$G$604,"N/A")&gt;0,"N/A",IF(COUNTIFS('Residual Calculation'!$A$5:$A$604,$A33,'Residual Calculation'!$D$5:$D$604,C$5,'Residual Calculation'!$X$5:$X$604,"&gt;0")=0,"",SUMIFS('Residual Calculation'!$X$5:$X$604,'Residual Calculation'!$A$5:$A$604,$A33,'Residual Calculation'!$D$5:$D$604,C$5)))</f>
        <v>1</v>
      </c>
      <c r="D33" s="31" t="n">
        <f aca="false">IF(COUNTIFS('Residual Calculation'!$A$5:$A$604,$A33,'Residual Calculation'!$D$5:$D$604,D$5,'Residual Calculation'!$G$5:$G$604,"N/A")&gt;0,"N/A",IF(COUNTIFS('Residual Calculation'!$A$5:$A$604,$A33,'Residual Calculation'!$D$5:$D$604,D$5,'Residual Calculation'!$X$5:$X$604,"&gt;0")=0,"",SUMIFS('Residual Calculation'!$X$5:$X$604,'Residual Calculation'!$A$5:$A$604,$A33,'Residual Calculation'!$D$5:$D$604,D$5)))</f>
        <v>1</v>
      </c>
      <c r="E33" s="31" t="n">
        <f aca="false">IF(COUNTIFS('Residual Calculation'!$A$5:$A$604,$A33,'Residual Calculation'!$D$5:$D$604,E$5,'Residual Calculation'!$G$5:$G$604,"N/A")&gt;0,"N/A",IF(COUNTIFS('Residual Calculation'!$A$5:$A$604,$A33,'Residual Calculation'!$D$5:$D$604,E$5,'Residual Calculation'!$X$5:$X$604,"&gt;0")=0,"",SUMIFS('Residual Calculation'!$X$5:$X$604,'Residual Calculation'!$A$5:$A$604,$A33,'Residual Calculation'!$D$5:$D$604,E$5)))</f>
        <v>1</v>
      </c>
      <c r="F33" s="31" t="n">
        <f aca="false">IF(COUNTIFS('Residual Calculation'!$A$5:$A$604,$A33,'Residual Calculation'!$D$5:$D$604,F$5,'Residual Calculation'!$G$5:$G$604,"N/A")&gt;0,"N/A",IF(COUNTIFS('Residual Calculation'!$A$5:$A$604,$A33,'Residual Calculation'!$D$5:$D$604,F$5,'Residual Calculation'!$X$5:$X$604,"&gt;0")=0,"",SUMIFS('Residual Calculation'!$X$5:$X$604,'Residual Calculation'!$A$5:$A$604,$A33,'Residual Calculation'!$D$5:$D$604,F$5)))</f>
        <v>1</v>
      </c>
      <c r="G33" s="31" t="n">
        <f aca="false">IF(COUNTIFS('Residual Calculation'!$A$5:$A$604,$A33,'Residual Calculation'!$D$5:$D$604,G$5,'Residual Calculation'!$G$5:$G$604,"N/A")&gt;0,"N/A",IF(COUNTIFS('Residual Calculation'!$A$5:$A$604,$A33,'Residual Calculation'!$D$5:$D$604,G$5,'Residual Calculation'!$X$5:$X$604,"&gt;0")=0,"",SUMIFS('Residual Calculation'!$X$5:$X$604,'Residual Calculation'!$A$5:$A$604,$A33,'Residual Calculation'!$D$5:$D$604,G$5)))</f>
        <v>1</v>
      </c>
      <c r="H33" s="31" t="n">
        <f aca="false">IF(COUNTIFS('Residual Calculation'!$A$5:$A$604,$A33,'Residual Calculation'!$D$5:$D$604,H$5,'Residual Calculation'!$G$5:$G$604,"N/A")&gt;0,"N/A",IF(COUNTIFS('Residual Calculation'!$A$5:$A$604,$A33,'Residual Calculation'!$D$5:$D$604,H$5,'Residual Calculation'!$X$5:$X$604,"&gt;0")=0,"",SUMIFS('Residual Calculation'!$X$5:$X$604,'Residual Calculation'!$A$5:$A$604,$A33,'Residual Calculation'!$D$5:$D$604,H$5)))</f>
        <v>1</v>
      </c>
      <c r="I33" s="31" t="n">
        <f aca="false">IF(COUNTIFS('Residual Calculation'!$A$5:$A$604,$A33,'Residual Calculation'!$D$5:$D$604,I$5,'Residual Calculation'!$G$5:$G$604,"N/A")&gt;0,"N/A",IF(COUNTIFS('Residual Calculation'!$A$5:$A$604,$A33,'Residual Calculation'!$D$5:$D$604,I$5,'Residual Calculation'!$X$5:$X$604,"&gt;0")=0,"",SUMIFS('Residual Calculation'!$X$5:$X$604,'Residual Calculation'!$A$5:$A$604,$A33,'Residual Calculation'!$D$5:$D$604,I$5)))</f>
        <v>1</v>
      </c>
      <c r="J33" s="31" t="n">
        <f aca="false">IF(COUNTIFS('Residual Calculation'!$A$5:$A$604,$A33,'Residual Calculation'!$D$5:$D$604,J$5,'Residual Calculation'!$G$5:$G$604,"N/A")&gt;0,"N/A",IF(COUNTIFS('Residual Calculation'!$A$5:$A$604,$A33,'Residual Calculation'!$D$5:$D$604,J$5,'Residual Calculation'!$X$5:$X$604,"&gt;0")=0,"",SUMIFS('Residual Calculation'!$X$5:$X$604,'Residual Calculation'!$A$5:$A$604,$A33,'Residual Calculation'!$D$5:$D$604,J$5)))</f>
        <v>3</v>
      </c>
      <c r="K33" s="31" t="n">
        <f aca="false">IF(COUNTIFS('Residual Calculation'!$A$5:$A$604,$A33,'Residual Calculation'!$D$5:$D$604,K$5,'Residual Calculation'!$G$5:$G$604,"N/A")&gt;0,"N/A",IF(COUNTIFS('Residual Calculation'!$A$5:$A$604,$A33,'Residual Calculation'!$D$5:$D$604,K$5,'Residual Calculation'!$X$5:$X$604,"&gt;0")=0,"",SUMIFS('Residual Calculation'!$X$5:$X$604,'Residual Calculation'!$A$5:$A$604,$A33,'Residual Calculation'!$D$5:$D$604,K$5)))</f>
        <v>1</v>
      </c>
      <c r="L33" s="31" t="n">
        <f aca="false">IF(COUNTIFS('Residual Calculation'!$A$5:$A$604,$A33,'Residual Calculation'!$D$5:$D$604,L$5,'Residual Calculation'!$G$5:$G$604,"N/A")&gt;0,"N/A",IF(COUNTIFS('Residual Calculation'!$A$5:$A$604,$A33,'Residual Calculation'!$D$5:$D$604,L$5,'Residual Calculation'!$X$5:$X$604,"&gt;0")=0,"",SUMIFS('Residual Calculation'!$X$5:$X$604,'Residual Calculation'!$A$5:$A$604,$A33,'Residual Calculation'!$D$5:$D$604,L$5)))</f>
        <v>1</v>
      </c>
      <c r="M33" s="31" t="str">
        <f aca="false">IF(COUNTIFS('Residual Calculation'!$A$5:$A$604,$A33,'Residual Calculation'!$D$5:$D$604,M$5,'Residual Calculation'!$G$5:$G$604,"N/A")&gt;0,"N/A",IF(COUNTIFS('Residual Calculation'!$A$5:$A$604,$A33,'Residual Calculation'!$D$5:$D$604,M$5,'Residual Calculation'!$X$5:$X$604,"&gt;0")=0,"",SUMIFS('Residual Calculation'!$X$5:$X$604,'Residual Calculation'!$A$5:$A$604,$A33,'Residual Calculation'!$D$5:$D$604,M$5)))</f>
        <v>N/A</v>
      </c>
      <c r="N33" s="31" t="n">
        <f aca="false">IF(COUNTIFS('Residual Calculation'!$A$5:$A$604,$A33,'Residual Calculation'!$D$5:$D$604,N$5,'Residual Calculation'!$G$5:$G$604,"N/A")&gt;0,"N/A",IF(COUNTIFS('Residual Calculation'!$A$5:$A$604,$A33,'Residual Calculation'!$D$5:$D$604,N$5,'Residual Calculation'!$X$5:$X$604,"&gt;0")=0,"",SUMIFS('Residual Calculation'!$X$5:$X$604,'Residual Calculation'!$A$5:$A$604,$A33,'Residual Calculation'!$D$5:$D$604,N$5)))</f>
        <v>1</v>
      </c>
      <c r="O33" s="31" t="n">
        <f aca="false">IF(COUNTIFS('Residual Calculation'!$A$5:$A$604,$A33,'Residual Calculation'!$D$5:$D$604,O$5,'Residual Calculation'!$G$5:$G$604,"N/A")&gt;0,"N/A",IF(COUNTIFS('Residual Calculation'!$A$5:$A$604,$A33,'Residual Calculation'!$D$5:$D$604,O$5,'Residual Calculation'!$X$5:$X$604,"&gt;0")=0,"",SUMIFS('Residual Calculation'!$X$5:$X$604,'Residual Calculation'!$A$5:$A$604,$A33,'Residual Calculation'!$D$5:$D$604,O$5)))</f>
        <v>1</v>
      </c>
      <c r="P33" s="31" t="n">
        <f aca="false">IF(COUNTIFS('Residual Calculation'!$A$5:$A$604,$A33,'Residual Calculation'!$D$5:$D$604,P$5,'Residual Calculation'!$G$5:$G$604,"N/A")&gt;0,"N/A",IF(COUNTIFS('Residual Calculation'!$A$5:$A$604,$A33,'Residual Calculation'!$D$5:$D$604,P$5,'Residual Calculation'!$X$5:$X$604,"&gt;0")=0,"",SUMIFS('Residual Calculation'!$X$5:$X$604,'Residual Calculation'!$A$5:$A$604,$A33,'Residual Calculation'!$D$5:$D$604,P$5)))</f>
        <v>1</v>
      </c>
      <c r="Q33" s="31" t="n">
        <f aca="false">IF(COUNTIFS('Residual Calculation'!$A$5:$A$604,$A33,'Residual Calculation'!$D$5:$D$604,Q$5,'Residual Calculation'!$G$5:$G$604,"N/A")&gt;0,"N/A",IF(COUNTIFS('Residual Calculation'!$A$5:$A$604,$A33,'Residual Calculation'!$D$5:$D$604,Q$5,'Residual Calculation'!$X$5:$X$604,"&gt;0")=0,"",SUMIFS('Residual Calculation'!$X$5:$X$604,'Residual Calculation'!$A$5:$A$604,$A33,'Residual Calculation'!$D$5:$D$604,Q$5)))</f>
        <v>1</v>
      </c>
      <c r="R33" s="31" t="n">
        <f aca="false">IF(COUNTIFS('Residual Calculation'!$A$5:$A$604,$A33,'Residual Calculation'!$D$5:$D$604,R$5,'Residual Calculation'!$G$5:$G$604,"N/A")&gt;0,"N/A",IF(COUNTIFS('Residual Calculation'!$A$5:$A$604,$A33,'Residual Calculation'!$D$5:$D$604,R$5,'Residual Calculation'!$X$5:$X$604,"&gt;0")=0,"",SUMIFS('Residual Calculation'!$X$5:$X$604,'Residual Calculation'!$A$5:$A$604,$A33,'Residual Calculation'!$D$5:$D$604,R$5)))</f>
        <v>1</v>
      </c>
      <c r="S33" s="31" t="n">
        <f aca="false">IF(COUNTIFS('Residual Calculation'!$A$5:$A$604,$A33,'Residual Calculation'!$D$5:$D$604,S$5,'Residual Calculation'!$G$5:$G$604,"N/A")&gt;0,"N/A",IF(COUNTIFS('Residual Calculation'!$A$5:$A$604,$A33,'Residual Calculation'!$D$5:$D$604,S$5,'Residual Calculation'!$X$5:$X$604,"&gt;0")=0,"",SUMIFS('Residual Calculation'!$X$5:$X$604,'Residual Calculation'!$A$5:$A$604,$A33,'Residual Calculation'!$D$5:$D$604,S$5)))</f>
        <v>1</v>
      </c>
      <c r="T33" s="31" t="n">
        <f aca="false">IF(COUNTIFS('Residual Calculation'!$A$5:$A$604,$A33,'Residual Calculation'!$D$5:$D$604,T$5,'Residual Calculation'!$G$5:$G$604,"N/A")&gt;0,"N/A",IF(COUNTIFS('Residual Calculation'!$A$5:$A$604,$A33,'Residual Calculation'!$D$5:$D$604,T$5,'Residual Calculation'!$X$5:$X$604,"&gt;0")=0,"",SUMIFS('Residual Calculation'!$X$5:$X$604,'Residual Calculation'!$A$5:$A$604,$A33,'Residual Calculation'!$D$5:$D$604,T$5)))</f>
        <v>1</v>
      </c>
      <c r="U33" s="31" t="n">
        <f aca="false">IF(COUNTIFS('Residual Calculation'!$A$5:$A$604,$A33,'Residual Calculation'!$D$5:$D$604,U$5,'Residual Calculation'!$G$5:$G$604,"N/A")&gt;0,"N/A",IF(COUNTIFS('Residual Calculation'!$A$5:$A$604,$A33,'Residual Calculation'!$D$5:$D$604,U$5,'Residual Calculation'!$X$5:$X$604,"&gt;0")=0,"",SUMIFS('Residual Calculation'!$X$5:$X$604,'Residual Calculation'!$A$5:$A$604,$A33,'Residual Calculation'!$D$5:$D$604,U$5)))</f>
        <v>1</v>
      </c>
      <c r="V33" s="31" t="n">
        <f aca="false">IF(COUNTIFS('Residual Calculation'!$A$5:$A$604,$A33,'Residual Calculation'!$D$5:$D$604,V$5,'Residual Calculation'!$G$5:$G$604,"N/A")&gt;0,"N/A",IF(COUNTIFS('Residual Calculation'!$A$5:$A$604,$A33,'Residual Calculation'!$D$5:$D$604,V$5,'Residual Calculation'!$X$5:$X$604,"&gt;0")=0,"",SUMIFS('Residual Calculation'!$X$5:$X$604,'Residual Calculation'!$A$5:$A$604,$A33,'Residual Calculation'!$D$5:$D$604,V$5)))</f>
        <v>1</v>
      </c>
      <c r="W33" s="34" t="n">
        <f aca="false">MAX(C33:V33)</f>
        <v>3</v>
      </c>
      <c r="X33" s="29" t="n">
        <f aca="false">IFERROR(AVERAGE(C33:V33),"")</f>
        <v>1.10526315789474</v>
      </c>
      <c r="Y33" s="31" t="n">
        <f aca="false">COUNTIFS('Residual Calculation'!$A$5:$A$604,$A33,'Residual Calculation'!$AC$5:$AC$604,"Amber")</f>
        <v>1</v>
      </c>
      <c r="Z33" s="31" t="n">
        <f aca="false">COUNTIFS('Residual Calculation'!$A$5:$A$604,$A33,'Residual Calculation'!$AC$5:$AC$604,"Red")</f>
        <v>0</v>
      </c>
    </row>
    <row r="34" customFormat="false" ht="15" hidden="false" customHeight="false" outlineLevel="0" collapsed="false">
      <c r="A34" s="26" t="str">
        <f aca="false">Entities!A33</f>
        <v>AU</v>
      </c>
      <c r="B34" s="26" t="str">
        <f aca="false">Entities!B33</f>
        <v>Arab Bank Australia</v>
      </c>
      <c r="C34" s="31" t="n">
        <f aca="false">IF(COUNTIFS('Residual Calculation'!$A$5:$A$604,$A34,'Residual Calculation'!$D$5:$D$604,C$5,'Residual Calculation'!$G$5:$G$604,"N/A")&gt;0,"N/A",IF(COUNTIFS('Residual Calculation'!$A$5:$A$604,$A34,'Residual Calculation'!$D$5:$D$604,C$5,'Residual Calculation'!$X$5:$X$604,"&gt;0")=0,"",SUMIFS('Residual Calculation'!$X$5:$X$604,'Residual Calculation'!$A$5:$A$604,$A34,'Residual Calculation'!$D$5:$D$604,C$5)))</f>
        <v>1</v>
      </c>
      <c r="D34" s="31" t="n">
        <f aca="false">IF(COUNTIFS('Residual Calculation'!$A$5:$A$604,$A34,'Residual Calculation'!$D$5:$D$604,D$5,'Residual Calculation'!$G$5:$G$604,"N/A")&gt;0,"N/A",IF(COUNTIFS('Residual Calculation'!$A$5:$A$604,$A34,'Residual Calculation'!$D$5:$D$604,D$5,'Residual Calculation'!$X$5:$X$604,"&gt;0")=0,"",SUMIFS('Residual Calculation'!$X$5:$X$604,'Residual Calculation'!$A$5:$A$604,$A34,'Residual Calculation'!$D$5:$D$604,D$5)))</f>
        <v>1</v>
      </c>
      <c r="E34" s="31" t="n">
        <f aca="false">IF(COUNTIFS('Residual Calculation'!$A$5:$A$604,$A34,'Residual Calculation'!$D$5:$D$604,E$5,'Residual Calculation'!$G$5:$G$604,"N/A")&gt;0,"N/A",IF(COUNTIFS('Residual Calculation'!$A$5:$A$604,$A34,'Residual Calculation'!$D$5:$D$604,E$5,'Residual Calculation'!$X$5:$X$604,"&gt;0")=0,"",SUMIFS('Residual Calculation'!$X$5:$X$604,'Residual Calculation'!$A$5:$A$604,$A34,'Residual Calculation'!$D$5:$D$604,E$5)))</f>
        <v>1</v>
      </c>
      <c r="F34" s="31" t="n">
        <f aca="false">IF(COUNTIFS('Residual Calculation'!$A$5:$A$604,$A34,'Residual Calculation'!$D$5:$D$604,F$5,'Residual Calculation'!$G$5:$G$604,"N/A")&gt;0,"N/A",IF(COUNTIFS('Residual Calculation'!$A$5:$A$604,$A34,'Residual Calculation'!$D$5:$D$604,F$5,'Residual Calculation'!$X$5:$X$604,"&gt;0")=0,"",SUMIFS('Residual Calculation'!$X$5:$X$604,'Residual Calculation'!$A$5:$A$604,$A34,'Residual Calculation'!$D$5:$D$604,F$5)))</f>
        <v>1</v>
      </c>
      <c r="G34" s="31" t="n">
        <f aca="false">IF(COUNTIFS('Residual Calculation'!$A$5:$A$604,$A34,'Residual Calculation'!$D$5:$D$604,G$5,'Residual Calculation'!$G$5:$G$604,"N/A")&gt;0,"N/A",IF(COUNTIFS('Residual Calculation'!$A$5:$A$604,$A34,'Residual Calculation'!$D$5:$D$604,G$5,'Residual Calculation'!$X$5:$X$604,"&gt;0")=0,"",SUMIFS('Residual Calculation'!$X$5:$X$604,'Residual Calculation'!$A$5:$A$604,$A34,'Residual Calculation'!$D$5:$D$604,G$5)))</f>
        <v>1</v>
      </c>
      <c r="H34" s="31" t="n">
        <f aca="false">IF(COUNTIFS('Residual Calculation'!$A$5:$A$604,$A34,'Residual Calculation'!$D$5:$D$604,H$5,'Residual Calculation'!$G$5:$G$604,"N/A")&gt;0,"N/A",IF(COUNTIFS('Residual Calculation'!$A$5:$A$604,$A34,'Residual Calculation'!$D$5:$D$604,H$5,'Residual Calculation'!$X$5:$X$604,"&gt;0")=0,"",SUMIFS('Residual Calculation'!$X$5:$X$604,'Residual Calculation'!$A$5:$A$604,$A34,'Residual Calculation'!$D$5:$D$604,H$5)))</f>
        <v>1</v>
      </c>
      <c r="I34" s="31" t="n">
        <f aca="false">IF(COUNTIFS('Residual Calculation'!$A$5:$A$604,$A34,'Residual Calculation'!$D$5:$D$604,I$5,'Residual Calculation'!$G$5:$G$604,"N/A")&gt;0,"N/A",IF(COUNTIFS('Residual Calculation'!$A$5:$A$604,$A34,'Residual Calculation'!$D$5:$D$604,I$5,'Residual Calculation'!$X$5:$X$604,"&gt;0")=0,"",SUMIFS('Residual Calculation'!$X$5:$X$604,'Residual Calculation'!$A$5:$A$604,$A34,'Residual Calculation'!$D$5:$D$604,I$5)))</f>
        <v>1</v>
      </c>
      <c r="J34" s="31" t="n">
        <f aca="false">IF(COUNTIFS('Residual Calculation'!$A$5:$A$604,$A34,'Residual Calculation'!$D$5:$D$604,J$5,'Residual Calculation'!$G$5:$G$604,"N/A")&gt;0,"N/A",IF(COUNTIFS('Residual Calculation'!$A$5:$A$604,$A34,'Residual Calculation'!$D$5:$D$604,J$5,'Residual Calculation'!$X$5:$X$604,"&gt;0")=0,"",SUMIFS('Residual Calculation'!$X$5:$X$604,'Residual Calculation'!$A$5:$A$604,$A34,'Residual Calculation'!$D$5:$D$604,J$5)))</f>
        <v>1</v>
      </c>
      <c r="K34" s="31" t="n">
        <f aca="false">IF(COUNTIFS('Residual Calculation'!$A$5:$A$604,$A34,'Residual Calculation'!$D$5:$D$604,K$5,'Residual Calculation'!$G$5:$G$604,"N/A")&gt;0,"N/A",IF(COUNTIFS('Residual Calculation'!$A$5:$A$604,$A34,'Residual Calculation'!$D$5:$D$604,K$5,'Residual Calculation'!$X$5:$X$604,"&gt;0")=0,"",SUMIFS('Residual Calculation'!$X$5:$X$604,'Residual Calculation'!$A$5:$A$604,$A34,'Residual Calculation'!$D$5:$D$604,K$5)))</f>
        <v>1</v>
      </c>
      <c r="L34" s="31" t="n">
        <f aca="false">IF(COUNTIFS('Residual Calculation'!$A$5:$A$604,$A34,'Residual Calculation'!$D$5:$D$604,L$5,'Residual Calculation'!$G$5:$G$604,"N/A")&gt;0,"N/A",IF(COUNTIFS('Residual Calculation'!$A$5:$A$604,$A34,'Residual Calculation'!$D$5:$D$604,L$5,'Residual Calculation'!$X$5:$X$604,"&gt;0")=0,"",SUMIFS('Residual Calculation'!$X$5:$X$604,'Residual Calculation'!$A$5:$A$604,$A34,'Residual Calculation'!$D$5:$D$604,L$5)))</f>
        <v>2</v>
      </c>
      <c r="M34" s="31" t="str">
        <f aca="false">IF(COUNTIFS('Residual Calculation'!$A$5:$A$604,$A34,'Residual Calculation'!$D$5:$D$604,M$5,'Residual Calculation'!$G$5:$G$604,"N/A")&gt;0,"N/A",IF(COUNTIFS('Residual Calculation'!$A$5:$A$604,$A34,'Residual Calculation'!$D$5:$D$604,M$5,'Residual Calculation'!$X$5:$X$604,"&gt;0")=0,"",SUMIFS('Residual Calculation'!$X$5:$X$604,'Residual Calculation'!$A$5:$A$604,$A34,'Residual Calculation'!$D$5:$D$604,M$5)))</f>
        <v>N/A</v>
      </c>
      <c r="N34" s="31" t="n">
        <f aca="false">IF(COUNTIFS('Residual Calculation'!$A$5:$A$604,$A34,'Residual Calculation'!$D$5:$D$604,N$5,'Residual Calculation'!$G$5:$G$604,"N/A")&gt;0,"N/A",IF(COUNTIFS('Residual Calculation'!$A$5:$A$604,$A34,'Residual Calculation'!$D$5:$D$604,N$5,'Residual Calculation'!$X$5:$X$604,"&gt;0")=0,"",SUMIFS('Residual Calculation'!$X$5:$X$604,'Residual Calculation'!$A$5:$A$604,$A34,'Residual Calculation'!$D$5:$D$604,N$5)))</f>
        <v>1</v>
      </c>
      <c r="O34" s="31" t="n">
        <f aca="false">IF(COUNTIFS('Residual Calculation'!$A$5:$A$604,$A34,'Residual Calculation'!$D$5:$D$604,O$5,'Residual Calculation'!$G$5:$G$604,"N/A")&gt;0,"N/A",IF(COUNTIFS('Residual Calculation'!$A$5:$A$604,$A34,'Residual Calculation'!$D$5:$D$604,O$5,'Residual Calculation'!$X$5:$X$604,"&gt;0")=0,"",SUMIFS('Residual Calculation'!$X$5:$X$604,'Residual Calculation'!$A$5:$A$604,$A34,'Residual Calculation'!$D$5:$D$604,O$5)))</f>
        <v>1</v>
      </c>
      <c r="P34" s="31" t="n">
        <f aca="false">IF(COUNTIFS('Residual Calculation'!$A$5:$A$604,$A34,'Residual Calculation'!$D$5:$D$604,P$5,'Residual Calculation'!$G$5:$G$604,"N/A")&gt;0,"N/A",IF(COUNTIFS('Residual Calculation'!$A$5:$A$604,$A34,'Residual Calculation'!$D$5:$D$604,P$5,'Residual Calculation'!$X$5:$X$604,"&gt;0")=0,"",SUMIFS('Residual Calculation'!$X$5:$X$604,'Residual Calculation'!$A$5:$A$604,$A34,'Residual Calculation'!$D$5:$D$604,P$5)))</f>
        <v>2</v>
      </c>
      <c r="Q34" s="31" t="n">
        <f aca="false">IF(COUNTIFS('Residual Calculation'!$A$5:$A$604,$A34,'Residual Calculation'!$D$5:$D$604,Q$5,'Residual Calculation'!$G$5:$G$604,"N/A")&gt;0,"N/A",IF(COUNTIFS('Residual Calculation'!$A$5:$A$604,$A34,'Residual Calculation'!$D$5:$D$604,Q$5,'Residual Calculation'!$X$5:$X$604,"&gt;0")=0,"",SUMIFS('Residual Calculation'!$X$5:$X$604,'Residual Calculation'!$A$5:$A$604,$A34,'Residual Calculation'!$D$5:$D$604,Q$5)))</f>
        <v>2</v>
      </c>
      <c r="R34" s="31" t="n">
        <f aca="false">IF(COUNTIFS('Residual Calculation'!$A$5:$A$604,$A34,'Residual Calculation'!$D$5:$D$604,R$5,'Residual Calculation'!$G$5:$G$604,"N/A")&gt;0,"N/A",IF(COUNTIFS('Residual Calculation'!$A$5:$A$604,$A34,'Residual Calculation'!$D$5:$D$604,R$5,'Residual Calculation'!$X$5:$X$604,"&gt;0")=0,"",SUMIFS('Residual Calculation'!$X$5:$X$604,'Residual Calculation'!$A$5:$A$604,$A34,'Residual Calculation'!$D$5:$D$604,R$5)))</f>
        <v>1</v>
      </c>
      <c r="S34" s="31" t="n">
        <f aca="false">IF(COUNTIFS('Residual Calculation'!$A$5:$A$604,$A34,'Residual Calculation'!$D$5:$D$604,S$5,'Residual Calculation'!$G$5:$G$604,"N/A")&gt;0,"N/A",IF(COUNTIFS('Residual Calculation'!$A$5:$A$604,$A34,'Residual Calculation'!$D$5:$D$604,S$5,'Residual Calculation'!$X$5:$X$604,"&gt;0")=0,"",SUMIFS('Residual Calculation'!$X$5:$X$604,'Residual Calculation'!$A$5:$A$604,$A34,'Residual Calculation'!$D$5:$D$604,S$5)))</f>
        <v>1</v>
      </c>
      <c r="T34" s="31" t="n">
        <f aca="false">IF(COUNTIFS('Residual Calculation'!$A$5:$A$604,$A34,'Residual Calculation'!$D$5:$D$604,T$5,'Residual Calculation'!$G$5:$G$604,"N/A")&gt;0,"N/A",IF(COUNTIFS('Residual Calculation'!$A$5:$A$604,$A34,'Residual Calculation'!$D$5:$D$604,T$5,'Residual Calculation'!$X$5:$X$604,"&gt;0")=0,"",SUMIFS('Residual Calculation'!$X$5:$X$604,'Residual Calculation'!$A$5:$A$604,$A34,'Residual Calculation'!$D$5:$D$604,T$5)))</f>
        <v>2</v>
      </c>
      <c r="U34" s="31" t="n">
        <f aca="false">IF(COUNTIFS('Residual Calculation'!$A$5:$A$604,$A34,'Residual Calculation'!$D$5:$D$604,U$5,'Residual Calculation'!$G$5:$G$604,"N/A")&gt;0,"N/A",IF(COUNTIFS('Residual Calculation'!$A$5:$A$604,$A34,'Residual Calculation'!$D$5:$D$604,U$5,'Residual Calculation'!$X$5:$X$604,"&gt;0")=0,"",SUMIFS('Residual Calculation'!$X$5:$X$604,'Residual Calculation'!$A$5:$A$604,$A34,'Residual Calculation'!$D$5:$D$604,U$5)))</f>
        <v>1</v>
      </c>
      <c r="V34" s="31" t="n">
        <f aca="false">IF(COUNTIFS('Residual Calculation'!$A$5:$A$604,$A34,'Residual Calculation'!$D$5:$D$604,V$5,'Residual Calculation'!$G$5:$G$604,"N/A")&gt;0,"N/A",IF(COUNTIFS('Residual Calculation'!$A$5:$A$604,$A34,'Residual Calculation'!$D$5:$D$604,V$5,'Residual Calculation'!$X$5:$X$604,"&gt;0")=0,"",SUMIFS('Residual Calculation'!$X$5:$X$604,'Residual Calculation'!$A$5:$A$604,$A34,'Residual Calculation'!$D$5:$D$604,V$5)))</f>
        <v>1</v>
      </c>
      <c r="W34" s="34" t="n">
        <f aca="false">MAX(C34:V34)</f>
        <v>2</v>
      </c>
      <c r="X34" s="29" t="n">
        <f aca="false">IFERROR(AVERAGE(C34:V34),"")</f>
        <v>1.21052631578947</v>
      </c>
      <c r="Y34" s="31" t="n">
        <f aca="false">COUNTIFS('Residual Calculation'!$A$5:$A$604,$A34,'Residual Calculation'!$AC$5:$AC$604,"Amber")</f>
        <v>0</v>
      </c>
      <c r="Z34" s="31" t="n">
        <f aca="false">COUNTIFS('Residual Calculation'!$A$5:$A$604,$A34,'Residual Calculation'!$AC$5:$AC$604,"Red")</f>
        <v>0</v>
      </c>
    </row>
    <row r="35" customFormat="false" ht="15" hidden="false" customHeight="false" outlineLevel="0" collapsed="false">
      <c r="A35" s="26" t="str">
        <f aca="false">Entities!A34</f>
        <v>US</v>
      </c>
      <c r="B35" s="26" t="str">
        <f aca="false">Entities!B34</f>
        <v>Arab Bank – United States (if retained)</v>
      </c>
      <c r="C35" s="31" t="n">
        <f aca="false">IF(COUNTIFS('Residual Calculation'!$A$5:$A$604,$A35,'Residual Calculation'!$D$5:$D$604,C$5,'Residual Calculation'!$G$5:$G$604,"N/A")&gt;0,"N/A",IF(COUNTIFS('Residual Calculation'!$A$5:$A$604,$A35,'Residual Calculation'!$D$5:$D$604,C$5,'Residual Calculation'!$X$5:$X$604,"&gt;0")=0,"",SUMIFS('Residual Calculation'!$X$5:$X$604,'Residual Calculation'!$A$5:$A$604,$A35,'Residual Calculation'!$D$5:$D$604,C$5)))</f>
        <v>1</v>
      </c>
      <c r="D35" s="31" t="n">
        <f aca="false">IF(COUNTIFS('Residual Calculation'!$A$5:$A$604,$A35,'Residual Calculation'!$D$5:$D$604,D$5,'Residual Calculation'!$G$5:$G$604,"N/A")&gt;0,"N/A",IF(COUNTIFS('Residual Calculation'!$A$5:$A$604,$A35,'Residual Calculation'!$D$5:$D$604,D$5,'Residual Calculation'!$X$5:$X$604,"&gt;0")=0,"",SUMIFS('Residual Calculation'!$X$5:$X$604,'Residual Calculation'!$A$5:$A$604,$A35,'Residual Calculation'!$D$5:$D$604,D$5)))</f>
        <v>1</v>
      </c>
      <c r="E35" s="31" t="n">
        <f aca="false">IF(COUNTIFS('Residual Calculation'!$A$5:$A$604,$A35,'Residual Calculation'!$D$5:$D$604,E$5,'Residual Calculation'!$G$5:$G$604,"N/A")&gt;0,"N/A",IF(COUNTIFS('Residual Calculation'!$A$5:$A$604,$A35,'Residual Calculation'!$D$5:$D$604,E$5,'Residual Calculation'!$X$5:$X$604,"&gt;0")=0,"",SUMIFS('Residual Calculation'!$X$5:$X$604,'Residual Calculation'!$A$5:$A$604,$A35,'Residual Calculation'!$D$5:$D$604,E$5)))</f>
        <v>1</v>
      </c>
      <c r="F35" s="31" t="n">
        <f aca="false">IF(COUNTIFS('Residual Calculation'!$A$5:$A$604,$A35,'Residual Calculation'!$D$5:$D$604,F$5,'Residual Calculation'!$G$5:$G$604,"N/A")&gt;0,"N/A",IF(COUNTIFS('Residual Calculation'!$A$5:$A$604,$A35,'Residual Calculation'!$D$5:$D$604,F$5,'Residual Calculation'!$X$5:$X$604,"&gt;0")=0,"",SUMIFS('Residual Calculation'!$X$5:$X$604,'Residual Calculation'!$A$5:$A$604,$A35,'Residual Calculation'!$D$5:$D$604,F$5)))</f>
        <v>1</v>
      </c>
      <c r="G35" s="31" t="n">
        <f aca="false">IF(COUNTIFS('Residual Calculation'!$A$5:$A$604,$A35,'Residual Calculation'!$D$5:$D$604,G$5,'Residual Calculation'!$G$5:$G$604,"N/A")&gt;0,"N/A",IF(COUNTIFS('Residual Calculation'!$A$5:$A$604,$A35,'Residual Calculation'!$D$5:$D$604,G$5,'Residual Calculation'!$X$5:$X$604,"&gt;0")=0,"",SUMIFS('Residual Calculation'!$X$5:$X$604,'Residual Calculation'!$A$5:$A$604,$A35,'Residual Calculation'!$D$5:$D$604,G$5)))</f>
        <v>1</v>
      </c>
      <c r="H35" s="31" t="n">
        <f aca="false">IF(COUNTIFS('Residual Calculation'!$A$5:$A$604,$A35,'Residual Calculation'!$D$5:$D$604,H$5,'Residual Calculation'!$G$5:$G$604,"N/A")&gt;0,"N/A",IF(COUNTIFS('Residual Calculation'!$A$5:$A$604,$A35,'Residual Calculation'!$D$5:$D$604,H$5,'Residual Calculation'!$X$5:$X$604,"&gt;0")=0,"",SUMIFS('Residual Calculation'!$X$5:$X$604,'Residual Calculation'!$A$5:$A$604,$A35,'Residual Calculation'!$D$5:$D$604,H$5)))</f>
        <v>2</v>
      </c>
      <c r="I35" s="31" t="n">
        <f aca="false">IF(COUNTIFS('Residual Calculation'!$A$5:$A$604,$A35,'Residual Calculation'!$D$5:$D$604,I$5,'Residual Calculation'!$G$5:$G$604,"N/A")&gt;0,"N/A",IF(COUNTIFS('Residual Calculation'!$A$5:$A$604,$A35,'Residual Calculation'!$D$5:$D$604,I$5,'Residual Calculation'!$X$5:$X$604,"&gt;0")=0,"",SUMIFS('Residual Calculation'!$X$5:$X$604,'Residual Calculation'!$A$5:$A$604,$A35,'Residual Calculation'!$D$5:$D$604,I$5)))</f>
        <v>1</v>
      </c>
      <c r="J35" s="31" t="n">
        <f aca="false">IF(COUNTIFS('Residual Calculation'!$A$5:$A$604,$A35,'Residual Calculation'!$D$5:$D$604,J$5,'Residual Calculation'!$G$5:$G$604,"N/A")&gt;0,"N/A",IF(COUNTIFS('Residual Calculation'!$A$5:$A$604,$A35,'Residual Calculation'!$D$5:$D$604,J$5,'Residual Calculation'!$X$5:$X$604,"&gt;0")=0,"",SUMIFS('Residual Calculation'!$X$5:$X$604,'Residual Calculation'!$A$5:$A$604,$A35,'Residual Calculation'!$D$5:$D$604,J$5)))</f>
        <v>1</v>
      </c>
      <c r="K35" s="31" t="n">
        <f aca="false">IF(COUNTIFS('Residual Calculation'!$A$5:$A$604,$A35,'Residual Calculation'!$D$5:$D$604,K$5,'Residual Calculation'!$G$5:$G$604,"N/A")&gt;0,"N/A",IF(COUNTIFS('Residual Calculation'!$A$5:$A$604,$A35,'Residual Calculation'!$D$5:$D$604,K$5,'Residual Calculation'!$X$5:$X$604,"&gt;0")=0,"",SUMIFS('Residual Calculation'!$X$5:$X$604,'Residual Calculation'!$A$5:$A$604,$A35,'Residual Calculation'!$D$5:$D$604,K$5)))</f>
        <v>1</v>
      </c>
      <c r="L35" s="31" t="n">
        <f aca="false">IF(COUNTIFS('Residual Calculation'!$A$5:$A$604,$A35,'Residual Calculation'!$D$5:$D$604,L$5,'Residual Calculation'!$G$5:$G$604,"N/A")&gt;0,"N/A",IF(COUNTIFS('Residual Calculation'!$A$5:$A$604,$A35,'Residual Calculation'!$D$5:$D$604,L$5,'Residual Calculation'!$X$5:$X$604,"&gt;0")=0,"",SUMIFS('Residual Calculation'!$X$5:$X$604,'Residual Calculation'!$A$5:$A$604,$A35,'Residual Calculation'!$D$5:$D$604,L$5)))</f>
        <v>1</v>
      </c>
      <c r="M35" s="31" t="str">
        <f aca="false">IF(COUNTIFS('Residual Calculation'!$A$5:$A$604,$A35,'Residual Calculation'!$D$5:$D$604,M$5,'Residual Calculation'!$G$5:$G$604,"N/A")&gt;0,"N/A",IF(COUNTIFS('Residual Calculation'!$A$5:$A$604,$A35,'Residual Calculation'!$D$5:$D$604,M$5,'Residual Calculation'!$X$5:$X$604,"&gt;0")=0,"",SUMIFS('Residual Calculation'!$X$5:$X$604,'Residual Calculation'!$A$5:$A$604,$A35,'Residual Calculation'!$D$5:$D$604,M$5)))</f>
        <v>N/A</v>
      </c>
      <c r="N35" s="31" t="n">
        <f aca="false">IF(COUNTIFS('Residual Calculation'!$A$5:$A$604,$A35,'Residual Calculation'!$D$5:$D$604,N$5,'Residual Calculation'!$G$5:$G$604,"N/A")&gt;0,"N/A",IF(COUNTIFS('Residual Calculation'!$A$5:$A$604,$A35,'Residual Calculation'!$D$5:$D$604,N$5,'Residual Calculation'!$X$5:$X$604,"&gt;0")=0,"",SUMIFS('Residual Calculation'!$X$5:$X$604,'Residual Calculation'!$A$5:$A$604,$A35,'Residual Calculation'!$D$5:$D$604,N$5)))</f>
        <v>1</v>
      </c>
      <c r="O35" s="31" t="n">
        <f aca="false">IF(COUNTIFS('Residual Calculation'!$A$5:$A$604,$A35,'Residual Calculation'!$D$5:$D$604,O$5,'Residual Calculation'!$G$5:$G$604,"N/A")&gt;0,"N/A",IF(COUNTIFS('Residual Calculation'!$A$5:$A$604,$A35,'Residual Calculation'!$D$5:$D$604,O$5,'Residual Calculation'!$X$5:$X$604,"&gt;0")=0,"",SUMIFS('Residual Calculation'!$X$5:$X$604,'Residual Calculation'!$A$5:$A$604,$A35,'Residual Calculation'!$D$5:$D$604,O$5)))</f>
        <v>1</v>
      </c>
      <c r="P35" s="31" t="n">
        <f aca="false">IF(COUNTIFS('Residual Calculation'!$A$5:$A$604,$A35,'Residual Calculation'!$D$5:$D$604,P$5,'Residual Calculation'!$G$5:$G$604,"N/A")&gt;0,"N/A",IF(COUNTIFS('Residual Calculation'!$A$5:$A$604,$A35,'Residual Calculation'!$D$5:$D$604,P$5,'Residual Calculation'!$X$5:$X$604,"&gt;0")=0,"",SUMIFS('Residual Calculation'!$X$5:$X$604,'Residual Calculation'!$A$5:$A$604,$A35,'Residual Calculation'!$D$5:$D$604,P$5)))</f>
        <v>1</v>
      </c>
      <c r="Q35" s="31" t="n">
        <f aca="false">IF(COUNTIFS('Residual Calculation'!$A$5:$A$604,$A35,'Residual Calculation'!$D$5:$D$604,Q$5,'Residual Calculation'!$G$5:$G$604,"N/A")&gt;0,"N/A",IF(COUNTIFS('Residual Calculation'!$A$5:$A$604,$A35,'Residual Calculation'!$D$5:$D$604,Q$5,'Residual Calculation'!$X$5:$X$604,"&gt;0")=0,"",SUMIFS('Residual Calculation'!$X$5:$X$604,'Residual Calculation'!$A$5:$A$604,$A35,'Residual Calculation'!$D$5:$D$604,Q$5)))</f>
        <v>1</v>
      </c>
      <c r="R35" s="31" t="n">
        <f aca="false">IF(COUNTIFS('Residual Calculation'!$A$5:$A$604,$A35,'Residual Calculation'!$D$5:$D$604,R$5,'Residual Calculation'!$G$5:$G$604,"N/A")&gt;0,"N/A",IF(COUNTIFS('Residual Calculation'!$A$5:$A$604,$A35,'Residual Calculation'!$D$5:$D$604,R$5,'Residual Calculation'!$X$5:$X$604,"&gt;0")=0,"",SUMIFS('Residual Calculation'!$X$5:$X$604,'Residual Calculation'!$A$5:$A$604,$A35,'Residual Calculation'!$D$5:$D$604,R$5)))</f>
        <v>1</v>
      </c>
      <c r="S35" s="31" t="n">
        <f aca="false">IF(COUNTIFS('Residual Calculation'!$A$5:$A$604,$A35,'Residual Calculation'!$D$5:$D$604,S$5,'Residual Calculation'!$G$5:$G$604,"N/A")&gt;0,"N/A",IF(COUNTIFS('Residual Calculation'!$A$5:$A$604,$A35,'Residual Calculation'!$D$5:$D$604,S$5,'Residual Calculation'!$X$5:$X$604,"&gt;0")=0,"",SUMIFS('Residual Calculation'!$X$5:$X$604,'Residual Calculation'!$A$5:$A$604,$A35,'Residual Calculation'!$D$5:$D$604,S$5)))</f>
        <v>3</v>
      </c>
      <c r="T35" s="31" t="n">
        <f aca="false">IF(COUNTIFS('Residual Calculation'!$A$5:$A$604,$A35,'Residual Calculation'!$D$5:$D$604,T$5,'Residual Calculation'!$G$5:$G$604,"N/A")&gt;0,"N/A",IF(COUNTIFS('Residual Calculation'!$A$5:$A$604,$A35,'Residual Calculation'!$D$5:$D$604,T$5,'Residual Calculation'!$X$5:$X$604,"&gt;0")=0,"",SUMIFS('Residual Calculation'!$X$5:$X$604,'Residual Calculation'!$A$5:$A$604,$A35,'Residual Calculation'!$D$5:$D$604,T$5)))</f>
        <v>1</v>
      </c>
      <c r="U35" s="31" t="n">
        <f aca="false">IF(COUNTIFS('Residual Calculation'!$A$5:$A$604,$A35,'Residual Calculation'!$D$5:$D$604,U$5,'Residual Calculation'!$G$5:$G$604,"N/A")&gt;0,"N/A",IF(COUNTIFS('Residual Calculation'!$A$5:$A$604,$A35,'Residual Calculation'!$D$5:$D$604,U$5,'Residual Calculation'!$X$5:$X$604,"&gt;0")=0,"",SUMIFS('Residual Calculation'!$X$5:$X$604,'Residual Calculation'!$A$5:$A$604,$A35,'Residual Calculation'!$D$5:$D$604,U$5)))</f>
        <v>2</v>
      </c>
      <c r="V35" s="31" t="n">
        <f aca="false">IF(COUNTIFS('Residual Calculation'!$A$5:$A$604,$A35,'Residual Calculation'!$D$5:$D$604,V$5,'Residual Calculation'!$G$5:$G$604,"N/A")&gt;0,"N/A",IF(COUNTIFS('Residual Calculation'!$A$5:$A$604,$A35,'Residual Calculation'!$D$5:$D$604,V$5,'Residual Calculation'!$X$5:$X$604,"&gt;0")=0,"",SUMIFS('Residual Calculation'!$X$5:$X$604,'Residual Calculation'!$A$5:$A$604,$A35,'Residual Calculation'!$D$5:$D$604,V$5)))</f>
        <v>1</v>
      </c>
      <c r="W35" s="34" t="n">
        <f aca="false">MAX(C35:V35)</f>
        <v>3</v>
      </c>
      <c r="X35" s="29" t="n">
        <f aca="false">IFERROR(AVERAGE(C35:V35),"")</f>
        <v>1.21052631578947</v>
      </c>
      <c r="Y35" s="31" t="n">
        <f aca="false">COUNTIFS('Residual Calculation'!$A$5:$A$604,$A35,'Residual Calculation'!$AC$5:$AC$604,"Amber")</f>
        <v>0</v>
      </c>
      <c r="Z35" s="31" t="n">
        <f aca="false">COUNTIFS('Residual Calculation'!$A$5:$A$604,$A35,'Residual Calculation'!$AC$5:$AC$604,"Red")</f>
        <v>0</v>
      </c>
    </row>
    <row r="37" customFormat="false" ht="15" hidden="false" customHeight="false" outlineLevel="0" collapsed="false">
      <c r="A37" s="3" t="s">
        <v>4000</v>
      </c>
      <c r="B37" s="3"/>
      <c r="C37" s="29" t="n">
        <f aca="false">IFERROR(AVERAGE(C6:C35),"")</f>
        <v>2.3</v>
      </c>
      <c r="D37" s="29" t="n">
        <f aca="false">IFERROR(AVERAGE(D6:D35),"")</f>
        <v>2.3</v>
      </c>
      <c r="E37" s="29" t="n">
        <f aca="false">IFERROR(AVERAGE(E6:E35),"")</f>
        <v>2.2</v>
      </c>
      <c r="F37" s="29" t="n">
        <f aca="false">IFERROR(AVERAGE(F6:F35),"")</f>
        <v>2.26666666666667</v>
      </c>
      <c r="G37" s="29" t="n">
        <f aca="false">IFERROR(AVERAGE(G6:G35),"")</f>
        <v>2.1</v>
      </c>
      <c r="H37" s="29" t="n">
        <f aca="false">IFERROR(AVERAGE(H6:H35),"")</f>
        <v>2.23333333333333</v>
      </c>
      <c r="I37" s="29" t="n">
        <f aca="false">IFERROR(AVERAGE(I6:I35),"")</f>
        <v>2.26666666666667</v>
      </c>
      <c r="J37" s="29" t="n">
        <f aca="false">IFERROR(AVERAGE(J6:J35),"")</f>
        <v>2.66666666666667</v>
      </c>
      <c r="K37" s="29" t="n">
        <f aca="false">IFERROR(AVERAGE(K6:K35),"")</f>
        <v>1.96666666666667</v>
      </c>
      <c r="L37" s="29" t="n">
        <f aca="false">IFERROR(AVERAGE(L6:L35),"")</f>
        <v>2.36666666666667</v>
      </c>
      <c r="M37" s="29" t="n">
        <f aca="false">IFERROR(AVERAGE(M6:M35),"")</f>
        <v>1</v>
      </c>
      <c r="N37" s="29" t="n">
        <f aca="false">IFERROR(AVERAGE(N6:N35),"")</f>
        <v>2.23333333333333</v>
      </c>
      <c r="O37" s="29" t="n">
        <f aca="false">IFERROR(AVERAGE(O6:O35),"")</f>
        <v>2.13333333333333</v>
      </c>
      <c r="P37" s="29" t="n">
        <f aca="false">IFERROR(AVERAGE(P6:P35),"")</f>
        <v>2.06666666666667</v>
      </c>
      <c r="Q37" s="29" t="n">
        <f aca="false">IFERROR(AVERAGE(Q6:Q35),"")</f>
        <v>2.26666666666667</v>
      </c>
      <c r="R37" s="29" t="n">
        <f aca="false">IFERROR(AVERAGE(R6:R35),"")</f>
        <v>2.46666666666667</v>
      </c>
      <c r="S37" s="29" t="n">
        <f aca="false">IFERROR(AVERAGE(S6:S35),"")</f>
        <v>2.43333333333333</v>
      </c>
      <c r="T37" s="29" t="n">
        <f aca="false">IFERROR(AVERAGE(T6:T35),"")</f>
        <v>1.83333333333333</v>
      </c>
      <c r="U37" s="29" t="n">
        <f aca="false">IFERROR(AVERAGE(U6:U35),"")</f>
        <v>2.13333333333333</v>
      </c>
      <c r="V37" s="29" t="n">
        <f aca="false">IFERROR(AVERAGE(V6:V35),"")</f>
        <v>2.03333333333333</v>
      </c>
      <c r="W37" s="29" t="n">
        <f aca="false">IFERROR(AVERAGE(W6:W35),"")</f>
        <v>3.43333333333333</v>
      </c>
      <c r="X37" s="29" t="n">
        <f aca="false">IFERROR(AVERAGE(X6:X35),"")</f>
        <v>2.22263157894737</v>
      </c>
    </row>
    <row r="38" customFormat="false" ht="15" hidden="false" customHeight="false" outlineLevel="0" collapsed="false">
      <c r="A38" s="3" t="s">
        <v>4001</v>
      </c>
      <c r="B38" s="3"/>
      <c r="C38" s="40" t="n">
        <f aca="false">IFERROR(SUMPRODUCT(Entities!$I$5:$I$34*ISNUMBER(C6:C35),C6:C35)/SUMPRODUCT(Entities!$I$5:$I$34*ISNUMBER(C6:C35)),"")</f>
        <v>2.26785714285714</v>
      </c>
      <c r="D38" s="40" t="n">
        <f aca="false">IFERROR(SUMPRODUCT(Entities!$I$5:$I$34*ISNUMBER(D6:D35),D6:D35)/SUMPRODUCT(Entities!$I$5:$I$34*ISNUMBER(D6:D35)),"")</f>
        <v>2.33928571428571</v>
      </c>
      <c r="E38" s="40" t="n">
        <f aca="false">IFERROR(SUMPRODUCT(Entities!$I$5:$I$34*ISNUMBER(E6:E35),E6:E35)/SUMPRODUCT(Entities!$I$5:$I$34*ISNUMBER(E6:E35)),"")</f>
        <v>2.21428571428571</v>
      </c>
      <c r="F38" s="40" t="n">
        <f aca="false">IFERROR(SUMPRODUCT(Entities!$I$5:$I$34*ISNUMBER(F6:F35),F6:F35)/SUMPRODUCT(Entities!$I$5:$I$34*ISNUMBER(F6:F35)),"")</f>
        <v>2.30357142857143</v>
      </c>
      <c r="G38" s="40" t="n">
        <f aca="false">IFERROR(SUMPRODUCT(Entities!$I$5:$I$34*ISNUMBER(G6:G35),G6:G35)/SUMPRODUCT(Entities!$I$5:$I$34*ISNUMBER(G6:G35)),"")</f>
        <v>2.07142857142857</v>
      </c>
      <c r="H38" s="40" t="n">
        <f aca="false">IFERROR(SUMPRODUCT(Entities!$I$5:$I$34*ISNUMBER(H6:H35),H6:H35)/SUMPRODUCT(Entities!$I$5:$I$34*ISNUMBER(H6:H35)),"")</f>
        <v>2.23214285714286</v>
      </c>
      <c r="I38" s="40" t="n">
        <f aca="false">IFERROR(SUMPRODUCT(Entities!$I$5:$I$34*ISNUMBER(I6:I35),I6:I35)/SUMPRODUCT(Entities!$I$5:$I$34*ISNUMBER(I6:I35)),"")</f>
        <v>2.21428571428571</v>
      </c>
      <c r="J38" s="40" t="n">
        <f aca="false">IFERROR(SUMPRODUCT(Entities!$I$5:$I$34*ISNUMBER(J6:J35),J6:J35)/SUMPRODUCT(Entities!$I$5:$I$34*ISNUMBER(J6:J35)),"")</f>
        <v>2.60714285714286</v>
      </c>
      <c r="K38" s="40" t="n">
        <f aca="false">IFERROR(SUMPRODUCT(Entities!$I$5:$I$34*ISNUMBER(K6:K35),K6:K35)/SUMPRODUCT(Entities!$I$5:$I$34*ISNUMBER(K6:K35)),"")</f>
        <v>1.92857142857143</v>
      </c>
      <c r="L38" s="40" t="n">
        <f aca="false">IFERROR(SUMPRODUCT(Entities!$I$5:$I$34*ISNUMBER(L6:L35),L6:L35)/SUMPRODUCT(Entities!$I$5:$I$34*ISNUMBER(L6:L35)),"")</f>
        <v>2.375</v>
      </c>
      <c r="M38" s="40" t="n">
        <f aca="false">IFERROR(SUMPRODUCT(Entities!$I$5:$I$34*ISNUMBER(M6:M35),M6:M35)/SUMPRODUCT(Entities!$I$5:$I$34*ISNUMBER(M6:M35)),"")</f>
        <v>1</v>
      </c>
      <c r="N38" s="40" t="n">
        <f aca="false">IFERROR(SUMPRODUCT(Entities!$I$5:$I$34*ISNUMBER(N6:N35),N6:N35)/SUMPRODUCT(Entities!$I$5:$I$34*ISNUMBER(N6:N35)),"")</f>
        <v>2.08928571428571</v>
      </c>
      <c r="O38" s="40" t="n">
        <f aca="false">IFERROR(SUMPRODUCT(Entities!$I$5:$I$34*ISNUMBER(O6:O35),O6:O35)/SUMPRODUCT(Entities!$I$5:$I$34*ISNUMBER(O6:O35)),"")</f>
        <v>2.19642857142857</v>
      </c>
      <c r="P38" s="40" t="n">
        <f aca="false">IFERROR(SUMPRODUCT(Entities!$I$5:$I$34*ISNUMBER(P6:P35),P6:P35)/SUMPRODUCT(Entities!$I$5:$I$34*ISNUMBER(P6:P35)),"")</f>
        <v>2.01785714285714</v>
      </c>
      <c r="Q38" s="40" t="n">
        <f aca="false">IFERROR(SUMPRODUCT(Entities!$I$5:$I$34*ISNUMBER(Q6:Q35),Q6:Q35)/SUMPRODUCT(Entities!$I$5:$I$34*ISNUMBER(Q6:Q35)),"")</f>
        <v>2.25</v>
      </c>
      <c r="R38" s="40" t="n">
        <f aca="false">IFERROR(SUMPRODUCT(Entities!$I$5:$I$34*ISNUMBER(R6:R35),R6:R35)/SUMPRODUCT(Entities!$I$5:$I$34*ISNUMBER(R6:R35)),"")</f>
        <v>2.48214285714286</v>
      </c>
      <c r="S38" s="40" t="n">
        <f aca="false">IFERROR(SUMPRODUCT(Entities!$I$5:$I$34*ISNUMBER(S6:S35),S6:S35)/SUMPRODUCT(Entities!$I$5:$I$34*ISNUMBER(S6:S35)),"")</f>
        <v>2.33928571428571</v>
      </c>
      <c r="T38" s="40" t="n">
        <f aca="false">IFERROR(SUMPRODUCT(Entities!$I$5:$I$34*ISNUMBER(T6:T35),T6:T35)/SUMPRODUCT(Entities!$I$5:$I$34*ISNUMBER(T6:T35)),"")</f>
        <v>1.83928571428571</v>
      </c>
      <c r="U38" s="40" t="n">
        <f aca="false">IFERROR(SUMPRODUCT(Entities!$I$5:$I$34*ISNUMBER(U6:U35),U6:U35)/SUMPRODUCT(Entities!$I$5:$I$34*ISNUMBER(U6:U35)),"")</f>
        <v>2.08928571428571</v>
      </c>
      <c r="V38" s="40" t="n">
        <f aca="false">IFERROR(SUMPRODUCT(Entities!$I$5:$I$34*ISNUMBER(V6:V35),V6:V35)/SUMPRODUCT(Entities!$I$5:$I$34*ISNUMBER(V6:V35)),"")</f>
        <v>2.03571428571429</v>
      </c>
      <c r="W38" s="40" t="n">
        <f aca="false">IFERROR(SUMPRODUCT(Entities!$I$5:$I$34*ISNUMBER(W6:W35),W6:W35)/SUMPRODUCT(Entities!$I$5:$I$34*ISNUMBER(W6:W35)),"")</f>
        <v>3.39285714285714</v>
      </c>
      <c r="X38" s="40" t="n">
        <f aca="false">IFERROR(SUMPRODUCT(Entities!$I$5:$I$34*ISNUMBER(X6:X35),X6:X35)/SUMPRODUCT(Entities!$I$5:$I$34*ISNUMBER(X6:X35)),"")</f>
        <v>2.20178571428571</v>
      </c>
    </row>
    <row r="39" customFormat="false" ht="27.75" hidden="false" customHeight="true" outlineLevel="0" collapsed="false">
      <c r="A39" s="3" t="s">
        <v>4002</v>
      </c>
      <c r="B39" s="3"/>
      <c r="C39" s="41" t="str">
        <f aca="false">IF(C38="","",INDEX(Config!$B$5:$B$9,MATCH(C38,Config!$D$5:$D$9,1)))</f>
        <v>Medium-Low</v>
      </c>
      <c r="D39" s="41" t="str">
        <f aca="false">IF(D38="","",INDEX(Config!$B$5:$B$9,MATCH(D38,Config!$D$5:$D$9,1)))</f>
        <v>Medium-Low</v>
      </c>
      <c r="E39" s="41" t="str">
        <f aca="false">IF(E38="","",INDEX(Config!$B$5:$B$9,MATCH(E38,Config!$D$5:$D$9,1)))</f>
        <v>Medium-Low</v>
      </c>
      <c r="F39" s="41" t="str">
        <f aca="false">IF(F38="","",INDEX(Config!$B$5:$B$9,MATCH(F38,Config!$D$5:$D$9,1)))</f>
        <v>Medium-Low</v>
      </c>
      <c r="G39" s="41" t="str">
        <f aca="false">IF(G38="","",INDEX(Config!$B$5:$B$9,MATCH(G38,Config!$D$5:$D$9,1)))</f>
        <v>Medium-Low</v>
      </c>
      <c r="H39" s="41" t="str">
        <f aca="false">IF(H38="","",INDEX(Config!$B$5:$B$9,MATCH(H38,Config!$D$5:$D$9,1)))</f>
        <v>Medium-Low</v>
      </c>
      <c r="I39" s="41" t="str">
        <f aca="false">IF(I38="","",INDEX(Config!$B$5:$B$9,MATCH(I38,Config!$D$5:$D$9,1)))</f>
        <v>Medium-Low</v>
      </c>
      <c r="J39" s="41" t="str">
        <f aca="false">IF(J38="","",INDEX(Config!$B$5:$B$9,MATCH(J38,Config!$D$5:$D$9,1)))</f>
        <v>Medium-Low</v>
      </c>
      <c r="K39" s="41" t="str">
        <f aca="false">IF(K38="","",INDEX(Config!$B$5:$B$9,MATCH(K38,Config!$D$5:$D$9,1)))</f>
        <v>Medium-Low</v>
      </c>
      <c r="L39" s="41" t="str">
        <f aca="false">IF(L38="","",INDEX(Config!$B$5:$B$9,MATCH(L38,Config!$D$5:$D$9,1)))</f>
        <v>Medium-Low</v>
      </c>
      <c r="M39" s="41" t="str">
        <f aca="false">IF(M38="","",INDEX(Config!$B$5:$B$9,MATCH(M38,Config!$D$5:$D$9,1)))</f>
        <v>Low</v>
      </c>
      <c r="N39" s="41" t="str">
        <f aca="false">IF(N38="","",INDEX(Config!$B$5:$B$9,MATCH(N38,Config!$D$5:$D$9,1)))</f>
        <v>Medium-Low</v>
      </c>
      <c r="O39" s="41" t="str">
        <f aca="false">IF(O38="","",INDEX(Config!$B$5:$B$9,MATCH(O38,Config!$D$5:$D$9,1)))</f>
        <v>Medium-Low</v>
      </c>
      <c r="P39" s="41" t="str">
        <f aca="false">IF(P38="","",INDEX(Config!$B$5:$B$9,MATCH(P38,Config!$D$5:$D$9,1)))</f>
        <v>Medium-Low</v>
      </c>
      <c r="Q39" s="41" t="str">
        <f aca="false">IF(Q38="","",INDEX(Config!$B$5:$B$9,MATCH(Q38,Config!$D$5:$D$9,1)))</f>
        <v>Medium-Low</v>
      </c>
      <c r="R39" s="41" t="str">
        <f aca="false">IF(R38="","",INDEX(Config!$B$5:$B$9,MATCH(R38,Config!$D$5:$D$9,1)))</f>
        <v>Medium-Low</v>
      </c>
      <c r="S39" s="41" t="str">
        <f aca="false">IF(S38="","",INDEX(Config!$B$5:$B$9,MATCH(S38,Config!$D$5:$D$9,1)))</f>
        <v>Medium-Low</v>
      </c>
      <c r="T39" s="41" t="str">
        <f aca="false">IF(T38="","",INDEX(Config!$B$5:$B$9,MATCH(T38,Config!$D$5:$D$9,1)))</f>
        <v>Medium-Low</v>
      </c>
      <c r="U39" s="41" t="str">
        <f aca="false">IF(U38="","",INDEX(Config!$B$5:$B$9,MATCH(U38,Config!$D$5:$D$9,1)))</f>
        <v>Medium-Low</v>
      </c>
      <c r="V39" s="41" t="str">
        <f aca="false">IF(V38="","",INDEX(Config!$B$5:$B$9,MATCH(V38,Config!$D$5:$D$9,1)))</f>
        <v>Medium-Low</v>
      </c>
    </row>
    <row r="40" customFormat="false" ht="15" hidden="false" customHeight="false" outlineLevel="0" collapsed="false">
      <c r="A40" s="3" t="s">
        <v>4003</v>
      </c>
      <c r="B40" s="3"/>
      <c r="C40" s="43" t="n">
        <f aca="false">'Inherent Summary'!C38</f>
        <v>2.75</v>
      </c>
      <c r="D40" s="43" t="n">
        <f aca="false">'Inherent Summary'!D38</f>
        <v>2.67857142857143</v>
      </c>
      <c r="E40" s="43" t="n">
        <f aca="false">'Inherent Summary'!E38</f>
        <v>2.66071428571429</v>
      </c>
      <c r="F40" s="43" t="n">
        <f aca="false">'Inherent Summary'!F38</f>
        <v>2.75</v>
      </c>
      <c r="G40" s="43" t="n">
        <f aca="false">'Inherent Summary'!G38</f>
        <v>2.71428571428571</v>
      </c>
      <c r="H40" s="43" t="n">
        <f aca="false">'Inherent Summary'!H38</f>
        <v>2.75</v>
      </c>
      <c r="I40" s="43" t="n">
        <f aca="false">'Inherent Summary'!I38</f>
        <v>2.78571428571429</v>
      </c>
      <c r="J40" s="43" t="n">
        <f aca="false">'Inherent Summary'!J38</f>
        <v>3.21428571428571</v>
      </c>
      <c r="K40" s="43" t="n">
        <f aca="false">'Inherent Summary'!K38</f>
        <v>2.73214285714286</v>
      </c>
      <c r="L40" s="43" t="n">
        <f aca="false">'Inherent Summary'!L38</f>
        <v>2.80357142857143</v>
      </c>
      <c r="M40" s="43" t="n">
        <f aca="false">'Inherent Summary'!M38</f>
        <v>2</v>
      </c>
      <c r="N40" s="43" t="n">
        <f aca="false">'Inherent Summary'!N38</f>
        <v>3.07142857142857</v>
      </c>
      <c r="O40" s="43" t="n">
        <f aca="false">'Inherent Summary'!O38</f>
        <v>2.83928571428571</v>
      </c>
      <c r="P40" s="43" t="n">
        <f aca="false">'Inherent Summary'!P38</f>
        <v>2.98214285714286</v>
      </c>
      <c r="Q40" s="43" t="n">
        <f aca="false">'Inherent Summary'!Q38</f>
        <v>3.05357142857143</v>
      </c>
      <c r="R40" s="43" t="n">
        <f aca="false">'Inherent Summary'!R38</f>
        <v>3.16071428571429</v>
      </c>
      <c r="S40" s="43" t="n">
        <f aca="false">'Inherent Summary'!S38</f>
        <v>2.82142857142857</v>
      </c>
      <c r="T40" s="43" t="n">
        <f aca="false">'Inherent Summary'!T38</f>
        <v>2.44642857142857</v>
      </c>
      <c r="U40" s="43" t="n">
        <f aca="false">'Inherent Summary'!U38</f>
        <v>2.98214285714286</v>
      </c>
      <c r="V40" s="43" t="n">
        <f aca="false">'Inherent Summary'!V38</f>
        <v>2.69642857142857</v>
      </c>
      <c r="W40" s="43" t="n">
        <f aca="false">'Inherent Summary'!W38</f>
        <v>3.98214285714286</v>
      </c>
      <c r="X40" s="43" t="n">
        <f aca="false">'Inherent Summary'!X38</f>
        <v>2.83421052631579</v>
      </c>
    </row>
    <row r="41" customFormat="false" ht="15" hidden="false" customHeight="false" outlineLevel="0" collapsed="false">
      <c r="A41" s="3" t="s">
        <v>4004</v>
      </c>
      <c r="B41" s="3"/>
      <c r="C41" s="29" t="n">
        <f aca="false">IFERROR(C40-C38,"")</f>
        <v>0.482142857142857</v>
      </c>
      <c r="D41" s="29" t="n">
        <f aca="false">IFERROR(D40-D38,"")</f>
        <v>0.339285714285714</v>
      </c>
      <c r="E41" s="29" t="n">
        <f aca="false">IFERROR(E40-E38,"")</f>
        <v>0.446428571428571</v>
      </c>
      <c r="F41" s="29" t="n">
        <f aca="false">IFERROR(F40-F38,"")</f>
        <v>0.446428571428572</v>
      </c>
      <c r="G41" s="29" t="n">
        <f aca="false">IFERROR(G40-G38,"")</f>
        <v>0.642857142857143</v>
      </c>
      <c r="H41" s="29" t="n">
        <f aca="false">IFERROR(H40-H38,"")</f>
        <v>0.517857142857143</v>
      </c>
      <c r="I41" s="29" t="n">
        <f aca="false">IFERROR(I40-I38,"")</f>
        <v>0.571428571428571</v>
      </c>
      <c r="J41" s="29" t="n">
        <f aca="false">IFERROR(J40-J38,"")</f>
        <v>0.607142857142857</v>
      </c>
      <c r="K41" s="29" t="n">
        <f aca="false">IFERROR(K40-K38,"")</f>
        <v>0.803571428571429</v>
      </c>
      <c r="L41" s="29" t="n">
        <f aca="false">IFERROR(L40-L38,"")</f>
        <v>0.428571428571428</v>
      </c>
      <c r="M41" s="29" t="n">
        <f aca="false">IFERROR(M40-M38,"")</f>
        <v>1</v>
      </c>
      <c r="N41" s="29" t="n">
        <f aca="false">IFERROR(N40-N38,"")</f>
        <v>0.982142857142857</v>
      </c>
      <c r="O41" s="29" t="n">
        <f aca="false">IFERROR(O40-O38,"")</f>
        <v>0.642857142857143</v>
      </c>
      <c r="P41" s="29" t="n">
        <f aca="false">IFERROR(P40-P38,"")</f>
        <v>0.964285714285714</v>
      </c>
      <c r="Q41" s="29" t="n">
        <f aca="false">IFERROR(Q40-Q38,"")</f>
        <v>0.803571428571428</v>
      </c>
      <c r="R41" s="29" t="n">
        <f aca="false">IFERROR(R40-R38,"")</f>
        <v>0.678571428571428</v>
      </c>
      <c r="S41" s="29" t="n">
        <f aca="false">IFERROR(S40-S38,"")</f>
        <v>0.482142857142857</v>
      </c>
      <c r="T41" s="29" t="n">
        <f aca="false">IFERROR(T40-T38,"")</f>
        <v>0.607142857142857</v>
      </c>
      <c r="U41" s="29" t="n">
        <f aca="false">IFERROR(U40-U38,"")</f>
        <v>0.892857142857143</v>
      </c>
      <c r="V41" s="29" t="n">
        <f aca="false">IFERROR(V40-V38,"")</f>
        <v>0.660714285714286</v>
      </c>
      <c r="W41" s="29" t="n">
        <f aca="false">IFERROR(W40-W38,"")</f>
        <v>0.589285714285714</v>
      </c>
      <c r="X41" s="29" t="n">
        <f aca="false">IFERROR(X40-X38,"")</f>
        <v>0.632424812030076</v>
      </c>
    </row>
    <row r="42" customFormat="false" ht="15" hidden="false" customHeight="false" outlineLevel="0" collapsed="false">
      <c r="A42" s="3" t="s">
        <v>4005</v>
      </c>
      <c r="B42" s="3"/>
      <c r="C42" s="31" t="n">
        <f aca="false">COUNTIFS('Residual Calculation'!$D$5:$D$604,C$5,'Residual Calculation'!$AC$5:$AC$604,"Amber")+COUNTIFS('Residual Calculation'!$D$5:$D$604,C$5,'Residual Calculation'!$AC$5:$AC$604,"Red")</f>
        <v>14</v>
      </c>
      <c r="D42" s="31" t="n">
        <f aca="false">COUNTIFS('Residual Calculation'!$D$5:$D$604,D$5,'Residual Calculation'!$AC$5:$AC$604,"Amber")+COUNTIFS('Residual Calculation'!$D$5:$D$604,D$5,'Residual Calculation'!$AC$5:$AC$604,"Red")</f>
        <v>21</v>
      </c>
      <c r="E42" s="31" t="n">
        <f aca="false">COUNTIFS('Residual Calculation'!$D$5:$D$604,E$5,'Residual Calculation'!$AC$5:$AC$604,"Amber")+COUNTIFS('Residual Calculation'!$D$5:$D$604,E$5,'Residual Calculation'!$AC$5:$AC$604,"Red")</f>
        <v>20</v>
      </c>
      <c r="F42" s="31" t="n">
        <f aca="false">COUNTIFS('Residual Calculation'!$D$5:$D$604,F$5,'Residual Calculation'!$AC$5:$AC$604,"Amber")+COUNTIFS('Residual Calculation'!$D$5:$D$604,F$5,'Residual Calculation'!$AC$5:$AC$604,"Red")</f>
        <v>21</v>
      </c>
      <c r="G42" s="31" t="n">
        <f aca="false">COUNTIFS('Residual Calculation'!$D$5:$D$604,G$5,'Residual Calculation'!$AC$5:$AC$604,"Amber")+COUNTIFS('Residual Calculation'!$D$5:$D$604,G$5,'Residual Calculation'!$AC$5:$AC$604,"Red")</f>
        <v>19</v>
      </c>
      <c r="H42" s="31" t="n">
        <f aca="false">COUNTIFS('Residual Calculation'!$D$5:$D$604,H$5,'Residual Calculation'!$AC$5:$AC$604,"Amber")+COUNTIFS('Residual Calculation'!$D$5:$D$604,H$5,'Residual Calculation'!$AC$5:$AC$604,"Red")</f>
        <v>3</v>
      </c>
      <c r="I42" s="31" t="n">
        <f aca="false">COUNTIFS('Residual Calculation'!$D$5:$D$604,I$5,'Residual Calculation'!$AC$5:$AC$604,"Amber")+COUNTIFS('Residual Calculation'!$D$5:$D$604,I$5,'Residual Calculation'!$AC$5:$AC$604,"Red")</f>
        <v>21</v>
      </c>
      <c r="J42" s="31" t="n">
        <f aca="false">COUNTIFS('Residual Calculation'!$D$5:$D$604,J$5,'Residual Calculation'!$AC$5:$AC$604,"Amber")+COUNTIFS('Residual Calculation'!$D$5:$D$604,J$5,'Residual Calculation'!$AC$5:$AC$604,"Red")</f>
        <v>16</v>
      </c>
      <c r="K42" s="31" t="n">
        <f aca="false">COUNTIFS('Residual Calculation'!$D$5:$D$604,K$5,'Residual Calculation'!$AC$5:$AC$604,"Amber")+COUNTIFS('Residual Calculation'!$D$5:$D$604,K$5,'Residual Calculation'!$AC$5:$AC$604,"Red")</f>
        <v>5</v>
      </c>
      <c r="L42" s="31" t="n">
        <f aca="false">COUNTIFS('Residual Calculation'!$D$5:$D$604,L$5,'Residual Calculation'!$AC$5:$AC$604,"Amber")+COUNTIFS('Residual Calculation'!$D$5:$D$604,L$5,'Residual Calculation'!$AC$5:$AC$604,"Red")</f>
        <v>12</v>
      </c>
      <c r="M42" s="31" t="n">
        <f aca="false">COUNTIFS('Residual Calculation'!$D$5:$D$604,M$5,'Residual Calculation'!$AC$5:$AC$604,"Amber")+COUNTIFS('Residual Calculation'!$D$5:$D$604,M$5,'Residual Calculation'!$AC$5:$AC$604,"Red")</f>
        <v>0</v>
      </c>
      <c r="N42" s="31" t="n">
        <f aca="false">COUNTIFS('Residual Calculation'!$D$5:$D$604,N$5,'Residual Calculation'!$AC$5:$AC$604,"Amber")+COUNTIFS('Residual Calculation'!$D$5:$D$604,N$5,'Residual Calculation'!$AC$5:$AC$604,"Red")</f>
        <v>2</v>
      </c>
      <c r="O42" s="31" t="n">
        <f aca="false">COUNTIFS('Residual Calculation'!$D$5:$D$604,O$5,'Residual Calculation'!$AC$5:$AC$604,"Amber")+COUNTIFS('Residual Calculation'!$D$5:$D$604,O$5,'Residual Calculation'!$AC$5:$AC$604,"Red")</f>
        <v>1</v>
      </c>
      <c r="P42" s="31" t="n">
        <f aca="false">COUNTIFS('Residual Calculation'!$D$5:$D$604,P$5,'Residual Calculation'!$AC$5:$AC$604,"Amber")+COUNTIFS('Residual Calculation'!$D$5:$D$604,P$5,'Residual Calculation'!$AC$5:$AC$604,"Red")</f>
        <v>5</v>
      </c>
      <c r="Q42" s="31" t="n">
        <f aca="false">COUNTIFS('Residual Calculation'!$D$5:$D$604,Q$5,'Residual Calculation'!$AC$5:$AC$604,"Amber")+COUNTIFS('Residual Calculation'!$D$5:$D$604,Q$5,'Residual Calculation'!$AC$5:$AC$604,"Red")</f>
        <v>6</v>
      </c>
      <c r="R42" s="31" t="n">
        <f aca="false">COUNTIFS('Residual Calculation'!$D$5:$D$604,R$5,'Residual Calculation'!$AC$5:$AC$604,"Amber")+COUNTIFS('Residual Calculation'!$D$5:$D$604,R$5,'Residual Calculation'!$AC$5:$AC$604,"Red")</f>
        <v>12</v>
      </c>
      <c r="S42" s="31" t="n">
        <f aca="false">COUNTIFS('Residual Calculation'!$D$5:$D$604,S$5,'Residual Calculation'!$AC$5:$AC$604,"Amber")+COUNTIFS('Residual Calculation'!$D$5:$D$604,S$5,'Residual Calculation'!$AC$5:$AC$604,"Red")</f>
        <v>8</v>
      </c>
      <c r="T42" s="31" t="n">
        <f aca="false">COUNTIFS('Residual Calculation'!$D$5:$D$604,T$5,'Residual Calculation'!$AC$5:$AC$604,"Amber")+COUNTIFS('Residual Calculation'!$D$5:$D$604,T$5,'Residual Calculation'!$AC$5:$AC$604,"Red")</f>
        <v>6</v>
      </c>
      <c r="U42" s="31" t="n">
        <f aca="false">COUNTIFS('Residual Calculation'!$D$5:$D$604,U$5,'Residual Calculation'!$AC$5:$AC$604,"Amber")+COUNTIFS('Residual Calculation'!$D$5:$D$604,U$5,'Residual Calculation'!$AC$5:$AC$604,"Red")</f>
        <v>5</v>
      </c>
      <c r="V42" s="31" t="n">
        <f aca="false">COUNTIFS('Residual Calculation'!$D$5:$D$604,V$5,'Residual Calculation'!$AC$5:$AC$604,"Amber")+COUNTIFS('Residual Calculation'!$D$5:$D$604,V$5,'Residual Calculation'!$AC$5:$AC$604,"Red")</f>
        <v>1</v>
      </c>
    </row>
  </sheetData>
  <mergeCells count="6">
    <mergeCell ref="A37:B37"/>
    <mergeCell ref="A38:B38"/>
    <mergeCell ref="A39:B39"/>
    <mergeCell ref="A40:B40"/>
    <mergeCell ref="A41:B41"/>
    <mergeCell ref="A42:B42"/>
  </mergeCells>
  <conditionalFormatting sqref="C6:X38">
    <cfRule type="expression" priority="2" aboveAverage="0" equalAverage="0" bottom="0" percent="0" rank="0" text="" dxfId="0">
      <formula>AND(ISNUMBER(C6),C6&gt;0,C6&lt;1.81)</formula>
    </cfRule>
    <cfRule type="expression" priority="3" aboveAverage="0" equalAverage="0" bottom="0" percent="0" rank="0" text="" dxfId="1">
      <formula>AND(ISNUMBER(C6),C6&gt;0,AND(C6&gt;=1.81,C6&lt;2.61))</formula>
    </cfRule>
    <cfRule type="expression" priority="4" aboveAverage="0" equalAverage="0" bottom="0" percent="0" rank="0" text="" dxfId="2">
      <formula>AND(ISNUMBER(C6),C6&gt;0,AND(C6&gt;=2.61,C6&lt;3.41))</formula>
    </cfRule>
    <cfRule type="expression" priority="5" aboveAverage="0" equalAverage="0" bottom="0" percent="0" rank="0" text="" dxfId="3">
      <formula>AND(ISNUMBER(C6),C6&gt;0,AND(C6&gt;=3.41,C6&lt;4.21))</formula>
    </cfRule>
    <cfRule type="expression" priority="6" aboveAverage="0" equalAverage="0" bottom="0" percent="0" rank="0" text="" dxfId="4">
      <formula>AND(ISNUMBER(C6),C6&gt;0,C6&gt;=4.21)</formula>
    </cfRule>
  </conditionalFormatting>
  <conditionalFormatting sqref="C40:X40">
    <cfRule type="expression" priority="7" aboveAverage="0" equalAverage="0" bottom="0" percent="0" rank="0" text="" dxfId="0">
      <formula>AND(ISNUMBER(C40),C40&gt;0,C40&lt;1.81)</formula>
    </cfRule>
    <cfRule type="expression" priority="8" aboveAverage="0" equalAverage="0" bottom="0" percent="0" rank="0" text="" dxfId="1">
      <formula>AND(ISNUMBER(C40),C40&gt;0,AND(C40&gt;=1.81,C40&lt;2.61))</formula>
    </cfRule>
    <cfRule type="expression" priority="9" aboveAverage="0" equalAverage="0" bottom="0" percent="0" rank="0" text="" dxfId="2">
      <formula>AND(ISNUMBER(C40),C40&gt;0,AND(C40&gt;=2.61,C40&lt;3.41))</formula>
    </cfRule>
    <cfRule type="expression" priority="10" aboveAverage="0" equalAverage="0" bottom="0" percent="0" rank="0" text="" dxfId="3">
      <formula>AND(ISNUMBER(C40),C40&gt;0,AND(C40&gt;=3.41,C40&lt;4.21))</formula>
    </cfRule>
    <cfRule type="expression" priority="11" aboveAverage="0" equalAverage="0" bottom="0" percent="0" rank="0" text="" dxfId="4">
      <formula>AND(ISNUMBER(C40),C40&gt;0,C40&gt;=4.21)</formula>
    </cfRule>
  </conditionalFormatting>
  <conditionalFormatting sqref="Y6:Y35">
    <cfRule type="expression" priority="12" aboveAverage="0" equalAverage="0" bottom="0" percent="0" rank="0" text="" dxfId="18">
      <formula>Y6&gt;0</formula>
    </cfRule>
  </conditionalFormatting>
  <conditionalFormatting sqref="Z6:Z35">
    <cfRule type="expression" priority="13" aboveAverage="0" equalAverage="0" bottom="0" percent="0" rank="0" text="" dxfId="4">
      <formula>Z6&gt;0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4006</v>
      </c>
    </row>
    <row r="2" customFormat="false" ht="15" hidden="false" customHeight="false" outlineLevel="0" collapsed="false">
      <c r="A2" s="2" t="s">
        <v>4007</v>
      </c>
    </row>
    <row r="4" customFormat="false" ht="30" hidden="false" customHeight="true" outlineLevel="0" collapsed="false">
      <c r="A4" s="5" t="s">
        <v>252</v>
      </c>
      <c r="B4" s="5" t="s">
        <v>327</v>
      </c>
      <c r="C4" s="5" t="s">
        <v>258</v>
      </c>
      <c r="D4" s="5" t="s">
        <v>3991</v>
      </c>
      <c r="E4" s="5" t="s">
        <v>4008</v>
      </c>
      <c r="F4" s="5" t="s">
        <v>93</v>
      </c>
      <c r="G4" s="5" t="s">
        <v>98</v>
      </c>
      <c r="H4" s="5" t="s">
        <v>4009</v>
      </c>
      <c r="I4" s="5" t="s">
        <v>4010</v>
      </c>
      <c r="J4" s="5" t="s">
        <v>4011</v>
      </c>
    </row>
    <row r="5" customFormat="false" ht="15" hidden="false" customHeight="false" outlineLevel="0" collapsed="false">
      <c r="A5" s="12" t="s">
        <v>260</v>
      </c>
      <c r="B5" s="12" t="s">
        <v>261</v>
      </c>
      <c r="C5" s="12" t="str">
        <f aca="false">INDEX('Risk Taxonomy'!$G$5:$G$24,MATCH(A5,'Risk Taxonomy'!$A$5:$A$24,0))</f>
        <v>Very low</v>
      </c>
      <c r="D5" s="7" t="str">
        <f aca="false">INDEX('Risk Taxonomy'!$H$5:$H$24,MATCH(A5,'Risk Taxonomy'!$A$5:$A$24,0))</f>
        <v>Medium-Low</v>
      </c>
      <c r="E5" s="31" t="n">
        <f aca="false">COUNTIFS('Residual Calculation'!$D$5:$D$604,A5,'Residual Calculation'!$AC$5:$AC$604,"Within")</f>
        <v>16</v>
      </c>
      <c r="F5" s="31" t="n">
        <f aca="false">COUNTIFS('Residual Calculation'!$D$5:$D$604,A5,'Residual Calculation'!$AC$5:$AC$604,"Amber")</f>
        <v>9</v>
      </c>
      <c r="G5" s="31" t="n">
        <f aca="false">COUNTIFS('Residual Calculation'!$D$5:$D$604,A5,'Residual Calculation'!$AC$5:$AC$604,"Red")</f>
        <v>5</v>
      </c>
      <c r="H5" s="31" t="n">
        <f aca="false">COUNTIFS('Residual Calculation'!$D$5:$D$604,A5,'Residual Calculation'!$G$5:$G$604,"N/A")</f>
        <v>0</v>
      </c>
      <c r="I5" s="43" t="n">
        <f aca="false">'Residual Summary'!C38</f>
        <v>2.26785714285714</v>
      </c>
      <c r="J5" s="35" t="str">
        <f aca="false">IF(G5&gt;0,"Red",IF(F5&gt;0,"Amber","Within"))</f>
        <v>Red</v>
      </c>
    </row>
    <row r="6" customFormat="false" ht="15" hidden="false" customHeight="false" outlineLevel="0" collapsed="false">
      <c r="A6" s="12" t="s">
        <v>267</v>
      </c>
      <c r="B6" s="12" t="s">
        <v>268</v>
      </c>
      <c r="C6" s="12" t="str">
        <f aca="false">INDEX('Risk Taxonomy'!$G$5:$G$24,MATCH(A6,'Risk Taxonomy'!$A$5:$A$24,0))</f>
        <v>Zero tolerance</v>
      </c>
      <c r="D6" s="7" t="str">
        <f aca="false">INDEX('Risk Taxonomy'!$H$5:$H$24,MATCH(A6,'Risk Taxonomy'!$A$5:$A$24,0))</f>
        <v>Low</v>
      </c>
      <c r="E6" s="31" t="n">
        <f aca="false">COUNTIFS('Residual Calculation'!$D$5:$D$604,A6,'Residual Calculation'!$AC$5:$AC$604,"Within")</f>
        <v>9</v>
      </c>
      <c r="F6" s="31" t="n">
        <f aca="false">COUNTIFS('Residual Calculation'!$D$5:$D$604,A6,'Residual Calculation'!$AC$5:$AC$604,"Amber")</f>
        <v>7</v>
      </c>
      <c r="G6" s="31" t="n">
        <f aca="false">COUNTIFS('Residual Calculation'!$D$5:$D$604,A6,'Residual Calculation'!$AC$5:$AC$604,"Red")</f>
        <v>14</v>
      </c>
      <c r="H6" s="31" t="n">
        <f aca="false">COUNTIFS('Residual Calculation'!$D$5:$D$604,A6,'Residual Calculation'!$G$5:$G$604,"N/A")</f>
        <v>0</v>
      </c>
      <c r="I6" s="43" t="n">
        <f aca="false">'Residual Summary'!D38</f>
        <v>2.33928571428571</v>
      </c>
      <c r="J6" s="35" t="str">
        <f aca="false">IF(G6&gt;0,"Red",IF(F6&gt;0,"Amber","Within"))</f>
        <v>Red</v>
      </c>
    </row>
    <row r="7" customFormat="false" ht="15" hidden="false" customHeight="false" outlineLevel="0" collapsed="false">
      <c r="A7" s="12" t="s">
        <v>270</v>
      </c>
      <c r="B7" s="12" t="s">
        <v>271</v>
      </c>
      <c r="C7" s="12" t="str">
        <f aca="false">INDEX('Risk Taxonomy'!$G$5:$G$24,MATCH(A7,'Risk Taxonomy'!$A$5:$A$24,0))</f>
        <v>Zero tolerance</v>
      </c>
      <c r="D7" s="7" t="str">
        <f aca="false">INDEX('Risk Taxonomy'!$H$5:$H$24,MATCH(A7,'Risk Taxonomy'!$A$5:$A$24,0))</f>
        <v>Low</v>
      </c>
      <c r="E7" s="31" t="n">
        <f aca="false">COUNTIFS('Residual Calculation'!$D$5:$D$604,A7,'Residual Calculation'!$AC$5:$AC$604,"Within")</f>
        <v>10</v>
      </c>
      <c r="F7" s="31" t="n">
        <f aca="false">COUNTIFS('Residual Calculation'!$D$5:$D$604,A7,'Residual Calculation'!$AC$5:$AC$604,"Amber")</f>
        <v>7</v>
      </c>
      <c r="G7" s="31" t="n">
        <f aca="false">COUNTIFS('Residual Calculation'!$D$5:$D$604,A7,'Residual Calculation'!$AC$5:$AC$604,"Red")</f>
        <v>13</v>
      </c>
      <c r="H7" s="31" t="n">
        <f aca="false">COUNTIFS('Residual Calculation'!$D$5:$D$604,A7,'Residual Calculation'!$G$5:$G$604,"N/A")</f>
        <v>0</v>
      </c>
      <c r="I7" s="43" t="n">
        <f aca="false">'Residual Summary'!E38</f>
        <v>2.21428571428571</v>
      </c>
      <c r="J7" s="35" t="str">
        <f aca="false">IF(G7&gt;0,"Red",IF(F7&gt;0,"Amber","Within"))</f>
        <v>Red</v>
      </c>
    </row>
    <row r="8" customFormat="false" ht="15" hidden="false" customHeight="false" outlineLevel="0" collapsed="false">
      <c r="A8" s="12" t="s">
        <v>272</v>
      </c>
      <c r="B8" s="12" t="s">
        <v>273</v>
      </c>
      <c r="C8" s="12" t="str">
        <f aca="false">INDEX('Risk Taxonomy'!$G$5:$G$24,MATCH(A8,'Risk Taxonomy'!$A$5:$A$24,0))</f>
        <v>Zero tolerance</v>
      </c>
      <c r="D8" s="7" t="str">
        <f aca="false">INDEX('Risk Taxonomy'!$H$5:$H$24,MATCH(A8,'Risk Taxonomy'!$A$5:$A$24,0))</f>
        <v>Low</v>
      </c>
      <c r="E8" s="31" t="n">
        <f aca="false">COUNTIFS('Residual Calculation'!$D$5:$D$604,A8,'Residual Calculation'!$AC$5:$AC$604,"Within")</f>
        <v>9</v>
      </c>
      <c r="F8" s="31" t="n">
        <f aca="false">COUNTIFS('Residual Calculation'!$D$5:$D$604,A8,'Residual Calculation'!$AC$5:$AC$604,"Amber")</f>
        <v>6</v>
      </c>
      <c r="G8" s="31" t="n">
        <f aca="false">COUNTIFS('Residual Calculation'!$D$5:$D$604,A8,'Residual Calculation'!$AC$5:$AC$604,"Red")</f>
        <v>15</v>
      </c>
      <c r="H8" s="31" t="n">
        <f aca="false">COUNTIFS('Residual Calculation'!$D$5:$D$604,A8,'Residual Calculation'!$G$5:$G$604,"N/A")</f>
        <v>0</v>
      </c>
      <c r="I8" s="43" t="n">
        <f aca="false">'Residual Summary'!F38</f>
        <v>2.30357142857143</v>
      </c>
      <c r="J8" s="35" t="str">
        <f aca="false">IF(G8&gt;0,"Red",IF(F8&gt;0,"Amber","Within"))</f>
        <v>Red</v>
      </c>
    </row>
    <row r="9" customFormat="false" ht="15" hidden="false" customHeight="false" outlineLevel="0" collapsed="false">
      <c r="A9" s="12" t="s">
        <v>275</v>
      </c>
      <c r="B9" s="12" t="s">
        <v>276</v>
      </c>
      <c r="C9" s="12" t="str">
        <f aca="false">INDEX('Risk Taxonomy'!$G$5:$G$24,MATCH(A9,'Risk Taxonomy'!$A$5:$A$24,0))</f>
        <v>Zero tolerance</v>
      </c>
      <c r="D9" s="7" t="str">
        <f aca="false">INDEX('Risk Taxonomy'!$H$5:$H$24,MATCH(A9,'Risk Taxonomy'!$A$5:$A$24,0))</f>
        <v>Low</v>
      </c>
      <c r="E9" s="31" t="n">
        <f aca="false">COUNTIFS('Residual Calculation'!$D$5:$D$604,A9,'Residual Calculation'!$AC$5:$AC$604,"Within")</f>
        <v>11</v>
      </c>
      <c r="F9" s="31" t="n">
        <f aca="false">COUNTIFS('Residual Calculation'!$D$5:$D$604,A9,'Residual Calculation'!$AC$5:$AC$604,"Amber")</f>
        <v>8</v>
      </c>
      <c r="G9" s="31" t="n">
        <f aca="false">COUNTIFS('Residual Calculation'!$D$5:$D$604,A9,'Residual Calculation'!$AC$5:$AC$604,"Red")</f>
        <v>11</v>
      </c>
      <c r="H9" s="31" t="n">
        <f aca="false">COUNTIFS('Residual Calculation'!$D$5:$D$604,A9,'Residual Calculation'!$G$5:$G$604,"N/A")</f>
        <v>0</v>
      </c>
      <c r="I9" s="43" t="n">
        <f aca="false">'Residual Summary'!G38</f>
        <v>2.07142857142857</v>
      </c>
      <c r="J9" s="35" t="str">
        <f aca="false">IF(G9&gt;0,"Red",IF(F9&gt;0,"Amber","Within"))</f>
        <v>Red</v>
      </c>
    </row>
    <row r="10" customFormat="false" ht="15" hidden="false" customHeight="false" outlineLevel="0" collapsed="false">
      <c r="A10" s="12" t="s">
        <v>278</v>
      </c>
      <c r="B10" s="12" t="s">
        <v>279</v>
      </c>
      <c r="C10" s="12" t="str">
        <f aca="false">INDEX('Risk Taxonomy'!$G$5:$G$24,MATCH(A10,'Risk Taxonomy'!$A$5:$A$24,0))</f>
        <v>Low</v>
      </c>
      <c r="D10" s="7" t="str">
        <f aca="false">INDEX('Risk Taxonomy'!$H$5:$H$24,MATCH(A10,'Risk Taxonomy'!$A$5:$A$24,0))</f>
        <v>Medium</v>
      </c>
      <c r="E10" s="31" t="n">
        <f aca="false">COUNTIFS('Residual Calculation'!$D$5:$D$604,A10,'Residual Calculation'!$AC$5:$AC$604,"Within")</f>
        <v>27</v>
      </c>
      <c r="F10" s="31" t="n">
        <f aca="false">COUNTIFS('Residual Calculation'!$D$5:$D$604,A10,'Residual Calculation'!$AC$5:$AC$604,"Amber")</f>
        <v>2</v>
      </c>
      <c r="G10" s="31" t="n">
        <f aca="false">COUNTIFS('Residual Calculation'!$D$5:$D$604,A10,'Residual Calculation'!$AC$5:$AC$604,"Red")</f>
        <v>1</v>
      </c>
      <c r="H10" s="31" t="n">
        <f aca="false">COUNTIFS('Residual Calculation'!$D$5:$D$604,A10,'Residual Calculation'!$G$5:$G$604,"N/A")</f>
        <v>0</v>
      </c>
      <c r="I10" s="43" t="n">
        <f aca="false">'Residual Summary'!H38</f>
        <v>2.23214285714286</v>
      </c>
      <c r="J10" s="35" t="str">
        <f aca="false">IF(G10&gt;0,"Red",IF(F10&gt;0,"Amber","Within"))</f>
        <v>Red</v>
      </c>
    </row>
    <row r="11" customFormat="false" ht="15" hidden="false" customHeight="false" outlineLevel="0" collapsed="false">
      <c r="A11" s="12" t="s">
        <v>281</v>
      </c>
      <c r="B11" s="12" t="s">
        <v>282</v>
      </c>
      <c r="C11" s="12" t="str">
        <f aca="false">INDEX('Risk Taxonomy'!$G$5:$G$24,MATCH(A11,'Risk Taxonomy'!$A$5:$A$24,0))</f>
        <v>Zero tolerance (facilitation)</v>
      </c>
      <c r="D11" s="7" t="str">
        <f aca="false">INDEX('Risk Taxonomy'!$H$5:$H$24,MATCH(A11,'Risk Taxonomy'!$A$5:$A$24,0))</f>
        <v>Low</v>
      </c>
      <c r="E11" s="31" t="n">
        <f aca="false">COUNTIFS('Residual Calculation'!$D$5:$D$604,A11,'Residual Calculation'!$AC$5:$AC$604,"Within")</f>
        <v>9</v>
      </c>
      <c r="F11" s="31" t="n">
        <f aca="false">COUNTIFS('Residual Calculation'!$D$5:$D$604,A11,'Residual Calculation'!$AC$5:$AC$604,"Amber")</f>
        <v>10</v>
      </c>
      <c r="G11" s="31" t="n">
        <f aca="false">COUNTIFS('Residual Calculation'!$D$5:$D$604,A11,'Residual Calculation'!$AC$5:$AC$604,"Red")</f>
        <v>11</v>
      </c>
      <c r="H11" s="31" t="n">
        <f aca="false">COUNTIFS('Residual Calculation'!$D$5:$D$604,A11,'Residual Calculation'!$G$5:$G$604,"N/A")</f>
        <v>0</v>
      </c>
      <c r="I11" s="43" t="n">
        <f aca="false">'Residual Summary'!I38</f>
        <v>2.21428571428571</v>
      </c>
      <c r="J11" s="35" t="str">
        <f aca="false">IF(G11&gt;0,"Red",IF(F11&gt;0,"Amber","Within"))</f>
        <v>Red</v>
      </c>
    </row>
    <row r="12" customFormat="false" ht="15" hidden="false" customHeight="false" outlineLevel="0" collapsed="false">
      <c r="A12" s="12" t="s">
        <v>284</v>
      </c>
      <c r="B12" s="12" t="s">
        <v>285</v>
      </c>
      <c r="C12" s="12" t="str">
        <f aca="false">INDEX('Risk Taxonomy'!$G$5:$G$24,MATCH(A12,'Risk Taxonomy'!$A$5:$A$24,0))</f>
        <v>Very low</v>
      </c>
      <c r="D12" s="7" t="str">
        <f aca="false">INDEX('Risk Taxonomy'!$H$5:$H$24,MATCH(A12,'Risk Taxonomy'!$A$5:$A$24,0))</f>
        <v>Medium-Low</v>
      </c>
      <c r="E12" s="31" t="n">
        <f aca="false">COUNTIFS('Residual Calculation'!$D$5:$D$604,A12,'Residual Calculation'!$AC$5:$AC$604,"Within")</f>
        <v>14</v>
      </c>
      <c r="F12" s="31" t="n">
        <f aca="false">COUNTIFS('Residual Calculation'!$D$5:$D$604,A12,'Residual Calculation'!$AC$5:$AC$604,"Amber")</f>
        <v>8</v>
      </c>
      <c r="G12" s="31" t="n">
        <f aca="false">COUNTIFS('Residual Calculation'!$D$5:$D$604,A12,'Residual Calculation'!$AC$5:$AC$604,"Red")</f>
        <v>8</v>
      </c>
      <c r="H12" s="31" t="n">
        <f aca="false">COUNTIFS('Residual Calculation'!$D$5:$D$604,A12,'Residual Calculation'!$G$5:$G$604,"N/A")</f>
        <v>0</v>
      </c>
      <c r="I12" s="43" t="n">
        <f aca="false">'Residual Summary'!J38</f>
        <v>2.60714285714286</v>
      </c>
      <c r="J12" s="35" t="str">
        <f aca="false">IF(G12&gt;0,"Red",IF(F12&gt;0,"Amber","Within"))</f>
        <v>Red</v>
      </c>
    </row>
    <row r="13" customFormat="false" ht="15" hidden="false" customHeight="false" outlineLevel="0" collapsed="false">
      <c r="A13" s="12" t="s">
        <v>288</v>
      </c>
      <c r="B13" s="12" t="s">
        <v>289</v>
      </c>
      <c r="C13" s="12" t="str">
        <f aca="false">INDEX('Risk Taxonomy'!$G$5:$G$24,MATCH(A13,'Risk Taxonomy'!$A$5:$A$24,0))</f>
        <v>Low</v>
      </c>
      <c r="D13" s="7" t="str">
        <f aca="false">INDEX('Risk Taxonomy'!$H$5:$H$24,MATCH(A13,'Risk Taxonomy'!$A$5:$A$24,0))</f>
        <v>Medium</v>
      </c>
      <c r="E13" s="31" t="n">
        <f aca="false">COUNTIFS('Residual Calculation'!$D$5:$D$604,A13,'Residual Calculation'!$AC$5:$AC$604,"Within")</f>
        <v>25</v>
      </c>
      <c r="F13" s="31" t="n">
        <f aca="false">COUNTIFS('Residual Calculation'!$D$5:$D$604,A13,'Residual Calculation'!$AC$5:$AC$604,"Amber")</f>
        <v>4</v>
      </c>
      <c r="G13" s="31" t="n">
        <f aca="false">COUNTIFS('Residual Calculation'!$D$5:$D$604,A13,'Residual Calculation'!$AC$5:$AC$604,"Red")</f>
        <v>1</v>
      </c>
      <c r="H13" s="31" t="n">
        <f aca="false">COUNTIFS('Residual Calculation'!$D$5:$D$604,A13,'Residual Calculation'!$G$5:$G$604,"N/A")</f>
        <v>0</v>
      </c>
      <c r="I13" s="43" t="n">
        <f aca="false">'Residual Summary'!K38</f>
        <v>1.92857142857143</v>
      </c>
      <c r="J13" s="35" t="str">
        <f aca="false">IF(G13&gt;0,"Red",IF(F13&gt;0,"Amber","Within"))</f>
        <v>Red</v>
      </c>
    </row>
    <row r="14" customFormat="false" ht="15" hidden="false" customHeight="false" outlineLevel="0" collapsed="false">
      <c r="A14" s="12" t="s">
        <v>290</v>
      </c>
      <c r="B14" s="12" t="s">
        <v>291</v>
      </c>
      <c r="C14" s="12" t="str">
        <f aca="false">INDEX('Risk Taxonomy'!$G$5:$G$24,MATCH(A14,'Risk Taxonomy'!$A$5:$A$24,0))</f>
        <v>Very low</v>
      </c>
      <c r="D14" s="7" t="str">
        <f aca="false">INDEX('Risk Taxonomy'!$H$5:$H$24,MATCH(A14,'Risk Taxonomy'!$A$5:$A$24,0))</f>
        <v>Medium-Low</v>
      </c>
      <c r="E14" s="31" t="n">
        <f aca="false">COUNTIFS('Residual Calculation'!$D$5:$D$604,A14,'Residual Calculation'!$AC$5:$AC$604,"Within")</f>
        <v>18</v>
      </c>
      <c r="F14" s="31" t="n">
        <f aca="false">COUNTIFS('Residual Calculation'!$D$5:$D$604,A14,'Residual Calculation'!$AC$5:$AC$604,"Amber")</f>
        <v>5</v>
      </c>
      <c r="G14" s="31" t="n">
        <f aca="false">COUNTIFS('Residual Calculation'!$D$5:$D$604,A14,'Residual Calculation'!$AC$5:$AC$604,"Red")</f>
        <v>7</v>
      </c>
      <c r="H14" s="31" t="n">
        <f aca="false">COUNTIFS('Residual Calculation'!$D$5:$D$604,A14,'Residual Calculation'!$G$5:$G$604,"N/A")</f>
        <v>0</v>
      </c>
      <c r="I14" s="43" t="n">
        <f aca="false">'Residual Summary'!L38</f>
        <v>2.375</v>
      </c>
      <c r="J14" s="35" t="str">
        <f aca="false">IF(G14&gt;0,"Red",IF(F14&gt;0,"Amber","Within"))</f>
        <v>Red</v>
      </c>
    </row>
    <row r="15" customFormat="false" ht="15" hidden="false" customHeight="false" outlineLevel="0" collapsed="false">
      <c r="A15" s="12" t="s">
        <v>293</v>
      </c>
      <c r="B15" s="12" t="s">
        <v>294</v>
      </c>
      <c r="C15" s="12" t="str">
        <f aca="false">INDEX('Risk Taxonomy'!$G$5:$G$24,MATCH(A15,'Risk Taxonomy'!$A$5:$A$24,0))</f>
        <v>Very low</v>
      </c>
      <c r="D15" s="7" t="str">
        <f aca="false">INDEX('Risk Taxonomy'!$H$5:$H$24,MATCH(A15,'Risk Taxonomy'!$A$5:$A$24,0))</f>
        <v>Medium-Low</v>
      </c>
      <c r="E15" s="31" t="n">
        <f aca="false">COUNTIFS('Residual Calculation'!$D$5:$D$604,A15,'Residual Calculation'!$AC$5:$AC$604,"Within")</f>
        <v>1</v>
      </c>
      <c r="F15" s="31" t="n">
        <f aca="false">COUNTIFS('Residual Calculation'!$D$5:$D$604,A15,'Residual Calculation'!$AC$5:$AC$604,"Amber")</f>
        <v>0</v>
      </c>
      <c r="G15" s="31" t="n">
        <f aca="false">COUNTIFS('Residual Calculation'!$D$5:$D$604,A15,'Residual Calculation'!$AC$5:$AC$604,"Red")</f>
        <v>0</v>
      </c>
      <c r="H15" s="31" t="n">
        <f aca="false">COUNTIFS('Residual Calculation'!$D$5:$D$604,A15,'Residual Calculation'!$G$5:$G$604,"N/A")</f>
        <v>29</v>
      </c>
      <c r="I15" s="43" t="n">
        <f aca="false">'Residual Summary'!M38</f>
        <v>1</v>
      </c>
      <c r="J15" s="35" t="str">
        <f aca="false">IF(G15&gt;0,"Red",IF(F15&gt;0,"Amber","Within"))</f>
        <v>Within</v>
      </c>
    </row>
    <row r="16" customFormat="false" ht="15" hidden="false" customHeight="false" outlineLevel="0" collapsed="false">
      <c r="A16" s="12" t="s">
        <v>297</v>
      </c>
      <c r="B16" s="12" t="s">
        <v>298</v>
      </c>
      <c r="C16" s="12" t="str">
        <f aca="false">INDEX('Risk Taxonomy'!$G$5:$G$24,MATCH(A16,'Risk Taxonomy'!$A$5:$A$24,0))</f>
        <v>Moderate</v>
      </c>
      <c r="D16" s="7" t="str">
        <f aca="false">INDEX('Risk Taxonomy'!$H$5:$H$24,MATCH(A16,'Risk Taxonomy'!$A$5:$A$24,0))</f>
        <v>Medium-High</v>
      </c>
      <c r="E16" s="31" t="n">
        <f aca="false">COUNTIFS('Residual Calculation'!$D$5:$D$604,A16,'Residual Calculation'!$AC$5:$AC$604,"Within")</f>
        <v>28</v>
      </c>
      <c r="F16" s="31" t="n">
        <f aca="false">COUNTIFS('Residual Calculation'!$D$5:$D$604,A16,'Residual Calculation'!$AC$5:$AC$604,"Amber")</f>
        <v>2</v>
      </c>
      <c r="G16" s="31" t="n">
        <f aca="false">COUNTIFS('Residual Calculation'!$D$5:$D$604,A16,'Residual Calculation'!$AC$5:$AC$604,"Red")</f>
        <v>0</v>
      </c>
      <c r="H16" s="31" t="n">
        <f aca="false">COUNTIFS('Residual Calculation'!$D$5:$D$604,A16,'Residual Calculation'!$G$5:$G$604,"N/A")</f>
        <v>0</v>
      </c>
      <c r="I16" s="43" t="n">
        <f aca="false">'Residual Summary'!N38</f>
        <v>2.08928571428571</v>
      </c>
      <c r="J16" s="35" t="str">
        <f aca="false">IF(G16&gt;0,"Red",IF(F16&gt;0,"Amber","Within"))</f>
        <v>Amber</v>
      </c>
    </row>
    <row r="17" customFormat="false" ht="15" hidden="false" customHeight="false" outlineLevel="0" collapsed="false">
      <c r="A17" s="12" t="s">
        <v>302</v>
      </c>
      <c r="B17" s="12" t="s">
        <v>303</v>
      </c>
      <c r="C17" s="12" t="str">
        <f aca="false">INDEX('Risk Taxonomy'!$G$5:$G$24,MATCH(A17,'Risk Taxonomy'!$A$5:$A$24,0))</f>
        <v>Moderate</v>
      </c>
      <c r="D17" s="7" t="str">
        <f aca="false">INDEX('Risk Taxonomy'!$H$5:$H$24,MATCH(A17,'Risk Taxonomy'!$A$5:$A$24,0))</f>
        <v>Medium-High</v>
      </c>
      <c r="E17" s="31" t="n">
        <f aca="false">COUNTIFS('Residual Calculation'!$D$5:$D$604,A17,'Residual Calculation'!$AC$5:$AC$604,"Within")</f>
        <v>29</v>
      </c>
      <c r="F17" s="31" t="n">
        <f aca="false">COUNTIFS('Residual Calculation'!$D$5:$D$604,A17,'Residual Calculation'!$AC$5:$AC$604,"Amber")</f>
        <v>1</v>
      </c>
      <c r="G17" s="31" t="n">
        <f aca="false">COUNTIFS('Residual Calculation'!$D$5:$D$604,A17,'Residual Calculation'!$AC$5:$AC$604,"Red")</f>
        <v>0</v>
      </c>
      <c r="H17" s="31" t="n">
        <f aca="false">COUNTIFS('Residual Calculation'!$D$5:$D$604,A17,'Residual Calculation'!$G$5:$G$604,"N/A")</f>
        <v>0</v>
      </c>
      <c r="I17" s="43" t="n">
        <f aca="false">'Residual Summary'!O38</f>
        <v>2.19642857142857</v>
      </c>
      <c r="J17" s="35" t="str">
        <f aca="false">IF(G17&gt;0,"Red",IF(F17&gt;0,"Amber","Within"))</f>
        <v>Amber</v>
      </c>
    </row>
    <row r="18" customFormat="false" ht="15" hidden="false" customHeight="false" outlineLevel="0" collapsed="false">
      <c r="A18" s="12" t="s">
        <v>304</v>
      </c>
      <c r="B18" s="12" t="s">
        <v>305</v>
      </c>
      <c r="C18" s="12" t="str">
        <f aca="false">INDEX('Risk Taxonomy'!$G$5:$G$24,MATCH(A18,'Risk Taxonomy'!$A$5:$A$24,0))</f>
        <v>Low</v>
      </c>
      <c r="D18" s="7" t="str">
        <f aca="false">INDEX('Risk Taxonomy'!$H$5:$H$24,MATCH(A18,'Risk Taxonomy'!$A$5:$A$24,0))</f>
        <v>Medium</v>
      </c>
      <c r="E18" s="31" t="n">
        <f aca="false">COUNTIFS('Residual Calculation'!$D$5:$D$604,A18,'Residual Calculation'!$AC$5:$AC$604,"Within")</f>
        <v>25</v>
      </c>
      <c r="F18" s="31" t="n">
        <f aca="false">COUNTIFS('Residual Calculation'!$D$5:$D$604,A18,'Residual Calculation'!$AC$5:$AC$604,"Amber")</f>
        <v>4</v>
      </c>
      <c r="G18" s="31" t="n">
        <f aca="false">COUNTIFS('Residual Calculation'!$D$5:$D$604,A18,'Residual Calculation'!$AC$5:$AC$604,"Red")</f>
        <v>1</v>
      </c>
      <c r="H18" s="31" t="n">
        <f aca="false">COUNTIFS('Residual Calculation'!$D$5:$D$604,A18,'Residual Calculation'!$G$5:$G$604,"N/A")</f>
        <v>0</v>
      </c>
      <c r="I18" s="43" t="n">
        <f aca="false">'Residual Summary'!P38</f>
        <v>2.01785714285714</v>
      </c>
      <c r="J18" s="35" t="str">
        <f aca="false">IF(G18&gt;0,"Red",IF(F18&gt;0,"Amber","Within"))</f>
        <v>Red</v>
      </c>
    </row>
    <row r="19" customFormat="false" ht="15" hidden="false" customHeight="false" outlineLevel="0" collapsed="false">
      <c r="A19" s="12" t="s">
        <v>307</v>
      </c>
      <c r="B19" s="12" t="s">
        <v>308</v>
      </c>
      <c r="C19" s="12" t="str">
        <f aca="false">INDEX('Risk Taxonomy'!$G$5:$G$24,MATCH(A19,'Risk Taxonomy'!$A$5:$A$24,0))</f>
        <v>Low</v>
      </c>
      <c r="D19" s="7" t="str">
        <f aca="false">INDEX('Risk Taxonomy'!$H$5:$H$24,MATCH(A19,'Risk Taxonomy'!$A$5:$A$24,0))</f>
        <v>Medium</v>
      </c>
      <c r="E19" s="31" t="n">
        <f aca="false">COUNTIFS('Residual Calculation'!$D$5:$D$604,A19,'Residual Calculation'!$AC$5:$AC$604,"Within")</f>
        <v>24</v>
      </c>
      <c r="F19" s="31" t="n">
        <f aca="false">COUNTIFS('Residual Calculation'!$D$5:$D$604,A19,'Residual Calculation'!$AC$5:$AC$604,"Amber")</f>
        <v>5</v>
      </c>
      <c r="G19" s="31" t="n">
        <f aca="false">COUNTIFS('Residual Calculation'!$D$5:$D$604,A19,'Residual Calculation'!$AC$5:$AC$604,"Red")</f>
        <v>1</v>
      </c>
      <c r="H19" s="31" t="n">
        <f aca="false">COUNTIFS('Residual Calculation'!$D$5:$D$604,A19,'Residual Calculation'!$G$5:$G$604,"N/A")</f>
        <v>0</v>
      </c>
      <c r="I19" s="43" t="n">
        <f aca="false">'Residual Summary'!Q38</f>
        <v>2.25</v>
      </c>
      <c r="J19" s="35" t="str">
        <f aca="false">IF(G19&gt;0,"Red",IF(F19&gt;0,"Amber","Within"))</f>
        <v>Red</v>
      </c>
    </row>
    <row r="20" customFormat="false" ht="15" hidden="false" customHeight="false" outlineLevel="0" collapsed="false">
      <c r="A20" s="12" t="s">
        <v>310</v>
      </c>
      <c r="B20" s="12" t="s">
        <v>311</v>
      </c>
      <c r="C20" s="12" t="str">
        <f aca="false">INDEX('Risk Taxonomy'!$G$5:$G$24,MATCH(A20,'Risk Taxonomy'!$A$5:$A$24,0))</f>
        <v>Very low</v>
      </c>
      <c r="D20" s="7" t="str">
        <f aca="false">INDEX('Risk Taxonomy'!$H$5:$H$24,MATCH(A20,'Risk Taxonomy'!$A$5:$A$24,0))</f>
        <v>Medium-Low</v>
      </c>
      <c r="E20" s="31" t="n">
        <f aca="false">COUNTIFS('Residual Calculation'!$D$5:$D$604,A20,'Residual Calculation'!$AC$5:$AC$604,"Within")</f>
        <v>18</v>
      </c>
      <c r="F20" s="31" t="n">
        <f aca="false">COUNTIFS('Residual Calculation'!$D$5:$D$604,A20,'Residual Calculation'!$AC$5:$AC$604,"Amber")</f>
        <v>6</v>
      </c>
      <c r="G20" s="31" t="n">
        <f aca="false">COUNTIFS('Residual Calculation'!$D$5:$D$604,A20,'Residual Calculation'!$AC$5:$AC$604,"Red")</f>
        <v>6</v>
      </c>
      <c r="H20" s="31" t="n">
        <f aca="false">COUNTIFS('Residual Calculation'!$D$5:$D$604,A20,'Residual Calculation'!$G$5:$G$604,"N/A")</f>
        <v>0</v>
      </c>
      <c r="I20" s="43" t="n">
        <f aca="false">'Residual Summary'!R38</f>
        <v>2.48214285714286</v>
      </c>
      <c r="J20" s="35" t="str">
        <f aca="false">IF(G20&gt;0,"Red",IF(F20&gt;0,"Amber","Within"))</f>
        <v>Red</v>
      </c>
    </row>
    <row r="21" customFormat="false" ht="15" hidden="false" customHeight="false" outlineLevel="0" collapsed="false">
      <c r="A21" s="12" t="s">
        <v>313</v>
      </c>
      <c r="B21" s="12" t="s">
        <v>314</v>
      </c>
      <c r="C21" s="12" t="str">
        <f aca="false">INDEX('Risk Taxonomy'!$G$5:$G$24,MATCH(A21,'Risk Taxonomy'!$A$5:$A$24,0))</f>
        <v>Low</v>
      </c>
      <c r="D21" s="7" t="str">
        <f aca="false">INDEX('Risk Taxonomy'!$H$5:$H$24,MATCH(A21,'Risk Taxonomy'!$A$5:$A$24,0))</f>
        <v>Medium</v>
      </c>
      <c r="E21" s="31" t="n">
        <f aca="false">COUNTIFS('Residual Calculation'!$D$5:$D$604,A21,'Residual Calculation'!$AC$5:$AC$604,"Within")</f>
        <v>22</v>
      </c>
      <c r="F21" s="31" t="n">
        <f aca="false">COUNTIFS('Residual Calculation'!$D$5:$D$604,A21,'Residual Calculation'!$AC$5:$AC$604,"Amber")</f>
        <v>6</v>
      </c>
      <c r="G21" s="31" t="n">
        <f aca="false">COUNTIFS('Residual Calculation'!$D$5:$D$604,A21,'Residual Calculation'!$AC$5:$AC$604,"Red")</f>
        <v>2</v>
      </c>
      <c r="H21" s="31" t="n">
        <f aca="false">COUNTIFS('Residual Calculation'!$D$5:$D$604,A21,'Residual Calculation'!$G$5:$G$604,"N/A")</f>
        <v>0</v>
      </c>
      <c r="I21" s="43" t="n">
        <f aca="false">'Residual Summary'!S38</f>
        <v>2.33928571428571</v>
      </c>
      <c r="J21" s="35" t="str">
        <f aca="false">IF(G21&gt;0,"Red",IF(F21&gt;0,"Amber","Within"))</f>
        <v>Red</v>
      </c>
    </row>
    <row r="22" customFormat="false" ht="15" hidden="false" customHeight="false" outlineLevel="0" collapsed="false">
      <c r="A22" s="12" t="s">
        <v>316</v>
      </c>
      <c r="B22" s="12" t="s">
        <v>317</v>
      </c>
      <c r="C22" s="12" t="str">
        <f aca="false">INDEX('Risk Taxonomy'!$G$5:$G$24,MATCH(A22,'Risk Taxonomy'!$A$5:$A$24,0))</f>
        <v>Very low</v>
      </c>
      <c r="D22" s="7" t="str">
        <f aca="false">INDEX('Risk Taxonomy'!$H$5:$H$24,MATCH(A22,'Risk Taxonomy'!$A$5:$A$24,0))</f>
        <v>Medium-Low</v>
      </c>
      <c r="E22" s="31" t="n">
        <f aca="false">COUNTIFS('Residual Calculation'!$D$5:$D$604,A22,'Residual Calculation'!$AC$5:$AC$604,"Within")</f>
        <v>24</v>
      </c>
      <c r="F22" s="31" t="n">
        <f aca="false">COUNTIFS('Residual Calculation'!$D$5:$D$604,A22,'Residual Calculation'!$AC$5:$AC$604,"Amber")</f>
        <v>3</v>
      </c>
      <c r="G22" s="31" t="n">
        <f aca="false">COUNTIFS('Residual Calculation'!$D$5:$D$604,A22,'Residual Calculation'!$AC$5:$AC$604,"Red")</f>
        <v>3</v>
      </c>
      <c r="H22" s="31" t="n">
        <f aca="false">COUNTIFS('Residual Calculation'!$D$5:$D$604,A22,'Residual Calculation'!$G$5:$G$604,"N/A")</f>
        <v>0</v>
      </c>
      <c r="I22" s="43" t="n">
        <f aca="false">'Residual Summary'!T38</f>
        <v>1.83928571428571</v>
      </c>
      <c r="J22" s="35" t="str">
        <f aca="false">IF(G22&gt;0,"Red",IF(F22&gt;0,"Amber","Within"))</f>
        <v>Red</v>
      </c>
    </row>
    <row r="23" customFormat="false" ht="15" hidden="false" customHeight="false" outlineLevel="0" collapsed="false">
      <c r="A23" s="12" t="s">
        <v>319</v>
      </c>
      <c r="B23" s="12" t="s">
        <v>320</v>
      </c>
      <c r="C23" s="12" t="str">
        <f aca="false">INDEX('Risk Taxonomy'!$G$5:$G$24,MATCH(A23,'Risk Taxonomy'!$A$5:$A$24,0))</f>
        <v>Low</v>
      </c>
      <c r="D23" s="7" t="str">
        <f aca="false">INDEX('Risk Taxonomy'!$H$5:$H$24,MATCH(A23,'Risk Taxonomy'!$A$5:$A$24,0))</f>
        <v>Medium</v>
      </c>
      <c r="E23" s="31" t="n">
        <f aca="false">COUNTIFS('Residual Calculation'!$D$5:$D$604,A23,'Residual Calculation'!$AC$5:$AC$604,"Within")</f>
        <v>25</v>
      </c>
      <c r="F23" s="31" t="n">
        <f aca="false">COUNTIFS('Residual Calculation'!$D$5:$D$604,A23,'Residual Calculation'!$AC$5:$AC$604,"Amber")</f>
        <v>3</v>
      </c>
      <c r="G23" s="31" t="n">
        <f aca="false">COUNTIFS('Residual Calculation'!$D$5:$D$604,A23,'Residual Calculation'!$AC$5:$AC$604,"Red")</f>
        <v>2</v>
      </c>
      <c r="H23" s="31" t="n">
        <f aca="false">COUNTIFS('Residual Calculation'!$D$5:$D$604,A23,'Residual Calculation'!$G$5:$G$604,"N/A")</f>
        <v>0</v>
      </c>
      <c r="I23" s="43" t="n">
        <f aca="false">'Residual Summary'!U38</f>
        <v>2.08928571428571</v>
      </c>
      <c r="J23" s="35" t="str">
        <f aca="false">IF(G23&gt;0,"Red",IF(F23&gt;0,"Amber","Within"))</f>
        <v>Red</v>
      </c>
    </row>
    <row r="24" customFormat="false" ht="15" hidden="false" customHeight="false" outlineLevel="0" collapsed="false">
      <c r="A24" s="12" t="s">
        <v>322</v>
      </c>
      <c r="B24" s="12" t="s">
        <v>323</v>
      </c>
      <c r="C24" s="12" t="str">
        <f aca="false">INDEX('Risk Taxonomy'!$G$5:$G$24,MATCH(A24,'Risk Taxonomy'!$A$5:$A$24,0))</f>
        <v>Moderate</v>
      </c>
      <c r="D24" s="7" t="str">
        <f aca="false">INDEX('Risk Taxonomy'!$H$5:$H$24,MATCH(A24,'Risk Taxonomy'!$A$5:$A$24,0))</f>
        <v>Medium-High</v>
      </c>
      <c r="E24" s="31" t="n">
        <f aca="false">COUNTIFS('Residual Calculation'!$D$5:$D$604,A24,'Residual Calculation'!$AC$5:$AC$604,"Within")</f>
        <v>29</v>
      </c>
      <c r="F24" s="31" t="n">
        <f aca="false">COUNTIFS('Residual Calculation'!$D$5:$D$604,A24,'Residual Calculation'!$AC$5:$AC$604,"Amber")</f>
        <v>1</v>
      </c>
      <c r="G24" s="31" t="n">
        <f aca="false">COUNTIFS('Residual Calculation'!$D$5:$D$604,A24,'Residual Calculation'!$AC$5:$AC$604,"Red")</f>
        <v>0</v>
      </c>
      <c r="H24" s="31" t="n">
        <f aca="false">COUNTIFS('Residual Calculation'!$D$5:$D$604,A24,'Residual Calculation'!$G$5:$G$604,"N/A")</f>
        <v>0</v>
      </c>
      <c r="I24" s="43" t="n">
        <f aca="false">'Residual Summary'!V38</f>
        <v>2.03571428571429</v>
      </c>
      <c r="J24" s="35" t="str">
        <f aca="false">IF(G24&gt;0,"Red",IF(F24&gt;0,"Amber","Within"))</f>
        <v>Amber</v>
      </c>
    </row>
  </sheetData>
  <conditionalFormatting sqref="J5:J24">
    <cfRule type="expression" priority="2" aboveAverage="0" equalAverage="0" bottom="0" percent="0" rank="0" text="" dxfId="1">
      <formula>J5="Within"</formula>
    </cfRule>
    <cfRule type="expression" priority="3" aboveAverage="0" equalAverage="0" bottom="0" percent="0" rank="0" text="" dxfId="18">
      <formula>J5="Amber"</formula>
    </cfRule>
    <cfRule type="expression" priority="4" aboveAverage="0" equalAverage="0" bottom="0" percent="0" rank="0" text="" dxfId="4">
      <formula>J5="Red"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7" min="5" style="0" width="9"/>
  </cols>
  <sheetData>
    <row r="1" customFormat="false" ht="17.35" hidden="false" customHeight="false" outlineLevel="0" collapsed="false">
      <c r="A1" s="1" t="s">
        <v>4012</v>
      </c>
    </row>
    <row r="2" customFormat="false" ht="15" hidden="false" customHeight="false" outlineLevel="0" collapsed="false">
      <c r="A2" s="2" t="s">
        <v>4013</v>
      </c>
    </row>
    <row r="4" customFormat="false" ht="15" hidden="false" customHeight="false" outlineLevel="0" collapsed="false">
      <c r="A4" s="3" t="s">
        <v>4014</v>
      </c>
      <c r="C4" s="34" t="n">
        <f aca="false">COUNTIF('Control Testing'!$I$5:$I$1294,"Y")</f>
        <v>1237</v>
      </c>
    </row>
    <row r="5" customFormat="false" ht="15" hidden="false" customHeight="false" outlineLevel="0" collapsed="false">
      <c r="A5" s="3" t="s">
        <v>4015</v>
      </c>
      <c r="C5" s="34" t="n">
        <f aca="false">COUNTIF('Control Testing'!$Z$5:$Z$1294,"Current")</f>
        <v>1135</v>
      </c>
    </row>
    <row r="6" customFormat="false" ht="15" hidden="false" customHeight="false" outlineLevel="0" collapsed="false">
      <c r="A6" s="3" t="s">
        <v>4016</v>
      </c>
      <c r="C6" s="54" t="n">
        <f aca="false">IFERROR(C5/C4,0)</f>
        <v>0.917542441390461</v>
      </c>
    </row>
    <row r="7" customFormat="false" ht="15" hidden="false" customHeight="false" outlineLevel="0" collapsed="false">
      <c r="A7" s="3" t="s">
        <v>4017</v>
      </c>
      <c r="C7" s="34" t="n">
        <f aca="false">COUNTIFS('Control Testing'!$Z$5:$Z$1294,"Current",'Control Testing'!$G$5:$G$1294,"Y")</f>
        <v>832</v>
      </c>
    </row>
    <row r="8" customFormat="false" ht="15" hidden="false" customHeight="false" outlineLevel="0" collapsed="false">
      <c r="A8" s="3" t="s">
        <v>4018</v>
      </c>
      <c r="C8" s="34" t="n">
        <f aca="false">COUNTIF('Control Testing'!$Z$5:$Z$1294,"Overdue")</f>
        <v>29</v>
      </c>
    </row>
    <row r="9" customFormat="false" ht="15" hidden="false" customHeight="false" outlineLevel="0" collapsed="false">
      <c r="A9" s="3" t="s">
        <v>4019</v>
      </c>
      <c r="C9" s="34" t="n">
        <f aca="false">COUNTIF('Control Testing'!$Z$5:$Z$1294,"Not tested")</f>
        <v>17</v>
      </c>
    </row>
    <row r="10" customFormat="false" ht="15" hidden="false" customHeight="false" outlineLevel="0" collapsed="false">
      <c r="A10" s="3" t="s">
        <v>4020</v>
      </c>
      <c r="C10" s="34" t="n">
        <f aca="false">COUNTIF('Control Testing'!$Z$5:$Z$1294,"Evidence pending")</f>
        <v>41</v>
      </c>
    </row>
    <row r="11" customFormat="false" ht="15" hidden="false" customHeight="false" outlineLevel="0" collapsed="false">
      <c r="A11" s="3" t="s">
        <v>4021</v>
      </c>
      <c r="C11" s="34" t="n">
        <f aca="false">COUNTIF('Control Testing'!$Z$5:$Z$1294,"Evidence rejected")</f>
        <v>15</v>
      </c>
    </row>
    <row r="12" customFormat="false" ht="15" hidden="false" customHeight="false" outlineLevel="0" collapsed="false">
      <c r="A12" s="3" t="s">
        <v>4022</v>
      </c>
      <c r="C12" s="34" t="n">
        <f aca="false">COUNTIF('Residual Summary'!C6:V35,5)</f>
        <v>24</v>
      </c>
    </row>
    <row r="13" customFormat="false" ht="15" hidden="false" customHeight="false" outlineLevel="0" collapsed="false">
      <c r="A13" s="3" t="s">
        <v>4023</v>
      </c>
      <c r="C13" s="34" t="n">
        <f aca="false">COUNTIF('Residual Calculation'!$AC$5:$AC$604,"Amber")</f>
        <v>97</v>
      </c>
    </row>
    <row r="14" customFormat="false" ht="15" hidden="false" customHeight="false" outlineLevel="0" collapsed="false">
      <c r="A14" s="3" t="s">
        <v>4024</v>
      </c>
      <c r="C14" s="34" t="n">
        <f aca="false">COUNTIF('Residual Calculation'!$AC$5:$AC$604,"Red")</f>
        <v>101</v>
      </c>
    </row>
    <row r="15" customFormat="false" ht="15" hidden="false" customHeight="false" outlineLevel="0" collapsed="false">
      <c r="A15" s="3" t="s">
        <v>4025</v>
      </c>
      <c r="C15" s="40" t="n">
        <f aca="false">AVERAGE('Residual Summary'!C38:V38)</f>
        <v>2.14464285714286</v>
      </c>
    </row>
    <row r="16" customFormat="false" ht="15" hidden="false" customHeight="false" outlineLevel="0" collapsed="false">
      <c r="A16" s="3" t="s">
        <v>4026</v>
      </c>
      <c r="C16" s="40" t="n">
        <f aca="false">AVERAGE('Residual Summary'!C40:V40)</f>
        <v>2.79464285714286</v>
      </c>
    </row>
    <row r="17" customFormat="false" ht="15" hidden="false" customHeight="false" outlineLevel="0" collapsed="false">
      <c r="A17" s="3" t="s">
        <v>4027</v>
      </c>
      <c r="C17" s="34" t="n">
        <f aca="false">COUNTIF('Residual Calculation'!Z5:Z604,"Pending HO approval")</f>
        <v>1</v>
      </c>
    </row>
    <row r="20" customFormat="false" ht="30" hidden="false" customHeight="true" outlineLevel="0" collapsed="false">
      <c r="A20" s="5" t="s">
        <v>252</v>
      </c>
      <c r="B20" s="5" t="s">
        <v>327</v>
      </c>
      <c r="C20" s="5" t="s">
        <v>4028</v>
      </c>
      <c r="D20" s="5" t="s">
        <v>4029</v>
      </c>
      <c r="E20" s="5" t="s">
        <v>4030</v>
      </c>
      <c r="F20" s="5" t="s">
        <v>93</v>
      </c>
      <c r="G20" s="5" t="s">
        <v>98</v>
      </c>
    </row>
    <row r="21" customFormat="false" ht="15" hidden="false" customHeight="false" outlineLevel="0" collapsed="false">
      <c r="A21" s="12" t="s">
        <v>260</v>
      </c>
      <c r="B21" s="12" t="s">
        <v>261</v>
      </c>
      <c r="C21" s="43" t="n">
        <f aca="false">'Residual Summary'!C40</f>
        <v>2.75</v>
      </c>
      <c r="D21" s="43" t="n">
        <f aca="false">'Residual Summary'!C38</f>
        <v>2.26785714285714</v>
      </c>
      <c r="E21" s="55" t="n">
        <f aca="false">'Appetite Monitor'!E5</f>
        <v>16</v>
      </c>
      <c r="F21" s="55" t="n">
        <f aca="false">'Appetite Monitor'!F5</f>
        <v>9</v>
      </c>
      <c r="G21" s="55" t="n">
        <f aca="false">'Appetite Monitor'!G5</f>
        <v>5</v>
      </c>
    </row>
    <row r="22" customFormat="false" ht="15" hidden="false" customHeight="false" outlineLevel="0" collapsed="false">
      <c r="A22" s="12" t="s">
        <v>267</v>
      </c>
      <c r="B22" s="12" t="s">
        <v>268</v>
      </c>
      <c r="C22" s="43" t="n">
        <f aca="false">'Residual Summary'!D40</f>
        <v>2.67857142857143</v>
      </c>
      <c r="D22" s="43" t="n">
        <f aca="false">'Residual Summary'!D38</f>
        <v>2.33928571428571</v>
      </c>
      <c r="E22" s="55" t="n">
        <f aca="false">'Appetite Monitor'!E6</f>
        <v>9</v>
      </c>
      <c r="F22" s="55" t="n">
        <f aca="false">'Appetite Monitor'!F6</f>
        <v>7</v>
      </c>
      <c r="G22" s="55" t="n">
        <f aca="false">'Appetite Monitor'!G6</f>
        <v>14</v>
      </c>
    </row>
    <row r="23" customFormat="false" ht="15" hidden="false" customHeight="false" outlineLevel="0" collapsed="false">
      <c r="A23" s="12" t="s">
        <v>270</v>
      </c>
      <c r="B23" s="12" t="s">
        <v>271</v>
      </c>
      <c r="C23" s="43" t="n">
        <f aca="false">'Residual Summary'!E40</f>
        <v>2.66071428571429</v>
      </c>
      <c r="D23" s="43" t="n">
        <f aca="false">'Residual Summary'!E38</f>
        <v>2.21428571428571</v>
      </c>
      <c r="E23" s="55" t="n">
        <f aca="false">'Appetite Monitor'!E7</f>
        <v>10</v>
      </c>
      <c r="F23" s="55" t="n">
        <f aca="false">'Appetite Monitor'!F7</f>
        <v>7</v>
      </c>
      <c r="G23" s="55" t="n">
        <f aca="false">'Appetite Monitor'!G7</f>
        <v>13</v>
      </c>
    </row>
    <row r="24" customFormat="false" ht="15" hidden="false" customHeight="false" outlineLevel="0" collapsed="false">
      <c r="A24" s="12" t="s">
        <v>272</v>
      </c>
      <c r="B24" s="12" t="s">
        <v>273</v>
      </c>
      <c r="C24" s="43" t="n">
        <f aca="false">'Residual Summary'!F40</f>
        <v>2.75</v>
      </c>
      <c r="D24" s="43" t="n">
        <f aca="false">'Residual Summary'!F38</f>
        <v>2.30357142857143</v>
      </c>
      <c r="E24" s="55" t="n">
        <f aca="false">'Appetite Monitor'!E8</f>
        <v>9</v>
      </c>
      <c r="F24" s="55" t="n">
        <f aca="false">'Appetite Monitor'!F8</f>
        <v>6</v>
      </c>
      <c r="G24" s="55" t="n">
        <f aca="false">'Appetite Monitor'!G8</f>
        <v>15</v>
      </c>
    </row>
    <row r="25" customFormat="false" ht="15" hidden="false" customHeight="false" outlineLevel="0" collapsed="false">
      <c r="A25" s="12" t="s">
        <v>275</v>
      </c>
      <c r="B25" s="12" t="s">
        <v>276</v>
      </c>
      <c r="C25" s="43" t="n">
        <f aca="false">'Residual Summary'!G40</f>
        <v>2.71428571428571</v>
      </c>
      <c r="D25" s="43" t="n">
        <f aca="false">'Residual Summary'!G38</f>
        <v>2.07142857142857</v>
      </c>
      <c r="E25" s="55" t="n">
        <f aca="false">'Appetite Monitor'!E9</f>
        <v>11</v>
      </c>
      <c r="F25" s="55" t="n">
        <f aca="false">'Appetite Monitor'!F9</f>
        <v>8</v>
      </c>
      <c r="G25" s="55" t="n">
        <f aca="false">'Appetite Monitor'!G9</f>
        <v>11</v>
      </c>
    </row>
    <row r="26" customFormat="false" ht="15" hidden="false" customHeight="false" outlineLevel="0" collapsed="false">
      <c r="A26" s="12" t="s">
        <v>278</v>
      </c>
      <c r="B26" s="12" t="s">
        <v>279</v>
      </c>
      <c r="C26" s="43" t="n">
        <f aca="false">'Residual Summary'!H40</f>
        <v>2.75</v>
      </c>
      <c r="D26" s="43" t="n">
        <f aca="false">'Residual Summary'!H38</f>
        <v>2.23214285714286</v>
      </c>
      <c r="E26" s="55" t="n">
        <f aca="false">'Appetite Monitor'!E10</f>
        <v>27</v>
      </c>
      <c r="F26" s="55" t="n">
        <f aca="false">'Appetite Monitor'!F10</f>
        <v>2</v>
      </c>
      <c r="G26" s="55" t="n">
        <f aca="false">'Appetite Monitor'!G10</f>
        <v>1</v>
      </c>
    </row>
    <row r="27" customFormat="false" ht="15" hidden="false" customHeight="false" outlineLevel="0" collapsed="false">
      <c r="A27" s="12" t="s">
        <v>281</v>
      </c>
      <c r="B27" s="12" t="s">
        <v>282</v>
      </c>
      <c r="C27" s="43" t="n">
        <f aca="false">'Residual Summary'!I40</f>
        <v>2.78571428571429</v>
      </c>
      <c r="D27" s="43" t="n">
        <f aca="false">'Residual Summary'!I38</f>
        <v>2.21428571428571</v>
      </c>
      <c r="E27" s="55" t="n">
        <f aca="false">'Appetite Monitor'!E11</f>
        <v>9</v>
      </c>
      <c r="F27" s="55" t="n">
        <f aca="false">'Appetite Monitor'!F11</f>
        <v>10</v>
      </c>
      <c r="G27" s="55" t="n">
        <f aca="false">'Appetite Monitor'!G11</f>
        <v>11</v>
      </c>
    </row>
    <row r="28" customFormat="false" ht="15" hidden="false" customHeight="false" outlineLevel="0" collapsed="false">
      <c r="A28" s="12" t="s">
        <v>284</v>
      </c>
      <c r="B28" s="12" t="s">
        <v>285</v>
      </c>
      <c r="C28" s="43" t="n">
        <f aca="false">'Residual Summary'!J40</f>
        <v>3.21428571428571</v>
      </c>
      <c r="D28" s="43" t="n">
        <f aca="false">'Residual Summary'!J38</f>
        <v>2.60714285714286</v>
      </c>
      <c r="E28" s="55" t="n">
        <f aca="false">'Appetite Monitor'!E12</f>
        <v>14</v>
      </c>
      <c r="F28" s="55" t="n">
        <f aca="false">'Appetite Monitor'!F12</f>
        <v>8</v>
      </c>
      <c r="G28" s="55" t="n">
        <f aca="false">'Appetite Monitor'!G12</f>
        <v>8</v>
      </c>
    </row>
    <row r="29" customFormat="false" ht="15" hidden="false" customHeight="false" outlineLevel="0" collapsed="false">
      <c r="A29" s="12" t="s">
        <v>288</v>
      </c>
      <c r="B29" s="12" t="s">
        <v>289</v>
      </c>
      <c r="C29" s="43" t="n">
        <f aca="false">'Residual Summary'!K40</f>
        <v>2.73214285714286</v>
      </c>
      <c r="D29" s="43" t="n">
        <f aca="false">'Residual Summary'!K38</f>
        <v>1.92857142857143</v>
      </c>
      <c r="E29" s="55" t="n">
        <f aca="false">'Appetite Monitor'!E13</f>
        <v>25</v>
      </c>
      <c r="F29" s="55" t="n">
        <f aca="false">'Appetite Monitor'!F13</f>
        <v>4</v>
      </c>
      <c r="G29" s="55" t="n">
        <f aca="false">'Appetite Monitor'!G13</f>
        <v>1</v>
      </c>
    </row>
    <row r="30" customFormat="false" ht="15" hidden="false" customHeight="false" outlineLevel="0" collapsed="false">
      <c r="A30" s="12" t="s">
        <v>290</v>
      </c>
      <c r="B30" s="12" t="s">
        <v>291</v>
      </c>
      <c r="C30" s="43" t="n">
        <f aca="false">'Residual Summary'!L40</f>
        <v>2.80357142857143</v>
      </c>
      <c r="D30" s="43" t="n">
        <f aca="false">'Residual Summary'!L38</f>
        <v>2.375</v>
      </c>
      <c r="E30" s="55" t="n">
        <f aca="false">'Appetite Monitor'!E14</f>
        <v>18</v>
      </c>
      <c r="F30" s="55" t="n">
        <f aca="false">'Appetite Monitor'!F14</f>
        <v>5</v>
      </c>
      <c r="G30" s="55" t="n">
        <f aca="false">'Appetite Monitor'!G14</f>
        <v>7</v>
      </c>
    </row>
    <row r="31" customFormat="false" ht="15" hidden="false" customHeight="false" outlineLevel="0" collapsed="false">
      <c r="A31" s="12" t="s">
        <v>293</v>
      </c>
      <c r="B31" s="12" t="s">
        <v>294</v>
      </c>
      <c r="C31" s="43" t="n">
        <f aca="false">'Residual Summary'!M40</f>
        <v>2</v>
      </c>
      <c r="D31" s="43" t="n">
        <f aca="false">'Residual Summary'!M38</f>
        <v>1</v>
      </c>
      <c r="E31" s="55" t="n">
        <f aca="false">'Appetite Monitor'!E15</f>
        <v>1</v>
      </c>
      <c r="F31" s="55" t="n">
        <f aca="false">'Appetite Monitor'!F15</f>
        <v>0</v>
      </c>
      <c r="G31" s="55" t="n">
        <f aca="false">'Appetite Monitor'!G15</f>
        <v>0</v>
      </c>
    </row>
    <row r="32" customFormat="false" ht="15" hidden="false" customHeight="false" outlineLevel="0" collapsed="false">
      <c r="A32" s="12" t="s">
        <v>297</v>
      </c>
      <c r="B32" s="12" t="s">
        <v>298</v>
      </c>
      <c r="C32" s="43" t="n">
        <f aca="false">'Residual Summary'!N40</f>
        <v>3.07142857142857</v>
      </c>
      <c r="D32" s="43" t="n">
        <f aca="false">'Residual Summary'!N38</f>
        <v>2.08928571428571</v>
      </c>
      <c r="E32" s="55" t="n">
        <f aca="false">'Appetite Monitor'!E16</f>
        <v>28</v>
      </c>
      <c r="F32" s="55" t="n">
        <f aca="false">'Appetite Monitor'!F16</f>
        <v>2</v>
      </c>
      <c r="G32" s="55" t="n">
        <f aca="false">'Appetite Monitor'!G16</f>
        <v>0</v>
      </c>
    </row>
    <row r="33" customFormat="false" ht="15" hidden="false" customHeight="false" outlineLevel="0" collapsed="false">
      <c r="A33" s="12" t="s">
        <v>302</v>
      </c>
      <c r="B33" s="12" t="s">
        <v>303</v>
      </c>
      <c r="C33" s="43" t="n">
        <f aca="false">'Residual Summary'!O40</f>
        <v>2.83928571428571</v>
      </c>
      <c r="D33" s="43" t="n">
        <f aca="false">'Residual Summary'!O38</f>
        <v>2.19642857142857</v>
      </c>
      <c r="E33" s="55" t="n">
        <f aca="false">'Appetite Monitor'!E17</f>
        <v>29</v>
      </c>
      <c r="F33" s="55" t="n">
        <f aca="false">'Appetite Monitor'!F17</f>
        <v>1</v>
      </c>
      <c r="G33" s="55" t="n">
        <f aca="false">'Appetite Monitor'!G17</f>
        <v>0</v>
      </c>
    </row>
    <row r="34" customFormat="false" ht="15" hidden="false" customHeight="false" outlineLevel="0" collapsed="false">
      <c r="A34" s="12" t="s">
        <v>304</v>
      </c>
      <c r="B34" s="12" t="s">
        <v>305</v>
      </c>
      <c r="C34" s="43" t="n">
        <f aca="false">'Residual Summary'!P40</f>
        <v>2.98214285714286</v>
      </c>
      <c r="D34" s="43" t="n">
        <f aca="false">'Residual Summary'!P38</f>
        <v>2.01785714285714</v>
      </c>
      <c r="E34" s="55" t="n">
        <f aca="false">'Appetite Monitor'!E18</f>
        <v>25</v>
      </c>
      <c r="F34" s="55" t="n">
        <f aca="false">'Appetite Monitor'!F18</f>
        <v>4</v>
      </c>
      <c r="G34" s="55" t="n">
        <f aca="false">'Appetite Monitor'!G18</f>
        <v>1</v>
      </c>
    </row>
    <row r="35" customFormat="false" ht="15" hidden="false" customHeight="false" outlineLevel="0" collapsed="false">
      <c r="A35" s="12" t="s">
        <v>307</v>
      </c>
      <c r="B35" s="12" t="s">
        <v>308</v>
      </c>
      <c r="C35" s="43" t="n">
        <f aca="false">'Residual Summary'!Q40</f>
        <v>3.05357142857143</v>
      </c>
      <c r="D35" s="43" t="n">
        <f aca="false">'Residual Summary'!Q38</f>
        <v>2.25</v>
      </c>
      <c r="E35" s="55" t="n">
        <f aca="false">'Appetite Monitor'!E19</f>
        <v>24</v>
      </c>
      <c r="F35" s="55" t="n">
        <f aca="false">'Appetite Monitor'!F19</f>
        <v>5</v>
      </c>
      <c r="G35" s="55" t="n">
        <f aca="false">'Appetite Monitor'!G19</f>
        <v>1</v>
      </c>
    </row>
    <row r="36" customFormat="false" ht="15" hidden="false" customHeight="false" outlineLevel="0" collapsed="false">
      <c r="A36" s="12" t="s">
        <v>310</v>
      </c>
      <c r="B36" s="12" t="s">
        <v>311</v>
      </c>
      <c r="C36" s="43" t="n">
        <f aca="false">'Residual Summary'!R40</f>
        <v>3.16071428571429</v>
      </c>
      <c r="D36" s="43" t="n">
        <f aca="false">'Residual Summary'!R38</f>
        <v>2.48214285714286</v>
      </c>
      <c r="E36" s="55" t="n">
        <f aca="false">'Appetite Monitor'!E20</f>
        <v>18</v>
      </c>
      <c r="F36" s="55" t="n">
        <f aca="false">'Appetite Monitor'!F20</f>
        <v>6</v>
      </c>
      <c r="G36" s="55" t="n">
        <f aca="false">'Appetite Monitor'!G20</f>
        <v>6</v>
      </c>
    </row>
    <row r="37" customFormat="false" ht="15" hidden="false" customHeight="false" outlineLevel="0" collapsed="false">
      <c r="A37" s="12" t="s">
        <v>313</v>
      </c>
      <c r="B37" s="12" t="s">
        <v>314</v>
      </c>
      <c r="C37" s="43" t="n">
        <f aca="false">'Residual Summary'!S40</f>
        <v>2.82142857142857</v>
      </c>
      <c r="D37" s="43" t="n">
        <f aca="false">'Residual Summary'!S38</f>
        <v>2.33928571428571</v>
      </c>
      <c r="E37" s="55" t="n">
        <f aca="false">'Appetite Monitor'!E21</f>
        <v>22</v>
      </c>
      <c r="F37" s="55" t="n">
        <f aca="false">'Appetite Monitor'!F21</f>
        <v>6</v>
      </c>
      <c r="G37" s="55" t="n">
        <f aca="false">'Appetite Monitor'!G21</f>
        <v>2</v>
      </c>
    </row>
    <row r="38" customFormat="false" ht="15" hidden="false" customHeight="false" outlineLevel="0" collapsed="false">
      <c r="A38" s="12" t="s">
        <v>316</v>
      </c>
      <c r="B38" s="12" t="s">
        <v>317</v>
      </c>
      <c r="C38" s="43" t="n">
        <f aca="false">'Residual Summary'!T40</f>
        <v>2.44642857142857</v>
      </c>
      <c r="D38" s="43" t="n">
        <f aca="false">'Residual Summary'!T38</f>
        <v>1.83928571428571</v>
      </c>
      <c r="E38" s="55" t="n">
        <f aca="false">'Appetite Monitor'!E22</f>
        <v>24</v>
      </c>
      <c r="F38" s="55" t="n">
        <f aca="false">'Appetite Monitor'!F22</f>
        <v>3</v>
      </c>
      <c r="G38" s="55" t="n">
        <f aca="false">'Appetite Monitor'!G22</f>
        <v>3</v>
      </c>
    </row>
    <row r="39" customFormat="false" ht="15" hidden="false" customHeight="false" outlineLevel="0" collapsed="false">
      <c r="A39" s="12" t="s">
        <v>319</v>
      </c>
      <c r="B39" s="12" t="s">
        <v>320</v>
      </c>
      <c r="C39" s="43" t="n">
        <f aca="false">'Residual Summary'!U40</f>
        <v>2.98214285714286</v>
      </c>
      <c r="D39" s="43" t="n">
        <f aca="false">'Residual Summary'!U38</f>
        <v>2.08928571428571</v>
      </c>
      <c r="E39" s="55" t="n">
        <f aca="false">'Appetite Monitor'!E23</f>
        <v>25</v>
      </c>
      <c r="F39" s="55" t="n">
        <f aca="false">'Appetite Monitor'!F23</f>
        <v>3</v>
      </c>
      <c r="G39" s="55" t="n">
        <f aca="false">'Appetite Monitor'!G23</f>
        <v>2</v>
      </c>
    </row>
    <row r="40" customFormat="false" ht="15" hidden="false" customHeight="false" outlineLevel="0" collapsed="false">
      <c r="A40" s="12" t="s">
        <v>322</v>
      </c>
      <c r="B40" s="12" t="s">
        <v>323</v>
      </c>
      <c r="C40" s="43" t="n">
        <f aca="false">'Residual Summary'!V40</f>
        <v>2.69642857142857</v>
      </c>
      <c r="D40" s="43" t="n">
        <f aca="false">'Residual Summary'!V38</f>
        <v>2.03571428571429</v>
      </c>
      <c r="E40" s="55" t="n">
        <f aca="false">'Appetite Monitor'!E24</f>
        <v>29</v>
      </c>
      <c r="F40" s="55" t="n">
        <f aca="false">'Appetite Monitor'!F24</f>
        <v>1</v>
      </c>
      <c r="G40" s="55" t="n">
        <f aca="false">'Appetite Monitor'!G24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6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2"/>
    <col collapsed="false" customWidth="true" hidden="false" outlineLevel="0" max="10" min="6" style="0" width="13"/>
  </cols>
  <sheetData>
    <row r="1" customFormat="false" ht="17.35" hidden="false" customHeight="false" outlineLevel="0" collapsed="false">
      <c r="A1" s="1" t="s">
        <v>493</v>
      </c>
    </row>
    <row r="2" customFormat="false" ht="15" hidden="false" customHeight="false" outlineLevel="0" collapsed="false">
      <c r="A2" s="2" t="s">
        <v>4031</v>
      </c>
    </row>
    <row r="4" customFormat="false" ht="15" hidden="false" customHeight="false" outlineLevel="0" collapsed="false">
      <c r="A4" s="3" t="s">
        <v>4032</v>
      </c>
      <c r="C4" s="35" t="str">
        <f aca="false">IF(COUNTIF(C7:C26,"FAIL")&gt;0,"FAIL",IF(COUNTIF(C7:C26,"WARN")&gt;0,"OK with warnings","OK"))</f>
        <v>OK with warnings</v>
      </c>
    </row>
    <row r="6" customFormat="false" ht="15" hidden="false" customHeight="false" outlineLevel="0" collapsed="false">
      <c r="A6" s="5" t="s">
        <v>4033</v>
      </c>
      <c r="B6" s="5" t="s">
        <v>329</v>
      </c>
      <c r="C6" s="5" t="s">
        <v>4034</v>
      </c>
      <c r="D6" s="5" t="s">
        <v>4035</v>
      </c>
    </row>
    <row r="7" customFormat="false" ht="15" hidden="false" customHeight="false" outlineLevel="0" collapsed="false">
      <c r="A7" s="7" t="n">
        <v>1</v>
      </c>
      <c r="B7" s="12" t="s">
        <v>4036</v>
      </c>
      <c r="C7" s="35" t="str">
        <f aca="false">IF(COUNTIF('Factor Weights'!I5:I11,"OK")=7,"OK","FAIL")</f>
        <v>OK</v>
      </c>
      <c r="D7" s="12" t="str">
        <f aca="false">7-COUNTIF('Factor Weights'!I5:I11,"OK")&amp;" risk(s) not at 100%"</f>
        <v>0 risk(s) not at 100%</v>
      </c>
    </row>
    <row r="8" customFormat="false" ht="15" hidden="false" customHeight="false" outlineLevel="0" collapsed="false">
      <c r="A8" s="7" t="n">
        <v>2</v>
      </c>
      <c r="B8" s="12" t="s">
        <v>4037</v>
      </c>
      <c r="C8" s="35" t="str">
        <f aca="false">IF(COUNTIF(Indicators!R5:R35,"OK")=31,"OK","FAIL")</f>
        <v>OK</v>
      </c>
      <c r="D8" s="12" t="str">
        <f aca="false">31-COUNTIF(Indicators!R5:R35,"OK")&amp;" indicator(s) to fix"</f>
        <v>0 indicator(s) to fix</v>
      </c>
    </row>
    <row r="9" customFormat="false" ht="15" hidden="false" customHeight="false" outlineLevel="0" collapsed="false">
      <c r="A9" s="7" t="n">
        <v>3</v>
      </c>
      <c r="B9" s="12" t="s">
        <v>4038</v>
      </c>
      <c r="C9" s="35" t="str">
        <f aca="false">IF(COUNTIF(F47:J53,"Gap")=0,"OK","FAIL")</f>
        <v>OK</v>
      </c>
      <c r="D9" s="12" t="str">
        <f aca="false">COUNTIF(F47:J53,"Gap")&amp;" gap(s) – see coverage grid below"</f>
        <v>0 gap(s) – see coverage grid below</v>
      </c>
    </row>
    <row r="10" customFormat="false" ht="15" hidden="false" customHeight="false" outlineLevel="0" collapsed="false">
      <c r="A10" s="7" t="n">
        <v>4</v>
      </c>
      <c r="B10" s="12" t="s">
        <v>4039</v>
      </c>
      <c r="C10" s="35" t="str">
        <f aca="false">IF(ROUND(Config!C24,4)=1,"OK","FAIL")</f>
        <v>OK</v>
      </c>
      <c r="D10" s="12" t="str">
        <f aca="false">TEXT(Config!C24,"0%")</f>
        <v>100%</v>
      </c>
    </row>
    <row r="11" customFormat="false" ht="15" hidden="false" customHeight="false" outlineLevel="0" collapsed="false">
      <c r="A11" s="7" t="n">
        <v>5</v>
      </c>
      <c r="B11" s="12" t="s">
        <v>4040</v>
      </c>
      <c r="C11" s="35" t="str">
        <f aca="false">IF(AND(Config!D5&lt;Config!D6,Config!D6&lt;Config!D7,Config!D7&lt;Config!D8,Config!D8&lt;Config!D9,Config!E5&lt;Config!E6,Config!E6&lt;Config!E7,Config!E7&lt;Config!E8,Config!E8&lt;Config!E9),"OK","FAIL")</f>
        <v>OK</v>
      </c>
      <c r="D11" s="12" t="str">
        <f aca="false">"Factor and L×I bands"</f>
        <v>Factor and L×I bands</v>
      </c>
    </row>
    <row r="12" customFormat="false" ht="15" hidden="false" customHeight="false" outlineLevel="0" collapsed="false">
      <c r="A12" s="7" t="n">
        <v>6</v>
      </c>
      <c r="B12" s="12" t="s">
        <v>4041</v>
      </c>
      <c r="C12" s="35" t="str">
        <f aca="false">IF(COUNTBLANK('Indicator Data'!D5:AG35)=0,"OK","WARN")</f>
        <v>WARN</v>
      </c>
      <c r="D12" s="12" t="str">
        <f aca="false">COUNTBLANK('Indicator Data'!D5:AG35)&amp;" blank value(s)"</f>
        <v>2 blank value(s)</v>
      </c>
    </row>
    <row r="13" customFormat="false" ht="15" hidden="false" customHeight="false" outlineLevel="0" collapsed="false">
      <c r="A13" s="7" t="n">
        <v>7</v>
      </c>
      <c r="B13" s="12" t="s">
        <v>4042</v>
      </c>
      <c r="C13" s="35" t="str">
        <f aca="false">IF(COUNTIF('FC Calculation'!U5:U214,"No data")=0,"OK","FAIL")</f>
        <v>OK</v>
      </c>
      <c r="D13" s="12" t="str">
        <f aca="false">COUNTIF('FC Calculation'!U5:U214,"No data")&amp;" row(s)"</f>
        <v>0 row(s)</v>
      </c>
    </row>
    <row r="14" customFormat="false" ht="15" hidden="false" customHeight="false" outlineLevel="0" collapsed="false">
      <c r="A14" s="7" t="n">
        <v>8</v>
      </c>
      <c r="B14" s="12" t="s">
        <v>4043</v>
      </c>
      <c r="C14" s="35" t="str">
        <f aca="false">IF(COUNTIF('LxI Assessment'!T5:T394,"Not assessed")=0,"OK","WARN")</f>
        <v>OK</v>
      </c>
      <c r="D14" s="12" t="str">
        <f aca="false">COUNTIF('LxI Assessment'!T5:T394,"Not assessed")&amp;" row(s)"</f>
        <v>0 row(s)</v>
      </c>
    </row>
    <row r="15" customFormat="false" ht="15" hidden="false" customHeight="false" outlineLevel="0" collapsed="false">
      <c r="A15" s="7" t="n">
        <v>9</v>
      </c>
      <c r="B15" s="12" t="s">
        <v>491</v>
      </c>
      <c r="C15" s="35" t="str">
        <f aca="false">IF('Inherent Dashboard'!C8=0,"OK","WARN")</f>
        <v>WARN</v>
      </c>
      <c r="D15" s="12" t="str">
        <f aca="false">'Inherent Dashboard'!C8&amp;" pending"</f>
        <v>1 pending</v>
      </c>
    </row>
    <row r="16" customFormat="false" ht="15" hidden="false" customHeight="false" outlineLevel="0" collapsed="false">
      <c r="A16" s="7" t="n">
        <v>10</v>
      </c>
      <c r="B16" s="12" t="s">
        <v>4044</v>
      </c>
      <c r="C16" s="35" t="str">
        <f aca="false">IF(COUNTIFS('FC Calculation'!Q5:Q214,"&lt;&gt;0",'FC Calculation'!R5:R214,"")+COUNTIFS('LxI Assessment'!P5:P394,"&lt;&gt;0",'LxI Assessment'!Q5:Q394,"")=0,"OK","FAIL")</f>
        <v>OK</v>
      </c>
      <c r="D16" s="12" t="str">
        <f aca="false">"Every override needs a justification"</f>
        <v>Every override needs a justification</v>
      </c>
    </row>
    <row r="17" customFormat="false" ht="15" hidden="false" customHeight="false" outlineLevel="0" collapsed="false">
      <c r="A17" s="7" t="n">
        <v>11</v>
      </c>
      <c r="B17" s="12" t="s">
        <v>4045</v>
      </c>
      <c r="C17" s="35" t="str">
        <f aca="false">IF(AND('Residual Config'!D11&gt;='Residual Config'!D12,'Residual Config'!D12&gt;='Residual Config'!D13,'Residual Config'!D13&gt;='Residual Config'!D14,'Residual Config'!E11&lt;'Residual Config'!E12,'Residual Config'!E12&lt;'Residual Config'!E13,'Residual Config'!E13&lt;'Residual Config'!E14),"OK","FAIL")</f>
        <v>OK</v>
      </c>
      <c r="D17" s="12" t="str">
        <f aca="false">"Residual Config section 1"</f>
        <v>Residual Config section 1</v>
      </c>
    </row>
    <row r="18" customFormat="false" ht="15" hidden="false" customHeight="false" outlineLevel="0" collapsed="false">
      <c r="A18" s="7" t="n">
        <v>12</v>
      </c>
      <c r="B18" s="12" t="s">
        <v>4046</v>
      </c>
      <c r="C18" s="35" t="str">
        <f aca="false">IF(AND(SUMPRODUCT(--('Residual Config'!C19:E23&lt;'Residual Config'!B19:D23))=0,SUMPRODUCT(--('Residual Config'!B19:E22&lt;'Residual Config'!B20:E23))=0,MIN('Residual Config'!B19:E23)&gt;=1,MAX('Residual Config'!B19:E23)&lt;=5),"OK","FAIL")</f>
        <v>OK</v>
      </c>
      <c r="D18" s="12" t="str">
        <f aca="false">"Residual Config section 2"</f>
        <v>Residual Config section 2</v>
      </c>
    </row>
    <row r="19" customFormat="false" ht="15" hidden="false" customHeight="false" outlineLevel="0" collapsed="false">
      <c r="A19" s="7" t="n">
        <v>13</v>
      </c>
      <c r="B19" s="12" t="s">
        <v>4047</v>
      </c>
      <c r="C19" s="35" t="str">
        <f aca="false">IF(SUMPRODUCT(--(COUNTIFS('Control Mapping'!$C$5:$C$83,'Risk Taxonomy'!$A$5:$A$24,'Control Mapping'!$F$5:$F$83,"Y")=0))=0,"OK","FAIL")</f>
        <v>OK</v>
      </c>
      <c r="D19" s="12" t="str">
        <f aca="false">SUMPRODUCT(--(COUNTIFS('Control Mapping'!$C$5:$C$83,'Risk Taxonomy'!$A$5:$A$24,'Control Mapping'!$F$5:$F$83,"Y")=0))&amp;" risk(s) without a key control"</f>
        <v>0 risk(s) without a key control</v>
      </c>
    </row>
    <row r="20" customFormat="false" ht="15" hidden="false" customHeight="false" outlineLevel="0" collapsed="false">
      <c r="A20" s="7" t="n">
        <v>14</v>
      </c>
      <c r="B20" s="12" t="s">
        <v>4048</v>
      </c>
      <c r="C20" s="35" t="str">
        <f aca="false">IF(SUMPRODUCT(--(COUNTIF('Control Library'!$A$5:$A$47,'Control Mapping'!$A$5:$A$83)=0))=0,"OK","FAIL")</f>
        <v>OK</v>
      </c>
      <c r="D20" s="12" t="str">
        <f aca="false">SUMPRODUCT(--(COUNTIF('Control Library'!$A$5:$A$47,'Control Mapping'!$A$5:$A$83)=0))&amp;" unknown ID(s)"</f>
        <v>0 unknown ID(s)</v>
      </c>
    </row>
    <row r="21" customFormat="false" ht="15" hidden="false" customHeight="false" outlineLevel="0" collapsed="false">
      <c r="A21" s="7" t="n">
        <v>15</v>
      </c>
      <c r="B21" s="12" t="s">
        <v>4049</v>
      </c>
      <c r="C21" s="35" t="str">
        <f aca="false">IF(COUNTIF('Control Testing'!$L$5:$L$1294,"Breach")=0,"OK","FAIL")</f>
        <v>OK</v>
      </c>
      <c r="D21" s="12" t="str">
        <f aca="false">COUNTIF('Control Testing'!$L$5:$L$1294,"Breach")&amp;" breach(es)"</f>
        <v>0 breach(es)</v>
      </c>
    </row>
    <row r="22" customFormat="false" ht="15" hidden="false" customHeight="false" outlineLevel="0" collapsed="false">
      <c r="A22" s="7" t="n">
        <v>16</v>
      </c>
      <c r="B22" s="12" t="s">
        <v>4050</v>
      </c>
      <c r="C22" s="35" t="str">
        <f aca="false">IF('Residual Dashboard'!C4-'Residual Dashboard'!C5=0,"OK","WARN")</f>
        <v>WARN</v>
      </c>
      <c r="D22" s="12" t="str">
        <f aca="false">'Residual Dashboard'!C4-'Residual Dashboard'!C5&amp;" test(s) earn no mitigation credit"</f>
        <v>102 test(s) earn no mitigation credit</v>
      </c>
    </row>
    <row r="23" customFormat="false" ht="15" hidden="false" customHeight="false" outlineLevel="0" collapsed="false">
      <c r="A23" s="7" t="n">
        <v>17</v>
      </c>
      <c r="B23" s="12" t="s">
        <v>4051</v>
      </c>
      <c r="C23" s="35" t="str">
        <f aca="false">IF(COUNTIF('Control Testing'!$AD$5:$AD$1294,"No")=0,"OK","WARN")</f>
        <v>WARN</v>
      </c>
      <c r="D23" s="12" t="str">
        <f aca="false">COUNTIF('Control Testing'!$AD$5:$AD$1294,"No")&amp;" test(s)"</f>
        <v>15 test(s)</v>
      </c>
    </row>
    <row r="24" customFormat="false" ht="15" hidden="false" customHeight="false" outlineLevel="0" collapsed="false">
      <c r="A24" s="7" t="n">
        <v>18</v>
      </c>
      <c r="B24" s="12" t="s">
        <v>4052</v>
      </c>
      <c r="C24" s="35" t="str">
        <f aca="false">IF(COUNTIFS('Residual Calculation'!U5:U604,"&lt;&gt;0",'Residual Calculation'!V5:V604,"")=0,"OK","FAIL")</f>
        <v>OK</v>
      </c>
      <c r="D24" s="12" t="str">
        <f aca="false">"Every override needs a justification"</f>
        <v>Every override needs a justification</v>
      </c>
    </row>
    <row r="25" customFormat="false" ht="15" hidden="false" customHeight="false" outlineLevel="0" collapsed="false">
      <c r="A25" s="7" t="n">
        <v>19</v>
      </c>
      <c r="B25" s="12" t="s">
        <v>4027</v>
      </c>
      <c r="C25" s="35" t="str">
        <f aca="false">IF('Residual Dashboard'!C17=0,"OK","WARN")</f>
        <v>WARN</v>
      </c>
      <c r="D25" s="12" t="str">
        <f aca="false">'Residual Dashboard'!C17&amp;" pending"</f>
        <v>1 pending</v>
      </c>
    </row>
    <row r="26" customFormat="false" ht="15" hidden="false" customHeight="false" outlineLevel="0" collapsed="false">
      <c r="A26" s="7" t="n">
        <v>20</v>
      </c>
      <c r="B26" s="12" t="s">
        <v>4053</v>
      </c>
      <c r="C26" s="35" t="str">
        <f aca="false">IF('Residual Dashboard'!C13+'Residual Dashboard'!C14=0,"OK","WARN")</f>
        <v>WARN</v>
      </c>
      <c r="D26" s="12" t="str">
        <f aca="false">'Residual Dashboard'!C13&amp;" Amber, "&amp;'Residual Dashboard'!C14&amp;" Red"</f>
        <v>97 Amber, 101 Red</v>
      </c>
    </row>
    <row r="45" customFormat="false" ht="15" hidden="false" customHeight="false" outlineLevel="0" collapsed="false">
      <c r="A45" s="6" t="s">
        <v>4054</v>
      </c>
    </row>
    <row r="46" customFormat="false" ht="30" hidden="false" customHeight="true" outlineLevel="0" collapsed="false">
      <c r="A46" s="5" t="s">
        <v>252</v>
      </c>
      <c r="B46" s="5" t="s">
        <v>327</v>
      </c>
      <c r="C46" s="5"/>
      <c r="D46" s="5"/>
      <c r="E46" s="5"/>
      <c r="F46" s="5" t="s">
        <v>114</v>
      </c>
      <c r="G46" s="5" t="s">
        <v>117</v>
      </c>
      <c r="H46" s="5" t="s">
        <v>119</v>
      </c>
      <c r="I46" s="5" t="s">
        <v>121</v>
      </c>
      <c r="J46" s="5" t="s">
        <v>123</v>
      </c>
    </row>
    <row r="47" customFormat="false" ht="15" hidden="false" customHeight="false" outlineLevel="0" collapsed="false">
      <c r="A47" s="12" t="s">
        <v>260</v>
      </c>
      <c r="B47" s="12" t="s">
        <v>261</v>
      </c>
      <c r="F47" s="31" t="n">
        <f aca="false">IF(AND('Factor Weights'!C5&gt;0,SUMPRODUCT((Indicators!$B$5:$B$35=F$46)*(Indicators!$K$5:$K$35&gt;0))=0),"Gap",SUMPRODUCT((Indicators!$B$5:$B$35=F$46)*(Indicators!$K$5:$K$35&gt;0)))</f>
        <v>6</v>
      </c>
      <c r="G47" s="31" t="n">
        <f aca="false">IF(AND('Factor Weights'!D5&gt;0,SUMPRODUCT((Indicators!$B$5:$B$35=G$46)*(Indicators!$K$5:$K$35&gt;0))=0),"Gap",SUMPRODUCT((Indicators!$B$5:$B$35=G$46)*(Indicators!$K$5:$K$35&gt;0)))</f>
        <v>6</v>
      </c>
      <c r="H47" s="31" t="n">
        <f aca="false">IF(AND('Factor Weights'!E5&gt;0,SUMPRODUCT((Indicators!$B$5:$B$35=H$46)*(Indicators!$K$5:$K$35&gt;0))=0),"Gap",SUMPRODUCT((Indicators!$B$5:$B$35=H$46)*(Indicators!$K$5:$K$35&gt;0)))</f>
        <v>6</v>
      </c>
      <c r="I47" s="31" t="n">
        <f aca="false">IF(AND('Factor Weights'!F5&gt;0,SUMPRODUCT((Indicators!$B$5:$B$35=I$46)*(Indicators!$K$5:$K$35&gt;0))=0),"Gap",SUMPRODUCT((Indicators!$B$5:$B$35=I$46)*(Indicators!$K$5:$K$35&gt;0)))</f>
        <v>4</v>
      </c>
      <c r="J47" s="31" t="n">
        <f aca="false">IF(AND('Factor Weights'!G5&gt;0,SUMPRODUCT((Indicators!$B$5:$B$35=J$46)*(Indicators!$K$5:$K$35&gt;0))=0),"Gap",SUMPRODUCT((Indicators!$B$5:$B$35=J$46)*(Indicators!$K$5:$K$35&gt;0)))</f>
        <v>5</v>
      </c>
    </row>
    <row r="48" customFormat="false" ht="15" hidden="false" customHeight="false" outlineLevel="0" collapsed="false">
      <c r="A48" s="12" t="s">
        <v>267</v>
      </c>
      <c r="B48" s="12" t="s">
        <v>268</v>
      </c>
      <c r="F48" s="31" t="n">
        <f aca="false">IF(AND('Factor Weights'!C6&gt;0,SUMPRODUCT((Indicators!$B$5:$B$35=F$46)*(Indicators!$L$5:$L$35&gt;0))=0),"Gap",SUMPRODUCT((Indicators!$B$5:$B$35=F$46)*(Indicators!$L$5:$L$35&gt;0)))</f>
        <v>6</v>
      </c>
      <c r="G48" s="31" t="n">
        <f aca="false">IF(AND('Factor Weights'!D6&gt;0,SUMPRODUCT((Indicators!$B$5:$B$35=G$46)*(Indicators!$L$5:$L$35&gt;0))=0),"Gap",SUMPRODUCT((Indicators!$B$5:$B$35=G$46)*(Indicators!$L$5:$L$35&gt;0)))</f>
        <v>4</v>
      </c>
      <c r="H48" s="31" t="n">
        <f aca="false">IF(AND('Factor Weights'!E6&gt;0,SUMPRODUCT((Indicators!$B$5:$B$35=H$46)*(Indicators!$L$5:$L$35&gt;0))=0),"Gap",SUMPRODUCT((Indicators!$B$5:$B$35=H$46)*(Indicators!$L$5:$L$35&gt;0)))</f>
        <v>4</v>
      </c>
      <c r="I48" s="31" t="n">
        <f aca="false">IF(AND('Factor Weights'!F6&gt;0,SUMPRODUCT((Indicators!$B$5:$B$35=I$46)*(Indicators!$L$5:$L$35&gt;0))=0),"Gap",SUMPRODUCT((Indicators!$B$5:$B$35=I$46)*(Indicators!$L$5:$L$35&gt;0)))</f>
        <v>4</v>
      </c>
      <c r="J48" s="31" t="n">
        <f aca="false">IF(AND('Factor Weights'!G6&gt;0,SUMPRODUCT((Indicators!$B$5:$B$35=J$46)*(Indicators!$L$5:$L$35&gt;0))=0),"Gap",SUMPRODUCT((Indicators!$B$5:$B$35=J$46)*(Indicators!$L$5:$L$35&gt;0)))</f>
        <v>4</v>
      </c>
    </row>
    <row r="49" customFormat="false" ht="15" hidden="false" customHeight="false" outlineLevel="0" collapsed="false">
      <c r="A49" s="12" t="s">
        <v>270</v>
      </c>
      <c r="B49" s="12" t="s">
        <v>271</v>
      </c>
      <c r="F49" s="31" t="n">
        <f aca="false">IF(AND('Factor Weights'!C7&gt;0,SUMPRODUCT((Indicators!$B$5:$B$35=F$46)*(Indicators!$M$5:$M$35&gt;0))=0),"Gap",SUMPRODUCT((Indicators!$B$5:$B$35=F$46)*(Indicators!$M$5:$M$35&gt;0)))</f>
        <v>3</v>
      </c>
      <c r="G49" s="31" t="n">
        <f aca="false">IF(AND('Factor Weights'!D7&gt;0,SUMPRODUCT((Indicators!$B$5:$B$35=G$46)*(Indicators!$M$5:$M$35&gt;0))=0),"Gap",SUMPRODUCT((Indicators!$B$5:$B$35=G$46)*(Indicators!$M$5:$M$35&gt;0)))</f>
        <v>4</v>
      </c>
      <c r="H49" s="31" t="n">
        <f aca="false">IF(AND('Factor Weights'!E7&gt;0,SUMPRODUCT((Indicators!$B$5:$B$35=H$46)*(Indicators!$M$5:$M$35&gt;0))=0),"Gap",SUMPRODUCT((Indicators!$B$5:$B$35=H$46)*(Indicators!$M$5:$M$35&gt;0)))</f>
        <v>4</v>
      </c>
      <c r="I49" s="31" t="n">
        <f aca="false">IF(AND('Factor Weights'!F7&gt;0,SUMPRODUCT((Indicators!$B$5:$B$35=I$46)*(Indicators!$M$5:$M$35&gt;0))=0),"Gap",SUMPRODUCT((Indicators!$B$5:$B$35=I$46)*(Indicators!$M$5:$M$35&gt;0)))</f>
        <v>2</v>
      </c>
      <c r="J49" s="31" t="n">
        <f aca="false">IF(AND('Factor Weights'!G7&gt;0,SUMPRODUCT((Indicators!$B$5:$B$35=J$46)*(Indicators!$M$5:$M$35&gt;0))=0),"Gap",SUMPRODUCT((Indicators!$B$5:$B$35=J$46)*(Indicators!$M$5:$M$35&gt;0)))</f>
        <v>2</v>
      </c>
    </row>
    <row r="50" customFormat="false" ht="15" hidden="false" customHeight="false" outlineLevel="0" collapsed="false">
      <c r="A50" s="12" t="s">
        <v>272</v>
      </c>
      <c r="B50" s="12" t="s">
        <v>273</v>
      </c>
      <c r="F50" s="31" t="n">
        <f aca="false">IF(AND('Factor Weights'!C8&gt;0,SUMPRODUCT((Indicators!$B$5:$B$35=F$46)*(Indicators!$N$5:$N$35&gt;0))=0),"Gap",SUMPRODUCT((Indicators!$B$5:$B$35=F$46)*(Indicators!$N$5:$N$35&gt;0)))</f>
        <v>5</v>
      </c>
      <c r="G50" s="31" t="n">
        <f aca="false">IF(AND('Factor Weights'!D8&gt;0,SUMPRODUCT((Indicators!$B$5:$B$35=G$46)*(Indicators!$N$5:$N$35&gt;0))=0),"Gap",SUMPRODUCT((Indicators!$B$5:$B$35=G$46)*(Indicators!$N$5:$N$35&gt;0)))</f>
        <v>4</v>
      </c>
      <c r="H50" s="31" t="n">
        <f aca="false">IF(AND('Factor Weights'!E8&gt;0,SUMPRODUCT((Indicators!$B$5:$B$35=H$46)*(Indicators!$N$5:$N$35&gt;0))=0),"Gap",SUMPRODUCT((Indicators!$B$5:$B$35=H$46)*(Indicators!$N$5:$N$35&gt;0)))</f>
        <v>5</v>
      </c>
      <c r="I50" s="31" t="n">
        <f aca="false">IF(AND('Factor Weights'!F8&gt;0,SUMPRODUCT((Indicators!$B$5:$B$35=I$46)*(Indicators!$N$5:$N$35&gt;0))=0),"Gap",SUMPRODUCT((Indicators!$B$5:$B$35=I$46)*(Indicators!$N$5:$N$35&gt;0)))</f>
        <v>2</v>
      </c>
      <c r="J50" s="31" t="n">
        <f aca="false">IF(AND('Factor Weights'!G8&gt;0,SUMPRODUCT((Indicators!$B$5:$B$35=J$46)*(Indicators!$N$5:$N$35&gt;0))=0),"Gap",SUMPRODUCT((Indicators!$B$5:$B$35=J$46)*(Indicators!$N$5:$N$35&gt;0)))</f>
        <v>2</v>
      </c>
    </row>
    <row r="51" customFormat="false" ht="15" hidden="false" customHeight="false" outlineLevel="0" collapsed="false">
      <c r="A51" s="12" t="s">
        <v>275</v>
      </c>
      <c r="B51" s="12" t="s">
        <v>276</v>
      </c>
      <c r="F51" s="31" t="n">
        <f aca="false">IF(AND('Factor Weights'!C9&gt;0,SUMPRODUCT((Indicators!$B$5:$B$35=F$46)*(Indicators!$O$5:$O$35&gt;0))=0),"Gap",SUMPRODUCT((Indicators!$B$5:$B$35=F$46)*(Indicators!$O$5:$O$35&gt;0)))</f>
        <v>5</v>
      </c>
      <c r="G51" s="31" t="n">
        <f aca="false">IF(AND('Factor Weights'!D9&gt;0,SUMPRODUCT((Indicators!$B$5:$B$35=G$46)*(Indicators!$O$5:$O$35&gt;0))=0),"Gap",SUMPRODUCT((Indicators!$B$5:$B$35=G$46)*(Indicators!$O$5:$O$35&gt;0)))</f>
        <v>3</v>
      </c>
      <c r="H51" s="31" t="n">
        <f aca="false">IF(AND('Factor Weights'!E9&gt;0,SUMPRODUCT((Indicators!$B$5:$B$35=H$46)*(Indicators!$O$5:$O$35&gt;0))=0),"Gap",SUMPRODUCT((Indicators!$B$5:$B$35=H$46)*(Indicators!$O$5:$O$35&gt;0)))</f>
        <v>2</v>
      </c>
      <c r="I51" s="31" t="n">
        <f aca="false">IF(AND('Factor Weights'!F9&gt;0,SUMPRODUCT((Indicators!$B$5:$B$35=I$46)*(Indicators!$O$5:$O$35&gt;0))=0),"Gap",SUMPRODUCT((Indicators!$B$5:$B$35=I$46)*(Indicators!$O$5:$O$35&gt;0)))</f>
        <v>2</v>
      </c>
      <c r="J51" s="31" t="n">
        <f aca="false">IF(AND('Factor Weights'!G9&gt;0,SUMPRODUCT((Indicators!$B$5:$B$35=J$46)*(Indicators!$O$5:$O$35&gt;0))=0),"Gap",SUMPRODUCT((Indicators!$B$5:$B$35=J$46)*(Indicators!$O$5:$O$35&gt;0)))</f>
        <v>1</v>
      </c>
    </row>
    <row r="52" customFormat="false" ht="15" hidden="false" customHeight="false" outlineLevel="0" collapsed="false">
      <c r="A52" s="12" t="s">
        <v>278</v>
      </c>
      <c r="B52" s="12" t="s">
        <v>279</v>
      </c>
      <c r="F52" s="31" t="n">
        <f aca="false">IF(AND('Factor Weights'!C10&gt;0,SUMPRODUCT((Indicators!$B$5:$B$35=F$46)*(Indicators!$P$5:$P$35&gt;0))=0),"Gap",SUMPRODUCT((Indicators!$B$5:$B$35=F$46)*(Indicators!$P$5:$P$35&gt;0)))</f>
        <v>3</v>
      </c>
      <c r="G52" s="31" t="n">
        <f aca="false">IF(AND('Factor Weights'!D10&gt;0,SUMPRODUCT((Indicators!$B$5:$B$35=G$46)*(Indicators!$P$5:$P$35&gt;0))=0),"Gap",SUMPRODUCT((Indicators!$B$5:$B$35=G$46)*(Indicators!$P$5:$P$35&gt;0)))</f>
        <v>4</v>
      </c>
      <c r="H52" s="31" t="n">
        <f aca="false">IF(AND('Factor Weights'!E10&gt;0,SUMPRODUCT((Indicators!$B$5:$B$35=H$46)*(Indicators!$P$5:$P$35&gt;0))=0),"Gap",SUMPRODUCT((Indicators!$B$5:$B$35=H$46)*(Indicators!$P$5:$P$35&gt;0)))</f>
        <v>3</v>
      </c>
      <c r="I52" s="31" t="n">
        <f aca="false">IF(AND('Factor Weights'!F10&gt;0,SUMPRODUCT((Indicators!$B$5:$B$35=I$46)*(Indicators!$P$5:$P$35&gt;0))=0),"Gap",SUMPRODUCT((Indicators!$B$5:$B$35=I$46)*(Indicators!$P$5:$P$35&gt;0)))</f>
        <v>4</v>
      </c>
      <c r="J52" s="31" t="n">
        <f aca="false">IF(AND('Factor Weights'!G10&gt;0,SUMPRODUCT((Indicators!$B$5:$B$35=J$46)*(Indicators!$P$5:$P$35&gt;0))=0),"Gap",SUMPRODUCT((Indicators!$B$5:$B$35=J$46)*(Indicators!$P$5:$P$35&gt;0)))</f>
        <v>3</v>
      </c>
    </row>
    <row r="53" customFormat="false" ht="15" hidden="false" customHeight="false" outlineLevel="0" collapsed="false">
      <c r="A53" s="12" t="s">
        <v>281</v>
      </c>
      <c r="B53" s="12" t="s">
        <v>282</v>
      </c>
      <c r="F53" s="31" t="n">
        <f aca="false">IF(AND('Factor Weights'!C11&gt;0,SUMPRODUCT((Indicators!$B$5:$B$35=F$46)*(Indicators!$Q$5:$Q$35&gt;0))=0),"Gap",SUMPRODUCT((Indicators!$B$5:$B$35=F$46)*(Indicators!$Q$5:$Q$35&gt;0)))</f>
        <v>5</v>
      </c>
      <c r="G53" s="31" t="n">
        <f aca="false">IF(AND('Factor Weights'!D11&gt;0,SUMPRODUCT((Indicators!$B$5:$B$35=G$46)*(Indicators!$Q$5:$Q$35&gt;0))=0),"Gap",SUMPRODUCT((Indicators!$B$5:$B$35=G$46)*(Indicators!$Q$5:$Q$35&gt;0)))</f>
        <v>4</v>
      </c>
      <c r="H53" s="31" t="n">
        <f aca="false">IF(AND('Factor Weights'!E11&gt;0,SUMPRODUCT((Indicators!$B$5:$B$35=H$46)*(Indicators!$Q$5:$Q$35&gt;0))=0),"Gap",SUMPRODUCT((Indicators!$B$5:$B$35=H$46)*(Indicators!$Q$5:$Q$35&gt;0)))</f>
        <v>3</v>
      </c>
      <c r="I53" s="31" t="n">
        <f aca="false">IF(AND('Factor Weights'!F11&gt;0,SUMPRODUCT((Indicators!$B$5:$B$35=I$46)*(Indicators!$Q$5:$Q$35&gt;0))=0),"Gap",SUMPRODUCT((Indicators!$B$5:$B$35=I$46)*(Indicators!$Q$5:$Q$35&gt;0)))</f>
        <v>2</v>
      </c>
      <c r="J53" s="31" t="n">
        <f aca="false">IF(AND('Factor Weights'!G11&gt;0,SUMPRODUCT((Indicators!$B$5:$B$35=J$46)*(Indicators!$Q$5:$Q$35&gt;0))=0),"Gap",SUMPRODUCT((Indicators!$B$5:$B$35=J$46)*(Indicators!$Q$5:$Q$35&gt;0)))</f>
        <v>3</v>
      </c>
    </row>
  </sheetData>
  <conditionalFormatting sqref="C4:C40">
    <cfRule type="expression" priority="2" aboveAverage="0" equalAverage="0" bottom="0" percent="0" rank="0" text="" dxfId="4">
      <formula>LEFT(C4,4)="FAIL"</formula>
    </cfRule>
    <cfRule type="expression" priority="3" aboveAverage="0" equalAverage="0" bottom="0" percent="0" rank="0" text="" dxfId="2">
      <formula>LEFT(C4,4)="WARN"</formula>
    </cfRule>
    <cfRule type="expression" priority="4" aboveAverage="0" equalAverage="0" bottom="0" percent="0" rank="0" text="" dxfId="1">
      <formula>LEFT(C4,2)="OK"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2026-10-24T10:29:38Z</dcterms:created>
  <dc:creator>openpyxl</dc:creator>
  <dc:description/>
  <dc:language>en-US</dc:language>
  <cp:lastModifiedBy/>
  <dcterms:modified xsi:type="dcterms:W3CDTF">2026-10-24T13:29:57Z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